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updateLinks="never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G:\ERP Software\"/>
    </mc:Choice>
  </mc:AlternateContent>
  <xr:revisionPtr revIDLastSave="0" documentId="13_ncr:1_{2EF7B9C8-141F-480D-A526-391C6BB1FC8E}" xr6:coauthVersionLast="47" xr6:coauthVersionMax="47" xr10:uidLastSave="{00000000-0000-0000-0000-000000000000}"/>
  <bookViews>
    <workbookView xWindow="-120" yWindow="-120" windowWidth="20730" windowHeight="11160" tabRatio="654" activeTab="2" xr2:uid="{00000000-000D-0000-FFFF-FFFF00000000}"/>
  </bookViews>
  <sheets>
    <sheet name="Summary" sheetId="2" r:id="rId1"/>
    <sheet name="June'26" sheetId="19" state="hidden" r:id="rId2"/>
    <sheet name="September'26" sheetId="23" r:id="rId3"/>
  </sheets>
  <externalReferences>
    <externalReference r:id="rId4"/>
    <externalReference r:id="rId5"/>
    <externalReference r:id="rId6"/>
  </externalReferences>
  <definedNames>
    <definedName name="_xlnm._FilterDatabase" localSheetId="1" hidden="1">'June''26'!$A$7:$CI$1140</definedName>
    <definedName name="_xlnm._FilterDatabase" localSheetId="2" hidden="1">'September''26'!$A$7:$CI$1675</definedName>
    <definedName name="_xlnm.Print_Area" localSheetId="1">'June''26'!$A$1:$CH$1140</definedName>
    <definedName name="_xlnm.Print_Area" localSheetId="2">'September''26'!$A$1:$CH$1675</definedName>
    <definedName name="_xlnm.Print_Area" localSheetId="0">Summary!$A$1:$M$156</definedName>
    <definedName name="_xlnm.Print_Titles" localSheetId="1">'June''26'!$7:$7</definedName>
    <definedName name="_xlnm.Print_Titles" localSheetId="2">'September''26'!$7:$7</definedName>
    <definedName name="Z_135C511C_528F_4750_B3C2_A213C3B9C85A_.wvu.Cols" localSheetId="1" hidden="1">'June''26'!$O:$R,'June''26'!$W:$X,'June''26'!$Z:$AA,'June''26'!$AC:$BL</definedName>
    <definedName name="Z_135C511C_528F_4750_B3C2_A213C3B9C85A_.wvu.Cols" localSheetId="2" hidden="1">'September''26'!$O:$R,'September''26'!$W:$X,'September''26'!$Z:$AA,'September''26'!$AC:$BL</definedName>
    <definedName name="Z_135C511C_528F_4750_B3C2_A213C3B9C85A_.wvu.FilterData" localSheetId="1" hidden="1">'June''26'!$A$7:$CI$1140</definedName>
    <definedName name="Z_135C511C_528F_4750_B3C2_A213C3B9C85A_.wvu.FilterData" localSheetId="2" hidden="1">'September''26'!$A$7:$CI$1675</definedName>
    <definedName name="Z_135C511C_528F_4750_B3C2_A213C3B9C85A_.wvu.PrintArea" localSheetId="1" hidden="1">'June''26'!$A$1:$CH$1140</definedName>
    <definedName name="Z_135C511C_528F_4750_B3C2_A213C3B9C85A_.wvu.PrintArea" localSheetId="2" hidden="1">'September''26'!$A$1:$CH$1675</definedName>
    <definedName name="Z_135C511C_528F_4750_B3C2_A213C3B9C85A_.wvu.PrintArea" localSheetId="0" hidden="1">Summary!$A$1:$M$5</definedName>
    <definedName name="Z_135C511C_528F_4750_B3C2_A213C3B9C85A_.wvu.Rows" localSheetId="0" hidden="1">Summary!#REF!,Summary!#REF!,Summary!#REF!,Summary!#REF!,Summary!#REF!,Summary!#REF!,Summary!#REF!,Summary!#REF!</definedName>
    <definedName name="Z_19823771_A49F_4071_A851_0608225F2D21_.wvu.Cols" localSheetId="1" hidden="1">'June''26'!$O:$R,'June''26'!$V:$X,'June''26'!$Z:$AA,'June''26'!$AC:$BL</definedName>
    <definedName name="Z_19823771_A49F_4071_A851_0608225F2D21_.wvu.Cols" localSheetId="2" hidden="1">'September''26'!$O:$R,'September''26'!$V:$X,'September''26'!$Z:$AA,'September''26'!$AC:$BL</definedName>
    <definedName name="Z_19823771_A49F_4071_A851_0608225F2D21_.wvu.FilterData" localSheetId="1" hidden="1">'June''26'!$A$7:$CI$1140</definedName>
    <definedName name="Z_19823771_A49F_4071_A851_0608225F2D21_.wvu.FilterData" localSheetId="2" hidden="1">'September''26'!$A$7:$CI$1675</definedName>
    <definedName name="Z_19823771_A49F_4071_A851_0608225F2D21_.wvu.PrintArea" localSheetId="1" hidden="1">'June''26'!$A$1:$CH$1140</definedName>
    <definedName name="Z_19823771_A49F_4071_A851_0608225F2D21_.wvu.PrintArea" localSheetId="2" hidden="1">'September''26'!$A$1:$CH$1675</definedName>
    <definedName name="Z_19823771_A49F_4071_A851_0608225F2D21_.wvu.PrintArea" localSheetId="0" hidden="1">Summary!$A$1:$M$156</definedName>
    <definedName name="Z_19823771_A49F_4071_A851_0608225F2D21_.wvu.PrintTitles" localSheetId="1" hidden="1">'June''26'!$7:$7</definedName>
    <definedName name="Z_19823771_A49F_4071_A851_0608225F2D21_.wvu.PrintTitles" localSheetId="2" hidden="1">'September''26'!$7:$7</definedName>
    <definedName name="Z_19823771_A49F_4071_A851_0608225F2D21_.wvu.Rows" localSheetId="0" hidden="1">Summary!#REF!,Summary!#REF!,Summary!#REF!,Summary!#REF!,Summary!#REF!,Summary!#REF!,Summary!#REF!,Summary!#REF!,Summary!#REF!,Summary!#REF!,Summary!#REF!,Summary!#REF!,Summary!#REF!</definedName>
    <definedName name="Z_1AA08B8A_2519_4861_AF15_D8941FDEEDDA_.wvu.Cols" localSheetId="1" hidden="1">'June''26'!$AO:$BL,'June''26'!$BT:$BZ</definedName>
    <definedName name="Z_1AA08B8A_2519_4861_AF15_D8941FDEEDDA_.wvu.Cols" localSheetId="2" hidden="1">'September''26'!$AO:$BL,'September''26'!$BT:$BZ</definedName>
    <definedName name="Z_1AA08B8A_2519_4861_AF15_D8941FDEEDDA_.wvu.FilterData" localSheetId="1" hidden="1">'June''26'!$A$7:$CI$1140</definedName>
    <definedName name="Z_1AA08B8A_2519_4861_AF15_D8941FDEEDDA_.wvu.FilterData" localSheetId="2" hidden="1">'September''26'!$A$7:$CI$1675</definedName>
    <definedName name="Z_1AA08B8A_2519_4861_AF15_D8941FDEEDDA_.wvu.PrintArea" localSheetId="1" hidden="1">'June''26'!$A$1:$CH$1140</definedName>
    <definedName name="Z_1AA08B8A_2519_4861_AF15_D8941FDEEDDA_.wvu.PrintArea" localSheetId="2" hidden="1">'September''26'!$A$1:$CH$1675</definedName>
    <definedName name="Z_1AA08B8A_2519_4861_AF15_D8941FDEEDDA_.wvu.PrintArea" localSheetId="0" hidden="1">Summary!$A$1:$M$5</definedName>
    <definedName name="Z_1AA08B8A_2519_4861_AF15_D8941FDEEDDA_.wvu.Rows" localSheetId="0" hidden="1">Summary!#REF!,Summary!#REF!,Summary!#REF!,Summary!#REF!,Summary!#REF!,Summary!#REF!,Summary!#REF!,Summary!#REF!</definedName>
    <definedName name="Z_2F6A5B77_FF8B_4102_86D5_EBB64E66558E_.wvu.FilterData" localSheetId="1" hidden="1">'June''26'!$A$7:$CI$1140</definedName>
    <definedName name="Z_2F6A5B77_FF8B_4102_86D5_EBB64E66558E_.wvu.FilterData" localSheetId="2" hidden="1">'September''26'!$A$7:$CI$1675</definedName>
    <definedName name="Z_2F6A5B77_FF8B_4102_86D5_EBB64E66558E_.wvu.PrintArea" localSheetId="1" hidden="1">'June''26'!$A$1:$CH$1140</definedName>
    <definedName name="Z_2F6A5B77_FF8B_4102_86D5_EBB64E66558E_.wvu.PrintArea" localSheetId="2" hidden="1">'September''26'!$A$1:$CH$1675</definedName>
    <definedName name="Z_2F6A5B77_FF8B_4102_86D5_EBB64E66558E_.wvu.PrintArea" localSheetId="0" hidden="1">Summary!$A$1:$M$5</definedName>
    <definedName name="Z_2F6A5B77_FF8B_4102_86D5_EBB64E66558E_.wvu.Rows" localSheetId="0" hidden="1">Summary!#REF!,Summary!#REF!,Summary!#REF!,Summary!#REF!,Summary!#REF!,Summary!#REF!,Summary!#REF!,Summary!#REF!</definedName>
    <definedName name="Z_58F8929B_F415_4D85_90E3_B3E696AD64D4_.wvu.FilterData" localSheetId="1" hidden="1">'June''26'!$A$7:$CI$1140</definedName>
    <definedName name="Z_58F8929B_F415_4D85_90E3_B3E696AD64D4_.wvu.FilterData" localSheetId="2" hidden="1">'September''26'!$A$7:$CI$1675</definedName>
    <definedName name="Z_58F8929B_F415_4D85_90E3_B3E696AD64D4_.wvu.PrintArea" localSheetId="1" hidden="1">'June''26'!$A$1:$CH$1140</definedName>
    <definedName name="Z_58F8929B_F415_4D85_90E3_B3E696AD64D4_.wvu.PrintArea" localSheetId="2" hidden="1">'September''26'!$A$1:$CH$1675</definedName>
    <definedName name="Z_58F8929B_F415_4D85_90E3_B3E696AD64D4_.wvu.PrintArea" localSheetId="0" hidden="1">Summary!$A$1:$M$5</definedName>
    <definedName name="Z_58F8929B_F415_4D85_90E3_B3E696AD64D4_.wvu.Rows" localSheetId="0" hidden="1">Summary!#REF!,Summary!#REF!,Summary!#REF!,Summary!#REF!,Summary!#REF!,Summary!#REF!,Summary!#REF!,Summary!#REF!</definedName>
    <definedName name="Z_6826DE42_EC4E_4370_9C51_092514CB29F6_.wvu.Cols" localSheetId="1" hidden="1">'June''26'!$O:$R,'June''26'!$W:$X,'June''26'!$Z:$AA,'June''26'!$AC:$BL</definedName>
    <definedName name="Z_6826DE42_EC4E_4370_9C51_092514CB29F6_.wvu.Cols" localSheetId="2" hidden="1">'September''26'!$O:$R,'September''26'!$W:$X,'September''26'!$Z:$AA,'September''26'!$AC:$BL</definedName>
    <definedName name="Z_6826DE42_EC4E_4370_9C51_092514CB29F6_.wvu.FilterData" localSheetId="1" hidden="1">'June''26'!$A$7:$CI$1140</definedName>
    <definedName name="Z_6826DE42_EC4E_4370_9C51_092514CB29F6_.wvu.FilterData" localSheetId="2" hidden="1">'September''26'!$A$7:$CI$1675</definedName>
    <definedName name="Z_6826DE42_EC4E_4370_9C51_092514CB29F6_.wvu.PrintArea" localSheetId="1" hidden="1">'June''26'!$A$1:$CH$1140</definedName>
    <definedName name="Z_6826DE42_EC4E_4370_9C51_092514CB29F6_.wvu.PrintArea" localSheetId="2" hidden="1">'September''26'!$A$1:$CH$1675</definedName>
    <definedName name="Z_6826DE42_EC4E_4370_9C51_092514CB29F6_.wvu.PrintArea" localSheetId="0" hidden="1">Summary!$A$1:$M$156</definedName>
    <definedName name="Z_6826DE42_EC4E_4370_9C51_092514CB29F6_.wvu.Rows" localSheetId="0" hidden="1">Summary!#REF!,Summary!#REF!,Summary!#REF!,Summary!#REF!,Summary!#REF!,Summary!#REF!,Summary!#REF!,Summary!#REF!,Summary!#REF!,Summary!#REF!,Summary!#REF!,Summary!#REF!,Summary!#REF!,Summary!#REF!,Summary!#REF!,Summary!#REF!,Summary!#REF!</definedName>
    <definedName name="Z_6AE599EA_16A3_46E6_AA5F_36039042C514_.wvu.Cols" localSheetId="1" hidden="1">'June''26'!$X:$X,'June''26'!$AC:$BL</definedName>
    <definedName name="Z_6AE599EA_16A3_46E6_AA5F_36039042C514_.wvu.Cols" localSheetId="2" hidden="1">'September''26'!$X:$X,'September''26'!$AC:$BL</definedName>
    <definedName name="Z_6AE599EA_16A3_46E6_AA5F_36039042C514_.wvu.FilterData" localSheetId="1" hidden="1">'June''26'!$A$7:$F$1140</definedName>
    <definedName name="Z_6AE599EA_16A3_46E6_AA5F_36039042C514_.wvu.FilterData" localSheetId="2" hidden="1">'September''26'!$A$7:$F$1675</definedName>
    <definedName name="Z_6AE599EA_16A3_46E6_AA5F_36039042C514_.wvu.PrintArea" localSheetId="1" hidden="1">'June''26'!$A$1:$CH$1140</definedName>
    <definedName name="Z_6AE599EA_16A3_46E6_AA5F_36039042C514_.wvu.PrintArea" localSheetId="2" hidden="1">'September''26'!$A$1:$CH$1675</definedName>
    <definedName name="Z_6AE599EA_16A3_46E6_AA5F_36039042C514_.wvu.PrintArea" localSheetId="0" hidden="1">Summary!$A$1:$M$5</definedName>
    <definedName name="Z_6AE599EA_16A3_46E6_AA5F_36039042C514_.wvu.Rows" localSheetId="0" hidden="1">Summary!#REF!,Summary!#REF!,Summary!#REF!,Summary!#REF!,Summary!#REF!</definedName>
    <definedName name="Z_9A409AF3_6324_480B_AB8F_770AEA0A15C8_.wvu.FilterData" localSheetId="1" hidden="1">'June''26'!$A$7:$F$1140</definedName>
    <definedName name="Z_9A409AF3_6324_480B_AB8F_770AEA0A15C8_.wvu.FilterData" localSheetId="2" hidden="1">'September''26'!$A$7:$F$1675</definedName>
    <definedName name="Z_9B98569C_E103_4955_9B83_AFE78EA70312_.wvu.FilterData" localSheetId="1" hidden="1">'June''26'!$A$7:$CI$1140</definedName>
    <definedName name="Z_9B98569C_E103_4955_9B83_AFE78EA70312_.wvu.FilterData" localSheetId="2" hidden="1">'September''26'!$A$7:$CI$1675</definedName>
    <definedName name="Z_9B98569C_E103_4955_9B83_AFE78EA70312_.wvu.PrintArea" localSheetId="1" hidden="1">'June''26'!$A$1:$CH$1140</definedName>
    <definedName name="Z_9B98569C_E103_4955_9B83_AFE78EA70312_.wvu.PrintArea" localSheetId="2" hidden="1">'September''26'!$A$1:$CH$1675</definedName>
    <definedName name="Z_9B98569C_E103_4955_9B83_AFE78EA70312_.wvu.PrintArea" localSheetId="0" hidden="1">Summary!$A$1:$M$5</definedName>
    <definedName name="Z_9B98569C_E103_4955_9B83_AFE78EA70312_.wvu.Rows" localSheetId="0" hidden="1">Summary!#REF!,Summary!#REF!,Summary!#REF!,Summary!#REF!,Summary!#REF!,Summary!#REF!,Summary!#REF!,Summary!#REF!</definedName>
    <definedName name="Z_B56E2503_9F79_4A2F_B601_7F07F7894550_.wvu.Cols" localSheetId="1" hidden="1">'June''26'!$AO:$BL,'June''26'!$BT:$BZ</definedName>
    <definedName name="Z_B56E2503_9F79_4A2F_B601_7F07F7894550_.wvu.Cols" localSheetId="2" hidden="1">'September''26'!$AO:$BL,'September''26'!$BT:$BZ</definedName>
    <definedName name="Z_B56E2503_9F79_4A2F_B601_7F07F7894550_.wvu.FilterData" localSheetId="1" hidden="1">'June''26'!$A$7:$CI$1140</definedName>
    <definedName name="Z_B56E2503_9F79_4A2F_B601_7F07F7894550_.wvu.FilterData" localSheetId="2" hidden="1">'September''26'!$A$7:$CI$1675</definedName>
    <definedName name="Z_B56E2503_9F79_4A2F_B601_7F07F7894550_.wvu.PrintArea" localSheetId="1" hidden="1">'June''26'!$A$1:$CH$1140</definedName>
    <definedName name="Z_B56E2503_9F79_4A2F_B601_7F07F7894550_.wvu.PrintArea" localSheetId="2" hidden="1">'September''26'!$A$1:$CH$1675</definedName>
    <definedName name="Z_B56E2503_9F79_4A2F_B601_7F07F7894550_.wvu.PrintArea" localSheetId="0" hidden="1">Summary!$A$1:$M$5</definedName>
    <definedName name="Z_D8F76D58_7B66_4B7F_8958_FC8EA064938E_.wvu.FilterData" localSheetId="1" hidden="1">'June''26'!$A$7:$F$1140</definedName>
    <definedName name="Z_D8F76D58_7B66_4B7F_8958_FC8EA064938E_.wvu.FilterData" localSheetId="2" hidden="1">'September''26'!$A$7:$F$1675</definedName>
    <definedName name="Z_D997317D_46B4_4E93_AA86_F695F9635136_.wvu.Cols" localSheetId="1" hidden="1">'June''26'!$O:$R,'June''26'!$V:$X,'June''26'!$Z:$AA,'June''26'!$AC:$BL</definedName>
    <definedName name="Z_D997317D_46B4_4E93_AA86_F695F9635136_.wvu.Cols" localSheetId="2" hidden="1">'September''26'!$O:$R,'September''26'!$V:$X,'September''26'!$Z:$AA,'September''26'!$AC:$BL</definedName>
    <definedName name="Z_D997317D_46B4_4E93_AA86_F695F9635136_.wvu.FilterData" localSheetId="1" hidden="1">'June''26'!$A$7:$CI$1140</definedName>
    <definedName name="Z_D997317D_46B4_4E93_AA86_F695F9635136_.wvu.FilterData" localSheetId="2" hidden="1">'September''26'!$A$7:$CI$1675</definedName>
    <definedName name="Z_D997317D_46B4_4E93_AA86_F695F9635136_.wvu.PrintArea" localSheetId="1" hidden="1">'June''26'!$A$1:$CH$1140</definedName>
    <definedName name="Z_D997317D_46B4_4E93_AA86_F695F9635136_.wvu.PrintArea" localSheetId="2" hidden="1">'September''26'!$A$1:$CH$1675</definedName>
    <definedName name="Z_D997317D_46B4_4E93_AA86_F695F9635136_.wvu.PrintArea" localSheetId="0" hidden="1">Summary!$A$1:$M$156</definedName>
    <definedName name="Z_D997317D_46B4_4E93_AA86_F695F9635136_.wvu.PrintTitles" localSheetId="1" hidden="1">'June''26'!$7:$7</definedName>
    <definedName name="Z_D997317D_46B4_4E93_AA86_F695F9635136_.wvu.PrintTitles" localSheetId="2" hidden="1">'September''26'!$7:$7</definedName>
    <definedName name="Z_D997317D_46B4_4E93_AA86_F695F9635136_.wvu.Rows" localSheetId="0" hidden="1">Summary!#REF!,Summary!#REF!,Summary!#REF!,Summary!#REF!,Summary!#REF!,Summary!#REF!,Summary!#REF!,Summary!#REF!,Summary!#REF!,Summary!#REF!,Summary!#REF!,Summary!#REF!,Summary!#REF!</definedName>
    <definedName name="Z_F07B8478_E6D3_4F08_B5E9_5DB099547DA3_.wvu.FilterData" localSheetId="1" hidden="1">'June''26'!$A$7:$F$1140</definedName>
    <definedName name="Z_F07B8478_E6D3_4F08_B5E9_5DB099547DA3_.wvu.FilterData" localSheetId="2" hidden="1">'September''26'!$A$7:$F$1675</definedName>
  </definedNames>
  <calcPr calcId="191029"/>
  <customWorkbookViews>
    <customWorkbookView name="Shekor - Personal View" guid="{D997317D-46B4-4E93-AA86-F695F9635136}" mergeInterval="0" personalView="1" maximized="1" xWindow="-8" yWindow="-8" windowWidth="1382" windowHeight="736" activeSheetId="6"/>
    <customWorkbookView name="Dyeing-4 - Personal View" guid="{9B98569C-E103-4955-9B83-AFE78EA70312}" mergeInterval="0" personalView="1" maximized="1" windowWidth="1020" windowHeight="547" tabRatio="733" activeSheetId="9"/>
    <customWorkbookView name="Main View" guid="{6AE599EA-16A3-46E6-AA5F-36039042C514}" maximized="1" windowWidth="1916" windowHeight="821" tabRatio="733" activeSheetId="9"/>
    <customWorkbookView name="Mozid - Personal View" guid="{2F6A5B77-FF8B-4102-86D5-EBB64E66558E}" mergeInterval="0" personalView="1" maximized="1" windowWidth="1916" windowHeight="795" tabRatio="733" activeSheetId="12"/>
    <customWorkbookView name="IT-02 - Personal View" guid="{58F8929B-F415-4D85-90E3-B3E696AD64D4}" mergeInterval="0" personalView="1" maximized="1" xWindow="-8" yWindow="-8" windowWidth="1382" windowHeight="744" tabRatio="733" activeSheetId="9"/>
    <customWorkbookView name="Dyeing-2 - Personal View" guid="{1AA08B8A-2519-4861-AF15-D8941FDEEDDA}" mergeInterval="0" personalView="1" windowWidth="1362" windowHeight="597" tabRatio="733" activeSheetId="11"/>
    <customWorkbookView name="IED-4 - Personal View" guid="{B56E2503-9F79-4A2F-B601-7F07F7894550}" mergeInterval="0" personalView="1" maximized="1" windowWidth="1916" windowHeight="821" tabRatio="733" activeSheetId="10"/>
    <customWorkbookView name="ismail - [2010] - Personal View" guid="{135C511C-528F-4750-B3C2-A213C3B9C85A}" mergeInterval="0" personalView="1" maximized="1" windowWidth="1362" windowHeight="543" activeSheetId="9"/>
    <customWorkbookView name="Sumon - Personal View" guid="{6826DE42-EC4E-4370-9C51-092514CB29F6}" mergeInterval="0" personalView="1" maximized="1" windowWidth="1916" windowHeight="855" activeSheetId="2"/>
    <customWorkbookView name="Salman - Northern Fashion - Personal View" guid="{19823771-A49F-4071-A851-0608225F2D21}" mergeInterval="0" personalView="1" maximized="1" xWindow="-8" yWindow="-8" windowWidth="1936" windowHeight="1056" activeSheetId="2"/>
  </customWorkbookView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37" i="2" l="1"/>
  <c r="BU1484" i="23" l="1"/>
  <c r="BU724" i="23"/>
  <c r="BU790" i="23"/>
  <c r="BW1483" i="23"/>
  <c r="BU1492" i="23"/>
  <c r="BU766" i="23"/>
  <c r="I813" i="23" l="1"/>
  <c r="I810" i="23"/>
  <c r="W115" i="23"/>
  <c r="AW266" i="23" l="1"/>
  <c r="AS266" i="23"/>
  <c r="W1475" i="23"/>
  <c r="W310" i="23"/>
  <c r="W311" i="23"/>
  <c r="W282" i="23"/>
  <c r="W316" i="23"/>
  <c r="W317" i="23"/>
  <c r="W301" i="23"/>
  <c r="Y298" i="23"/>
  <c r="Y297" i="23"/>
  <c r="AW276" i="23"/>
  <c r="AS276" i="23"/>
  <c r="Y348" i="23" l="1"/>
  <c r="Y1554" i="23"/>
  <c r="Y704" i="23" l="1"/>
  <c r="Y847" i="23"/>
  <c r="Y252" i="23"/>
  <c r="Y843" i="23"/>
  <c r="Y1050" i="23"/>
  <c r="CC1032" i="23" l="1"/>
  <c r="CB1032" i="23"/>
  <c r="CA1032" i="23"/>
  <c r="BZ1032" i="23"/>
  <c r="BL1032" i="23"/>
  <c r="BF1032" i="23"/>
  <c r="AZ1032" i="23"/>
  <c r="AT1032" i="23"/>
  <c r="AN1032" i="23"/>
  <c r="AH1032" i="23"/>
  <c r="AB1032" i="23"/>
  <c r="R1032" i="23"/>
  <c r="L1032" i="23"/>
  <c r="CD1031" i="23"/>
  <c r="CE1031" i="23" s="1"/>
  <c r="CC1031" i="23"/>
  <c r="CB1031" i="23"/>
  <c r="CA1031" i="23"/>
  <c r="BZ1031" i="23"/>
  <c r="BL1031" i="23"/>
  <c r="BF1031" i="23"/>
  <c r="AZ1031" i="23"/>
  <c r="AT1031" i="23"/>
  <c r="AN1031" i="23"/>
  <c r="AH1031" i="23"/>
  <c r="AB1031" i="23"/>
  <c r="R1031" i="23"/>
  <c r="L1031" i="23"/>
  <c r="CD1032" i="23" l="1"/>
  <c r="CE1032" i="23" s="1"/>
  <c r="W146" i="23"/>
  <c r="W145" i="23"/>
  <c r="W144" i="23"/>
  <c r="W143" i="23"/>
  <c r="W141" i="23"/>
  <c r="W735" i="23"/>
  <c r="W734" i="23"/>
  <c r="W733" i="23"/>
  <c r="W731" i="23"/>
  <c r="W551" i="23"/>
  <c r="Y706" i="23" l="1"/>
  <c r="Y1625" i="23"/>
  <c r="Y1412" i="23"/>
  <c r="AY69" i="23"/>
  <c r="AY55" i="23"/>
  <c r="AY300" i="23"/>
  <c r="AA411" i="23"/>
  <c r="Y136" i="23"/>
  <c r="Y106" i="23"/>
  <c r="Y724" i="23"/>
  <c r="W837" i="23"/>
  <c r="BU1489" i="23"/>
  <c r="BU1483" i="23"/>
  <c r="W518" i="23"/>
  <c r="BU31" i="23" l="1"/>
  <c r="BU23" i="23"/>
  <c r="BY411" i="23"/>
  <c r="BW82" i="23"/>
  <c r="BW501" i="23"/>
  <c r="BU63" i="23"/>
  <c r="BY1453" i="23"/>
  <c r="BU1453" i="23"/>
  <c r="BU992" i="23"/>
  <c r="BW1627" i="23"/>
  <c r="BU1627" i="23"/>
  <c r="BU265" i="23"/>
  <c r="BU392" i="23"/>
  <c r="BU1308" i="23"/>
  <c r="BY1497" i="23"/>
  <c r="BU1497" i="23"/>
  <c r="BU553" i="19"/>
  <c r="W697" i="23" l="1"/>
  <c r="W698" i="23"/>
  <c r="W1605" i="23"/>
  <c r="W271" i="23" l="1"/>
  <c r="W672" i="23"/>
  <c r="W612" i="23"/>
  <c r="W835" i="23"/>
  <c r="W795" i="23"/>
  <c r="AA1426" i="23" l="1"/>
  <c r="Y1426" i="23"/>
  <c r="Y129" i="23"/>
  <c r="Y895" i="23"/>
  <c r="W836" i="23"/>
  <c r="W517" i="23"/>
  <c r="W516" i="23"/>
  <c r="W221" i="23" l="1"/>
  <c r="W220" i="23"/>
  <c r="AW69" i="23" l="1"/>
  <c r="AS69" i="23"/>
  <c r="AW55" i="23"/>
  <c r="AS55" i="23"/>
  <c r="AW300" i="23"/>
  <c r="AS300" i="23"/>
  <c r="AE1426" i="23"/>
  <c r="AE1487" i="23"/>
  <c r="I1544" i="23" l="1"/>
  <c r="I1543" i="23"/>
  <c r="I1542" i="23"/>
  <c r="Z650" i="23" l="1"/>
  <c r="Y650" i="23"/>
  <c r="Y790" i="23"/>
  <c r="Y1210" i="23"/>
  <c r="Y992" i="23"/>
  <c r="Y991" i="23"/>
  <c r="Y1501" i="23"/>
  <c r="Y1439" i="23"/>
  <c r="AQ266" i="23" l="1"/>
  <c r="AQ276" i="23"/>
  <c r="Y266" i="23"/>
  <c r="Y276" i="23"/>
  <c r="BU402" i="23"/>
  <c r="BU407" i="23"/>
  <c r="BU404" i="23"/>
  <c r="BU1555" i="23"/>
  <c r="BU1505" i="23"/>
  <c r="BU722" i="23"/>
  <c r="BU1591" i="23"/>
  <c r="BU1592" i="23"/>
  <c r="BW449" i="23"/>
  <c r="BW510" i="23"/>
  <c r="BU510" i="23"/>
  <c r="BU581" i="23"/>
  <c r="BU873" i="23"/>
  <c r="BU1599" i="23"/>
  <c r="BU1267" i="23"/>
  <c r="BU563" i="19"/>
  <c r="BU1442" i="23"/>
  <c r="CC371" i="23" l="1"/>
  <c r="CD371" i="23" s="1"/>
  <c r="CB371" i="23"/>
  <c r="CA371" i="23"/>
  <c r="BZ371" i="23"/>
  <c r="BL371" i="23"/>
  <c r="BF371" i="23"/>
  <c r="AZ371" i="23"/>
  <c r="AT371" i="23"/>
  <c r="AN371" i="23"/>
  <c r="AH371" i="23"/>
  <c r="AB371" i="23"/>
  <c r="R371" i="23"/>
  <c r="L371" i="23"/>
  <c r="CC370" i="23"/>
  <c r="CB370" i="23"/>
  <c r="CA370" i="23"/>
  <c r="BZ370" i="23"/>
  <c r="BL370" i="23"/>
  <c r="BF370" i="23"/>
  <c r="AZ370" i="23"/>
  <c r="AT370" i="23"/>
  <c r="AN370" i="23"/>
  <c r="AH370" i="23"/>
  <c r="AB370" i="23"/>
  <c r="R370" i="23"/>
  <c r="L370" i="23"/>
  <c r="CC369" i="23"/>
  <c r="CB369" i="23"/>
  <c r="CA369" i="23"/>
  <c r="BZ369" i="23"/>
  <c r="BL369" i="23"/>
  <c r="BF369" i="23"/>
  <c r="AZ369" i="23"/>
  <c r="AT369" i="23"/>
  <c r="AN369" i="23"/>
  <c r="AH369" i="23"/>
  <c r="AB369" i="23"/>
  <c r="R369" i="23"/>
  <c r="L369" i="23"/>
  <c r="CC368" i="23"/>
  <c r="CB368" i="23"/>
  <c r="CA368" i="23"/>
  <c r="BZ368" i="23"/>
  <c r="BL368" i="23"/>
  <c r="BF368" i="23"/>
  <c r="AZ368" i="23"/>
  <c r="AT368" i="23"/>
  <c r="AN368" i="23"/>
  <c r="AH368" i="23"/>
  <c r="AB368" i="23"/>
  <c r="R368" i="23"/>
  <c r="L368" i="23"/>
  <c r="CC367" i="23"/>
  <c r="CB367" i="23"/>
  <c r="CA367" i="23"/>
  <c r="BZ367" i="23"/>
  <c r="BL367" i="23"/>
  <c r="BF367" i="23"/>
  <c r="AZ367" i="23"/>
  <c r="AT367" i="23"/>
  <c r="AN367" i="23"/>
  <c r="AH367" i="23"/>
  <c r="AB367" i="23"/>
  <c r="R367" i="23"/>
  <c r="L367" i="23"/>
  <c r="CC366" i="23"/>
  <c r="CB366" i="23"/>
  <c r="CA366" i="23"/>
  <c r="BZ366" i="23"/>
  <c r="BL366" i="23"/>
  <c r="BF366" i="23"/>
  <c r="AZ366" i="23"/>
  <c r="AT366" i="23"/>
  <c r="AN366" i="23"/>
  <c r="AH366" i="23"/>
  <c r="AB366" i="23"/>
  <c r="R366" i="23"/>
  <c r="L366" i="23"/>
  <c r="Y1505" i="23"/>
  <c r="AE1490" i="23"/>
  <c r="AE1411" i="23"/>
  <c r="CD367" i="23" l="1"/>
  <c r="CE367" i="23" s="1"/>
  <c r="CD368" i="23"/>
  <c r="CE368" i="23" s="1"/>
  <c r="CD370" i="23"/>
  <c r="CE370" i="23" s="1"/>
  <c r="CE371" i="23"/>
  <c r="CD369" i="23"/>
  <c r="CE369" i="23" s="1"/>
  <c r="BM371" i="23"/>
  <c r="CD366" i="23"/>
  <c r="CE366" i="23" s="1"/>
  <c r="BM367" i="23"/>
  <c r="W56" i="23"/>
  <c r="W1560" i="23"/>
  <c r="Y1470" i="23"/>
  <c r="Z82" i="23"/>
  <c r="Y1591" i="23"/>
  <c r="W152" i="23"/>
  <c r="W217" i="23" l="1"/>
  <c r="W33" i="23"/>
  <c r="W27" i="23"/>
  <c r="W166" i="23"/>
  <c r="W162" i="23"/>
  <c r="Y766" i="23"/>
  <c r="Y553" i="19"/>
  <c r="Y1490" i="23"/>
  <c r="Y1489" i="23"/>
  <c r="Y1487" i="23"/>
  <c r="AA1453" i="23"/>
  <c r="Y1453" i="23"/>
  <c r="Z63" i="23"/>
  <c r="Y63" i="23"/>
  <c r="I966" i="23" l="1"/>
  <c r="I965" i="23"/>
  <c r="AE465" i="23" l="1"/>
  <c r="J1186" i="23" l="1"/>
  <c r="I1186" i="23"/>
  <c r="I1178" i="23"/>
  <c r="I1177" i="23"/>
  <c r="I1176" i="23"/>
  <c r="Z501" i="23" l="1"/>
  <c r="AE1482" i="23" l="1"/>
  <c r="AE1484" i="23"/>
  <c r="AG1484" i="23"/>
  <c r="AG1430" i="23"/>
  <c r="AE1557" i="23"/>
  <c r="AE1555" i="23"/>
  <c r="AG1555" i="23"/>
  <c r="BU557" i="23" l="1"/>
  <c r="BU1482" i="23"/>
  <c r="BW411" i="23"/>
  <c r="BW486" i="23"/>
  <c r="BU486" i="23"/>
  <c r="Y804" i="23"/>
  <c r="Y701" i="23"/>
  <c r="BU501" i="23"/>
  <c r="BU567" i="23"/>
  <c r="BU410" i="23"/>
  <c r="BU789" i="23"/>
  <c r="BU1549" i="23"/>
  <c r="BU565" i="23"/>
  <c r="BU1253" i="23"/>
  <c r="BY1449" i="23"/>
  <c r="BW1449" i="23"/>
  <c r="BU1449" i="23"/>
  <c r="BU994" i="23"/>
  <c r="BU260" i="23"/>
  <c r="BU1319" i="23"/>
  <c r="BU250" i="23"/>
  <c r="BW1589" i="23"/>
  <c r="BU725" i="23" l="1"/>
  <c r="BU719" i="23"/>
  <c r="I1598" i="23" l="1"/>
  <c r="I1596" i="23"/>
  <c r="K1496" i="23"/>
  <c r="I1496" i="23"/>
  <c r="I1594" i="23"/>
  <c r="I1593" i="23"/>
  <c r="I1501" i="23"/>
  <c r="I1500" i="23"/>
  <c r="W70" i="23"/>
  <c r="W66" i="23"/>
  <c r="W52" i="23"/>
  <c r="W53" i="23"/>
  <c r="Y789" i="23"/>
  <c r="W309" i="23"/>
  <c r="W303" i="23"/>
  <c r="W319" i="23"/>
  <c r="W308" i="23"/>
  <c r="Z449" i="23"/>
  <c r="Y557" i="23"/>
  <c r="W173" i="23"/>
  <c r="W172" i="23"/>
  <c r="W171" i="23"/>
  <c r="W176" i="23"/>
  <c r="W174" i="23"/>
  <c r="W224" i="23"/>
  <c r="W226" i="23"/>
  <c r="W225" i="23"/>
  <c r="W229" i="23"/>
  <c r="W230" i="23"/>
  <c r="AA1497" i="23" l="1"/>
  <c r="Y1497" i="23"/>
  <c r="Y1599" i="23"/>
  <c r="AA1449" i="23" l="1"/>
  <c r="Z1449" i="23"/>
  <c r="Y1449" i="23"/>
  <c r="Y510" i="23"/>
  <c r="Y1038" i="23"/>
  <c r="Y1267" i="23"/>
  <c r="Y873" i="23"/>
  <c r="CC365" i="23" l="1"/>
  <c r="CB365" i="23"/>
  <c r="CA365" i="23"/>
  <c r="BZ365" i="23"/>
  <c r="BL365" i="23"/>
  <c r="BF365" i="23"/>
  <c r="AZ365" i="23"/>
  <c r="AT365" i="23"/>
  <c r="AN365" i="23"/>
  <c r="AH365" i="23"/>
  <c r="AB365" i="23"/>
  <c r="R365" i="23"/>
  <c r="L365" i="23"/>
  <c r="H365" i="23"/>
  <c r="CC364" i="23"/>
  <c r="CB364" i="23"/>
  <c r="CA364" i="23"/>
  <c r="BZ364" i="23"/>
  <c r="BL364" i="23"/>
  <c r="BF364" i="23"/>
  <c r="AZ364" i="23"/>
  <c r="AT364" i="23"/>
  <c r="AN364" i="23"/>
  <c r="AH364" i="23"/>
  <c r="AB364" i="23"/>
  <c r="R364" i="23"/>
  <c r="L364" i="23"/>
  <c r="CC363" i="23"/>
  <c r="CB363" i="23"/>
  <c r="CA363" i="23"/>
  <c r="BZ363" i="23"/>
  <c r="BL363" i="23"/>
  <c r="BF363" i="23"/>
  <c r="AZ363" i="23"/>
  <c r="AT363" i="23"/>
  <c r="AN363" i="23"/>
  <c r="AH363" i="23"/>
  <c r="AB363" i="23"/>
  <c r="R363" i="23"/>
  <c r="L363" i="23"/>
  <c r="CC362" i="23"/>
  <c r="CB362" i="23"/>
  <c r="CA362" i="23"/>
  <c r="BZ362" i="23"/>
  <c r="BL362" i="23"/>
  <c r="BF362" i="23"/>
  <c r="AZ362" i="23"/>
  <c r="AT362" i="23"/>
  <c r="AN362" i="23"/>
  <c r="AH362" i="23"/>
  <c r="AB362" i="23"/>
  <c r="R362" i="23"/>
  <c r="L362" i="23"/>
  <c r="H362" i="23"/>
  <c r="CC361" i="23"/>
  <c r="CB361" i="23"/>
  <c r="CA361" i="23"/>
  <c r="BZ361" i="23"/>
  <c r="BL361" i="23"/>
  <c r="BF361" i="23"/>
  <c r="AZ361" i="23"/>
  <c r="AT361" i="23"/>
  <c r="AN361" i="23"/>
  <c r="AH361" i="23"/>
  <c r="AB361" i="23"/>
  <c r="R361" i="23"/>
  <c r="L361" i="23"/>
  <c r="CC360" i="23"/>
  <c r="CB360" i="23"/>
  <c r="CA360" i="23"/>
  <c r="BZ360" i="23"/>
  <c r="BL360" i="23"/>
  <c r="BF360" i="23"/>
  <c r="AZ360" i="23"/>
  <c r="AT360" i="23"/>
  <c r="AN360" i="23"/>
  <c r="AH360" i="23"/>
  <c r="AB360" i="23"/>
  <c r="R360" i="23"/>
  <c r="L360" i="23"/>
  <c r="CC359" i="23"/>
  <c r="CB359" i="23"/>
  <c r="CA359" i="23"/>
  <c r="BZ359" i="23"/>
  <c r="BL359" i="23"/>
  <c r="BF359" i="23"/>
  <c r="AZ359" i="23"/>
  <c r="AT359" i="23"/>
  <c r="AN359" i="23"/>
  <c r="AH359" i="23"/>
  <c r="AB359" i="23"/>
  <c r="R359" i="23"/>
  <c r="L359" i="23"/>
  <c r="CC358" i="23"/>
  <c r="CB358" i="23"/>
  <c r="CA358" i="23"/>
  <c r="BZ358" i="23"/>
  <c r="BL358" i="23"/>
  <c r="BF358" i="23"/>
  <c r="AZ358" i="23"/>
  <c r="AT358" i="23"/>
  <c r="AN358" i="23"/>
  <c r="AH358" i="23"/>
  <c r="AB358" i="23"/>
  <c r="R358" i="23"/>
  <c r="L358" i="23"/>
  <c r="CC357" i="23"/>
  <c r="CB357" i="23"/>
  <c r="CA357" i="23"/>
  <c r="BZ357" i="23"/>
  <c r="BL357" i="23"/>
  <c r="BF357" i="23"/>
  <c r="AZ357" i="23"/>
  <c r="AT357" i="23"/>
  <c r="AN357" i="23"/>
  <c r="AH357" i="23"/>
  <c r="AB357" i="23"/>
  <c r="R357" i="23"/>
  <c r="L357" i="23"/>
  <c r="CC356" i="23"/>
  <c r="CB356" i="23"/>
  <c r="CA356" i="23"/>
  <c r="BZ356" i="23"/>
  <c r="BL356" i="23"/>
  <c r="BF356" i="23"/>
  <c r="AZ356" i="23"/>
  <c r="AT356" i="23"/>
  <c r="AN356" i="23"/>
  <c r="AH356" i="23"/>
  <c r="AB356" i="23"/>
  <c r="R356" i="23"/>
  <c r="L356" i="23"/>
  <c r="CC355" i="23"/>
  <c r="CB355" i="23"/>
  <c r="CA355" i="23"/>
  <c r="BZ355" i="23"/>
  <c r="BL355" i="23"/>
  <c r="BF355" i="23"/>
  <c r="AZ355" i="23"/>
  <c r="AT355" i="23"/>
  <c r="AN355" i="23"/>
  <c r="AH355" i="23"/>
  <c r="AB355" i="23"/>
  <c r="R355" i="23"/>
  <c r="L355" i="23"/>
  <c r="CD361" i="23" l="1"/>
  <c r="CD364" i="23"/>
  <c r="CD365" i="23"/>
  <c r="CE365" i="23" s="1"/>
  <c r="CE361" i="23"/>
  <c r="CD356" i="23"/>
  <c r="CE356" i="23" s="1"/>
  <c r="CE364" i="23"/>
  <c r="BM362" i="23"/>
  <c r="BM365" i="23"/>
  <c r="CD355" i="23"/>
  <c r="CE355" i="23" s="1"/>
  <c r="CD360" i="23"/>
  <c r="CE360" i="23" s="1"/>
  <c r="CD363" i="23"/>
  <c r="CE363" i="23" s="1"/>
  <c r="CD357" i="23"/>
  <c r="CE357" i="23" s="1"/>
  <c r="CD359" i="23"/>
  <c r="CE359" i="23" s="1"/>
  <c r="CD362" i="23"/>
  <c r="CE362" i="23" s="1"/>
  <c r="CD358" i="23"/>
  <c r="CE358" i="23" s="1"/>
  <c r="Y1411" i="23" l="1"/>
  <c r="Y501" i="23"/>
  <c r="Z486" i="23"/>
  <c r="Y486" i="23"/>
  <c r="Z411" i="23"/>
  <c r="Y567" i="23"/>
  <c r="Y1549" i="23"/>
  <c r="Y1253" i="23"/>
  <c r="Y727" i="23"/>
  <c r="BK410" i="23"/>
  <c r="Y722" i="23"/>
  <c r="Y484" i="23"/>
  <c r="W744" i="23"/>
  <c r="W745" i="23"/>
  <c r="W829" i="23"/>
  <c r="W151" i="23"/>
  <c r="W157" i="23"/>
  <c r="W163" i="23"/>
  <c r="BU21" i="23" l="1"/>
  <c r="BU464" i="23"/>
  <c r="BU484" i="23"/>
  <c r="BU727" i="23"/>
  <c r="BU494" i="23"/>
  <c r="BU1589" i="23"/>
  <c r="BU991" i="23" l="1"/>
  <c r="BY1603" i="23"/>
  <c r="BU1603" i="23"/>
  <c r="BW485" i="23"/>
  <c r="BU485" i="23"/>
  <c r="BU503" i="23"/>
  <c r="BU16" i="23"/>
  <c r="CC672" i="23" l="1"/>
  <c r="CB672" i="23"/>
  <c r="CA672" i="23"/>
  <c r="BZ672" i="23"/>
  <c r="BL672" i="23"/>
  <c r="BF672" i="23"/>
  <c r="AZ672" i="23"/>
  <c r="AT672" i="23"/>
  <c r="AN672" i="23"/>
  <c r="AH672" i="23"/>
  <c r="AB672" i="23"/>
  <c r="R672" i="23"/>
  <c r="L672" i="23"/>
  <c r="CD672" i="23" l="1"/>
  <c r="CE672" i="23" s="1"/>
  <c r="I439" i="23"/>
  <c r="I438" i="23"/>
  <c r="I437" i="23"/>
  <c r="I436" i="23"/>
  <c r="I435" i="23"/>
  <c r="I434" i="23"/>
  <c r="K1426" i="23"/>
  <c r="I1426" i="23"/>
  <c r="AG1482" i="23" l="1"/>
  <c r="W68" i="23"/>
  <c r="W600" i="23"/>
  <c r="W841" i="23"/>
  <c r="Z510" i="23" l="1"/>
  <c r="Z494" i="23"/>
  <c r="Y494" i="23"/>
  <c r="Y725" i="23"/>
  <c r="Z1489" i="23"/>
  <c r="Z1483" i="23"/>
  <c r="Y1483" i="23"/>
  <c r="Y263" i="23"/>
  <c r="Y260" i="23"/>
  <c r="Y250" i="23"/>
  <c r="Y1589" i="23"/>
  <c r="Y1627" i="23"/>
  <c r="I1024" i="23" l="1"/>
  <c r="I1076" i="23" l="1"/>
  <c r="I1075" i="23"/>
  <c r="I1074" i="23"/>
  <c r="I1073" i="23"/>
  <c r="I1023" i="23"/>
  <c r="I1022" i="23"/>
  <c r="I1021" i="23"/>
  <c r="I1020" i="23"/>
  <c r="J984" i="23" l="1"/>
  <c r="I984" i="23"/>
  <c r="J985" i="23"/>
  <c r="I985" i="23"/>
  <c r="W160" i="23" l="1"/>
  <c r="W219" i="23"/>
  <c r="W149" i="23"/>
  <c r="W156" i="23"/>
  <c r="W218" i="23"/>
  <c r="W147" i="23"/>
  <c r="W154" i="23"/>
  <c r="W613" i="23"/>
  <c r="W1543" i="23"/>
  <c r="W1556" i="23"/>
  <c r="BW267" i="23" l="1"/>
  <c r="BU54" i="23" l="1"/>
  <c r="BU708" i="23"/>
  <c r="W1474" i="23" l="1"/>
  <c r="W1476" i="23"/>
  <c r="AA1603" i="23"/>
  <c r="Y1603" i="23"/>
  <c r="Y1480" i="23"/>
  <c r="Y1484" i="23"/>
  <c r="Y1482" i="23"/>
  <c r="Y1452" i="23"/>
  <c r="Y465" i="23"/>
  <c r="CC238" i="23" l="1"/>
  <c r="CB238" i="23"/>
  <c r="CA238" i="23"/>
  <c r="BZ238" i="23"/>
  <c r="BL238" i="23"/>
  <c r="BF238" i="23"/>
  <c r="AZ238" i="23"/>
  <c r="AT238" i="23"/>
  <c r="AN238" i="23"/>
  <c r="AH238" i="23"/>
  <c r="AB238" i="23"/>
  <c r="R238" i="23"/>
  <c r="L238" i="23"/>
  <c r="CC237" i="23"/>
  <c r="CB237" i="23"/>
  <c r="CA237" i="23"/>
  <c r="BZ237" i="23"/>
  <c r="BL237" i="23"/>
  <c r="BF237" i="23"/>
  <c r="AZ237" i="23"/>
  <c r="AT237" i="23"/>
  <c r="AN237" i="23"/>
  <c r="AH237" i="23"/>
  <c r="AB237" i="23"/>
  <c r="R237" i="23"/>
  <c r="L237" i="23"/>
  <c r="CC236" i="23"/>
  <c r="CB236" i="23"/>
  <c r="CA236" i="23"/>
  <c r="BZ236" i="23"/>
  <c r="BL236" i="23"/>
  <c r="BF236" i="23"/>
  <c r="AZ236" i="23"/>
  <c r="AT236" i="23"/>
  <c r="AN236" i="23"/>
  <c r="AH236" i="23"/>
  <c r="AB236" i="23"/>
  <c r="R236" i="23"/>
  <c r="L236" i="23"/>
  <c r="CC671" i="23"/>
  <c r="CB671" i="23"/>
  <c r="CA671" i="23"/>
  <c r="BZ671" i="23"/>
  <c r="BL671" i="23"/>
  <c r="BF671" i="23"/>
  <c r="AZ671" i="23"/>
  <c r="AT671" i="23"/>
  <c r="AN671" i="23"/>
  <c r="AH671" i="23"/>
  <c r="AB671" i="23"/>
  <c r="R671" i="23"/>
  <c r="L671" i="23"/>
  <c r="CC670" i="23"/>
  <c r="CB670" i="23"/>
  <c r="CA670" i="23"/>
  <c r="BZ670" i="23"/>
  <c r="BL670" i="23"/>
  <c r="BF670" i="23"/>
  <c r="AZ670" i="23"/>
  <c r="AT670" i="23"/>
  <c r="AN670" i="23"/>
  <c r="AH670" i="23"/>
  <c r="AB670" i="23"/>
  <c r="R670" i="23"/>
  <c r="L670" i="23"/>
  <c r="CC669" i="23"/>
  <c r="CB669" i="23"/>
  <c r="CA669" i="23"/>
  <c r="BZ669" i="23"/>
  <c r="BL669" i="23"/>
  <c r="BF669" i="23"/>
  <c r="AZ669" i="23"/>
  <c r="AT669" i="23"/>
  <c r="AN669" i="23"/>
  <c r="AH669" i="23"/>
  <c r="AB669" i="23"/>
  <c r="R669" i="23"/>
  <c r="L669" i="23"/>
  <c r="CC668" i="23"/>
  <c r="CB668" i="23"/>
  <c r="CA668" i="23"/>
  <c r="BZ668" i="23"/>
  <c r="BL668" i="23"/>
  <c r="BF668" i="23"/>
  <c r="AZ668" i="23"/>
  <c r="AT668" i="23"/>
  <c r="AN668" i="23"/>
  <c r="AH668" i="23"/>
  <c r="AB668" i="23"/>
  <c r="R668" i="23"/>
  <c r="L668" i="23"/>
  <c r="CC667" i="23"/>
  <c r="CB667" i="23"/>
  <c r="CA667" i="23"/>
  <c r="BZ667" i="23"/>
  <c r="BL667" i="23"/>
  <c r="BF667" i="23"/>
  <c r="AZ667" i="23"/>
  <c r="AT667" i="23"/>
  <c r="AN667" i="23"/>
  <c r="AH667" i="23"/>
  <c r="AB667" i="23"/>
  <c r="R667" i="23"/>
  <c r="L667" i="23"/>
  <c r="CC630" i="23"/>
  <c r="CB630" i="23"/>
  <c r="CA630" i="23"/>
  <c r="BZ630" i="23"/>
  <c r="BL630" i="23"/>
  <c r="BF630" i="23"/>
  <c r="AZ630" i="23"/>
  <c r="AT630" i="23"/>
  <c r="AN630" i="23"/>
  <c r="AH630" i="23"/>
  <c r="AB630" i="23"/>
  <c r="R630" i="23"/>
  <c r="L630" i="23"/>
  <c r="CC629" i="23"/>
  <c r="CB629" i="23"/>
  <c r="CA629" i="23"/>
  <c r="BZ629" i="23"/>
  <c r="BL629" i="23"/>
  <c r="BF629" i="23"/>
  <c r="AZ629" i="23"/>
  <c r="AT629" i="23"/>
  <c r="AN629" i="23"/>
  <c r="AH629" i="23"/>
  <c r="AB629" i="23"/>
  <c r="R629" i="23"/>
  <c r="L629" i="23"/>
  <c r="CD236" i="23" l="1"/>
  <c r="CE236" i="23" s="1"/>
  <c r="CD667" i="23"/>
  <c r="CE667" i="23" s="1"/>
  <c r="CD671" i="23"/>
  <c r="CE671" i="23" s="1"/>
  <c r="CD237" i="23"/>
  <c r="CE237" i="23" s="1"/>
  <c r="CD238" i="23"/>
  <c r="CE238" i="23" s="1"/>
  <c r="CD670" i="23"/>
  <c r="CE670" i="23" s="1"/>
  <c r="CD669" i="23"/>
  <c r="CE669" i="23" s="1"/>
  <c r="CD668" i="23"/>
  <c r="CE668" i="23" s="1"/>
  <c r="CD630" i="23"/>
  <c r="CE630" i="23" s="1"/>
  <c r="CD629" i="23"/>
  <c r="CE629" i="23" s="1"/>
  <c r="Y1445" i="23"/>
  <c r="W131" i="23"/>
  <c r="W130" i="23"/>
  <c r="W148" i="23"/>
  <c r="W155" i="23"/>
  <c r="AA1623" i="23" l="1"/>
  <c r="Y1623" i="23"/>
  <c r="BU1624" i="23"/>
  <c r="BU272" i="23" l="1"/>
  <c r="BU449" i="23"/>
  <c r="BW1505" i="23"/>
  <c r="BU1265" i="23"/>
  <c r="BU794" i="23"/>
  <c r="BW520" i="23"/>
  <c r="BU81" i="23"/>
  <c r="K1569" i="23" l="1"/>
  <c r="I1569" i="23"/>
  <c r="AE994" i="23" l="1"/>
  <c r="Y500" i="23" l="1"/>
  <c r="Z485" i="23"/>
  <c r="Y485" i="23"/>
  <c r="Z503" i="23"/>
  <c r="Y503" i="23"/>
  <c r="Y569" i="23"/>
  <c r="Y1555" i="23"/>
  <c r="Y1557" i="23"/>
  <c r="Y1507" i="23"/>
  <c r="W1486" i="23" l="1"/>
  <c r="W159" i="23"/>
  <c r="W158" i="23"/>
  <c r="W150" i="23"/>
  <c r="W142" i="23"/>
  <c r="W165" i="23"/>
  <c r="W164" i="23"/>
  <c r="W168" i="23"/>
  <c r="W167" i="23"/>
  <c r="W276" i="23"/>
  <c r="W298" i="23"/>
  <c r="W297" i="23"/>
  <c r="AY255" i="23"/>
  <c r="AE1480" i="23"/>
  <c r="AG1413" i="23" l="1"/>
  <c r="Y400" i="23" l="1"/>
  <c r="Z1505" i="23" l="1"/>
  <c r="AW255" i="23" l="1"/>
  <c r="AS255" i="23"/>
  <c r="W426" i="23"/>
  <c r="W425" i="23"/>
  <c r="W886" i="23"/>
  <c r="W885" i="23"/>
  <c r="W838" i="23"/>
  <c r="W65" i="23"/>
  <c r="W57" i="23"/>
  <c r="W67" i="23"/>
  <c r="BU1434" i="23" l="1"/>
  <c r="BU1435" i="23"/>
  <c r="Z520" i="23"/>
  <c r="BU520" i="23" l="1"/>
  <c r="Y520" i="23"/>
  <c r="BU1494" i="23"/>
  <c r="BU266" i="23"/>
  <c r="BU716" i="23" l="1"/>
  <c r="CC235" i="23" l="1"/>
  <c r="CB235" i="23"/>
  <c r="CA235" i="23"/>
  <c r="BZ235" i="23"/>
  <c r="BL235" i="23"/>
  <c r="BF235" i="23"/>
  <c r="AZ235" i="23"/>
  <c r="AT235" i="23"/>
  <c r="AN235" i="23"/>
  <c r="AH235" i="23"/>
  <c r="AB235" i="23"/>
  <c r="R235" i="23"/>
  <c r="L235" i="23"/>
  <c r="CC234" i="23"/>
  <c r="CB234" i="23"/>
  <c r="CA234" i="23"/>
  <c r="BZ234" i="23"/>
  <c r="BL234" i="23"/>
  <c r="BF234" i="23"/>
  <c r="AZ234" i="23"/>
  <c r="AT234" i="23"/>
  <c r="AN234" i="23"/>
  <c r="AH234" i="23"/>
  <c r="AB234" i="23"/>
  <c r="R234" i="23"/>
  <c r="L234" i="23"/>
  <c r="CC233" i="23"/>
  <c r="CB233" i="23"/>
  <c r="CA233" i="23"/>
  <c r="BZ233" i="23"/>
  <c r="BL233" i="23"/>
  <c r="BF233" i="23"/>
  <c r="AZ233" i="23"/>
  <c r="AT233" i="23"/>
  <c r="AN233" i="23"/>
  <c r="AH233" i="23"/>
  <c r="AB233" i="23"/>
  <c r="R233" i="23"/>
  <c r="L233" i="23"/>
  <c r="CC232" i="23"/>
  <c r="CB232" i="23"/>
  <c r="CA232" i="23"/>
  <c r="BZ232" i="23"/>
  <c r="BL232" i="23"/>
  <c r="BF232" i="23"/>
  <c r="AZ232" i="23"/>
  <c r="AT232" i="23"/>
  <c r="AN232" i="23"/>
  <c r="AH232" i="23"/>
  <c r="AB232" i="23"/>
  <c r="R232" i="23"/>
  <c r="L232" i="23"/>
  <c r="CC231" i="23"/>
  <c r="CB231" i="23"/>
  <c r="CA231" i="23"/>
  <c r="BZ231" i="23"/>
  <c r="BL231" i="23"/>
  <c r="BF231" i="23"/>
  <c r="AZ231" i="23"/>
  <c r="AT231" i="23"/>
  <c r="AN231" i="23"/>
  <c r="AH231" i="23"/>
  <c r="AB231" i="23"/>
  <c r="R231" i="23"/>
  <c r="L231" i="23"/>
  <c r="CC230" i="23"/>
  <c r="CB230" i="23"/>
  <c r="CA230" i="23"/>
  <c r="BZ230" i="23"/>
  <c r="BL230" i="23"/>
  <c r="BF230" i="23"/>
  <c r="AZ230" i="23"/>
  <c r="AT230" i="23"/>
  <c r="AN230" i="23"/>
  <c r="AH230" i="23"/>
  <c r="AB230" i="23"/>
  <c r="R230" i="23"/>
  <c r="L230" i="23"/>
  <c r="CC229" i="23"/>
  <c r="CB229" i="23"/>
  <c r="CA229" i="23"/>
  <c r="BZ229" i="23"/>
  <c r="BL229" i="23"/>
  <c r="BF229" i="23"/>
  <c r="AZ229" i="23"/>
  <c r="AT229" i="23"/>
  <c r="AN229" i="23"/>
  <c r="AH229" i="23"/>
  <c r="AB229" i="23"/>
  <c r="R229" i="23"/>
  <c r="L229" i="23"/>
  <c r="CD229" i="23" l="1"/>
  <c r="CD235" i="23"/>
  <c r="CE235" i="23" s="1"/>
  <c r="CD232" i="23"/>
  <c r="CE232" i="23" s="1"/>
  <c r="CD234" i="23"/>
  <c r="CE234" i="23" s="1"/>
  <c r="CD233" i="23"/>
  <c r="CE233" i="23" s="1"/>
  <c r="CD230" i="23"/>
  <c r="CE230" i="23" s="1"/>
  <c r="CD231" i="23"/>
  <c r="CE231" i="23" s="1"/>
  <c r="CE229" i="23"/>
  <c r="Y449" i="23"/>
  <c r="CC1613" i="23" l="1"/>
  <c r="CB1613" i="23"/>
  <c r="CA1613" i="23"/>
  <c r="BZ1613" i="23"/>
  <c r="BL1613" i="23"/>
  <c r="BF1613" i="23"/>
  <c r="AZ1613" i="23"/>
  <c r="AT1613" i="23"/>
  <c r="AN1613" i="23"/>
  <c r="AH1613" i="23"/>
  <c r="AB1613" i="23"/>
  <c r="R1613" i="23"/>
  <c r="L1613" i="23"/>
  <c r="CC1612" i="23"/>
  <c r="CB1612" i="23"/>
  <c r="CA1612" i="23"/>
  <c r="BZ1612" i="23"/>
  <c r="BL1612" i="23"/>
  <c r="BF1612" i="23"/>
  <c r="AZ1612" i="23"/>
  <c r="AT1612" i="23"/>
  <c r="AN1612" i="23"/>
  <c r="AH1612" i="23"/>
  <c r="AB1612" i="23"/>
  <c r="R1612" i="23"/>
  <c r="L1612" i="23"/>
  <c r="CC1611" i="23"/>
  <c r="CB1611" i="23"/>
  <c r="CA1611" i="23"/>
  <c r="BZ1611" i="23"/>
  <c r="BL1611" i="23"/>
  <c r="BF1611" i="23"/>
  <c r="AZ1611" i="23"/>
  <c r="AT1611" i="23"/>
  <c r="AN1611" i="23"/>
  <c r="AH1611" i="23"/>
  <c r="AB1611" i="23"/>
  <c r="R1611" i="23"/>
  <c r="L1611" i="23"/>
  <c r="CC968" i="23"/>
  <c r="CB968" i="23"/>
  <c r="CA968" i="23"/>
  <c r="BZ968" i="23"/>
  <c r="BL968" i="23"/>
  <c r="BF968" i="23"/>
  <c r="AZ968" i="23"/>
  <c r="AT968" i="23"/>
  <c r="AN968" i="23"/>
  <c r="AH968" i="23"/>
  <c r="AB968" i="23"/>
  <c r="R968" i="23"/>
  <c r="L968" i="23"/>
  <c r="CC967" i="23"/>
  <c r="CB967" i="23"/>
  <c r="CA967" i="23"/>
  <c r="BZ967" i="23"/>
  <c r="BL967" i="23"/>
  <c r="BF967" i="23"/>
  <c r="AZ967" i="23"/>
  <c r="AT967" i="23"/>
  <c r="AN967" i="23"/>
  <c r="AH967" i="23"/>
  <c r="AB967" i="23"/>
  <c r="R967" i="23"/>
  <c r="L967" i="23"/>
  <c r="CC953" i="23"/>
  <c r="CB953" i="23"/>
  <c r="CA953" i="23"/>
  <c r="BZ953" i="23"/>
  <c r="BL953" i="23"/>
  <c r="BF953" i="23"/>
  <c r="AZ953" i="23"/>
  <c r="AT953" i="23"/>
  <c r="AN953" i="23"/>
  <c r="AH953" i="23"/>
  <c r="AB953" i="23"/>
  <c r="R953" i="23"/>
  <c r="L953" i="23"/>
  <c r="CC952" i="23"/>
  <c r="CB952" i="23"/>
  <c r="CA952" i="23"/>
  <c r="BZ952" i="23"/>
  <c r="BL952" i="23"/>
  <c r="BF952" i="23"/>
  <c r="AZ952" i="23"/>
  <c r="AT952" i="23"/>
  <c r="AN952" i="23"/>
  <c r="AH952" i="23"/>
  <c r="AB952" i="23"/>
  <c r="R952" i="23"/>
  <c r="L952" i="23"/>
  <c r="CC520" i="23"/>
  <c r="CB520" i="23"/>
  <c r="CA520" i="23"/>
  <c r="BZ520" i="23"/>
  <c r="BL520" i="23"/>
  <c r="BF520" i="23"/>
  <c r="AZ520" i="23"/>
  <c r="AT520" i="23"/>
  <c r="AN520" i="23"/>
  <c r="AH520" i="23"/>
  <c r="AB520" i="23"/>
  <c r="R520" i="23"/>
  <c r="L520" i="23"/>
  <c r="CC519" i="23"/>
  <c r="CB519" i="23"/>
  <c r="CA519" i="23"/>
  <c r="BZ519" i="23"/>
  <c r="BL519" i="23"/>
  <c r="BF519" i="23"/>
  <c r="AZ519" i="23"/>
  <c r="AT519" i="23"/>
  <c r="AN519" i="23"/>
  <c r="AH519" i="23"/>
  <c r="AB519" i="23"/>
  <c r="R519" i="23"/>
  <c r="L519" i="23"/>
  <c r="CC628" i="23"/>
  <c r="CB628" i="23"/>
  <c r="CA628" i="23"/>
  <c r="BZ628" i="23"/>
  <c r="BL628" i="23"/>
  <c r="BF628" i="23"/>
  <c r="AZ628" i="23"/>
  <c r="AT628" i="23"/>
  <c r="AN628" i="23"/>
  <c r="AH628" i="23"/>
  <c r="AB628" i="23"/>
  <c r="R628" i="23"/>
  <c r="L628" i="23"/>
  <c r="CC627" i="23"/>
  <c r="CB627" i="23"/>
  <c r="CA627" i="23"/>
  <c r="BZ627" i="23"/>
  <c r="BL627" i="23"/>
  <c r="BF627" i="23"/>
  <c r="AZ627" i="23"/>
  <c r="AT627" i="23"/>
  <c r="AN627" i="23"/>
  <c r="AH627" i="23"/>
  <c r="AB627" i="23"/>
  <c r="R627" i="23"/>
  <c r="L627" i="23"/>
  <c r="CC626" i="23"/>
  <c r="CB626" i="23"/>
  <c r="CA626" i="23"/>
  <c r="BZ626" i="23"/>
  <c r="BL626" i="23"/>
  <c r="BF626" i="23"/>
  <c r="AZ626" i="23"/>
  <c r="AT626" i="23"/>
  <c r="AN626" i="23"/>
  <c r="AH626" i="23"/>
  <c r="AB626" i="23"/>
  <c r="R626" i="23"/>
  <c r="L626" i="23"/>
  <c r="CC625" i="23"/>
  <c r="CB625" i="23"/>
  <c r="CA625" i="23"/>
  <c r="BZ625" i="23"/>
  <c r="BL625" i="23"/>
  <c r="BF625" i="23"/>
  <c r="AZ625" i="23"/>
  <c r="AT625" i="23"/>
  <c r="AN625" i="23"/>
  <c r="AH625" i="23"/>
  <c r="AB625" i="23"/>
  <c r="R625" i="23"/>
  <c r="L625" i="23"/>
  <c r="CC624" i="23"/>
  <c r="CB624" i="23"/>
  <c r="CA624" i="23"/>
  <c r="BZ624" i="23"/>
  <c r="BL624" i="23"/>
  <c r="BF624" i="23"/>
  <c r="AZ624" i="23"/>
  <c r="AT624" i="23"/>
  <c r="AN624" i="23"/>
  <c r="AH624" i="23"/>
  <c r="AB624" i="23"/>
  <c r="R624" i="23"/>
  <c r="L624" i="23"/>
  <c r="CC666" i="23"/>
  <c r="CB666" i="23"/>
  <c r="CA666" i="23"/>
  <c r="BZ666" i="23"/>
  <c r="BL666" i="23"/>
  <c r="BF666" i="23"/>
  <c r="AZ666" i="23"/>
  <c r="AT666" i="23"/>
  <c r="AN666" i="23"/>
  <c r="AH666" i="23"/>
  <c r="AB666" i="23"/>
  <c r="R666" i="23"/>
  <c r="L666" i="23"/>
  <c r="CC665" i="23"/>
  <c r="CB665" i="23"/>
  <c r="CA665" i="23"/>
  <c r="BZ665" i="23"/>
  <c r="BL665" i="23"/>
  <c r="BF665" i="23"/>
  <c r="AZ665" i="23"/>
  <c r="AT665" i="23"/>
  <c r="AN665" i="23"/>
  <c r="AH665" i="23"/>
  <c r="AB665" i="23"/>
  <c r="R665" i="23"/>
  <c r="L665" i="23"/>
  <c r="CC664" i="23"/>
  <c r="CB664" i="23"/>
  <c r="CA664" i="23"/>
  <c r="BZ664" i="23"/>
  <c r="BL664" i="23"/>
  <c r="BF664" i="23"/>
  <c r="AZ664" i="23"/>
  <c r="AT664" i="23"/>
  <c r="AN664" i="23"/>
  <c r="AH664" i="23"/>
  <c r="AB664" i="23"/>
  <c r="R664" i="23"/>
  <c r="L664" i="23"/>
  <c r="CC663" i="23"/>
  <c r="CB663" i="23"/>
  <c r="CA663" i="23"/>
  <c r="BZ663" i="23"/>
  <c r="BL663" i="23"/>
  <c r="BF663" i="23"/>
  <c r="AZ663" i="23"/>
  <c r="AT663" i="23"/>
  <c r="AN663" i="23"/>
  <c r="AH663" i="23"/>
  <c r="AB663" i="23"/>
  <c r="R663" i="23"/>
  <c r="L663" i="23"/>
  <c r="CC662" i="23"/>
  <c r="CB662" i="23"/>
  <c r="CA662" i="23"/>
  <c r="BZ662" i="23"/>
  <c r="BL662" i="23"/>
  <c r="BF662" i="23"/>
  <c r="AZ662" i="23"/>
  <c r="AT662" i="23"/>
  <c r="AN662" i="23"/>
  <c r="AH662" i="23"/>
  <c r="AB662" i="23"/>
  <c r="R662" i="23"/>
  <c r="L662" i="23"/>
  <c r="CC661" i="23"/>
  <c r="CB661" i="23"/>
  <c r="CA661" i="23"/>
  <c r="BZ661" i="23"/>
  <c r="BL661" i="23"/>
  <c r="BF661" i="23"/>
  <c r="AZ661" i="23"/>
  <c r="AT661" i="23"/>
  <c r="AN661" i="23"/>
  <c r="AH661" i="23"/>
  <c r="AB661" i="23"/>
  <c r="R661" i="23"/>
  <c r="L661" i="23"/>
  <c r="CC660" i="23"/>
  <c r="CB660" i="23"/>
  <c r="CA660" i="23"/>
  <c r="BZ660" i="23"/>
  <c r="BL660" i="23"/>
  <c r="BF660" i="23"/>
  <c r="AZ660" i="23"/>
  <c r="AT660" i="23"/>
  <c r="AN660" i="23"/>
  <c r="AH660" i="23"/>
  <c r="AB660" i="23"/>
  <c r="R660" i="23"/>
  <c r="L660" i="23"/>
  <c r="CC659" i="23"/>
  <c r="CB659" i="23"/>
  <c r="CA659" i="23"/>
  <c r="BZ659" i="23"/>
  <c r="BL659" i="23"/>
  <c r="BF659" i="23"/>
  <c r="AZ659" i="23"/>
  <c r="AT659" i="23"/>
  <c r="AN659" i="23"/>
  <c r="AH659" i="23"/>
  <c r="AB659" i="23"/>
  <c r="R659" i="23"/>
  <c r="L659" i="23"/>
  <c r="CC658" i="23"/>
  <c r="CB658" i="23"/>
  <c r="CA658" i="23"/>
  <c r="BZ658" i="23"/>
  <c r="BL658" i="23"/>
  <c r="BF658" i="23"/>
  <c r="AZ658" i="23"/>
  <c r="AT658" i="23"/>
  <c r="AN658" i="23"/>
  <c r="AH658" i="23"/>
  <c r="AB658" i="23"/>
  <c r="R658" i="23"/>
  <c r="L658" i="23"/>
  <c r="CD1613" i="23" l="1"/>
  <c r="CE1613" i="23" s="1"/>
  <c r="CD626" i="23"/>
  <c r="CE626" i="23" s="1"/>
  <c r="CD1612" i="23"/>
  <c r="CE1612" i="23" s="1"/>
  <c r="CD625" i="23"/>
  <c r="CE625" i="23" s="1"/>
  <c r="CD664" i="23"/>
  <c r="CE664" i="23" s="1"/>
  <c r="CD520" i="23"/>
  <c r="CE520" i="23" s="1"/>
  <c r="CD968" i="23"/>
  <c r="CE968" i="23" s="1"/>
  <c r="CD519" i="23"/>
  <c r="CE519" i="23" s="1"/>
  <c r="CD660" i="23"/>
  <c r="CE660" i="23" s="1"/>
  <c r="CD662" i="23"/>
  <c r="CE662" i="23" s="1"/>
  <c r="CD661" i="23"/>
  <c r="CE661" i="23" s="1"/>
  <c r="CD658" i="23"/>
  <c r="CE658" i="23" s="1"/>
  <c r="CD666" i="23"/>
  <c r="CE666" i="23" s="1"/>
  <c r="CD663" i="23"/>
  <c r="CE663" i="23" s="1"/>
  <c r="CD952" i="23"/>
  <c r="CE952" i="23" s="1"/>
  <c r="CD665" i="23"/>
  <c r="CE665" i="23" s="1"/>
  <c r="CD967" i="23"/>
  <c r="CE967" i="23" s="1"/>
  <c r="CD627" i="23"/>
  <c r="CE627" i="23" s="1"/>
  <c r="CD659" i="23"/>
  <c r="CE659" i="23" s="1"/>
  <c r="CD624" i="23"/>
  <c r="CE624" i="23" s="1"/>
  <c r="CD1611" i="23"/>
  <c r="CE1611" i="23" s="1"/>
  <c r="CD953" i="23"/>
  <c r="CE953" i="23" s="1"/>
  <c r="CD628" i="23"/>
  <c r="CE628" i="23" s="1"/>
  <c r="Y708" i="23"/>
  <c r="W1549" i="23" l="1"/>
  <c r="W1550" i="23"/>
  <c r="W1505" i="23"/>
  <c r="W111" i="23"/>
  <c r="I601" i="23" l="1"/>
  <c r="I600" i="23"/>
  <c r="I599" i="23"/>
  <c r="CC623" i="23"/>
  <c r="CB623" i="23"/>
  <c r="BZ623" i="23"/>
  <c r="BM623" i="23" s="1"/>
  <c r="BL623" i="23"/>
  <c r="BF623" i="23"/>
  <c r="AZ623" i="23"/>
  <c r="AT623" i="23"/>
  <c r="AN623" i="23"/>
  <c r="AH623" i="23"/>
  <c r="AB623" i="23"/>
  <c r="R623" i="23"/>
  <c r="CC622" i="23"/>
  <c r="CB622" i="23"/>
  <c r="BZ622" i="23"/>
  <c r="BM622" i="23" s="1"/>
  <c r="BL622" i="23"/>
  <c r="BF622" i="23"/>
  <c r="AZ622" i="23"/>
  <c r="AT622" i="23"/>
  <c r="AN622" i="23"/>
  <c r="AH622" i="23"/>
  <c r="AB622" i="23"/>
  <c r="R622" i="23"/>
  <c r="CC621" i="23"/>
  <c r="CB621" i="23"/>
  <c r="BZ621" i="23"/>
  <c r="BM621" i="23" s="1"/>
  <c r="BL621" i="23"/>
  <c r="BF621" i="23"/>
  <c r="AZ621" i="23"/>
  <c r="AT621" i="23"/>
  <c r="AN621" i="23"/>
  <c r="AH621" i="23"/>
  <c r="AB621" i="23"/>
  <c r="R621" i="23"/>
  <c r="CC620" i="23"/>
  <c r="CB620" i="23"/>
  <c r="BZ620" i="23"/>
  <c r="BM620" i="23" s="1"/>
  <c r="BL620" i="23"/>
  <c r="BF620" i="23"/>
  <c r="AZ620" i="23"/>
  <c r="AT620" i="23"/>
  <c r="AN620" i="23"/>
  <c r="AH620" i="23"/>
  <c r="AB620" i="23"/>
  <c r="R620" i="23"/>
  <c r="CC619" i="23"/>
  <c r="CB619" i="23"/>
  <c r="BZ619" i="23"/>
  <c r="BM619" i="23" s="1"/>
  <c r="BL619" i="23"/>
  <c r="BF619" i="23"/>
  <c r="AZ619" i="23"/>
  <c r="AT619" i="23"/>
  <c r="AN619" i="23"/>
  <c r="AH619" i="23"/>
  <c r="AB619" i="23"/>
  <c r="R619" i="23"/>
  <c r="K517" i="23"/>
  <c r="J517" i="23"/>
  <c r="I517" i="23"/>
  <c r="K516" i="23"/>
  <c r="J516" i="23"/>
  <c r="I516" i="23"/>
  <c r="I1065" i="23"/>
  <c r="I1064" i="23"/>
  <c r="I1063" i="23"/>
  <c r="CD623" i="23" l="1"/>
  <c r="CE623" i="23" s="1"/>
  <c r="CD619" i="23"/>
  <c r="CE619" i="23" s="1"/>
  <c r="CD620" i="23"/>
  <c r="CE620" i="23" s="1"/>
  <c r="CD621" i="23"/>
  <c r="CE621" i="23" s="1"/>
  <c r="CD622" i="23"/>
  <c r="CE622" i="23" s="1"/>
  <c r="W770" i="23"/>
  <c r="W706" i="23"/>
  <c r="W488" i="23"/>
  <c r="W574" i="23"/>
  <c r="W732" i="23"/>
  <c r="W420" i="23"/>
  <c r="W418" i="23"/>
  <c r="AG1624" i="23"/>
  <c r="BU1479" i="23"/>
  <c r="BW1479" i="23"/>
  <c r="BU682" i="23"/>
  <c r="BY1505" i="23"/>
  <c r="BU1217" i="23"/>
  <c r="BU267" i="23"/>
  <c r="BU1554" i="23"/>
  <c r="BU298" i="23"/>
  <c r="BU297" i="23"/>
  <c r="BW503" i="23"/>
  <c r="AA1505" i="23" l="1"/>
  <c r="Y565" i="23"/>
  <c r="Y682" i="23"/>
  <c r="CC618" i="23" l="1"/>
  <c r="CB618" i="23"/>
  <c r="CA618" i="23"/>
  <c r="BZ618" i="23"/>
  <c r="BL618" i="23"/>
  <c r="BF618" i="23"/>
  <c r="AZ618" i="23"/>
  <c r="AT618" i="23"/>
  <c r="AN618" i="23"/>
  <c r="AH618" i="23"/>
  <c r="AB618" i="23"/>
  <c r="R618" i="23"/>
  <c r="L618" i="23"/>
  <c r="CC617" i="23"/>
  <c r="CB617" i="23"/>
  <c r="CA617" i="23"/>
  <c r="BZ617" i="23"/>
  <c r="BL617" i="23"/>
  <c r="BF617" i="23"/>
  <c r="AZ617" i="23"/>
  <c r="AT617" i="23"/>
  <c r="AN617" i="23"/>
  <c r="AH617" i="23"/>
  <c r="AB617" i="23"/>
  <c r="R617" i="23"/>
  <c r="L617" i="23"/>
  <c r="CC616" i="23"/>
  <c r="CB616" i="23"/>
  <c r="CA616" i="23"/>
  <c r="BZ616" i="23"/>
  <c r="BL616" i="23"/>
  <c r="BF616" i="23"/>
  <c r="AZ616" i="23"/>
  <c r="AT616" i="23"/>
  <c r="AN616" i="23"/>
  <c r="AH616" i="23"/>
  <c r="AB616" i="23"/>
  <c r="R616" i="23"/>
  <c r="L616" i="23"/>
  <c r="CC615" i="23"/>
  <c r="CB615" i="23"/>
  <c r="CA615" i="23"/>
  <c r="BZ615" i="23"/>
  <c r="BL615" i="23"/>
  <c r="BF615" i="23"/>
  <c r="AZ615" i="23"/>
  <c r="AT615" i="23"/>
  <c r="AN615" i="23"/>
  <c r="AH615" i="23"/>
  <c r="AB615" i="23"/>
  <c r="R615" i="23"/>
  <c r="L615" i="23"/>
  <c r="CC657" i="23"/>
  <c r="CB657" i="23"/>
  <c r="CA657" i="23"/>
  <c r="BZ657" i="23"/>
  <c r="BL657" i="23"/>
  <c r="BF657" i="23"/>
  <c r="AZ657" i="23"/>
  <c r="AT657" i="23"/>
  <c r="AN657" i="23"/>
  <c r="AH657" i="23"/>
  <c r="AB657" i="23"/>
  <c r="R657" i="23"/>
  <c r="L657" i="23"/>
  <c r="CC656" i="23"/>
  <c r="CB656" i="23"/>
  <c r="CA656" i="23"/>
  <c r="BZ656" i="23"/>
  <c r="BL656" i="23"/>
  <c r="BF656" i="23"/>
  <c r="AZ656" i="23"/>
  <c r="AT656" i="23"/>
  <c r="AN656" i="23"/>
  <c r="AH656" i="23"/>
  <c r="AB656" i="23"/>
  <c r="R656" i="23"/>
  <c r="L656" i="23"/>
  <c r="CC655" i="23"/>
  <c r="CB655" i="23"/>
  <c r="CA655" i="23"/>
  <c r="BZ655" i="23"/>
  <c r="BL655" i="23"/>
  <c r="BF655" i="23"/>
  <c r="AZ655" i="23"/>
  <c r="AT655" i="23"/>
  <c r="AN655" i="23"/>
  <c r="AH655" i="23"/>
  <c r="AB655" i="23"/>
  <c r="R655" i="23"/>
  <c r="L655" i="23"/>
  <c r="CC654" i="23"/>
  <c r="CB654" i="23"/>
  <c r="CA654" i="23"/>
  <c r="BZ654" i="23"/>
  <c r="BL654" i="23"/>
  <c r="BF654" i="23"/>
  <c r="AZ654" i="23"/>
  <c r="AT654" i="23"/>
  <c r="AN654" i="23"/>
  <c r="AH654" i="23"/>
  <c r="AB654" i="23"/>
  <c r="R654" i="23"/>
  <c r="L654" i="23"/>
  <c r="J993" i="23"/>
  <c r="I993" i="23"/>
  <c r="J992" i="23"/>
  <c r="I992" i="23"/>
  <c r="J991" i="23"/>
  <c r="I991" i="23"/>
  <c r="CD657" i="23" l="1"/>
  <c r="CE657" i="23" s="1"/>
  <c r="CD618" i="23"/>
  <c r="CE618" i="23" s="1"/>
  <c r="CD616" i="23"/>
  <c r="CE616" i="23" s="1"/>
  <c r="CD654" i="23"/>
  <c r="CE654" i="23" s="1"/>
  <c r="CD656" i="23"/>
  <c r="CE656" i="23" s="1"/>
  <c r="CD617" i="23"/>
  <c r="CE617" i="23" s="1"/>
  <c r="CD655" i="23"/>
  <c r="CE655" i="23" s="1"/>
  <c r="CD615" i="23"/>
  <c r="CE615" i="23" s="1"/>
  <c r="Y1479" i="23"/>
  <c r="Z1479" i="23"/>
  <c r="CC284" i="23" l="1"/>
  <c r="CB284" i="23"/>
  <c r="CA284" i="23"/>
  <c r="BZ284" i="23"/>
  <c r="BL284" i="23"/>
  <c r="BF284" i="23"/>
  <c r="AZ284" i="23"/>
  <c r="AT284" i="23"/>
  <c r="AN284" i="23"/>
  <c r="AH284" i="23"/>
  <c r="AB284" i="23"/>
  <c r="R284" i="23"/>
  <c r="L284" i="23"/>
  <c r="H284" i="23"/>
  <c r="CC283" i="23"/>
  <c r="CB283" i="23"/>
  <c r="CA283" i="23"/>
  <c r="BZ283" i="23"/>
  <c r="BL283" i="23"/>
  <c r="BF283" i="23"/>
  <c r="AZ283" i="23"/>
  <c r="AT283" i="23"/>
  <c r="AN283" i="23"/>
  <c r="AH283" i="23"/>
  <c r="AB283" i="23"/>
  <c r="R283" i="23"/>
  <c r="L283" i="23"/>
  <c r="CC282" i="23"/>
  <c r="CB282" i="23"/>
  <c r="CA282" i="23"/>
  <c r="BZ282" i="23"/>
  <c r="BL282" i="23"/>
  <c r="BF282" i="23"/>
  <c r="AZ282" i="23"/>
  <c r="AT282" i="23"/>
  <c r="AN282" i="23"/>
  <c r="AH282" i="23"/>
  <c r="AB282" i="23"/>
  <c r="R282" i="23"/>
  <c r="L282" i="23"/>
  <c r="CC1187" i="23"/>
  <c r="CB1187" i="23"/>
  <c r="CA1187" i="23"/>
  <c r="BZ1187" i="23"/>
  <c r="BL1187" i="23"/>
  <c r="BF1187" i="23"/>
  <c r="AZ1187" i="23"/>
  <c r="AT1187" i="23"/>
  <c r="AN1187" i="23"/>
  <c r="AH1187" i="23"/>
  <c r="AB1187" i="23"/>
  <c r="R1187" i="23"/>
  <c r="L1187" i="23"/>
  <c r="CC1186" i="23"/>
  <c r="CB1186" i="23"/>
  <c r="CA1186" i="23"/>
  <c r="BZ1186" i="23"/>
  <c r="BL1186" i="23"/>
  <c r="BF1186" i="23"/>
  <c r="AZ1186" i="23"/>
  <c r="AT1186" i="23"/>
  <c r="AN1186" i="23"/>
  <c r="AH1186" i="23"/>
  <c r="AB1186" i="23"/>
  <c r="R1186" i="23"/>
  <c r="L1186" i="23"/>
  <c r="CC1185" i="23"/>
  <c r="CB1185" i="23"/>
  <c r="CA1185" i="23"/>
  <c r="BZ1185" i="23"/>
  <c r="BL1185" i="23"/>
  <c r="BF1185" i="23"/>
  <c r="AZ1185" i="23"/>
  <c r="AT1185" i="23"/>
  <c r="AN1185" i="23"/>
  <c r="AH1185" i="23"/>
  <c r="AB1185" i="23"/>
  <c r="R1185" i="23"/>
  <c r="L1185" i="23"/>
  <c r="CC1184" i="23"/>
  <c r="CB1184" i="23"/>
  <c r="CA1184" i="23"/>
  <c r="BZ1184" i="23"/>
  <c r="BL1184" i="23"/>
  <c r="BF1184" i="23"/>
  <c r="AZ1184" i="23"/>
  <c r="AT1184" i="23"/>
  <c r="AN1184" i="23"/>
  <c r="AH1184" i="23"/>
  <c r="AB1184" i="23"/>
  <c r="R1184" i="23"/>
  <c r="L1184" i="23"/>
  <c r="CC1183" i="23"/>
  <c r="CB1183" i="23"/>
  <c r="CA1183" i="23"/>
  <c r="BZ1183" i="23"/>
  <c r="BL1183" i="23"/>
  <c r="BF1183" i="23"/>
  <c r="AZ1183" i="23"/>
  <c r="AT1183" i="23"/>
  <c r="AN1183" i="23"/>
  <c r="AH1183" i="23"/>
  <c r="AB1183" i="23"/>
  <c r="R1183" i="23"/>
  <c r="L1183" i="23"/>
  <c r="CC1182" i="23"/>
  <c r="CB1182" i="23"/>
  <c r="CA1182" i="23"/>
  <c r="BZ1182" i="23"/>
  <c r="BL1182" i="23"/>
  <c r="BF1182" i="23"/>
  <c r="AZ1182" i="23"/>
  <c r="AT1182" i="23"/>
  <c r="AN1182" i="23"/>
  <c r="AH1182" i="23"/>
  <c r="AB1182" i="23"/>
  <c r="R1182" i="23"/>
  <c r="L1182" i="23"/>
  <c r="CC1181" i="23"/>
  <c r="CB1181" i="23"/>
  <c r="CA1181" i="23"/>
  <c r="BZ1181" i="23"/>
  <c r="BL1181" i="23"/>
  <c r="BF1181" i="23"/>
  <c r="AZ1181" i="23"/>
  <c r="AT1181" i="23"/>
  <c r="AN1181" i="23"/>
  <c r="AH1181" i="23"/>
  <c r="AB1181" i="23"/>
  <c r="R1181" i="23"/>
  <c r="L1181" i="23"/>
  <c r="CC1180" i="23"/>
  <c r="CB1180" i="23"/>
  <c r="CA1180" i="23"/>
  <c r="BZ1180" i="23"/>
  <c r="BL1180" i="23"/>
  <c r="BF1180" i="23"/>
  <c r="AZ1180" i="23"/>
  <c r="AT1180" i="23"/>
  <c r="AN1180" i="23"/>
  <c r="AH1180" i="23"/>
  <c r="AB1180" i="23"/>
  <c r="R1180" i="23"/>
  <c r="L1180" i="23"/>
  <c r="CC1179" i="23"/>
  <c r="CB1179" i="23"/>
  <c r="CA1179" i="23"/>
  <c r="BZ1179" i="23"/>
  <c r="BL1179" i="23"/>
  <c r="BF1179" i="23"/>
  <c r="AZ1179" i="23"/>
  <c r="AT1179" i="23"/>
  <c r="AN1179" i="23"/>
  <c r="AH1179" i="23"/>
  <c r="AB1179" i="23"/>
  <c r="R1179" i="23"/>
  <c r="L1179" i="23"/>
  <c r="CC1178" i="23"/>
  <c r="CB1178" i="23"/>
  <c r="CA1178" i="23"/>
  <c r="BZ1178" i="23"/>
  <c r="BL1178" i="23"/>
  <c r="BF1178" i="23"/>
  <c r="AZ1178" i="23"/>
  <c r="AT1178" i="23"/>
  <c r="AN1178" i="23"/>
  <c r="AH1178" i="23"/>
  <c r="AB1178" i="23"/>
  <c r="R1178" i="23"/>
  <c r="L1178" i="23"/>
  <c r="CC1177" i="23"/>
  <c r="CB1177" i="23"/>
  <c r="CA1177" i="23"/>
  <c r="BZ1177" i="23"/>
  <c r="BL1177" i="23"/>
  <c r="BF1177" i="23"/>
  <c r="AZ1177" i="23"/>
  <c r="AT1177" i="23"/>
  <c r="AN1177" i="23"/>
  <c r="AH1177" i="23"/>
  <c r="AB1177" i="23"/>
  <c r="R1177" i="23"/>
  <c r="L1177" i="23"/>
  <c r="CC1176" i="23"/>
  <c r="CB1176" i="23"/>
  <c r="CA1176" i="23"/>
  <c r="BZ1176" i="23"/>
  <c r="BL1176" i="23"/>
  <c r="BF1176" i="23"/>
  <c r="AZ1176" i="23"/>
  <c r="AT1176" i="23"/>
  <c r="AN1176" i="23"/>
  <c r="AH1176" i="23"/>
  <c r="AB1176" i="23"/>
  <c r="R1176" i="23"/>
  <c r="L1176" i="23"/>
  <c r="CC1175" i="23"/>
  <c r="CB1175" i="23"/>
  <c r="CA1175" i="23"/>
  <c r="BZ1175" i="23"/>
  <c r="BL1175" i="23"/>
  <c r="BF1175" i="23"/>
  <c r="AZ1175" i="23"/>
  <c r="AT1175" i="23"/>
  <c r="AN1175" i="23"/>
  <c r="AH1175" i="23"/>
  <c r="AB1175" i="23"/>
  <c r="R1175" i="23"/>
  <c r="L1175" i="23"/>
  <c r="CC1174" i="23"/>
  <c r="CB1174" i="23"/>
  <c r="CA1174" i="23"/>
  <c r="BZ1174" i="23"/>
  <c r="BL1174" i="23"/>
  <c r="BF1174" i="23"/>
  <c r="AZ1174" i="23"/>
  <c r="AT1174" i="23"/>
  <c r="AN1174" i="23"/>
  <c r="AH1174" i="23"/>
  <c r="AB1174" i="23"/>
  <c r="R1174" i="23"/>
  <c r="L1174" i="23"/>
  <c r="CC905" i="23"/>
  <c r="CB905" i="23"/>
  <c r="CA905" i="23"/>
  <c r="BZ905" i="23"/>
  <c r="BL905" i="23"/>
  <c r="BF905" i="23"/>
  <c r="AZ905" i="23"/>
  <c r="AT905" i="23"/>
  <c r="AN905" i="23"/>
  <c r="AH905" i="23"/>
  <c r="AB905" i="23"/>
  <c r="R905" i="23"/>
  <c r="L905" i="23"/>
  <c r="CC904" i="23"/>
  <c r="CB904" i="23"/>
  <c r="CA904" i="23"/>
  <c r="BZ904" i="23"/>
  <c r="BL904" i="23"/>
  <c r="BF904" i="23"/>
  <c r="AZ904" i="23"/>
  <c r="AT904" i="23"/>
  <c r="AN904" i="23"/>
  <c r="AH904" i="23"/>
  <c r="AB904" i="23"/>
  <c r="R904" i="23"/>
  <c r="L904" i="23"/>
  <c r="CC903" i="23"/>
  <c r="CB903" i="23"/>
  <c r="CA903" i="23"/>
  <c r="BZ903" i="23"/>
  <c r="BL903" i="23"/>
  <c r="BF903" i="23"/>
  <c r="AZ903" i="23"/>
  <c r="AT903" i="23"/>
  <c r="AN903" i="23"/>
  <c r="AH903" i="23"/>
  <c r="AB903" i="23"/>
  <c r="R903" i="23"/>
  <c r="L903" i="23"/>
  <c r="CC354" i="23"/>
  <c r="CB354" i="23"/>
  <c r="CA354" i="23"/>
  <c r="BZ354" i="23"/>
  <c r="BL354" i="23"/>
  <c r="BF354" i="23"/>
  <c r="AZ354" i="23"/>
  <c r="AT354" i="23"/>
  <c r="AN354" i="23"/>
  <c r="AH354" i="23"/>
  <c r="AB354" i="23"/>
  <c r="R354" i="23"/>
  <c r="L354" i="23"/>
  <c r="CC353" i="23"/>
  <c r="CB353" i="23"/>
  <c r="CA353" i="23"/>
  <c r="BZ353" i="23"/>
  <c r="BL353" i="23"/>
  <c r="BF353" i="23"/>
  <c r="AZ353" i="23"/>
  <c r="AT353" i="23"/>
  <c r="AN353" i="23"/>
  <c r="AH353" i="23"/>
  <c r="AB353" i="23"/>
  <c r="R353" i="23"/>
  <c r="L353" i="23"/>
  <c r="CC352" i="23"/>
  <c r="CB352" i="23"/>
  <c r="CA352" i="23"/>
  <c r="BZ352" i="23"/>
  <c r="BL352" i="23"/>
  <c r="BF352" i="23"/>
  <c r="AZ352" i="23"/>
  <c r="AT352" i="23"/>
  <c r="AN352" i="23"/>
  <c r="AH352" i="23"/>
  <c r="AB352" i="23"/>
  <c r="R352" i="23"/>
  <c r="L352" i="23"/>
  <c r="CC351" i="23"/>
  <c r="CB351" i="23"/>
  <c r="CA351" i="23"/>
  <c r="BZ351" i="23"/>
  <c r="BL351" i="23"/>
  <c r="BF351" i="23"/>
  <c r="AZ351" i="23"/>
  <c r="AT351" i="23"/>
  <c r="AN351" i="23"/>
  <c r="AH351" i="23"/>
  <c r="AB351" i="23"/>
  <c r="R351" i="23"/>
  <c r="L351" i="23"/>
  <c r="CC350" i="23"/>
  <c r="CB350" i="23"/>
  <c r="CA350" i="23"/>
  <c r="BZ350" i="23"/>
  <c r="BL350" i="23"/>
  <c r="BF350" i="23"/>
  <c r="AZ350" i="23"/>
  <c r="AT350" i="23"/>
  <c r="AN350" i="23"/>
  <c r="AH350" i="23"/>
  <c r="AB350" i="23"/>
  <c r="R350" i="23"/>
  <c r="L350" i="23"/>
  <c r="CC349" i="23"/>
  <c r="CB349" i="23"/>
  <c r="CA349" i="23"/>
  <c r="BZ349" i="23"/>
  <c r="BL349" i="23"/>
  <c r="BF349" i="23"/>
  <c r="AZ349" i="23"/>
  <c r="AT349" i="23"/>
  <c r="AN349" i="23"/>
  <c r="AH349" i="23"/>
  <c r="AB349" i="23"/>
  <c r="R349" i="23"/>
  <c r="L349" i="23"/>
  <c r="CC348" i="23"/>
  <c r="CB348" i="23"/>
  <c r="CA348" i="23"/>
  <c r="BZ348" i="23"/>
  <c r="BL348" i="23"/>
  <c r="BF348" i="23"/>
  <c r="AZ348" i="23"/>
  <c r="AT348" i="23"/>
  <c r="AN348" i="23"/>
  <c r="AH348" i="23"/>
  <c r="AB348" i="23"/>
  <c r="R348" i="23"/>
  <c r="L348" i="23"/>
  <c r="CC347" i="23"/>
  <c r="CB347" i="23"/>
  <c r="CA347" i="23"/>
  <c r="BZ347" i="23"/>
  <c r="BL347" i="23"/>
  <c r="BF347" i="23"/>
  <c r="AZ347" i="23"/>
  <c r="AT347" i="23"/>
  <c r="AN347" i="23"/>
  <c r="AH347" i="23"/>
  <c r="AB347" i="23"/>
  <c r="R347" i="23"/>
  <c r="L347" i="23"/>
  <c r="CC346" i="23"/>
  <c r="CB346" i="23"/>
  <c r="CA346" i="23"/>
  <c r="BZ346" i="23"/>
  <c r="BL346" i="23"/>
  <c r="BF346" i="23"/>
  <c r="AZ346" i="23"/>
  <c r="AT346" i="23"/>
  <c r="AN346" i="23"/>
  <c r="AH346" i="23"/>
  <c r="AB346" i="23"/>
  <c r="R346" i="23"/>
  <c r="L346" i="23"/>
  <c r="CC345" i="23"/>
  <c r="CB345" i="23"/>
  <c r="CA345" i="23"/>
  <c r="BZ345" i="23"/>
  <c r="BL345" i="23"/>
  <c r="BF345" i="23"/>
  <c r="AZ345" i="23"/>
  <c r="AT345" i="23"/>
  <c r="AN345" i="23"/>
  <c r="AH345" i="23"/>
  <c r="AB345" i="23"/>
  <c r="R345" i="23"/>
  <c r="L345" i="23"/>
  <c r="CC344" i="23"/>
  <c r="CB344" i="23"/>
  <c r="CA344" i="23"/>
  <c r="BZ344" i="23"/>
  <c r="BL344" i="23"/>
  <c r="BF344" i="23"/>
  <c r="AZ344" i="23"/>
  <c r="AT344" i="23"/>
  <c r="AN344" i="23"/>
  <c r="AH344" i="23"/>
  <c r="AB344" i="23"/>
  <c r="R344" i="23"/>
  <c r="L344" i="23"/>
  <c r="CC343" i="23"/>
  <c r="CB343" i="23"/>
  <c r="CA343" i="23"/>
  <c r="BZ343" i="23"/>
  <c r="BL343" i="23"/>
  <c r="BF343" i="23"/>
  <c r="AZ343" i="23"/>
  <c r="AT343" i="23"/>
  <c r="AN343" i="23"/>
  <c r="AH343" i="23"/>
  <c r="AB343" i="23"/>
  <c r="R343" i="23"/>
  <c r="L343" i="23"/>
  <c r="CC342" i="23"/>
  <c r="CB342" i="23"/>
  <c r="CA342" i="23"/>
  <c r="BZ342" i="23"/>
  <c r="BL342" i="23"/>
  <c r="BF342" i="23"/>
  <c r="AZ342" i="23"/>
  <c r="AT342" i="23"/>
  <c r="AN342" i="23"/>
  <c r="AH342" i="23"/>
  <c r="AB342" i="23"/>
  <c r="R342" i="23"/>
  <c r="L342" i="23"/>
  <c r="CC341" i="23"/>
  <c r="CB341" i="23"/>
  <c r="CA341" i="23"/>
  <c r="BZ341" i="23"/>
  <c r="BL341" i="23"/>
  <c r="BF341" i="23"/>
  <c r="AZ341" i="23"/>
  <c r="AT341" i="23"/>
  <c r="AN341" i="23"/>
  <c r="AH341" i="23"/>
  <c r="AB341" i="23"/>
  <c r="R341" i="23"/>
  <c r="L341" i="23"/>
  <c r="CC340" i="23"/>
  <c r="CB340" i="23"/>
  <c r="CA340" i="23"/>
  <c r="BZ340" i="23"/>
  <c r="BL340" i="23"/>
  <c r="BF340" i="23"/>
  <c r="AZ340" i="23"/>
  <c r="AT340" i="23"/>
  <c r="AN340" i="23"/>
  <c r="AH340" i="23"/>
  <c r="AB340" i="23"/>
  <c r="R340" i="23"/>
  <c r="L340" i="23"/>
  <c r="CC339" i="23"/>
  <c r="CB339" i="23"/>
  <c r="CA339" i="23"/>
  <c r="BZ339" i="23"/>
  <c r="BL339" i="23"/>
  <c r="BF339" i="23"/>
  <c r="AZ339" i="23"/>
  <c r="AT339" i="23"/>
  <c r="AN339" i="23"/>
  <c r="AH339" i="23"/>
  <c r="AB339" i="23"/>
  <c r="R339" i="23"/>
  <c r="L339" i="23"/>
  <c r="CC338" i="23"/>
  <c r="CB338" i="23"/>
  <c r="CA338" i="23"/>
  <c r="BZ338" i="23"/>
  <c r="BL338" i="23"/>
  <c r="BF338" i="23"/>
  <c r="AZ338" i="23"/>
  <c r="AT338" i="23"/>
  <c r="AN338" i="23"/>
  <c r="AH338" i="23"/>
  <c r="AB338" i="23"/>
  <c r="R338" i="23"/>
  <c r="L338" i="23"/>
  <c r="CC337" i="23"/>
  <c r="CB337" i="23"/>
  <c r="CA337" i="23"/>
  <c r="BZ337" i="23"/>
  <c r="BL337" i="23"/>
  <c r="BF337" i="23"/>
  <c r="AZ337" i="23"/>
  <c r="AT337" i="23"/>
  <c r="AN337" i="23"/>
  <c r="AH337" i="23"/>
  <c r="AB337" i="23"/>
  <c r="R337" i="23"/>
  <c r="L337" i="23"/>
  <c r="CC336" i="23"/>
  <c r="CB336" i="23"/>
  <c r="CA336" i="23"/>
  <c r="BZ336" i="23"/>
  <c r="BL336" i="23"/>
  <c r="BF336" i="23"/>
  <c r="AZ336" i="23"/>
  <c r="AT336" i="23"/>
  <c r="AN336" i="23"/>
  <c r="AH336" i="23"/>
  <c r="AB336" i="23"/>
  <c r="R336" i="23"/>
  <c r="L336" i="23"/>
  <c r="CC320" i="23"/>
  <c r="CB320" i="23"/>
  <c r="CA320" i="23"/>
  <c r="BZ320" i="23"/>
  <c r="BL320" i="23"/>
  <c r="BF320" i="23"/>
  <c r="AZ320" i="23"/>
  <c r="AT320" i="23"/>
  <c r="AN320" i="23"/>
  <c r="AH320" i="23"/>
  <c r="AB320" i="23"/>
  <c r="R320" i="23"/>
  <c r="L320" i="23"/>
  <c r="W205" i="23"/>
  <c r="W183" i="23"/>
  <c r="AE1623" i="23"/>
  <c r="CC614" i="23"/>
  <c r="CB614" i="23"/>
  <c r="CA614" i="23"/>
  <c r="BZ614" i="23"/>
  <c r="BL614" i="23"/>
  <c r="BF614" i="23"/>
  <c r="AZ614" i="23"/>
  <c r="AT614" i="23"/>
  <c r="AN614" i="23"/>
  <c r="AH614" i="23"/>
  <c r="AB614" i="23"/>
  <c r="R614" i="23"/>
  <c r="L614" i="23"/>
  <c r="I278" i="23"/>
  <c r="CD614" i="23" l="1"/>
  <c r="CE614" i="23" s="1"/>
  <c r="CD340" i="23"/>
  <c r="CE340" i="23" s="1"/>
  <c r="CD904" i="23"/>
  <c r="CE904" i="23" s="1"/>
  <c r="CD343" i="23"/>
  <c r="CE343" i="23" s="1"/>
  <c r="CD351" i="23"/>
  <c r="CE351" i="23" s="1"/>
  <c r="CD1175" i="23"/>
  <c r="CE1175" i="23" s="1"/>
  <c r="CD282" i="23"/>
  <c r="CE282" i="23" s="1"/>
  <c r="CD1177" i="23"/>
  <c r="CE1177" i="23" s="1"/>
  <c r="CD284" i="23"/>
  <c r="CE284" i="23" s="1"/>
  <c r="CD1185" i="23"/>
  <c r="CE1185" i="23" s="1"/>
  <c r="CD283" i="23"/>
  <c r="CE283" i="23" s="1"/>
  <c r="CD1176" i="23"/>
  <c r="CE1176" i="23" s="1"/>
  <c r="BM904" i="23"/>
  <c r="BM614" i="23"/>
  <c r="CD353" i="23"/>
  <c r="CE353" i="23" s="1"/>
  <c r="CD350" i="23"/>
  <c r="CE350" i="23" s="1"/>
  <c r="CD1182" i="23"/>
  <c r="CE1182" i="23" s="1"/>
  <c r="CD1179" i="23"/>
  <c r="CE1179" i="23" s="1"/>
  <c r="BM905" i="23"/>
  <c r="CD1181" i="23"/>
  <c r="CE1181" i="23" s="1"/>
  <c r="CD1178" i="23"/>
  <c r="CE1178" i="23" s="1"/>
  <c r="CD1174" i="23"/>
  <c r="CE1174" i="23" s="1"/>
  <c r="CD320" i="23"/>
  <c r="CE320" i="23" s="1"/>
  <c r="CD905" i="23"/>
  <c r="CE905" i="23" s="1"/>
  <c r="CD1184" i="23"/>
  <c r="CE1184" i="23" s="1"/>
  <c r="CD1187" i="23"/>
  <c r="CE1187" i="23" s="1"/>
  <c r="CD903" i="23"/>
  <c r="CE903" i="23" s="1"/>
  <c r="CD1180" i="23"/>
  <c r="CE1180" i="23" s="1"/>
  <c r="CD1183" i="23"/>
  <c r="CE1183" i="23" s="1"/>
  <c r="CD1186" i="23"/>
  <c r="CE1186" i="23" s="1"/>
  <c r="CD339" i="23"/>
  <c r="CE339" i="23" s="1"/>
  <c r="CD347" i="23"/>
  <c r="CE347" i="23" s="1"/>
  <c r="CD336" i="23"/>
  <c r="CE336" i="23" s="1"/>
  <c r="CD344" i="23"/>
  <c r="CE344" i="23" s="1"/>
  <c r="CD352" i="23"/>
  <c r="CE352" i="23" s="1"/>
  <c r="CD341" i="23"/>
  <c r="CE341" i="23" s="1"/>
  <c r="CD349" i="23"/>
  <c r="CE349" i="23" s="1"/>
  <c r="CD338" i="23"/>
  <c r="CE338" i="23" s="1"/>
  <c r="CD346" i="23"/>
  <c r="CE346" i="23" s="1"/>
  <c r="CD354" i="23"/>
  <c r="CE354" i="23" s="1"/>
  <c r="BM284" i="23"/>
  <c r="CD348" i="23"/>
  <c r="CE348" i="23" s="1"/>
  <c r="CD337" i="23"/>
  <c r="CE337" i="23" s="1"/>
  <c r="CD345" i="23"/>
  <c r="CE345" i="23" s="1"/>
  <c r="CD342" i="23"/>
  <c r="CE342" i="23" s="1"/>
  <c r="AE1624" i="23"/>
  <c r="Y404" i="23" l="1"/>
  <c r="BU465" i="23" l="1"/>
  <c r="BU411" i="23"/>
  <c r="BU264" i="23"/>
  <c r="BU1211" i="23"/>
  <c r="CC902" i="23" l="1"/>
  <c r="CB902" i="23"/>
  <c r="CA902" i="23"/>
  <c r="BZ902" i="23"/>
  <c r="BL902" i="23"/>
  <c r="BF902" i="23"/>
  <c r="AZ902" i="23"/>
  <c r="AT902" i="23"/>
  <c r="AN902" i="23"/>
  <c r="AH902" i="23"/>
  <c r="AB902" i="23"/>
  <c r="R902" i="23"/>
  <c r="L902" i="23"/>
  <c r="CC901" i="23"/>
  <c r="CB901" i="23"/>
  <c r="CA901" i="23"/>
  <c r="BZ901" i="23"/>
  <c r="BL901" i="23"/>
  <c r="BF901" i="23"/>
  <c r="AZ901" i="23"/>
  <c r="AT901" i="23"/>
  <c r="AN901" i="23"/>
  <c r="AH901" i="23"/>
  <c r="AB901" i="23"/>
  <c r="R901" i="23"/>
  <c r="L901" i="23"/>
  <c r="CC900" i="23"/>
  <c r="CB900" i="23"/>
  <c r="CA900" i="23"/>
  <c r="BZ900" i="23"/>
  <c r="BL900" i="23"/>
  <c r="BF900" i="23"/>
  <c r="AZ900" i="23"/>
  <c r="AT900" i="23"/>
  <c r="AN900" i="23"/>
  <c r="AH900" i="23"/>
  <c r="AB900" i="23"/>
  <c r="R900" i="23"/>
  <c r="L900" i="23"/>
  <c r="CC899" i="23"/>
  <c r="CB899" i="23"/>
  <c r="CA899" i="23"/>
  <c r="BZ899" i="23"/>
  <c r="BL899" i="23"/>
  <c r="BF899" i="23"/>
  <c r="AZ899" i="23"/>
  <c r="AT899" i="23"/>
  <c r="AN899" i="23"/>
  <c r="AH899" i="23"/>
  <c r="AB899" i="23"/>
  <c r="R899" i="23"/>
  <c r="L899" i="23"/>
  <c r="CC898" i="23"/>
  <c r="CB898" i="23"/>
  <c r="CA898" i="23"/>
  <c r="BZ898" i="23"/>
  <c r="BL898" i="23"/>
  <c r="BF898" i="23"/>
  <c r="AZ898" i="23"/>
  <c r="AT898" i="23"/>
  <c r="AN898" i="23"/>
  <c r="AH898" i="23"/>
  <c r="AB898" i="23"/>
  <c r="R898" i="23"/>
  <c r="L898" i="23"/>
  <c r="CC335" i="23"/>
  <c r="CB335" i="23"/>
  <c r="CA335" i="23"/>
  <c r="BZ335" i="23"/>
  <c r="BL335" i="23"/>
  <c r="BF335" i="23"/>
  <c r="AZ335" i="23"/>
  <c r="AT335" i="23"/>
  <c r="AN335" i="23"/>
  <c r="AH335" i="23"/>
  <c r="AB335" i="23"/>
  <c r="R335" i="23"/>
  <c r="L335" i="23"/>
  <c r="CC334" i="23"/>
  <c r="CB334" i="23"/>
  <c r="CA334" i="23"/>
  <c r="BZ334" i="23"/>
  <c r="BL334" i="23"/>
  <c r="BF334" i="23"/>
  <c r="AZ334" i="23"/>
  <c r="AT334" i="23"/>
  <c r="AN334" i="23"/>
  <c r="AH334" i="23"/>
  <c r="AB334" i="23"/>
  <c r="R334" i="23"/>
  <c r="L334" i="23"/>
  <c r="CD900" i="23" l="1"/>
  <c r="CD902" i="23"/>
  <c r="CE902" i="23" s="1"/>
  <c r="CD898" i="23"/>
  <c r="CE898" i="23" s="1"/>
  <c r="CD901" i="23"/>
  <c r="CE901" i="23" s="1"/>
  <c r="CE900" i="23"/>
  <c r="CD899" i="23"/>
  <c r="CE899" i="23" s="1"/>
  <c r="CD335" i="23"/>
  <c r="CE335" i="23" s="1"/>
  <c r="CD334" i="23"/>
  <c r="CE334" i="23" s="1"/>
  <c r="H148" i="2"/>
  <c r="CC985" i="23" l="1"/>
  <c r="CB985" i="23"/>
  <c r="CA985" i="23"/>
  <c r="BZ985" i="23"/>
  <c r="BL985" i="23"/>
  <c r="BF985" i="23"/>
  <c r="AZ985" i="23"/>
  <c r="AT985" i="23"/>
  <c r="AN985" i="23"/>
  <c r="AH985" i="23"/>
  <c r="AB985" i="23"/>
  <c r="R985" i="23"/>
  <c r="L985" i="23"/>
  <c r="CC984" i="23"/>
  <c r="CB984" i="23"/>
  <c r="CA984" i="23"/>
  <c r="BZ984" i="23"/>
  <c r="BL984" i="23"/>
  <c r="BF984" i="23"/>
  <c r="AZ984" i="23"/>
  <c r="AT984" i="23"/>
  <c r="AN984" i="23"/>
  <c r="AH984" i="23"/>
  <c r="AB984" i="23"/>
  <c r="R984" i="23"/>
  <c r="L984" i="23"/>
  <c r="CD984" i="23" l="1"/>
  <c r="CE984" i="23" s="1"/>
  <c r="CD985" i="23"/>
  <c r="CE985" i="23" s="1"/>
  <c r="W573" i="23"/>
  <c r="W487" i="23"/>
  <c r="W652" i="23"/>
  <c r="W508" i="23"/>
  <c r="Y994" i="23" l="1"/>
  <c r="W327" i="23" l="1"/>
  <c r="W269" i="23"/>
  <c r="W268" i="23"/>
  <c r="W197" i="23" l="1"/>
  <c r="W204" i="23"/>
  <c r="W184" i="23"/>
  <c r="W196" i="23"/>
  <c r="W202" i="23"/>
  <c r="W185" i="23"/>
  <c r="W203" i="23"/>
  <c r="W643" i="23"/>
  <c r="AE1266" i="23" l="1"/>
  <c r="Y264" i="23"/>
  <c r="Y272" i="23"/>
  <c r="AG465" i="23"/>
  <c r="BK411" i="23"/>
  <c r="AG1432" i="23"/>
  <c r="W104" i="23"/>
  <c r="W515" i="23"/>
  <c r="W1630" i="23" l="1"/>
  <c r="W1591" i="23"/>
  <c r="Y683" i="23"/>
  <c r="BU683" i="23" l="1"/>
  <c r="BW558" i="23"/>
  <c r="BW637" i="23"/>
  <c r="BW445" i="23"/>
  <c r="BW563" i="23"/>
  <c r="BW429" i="23"/>
  <c r="BU1439" i="23" l="1"/>
  <c r="W215" i="23" l="1"/>
  <c r="W1346" i="23"/>
  <c r="CC966" i="23" l="1"/>
  <c r="CB966" i="23"/>
  <c r="CA966" i="23"/>
  <c r="BZ966" i="23"/>
  <c r="BL966" i="23"/>
  <c r="BF966" i="23"/>
  <c r="AZ966" i="23"/>
  <c r="AT966" i="23"/>
  <c r="AN966" i="23"/>
  <c r="AH966" i="23"/>
  <c r="AB966" i="23"/>
  <c r="R966" i="23"/>
  <c r="L966" i="23"/>
  <c r="CC965" i="23"/>
  <c r="CB965" i="23"/>
  <c r="CA965" i="23"/>
  <c r="BZ965" i="23"/>
  <c r="BL965" i="23"/>
  <c r="BF965" i="23"/>
  <c r="AZ965" i="23"/>
  <c r="AT965" i="23"/>
  <c r="AN965" i="23"/>
  <c r="AH965" i="23"/>
  <c r="AB965" i="23"/>
  <c r="R965" i="23"/>
  <c r="L965" i="23"/>
  <c r="CC964" i="23"/>
  <c r="CB964" i="23"/>
  <c r="CA964" i="23"/>
  <c r="BZ964" i="23"/>
  <c r="BL964" i="23"/>
  <c r="BF964" i="23"/>
  <c r="AZ964" i="23"/>
  <c r="AT964" i="23"/>
  <c r="AN964" i="23"/>
  <c r="AH964" i="23"/>
  <c r="AB964" i="23"/>
  <c r="R964" i="23"/>
  <c r="L964" i="23"/>
  <c r="CC963" i="23"/>
  <c r="CB963" i="23"/>
  <c r="CA963" i="23"/>
  <c r="BZ963" i="23"/>
  <c r="BL963" i="23"/>
  <c r="BF963" i="23"/>
  <c r="AZ963" i="23"/>
  <c r="AT963" i="23"/>
  <c r="AN963" i="23"/>
  <c r="AH963" i="23"/>
  <c r="AB963" i="23"/>
  <c r="R963" i="23"/>
  <c r="L963" i="23"/>
  <c r="CC962" i="23"/>
  <c r="CB962" i="23"/>
  <c r="CA962" i="23"/>
  <c r="BZ962" i="23"/>
  <c r="BL962" i="23"/>
  <c r="BF962" i="23"/>
  <c r="AZ962" i="23"/>
  <c r="AT962" i="23"/>
  <c r="AN962" i="23"/>
  <c r="AH962" i="23"/>
  <c r="AB962" i="23"/>
  <c r="R962" i="23"/>
  <c r="L962" i="23"/>
  <c r="CC961" i="23"/>
  <c r="CB961" i="23"/>
  <c r="CA961" i="23"/>
  <c r="BZ961" i="23"/>
  <c r="BL961" i="23"/>
  <c r="BF961" i="23"/>
  <c r="AZ961" i="23"/>
  <c r="AT961" i="23"/>
  <c r="AN961" i="23"/>
  <c r="AH961" i="23"/>
  <c r="AB961" i="23"/>
  <c r="R961" i="23"/>
  <c r="L961" i="23"/>
  <c r="CC960" i="23"/>
  <c r="CB960" i="23"/>
  <c r="CA960" i="23"/>
  <c r="BZ960" i="23"/>
  <c r="BL960" i="23"/>
  <c r="BF960" i="23"/>
  <c r="AZ960" i="23"/>
  <c r="AT960" i="23"/>
  <c r="AN960" i="23"/>
  <c r="AH960" i="23"/>
  <c r="AB960" i="23"/>
  <c r="R960" i="23"/>
  <c r="L960" i="23"/>
  <c r="CC959" i="23"/>
  <c r="CB959" i="23"/>
  <c r="CA959" i="23"/>
  <c r="BZ959" i="23"/>
  <c r="BL959" i="23"/>
  <c r="BF959" i="23"/>
  <c r="AZ959" i="23"/>
  <c r="AT959" i="23"/>
  <c r="AN959" i="23"/>
  <c r="AH959" i="23"/>
  <c r="AB959" i="23"/>
  <c r="R959" i="23"/>
  <c r="L959" i="23"/>
  <c r="CC851" i="23"/>
  <c r="CB851" i="23"/>
  <c r="CA851" i="23"/>
  <c r="BZ851" i="23"/>
  <c r="BL851" i="23"/>
  <c r="BF851" i="23"/>
  <c r="AZ851" i="23"/>
  <c r="AT851" i="23"/>
  <c r="AN851" i="23"/>
  <c r="AH851" i="23"/>
  <c r="AB851" i="23"/>
  <c r="R851" i="23"/>
  <c r="L851" i="23"/>
  <c r="CC850" i="23"/>
  <c r="CB850" i="23"/>
  <c r="CA850" i="23"/>
  <c r="BZ850" i="23"/>
  <c r="BL850" i="23"/>
  <c r="BF850" i="23"/>
  <c r="AZ850" i="23"/>
  <c r="AT850" i="23"/>
  <c r="AN850" i="23"/>
  <c r="AH850" i="23"/>
  <c r="AB850" i="23"/>
  <c r="R850" i="23"/>
  <c r="L850" i="23"/>
  <c r="CC849" i="23"/>
  <c r="CB849" i="23"/>
  <c r="CA849" i="23"/>
  <c r="BZ849" i="23"/>
  <c r="BL849" i="23"/>
  <c r="BF849" i="23"/>
  <c r="AZ849" i="23"/>
  <c r="AT849" i="23"/>
  <c r="AN849" i="23"/>
  <c r="AH849" i="23"/>
  <c r="AB849" i="23"/>
  <c r="R849" i="23"/>
  <c r="L849" i="23"/>
  <c r="CC848" i="23"/>
  <c r="CB848" i="23"/>
  <c r="CA848" i="23"/>
  <c r="BZ848" i="23"/>
  <c r="BL848" i="23"/>
  <c r="BF848" i="23"/>
  <c r="AZ848" i="23"/>
  <c r="AT848" i="23"/>
  <c r="AN848" i="23"/>
  <c r="AH848" i="23"/>
  <c r="AB848" i="23"/>
  <c r="R848" i="23"/>
  <c r="L848" i="23"/>
  <c r="CC897" i="23"/>
  <c r="CB897" i="23"/>
  <c r="CA897" i="23"/>
  <c r="BZ897" i="23"/>
  <c r="BL897" i="23"/>
  <c r="BF897" i="23"/>
  <c r="AZ897" i="23"/>
  <c r="AT897" i="23"/>
  <c r="AN897" i="23"/>
  <c r="AH897" i="23"/>
  <c r="AB897" i="23"/>
  <c r="R897" i="23"/>
  <c r="L897" i="23"/>
  <c r="CC896" i="23"/>
  <c r="CB896" i="23"/>
  <c r="CA896" i="23"/>
  <c r="BZ896" i="23"/>
  <c r="BL896" i="23"/>
  <c r="BF896" i="23"/>
  <c r="AZ896" i="23"/>
  <c r="AT896" i="23"/>
  <c r="AN896" i="23"/>
  <c r="AH896" i="23"/>
  <c r="AB896" i="23"/>
  <c r="R896" i="23"/>
  <c r="L896" i="23"/>
  <c r="CC895" i="23"/>
  <c r="CB895" i="23"/>
  <c r="CA895" i="23"/>
  <c r="BZ895" i="23"/>
  <c r="BL895" i="23"/>
  <c r="BF895" i="23"/>
  <c r="AZ895" i="23"/>
  <c r="AT895" i="23"/>
  <c r="AN895" i="23"/>
  <c r="AH895" i="23"/>
  <c r="AB895" i="23"/>
  <c r="R895" i="23"/>
  <c r="L895" i="23"/>
  <c r="CC894" i="23"/>
  <c r="CB894" i="23"/>
  <c r="CA894" i="23"/>
  <c r="BZ894" i="23"/>
  <c r="BL894" i="23"/>
  <c r="BF894" i="23"/>
  <c r="AZ894" i="23"/>
  <c r="AT894" i="23"/>
  <c r="AN894" i="23"/>
  <c r="AH894" i="23"/>
  <c r="AB894" i="23"/>
  <c r="R894" i="23"/>
  <c r="L894" i="23"/>
  <c r="CC893" i="23"/>
  <c r="CB893" i="23"/>
  <c r="CA893" i="23"/>
  <c r="BZ893" i="23"/>
  <c r="BL893" i="23"/>
  <c r="BF893" i="23"/>
  <c r="AZ893" i="23"/>
  <c r="AT893" i="23"/>
  <c r="AN893" i="23"/>
  <c r="AH893" i="23"/>
  <c r="AB893" i="23"/>
  <c r="R893" i="23"/>
  <c r="L893" i="23"/>
  <c r="CC892" i="23"/>
  <c r="CB892" i="23"/>
  <c r="CA892" i="23"/>
  <c r="BZ892" i="23"/>
  <c r="BL892" i="23"/>
  <c r="BF892" i="23"/>
  <c r="AZ892" i="23"/>
  <c r="AT892" i="23"/>
  <c r="AN892" i="23"/>
  <c r="AH892" i="23"/>
  <c r="AB892" i="23"/>
  <c r="R892" i="23"/>
  <c r="L892" i="23"/>
  <c r="CC847" i="23"/>
  <c r="CB847" i="23"/>
  <c r="BZ847" i="23"/>
  <c r="BL847" i="23"/>
  <c r="BF847" i="23"/>
  <c r="AZ847" i="23"/>
  <c r="AT847" i="23"/>
  <c r="AN847" i="23"/>
  <c r="AH847" i="23"/>
  <c r="AB847" i="23"/>
  <c r="R847" i="23"/>
  <c r="I847" i="23"/>
  <c r="CA847" i="23" s="1"/>
  <c r="CC846" i="23"/>
  <c r="CB846" i="23"/>
  <c r="BZ846" i="23"/>
  <c r="BL846" i="23"/>
  <c r="BF846" i="23"/>
  <c r="AZ846" i="23"/>
  <c r="AT846" i="23"/>
  <c r="AN846" i="23"/>
  <c r="AH846" i="23"/>
  <c r="AB846" i="23"/>
  <c r="R846" i="23"/>
  <c r="I846" i="23"/>
  <c r="CA846" i="23" s="1"/>
  <c r="CE895" i="23" l="1"/>
  <c r="CD850" i="23"/>
  <c r="CE850" i="23" s="1"/>
  <c r="CD848" i="23"/>
  <c r="CE848" i="23" s="1"/>
  <c r="CD851" i="23"/>
  <c r="CE851" i="23" s="1"/>
  <c r="CD966" i="23"/>
  <c r="CE966" i="23" s="1"/>
  <c r="CD897" i="23"/>
  <c r="CE897" i="23" s="1"/>
  <c r="CD849" i="23"/>
  <c r="CE849" i="23" s="1"/>
  <c r="CD893" i="23"/>
  <c r="CE893" i="23" s="1"/>
  <c r="CD846" i="23"/>
  <c r="CD892" i="23"/>
  <c r="CE892" i="23" s="1"/>
  <c r="CD960" i="23"/>
  <c r="CE960" i="23" s="1"/>
  <c r="CD962" i="23"/>
  <c r="CE962" i="23" s="1"/>
  <c r="BM893" i="23"/>
  <c r="CD894" i="23"/>
  <c r="CE894" i="23" s="1"/>
  <c r="CD961" i="23"/>
  <c r="CE961" i="23" s="1"/>
  <c r="CD964" i="23"/>
  <c r="CE964" i="23" s="1"/>
  <c r="CD963" i="23"/>
  <c r="CE963" i="23" s="1"/>
  <c r="CD896" i="23"/>
  <c r="CE896" i="23" s="1"/>
  <c r="CD965" i="23"/>
  <c r="CE965" i="23" s="1"/>
  <c r="CD959" i="23"/>
  <c r="CE959" i="23" s="1"/>
  <c r="BM894" i="23"/>
  <c r="CD847" i="23"/>
  <c r="L846" i="23"/>
  <c r="L847" i="23"/>
  <c r="CE847" i="23" l="1"/>
  <c r="CE846" i="23"/>
  <c r="CC1348" i="23" l="1"/>
  <c r="CB1348" i="23"/>
  <c r="CA1348" i="23"/>
  <c r="BZ1348" i="23"/>
  <c r="BL1348" i="23"/>
  <c r="BF1348" i="23"/>
  <c r="AZ1348" i="23"/>
  <c r="AT1348" i="23"/>
  <c r="AN1348" i="23"/>
  <c r="AH1348" i="23"/>
  <c r="AB1348" i="23"/>
  <c r="R1348" i="23"/>
  <c r="L1348" i="23"/>
  <c r="CD1348" i="23" l="1"/>
  <c r="CE1348" i="23" s="1"/>
  <c r="CC1513" i="23" l="1"/>
  <c r="CB1513" i="23"/>
  <c r="CA1513" i="23"/>
  <c r="BZ1513" i="23"/>
  <c r="BL1513" i="23"/>
  <c r="BF1513" i="23"/>
  <c r="AZ1513" i="23"/>
  <c r="AT1513" i="23"/>
  <c r="AN1513" i="23"/>
  <c r="AH1513" i="23"/>
  <c r="AB1513" i="23"/>
  <c r="R1513" i="23"/>
  <c r="L1513" i="23"/>
  <c r="CC1512" i="23"/>
  <c r="CB1512" i="23"/>
  <c r="CA1512" i="23"/>
  <c r="BZ1512" i="23"/>
  <c r="BL1512" i="23"/>
  <c r="BF1512" i="23"/>
  <c r="AZ1512" i="23"/>
  <c r="AT1512" i="23"/>
  <c r="AN1512" i="23"/>
  <c r="AH1512" i="23"/>
  <c r="AB1512" i="23"/>
  <c r="R1512" i="23"/>
  <c r="L1512" i="23"/>
  <c r="CC121" i="23"/>
  <c r="CB121" i="23"/>
  <c r="CA121" i="23"/>
  <c r="BZ121" i="23"/>
  <c r="BL121" i="23"/>
  <c r="BF121" i="23"/>
  <c r="AZ121" i="23"/>
  <c r="AT121" i="23"/>
  <c r="AN121" i="23"/>
  <c r="AH121" i="23"/>
  <c r="AB121" i="23"/>
  <c r="R121" i="23"/>
  <c r="L121" i="23"/>
  <c r="CC319" i="23"/>
  <c r="CB319" i="23"/>
  <c r="CA319" i="23"/>
  <c r="BZ319" i="23"/>
  <c r="BL319" i="23"/>
  <c r="BF319" i="23"/>
  <c r="AZ319" i="23"/>
  <c r="AT319" i="23"/>
  <c r="AN319" i="23"/>
  <c r="AH319" i="23"/>
  <c r="AB319" i="23"/>
  <c r="R319" i="23"/>
  <c r="L319" i="23"/>
  <c r="CC318" i="23"/>
  <c r="CB318" i="23"/>
  <c r="CA318" i="23"/>
  <c r="BZ318" i="23"/>
  <c r="BL318" i="23"/>
  <c r="BF318" i="23"/>
  <c r="AZ318" i="23"/>
  <c r="AT318" i="23"/>
  <c r="AN318" i="23"/>
  <c r="AH318" i="23"/>
  <c r="AB318" i="23"/>
  <c r="R318" i="23"/>
  <c r="L318" i="23"/>
  <c r="CC317" i="23"/>
  <c r="CB317" i="23"/>
  <c r="CA317" i="23"/>
  <c r="BZ317" i="23"/>
  <c r="BL317" i="23"/>
  <c r="BF317" i="23"/>
  <c r="AZ317" i="23"/>
  <c r="AT317" i="23"/>
  <c r="AN317" i="23"/>
  <c r="AH317" i="23"/>
  <c r="AB317" i="23"/>
  <c r="R317" i="23"/>
  <c r="L317" i="23"/>
  <c r="CC316" i="23"/>
  <c r="CB316" i="23"/>
  <c r="CA316" i="23"/>
  <c r="BZ316" i="23"/>
  <c r="BL316" i="23"/>
  <c r="BF316" i="23"/>
  <c r="AZ316" i="23"/>
  <c r="AT316" i="23"/>
  <c r="AN316" i="23"/>
  <c r="AH316" i="23"/>
  <c r="AB316" i="23"/>
  <c r="R316" i="23"/>
  <c r="L316" i="23"/>
  <c r="CC315" i="23"/>
  <c r="CB315" i="23"/>
  <c r="CA315" i="23"/>
  <c r="BZ315" i="23"/>
  <c r="BL315" i="23"/>
  <c r="BF315" i="23"/>
  <c r="AZ315" i="23"/>
  <c r="AT315" i="23"/>
  <c r="AN315" i="23"/>
  <c r="AH315" i="23"/>
  <c r="AB315" i="23"/>
  <c r="R315" i="23"/>
  <c r="L315" i="23"/>
  <c r="CC314" i="23"/>
  <c r="CB314" i="23"/>
  <c r="CA314" i="23"/>
  <c r="BZ314" i="23"/>
  <c r="BL314" i="23"/>
  <c r="BF314" i="23"/>
  <c r="AZ314" i="23"/>
  <c r="AT314" i="23"/>
  <c r="AN314" i="23"/>
  <c r="AH314" i="23"/>
  <c r="AB314" i="23"/>
  <c r="R314" i="23"/>
  <c r="L314" i="23"/>
  <c r="CC313" i="23"/>
  <c r="CB313" i="23"/>
  <c r="CA313" i="23"/>
  <c r="BZ313" i="23"/>
  <c r="BL313" i="23"/>
  <c r="BF313" i="23"/>
  <c r="AZ313" i="23"/>
  <c r="AT313" i="23"/>
  <c r="AN313" i="23"/>
  <c r="AH313" i="23"/>
  <c r="AB313" i="23"/>
  <c r="R313" i="23"/>
  <c r="L313" i="23"/>
  <c r="CC312" i="23"/>
  <c r="CB312" i="23"/>
  <c r="CA312" i="23"/>
  <c r="BZ312" i="23"/>
  <c r="BL312" i="23"/>
  <c r="BF312" i="23"/>
  <c r="AZ312" i="23"/>
  <c r="AT312" i="23"/>
  <c r="AN312" i="23"/>
  <c r="AH312" i="23"/>
  <c r="AB312" i="23"/>
  <c r="R312" i="23"/>
  <c r="L312" i="23"/>
  <c r="CC311" i="23"/>
  <c r="CB311" i="23"/>
  <c r="CA311" i="23"/>
  <c r="BZ311" i="23"/>
  <c r="BL311" i="23"/>
  <c r="BF311" i="23"/>
  <c r="AZ311" i="23"/>
  <c r="AT311" i="23"/>
  <c r="AN311" i="23"/>
  <c r="AH311" i="23"/>
  <c r="AB311" i="23"/>
  <c r="R311" i="23"/>
  <c r="L311" i="23"/>
  <c r="CC310" i="23"/>
  <c r="CB310" i="23"/>
  <c r="CA310" i="23"/>
  <c r="BZ310" i="23"/>
  <c r="BL310" i="23"/>
  <c r="BF310" i="23"/>
  <c r="AZ310" i="23"/>
  <c r="AT310" i="23"/>
  <c r="AN310" i="23"/>
  <c r="AH310" i="23"/>
  <c r="AB310" i="23"/>
  <c r="R310" i="23"/>
  <c r="L310" i="23"/>
  <c r="CC309" i="23"/>
  <c r="CB309" i="23"/>
  <c r="CA309" i="23"/>
  <c r="BZ309" i="23"/>
  <c r="BL309" i="23"/>
  <c r="BF309" i="23"/>
  <c r="AZ309" i="23"/>
  <c r="AT309" i="23"/>
  <c r="AN309" i="23"/>
  <c r="AH309" i="23"/>
  <c r="AB309" i="23"/>
  <c r="R309" i="23"/>
  <c r="L309" i="23"/>
  <c r="CC308" i="23"/>
  <c r="CB308" i="23"/>
  <c r="CA308" i="23"/>
  <c r="BZ308" i="23"/>
  <c r="BL308" i="23"/>
  <c r="BF308" i="23"/>
  <c r="AZ308" i="23"/>
  <c r="AT308" i="23"/>
  <c r="AN308" i="23"/>
  <c r="AH308" i="23"/>
  <c r="AB308" i="23"/>
  <c r="R308" i="23"/>
  <c r="L308" i="23"/>
  <c r="CC307" i="23"/>
  <c r="CB307" i="23"/>
  <c r="CA307" i="23"/>
  <c r="BZ307" i="23"/>
  <c r="BL307" i="23"/>
  <c r="BF307" i="23"/>
  <c r="AZ307" i="23"/>
  <c r="AT307" i="23"/>
  <c r="AN307" i="23"/>
  <c r="AH307" i="23"/>
  <c r="AB307" i="23"/>
  <c r="R307" i="23"/>
  <c r="L307" i="23"/>
  <c r="CC306" i="23"/>
  <c r="CB306" i="23"/>
  <c r="CA306" i="23"/>
  <c r="BZ306" i="23"/>
  <c r="BL306" i="23"/>
  <c r="BF306" i="23"/>
  <c r="AZ306" i="23"/>
  <c r="AT306" i="23"/>
  <c r="AN306" i="23"/>
  <c r="AH306" i="23"/>
  <c r="AB306" i="23"/>
  <c r="R306" i="23"/>
  <c r="L306" i="23"/>
  <c r="CC305" i="23"/>
  <c r="CB305" i="23"/>
  <c r="CA305" i="23"/>
  <c r="BZ305" i="23"/>
  <c r="BL305" i="23"/>
  <c r="BF305" i="23"/>
  <c r="AZ305" i="23"/>
  <c r="AT305" i="23"/>
  <c r="AN305" i="23"/>
  <c r="AH305" i="23"/>
  <c r="AB305" i="23"/>
  <c r="R305" i="23"/>
  <c r="L305" i="23"/>
  <c r="CC304" i="23"/>
  <c r="CB304" i="23"/>
  <c r="CA304" i="23"/>
  <c r="BZ304" i="23"/>
  <c r="BL304" i="23"/>
  <c r="BF304" i="23"/>
  <c r="AZ304" i="23"/>
  <c r="AT304" i="23"/>
  <c r="AN304" i="23"/>
  <c r="AH304" i="23"/>
  <c r="AB304" i="23"/>
  <c r="R304" i="23"/>
  <c r="L304" i="23"/>
  <c r="CC303" i="23"/>
  <c r="CB303" i="23"/>
  <c r="CA303" i="23"/>
  <c r="BZ303" i="23"/>
  <c r="BL303" i="23"/>
  <c r="BF303" i="23"/>
  <c r="AZ303" i="23"/>
  <c r="AT303" i="23"/>
  <c r="AN303" i="23"/>
  <c r="AH303" i="23"/>
  <c r="AB303" i="23"/>
  <c r="R303" i="23"/>
  <c r="L303" i="23"/>
  <c r="CC302" i="23"/>
  <c r="CB302" i="23"/>
  <c r="BZ302" i="23"/>
  <c r="BL302" i="23"/>
  <c r="BF302" i="23"/>
  <c r="AZ302" i="23"/>
  <c r="AT302" i="23"/>
  <c r="AN302" i="23"/>
  <c r="AH302" i="23"/>
  <c r="AB302" i="23"/>
  <c r="R302" i="23"/>
  <c r="I302" i="23"/>
  <c r="L302" i="23" s="1"/>
  <c r="CC301" i="23"/>
  <c r="CB301" i="23"/>
  <c r="BZ301" i="23"/>
  <c r="BL301" i="23"/>
  <c r="BF301" i="23"/>
  <c r="AZ301" i="23"/>
  <c r="AT301" i="23"/>
  <c r="AN301" i="23"/>
  <c r="AH301" i="23"/>
  <c r="AB301" i="23"/>
  <c r="R301" i="23"/>
  <c r="I301" i="23"/>
  <c r="L301" i="23" s="1"/>
  <c r="K1624" i="23"/>
  <c r="K1623" i="23"/>
  <c r="CD312" i="23" l="1"/>
  <c r="CD121" i="23"/>
  <c r="CA302" i="23"/>
  <c r="CD302" i="23" s="1"/>
  <c r="CE302" i="23" s="1"/>
  <c r="CD309" i="23"/>
  <c r="CE309" i="23" s="1"/>
  <c r="CD306" i="23"/>
  <c r="CE306" i="23" s="1"/>
  <c r="CD1513" i="23"/>
  <c r="CE1513" i="23" s="1"/>
  <c r="CD305" i="23"/>
  <c r="CE305" i="23" s="1"/>
  <c r="CD310" i="23"/>
  <c r="CE310" i="23" s="1"/>
  <c r="CD1512" i="23"/>
  <c r="CE1512" i="23" s="1"/>
  <c r="CE312" i="23"/>
  <c r="CE121" i="23"/>
  <c r="CD313" i="23"/>
  <c r="CE313" i="23" s="1"/>
  <c r="CD303" i="23"/>
  <c r="CE303" i="23" s="1"/>
  <c r="CD311" i="23"/>
  <c r="CE311" i="23" s="1"/>
  <c r="CD317" i="23"/>
  <c r="CE317" i="23" s="1"/>
  <c r="CD319" i="23"/>
  <c r="CE319" i="23" s="1"/>
  <c r="CD318" i="23"/>
  <c r="CE318" i="23" s="1"/>
  <c r="CD315" i="23"/>
  <c r="CE315" i="23" s="1"/>
  <c r="BM121" i="23"/>
  <c r="CD308" i="23"/>
  <c r="CE308" i="23" s="1"/>
  <c r="CD314" i="23"/>
  <c r="CE314" i="23" s="1"/>
  <c r="CD304" i="23"/>
  <c r="CE304" i="23" s="1"/>
  <c r="BM307" i="23"/>
  <c r="CD316" i="23"/>
  <c r="CE316" i="23" s="1"/>
  <c r="CD307" i="23"/>
  <c r="CE307" i="23" s="1"/>
  <c r="CA301" i="23"/>
  <c r="CD301" i="23" s="1"/>
  <c r="CE301" i="23" s="1"/>
  <c r="H747" i="23" l="1"/>
  <c r="H746" i="23"/>
  <c r="I744" i="23"/>
  <c r="W789" i="23"/>
  <c r="BW415" i="23" l="1"/>
  <c r="BW650" i="23"/>
  <c r="BU650" i="23"/>
  <c r="CC1511" i="23" l="1"/>
  <c r="CB1511" i="23"/>
  <c r="CA1511" i="23"/>
  <c r="BZ1511" i="23"/>
  <c r="BL1511" i="23"/>
  <c r="BF1511" i="23"/>
  <c r="AZ1511" i="23"/>
  <c r="AT1511" i="23"/>
  <c r="AN1511" i="23"/>
  <c r="AH1511" i="23"/>
  <c r="AB1511" i="23"/>
  <c r="R1511" i="23"/>
  <c r="L1511" i="23"/>
  <c r="CD1511" i="23" l="1"/>
  <c r="CE1511" i="23" s="1"/>
  <c r="Z1627" i="23" l="1"/>
  <c r="CC228" i="23" l="1"/>
  <c r="CB228" i="23"/>
  <c r="CA228" i="23"/>
  <c r="BZ228" i="23"/>
  <c r="BL228" i="23"/>
  <c r="BF228" i="23"/>
  <c r="AZ228" i="23"/>
  <c r="AT228" i="23"/>
  <c r="AN228" i="23"/>
  <c r="AH228" i="23"/>
  <c r="AB228" i="23"/>
  <c r="R228" i="23"/>
  <c r="L228" i="23"/>
  <c r="H228" i="23"/>
  <c r="CC227" i="23"/>
  <c r="CB227" i="23"/>
  <c r="CA227" i="23"/>
  <c r="BZ227" i="23"/>
  <c r="BL227" i="23"/>
  <c r="BF227" i="23"/>
  <c r="AZ227" i="23"/>
  <c r="AT227" i="23"/>
  <c r="AN227" i="23"/>
  <c r="AH227" i="23"/>
  <c r="AB227" i="23"/>
  <c r="R227" i="23"/>
  <c r="L227" i="23"/>
  <c r="CC226" i="23"/>
  <c r="CB226" i="23"/>
  <c r="CA226" i="23"/>
  <c r="BZ226" i="23"/>
  <c r="BL226" i="23"/>
  <c r="BF226" i="23"/>
  <c r="AZ226" i="23"/>
  <c r="AT226" i="23"/>
  <c r="AN226" i="23"/>
  <c r="AH226" i="23"/>
  <c r="AB226" i="23"/>
  <c r="R226" i="23"/>
  <c r="L226" i="23"/>
  <c r="CC225" i="23"/>
  <c r="CB225" i="23"/>
  <c r="CA225" i="23"/>
  <c r="BZ225" i="23"/>
  <c r="BL225" i="23"/>
  <c r="BF225" i="23"/>
  <c r="AZ225" i="23"/>
  <c r="AT225" i="23"/>
  <c r="AN225" i="23"/>
  <c r="AH225" i="23"/>
  <c r="AB225" i="23"/>
  <c r="R225" i="23"/>
  <c r="L225" i="23"/>
  <c r="CC224" i="23"/>
  <c r="CB224" i="23"/>
  <c r="CA224" i="23"/>
  <c r="BZ224" i="23"/>
  <c r="BL224" i="23"/>
  <c r="BF224" i="23"/>
  <c r="AZ224" i="23"/>
  <c r="AT224" i="23"/>
  <c r="AN224" i="23"/>
  <c r="AH224" i="23"/>
  <c r="AB224" i="23"/>
  <c r="R224" i="23"/>
  <c r="L224" i="23"/>
  <c r="CC223" i="23"/>
  <c r="CB223" i="23"/>
  <c r="CA223" i="23"/>
  <c r="BZ223" i="23"/>
  <c r="BL223" i="23"/>
  <c r="BF223" i="23"/>
  <c r="AZ223" i="23"/>
  <c r="AT223" i="23"/>
  <c r="AN223" i="23"/>
  <c r="AH223" i="23"/>
  <c r="AB223" i="23"/>
  <c r="R223" i="23"/>
  <c r="L223" i="23"/>
  <c r="CC222" i="23"/>
  <c r="CB222" i="23"/>
  <c r="CA222" i="23"/>
  <c r="BZ222" i="23"/>
  <c r="BL222" i="23"/>
  <c r="BF222" i="23"/>
  <c r="AZ222" i="23"/>
  <c r="AT222" i="23"/>
  <c r="AN222" i="23"/>
  <c r="AH222" i="23"/>
  <c r="AB222" i="23"/>
  <c r="R222" i="23"/>
  <c r="L222" i="23"/>
  <c r="H222" i="23"/>
  <c r="CC221" i="23"/>
  <c r="CB221" i="23"/>
  <c r="CA221" i="23"/>
  <c r="BZ221" i="23"/>
  <c r="BL221" i="23"/>
  <c r="BF221" i="23"/>
  <c r="AZ221" i="23"/>
  <c r="AT221" i="23"/>
  <c r="AN221" i="23"/>
  <c r="AH221" i="23"/>
  <c r="AB221" i="23"/>
  <c r="R221" i="23"/>
  <c r="L221" i="23"/>
  <c r="CC220" i="23"/>
  <c r="CB220" i="23"/>
  <c r="CA220" i="23"/>
  <c r="BZ220" i="23"/>
  <c r="BL220" i="23"/>
  <c r="BF220" i="23"/>
  <c r="AZ220" i="23"/>
  <c r="AT220" i="23"/>
  <c r="AN220" i="23"/>
  <c r="AH220" i="23"/>
  <c r="AB220" i="23"/>
  <c r="R220" i="23"/>
  <c r="L220" i="23"/>
  <c r="CD228" i="23" l="1"/>
  <c r="CD227" i="23"/>
  <c r="CE227" i="23" s="1"/>
  <c r="CD226" i="23"/>
  <c r="CE226" i="23" s="1"/>
  <c r="CE228" i="23"/>
  <c r="CD223" i="23"/>
  <c r="CE223" i="23" s="1"/>
  <c r="CD225" i="23"/>
  <c r="CE225" i="23" s="1"/>
  <c r="BM222" i="23"/>
  <c r="BM228" i="23"/>
  <c r="CD222" i="23"/>
  <c r="CE222" i="23" s="1"/>
  <c r="CD224" i="23"/>
  <c r="CE224" i="23" s="1"/>
  <c r="CD221" i="23"/>
  <c r="CE221" i="23" s="1"/>
  <c r="CD220" i="23"/>
  <c r="CE220" i="23" s="1"/>
  <c r="CC1610" i="23"/>
  <c r="CB1610" i="23"/>
  <c r="BZ1610" i="23"/>
  <c r="BL1610" i="23"/>
  <c r="BF1610" i="23"/>
  <c r="AZ1610" i="23"/>
  <c r="AT1610" i="23"/>
  <c r="AN1610" i="23"/>
  <c r="AH1610" i="23"/>
  <c r="AB1610" i="23"/>
  <c r="R1610" i="23"/>
  <c r="I1610" i="23"/>
  <c r="CA1610" i="23" s="1"/>
  <c r="CC1609" i="23"/>
  <c r="CB1609" i="23"/>
  <c r="BZ1609" i="23"/>
  <c r="BL1609" i="23"/>
  <c r="BF1609" i="23"/>
  <c r="AZ1609" i="23"/>
  <c r="AT1609" i="23"/>
  <c r="AN1609" i="23"/>
  <c r="AH1609" i="23"/>
  <c r="AB1609" i="23"/>
  <c r="R1609" i="23"/>
  <c r="I1609" i="23"/>
  <c r="CA1609" i="23" s="1"/>
  <c r="CC1608" i="23"/>
  <c r="CB1608" i="23"/>
  <c r="BZ1608" i="23"/>
  <c r="BL1608" i="23"/>
  <c r="BF1608" i="23"/>
  <c r="AZ1608" i="23"/>
  <c r="AT1608" i="23"/>
  <c r="AN1608" i="23"/>
  <c r="AH1608" i="23"/>
  <c r="AB1608" i="23"/>
  <c r="R1608" i="23"/>
  <c r="I1608" i="23"/>
  <c r="CA1608" i="23" s="1"/>
  <c r="L1610" i="23" l="1"/>
  <c r="L1609" i="23"/>
  <c r="L1608" i="23"/>
  <c r="CD1608" i="23"/>
  <c r="CD1609" i="23"/>
  <c r="CD1610" i="23"/>
  <c r="BU261" i="23"/>
  <c r="BY1494" i="23"/>
  <c r="BU555" i="23"/>
  <c r="CC518" i="23"/>
  <c r="CB518" i="23"/>
  <c r="CA518" i="23"/>
  <c r="BZ518" i="23"/>
  <c r="BL518" i="23"/>
  <c r="BF518" i="23"/>
  <c r="AZ518" i="23"/>
  <c r="AT518" i="23"/>
  <c r="AN518" i="23"/>
  <c r="AH518" i="23"/>
  <c r="AB518" i="23"/>
  <c r="R518" i="23"/>
  <c r="L518" i="23"/>
  <c r="BU704" i="23"/>
  <c r="CE1610" i="23" l="1"/>
  <c r="CE1608" i="23"/>
  <c r="CE1609" i="23"/>
  <c r="CD518" i="23"/>
  <c r="CE518" i="23" s="1"/>
  <c r="W751" i="23"/>
  <c r="W642" i="23"/>
  <c r="W641" i="23"/>
  <c r="CC219" i="23"/>
  <c r="CB219" i="23"/>
  <c r="CA219" i="23"/>
  <c r="BZ219" i="23"/>
  <c r="BL219" i="23"/>
  <c r="BF219" i="23"/>
  <c r="AZ219" i="23"/>
  <c r="AT219" i="23"/>
  <c r="AN219" i="23"/>
  <c r="AH219" i="23"/>
  <c r="AB219" i="23"/>
  <c r="R219" i="23"/>
  <c r="L219" i="23"/>
  <c r="CC218" i="23"/>
  <c r="CB218" i="23"/>
  <c r="CA218" i="23"/>
  <c r="BZ218" i="23"/>
  <c r="BL218" i="23"/>
  <c r="BF218" i="23"/>
  <c r="AZ218" i="23"/>
  <c r="AT218" i="23"/>
  <c r="AN218" i="23"/>
  <c r="AH218" i="23"/>
  <c r="AB218" i="23"/>
  <c r="R218" i="23"/>
  <c r="L218" i="23"/>
  <c r="CC217" i="23"/>
  <c r="CB217" i="23"/>
  <c r="CA217" i="23"/>
  <c r="BZ217" i="23"/>
  <c r="BL217" i="23"/>
  <c r="BF217" i="23"/>
  <c r="AZ217" i="23"/>
  <c r="AT217" i="23"/>
  <c r="AN217" i="23"/>
  <c r="AH217" i="23"/>
  <c r="AB217" i="23"/>
  <c r="R217" i="23"/>
  <c r="L217" i="23"/>
  <c r="CC216" i="23"/>
  <c r="CB216" i="23"/>
  <c r="CA216" i="23"/>
  <c r="BZ216" i="23"/>
  <c r="BL216" i="23"/>
  <c r="BF216" i="23"/>
  <c r="AZ216" i="23"/>
  <c r="AT216" i="23"/>
  <c r="AN216" i="23"/>
  <c r="AH216" i="23"/>
  <c r="AB216" i="23"/>
  <c r="R216" i="23"/>
  <c r="L216" i="23"/>
  <c r="H216" i="23"/>
  <c r="CC215" i="23"/>
  <c r="CB215" i="23"/>
  <c r="BZ215" i="23"/>
  <c r="BL215" i="23"/>
  <c r="BF215" i="23"/>
  <c r="AZ215" i="23"/>
  <c r="AT215" i="23"/>
  <c r="AN215" i="23"/>
  <c r="AH215" i="23"/>
  <c r="AB215" i="23"/>
  <c r="R215" i="23"/>
  <c r="I215" i="23"/>
  <c r="CA215" i="23" s="1"/>
  <c r="CC214" i="23"/>
  <c r="CB214" i="23"/>
  <c r="BZ214" i="23"/>
  <c r="BL214" i="23"/>
  <c r="BF214" i="23"/>
  <c r="AZ214" i="23"/>
  <c r="AT214" i="23"/>
  <c r="AN214" i="23"/>
  <c r="AH214" i="23"/>
  <c r="AB214" i="23"/>
  <c r="R214" i="23"/>
  <c r="I214" i="23"/>
  <c r="CA214" i="23" s="1"/>
  <c r="CC845" i="23"/>
  <c r="CB845" i="23"/>
  <c r="CA845" i="23"/>
  <c r="BZ845" i="23"/>
  <c r="BL845" i="23"/>
  <c r="BF845" i="23"/>
  <c r="AZ845" i="23"/>
  <c r="AT845" i="23"/>
  <c r="AN845" i="23"/>
  <c r="AH845" i="23"/>
  <c r="AB845" i="23"/>
  <c r="R845" i="23"/>
  <c r="L845" i="23"/>
  <c r="CC844" i="23"/>
  <c r="CB844" i="23"/>
  <c r="CA844" i="23"/>
  <c r="BZ844" i="23"/>
  <c r="BL844" i="23"/>
  <c r="BF844" i="23"/>
  <c r="AZ844" i="23"/>
  <c r="AT844" i="23"/>
  <c r="AN844" i="23"/>
  <c r="AH844" i="23"/>
  <c r="AB844" i="23"/>
  <c r="R844" i="23"/>
  <c r="L844" i="23"/>
  <c r="CD215" i="23" l="1"/>
  <c r="CD845" i="23"/>
  <c r="CE845" i="23" s="1"/>
  <c r="CD216" i="23"/>
  <c r="CE216" i="23" s="1"/>
  <c r="BM216" i="23"/>
  <c r="CD217" i="23"/>
  <c r="CE217" i="23" s="1"/>
  <c r="CD844" i="23"/>
  <c r="CE844" i="23" s="1"/>
  <c r="CD219" i="23"/>
  <c r="CE219" i="23" s="1"/>
  <c r="CD218" i="23"/>
  <c r="CE218" i="23" s="1"/>
  <c r="CD214" i="23"/>
  <c r="L215" i="23"/>
  <c r="L214" i="23"/>
  <c r="I1552" i="23"/>
  <c r="I1551" i="23"/>
  <c r="I1550" i="23"/>
  <c r="I1549" i="23"/>
  <c r="CE214" i="23" l="1"/>
  <c r="CE215" i="23"/>
  <c r="W792" i="23" l="1"/>
  <c r="Y1217" i="23" l="1"/>
  <c r="W572" i="23"/>
  <c r="W486" i="23"/>
  <c r="W1625" i="23"/>
  <c r="Y254" i="23" l="1"/>
  <c r="Y251" i="23"/>
  <c r="Y1590" i="23"/>
  <c r="Z1589" i="23"/>
  <c r="CC1076" i="23" l="1"/>
  <c r="CB1076" i="23"/>
  <c r="CA1076" i="23"/>
  <c r="BZ1076" i="23"/>
  <c r="BL1076" i="23"/>
  <c r="BF1076" i="23"/>
  <c r="AZ1076" i="23"/>
  <c r="AT1076" i="23"/>
  <c r="AN1076" i="23"/>
  <c r="AH1076" i="23"/>
  <c r="AB1076" i="23"/>
  <c r="R1076" i="23"/>
  <c r="L1076" i="23"/>
  <c r="CC1075" i="23"/>
  <c r="CB1075" i="23"/>
  <c r="CA1075" i="23"/>
  <c r="BZ1075" i="23"/>
  <c r="BL1075" i="23"/>
  <c r="BF1075" i="23"/>
  <c r="AZ1075" i="23"/>
  <c r="AT1075" i="23"/>
  <c r="AN1075" i="23"/>
  <c r="AH1075" i="23"/>
  <c r="AB1075" i="23"/>
  <c r="R1075" i="23"/>
  <c r="L1075" i="23"/>
  <c r="CC1074" i="23"/>
  <c r="CB1074" i="23"/>
  <c r="CA1074" i="23"/>
  <c r="BZ1074" i="23"/>
  <c r="BL1074" i="23"/>
  <c r="BF1074" i="23"/>
  <c r="AZ1074" i="23"/>
  <c r="AT1074" i="23"/>
  <c r="AN1074" i="23"/>
  <c r="AH1074" i="23"/>
  <c r="AB1074" i="23"/>
  <c r="R1074" i="23"/>
  <c r="L1074" i="23"/>
  <c r="CC1073" i="23"/>
  <c r="CB1073" i="23"/>
  <c r="CA1073" i="23"/>
  <c r="BZ1073" i="23"/>
  <c r="BL1073" i="23"/>
  <c r="BF1073" i="23"/>
  <c r="AZ1073" i="23"/>
  <c r="AT1073" i="23"/>
  <c r="AN1073" i="23"/>
  <c r="AH1073" i="23"/>
  <c r="AB1073" i="23"/>
  <c r="R1073" i="23"/>
  <c r="L1073" i="23"/>
  <c r="CC1072" i="23"/>
  <c r="CB1072" i="23"/>
  <c r="CA1072" i="23"/>
  <c r="BZ1072" i="23"/>
  <c r="BL1072" i="23"/>
  <c r="BF1072" i="23"/>
  <c r="AZ1072" i="23"/>
  <c r="AT1072" i="23"/>
  <c r="AN1072" i="23"/>
  <c r="AH1072" i="23"/>
  <c r="AB1072" i="23"/>
  <c r="R1072" i="23"/>
  <c r="L1072" i="23"/>
  <c r="CC1071" i="23"/>
  <c r="CB1071" i="23"/>
  <c r="CA1071" i="23"/>
  <c r="BZ1071" i="23"/>
  <c r="BL1071" i="23"/>
  <c r="BF1071" i="23"/>
  <c r="AZ1071" i="23"/>
  <c r="AT1071" i="23"/>
  <c r="AN1071" i="23"/>
  <c r="AH1071" i="23"/>
  <c r="AB1071" i="23"/>
  <c r="R1071" i="23"/>
  <c r="L1071" i="23"/>
  <c r="CC1070" i="23"/>
  <c r="CB1070" i="23"/>
  <c r="CA1070" i="23"/>
  <c r="BZ1070" i="23"/>
  <c r="BL1070" i="23"/>
  <c r="BF1070" i="23"/>
  <c r="AZ1070" i="23"/>
  <c r="AT1070" i="23"/>
  <c r="AN1070" i="23"/>
  <c r="AH1070" i="23"/>
  <c r="AB1070" i="23"/>
  <c r="R1070" i="23"/>
  <c r="L1070" i="23"/>
  <c r="CC1069" i="23"/>
  <c r="CB1069" i="23"/>
  <c r="CA1069" i="23"/>
  <c r="BZ1069" i="23"/>
  <c r="BL1069" i="23"/>
  <c r="BF1069" i="23"/>
  <c r="AZ1069" i="23"/>
  <c r="AT1069" i="23"/>
  <c r="AN1069" i="23"/>
  <c r="AH1069" i="23"/>
  <c r="AB1069" i="23"/>
  <c r="R1069" i="23"/>
  <c r="L1069" i="23"/>
  <c r="CD1074" i="23" l="1"/>
  <c r="CE1074" i="23" s="1"/>
  <c r="CD1075" i="23"/>
  <c r="CE1075" i="23" s="1"/>
  <c r="CD1071" i="23"/>
  <c r="CE1071" i="23" s="1"/>
  <c r="CD1073" i="23"/>
  <c r="CE1073" i="23" s="1"/>
  <c r="CD1076" i="23"/>
  <c r="CE1076" i="23" s="1"/>
  <c r="CD1070" i="23"/>
  <c r="CE1070" i="23" s="1"/>
  <c r="CD1072" i="23"/>
  <c r="CE1072" i="23" s="1"/>
  <c r="CD1069" i="23"/>
  <c r="CE1069" i="23" s="1"/>
  <c r="K1060" i="23"/>
  <c r="I1060" i="23"/>
  <c r="I1045" i="23"/>
  <c r="I1048" i="23"/>
  <c r="I1047" i="23"/>
  <c r="I1046" i="23"/>
  <c r="W724" i="23"/>
  <c r="AY297" i="23" l="1"/>
  <c r="AY298" i="23"/>
  <c r="BU1430" i="23"/>
  <c r="BW258" i="23"/>
  <c r="BU258" i="23"/>
  <c r="BW464" i="19"/>
  <c r="BU429" i="23" l="1"/>
  <c r="W428" i="23" l="1"/>
  <c r="W684" i="23"/>
  <c r="W500" i="23"/>
  <c r="AY267" i="23" l="1"/>
  <c r="Y555" i="23" l="1"/>
  <c r="AA1494" i="23"/>
  <c r="Y1494" i="23"/>
  <c r="CC120" i="23" l="1"/>
  <c r="CB120" i="23"/>
  <c r="CA120" i="23"/>
  <c r="BZ120" i="23"/>
  <c r="BL120" i="23"/>
  <c r="BF120" i="23"/>
  <c r="AZ120" i="23"/>
  <c r="AT120" i="23"/>
  <c r="AN120" i="23"/>
  <c r="AH120" i="23"/>
  <c r="AB120" i="23"/>
  <c r="R120" i="23"/>
  <c r="L120" i="23"/>
  <c r="CC119" i="23"/>
  <c r="CB119" i="23"/>
  <c r="CA119" i="23"/>
  <c r="BZ119" i="23"/>
  <c r="BL119" i="23"/>
  <c r="BF119" i="23"/>
  <c r="AZ119" i="23"/>
  <c r="AT119" i="23"/>
  <c r="AN119" i="23"/>
  <c r="AH119" i="23"/>
  <c r="AB119" i="23"/>
  <c r="R119" i="23"/>
  <c r="L119" i="23"/>
  <c r="CC213" i="23"/>
  <c r="CB213" i="23"/>
  <c r="CA213" i="23"/>
  <c r="BZ213" i="23"/>
  <c r="BL213" i="23"/>
  <c r="BF213" i="23"/>
  <c r="AZ213" i="23"/>
  <c r="AT213" i="23"/>
  <c r="AN213" i="23"/>
  <c r="AH213" i="23"/>
  <c r="AB213" i="23"/>
  <c r="R213" i="23"/>
  <c r="L213" i="23"/>
  <c r="CC212" i="23"/>
  <c r="CB212" i="23"/>
  <c r="CA212" i="23"/>
  <c r="BZ212" i="23"/>
  <c r="BL212" i="23"/>
  <c r="BF212" i="23"/>
  <c r="AZ212" i="23"/>
  <c r="AT212" i="23"/>
  <c r="AN212" i="23"/>
  <c r="AH212" i="23"/>
  <c r="AB212" i="23"/>
  <c r="R212" i="23"/>
  <c r="L212" i="23"/>
  <c r="CC211" i="23"/>
  <c r="CB211" i="23"/>
  <c r="CA211" i="23"/>
  <c r="BZ211" i="23"/>
  <c r="BL211" i="23"/>
  <c r="BF211" i="23"/>
  <c r="AZ211" i="23"/>
  <c r="AT211" i="23"/>
  <c r="AN211" i="23"/>
  <c r="AH211" i="23"/>
  <c r="AB211" i="23"/>
  <c r="R211" i="23"/>
  <c r="L211" i="23"/>
  <c r="CC210" i="23"/>
  <c r="CB210" i="23"/>
  <c r="CA210" i="23"/>
  <c r="BZ210" i="23"/>
  <c r="BL210" i="23"/>
  <c r="BF210" i="23"/>
  <c r="AZ210" i="23"/>
  <c r="AT210" i="23"/>
  <c r="AN210" i="23"/>
  <c r="AH210" i="23"/>
  <c r="AB210" i="23"/>
  <c r="R210" i="23"/>
  <c r="L210" i="23"/>
  <c r="CC209" i="23"/>
  <c r="CB209" i="23"/>
  <c r="CA209" i="23"/>
  <c r="BZ209" i="23"/>
  <c r="BL209" i="23"/>
  <c r="BF209" i="23"/>
  <c r="AZ209" i="23"/>
  <c r="AT209" i="23"/>
  <c r="AN209" i="23"/>
  <c r="AH209" i="23"/>
  <c r="AB209" i="23"/>
  <c r="R209" i="23"/>
  <c r="L209" i="23"/>
  <c r="CC208" i="23"/>
  <c r="CB208" i="23"/>
  <c r="CA208" i="23"/>
  <c r="BZ208" i="23"/>
  <c r="BL208" i="23"/>
  <c r="BF208" i="23"/>
  <c r="AZ208" i="23"/>
  <c r="AT208" i="23"/>
  <c r="AN208" i="23"/>
  <c r="AH208" i="23"/>
  <c r="AB208" i="23"/>
  <c r="R208" i="23"/>
  <c r="L208" i="23"/>
  <c r="CC207" i="23"/>
  <c r="CB207" i="23"/>
  <c r="CA207" i="23"/>
  <c r="BZ207" i="23"/>
  <c r="BL207" i="23"/>
  <c r="BF207" i="23"/>
  <c r="AZ207" i="23"/>
  <c r="AT207" i="23"/>
  <c r="AN207" i="23"/>
  <c r="AH207" i="23"/>
  <c r="AB207" i="23"/>
  <c r="R207" i="23"/>
  <c r="L207" i="23"/>
  <c r="CC206" i="23"/>
  <c r="CB206" i="23"/>
  <c r="CA206" i="23"/>
  <c r="BZ206" i="23"/>
  <c r="BL206" i="23"/>
  <c r="BF206" i="23"/>
  <c r="AZ206" i="23"/>
  <c r="AT206" i="23"/>
  <c r="AN206" i="23"/>
  <c r="AH206" i="23"/>
  <c r="AB206" i="23"/>
  <c r="R206" i="23"/>
  <c r="L206" i="23"/>
  <c r="H206" i="23"/>
  <c r="CC205" i="23"/>
  <c r="CB205" i="23"/>
  <c r="CA205" i="23"/>
  <c r="BZ205" i="23"/>
  <c r="BL205" i="23"/>
  <c r="BF205" i="23"/>
  <c r="AZ205" i="23"/>
  <c r="AT205" i="23"/>
  <c r="AN205" i="23"/>
  <c r="AH205" i="23"/>
  <c r="AB205" i="23"/>
  <c r="R205" i="23"/>
  <c r="L205" i="23"/>
  <c r="CC204" i="23"/>
  <c r="CB204" i="23"/>
  <c r="CA204" i="23"/>
  <c r="BZ204" i="23"/>
  <c r="BL204" i="23"/>
  <c r="BF204" i="23"/>
  <c r="AZ204" i="23"/>
  <c r="AT204" i="23"/>
  <c r="AN204" i="23"/>
  <c r="AH204" i="23"/>
  <c r="AB204" i="23"/>
  <c r="R204" i="23"/>
  <c r="L204" i="23"/>
  <c r="CC203" i="23"/>
  <c r="CB203" i="23"/>
  <c r="CA203" i="23"/>
  <c r="BZ203" i="23"/>
  <c r="BL203" i="23"/>
  <c r="BF203" i="23"/>
  <c r="AZ203" i="23"/>
  <c r="AT203" i="23"/>
  <c r="AN203" i="23"/>
  <c r="AH203" i="23"/>
  <c r="AB203" i="23"/>
  <c r="R203" i="23"/>
  <c r="L203" i="23"/>
  <c r="CC202" i="23"/>
  <c r="CB202" i="23"/>
  <c r="CA202" i="23"/>
  <c r="BZ202" i="23"/>
  <c r="BL202" i="23"/>
  <c r="BF202" i="23"/>
  <c r="AZ202" i="23"/>
  <c r="AT202" i="23"/>
  <c r="AN202" i="23"/>
  <c r="AH202" i="23"/>
  <c r="AB202" i="23"/>
  <c r="R202" i="23"/>
  <c r="L202" i="23"/>
  <c r="CC201" i="23"/>
  <c r="CB201" i="23"/>
  <c r="CA201" i="23"/>
  <c r="BZ201" i="23"/>
  <c r="BL201" i="23"/>
  <c r="BF201" i="23"/>
  <c r="AZ201" i="23"/>
  <c r="AT201" i="23"/>
  <c r="AN201" i="23"/>
  <c r="AH201" i="23"/>
  <c r="AB201" i="23"/>
  <c r="R201" i="23"/>
  <c r="L201" i="23"/>
  <c r="CC200" i="23"/>
  <c r="CB200" i="23"/>
  <c r="CA200" i="23"/>
  <c r="BZ200" i="23"/>
  <c r="BL200" i="23"/>
  <c r="BF200" i="23"/>
  <c r="AZ200" i="23"/>
  <c r="AT200" i="23"/>
  <c r="AN200" i="23"/>
  <c r="AH200" i="23"/>
  <c r="AB200" i="23"/>
  <c r="R200" i="23"/>
  <c r="L200" i="23"/>
  <c r="CC199" i="23"/>
  <c r="CB199" i="23"/>
  <c r="CA199" i="23"/>
  <c r="BZ199" i="23"/>
  <c r="BL199" i="23"/>
  <c r="BF199" i="23"/>
  <c r="AZ199" i="23"/>
  <c r="AT199" i="23"/>
  <c r="AN199" i="23"/>
  <c r="AH199" i="23"/>
  <c r="AB199" i="23"/>
  <c r="R199" i="23"/>
  <c r="L199" i="23"/>
  <c r="CC198" i="23"/>
  <c r="CB198" i="23"/>
  <c r="CA198" i="23"/>
  <c r="BZ198" i="23"/>
  <c r="BL198" i="23"/>
  <c r="BF198" i="23"/>
  <c r="AZ198" i="23"/>
  <c r="AT198" i="23"/>
  <c r="AN198" i="23"/>
  <c r="AH198" i="23"/>
  <c r="AB198" i="23"/>
  <c r="R198" i="23"/>
  <c r="L198" i="23"/>
  <c r="H198" i="23"/>
  <c r="CC197" i="23"/>
  <c r="CB197" i="23"/>
  <c r="CA197" i="23"/>
  <c r="BZ197" i="23"/>
  <c r="BL197" i="23"/>
  <c r="BF197" i="23"/>
  <c r="AZ197" i="23"/>
  <c r="AT197" i="23"/>
  <c r="AN197" i="23"/>
  <c r="AH197" i="23"/>
  <c r="AB197" i="23"/>
  <c r="R197" i="23"/>
  <c r="L197" i="23"/>
  <c r="CC196" i="23"/>
  <c r="CB196" i="23"/>
  <c r="CA196" i="23"/>
  <c r="BZ196" i="23"/>
  <c r="BL196" i="23"/>
  <c r="BF196" i="23"/>
  <c r="AZ196" i="23"/>
  <c r="AT196" i="23"/>
  <c r="AN196" i="23"/>
  <c r="AH196" i="23"/>
  <c r="AB196" i="23"/>
  <c r="R196" i="23"/>
  <c r="L196" i="23"/>
  <c r="CC195" i="23"/>
  <c r="CB195" i="23"/>
  <c r="CA195" i="23"/>
  <c r="BZ195" i="23"/>
  <c r="BL195" i="23"/>
  <c r="BF195" i="23"/>
  <c r="AZ195" i="23"/>
  <c r="AT195" i="23"/>
  <c r="AN195" i="23"/>
  <c r="AH195" i="23"/>
  <c r="AB195" i="23"/>
  <c r="R195" i="23"/>
  <c r="L195" i="23"/>
  <c r="CC194" i="23"/>
  <c r="CB194" i="23"/>
  <c r="CA194" i="23"/>
  <c r="BZ194" i="23"/>
  <c r="BL194" i="23"/>
  <c r="BF194" i="23"/>
  <c r="AZ194" i="23"/>
  <c r="AT194" i="23"/>
  <c r="AN194" i="23"/>
  <c r="AH194" i="23"/>
  <c r="AB194" i="23"/>
  <c r="R194" i="23"/>
  <c r="L194" i="23"/>
  <c r="CC193" i="23"/>
  <c r="CB193" i="23"/>
  <c r="CA193" i="23"/>
  <c r="BZ193" i="23"/>
  <c r="BL193" i="23"/>
  <c r="BF193" i="23"/>
  <c r="AZ193" i="23"/>
  <c r="AT193" i="23"/>
  <c r="AN193" i="23"/>
  <c r="AH193" i="23"/>
  <c r="AB193" i="23"/>
  <c r="R193" i="23"/>
  <c r="L193" i="23"/>
  <c r="CC192" i="23"/>
  <c r="CB192" i="23"/>
  <c r="CA192" i="23"/>
  <c r="BZ192" i="23"/>
  <c r="BL192" i="23"/>
  <c r="BF192" i="23"/>
  <c r="AZ192" i="23"/>
  <c r="AT192" i="23"/>
  <c r="AN192" i="23"/>
  <c r="AH192" i="23"/>
  <c r="AB192" i="23"/>
  <c r="R192" i="23"/>
  <c r="L192" i="23"/>
  <c r="CC191" i="23"/>
  <c r="CB191" i="23"/>
  <c r="CA191" i="23"/>
  <c r="BZ191" i="23"/>
  <c r="BL191" i="23"/>
  <c r="BF191" i="23"/>
  <c r="AZ191" i="23"/>
  <c r="AT191" i="23"/>
  <c r="AN191" i="23"/>
  <c r="AH191" i="23"/>
  <c r="AB191" i="23"/>
  <c r="R191" i="23"/>
  <c r="L191" i="23"/>
  <c r="CC190" i="23"/>
  <c r="CB190" i="23"/>
  <c r="CA190" i="23"/>
  <c r="BZ190" i="23"/>
  <c r="BL190" i="23"/>
  <c r="BF190" i="23"/>
  <c r="AZ190" i="23"/>
  <c r="AT190" i="23"/>
  <c r="AN190" i="23"/>
  <c r="AH190" i="23"/>
  <c r="AB190" i="23"/>
  <c r="R190" i="23"/>
  <c r="L190" i="23"/>
  <c r="CC189" i="23"/>
  <c r="CB189" i="23"/>
  <c r="CA189" i="23"/>
  <c r="BZ189" i="23"/>
  <c r="BL189" i="23"/>
  <c r="BF189" i="23"/>
  <c r="AZ189" i="23"/>
  <c r="AT189" i="23"/>
  <c r="AN189" i="23"/>
  <c r="AH189" i="23"/>
  <c r="AB189" i="23"/>
  <c r="R189" i="23"/>
  <c r="L189" i="23"/>
  <c r="CC188" i="23"/>
  <c r="CB188" i="23"/>
  <c r="CA188" i="23"/>
  <c r="BZ188" i="23"/>
  <c r="BL188" i="23"/>
  <c r="BF188" i="23"/>
  <c r="AZ188" i="23"/>
  <c r="AT188" i="23"/>
  <c r="AN188" i="23"/>
  <c r="AH188" i="23"/>
  <c r="AB188" i="23"/>
  <c r="R188" i="23"/>
  <c r="L188" i="23"/>
  <c r="CC187" i="23"/>
  <c r="CB187" i="23"/>
  <c r="CA187" i="23"/>
  <c r="BZ187" i="23"/>
  <c r="BL187" i="23"/>
  <c r="BF187" i="23"/>
  <c r="AZ187" i="23"/>
  <c r="AT187" i="23"/>
  <c r="AN187" i="23"/>
  <c r="AH187" i="23"/>
  <c r="AB187" i="23"/>
  <c r="R187" i="23"/>
  <c r="L187" i="23"/>
  <c r="CC186" i="23"/>
  <c r="CB186" i="23"/>
  <c r="CA186" i="23"/>
  <c r="BZ186" i="23"/>
  <c r="BL186" i="23"/>
  <c r="BF186" i="23"/>
  <c r="AZ186" i="23"/>
  <c r="AT186" i="23"/>
  <c r="AN186" i="23"/>
  <c r="AH186" i="23"/>
  <c r="AB186" i="23"/>
  <c r="R186" i="23"/>
  <c r="L186" i="23"/>
  <c r="CC185" i="23"/>
  <c r="CB185" i="23"/>
  <c r="CA185" i="23"/>
  <c r="BZ185" i="23"/>
  <c r="BL185" i="23"/>
  <c r="BF185" i="23"/>
  <c r="AZ185" i="23"/>
  <c r="AT185" i="23"/>
  <c r="AN185" i="23"/>
  <c r="AH185" i="23"/>
  <c r="AB185" i="23"/>
  <c r="R185" i="23"/>
  <c r="L185" i="23"/>
  <c r="H185" i="23"/>
  <c r="CC184" i="23"/>
  <c r="CB184" i="23"/>
  <c r="CA184" i="23"/>
  <c r="BZ184" i="23"/>
  <c r="BL184" i="23"/>
  <c r="BF184" i="23"/>
  <c r="AZ184" i="23"/>
  <c r="AT184" i="23"/>
  <c r="AN184" i="23"/>
  <c r="AH184" i="23"/>
  <c r="AB184" i="23"/>
  <c r="R184" i="23"/>
  <c r="L184" i="23"/>
  <c r="CC183" i="23"/>
  <c r="CB183" i="23"/>
  <c r="CA183" i="23"/>
  <c r="BZ183" i="23"/>
  <c r="BL183" i="23"/>
  <c r="BF183" i="23"/>
  <c r="AZ183" i="23"/>
  <c r="AT183" i="23"/>
  <c r="AN183" i="23"/>
  <c r="AH183" i="23"/>
  <c r="AB183" i="23"/>
  <c r="R183" i="23"/>
  <c r="L183" i="23"/>
  <c r="CC182" i="23"/>
  <c r="CB182" i="23"/>
  <c r="CA182" i="23"/>
  <c r="BZ182" i="23"/>
  <c r="BL182" i="23"/>
  <c r="BF182" i="23"/>
  <c r="AZ182" i="23"/>
  <c r="AT182" i="23"/>
  <c r="AN182" i="23"/>
  <c r="AH182" i="23"/>
  <c r="AB182" i="23"/>
  <c r="R182" i="23"/>
  <c r="L182" i="23"/>
  <c r="CC181" i="23"/>
  <c r="CB181" i="23"/>
  <c r="CA181" i="23"/>
  <c r="BZ181" i="23"/>
  <c r="BL181" i="23"/>
  <c r="BF181" i="23"/>
  <c r="AZ181" i="23"/>
  <c r="AT181" i="23"/>
  <c r="AN181" i="23"/>
  <c r="AH181" i="23"/>
  <c r="AB181" i="23"/>
  <c r="R181" i="23"/>
  <c r="L181" i="23"/>
  <c r="CC180" i="23"/>
  <c r="CB180" i="23"/>
  <c r="CA180" i="23"/>
  <c r="BZ180" i="23"/>
  <c r="BL180" i="23"/>
  <c r="BF180" i="23"/>
  <c r="AZ180" i="23"/>
  <c r="AT180" i="23"/>
  <c r="AN180" i="23"/>
  <c r="AH180" i="23"/>
  <c r="AB180" i="23"/>
  <c r="R180" i="23"/>
  <c r="L180" i="23"/>
  <c r="CC179" i="23"/>
  <c r="CB179" i="23"/>
  <c r="CA179" i="23"/>
  <c r="BZ179" i="23"/>
  <c r="BL179" i="23"/>
  <c r="BF179" i="23"/>
  <c r="AZ179" i="23"/>
  <c r="AT179" i="23"/>
  <c r="AN179" i="23"/>
  <c r="AH179" i="23"/>
  <c r="AB179" i="23"/>
  <c r="R179" i="23"/>
  <c r="L179" i="23"/>
  <c r="CC178" i="23"/>
  <c r="CB178" i="23"/>
  <c r="CA178" i="23"/>
  <c r="BZ178" i="23"/>
  <c r="BL178" i="23"/>
  <c r="BF178" i="23"/>
  <c r="AZ178" i="23"/>
  <c r="AT178" i="23"/>
  <c r="AN178" i="23"/>
  <c r="AH178" i="23"/>
  <c r="AB178" i="23"/>
  <c r="R178" i="23"/>
  <c r="L178" i="23"/>
  <c r="CC177" i="23"/>
  <c r="CB177" i="23"/>
  <c r="CA177" i="23"/>
  <c r="BZ177" i="23"/>
  <c r="BL177" i="23"/>
  <c r="BF177" i="23"/>
  <c r="AZ177" i="23"/>
  <c r="AT177" i="23"/>
  <c r="AN177" i="23"/>
  <c r="AH177" i="23"/>
  <c r="AB177" i="23"/>
  <c r="R177" i="23"/>
  <c r="L177" i="23"/>
  <c r="CD188" i="23" l="1"/>
  <c r="CE188" i="23" s="1"/>
  <c r="CD210" i="23"/>
  <c r="CE210" i="23" s="1"/>
  <c r="CD213" i="23"/>
  <c r="CE213" i="23" s="1"/>
  <c r="CD177" i="23"/>
  <c r="CE177" i="23" s="1"/>
  <c r="CD191" i="23"/>
  <c r="CE191" i="23" s="1"/>
  <c r="CD208" i="23"/>
  <c r="CE208" i="23" s="1"/>
  <c r="CD183" i="23"/>
  <c r="CE183" i="23" s="1"/>
  <c r="BM185" i="23"/>
  <c r="CD199" i="23"/>
  <c r="CE199" i="23" s="1"/>
  <c r="CD181" i="23"/>
  <c r="CE181" i="23" s="1"/>
  <c r="CD119" i="23"/>
  <c r="CE119" i="23" s="1"/>
  <c r="CD205" i="23"/>
  <c r="CE205" i="23" s="1"/>
  <c r="CD185" i="23"/>
  <c r="CE185" i="23" s="1"/>
  <c r="CD120" i="23"/>
  <c r="CE120" i="23" s="1"/>
  <c r="CD203" i="23"/>
  <c r="CE203" i="23" s="1"/>
  <c r="BM206" i="23"/>
  <c r="CD212" i="23"/>
  <c r="CE212" i="23" s="1"/>
  <c r="CD179" i="23"/>
  <c r="CE179" i="23" s="1"/>
  <c r="CD201" i="23"/>
  <c r="CE201" i="23" s="1"/>
  <c r="CD209" i="23"/>
  <c r="CE209" i="23" s="1"/>
  <c r="CD180" i="23"/>
  <c r="CE180" i="23" s="1"/>
  <c r="CD196" i="23"/>
  <c r="CE196" i="23" s="1"/>
  <c r="CD202" i="23"/>
  <c r="CE202" i="23" s="1"/>
  <c r="CD193" i="23"/>
  <c r="CE193" i="23" s="1"/>
  <c r="CD182" i="23"/>
  <c r="CE182" i="23" s="1"/>
  <c r="CD190" i="23"/>
  <c r="CE190" i="23" s="1"/>
  <c r="BM198" i="23"/>
  <c r="CD204" i="23"/>
  <c r="CE204" i="23" s="1"/>
  <c r="CD207" i="23"/>
  <c r="CE207" i="23" s="1"/>
  <c r="CD187" i="23"/>
  <c r="CE187" i="23" s="1"/>
  <c r="CD195" i="23"/>
  <c r="CE195" i="23" s="1"/>
  <c r="CD198" i="23"/>
  <c r="CE198" i="23" s="1"/>
  <c r="CD184" i="23"/>
  <c r="CE184" i="23" s="1"/>
  <c r="CD192" i="23"/>
  <c r="CE192" i="23" s="1"/>
  <c r="CD189" i="23"/>
  <c r="CE189" i="23" s="1"/>
  <c r="CD197" i="23"/>
  <c r="CE197" i="23" s="1"/>
  <c r="CD206" i="23"/>
  <c r="CE206" i="23" s="1"/>
  <c r="CD178" i="23"/>
  <c r="CE178" i="23" s="1"/>
  <c r="CD186" i="23"/>
  <c r="CE186" i="23" s="1"/>
  <c r="CD194" i="23"/>
  <c r="CE194" i="23" s="1"/>
  <c r="CD200" i="23"/>
  <c r="CE200" i="23" s="1"/>
  <c r="CD211" i="23"/>
  <c r="CE211" i="23" s="1"/>
  <c r="BI410" i="23"/>
  <c r="W419" i="23"/>
  <c r="W1629" i="23"/>
  <c r="W737" i="23" l="1"/>
  <c r="W583" i="23"/>
  <c r="W431" i="23"/>
  <c r="W427" i="23"/>
  <c r="BU710" i="23" l="1"/>
  <c r="CC281" i="23" l="1"/>
  <c r="CB281" i="23"/>
  <c r="CA281" i="23"/>
  <c r="BZ281" i="23"/>
  <c r="BL281" i="23"/>
  <c r="BF281" i="23"/>
  <c r="AZ281" i="23"/>
  <c r="AT281" i="23"/>
  <c r="AN281" i="23"/>
  <c r="AH281" i="23"/>
  <c r="AB281" i="23"/>
  <c r="R281" i="23"/>
  <c r="L281" i="23"/>
  <c r="H281" i="23"/>
  <c r="CC280" i="23"/>
  <c r="CB280" i="23"/>
  <c r="CA280" i="23"/>
  <c r="BZ280" i="23"/>
  <c r="BL280" i="23"/>
  <c r="BF280" i="23"/>
  <c r="AZ280" i="23"/>
  <c r="AT280" i="23"/>
  <c r="AN280" i="23"/>
  <c r="AH280" i="23"/>
  <c r="AB280" i="23"/>
  <c r="R280" i="23"/>
  <c r="L280" i="23"/>
  <c r="CC279" i="23"/>
  <c r="CB279" i="23"/>
  <c r="CA279" i="23"/>
  <c r="BZ279" i="23"/>
  <c r="BL279" i="23"/>
  <c r="BF279" i="23"/>
  <c r="AZ279" i="23"/>
  <c r="AT279" i="23"/>
  <c r="AN279" i="23"/>
  <c r="AH279" i="23"/>
  <c r="AB279" i="23"/>
  <c r="R279" i="23"/>
  <c r="L279" i="23"/>
  <c r="CC278" i="23"/>
  <c r="CB278" i="23"/>
  <c r="CA278" i="23"/>
  <c r="BZ278" i="23"/>
  <c r="BL278" i="23"/>
  <c r="BF278" i="23"/>
  <c r="AZ278" i="23"/>
  <c r="AT278" i="23"/>
  <c r="AN278" i="23"/>
  <c r="AH278" i="23"/>
  <c r="AB278" i="23"/>
  <c r="R278" i="23"/>
  <c r="L278" i="23"/>
  <c r="CC277" i="23"/>
  <c r="CB277" i="23"/>
  <c r="CA277" i="23"/>
  <c r="BZ277" i="23"/>
  <c r="BL277" i="23"/>
  <c r="BF277" i="23"/>
  <c r="AZ277" i="23"/>
  <c r="AT277" i="23"/>
  <c r="AN277" i="23"/>
  <c r="AH277" i="23"/>
  <c r="AB277" i="23"/>
  <c r="R277" i="23"/>
  <c r="L277" i="23"/>
  <c r="CC333" i="23"/>
  <c r="CB333" i="23"/>
  <c r="CA333" i="23"/>
  <c r="BZ333" i="23"/>
  <c r="BL333" i="23"/>
  <c r="BF333" i="23"/>
  <c r="AZ333" i="23"/>
  <c r="AT333" i="23"/>
  <c r="AN333" i="23"/>
  <c r="AH333" i="23"/>
  <c r="AB333" i="23"/>
  <c r="R333" i="23"/>
  <c r="L333" i="23"/>
  <c r="CC332" i="23"/>
  <c r="CB332" i="23"/>
  <c r="CA332" i="23"/>
  <c r="BZ332" i="23"/>
  <c r="BL332" i="23"/>
  <c r="BF332" i="23"/>
  <c r="AZ332" i="23"/>
  <c r="AT332" i="23"/>
  <c r="AN332" i="23"/>
  <c r="AH332" i="23"/>
  <c r="AB332" i="23"/>
  <c r="R332" i="23"/>
  <c r="L332" i="23"/>
  <c r="CC331" i="23"/>
  <c r="CB331" i="23"/>
  <c r="CA331" i="23"/>
  <c r="BZ331" i="23"/>
  <c r="BL331" i="23"/>
  <c r="BF331" i="23"/>
  <c r="AZ331" i="23"/>
  <c r="AT331" i="23"/>
  <c r="AN331" i="23"/>
  <c r="AH331" i="23"/>
  <c r="AB331" i="23"/>
  <c r="R331" i="23"/>
  <c r="L331" i="23"/>
  <c r="CC330" i="23"/>
  <c r="CB330" i="23"/>
  <c r="CA330" i="23"/>
  <c r="BZ330" i="23"/>
  <c r="BL330" i="23"/>
  <c r="BF330" i="23"/>
  <c r="AZ330" i="23"/>
  <c r="AT330" i="23"/>
  <c r="AN330" i="23"/>
  <c r="AH330" i="23"/>
  <c r="AB330" i="23"/>
  <c r="R330" i="23"/>
  <c r="L330" i="23"/>
  <c r="CC329" i="23"/>
  <c r="CB329" i="23"/>
  <c r="CA329" i="23"/>
  <c r="BZ329" i="23"/>
  <c r="BL329" i="23"/>
  <c r="BF329" i="23"/>
  <c r="AZ329" i="23"/>
  <c r="AT329" i="23"/>
  <c r="AN329" i="23"/>
  <c r="AH329" i="23"/>
  <c r="AB329" i="23"/>
  <c r="R329" i="23"/>
  <c r="L329" i="23"/>
  <c r="CC328" i="23"/>
  <c r="CB328" i="23"/>
  <c r="CA328" i="23"/>
  <c r="BZ328" i="23"/>
  <c r="BL328" i="23"/>
  <c r="BF328" i="23"/>
  <c r="AZ328" i="23"/>
  <c r="AT328" i="23"/>
  <c r="AN328" i="23"/>
  <c r="AH328" i="23"/>
  <c r="AB328" i="23"/>
  <c r="R328" i="23"/>
  <c r="L328" i="23"/>
  <c r="CC843" i="23"/>
  <c r="CB843" i="23"/>
  <c r="CA843" i="23"/>
  <c r="BZ843" i="23"/>
  <c r="BL843" i="23"/>
  <c r="BF843" i="23"/>
  <c r="AZ843" i="23"/>
  <c r="AT843" i="23"/>
  <c r="AN843" i="23"/>
  <c r="AH843" i="23"/>
  <c r="AB843" i="23"/>
  <c r="R843" i="23"/>
  <c r="L843" i="23"/>
  <c r="H843" i="23"/>
  <c r="CC842" i="23"/>
  <c r="CB842" i="23"/>
  <c r="CA842" i="23"/>
  <c r="BZ842" i="23"/>
  <c r="BL842" i="23"/>
  <c r="BF842" i="23"/>
  <c r="AZ842" i="23"/>
  <c r="AT842" i="23"/>
  <c r="AN842" i="23"/>
  <c r="AH842" i="23"/>
  <c r="AB842" i="23"/>
  <c r="R842" i="23"/>
  <c r="L842" i="23"/>
  <c r="CC841" i="23"/>
  <c r="CB841" i="23"/>
  <c r="CA841" i="23"/>
  <c r="BZ841" i="23"/>
  <c r="BL841" i="23"/>
  <c r="BF841" i="23"/>
  <c r="AZ841" i="23"/>
  <c r="AT841" i="23"/>
  <c r="AN841" i="23"/>
  <c r="AH841" i="23"/>
  <c r="AB841" i="23"/>
  <c r="R841" i="23"/>
  <c r="L841" i="23"/>
  <c r="CC840" i="23"/>
  <c r="CB840" i="23"/>
  <c r="CA840" i="23"/>
  <c r="BZ840" i="23"/>
  <c r="BL840" i="23"/>
  <c r="BF840" i="23"/>
  <c r="AZ840" i="23"/>
  <c r="AT840" i="23"/>
  <c r="AN840" i="23"/>
  <c r="AH840" i="23"/>
  <c r="AB840" i="23"/>
  <c r="R840" i="23"/>
  <c r="L840" i="23"/>
  <c r="CC839" i="23"/>
  <c r="CB839" i="23"/>
  <c r="CA839" i="23"/>
  <c r="BZ839" i="23"/>
  <c r="BL839" i="23"/>
  <c r="BF839" i="23"/>
  <c r="AZ839" i="23"/>
  <c r="AT839" i="23"/>
  <c r="AN839" i="23"/>
  <c r="AH839" i="23"/>
  <c r="AB839" i="23"/>
  <c r="R839" i="23"/>
  <c r="L839" i="23"/>
  <c r="CC838" i="23"/>
  <c r="CB838" i="23"/>
  <c r="CA838" i="23"/>
  <c r="BZ838" i="23"/>
  <c r="BL838" i="23"/>
  <c r="BF838" i="23"/>
  <c r="AZ838" i="23"/>
  <c r="AT838" i="23"/>
  <c r="AN838" i="23"/>
  <c r="AH838" i="23"/>
  <c r="AB838" i="23"/>
  <c r="R838" i="23"/>
  <c r="L838" i="23"/>
  <c r="CC837" i="23"/>
  <c r="CB837" i="23"/>
  <c r="CA837" i="23"/>
  <c r="BZ837" i="23"/>
  <c r="BL837" i="23"/>
  <c r="BF837" i="23"/>
  <c r="AZ837" i="23"/>
  <c r="AT837" i="23"/>
  <c r="AN837" i="23"/>
  <c r="AH837" i="23"/>
  <c r="AB837" i="23"/>
  <c r="R837" i="23"/>
  <c r="L837" i="23"/>
  <c r="CC836" i="23"/>
  <c r="CB836" i="23"/>
  <c r="CA836" i="23"/>
  <c r="BZ836" i="23"/>
  <c r="BL836" i="23"/>
  <c r="BF836" i="23"/>
  <c r="AZ836" i="23"/>
  <c r="AT836" i="23"/>
  <c r="AN836" i="23"/>
  <c r="AH836" i="23"/>
  <c r="AB836" i="23"/>
  <c r="R836" i="23"/>
  <c r="L836" i="23"/>
  <c r="CC835" i="23"/>
  <c r="CB835" i="23"/>
  <c r="CA835" i="23"/>
  <c r="BZ835" i="23"/>
  <c r="BL835" i="23"/>
  <c r="BF835" i="23"/>
  <c r="AZ835" i="23"/>
  <c r="AT835" i="23"/>
  <c r="AN835" i="23"/>
  <c r="AH835" i="23"/>
  <c r="AB835" i="23"/>
  <c r="R835" i="23"/>
  <c r="L835" i="23"/>
  <c r="CC891" i="23"/>
  <c r="CB891" i="23"/>
  <c r="CA891" i="23"/>
  <c r="BZ891" i="23"/>
  <c r="BL891" i="23"/>
  <c r="BF891" i="23"/>
  <c r="AZ891" i="23"/>
  <c r="AT891" i="23"/>
  <c r="AN891" i="23"/>
  <c r="AH891" i="23"/>
  <c r="AB891" i="23"/>
  <c r="R891" i="23"/>
  <c r="L891" i="23"/>
  <c r="CC890" i="23"/>
  <c r="CB890" i="23"/>
  <c r="CA890" i="23"/>
  <c r="BZ890" i="23"/>
  <c r="BL890" i="23"/>
  <c r="BF890" i="23"/>
  <c r="AZ890" i="23"/>
  <c r="AT890" i="23"/>
  <c r="AN890" i="23"/>
  <c r="AH890" i="23"/>
  <c r="AB890" i="23"/>
  <c r="R890" i="23"/>
  <c r="L890" i="23"/>
  <c r="CC889" i="23"/>
  <c r="CB889" i="23"/>
  <c r="CA889" i="23"/>
  <c r="BZ889" i="23"/>
  <c r="BL889" i="23"/>
  <c r="BF889" i="23"/>
  <c r="AZ889" i="23"/>
  <c r="AT889" i="23"/>
  <c r="AN889" i="23"/>
  <c r="AH889" i="23"/>
  <c r="AB889" i="23"/>
  <c r="R889" i="23"/>
  <c r="L889" i="23"/>
  <c r="CC888" i="23"/>
  <c r="CB888" i="23"/>
  <c r="CA888" i="23"/>
  <c r="BZ888" i="23"/>
  <c r="BL888" i="23"/>
  <c r="BF888" i="23"/>
  <c r="AZ888" i="23"/>
  <c r="AT888" i="23"/>
  <c r="AN888" i="23"/>
  <c r="AH888" i="23"/>
  <c r="AB888" i="23"/>
  <c r="R888" i="23"/>
  <c r="L888" i="23"/>
  <c r="CC887" i="23"/>
  <c r="CB887" i="23"/>
  <c r="CA887" i="23"/>
  <c r="BZ887" i="23"/>
  <c r="BL887" i="23"/>
  <c r="BF887" i="23"/>
  <c r="AZ887" i="23"/>
  <c r="AT887" i="23"/>
  <c r="AN887" i="23"/>
  <c r="AH887" i="23"/>
  <c r="AB887" i="23"/>
  <c r="R887" i="23"/>
  <c r="L887" i="23"/>
  <c r="CC886" i="23"/>
  <c r="CB886" i="23"/>
  <c r="CA886" i="23"/>
  <c r="BZ886" i="23"/>
  <c r="BL886" i="23"/>
  <c r="BF886" i="23"/>
  <c r="AZ886" i="23"/>
  <c r="AT886" i="23"/>
  <c r="AN886" i="23"/>
  <c r="AH886" i="23"/>
  <c r="AB886" i="23"/>
  <c r="R886" i="23"/>
  <c r="L886" i="23"/>
  <c r="CC885" i="23"/>
  <c r="CB885" i="23"/>
  <c r="CA885" i="23"/>
  <c r="BZ885" i="23"/>
  <c r="BL885" i="23"/>
  <c r="BF885" i="23"/>
  <c r="AZ885" i="23"/>
  <c r="AT885" i="23"/>
  <c r="AN885" i="23"/>
  <c r="AH885" i="23"/>
  <c r="AB885" i="23"/>
  <c r="R885" i="23"/>
  <c r="L885" i="23"/>
  <c r="CC884" i="23"/>
  <c r="CB884" i="23"/>
  <c r="CA884" i="23"/>
  <c r="BZ884" i="23"/>
  <c r="BL884" i="23"/>
  <c r="BF884" i="23"/>
  <c r="AZ884" i="23"/>
  <c r="AT884" i="23"/>
  <c r="AN884" i="23"/>
  <c r="AH884" i="23"/>
  <c r="AB884" i="23"/>
  <c r="R884" i="23"/>
  <c r="L884" i="23"/>
  <c r="CC1510" i="23"/>
  <c r="CB1510" i="23"/>
  <c r="CA1510" i="23"/>
  <c r="BZ1510" i="23"/>
  <c r="BL1510" i="23"/>
  <c r="BF1510" i="23"/>
  <c r="AZ1510" i="23"/>
  <c r="AT1510" i="23"/>
  <c r="AN1510" i="23"/>
  <c r="AH1510" i="23"/>
  <c r="AB1510" i="23"/>
  <c r="R1510" i="23"/>
  <c r="L1510" i="23"/>
  <c r="CC1509" i="23"/>
  <c r="CB1509" i="23"/>
  <c r="CA1509" i="23"/>
  <c r="BZ1509" i="23"/>
  <c r="BL1509" i="23"/>
  <c r="BF1509" i="23"/>
  <c r="AZ1509" i="23"/>
  <c r="AT1509" i="23"/>
  <c r="AN1509" i="23"/>
  <c r="AH1509" i="23"/>
  <c r="AB1509" i="23"/>
  <c r="R1509" i="23"/>
  <c r="L1509" i="23"/>
  <c r="CC1508" i="23"/>
  <c r="CB1508" i="23"/>
  <c r="CA1508" i="23"/>
  <c r="BZ1508" i="23"/>
  <c r="BL1508" i="23"/>
  <c r="BF1508" i="23"/>
  <c r="AZ1508" i="23"/>
  <c r="AT1508" i="23"/>
  <c r="AN1508" i="23"/>
  <c r="AH1508" i="23"/>
  <c r="AB1508" i="23"/>
  <c r="R1508" i="23"/>
  <c r="L1508" i="23"/>
  <c r="CC1507" i="23"/>
  <c r="CB1507" i="23"/>
  <c r="CA1507" i="23"/>
  <c r="BZ1507" i="23"/>
  <c r="BL1507" i="23"/>
  <c r="BF1507" i="23"/>
  <c r="AZ1507" i="23"/>
  <c r="AT1507" i="23"/>
  <c r="AN1507" i="23"/>
  <c r="AH1507" i="23"/>
  <c r="AB1507" i="23"/>
  <c r="R1507" i="23"/>
  <c r="L1507" i="23"/>
  <c r="I1577" i="23"/>
  <c r="CC1506" i="23"/>
  <c r="CB1506" i="23"/>
  <c r="BZ1506" i="23"/>
  <c r="BL1506" i="23"/>
  <c r="BF1506" i="23"/>
  <c r="AZ1506" i="23"/>
  <c r="AT1506" i="23"/>
  <c r="AN1506" i="23"/>
  <c r="AH1506" i="23"/>
  <c r="AB1506" i="23"/>
  <c r="R1506" i="23"/>
  <c r="I1506" i="23"/>
  <c r="CA1506" i="23" s="1"/>
  <c r="BL1505" i="23"/>
  <c r="BF1505" i="23"/>
  <c r="AZ1505" i="23"/>
  <c r="AT1505" i="23"/>
  <c r="AN1505" i="23"/>
  <c r="AH1505" i="23"/>
  <c r="R1505" i="23"/>
  <c r="K1505" i="23"/>
  <c r="J1505" i="23"/>
  <c r="CB1505" i="23" s="1"/>
  <c r="I1505" i="23"/>
  <c r="CA1505" i="23" s="1"/>
  <c r="I1453" i="23"/>
  <c r="I1452" i="23"/>
  <c r="I1451" i="23"/>
  <c r="I1449" i="23"/>
  <c r="L1506" i="23" l="1"/>
  <c r="CD281" i="23"/>
  <c r="CE281" i="23" s="1"/>
  <c r="CD331" i="23"/>
  <c r="CE331" i="23" s="1"/>
  <c r="CD328" i="23"/>
  <c r="CE328" i="23" s="1"/>
  <c r="AB1505" i="23"/>
  <c r="CC1505" i="23"/>
  <c r="CD1505" i="23" s="1"/>
  <c r="BM886" i="23"/>
  <c r="CD280" i="23"/>
  <c r="CE280" i="23" s="1"/>
  <c r="CD1506" i="23"/>
  <c r="CE1506" i="23" s="1"/>
  <c r="CD886" i="23"/>
  <c r="CE886" i="23" s="1"/>
  <c r="CD330" i="23"/>
  <c r="CE330" i="23" s="1"/>
  <c r="CD1510" i="23"/>
  <c r="CE1510" i="23" s="1"/>
  <c r="CD891" i="23"/>
  <c r="CE891" i="23" s="1"/>
  <c r="CD887" i="23"/>
  <c r="CE887" i="23" s="1"/>
  <c r="CD884" i="23"/>
  <c r="CE884" i="23" s="1"/>
  <c r="CD1508" i="23"/>
  <c r="CE1508" i="23" s="1"/>
  <c r="CD837" i="23"/>
  <c r="CE837" i="23" s="1"/>
  <c r="CD1507" i="23"/>
  <c r="CE1507" i="23" s="1"/>
  <c r="CD888" i="23"/>
  <c r="CE888" i="23" s="1"/>
  <c r="CD889" i="23"/>
  <c r="CE889" i="23" s="1"/>
  <c r="BM891" i="23"/>
  <c r="CD838" i="23"/>
  <c r="CE838" i="23" s="1"/>
  <c r="CD1509" i="23"/>
  <c r="CE1509" i="23" s="1"/>
  <c r="CD885" i="23"/>
  <c r="CE885" i="23" s="1"/>
  <c r="CD333" i="23"/>
  <c r="CE333" i="23" s="1"/>
  <c r="BM890" i="23"/>
  <c r="CD329" i="23"/>
  <c r="CE329" i="23" s="1"/>
  <c r="CD332" i="23"/>
  <c r="CE332" i="23" s="1"/>
  <c r="CD890" i="23"/>
  <c r="CE890" i="23" s="1"/>
  <c r="CD839" i="23"/>
  <c r="CE839" i="23" s="1"/>
  <c r="CD836" i="23"/>
  <c r="CE836" i="23" s="1"/>
  <c r="CD840" i="23"/>
  <c r="CE840" i="23" s="1"/>
  <c r="CD277" i="23"/>
  <c r="CE277" i="23" s="1"/>
  <c r="CD842" i="23"/>
  <c r="CE842" i="23" s="1"/>
  <c r="CD279" i="23"/>
  <c r="CE279" i="23" s="1"/>
  <c r="BM281" i="23"/>
  <c r="CD841" i="23"/>
  <c r="CE841" i="23" s="1"/>
  <c r="BM843" i="23"/>
  <c r="CD278" i="23"/>
  <c r="CE278" i="23" s="1"/>
  <c r="BM887" i="23"/>
  <c r="CD835" i="23"/>
  <c r="CE835" i="23" s="1"/>
  <c r="CD843" i="23"/>
  <c r="CE843" i="23" s="1"/>
  <c r="BZ1505" i="23"/>
  <c r="L1505" i="23"/>
  <c r="CE1505" i="23" l="1"/>
  <c r="W1586" i="23"/>
  <c r="W1588" i="23"/>
  <c r="Y1266" i="23" l="1"/>
  <c r="Y413" i="23"/>
  <c r="CC176" i="23" l="1"/>
  <c r="CB176" i="23"/>
  <c r="CA176" i="23"/>
  <c r="BZ176" i="23"/>
  <c r="BL176" i="23"/>
  <c r="BF176" i="23"/>
  <c r="AZ176" i="23"/>
  <c r="AT176" i="23"/>
  <c r="AN176" i="23"/>
  <c r="AH176" i="23"/>
  <c r="AB176" i="23"/>
  <c r="R176" i="23"/>
  <c r="L176" i="23"/>
  <c r="CC175" i="23"/>
  <c r="CB175" i="23"/>
  <c r="CA175" i="23"/>
  <c r="BZ175" i="23"/>
  <c r="BL175" i="23"/>
  <c r="BF175" i="23"/>
  <c r="AZ175" i="23"/>
  <c r="AT175" i="23"/>
  <c r="AN175" i="23"/>
  <c r="AH175" i="23"/>
  <c r="AB175" i="23"/>
  <c r="R175" i="23"/>
  <c r="L175" i="23"/>
  <c r="CC174" i="23"/>
  <c r="CB174" i="23"/>
  <c r="CA174" i="23"/>
  <c r="BZ174" i="23"/>
  <c r="BL174" i="23"/>
  <c r="BF174" i="23"/>
  <c r="AZ174" i="23"/>
  <c r="AT174" i="23"/>
  <c r="AN174" i="23"/>
  <c r="AH174" i="23"/>
  <c r="AB174" i="23"/>
  <c r="R174" i="23"/>
  <c r="L174" i="23"/>
  <c r="CC173" i="23"/>
  <c r="CB173" i="23"/>
  <c r="CA173" i="23"/>
  <c r="BZ173" i="23"/>
  <c r="BL173" i="23"/>
  <c r="BF173" i="23"/>
  <c r="AZ173" i="23"/>
  <c r="AT173" i="23"/>
  <c r="AN173" i="23"/>
  <c r="AH173" i="23"/>
  <c r="AB173" i="23"/>
  <c r="R173" i="23"/>
  <c r="L173" i="23"/>
  <c r="CC172" i="23"/>
  <c r="CB172" i="23"/>
  <c r="CA172" i="23"/>
  <c r="BZ172" i="23"/>
  <c r="BL172" i="23"/>
  <c r="BF172" i="23"/>
  <c r="AZ172" i="23"/>
  <c r="AT172" i="23"/>
  <c r="AN172" i="23"/>
  <c r="AH172" i="23"/>
  <c r="AB172" i="23"/>
  <c r="R172" i="23"/>
  <c r="L172" i="23"/>
  <c r="CC171" i="23"/>
  <c r="CB171" i="23"/>
  <c r="CA171" i="23"/>
  <c r="BZ171" i="23"/>
  <c r="BL171" i="23"/>
  <c r="BF171" i="23"/>
  <c r="AZ171" i="23"/>
  <c r="AT171" i="23"/>
  <c r="AN171" i="23"/>
  <c r="AH171" i="23"/>
  <c r="AB171" i="23"/>
  <c r="R171" i="23"/>
  <c r="L171" i="23"/>
  <c r="CC170" i="23"/>
  <c r="CB170" i="23"/>
  <c r="CA170" i="23"/>
  <c r="BZ170" i="23"/>
  <c r="BL170" i="23"/>
  <c r="BF170" i="23"/>
  <c r="AZ170" i="23"/>
  <c r="AT170" i="23"/>
  <c r="AN170" i="23"/>
  <c r="AH170" i="23"/>
  <c r="AB170" i="23"/>
  <c r="R170" i="23"/>
  <c r="L170" i="23"/>
  <c r="CC169" i="23"/>
  <c r="CB169" i="23"/>
  <c r="CA169" i="23"/>
  <c r="BZ169" i="23"/>
  <c r="BL169" i="23"/>
  <c r="BF169" i="23"/>
  <c r="AZ169" i="23"/>
  <c r="AT169" i="23"/>
  <c r="AN169" i="23"/>
  <c r="AH169" i="23"/>
  <c r="AB169" i="23"/>
  <c r="R169" i="23"/>
  <c r="L169" i="23"/>
  <c r="CC168" i="23"/>
  <c r="CB168" i="23"/>
  <c r="CA168" i="23"/>
  <c r="BZ168" i="23"/>
  <c r="BL168" i="23"/>
  <c r="BF168" i="23"/>
  <c r="AZ168" i="23"/>
  <c r="AT168" i="23"/>
  <c r="AN168" i="23"/>
  <c r="AH168" i="23"/>
  <c r="AB168" i="23"/>
  <c r="R168" i="23"/>
  <c r="L168" i="23"/>
  <c r="CC167" i="23"/>
  <c r="CB167" i="23"/>
  <c r="CA167" i="23"/>
  <c r="BZ167" i="23"/>
  <c r="BL167" i="23"/>
  <c r="BF167" i="23"/>
  <c r="AZ167" i="23"/>
  <c r="AT167" i="23"/>
  <c r="AN167" i="23"/>
  <c r="AH167" i="23"/>
  <c r="AB167" i="23"/>
  <c r="R167" i="23"/>
  <c r="L167" i="23"/>
  <c r="CC166" i="23"/>
  <c r="CB166" i="23"/>
  <c r="CA166" i="23"/>
  <c r="BZ166" i="23"/>
  <c r="BL166" i="23"/>
  <c r="BF166" i="23"/>
  <c r="AZ166" i="23"/>
  <c r="AT166" i="23"/>
  <c r="AN166" i="23"/>
  <c r="AH166" i="23"/>
  <c r="AB166" i="23"/>
  <c r="R166" i="23"/>
  <c r="L166" i="23"/>
  <c r="CC165" i="23"/>
  <c r="CB165" i="23"/>
  <c r="CA165" i="23"/>
  <c r="BZ165" i="23"/>
  <c r="BL165" i="23"/>
  <c r="BF165" i="23"/>
  <c r="AZ165" i="23"/>
  <c r="AT165" i="23"/>
  <c r="AN165" i="23"/>
  <c r="AH165" i="23"/>
  <c r="AB165" i="23"/>
  <c r="R165" i="23"/>
  <c r="L165" i="23"/>
  <c r="CC164" i="23"/>
  <c r="CB164" i="23"/>
  <c r="CA164" i="23"/>
  <c r="BZ164" i="23"/>
  <c r="BL164" i="23"/>
  <c r="BF164" i="23"/>
  <c r="AZ164" i="23"/>
  <c r="AT164" i="23"/>
  <c r="AN164" i="23"/>
  <c r="AH164" i="23"/>
  <c r="AB164" i="23"/>
  <c r="R164" i="23"/>
  <c r="L164" i="23"/>
  <c r="CC163" i="23"/>
  <c r="CB163" i="23"/>
  <c r="CA163" i="23"/>
  <c r="BZ163" i="23"/>
  <c r="BL163" i="23"/>
  <c r="BF163" i="23"/>
  <c r="AZ163" i="23"/>
  <c r="AT163" i="23"/>
  <c r="AN163" i="23"/>
  <c r="AH163" i="23"/>
  <c r="AB163" i="23"/>
  <c r="R163" i="23"/>
  <c r="L163" i="23"/>
  <c r="CC162" i="23"/>
  <c r="CB162" i="23"/>
  <c r="CA162" i="23"/>
  <c r="BZ162" i="23"/>
  <c r="BL162" i="23"/>
  <c r="BF162" i="23"/>
  <c r="AZ162" i="23"/>
  <c r="AT162" i="23"/>
  <c r="AN162" i="23"/>
  <c r="AH162" i="23"/>
  <c r="AB162" i="23"/>
  <c r="R162" i="23"/>
  <c r="L162" i="23"/>
  <c r="CC161" i="23"/>
  <c r="CB161" i="23"/>
  <c r="CA161" i="23"/>
  <c r="BZ161" i="23"/>
  <c r="BL161" i="23"/>
  <c r="BF161" i="23"/>
  <c r="AZ161" i="23"/>
  <c r="AT161" i="23"/>
  <c r="AN161" i="23"/>
  <c r="AH161" i="23"/>
  <c r="AB161" i="23"/>
  <c r="R161" i="23"/>
  <c r="L161" i="23"/>
  <c r="CC160" i="23"/>
  <c r="CB160" i="23"/>
  <c r="CA160" i="23"/>
  <c r="BZ160" i="23"/>
  <c r="BL160" i="23"/>
  <c r="BF160" i="23"/>
  <c r="AZ160" i="23"/>
  <c r="AT160" i="23"/>
  <c r="AN160" i="23"/>
  <c r="AH160" i="23"/>
  <c r="AB160" i="23"/>
  <c r="R160" i="23"/>
  <c r="L160" i="23"/>
  <c r="CC159" i="23"/>
  <c r="CB159" i="23"/>
  <c r="CA159" i="23"/>
  <c r="BZ159" i="23"/>
  <c r="BL159" i="23"/>
  <c r="BF159" i="23"/>
  <c r="AZ159" i="23"/>
  <c r="AT159" i="23"/>
  <c r="AN159" i="23"/>
  <c r="AH159" i="23"/>
  <c r="AB159" i="23"/>
  <c r="R159" i="23"/>
  <c r="L159" i="23"/>
  <c r="CC158" i="23"/>
  <c r="CB158" i="23"/>
  <c r="CA158" i="23"/>
  <c r="BZ158" i="23"/>
  <c r="BL158" i="23"/>
  <c r="BF158" i="23"/>
  <c r="AZ158" i="23"/>
  <c r="AT158" i="23"/>
  <c r="AN158" i="23"/>
  <c r="AH158" i="23"/>
  <c r="AB158" i="23"/>
  <c r="R158" i="23"/>
  <c r="L158" i="23"/>
  <c r="CC157" i="23"/>
  <c r="CB157" i="23"/>
  <c r="CA157" i="23"/>
  <c r="BZ157" i="23"/>
  <c r="BL157" i="23"/>
  <c r="BF157" i="23"/>
  <c r="AZ157" i="23"/>
  <c r="AT157" i="23"/>
  <c r="AN157" i="23"/>
  <c r="AH157" i="23"/>
  <c r="AB157" i="23"/>
  <c r="R157" i="23"/>
  <c r="L157" i="23"/>
  <c r="CC156" i="23"/>
  <c r="CB156" i="23"/>
  <c r="CA156" i="23"/>
  <c r="BZ156" i="23"/>
  <c r="BL156" i="23"/>
  <c r="BF156" i="23"/>
  <c r="AZ156" i="23"/>
  <c r="AT156" i="23"/>
  <c r="AN156" i="23"/>
  <c r="AH156" i="23"/>
  <c r="AB156" i="23"/>
  <c r="R156" i="23"/>
  <c r="L156" i="23"/>
  <c r="CC155" i="23"/>
  <c r="CB155" i="23"/>
  <c r="CA155" i="23"/>
  <c r="BZ155" i="23"/>
  <c r="BL155" i="23"/>
  <c r="BF155" i="23"/>
  <c r="AZ155" i="23"/>
  <c r="AT155" i="23"/>
  <c r="AN155" i="23"/>
  <c r="AH155" i="23"/>
  <c r="AB155" i="23"/>
  <c r="R155" i="23"/>
  <c r="L155" i="23"/>
  <c r="CC154" i="23"/>
  <c r="CB154" i="23"/>
  <c r="CA154" i="23"/>
  <c r="BZ154" i="23"/>
  <c r="BL154" i="23"/>
  <c r="BF154" i="23"/>
  <c r="AZ154" i="23"/>
  <c r="AT154" i="23"/>
  <c r="AN154" i="23"/>
  <c r="AH154" i="23"/>
  <c r="AB154" i="23"/>
  <c r="R154" i="23"/>
  <c r="L154" i="23"/>
  <c r="CC153" i="23"/>
  <c r="CB153" i="23"/>
  <c r="CA153" i="23"/>
  <c r="BZ153" i="23"/>
  <c r="BL153" i="23"/>
  <c r="BF153" i="23"/>
  <c r="AZ153" i="23"/>
  <c r="AT153" i="23"/>
  <c r="AN153" i="23"/>
  <c r="AH153" i="23"/>
  <c r="AB153" i="23"/>
  <c r="R153" i="23"/>
  <c r="L153" i="23"/>
  <c r="CC152" i="23"/>
  <c r="CB152" i="23"/>
  <c r="CA152" i="23"/>
  <c r="BZ152" i="23"/>
  <c r="BL152" i="23"/>
  <c r="BF152" i="23"/>
  <c r="AZ152" i="23"/>
  <c r="AT152" i="23"/>
  <c r="AN152" i="23"/>
  <c r="AH152" i="23"/>
  <c r="AB152" i="23"/>
  <c r="R152" i="23"/>
  <c r="L152" i="23"/>
  <c r="CC151" i="23"/>
  <c r="CB151" i="23"/>
  <c r="CA151" i="23"/>
  <c r="BZ151" i="23"/>
  <c r="BL151" i="23"/>
  <c r="BF151" i="23"/>
  <c r="AZ151" i="23"/>
  <c r="AT151" i="23"/>
  <c r="AN151" i="23"/>
  <c r="AH151" i="23"/>
  <c r="AB151" i="23"/>
  <c r="R151" i="23"/>
  <c r="L151" i="23"/>
  <c r="CC150" i="23"/>
  <c r="CB150" i="23"/>
  <c r="CA150" i="23"/>
  <c r="BZ150" i="23"/>
  <c r="BL150" i="23"/>
  <c r="BF150" i="23"/>
  <c r="AZ150" i="23"/>
  <c r="AT150" i="23"/>
  <c r="AN150" i="23"/>
  <c r="AH150" i="23"/>
  <c r="AB150" i="23"/>
  <c r="R150" i="23"/>
  <c r="L150" i="23"/>
  <c r="CC149" i="23"/>
  <c r="CB149" i="23"/>
  <c r="CA149" i="23"/>
  <c r="BZ149" i="23"/>
  <c r="BL149" i="23"/>
  <c r="BF149" i="23"/>
  <c r="AZ149" i="23"/>
  <c r="AT149" i="23"/>
  <c r="AN149" i="23"/>
  <c r="AH149" i="23"/>
  <c r="AB149" i="23"/>
  <c r="R149" i="23"/>
  <c r="L149" i="23"/>
  <c r="CC148" i="23"/>
  <c r="CB148" i="23"/>
  <c r="CA148" i="23"/>
  <c r="BZ148" i="23"/>
  <c r="BL148" i="23"/>
  <c r="BF148" i="23"/>
  <c r="AZ148" i="23"/>
  <c r="AT148" i="23"/>
  <c r="AN148" i="23"/>
  <c r="AH148" i="23"/>
  <c r="AB148" i="23"/>
  <c r="R148" i="23"/>
  <c r="L148" i="23"/>
  <c r="CC147" i="23"/>
  <c r="CB147" i="23"/>
  <c r="CA147" i="23"/>
  <c r="BZ147" i="23"/>
  <c r="BL147" i="23"/>
  <c r="BF147" i="23"/>
  <c r="AZ147" i="23"/>
  <c r="AT147" i="23"/>
  <c r="AN147" i="23"/>
  <c r="AH147" i="23"/>
  <c r="AB147" i="23"/>
  <c r="R147" i="23"/>
  <c r="L147" i="23"/>
  <c r="CC1504" i="23"/>
  <c r="CB1504" i="23"/>
  <c r="CA1504" i="23"/>
  <c r="BZ1504" i="23"/>
  <c r="BL1504" i="23"/>
  <c r="BF1504" i="23"/>
  <c r="AZ1504" i="23"/>
  <c r="AT1504" i="23"/>
  <c r="AN1504" i="23"/>
  <c r="AH1504" i="23"/>
  <c r="AB1504" i="23"/>
  <c r="R1504" i="23"/>
  <c r="L1504" i="23"/>
  <c r="K1058" i="23"/>
  <c r="I1058" i="23"/>
  <c r="I1039" i="23"/>
  <c r="I1038" i="23"/>
  <c r="I1062" i="23"/>
  <c r="I1061" i="23"/>
  <c r="CD164" i="23" l="1"/>
  <c r="CE164" i="23" s="1"/>
  <c r="CD174" i="23"/>
  <c r="CE174" i="23" s="1"/>
  <c r="CD152" i="23"/>
  <c r="CE152" i="23" s="1"/>
  <c r="CD176" i="23"/>
  <c r="CE176" i="23" s="1"/>
  <c r="CD167" i="23"/>
  <c r="CE167" i="23" s="1"/>
  <c r="CD175" i="23"/>
  <c r="CE175" i="23" s="1"/>
  <c r="CD155" i="23"/>
  <c r="CE155" i="23" s="1"/>
  <c r="CD168" i="23"/>
  <c r="CE168" i="23" s="1"/>
  <c r="CD160" i="23"/>
  <c r="CE160" i="23" s="1"/>
  <c r="CD157" i="23"/>
  <c r="CE157" i="23" s="1"/>
  <c r="CD153" i="23"/>
  <c r="CE153" i="23" s="1"/>
  <c r="CD169" i="23"/>
  <c r="CE169" i="23" s="1"/>
  <c r="CD149" i="23"/>
  <c r="CE149" i="23" s="1"/>
  <c r="CD158" i="23"/>
  <c r="CE158" i="23" s="1"/>
  <c r="CD161" i="23"/>
  <c r="CE161" i="23" s="1"/>
  <c r="CD172" i="23"/>
  <c r="CE172" i="23" s="1"/>
  <c r="CD148" i="23"/>
  <c r="CE148" i="23" s="1"/>
  <c r="CD151" i="23"/>
  <c r="CE151" i="23" s="1"/>
  <c r="CD165" i="23"/>
  <c r="CE165" i="23" s="1"/>
  <c r="CD156" i="23"/>
  <c r="CE156" i="23" s="1"/>
  <c r="CD1504" i="23"/>
  <c r="CE1504" i="23" s="1"/>
  <c r="CD159" i="23"/>
  <c r="CE159" i="23" s="1"/>
  <c r="CD162" i="23"/>
  <c r="CE162" i="23" s="1"/>
  <c r="CD171" i="23"/>
  <c r="CE171" i="23" s="1"/>
  <c r="CD154" i="23"/>
  <c r="CE154" i="23" s="1"/>
  <c r="CD170" i="23"/>
  <c r="CE170" i="23" s="1"/>
  <c r="CD173" i="23"/>
  <c r="CE173" i="23" s="1"/>
  <c r="CD147" i="23"/>
  <c r="CE147" i="23" s="1"/>
  <c r="CD150" i="23"/>
  <c r="CE150" i="23" s="1"/>
  <c r="CD163" i="23"/>
  <c r="CE163" i="23" s="1"/>
  <c r="CD166" i="23"/>
  <c r="CE166" i="23" s="1"/>
  <c r="BM1504" i="23"/>
  <c r="AG1434" i="23"/>
  <c r="K118" i="2" l="1"/>
  <c r="BU257" i="23"/>
  <c r="BU464" i="19" l="1"/>
  <c r="BU1443" i="23" l="1"/>
  <c r="BU563" i="23"/>
  <c r="BU17" i="23"/>
  <c r="BU814" i="23"/>
  <c r="BU715" i="23"/>
  <c r="CC1503" i="23" l="1"/>
  <c r="CB1503" i="23"/>
  <c r="CA1503" i="23"/>
  <c r="BZ1503" i="23"/>
  <c r="BL1503" i="23"/>
  <c r="BF1503" i="23"/>
  <c r="AZ1503" i="23"/>
  <c r="AT1503" i="23"/>
  <c r="AN1503" i="23"/>
  <c r="AH1503" i="23"/>
  <c r="AB1503" i="23"/>
  <c r="R1503" i="23"/>
  <c r="L1503" i="23"/>
  <c r="CC1502" i="23"/>
  <c r="CB1502" i="23"/>
  <c r="CA1502" i="23"/>
  <c r="BZ1502" i="23"/>
  <c r="BL1502" i="23"/>
  <c r="BF1502" i="23"/>
  <c r="AZ1502" i="23"/>
  <c r="AT1502" i="23"/>
  <c r="AN1502" i="23"/>
  <c r="AH1502" i="23"/>
  <c r="AB1502" i="23"/>
  <c r="R1502" i="23"/>
  <c r="L1502" i="23"/>
  <c r="CD1502" i="23" l="1"/>
  <c r="CE1502" i="23" s="1"/>
  <c r="CD1503" i="23"/>
  <c r="CE1503" i="23" s="1"/>
  <c r="BI411" i="23" l="1"/>
  <c r="Z258" i="23" l="1"/>
  <c r="Y258" i="23"/>
  <c r="Z429" i="23" l="1"/>
  <c r="Y429" i="23"/>
  <c r="Y710" i="23"/>
  <c r="Y410" i="23"/>
  <c r="Y848" i="19"/>
  <c r="W556" i="23" l="1"/>
  <c r="W557" i="23"/>
  <c r="AQ298" i="23"/>
  <c r="AQ297" i="23"/>
  <c r="CC1366" i="23"/>
  <c r="CB1366" i="23"/>
  <c r="CA1366" i="23"/>
  <c r="BZ1366" i="23"/>
  <c r="BL1366" i="23"/>
  <c r="BF1366" i="23"/>
  <c r="AZ1366" i="23"/>
  <c r="AT1366" i="23"/>
  <c r="AN1366" i="23"/>
  <c r="AH1366" i="23"/>
  <c r="AB1366" i="23"/>
  <c r="R1366" i="23"/>
  <c r="L1366" i="23"/>
  <c r="CC1365" i="23"/>
  <c r="CB1365" i="23"/>
  <c r="CA1365" i="23"/>
  <c r="BZ1365" i="23"/>
  <c r="BL1365" i="23"/>
  <c r="BF1365" i="23"/>
  <c r="AZ1365" i="23"/>
  <c r="AT1365" i="23"/>
  <c r="AN1365" i="23"/>
  <c r="AH1365" i="23"/>
  <c r="AB1365" i="23"/>
  <c r="R1365" i="23"/>
  <c r="L1365" i="23"/>
  <c r="CC653" i="23"/>
  <c r="CB653" i="23"/>
  <c r="CA653" i="23"/>
  <c r="BZ653" i="23"/>
  <c r="BL653" i="23"/>
  <c r="BF653" i="23"/>
  <c r="AZ653" i="23"/>
  <c r="AT653" i="23"/>
  <c r="AN653" i="23"/>
  <c r="AH653" i="23"/>
  <c r="AB653" i="23"/>
  <c r="R653" i="23"/>
  <c r="L653" i="23"/>
  <c r="CC652" i="23"/>
  <c r="CB652" i="23"/>
  <c r="CA652" i="23"/>
  <c r="BZ652" i="23"/>
  <c r="BL652" i="23"/>
  <c r="BF652" i="23"/>
  <c r="AZ652" i="23"/>
  <c r="AT652" i="23"/>
  <c r="AN652" i="23"/>
  <c r="AH652" i="23"/>
  <c r="AB652" i="23"/>
  <c r="R652" i="23"/>
  <c r="L652" i="23"/>
  <c r="CC613" i="23"/>
  <c r="CB613" i="23"/>
  <c r="CA613" i="23"/>
  <c r="BZ613" i="23"/>
  <c r="BL613" i="23"/>
  <c r="BF613" i="23"/>
  <c r="AZ613" i="23"/>
  <c r="AT613" i="23"/>
  <c r="AN613" i="23"/>
  <c r="AH613" i="23"/>
  <c r="AB613" i="23"/>
  <c r="R613" i="23"/>
  <c r="L613" i="23"/>
  <c r="CC612" i="23"/>
  <c r="CB612" i="23"/>
  <c r="CA612" i="23"/>
  <c r="BZ612" i="23"/>
  <c r="BL612" i="23"/>
  <c r="BF612" i="23"/>
  <c r="AZ612" i="23"/>
  <c r="AT612" i="23"/>
  <c r="AN612" i="23"/>
  <c r="AH612" i="23"/>
  <c r="AB612" i="23"/>
  <c r="R612" i="23"/>
  <c r="L612" i="23"/>
  <c r="CC611" i="23"/>
  <c r="CB611" i="23"/>
  <c r="CA611" i="23"/>
  <c r="BZ611" i="23"/>
  <c r="BL611" i="23"/>
  <c r="BF611" i="23"/>
  <c r="AZ611" i="23"/>
  <c r="AT611" i="23"/>
  <c r="AN611" i="23"/>
  <c r="AH611" i="23"/>
  <c r="AB611" i="23"/>
  <c r="R611" i="23"/>
  <c r="L611" i="23"/>
  <c r="CC610" i="23"/>
  <c r="CB610" i="23"/>
  <c r="CA610" i="23"/>
  <c r="BZ610" i="23"/>
  <c r="BL610" i="23"/>
  <c r="BF610" i="23"/>
  <c r="AZ610" i="23"/>
  <c r="AT610" i="23"/>
  <c r="AN610" i="23"/>
  <c r="AH610" i="23"/>
  <c r="AB610" i="23"/>
  <c r="R610" i="23"/>
  <c r="L610" i="23"/>
  <c r="CC609" i="23"/>
  <c r="CB609" i="23"/>
  <c r="CA609" i="23"/>
  <c r="BZ609" i="23"/>
  <c r="BL609" i="23"/>
  <c r="BF609" i="23"/>
  <c r="AZ609" i="23"/>
  <c r="AT609" i="23"/>
  <c r="AN609" i="23"/>
  <c r="AH609" i="23"/>
  <c r="AB609" i="23"/>
  <c r="R609" i="23"/>
  <c r="L609" i="23"/>
  <c r="CC608" i="23"/>
  <c r="CB608" i="23"/>
  <c r="CA608" i="23"/>
  <c r="BZ608" i="23"/>
  <c r="BL608" i="23"/>
  <c r="BF608" i="23"/>
  <c r="AZ608" i="23"/>
  <c r="AT608" i="23"/>
  <c r="AN608" i="23"/>
  <c r="AH608" i="23"/>
  <c r="AB608" i="23"/>
  <c r="R608" i="23"/>
  <c r="L608" i="23"/>
  <c r="CC607" i="23"/>
  <c r="CB607" i="23"/>
  <c r="CA607" i="23"/>
  <c r="BZ607" i="23"/>
  <c r="BL607" i="23"/>
  <c r="BF607" i="23"/>
  <c r="AZ607" i="23"/>
  <c r="AT607" i="23"/>
  <c r="AN607" i="23"/>
  <c r="AH607" i="23"/>
  <c r="AB607" i="23"/>
  <c r="R607" i="23"/>
  <c r="L607" i="23"/>
  <c r="CC606" i="23"/>
  <c r="CB606" i="23"/>
  <c r="CA606" i="23"/>
  <c r="BZ606" i="23"/>
  <c r="BL606" i="23"/>
  <c r="BF606" i="23"/>
  <c r="AZ606" i="23"/>
  <c r="AT606" i="23"/>
  <c r="AN606" i="23"/>
  <c r="AH606" i="23"/>
  <c r="AB606" i="23"/>
  <c r="R606" i="23"/>
  <c r="L606" i="23"/>
  <c r="CC605" i="23"/>
  <c r="CB605" i="23"/>
  <c r="CA605" i="23"/>
  <c r="BZ605" i="23"/>
  <c r="BL605" i="23"/>
  <c r="BF605" i="23"/>
  <c r="AZ605" i="23"/>
  <c r="AT605" i="23"/>
  <c r="AN605" i="23"/>
  <c r="AH605" i="23"/>
  <c r="AB605" i="23"/>
  <c r="R605" i="23"/>
  <c r="L605" i="23"/>
  <c r="CC604" i="23"/>
  <c r="CB604" i="23"/>
  <c r="CA604" i="23"/>
  <c r="BZ604" i="23"/>
  <c r="BL604" i="23"/>
  <c r="BF604" i="23"/>
  <c r="AZ604" i="23"/>
  <c r="AT604" i="23"/>
  <c r="AN604" i="23"/>
  <c r="AH604" i="23"/>
  <c r="AB604" i="23"/>
  <c r="R604" i="23"/>
  <c r="L604" i="23"/>
  <c r="CC603" i="23"/>
  <c r="CB603" i="23"/>
  <c r="CA603" i="23"/>
  <c r="BZ603" i="23"/>
  <c r="BL603" i="23"/>
  <c r="BF603" i="23"/>
  <c r="AZ603" i="23"/>
  <c r="AT603" i="23"/>
  <c r="AN603" i="23"/>
  <c r="AH603" i="23"/>
  <c r="AB603" i="23"/>
  <c r="R603" i="23"/>
  <c r="L603" i="23"/>
  <c r="CC602" i="23"/>
  <c r="CB602" i="23"/>
  <c r="CA602" i="23"/>
  <c r="BZ602" i="23"/>
  <c r="BL602" i="23"/>
  <c r="BF602" i="23"/>
  <c r="AZ602" i="23"/>
  <c r="AT602" i="23"/>
  <c r="AN602" i="23"/>
  <c r="AH602" i="23"/>
  <c r="AB602" i="23"/>
  <c r="R602" i="23"/>
  <c r="L602" i="23"/>
  <c r="CC601" i="23"/>
  <c r="CB601" i="23"/>
  <c r="CA601" i="23"/>
  <c r="BZ601" i="23"/>
  <c r="BL601" i="23"/>
  <c r="BF601" i="23"/>
  <c r="AZ601" i="23"/>
  <c r="AT601" i="23"/>
  <c r="AN601" i="23"/>
  <c r="AH601" i="23"/>
  <c r="AB601" i="23"/>
  <c r="R601" i="23"/>
  <c r="L601" i="23"/>
  <c r="CC600" i="23"/>
  <c r="CB600" i="23"/>
  <c r="CA600" i="23"/>
  <c r="BZ600" i="23"/>
  <c r="BL600" i="23"/>
  <c r="BF600" i="23"/>
  <c r="AZ600" i="23"/>
  <c r="AT600" i="23"/>
  <c r="AN600" i="23"/>
  <c r="AH600" i="23"/>
  <c r="AB600" i="23"/>
  <c r="R600" i="23"/>
  <c r="L600" i="23"/>
  <c r="CC599" i="23"/>
  <c r="CB599" i="23"/>
  <c r="CA599" i="23"/>
  <c r="BZ599" i="23"/>
  <c r="BL599" i="23"/>
  <c r="BF599" i="23"/>
  <c r="AZ599" i="23"/>
  <c r="AT599" i="23"/>
  <c r="AN599" i="23"/>
  <c r="AH599" i="23"/>
  <c r="AB599" i="23"/>
  <c r="R599" i="23"/>
  <c r="L599" i="23"/>
  <c r="CC146" i="23"/>
  <c r="CB146" i="23"/>
  <c r="CA146" i="23"/>
  <c r="BZ146" i="23"/>
  <c r="BL146" i="23"/>
  <c r="BF146" i="23"/>
  <c r="AZ146" i="23"/>
  <c r="AT146" i="23"/>
  <c r="AN146" i="23"/>
  <c r="AH146" i="23"/>
  <c r="AB146" i="23"/>
  <c r="R146" i="23"/>
  <c r="L146" i="23"/>
  <c r="CC145" i="23"/>
  <c r="CB145" i="23"/>
  <c r="CA145" i="23"/>
  <c r="BZ145" i="23"/>
  <c r="BL145" i="23"/>
  <c r="BF145" i="23"/>
  <c r="AZ145" i="23"/>
  <c r="AT145" i="23"/>
  <c r="AN145" i="23"/>
  <c r="AH145" i="23"/>
  <c r="AB145" i="23"/>
  <c r="R145" i="23"/>
  <c r="L145" i="23"/>
  <c r="CC144" i="23"/>
  <c r="CB144" i="23"/>
  <c r="CA144" i="23"/>
  <c r="BZ144" i="23"/>
  <c r="BL144" i="23"/>
  <c r="BF144" i="23"/>
  <c r="AZ144" i="23"/>
  <c r="AT144" i="23"/>
  <c r="AN144" i="23"/>
  <c r="AH144" i="23"/>
  <c r="AB144" i="23"/>
  <c r="R144" i="23"/>
  <c r="L144" i="23"/>
  <c r="CC143" i="23"/>
  <c r="CB143" i="23"/>
  <c r="CA143" i="23"/>
  <c r="BZ143" i="23"/>
  <c r="BL143" i="23"/>
  <c r="BF143" i="23"/>
  <c r="AZ143" i="23"/>
  <c r="AT143" i="23"/>
  <c r="AN143" i="23"/>
  <c r="AH143" i="23"/>
  <c r="AB143" i="23"/>
  <c r="R143" i="23"/>
  <c r="L143" i="23"/>
  <c r="CC142" i="23"/>
  <c r="CB142" i="23"/>
  <c r="CA142" i="23"/>
  <c r="BZ142" i="23"/>
  <c r="BL142" i="23"/>
  <c r="BF142" i="23"/>
  <c r="AZ142" i="23"/>
  <c r="AT142" i="23"/>
  <c r="AN142" i="23"/>
  <c r="AH142" i="23"/>
  <c r="AB142" i="23"/>
  <c r="R142" i="23"/>
  <c r="L142" i="23"/>
  <c r="CC141" i="23"/>
  <c r="CB141" i="23"/>
  <c r="CA141" i="23"/>
  <c r="BZ141" i="23"/>
  <c r="BL141" i="23"/>
  <c r="BF141" i="23"/>
  <c r="AZ141" i="23"/>
  <c r="AT141" i="23"/>
  <c r="AN141" i="23"/>
  <c r="AH141" i="23"/>
  <c r="AB141" i="23"/>
  <c r="R141" i="23"/>
  <c r="L141" i="23"/>
  <c r="CD608" i="23" l="1"/>
  <c r="CE608" i="23" s="1"/>
  <c r="CD1365" i="23"/>
  <c r="CE1365" i="23" s="1"/>
  <c r="CD146" i="23"/>
  <c r="CE146" i="23" s="1"/>
  <c r="CD606" i="23"/>
  <c r="CE606" i="23" s="1"/>
  <c r="CD652" i="23"/>
  <c r="CE652" i="23" s="1"/>
  <c r="CD141" i="23"/>
  <c r="CE141" i="23" s="1"/>
  <c r="CD145" i="23"/>
  <c r="CE145" i="23" s="1"/>
  <c r="CD599" i="23"/>
  <c r="CE599" i="23" s="1"/>
  <c r="CD601" i="23"/>
  <c r="CE601" i="23" s="1"/>
  <c r="CD605" i="23"/>
  <c r="CE605" i="23" s="1"/>
  <c r="CD607" i="23"/>
  <c r="CE607" i="23" s="1"/>
  <c r="CD609" i="23"/>
  <c r="CE609" i="23" s="1"/>
  <c r="CD613" i="23"/>
  <c r="CE613" i="23" s="1"/>
  <c r="CD653" i="23"/>
  <c r="CE653" i="23" s="1"/>
  <c r="CD1366" i="23"/>
  <c r="CE1366" i="23" s="1"/>
  <c r="CD600" i="23"/>
  <c r="CE600" i="23" s="1"/>
  <c r="CD142" i="23"/>
  <c r="CE142" i="23" s="1"/>
  <c r="CD144" i="23"/>
  <c r="CE144" i="23" s="1"/>
  <c r="CD602" i="23"/>
  <c r="CE602" i="23" s="1"/>
  <c r="CD610" i="23"/>
  <c r="CE610" i="23" s="1"/>
  <c r="CD612" i="23"/>
  <c r="CE612" i="23" s="1"/>
  <c r="CD604" i="23"/>
  <c r="CE604" i="23" s="1"/>
  <c r="CD143" i="23"/>
  <c r="CE143" i="23" s="1"/>
  <c r="CD603" i="23"/>
  <c r="CE603" i="23" s="1"/>
  <c r="CD611" i="23"/>
  <c r="CE611" i="23" s="1"/>
  <c r="BM653" i="23"/>
  <c r="I515" i="23"/>
  <c r="I514" i="23"/>
  <c r="I651" i="23"/>
  <c r="CC597" i="23"/>
  <c r="CB597" i="23"/>
  <c r="CA597" i="23"/>
  <c r="BZ597" i="23"/>
  <c r="BL597" i="23"/>
  <c r="BF597" i="23"/>
  <c r="AZ597" i="23"/>
  <c r="AT597" i="23"/>
  <c r="AN597" i="23"/>
  <c r="AH597" i="23"/>
  <c r="AB597" i="23"/>
  <c r="R597" i="23"/>
  <c r="L597" i="23"/>
  <c r="I1030" i="23"/>
  <c r="I1029" i="23"/>
  <c r="I1028" i="23"/>
  <c r="I1027" i="23"/>
  <c r="CD597" i="23" l="1"/>
  <c r="CE597" i="23" s="1"/>
  <c r="I1017" i="23"/>
  <c r="I1016" i="23"/>
  <c r="I1015" i="23"/>
  <c r="I1014" i="23"/>
  <c r="AY464" i="19"/>
  <c r="AS464" i="19"/>
  <c r="AW464" i="19"/>
  <c r="AQ464" i="19"/>
  <c r="W582" i="23"/>
  <c r="W484" i="23"/>
  <c r="W502" i="23"/>
  <c r="W1446" i="23"/>
  <c r="AG12" i="23"/>
  <c r="W266" i="23"/>
  <c r="W265" i="23"/>
  <c r="BU815" i="23" l="1"/>
  <c r="BU445" i="23"/>
  <c r="BU1260" i="23"/>
  <c r="CC1068" i="23" l="1"/>
  <c r="CB1068" i="23"/>
  <c r="BZ1068" i="23"/>
  <c r="BL1068" i="23"/>
  <c r="BF1068" i="23"/>
  <c r="AZ1068" i="23"/>
  <c r="AT1068" i="23"/>
  <c r="AN1068" i="23"/>
  <c r="AH1068" i="23"/>
  <c r="AB1068" i="23"/>
  <c r="R1068" i="23"/>
  <c r="CC1067" i="23"/>
  <c r="CB1067" i="23"/>
  <c r="CA1067" i="23"/>
  <c r="BZ1067" i="23"/>
  <c r="BL1067" i="23"/>
  <c r="BF1067" i="23"/>
  <c r="AZ1067" i="23"/>
  <c r="AT1067" i="23"/>
  <c r="AN1067" i="23"/>
  <c r="AH1067" i="23"/>
  <c r="AB1067" i="23"/>
  <c r="R1067" i="23"/>
  <c r="L1067" i="23"/>
  <c r="CC1066" i="23"/>
  <c r="CB1066" i="23"/>
  <c r="CA1066" i="23"/>
  <c r="BZ1066" i="23"/>
  <c r="BL1066" i="23"/>
  <c r="BF1066" i="23"/>
  <c r="AZ1066" i="23"/>
  <c r="AT1066" i="23"/>
  <c r="AN1066" i="23"/>
  <c r="AH1066" i="23"/>
  <c r="AB1066" i="23"/>
  <c r="R1066" i="23"/>
  <c r="L1066" i="23"/>
  <c r="CC1065" i="23"/>
  <c r="CB1065" i="23"/>
  <c r="CA1065" i="23"/>
  <c r="BZ1065" i="23"/>
  <c r="BL1065" i="23"/>
  <c r="BF1065" i="23"/>
  <c r="AZ1065" i="23"/>
  <c r="AT1065" i="23"/>
  <c r="AN1065" i="23"/>
  <c r="AH1065" i="23"/>
  <c r="AB1065" i="23"/>
  <c r="R1065" i="23"/>
  <c r="L1065" i="23"/>
  <c r="CC1064" i="23"/>
  <c r="CB1064" i="23"/>
  <c r="CA1064" i="23"/>
  <c r="BZ1064" i="23"/>
  <c r="BL1064" i="23"/>
  <c r="BF1064" i="23"/>
  <c r="AZ1064" i="23"/>
  <c r="AT1064" i="23"/>
  <c r="AN1064" i="23"/>
  <c r="AH1064" i="23"/>
  <c r="AB1064" i="23"/>
  <c r="R1064" i="23"/>
  <c r="L1064" i="23"/>
  <c r="CC1063" i="23"/>
  <c r="CB1063" i="23"/>
  <c r="CA1063" i="23"/>
  <c r="BZ1063" i="23"/>
  <c r="BL1063" i="23"/>
  <c r="BF1063" i="23"/>
  <c r="AZ1063" i="23"/>
  <c r="AT1063" i="23"/>
  <c r="AN1063" i="23"/>
  <c r="AH1063" i="23"/>
  <c r="AB1063" i="23"/>
  <c r="R1063" i="23"/>
  <c r="L1063" i="23"/>
  <c r="CD1064" i="23" l="1"/>
  <c r="CE1064" i="23" s="1"/>
  <c r="CD1067" i="23"/>
  <c r="CE1067" i="23" s="1"/>
  <c r="CD1065" i="23"/>
  <c r="CE1065" i="23" s="1"/>
  <c r="CD1068" i="23"/>
  <c r="CE1068" i="23" s="1"/>
  <c r="CD1063" i="23"/>
  <c r="CE1063" i="23" s="1"/>
  <c r="CD1066" i="23"/>
  <c r="CE1066" i="23" s="1"/>
  <c r="AQ255" i="23"/>
  <c r="W687" i="23"/>
  <c r="W430" i="23"/>
  <c r="W513" i="23"/>
  <c r="W501" i="23"/>
  <c r="W560" i="23"/>
  <c r="W1320" i="23"/>
  <c r="Y1211" i="23" l="1"/>
  <c r="Y1265" i="23"/>
  <c r="Y259" i="23"/>
  <c r="Z464" i="19"/>
  <c r="Y464" i="19"/>
  <c r="CC1173" i="23" l="1"/>
  <c r="CB1173" i="23"/>
  <c r="CA1173" i="23"/>
  <c r="BZ1173" i="23"/>
  <c r="BL1173" i="23"/>
  <c r="BF1173" i="23"/>
  <c r="AZ1173" i="23"/>
  <c r="AT1173" i="23"/>
  <c r="AN1173" i="23"/>
  <c r="AH1173" i="23"/>
  <c r="AB1173" i="23"/>
  <c r="R1173" i="23"/>
  <c r="L1173" i="23"/>
  <c r="H1173" i="23"/>
  <c r="CC1172" i="23"/>
  <c r="CB1172" i="23"/>
  <c r="CA1172" i="23"/>
  <c r="BZ1172" i="23"/>
  <c r="BL1172" i="23"/>
  <c r="BF1172" i="23"/>
  <c r="AZ1172" i="23"/>
  <c r="AT1172" i="23"/>
  <c r="AN1172" i="23"/>
  <c r="AH1172" i="23"/>
  <c r="AB1172" i="23"/>
  <c r="R1172" i="23"/>
  <c r="L1172" i="23"/>
  <c r="CC1171" i="23"/>
  <c r="CB1171" i="23"/>
  <c r="CA1171" i="23"/>
  <c r="BZ1171" i="23"/>
  <c r="BL1171" i="23"/>
  <c r="BF1171" i="23"/>
  <c r="AZ1171" i="23"/>
  <c r="AT1171" i="23"/>
  <c r="AN1171" i="23"/>
  <c r="AH1171" i="23"/>
  <c r="AB1171" i="23"/>
  <c r="R1171" i="23"/>
  <c r="L1171" i="23"/>
  <c r="CC1170" i="23"/>
  <c r="CB1170" i="23"/>
  <c r="CA1170" i="23"/>
  <c r="BZ1170" i="23"/>
  <c r="BL1170" i="23"/>
  <c r="BF1170" i="23"/>
  <c r="AZ1170" i="23"/>
  <c r="AT1170" i="23"/>
  <c r="AN1170" i="23"/>
  <c r="AH1170" i="23"/>
  <c r="AB1170" i="23"/>
  <c r="R1170" i="23"/>
  <c r="L1170" i="23"/>
  <c r="CC951" i="23"/>
  <c r="CB951" i="23"/>
  <c r="CA951" i="23"/>
  <c r="BZ951" i="23"/>
  <c r="BL951" i="23"/>
  <c r="BF951" i="23"/>
  <c r="AZ951" i="23"/>
  <c r="AT951" i="23"/>
  <c r="AN951" i="23"/>
  <c r="AH951" i="23"/>
  <c r="AB951" i="23"/>
  <c r="R951" i="23"/>
  <c r="L951" i="23"/>
  <c r="CC950" i="23"/>
  <c r="CB950" i="23"/>
  <c r="CA950" i="23"/>
  <c r="BZ950" i="23"/>
  <c r="BL950" i="23"/>
  <c r="BF950" i="23"/>
  <c r="AZ950" i="23"/>
  <c r="AT950" i="23"/>
  <c r="AN950" i="23"/>
  <c r="AH950" i="23"/>
  <c r="AB950" i="23"/>
  <c r="R950" i="23"/>
  <c r="L950" i="23"/>
  <c r="CD950" i="23" l="1"/>
  <c r="CE950" i="23" s="1"/>
  <c r="CD1170" i="23"/>
  <c r="CE1170" i="23" s="1"/>
  <c r="BM1172" i="23"/>
  <c r="CD1172" i="23"/>
  <c r="CE1172" i="23" s="1"/>
  <c r="CD1173" i="23"/>
  <c r="CE1173" i="23" s="1"/>
  <c r="CD951" i="23"/>
  <c r="CE951" i="23" s="1"/>
  <c r="BM1173" i="23"/>
  <c r="CD1171" i="23"/>
  <c r="CE1171" i="23" s="1"/>
  <c r="I1144" i="23"/>
  <c r="I1143" i="23"/>
  <c r="I1142" i="23"/>
  <c r="CC999" i="23" l="1"/>
  <c r="CB999" i="23"/>
  <c r="BZ999" i="23"/>
  <c r="BL999" i="23"/>
  <c r="BF999" i="23"/>
  <c r="AZ999" i="23"/>
  <c r="AT999" i="23"/>
  <c r="AN999" i="23"/>
  <c r="AH999" i="23"/>
  <c r="AB999" i="23"/>
  <c r="R999" i="23"/>
  <c r="I999" i="23"/>
  <c r="CA999" i="23" s="1"/>
  <c r="CC998" i="23"/>
  <c r="CB998" i="23"/>
  <c r="BZ998" i="23"/>
  <c r="BL998" i="23"/>
  <c r="BF998" i="23"/>
  <c r="AZ998" i="23"/>
  <c r="AT998" i="23"/>
  <c r="AN998" i="23"/>
  <c r="AH998" i="23"/>
  <c r="AB998" i="23"/>
  <c r="R998" i="23"/>
  <c r="I998" i="23"/>
  <c r="L998" i="23" s="1"/>
  <c r="CC997" i="23"/>
  <c r="CB997" i="23"/>
  <c r="BZ997" i="23"/>
  <c r="BL997" i="23"/>
  <c r="BF997" i="23"/>
  <c r="AZ997" i="23"/>
  <c r="AT997" i="23"/>
  <c r="AN997" i="23"/>
  <c r="AH997" i="23"/>
  <c r="AB997" i="23"/>
  <c r="R997" i="23"/>
  <c r="I997" i="23"/>
  <c r="CA997" i="23" s="1"/>
  <c r="CC996" i="23"/>
  <c r="CB996" i="23"/>
  <c r="BZ996" i="23"/>
  <c r="BL996" i="23"/>
  <c r="BF996" i="23"/>
  <c r="AZ996" i="23"/>
  <c r="AT996" i="23"/>
  <c r="AN996" i="23"/>
  <c r="AH996" i="23"/>
  <c r="AB996" i="23"/>
  <c r="R996" i="23"/>
  <c r="I996" i="23"/>
  <c r="CC995" i="23"/>
  <c r="CB995" i="23"/>
  <c r="BZ995" i="23"/>
  <c r="BL995" i="23"/>
  <c r="BF995" i="23"/>
  <c r="AZ995" i="23"/>
  <c r="AT995" i="23"/>
  <c r="AN995" i="23"/>
  <c r="AH995" i="23"/>
  <c r="AB995" i="23"/>
  <c r="R995" i="23"/>
  <c r="I995" i="23"/>
  <c r="L995" i="23" s="1"/>
  <c r="CC994" i="23"/>
  <c r="CB994" i="23"/>
  <c r="BZ994" i="23"/>
  <c r="BL994" i="23"/>
  <c r="BF994" i="23"/>
  <c r="AZ994" i="23"/>
  <c r="AT994" i="23"/>
  <c r="AN994" i="23"/>
  <c r="AH994" i="23"/>
  <c r="AB994" i="23"/>
  <c r="R994" i="23"/>
  <c r="I994" i="23"/>
  <c r="CA994" i="23" s="1"/>
  <c r="CC25" i="23"/>
  <c r="CB25" i="23"/>
  <c r="CA25" i="23"/>
  <c r="BZ25" i="23"/>
  <c r="BL25" i="23"/>
  <c r="BF25" i="23"/>
  <c r="AZ25" i="23"/>
  <c r="AT25" i="23"/>
  <c r="AN25" i="23"/>
  <c r="AH25" i="23"/>
  <c r="AB25" i="23"/>
  <c r="R25" i="23"/>
  <c r="L25" i="23"/>
  <c r="CC24" i="23"/>
  <c r="CB24" i="23"/>
  <c r="CA24" i="23"/>
  <c r="BZ24" i="23"/>
  <c r="BL24" i="23"/>
  <c r="BF24" i="23"/>
  <c r="AZ24" i="23"/>
  <c r="AT24" i="23"/>
  <c r="AN24" i="23"/>
  <c r="AH24" i="23"/>
  <c r="AB24" i="23"/>
  <c r="R24" i="23"/>
  <c r="L24" i="23"/>
  <c r="CC23" i="23"/>
  <c r="CB23" i="23"/>
  <c r="CA23" i="23"/>
  <c r="BZ23" i="23"/>
  <c r="BL23" i="23"/>
  <c r="BF23" i="23"/>
  <c r="AZ23" i="23"/>
  <c r="AT23" i="23"/>
  <c r="AN23" i="23"/>
  <c r="AH23" i="23"/>
  <c r="AB23" i="23"/>
  <c r="R23" i="23"/>
  <c r="L23" i="23"/>
  <c r="CB22" i="23"/>
  <c r="BZ22" i="23"/>
  <c r="BL22" i="23"/>
  <c r="BF22" i="23"/>
  <c r="AZ22" i="23"/>
  <c r="AT22" i="23"/>
  <c r="AN22" i="23"/>
  <c r="AH22" i="23"/>
  <c r="AB22" i="23"/>
  <c r="W22" i="23"/>
  <c r="R22" i="23"/>
  <c r="K22" i="23"/>
  <c r="CC22" i="23" s="1"/>
  <c r="I22" i="23"/>
  <c r="CC21" i="23"/>
  <c r="CB21" i="23"/>
  <c r="CA21" i="23"/>
  <c r="BZ21" i="23"/>
  <c r="BL21" i="23"/>
  <c r="BF21" i="23"/>
  <c r="AZ21" i="23"/>
  <c r="AT21" i="23"/>
  <c r="AN21" i="23"/>
  <c r="AH21" i="23"/>
  <c r="AB21" i="23"/>
  <c r="R21" i="23"/>
  <c r="L21" i="23"/>
  <c r="CC20" i="23"/>
  <c r="CB20" i="23"/>
  <c r="CA20" i="23"/>
  <c r="BZ20" i="23"/>
  <c r="BL20" i="23"/>
  <c r="BF20" i="23"/>
  <c r="AZ20" i="23"/>
  <c r="AT20" i="23"/>
  <c r="AN20" i="23"/>
  <c r="AH20" i="23"/>
  <c r="AB20" i="23"/>
  <c r="R20" i="23"/>
  <c r="L20" i="23"/>
  <c r="CC19" i="23"/>
  <c r="CB19" i="23"/>
  <c r="CA19" i="23"/>
  <c r="BZ19" i="23"/>
  <c r="BL19" i="23"/>
  <c r="BF19" i="23"/>
  <c r="AZ19" i="23"/>
  <c r="AT19" i="23"/>
  <c r="AN19" i="23"/>
  <c r="AH19" i="23"/>
  <c r="AB19" i="23"/>
  <c r="W19" i="23"/>
  <c r="R19" i="23"/>
  <c r="L19" i="23"/>
  <c r="CC18" i="23"/>
  <c r="CB18" i="23"/>
  <c r="CA18" i="23"/>
  <c r="BZ18" i="23"/>
  <c r="BL18" i="23"/>
  <c r="BF18" i="23"/>
  <c r="AZ18" i="23"/>
  <c r="AT18" i="23"/>
  <c r="AN18" i="23"/>
  <c r="AH18" i="23"/>
  <c r="AB18" i="23"/>
  <c r="W18" i="23"/>
  <c r="R18" i="23"/>
  <c r="L18" i="23"/>
  <c r="CC17" i="23"/>
  <c r="CA17" i="23"/>
  <c r="BW17" i="23"/>
  <c r="BL17" i="23"/>
  <c r="BF17" i="23"/>
  <c r="AZ17" i="23"/>
  <c r="AT17" i="23"/>
  <c r="AN17" i="23"/>
  <c r="AG17" i="23"/>
  <c r="AE17" i="23"/>
  <c r="Z17" i="23"/>
  <c r="Y17" i="23"/>
  <c r="R17" i="23"/>
  <c r="L17" i="23"/>
  <c r="CC16" i="23"/>
  <c r="CB16" i="23"/>
  <c r="CA16" i="23"/>
  <c r="BZ16" i="23"/>
  <c r="BL16" i="23"/>
  <c r="BF16" i="23"/>
  <c r="AZ16" i="23"/>
  <c r="AT16" i="23"/>
  <c r="AN16" i="23"/>
  <c r="AH16" i="23"/>
  <c r="AB16" i="23"/>
  <c r="W16" i="23"/>
  <c r="R16" i="23"/>
  <c r="L16" i="23"/>
  <c r="CC15" i="23"/>
  <c r="CB15" i="23"/>
  <c r="BU15" i="23"/>
  <c r="CA15" i="23" s="1"/>
  <c r="BL15" i="23"/>
  <c r="BF15" i="23"/>
  <c r="AZ15" i="23"/>
  <c r="AT15" i="23"/>
  <c r="AN15" i="23"/>
  <c r="AH15" i="23"/>
  <c r="AB15" i="23"/>
  <c r="R15" i="23"/>
  <c r="L15" i="23"/>
  <c r="CC14" i="23"/>
  <c r="CB14" i="23"/>
  <c r="CA14" i="23"/>
  <c r="BZ14" i="23"/>
  <c r="BL14" i="23"/>
  <c r="BF14" i="23"/>
  <c r="AZ14" i="23"/>
  <c r="AT14" i="23"/>
  <c r="AN14" i="23"/>
  <c r="AH14" i="23"/>
  <c r="AB14" i="23"/>
  <c r="R14" i="23"/>
  <c r="L14" i="23"/>
  <c r="CC13" i="23"/>
  <c r="CB13" i="23"/>
  <c r="CA13" i="23"/>
  <c r="BZ13" i="23"/>
  <c r="BL13" i="23"/>
  <c r="BF13" i="23"/>
  <c r="AZ13" i="23"/>
  <c r="AT13" i="23"/>
  <c r="AN13" i="23"/>
  <c r="AH13" i="23"/>
  <c r="AB13" i="23"/>
  <c r="R13" i="23"/>
  <c r="L13" i="23"/>
  <c r="CE13" i="23" s="1"/>
  <c r="CC12" i="23"/>
  <c r="CB12" i="23"/>
  <c r="CA12" i="23"/>
  <c r="BZ12" i="23"/>
  <c r="BL12" i="23"/>
  <c r="BF12" i="23"/>
  <c r="AZ12" i="23"/>
  <c r="AT12" i="23"/>
  <c r="AN12" i="23"/>
  <c r="AH12" i="23"/>
  <c r="AB12" i="23"/>
  <c r="R12" i="23"/>
  <c r="L12" i="23"/>
  <c r="L22" i="23" l="1"/>
  <c r="CA22" i="23"/>
  <c r="CD22" i="23" s="1"/>
  <c r="L999" i="23"/>
  <c r="CD15" i="23"/>
  <c r="CE15" i="23" s="1"/>
  <c r="CD997" i="23"/>
  <c r="CD999" i="23"/>
  <c r="CA995" i="23"/>
  <c r="CD995" i="23" s="1"/>
  <c r="CE995" i="23" s="1"/>
  <c r="CE21" i="23"/>
  <c r="CD25" i="23"/>
  <c r="CE25" i="23" s="1"/>
  <c r="AB17" i="23"/>
  <c r="CD18" i="23"/>
  <c r="CE18" i="23" s="1"/>
  <c r="AH17" i="23"/>
  <c r="CD20" i="23"/>
  <c r="CE20" i="23" s="1"/>
  <c r="CD24" i="23"/>
  <c r="CE24" i="23" s="1"/>
  <c r="L994" i="23"/>
  <c r="L997" i="23"/>
  <c r="BZ15" i="23"/>
  <c r="BM15" i="23" s="1"/>
  <c r="CD16" i="23"/>
  <c r="CE16" i="23" s="1"/>
  <c r="CE23" i="23"/>
  <c r="BZ17" i="23"/>
  <c r="CB17" i="23"/>
  <c r="BM13" i="23"/>
  <c r="CD14" i="23"/>
  <c r="L996" i="23"/>
  <c r="CA996" i="23"/>
  <c r="CD996" i="23" s="1"/>
  <c r="CD19" i="23"/>
  <c r="CE19" i="23" s="1"/>
  <c r="CD12" i="23"/>
  <c r="CE12" i="23" s="1"/>
  <c r="CA998" i="23"/>
  <c r="CD998" i="23" s="1"/>
  <c r="CD994" i="23"/>
  <c r="AY54" i="23"/>
  <c r="CE22" i="23" l="1"/>
  <c r="CE997" i="23"/>
  <c r="CE999" i="23"/>
  <c r="CE17" i="23"/>
  <c r="CE996" i="23"/>
  <c r="CE14" i="23"/>
  <c r="CE998" i="23"/>
  <c r="CE994" i="23"/>
  <c r="BW1481" i="23"/>
  <c r="BU1481" i="23"/>
  <c r="W129" i="23" l="1"/>
  <c r="W685" i="23"/>
  <c r="AW54" i="23"/>
  <c r="AS54" i="23"/>
  <c r="CC1161" i="23"/>
  <c r="CB1161" i="23"/>
  <c r="CA1161" i="23"/>
  <c r="BZ1161" i="23"/>
  <c r="BL1161" i="23"/>
  <c r="BF1161" i="23"/>
  <c r="AZ1161" i="23"/>
  <c r="AT1161" i="23"/>
  <c r="AN1161" i="23"/>
  <c r="AH1161" i="23"/>
  <c r="AB1161" i="23"/>
  <c r="R1161" i="23"/>
  <c r="L1161" i="23"/>
  <c r="CC1160" i="23"/>
  <c r="CB1160" i="23"/>
  <c r="CA1160" i="23"/>
  <c r="BZ1160" i="23"/>
  <c r="BL1160" i="23"/>
  <c r="BF1160" i="23"/>
  <c r="AZ1160" i="23"/>
  <c r="AT1160" i="23"/>
  <c r="AN1160" i="23"/>
  <c r="AH1160" i="23"/>
  <c r="AB1160" i="23"/>
  <c r="R1160" i="23"/>
  <c r="L1160" i="23"/>
  <c r="CC1159" i="23"/>
  <c r="CB1159" i="23"/>
  <c r="CA1159" i="23"/>
  <c r="BZ1159" i="23"/>
  <c r="BL1159" i="23"/>
  <c r="BF1159" i="23"/>
  <c r="AZ1159" i="23"/>
  <c r="AT1159" i="23"/>
  <c r="AN1159" i="23"/>
  <c r="AH1159" i="23"/>
  <c r="AB1159" i="23"/>
  <c r="R1159" i="23"/>
  <c r="L1159" i="23"/>
  <c r="CC1158" i="23"/>
  <c r="CB1158" i="23"/>
  <c r="CA1158" i="23"/>
  <c r="BZ1158" i="23"/>
  <c r="BL1158" i="23"/>
  <c r="BF1158" i="23"/>
  <c r="AZ1158" i="23"/>
  <c r="AT1158" i="23"/>
  <c r="AN1158" i="23"/>
  <c r="AH1158" i="23"/>
  <c r="AB1158" i="23"/>
  <c r="R1158" i="23"/>
  <c r="L1158" i="23"/>
  <c r="CC1157" i="23"/>
  <c r="CB1157" i="23"/>
  <c r="CA1157" i="23"/>
  <c r="BZ1157" i="23"/>
  <c r="BL1157" i="23"/>
  <c r="BF1157" i="23"/>
  <c r="AZ1157" i="23"/>
  <c r="AT1157" i="23"/>
  <c r="AN1157" i="23"/>
  <c r="AH1157" i="23"/>
  <c r="AB1157" i="23"/>
  <c r="R1157" i="23"/>
  <c r="L1157" i="23"/>
  <c r="CD1159" i="23" l="1"/>
  <c r="CE1159" i="23" s="1"/>
  <c r="CD1160" i="23"/>
  <c r="CE1160" i="23" s="1"/>
  <c r="CD1158" i="23"/>
  <c r="CE1158" i="23" s="1"/>
  <c r="CD1161" i="23"/>
  <c r="CE1161" i="23" s="1"/>
  <c r="CD1157" i="23"/>
  <c r="CE1157" i="23" l="1"/>
  <c r="Y814" i="23"/>
  <c r="Y716" i="23"/>
  <c r="CC834" i="23" l="1"/>
  <c r="CB834" i="23"/>
  <c r="CA834" i="23"/>
  <c r="BZ834" i="23"/>
  <c r="BL834" i="23"/>
  <c r="BF834" i="23"/>
  <c r="AZ834" i="23"/>
  <c r="AT834" i="23"/>
  <c r="AN834" i="23"/>
  <c r="AH834" i="23"/>
  <c r="AB834" i="23"/>
  <c r="R834" i="23"/>
  <c r="L834" i="23"/>
  <c r="CC833" i="23"/>
  <c r="CB833" i="23"/>
  <c r="CA833" i="23"/>
  <c r="BZ833" i="23"/>
  <c r="BL833" i="23"/>
  <c r="BF833" i="23"/>
  <c r="AZ833" i="23"/>
  <c r="AT833" i="23"/>
  <c r="AN833" i="23"/>
  <c r="AH833" i="23"/>
  <c r="AB833" i="23"/>
  <c r="R833" i="23"/>
  <c r="L833" i="23"/>
  <c r="CC832" i="23"/>
  <c r="CB832" i="23"/>
  <c r="CA832" i="23"/>
  <c r="BZ832" i="23"/>
  <c r="BL832" i="23"/>
  <c r="BF832" i="23"/>
  <c r="AZ832" i="23"/>
  <c r="AT832" i="23"/>
  <c r="AN832" i="23"/>
  <c r="AH832" i="23"/>
  <c r="AB832" i="23"/>
  <c r="R832" i="23"/>
  <c r="L832" i="23"/>
  <c r="CC831" i="23"/>
  <c r="CB831" i="23"/>
  <c r="CA831" i="23"/>
  <c r="BZ831" i="23"/>
  <c r="BL831" i="23"/>
  <c r="BF831" i="23"/>
  <c r="AZ831" i="23"/>
  <c r="AT831" i="23"/>
  <c r="AN831" i="23"/>
  <c r="AH831" i="23"/>
  <c r="AB831" i="23"/>
  <c r="R831" i="23"/>
  <c r="L831" i="23"/>
  <c r="CD831" i="23" l="1"/>
  <c r="CD832" i="23"/>
  <c r="CE832" i="23" s="1"/>
  <c r="CD834" i="23"/>
  <c r="CE834" i="23" s="1"/>
  <c r="CD833" i="23"/>
  <c r="CE833" i="23" s="1"/>
  <c r="CC1657" i="23"/>
  <c r="CB1657" i="23"/>
  <c r="CA1657" i="23"/>
  <c r="BZ1657" i="23"/>
  <c r="BL1657" i="23"/>
  <c r="BF1657" i="23"/>
  <c r="AZ1657" i="23"/>
  <c r="AT1657" i="23"/>
  <c r="AN1657" i="23"/>
  <c r="AH1657" i="23"/>
  <c r="AB1657" i="23"/>
  <c r="R1657" i="23"/>
  <c r="L1657" i="23"/>
  <c r="CC1656" i="23"/>
  <c r="CB1656" i="23"/>
  <c r="CA1656" i="23"/>
  <c r="BZ1656" i="23"/>
  <c r="BL1656" i="23"/>
  <c r="BF1656" i="23"/>
  <c r="AZ1656" i="23"/>
  <c r="AT1656" i="23"/>
  <c r="AN1656" i="23"/>
  <c r="AH1656" i="23"/>
  <c r="AB1656" i="23"/>
  <c r="R1656" i="23"/>
  <c r="L1656" i="23"/>
  <c r="CC1655" i="23"/>
  <c r="CB1655" i="23"/>
  <c r="CA1655" i="23"/>
  <c r="BZ1655" i="23"/>
  <c r="BL1655" i="23"/>
  <c r="BF1655" i="23"/>
  <c r="AZ1655" i="23"/>
  <c r="AT1655" i="23"/>
  <c r="AN1655" i="23"/>
  <c r="AH1655" i="23"/>
  <c r="AB1655" i="23"/>
  <c r="R1655" i="23"/>
  <c r="L1655" i="23"/>
  <c r="CE831" i="23" l="1"/>
  <c r="CD1655" i="23"/>
  <c r="CE1655" i="23" s="1"/>
  <c r="CD1657" i="23"/>
  <c r="CE1657" i="23" s="1"/>
  <c r="CD1656" i="23"/>
  <c r="CE1656" i="23" s="1"/>
  <c r="W787" i="23"/>
  <c r="W788" i="23"/>
  <c r="BU415" i="23" l="1"/>
  <c r="Z563" i="23" l="1"/>
  <c r="Y563" i="23"/>
  <c r="Z445" i="23"/>
  <c r="Y445" i="23"/>
  <c r="Y261" i="23"/>
  <c r="AY411" i="23" l="1"/>
  <c r="W294" i="23"/>
  <c r="W291" i="23"/>
  <c r="W292" i="23"/>
  <c r="W34" i="23"/>
  <c r="W28" i="23"/>
  <c r="W1251" i="23"/>
  <c r="CC1654" i="23" l="1"/>
  <c r="CB1654" i="23"/>
  <c r="CA1654" i="23"/>
  <c r="BZ1654" i="23"/>
  <c r="BL1654" i="23"/>
  <c r="BF1654" i="23"/>
  <c r="AZ1654" i="23"/>
  <c r="AT1654" i="23"/>
  <c r="AN1654" i="23"/>
  <c r="AH1654" i="23"/>
  <c r="AB1654" i="23"/>
  <c r="R1654" i="23"/>
  <c r="L1654" i="23"/>
  <c r="CC1653" i="23"/>
  <c r="CB1653" i="23"/>
  <c r="CA1653" i="23"/>
  <c r="BZ1653" i="23"/>
  <c r="BL1653" i="23"/>
  <c r="BF1653" i="23"/>
  <c r="AZ1653" i="23"/>
  <c r="AT1653" i="23"/>
  <c r="AN1653" i="23"/>
  <c r="AH1653" i="23"/>
  <c r="AB1653" i="23"/>
  <c r="R1653" i="23"/>
  <c r="L1653" i="23"/>
  <c r="CC1652" i="23"/>
  <c r="CB1652" i="23"/>
  <c r="CA1652" i="23"/>
  <c r="BZ1652" i="23"/>
  <c r="BL1652" i="23"/>
  <c r="BF1652" i="23"/>
  <c r="AZ1652" i="23"/>
  <c r="AT1652" i="23"/>
  <c r="AN1652" i="23"/>
  <c r="AH1652" i="23"/>
  <c r="AB1652" i="23"/>
  <c r="R1652" i="23"/>
  <c r="L1652" i="23"/>
  <c r="CC1651" i="23"/>
  <c r="CB1651" i="23"/>
  <c r="CA1651" i="23"/>
  <c r="BZ1651" i="23"/>
  <c r="BL1651" i="23"/>
  <c r="BF1651" i="23"/>
  <c r="AZ1651" i="23"/>
  <c r="AT1651" i="23"/>
  <c r="AN1651" i="23"/>
  <c r="AH1651" i="23"/>
  <c r="AB1651" i="23"/>
  <c r="R1651" i="23"/>
  <c r="L1651" i="23"/>
  <c r="CC1650" i="23"/>
  <c r="CB1650" i="23"/>
  <c r="CA1650" i="23"/>
  <c r="BZ1650" i="23"/>
  <c r="BL1650" i="23"/>
  <c r="BF1650" i="23"/>
  <c r="AZ1650" i="23"/>
  <c r="AT1650" i="23"/>
  <c r="AN1650" i="23"/>
  <c r="AH1650" i="23"/>
  <c r="AB1650" i="23"/>
  <c r="R1650" i="23"/>
  <c r="L1650" i="23"/>
  <c r="CC1649" i="23"/>
  <c r="CB1649" i="23"/>
  <c r="CA1649" i="23"/>
  <c r="BZ1649" i="23"/>
  <c r="BL1649" i="23"/>
  <c r="BF1649" i="23"/>
  <c r="AZ1649" i="23"/>
  <c r="AT1649" i="23"/>
  <c r="AN1649" i="23"/>
  <c r="AH1649" i="23"/>
  <c r="AB1649" i="23"/>
  <c r="R1649" i="23"/>
  <c r="L1649" i="23"/>
  <c r="CC1394" i="23"/>
  <c r="CB1394" i="23"/>
  <c r="CA1394" i="23"/>
  <c r="BZ1394" i="23"/>
  <c r="BL1394" i="23"/>
  <c r="BF1394" i="23"/>
  <c r="AZ1394" i="23"/>
  <c r="AT1394" i="23"/>
  <c r="AN1394" i="23"/>
  <c r="AH1394" i="23"/>
  <c r="AB1394" i="23"/>
  <c r="R1394" i="23"/>
  <c r="L1394" i="23"/>
  <c r="CC1393" i="23"/>
  <c r="CB1393" i="23"/>
  <c r="CA1393" i="23"/>
  <c r="BZ1393" i="23"/>
  <c r="BL1393" i="23"/>
  <c r="BF1393" i="23"/>
  <c r="AZ1393" i="23"/>
  <c r="AT1393" i="23"/>
  <c r="AN1393" i="23"/>
  <c r="AH1393" i="23"/>
  <c r="AB1393" i="23"/>
  <c r="R1393" i="23"/>
  <c r="L1393" i="23"/>
  <c r="CC1392" i="23"/>
  <c r="CB1392" i="23"/>
  <c r="CA1392" i="23"/>
  <c r="BZ1392" i="23"/>
  <c r="BL1392" i="23"/>
  <c r="BF1392" i="23"/>
  <c r="AZ1392" i="23"/>
  <c r="AT1392" i="23"/>
  <c r="AN1392" i="23"/>
  <c r="AH1392" i="23"/>
  <c r="AB1392" i="23"/>
  <c r="R1392" i="23"/>
  <c r="L1392" i="23"/>
  <c r="CC1391" i="23"/>
  <c r="CB1391" i="23"/>
  <c r="CA1391" i="23"/>
  <c r="BZ1391" i="23"/>
  <c r="BL1391" i="23"/>
  <c r="BF1391" i="23"/>
  <c r="AZ1391" i="23"/>
  <c r="AT1391" i="23"/>
  <c r="AN1391" i="23"/>
  <c r="AH1391" i="23"/>
  <c r="AB1391" i="23"/>
  <c r="R1391" i="23"/>
  <c r="L1391" i="23"/>
  <c r="CC1390" i="23"/>
  <c r="CB1390" i="23"/>
  <c r="CA1390" i="23"/>
  <c r="BZ1390" i="23"/>
  <c r="BL1390" i="23"/>
  <c r="BF1390" i="23"/>
  <c r="AZ1390" i="23"/>
  <c r="AT1390" i="23"/>
  <c r="AN1390" i="23"/>
  <c r="AH1390" i="23"/>
  <c r="AB1390" i="23"/>
  <c r="R1390" i="23"/>
  <c r="L1390" i="23"/>
  <c r="CC1389" i="23"/>
  <c r="CB1389" i="23"/>
  <c r="CA1389" i="23"/>
  <c r="BZ1389" i="23"/>
  <c r="BL1389" i="23"/>
  <c r="BF1389" i="23"/>
  <c r="AZ1389" i="23"/>
  <c r="AT1389" i="23"/>
  <c r="AN1389" i="23"/>
  <c r="AH1389" i="23"/>
  <c r="AB1389" i="23"/>
  <c r="R1389" i="23"/>
  <c r="L1389" i="23"/>
  <c r="CC1388" i="23"/>
  <c r="CB1388" i="23"/>
  <c r="CA1388" i="23"/>
  <c r="BZ1388" i="23"/>
  <c r="BL1388" i="23"/>
  <c r="BF1388" i="23"/>
  <c r="AZ1388" i="23"/>
  <c r="AT1388" i="23"/>
  <c r="AN1388" i="23"/>
  <c r="AH1388" i="23"/>
  <c r="AB1388" i="23"/>
  <c r="R1388" i="23"/>
  <c r="L1388" i="23"/>
  <c r="CC1387" i="23"/>
  <c r="CB1387" i="23"/>
  <c r="CA1387" i="23"/>
  <c r="BZ1387" i="23"/>
  <c r="BL1387" i="23"/>
  <c r="BF1387" i="23"/>
  <c r="AZ1387" i="23"/>
  <c r="AT1387" i="23"/>
  <c r="AN1387" i="23"/>
  <c r="AH1387" i="23"/>
  <c r="AB1387" i="23"/>
  <c r="R1387" i="23"/>
  <c r="L1387" i="23"/>
  <c r="CC1386" i="23"/>
  <c r="CB1386" i="23"/>
  <c r="CA1386" i="23"/>
  <c r="BZ1386" i="23"/>
  <c r="BL1386" i="23"/>
  <c r="BF1386" i="23"/>
  <c r="AZ1386" i="23"/>
  <c r="AT1386" i="23"/>
  <c r="AN1386" i="23"/>
  <c r="AH1386" i="23"/>
  <c r="AB1386" i="23"/>
  <c r="R1386" i="23"/>
  <c r="L1386" i="23"/>
  <c r="CC1385" i="23"/>
  <c r="CB1385" i="23"/>
  <c r="CA1385" i="23"/>
  <c r="BZ1385" i="23"/>
  <c r="BL1385" i="23"/>
  <c r="BF1385" i="23"/>
  <c r="AZ1385" i="23"/>
  <c r="AT1385" i="23"/>
  <c r="AN1385" i="23"/>
  <c r="AH1385" i="23"/>
  <c r="AB1385" i="23"/>
  <c r="R1385" i="23"/>
  <c r="L1385" i="23"/>
  <c r="CC1384" i="23"/>
  <c r="CB1384" i="23"/>
  <c r="CA1384" i="23"/>
  <c r="BZ1384" i="23"/>
  <c r="BL1384" i="23"/>
  <c r="BF1384" i="23"/>
  <c r="AZ1384" i="23"/>
  <c r="AT1384" i="23"/>
  <c r="AN1384" i="23"/>
  <c r="AH1384" i="23"/>
  <c r="AB1384" i="23"/>
  <c r="R1384" i="23"/>
  <c r="L1384" i="23"/>
  <c r="CC1383" i="23"/>
  <c r="CB1383" i="23"/>
  <c r="CA1383" i="23"/>
  <c r="BZ1383" i="23"/>
  <c r="BL1383" i="23"/>
  <c r="BF1383" i="23"/>
  <c r="AZ1383" i="23"/>
  <c r="AT1383" i="23"/>
  <c r="AN1383" i="23"/>
  <c r="AH1383" i="23"/>
  <c r="AB1383" i="23"/>
  <c r="R1383" i="23"/>
  <c r="L1383" i="23"/>
  <c r="CC1382" i="23"/>
  <c r="CB1382" i="23"/>
  <c r="CA1382" i="23"/>
  <c r="BZ1382" i="23"/>
  <c r="BL1382" i="23"/>
  <c r="BF1382" i="23"/>
  <c r="AZ1382" i="23"/>
  <c r="AT1382" i="23"/>
  <c r="AN1382" i="23"/>
  <c r="AH1382" i="23"/>
  <c r="AB1382" i="23"/>
  <c r="R1382" i="23"/>
  <c r="L1382" i="23"/>
  <c r="CC1329" i="23"/>
  <c r="CB1329" i="23"/>
  <c r="CA1329" i="23"/>
  <c r="BZ1329" i="23"/>
  <c r="BL1329" i="23"/>
  <c r="BF1329" i="23"/>
  <c r="AZ1329" i="23"/>
  <c r="AT1329" i="23"/>
  <c r="AN1329" i="23"/>
  <c r="AH1329" i="23"/>
  <c r="AB1329" i="23"/>
  <c r="R1329" i="23"/>
  <c r="L1329" i="23"/>
  <c r="CC1328" i="23"/>
  <c r="CB1328" i="23"/>
  <c r="CA1328" i="23"/>
  <c r="BZ1328" i="23"/>
  <c r="BL1328" i="23"/>
  <c r="BF1328" i="23"/>
  <c r="AZ1328" i="23"/>
  <c r="AT1328" i="23"/>
  <c r="AN1328" i="23"/>
  <c r="AH1328" i="23"/>
  <c r="AB1328" i="23"/>
  <c r="R1328" i="23"/>
  <c r="L1328" i="23"/>
  <c r="CC1327" i="23"/>
  <c r="CB1327" i="23"/>
  <c r="CA1327" i="23"/>
  <c r="BZ1327" i="23"/>
  <c r="BL1327" i="23"/>
  <c r="BF1327" i="23"/>
  <c r="AZ1327" i="23"/>
  <c r="AT1327" i="23"/>
  <c r="AN1327" i="23"/>
  <c r="AH1327" i="23"/>
  <c r="AB1327" i="23"/>
  <c r="R1327" i="23"/>
  <c r="L1327" i="23"/>
  <c r="CC1326" i="23"/>
  <c r="CB1326" i="23"/>
  <c r="CA1326" i="23"/>
  <c r="BZ1326" i="23"/>
  <c r="BL1326" i="23"/>
  <c r="BF1326" i="23"/>
  <c r="AZ1326" i="23"/>
  <c r="AT1326" i="23"/>
  <c r="AN1326" i="23"/>
  <c r="AH1326" i="23"/>
  <c r="AB1326" i="23"/>
  <c r="R1326" i="23"/>
  <c r="L1326" i="23"/>
  <c r="CC1325" i="23"/>
  <c r="CB1325" i="23"/>
  <c r="CA1325" i="23"/>
  <c r="BZ1325" i="23"/>
  <c r="BL1325" i="23"/>
  <c r="BF1325" i="23"/>
  <c r="AZ1325" i="23"/>
  <c r="AT1325" i="23"/>
  <c r="AN1325" i="23"/>
  <c r="AH1325" i="23"/>
  <c r="AB1325" i="23"/>
  <c r="R1325" i="23"/>
  <c r="L1325" i="23"/>
  <c r="CC1324" i="23"/>
  <c r="CB1324" i="23"/>
  <c r="CA1324" i="23"/>
  <c r="BZ1324" i="23"/>
  <c r="BL1324" i="23"/>
  <c r="BF1324" i="23"/>
  <c r="AZ1324" i="23"/>
  <c r="AT1324" i="23"/>
  <c r="AN1324" i="23"/>
  <c r="AH1324" i="23"/>
  <c r="AB1324" i="23"/>
  <c r="R1324" i="23"/>
  <c r="L1324" i="23"/>
  <c r="CC1062" i="23"/>
  <c r="CB1062" i="23"/>
  <c r="CA1062" i="23"/>
  <c r="BZ1062" i="23"/>
  <c r="BL1062" i="23"/>
  <c r="BF1062" i="23"/>
  <c r="AZ1062" i="23"/>
  <c r="AT1062" i="23"/>
  <c r="AN1062" i="23"/>
  <c r="AH1062" i="23"/>
  <c r="AB1062" i="23"/>
  <c r="R1062" i="23"/>
  <c r="L1062" i="23"/>
  <c r="CC1061" i="23"/>
  <c r="CB1061" i="23"/>
  <c r="CA1061" i="23"/>
  <c r="BZ1061" i="23"/>
  <c r="BL1061" i="23"/>
  <c r="BF1061" i="23"/>
  <c r="AZ1061" i="23"/>
  <c r="AT1061" i="23"/>
  <c r="AN1061" i="23"/>
  <c r="AH1061" i="23"/>
  <c r="AB1061" i="23"/>
  <c r="R1061" i="23"/>
  <c r="L1061" i="23"/>
  <c r="CC1050" i="23"/>
  <c r="CB1050" i="23"/>
  <c r="CA1050" i="23"/>
  <c r="BZ1050" i="23"/>
  <c r="BL1050" i="23"/>
  <c r="BF1050" i="23"/>
  <c r="AZ1050" i="23"/>
  <c r="AT1050" i="23"/>
  <c r="AN1050" i="23"/>
  <c r="AH1050" i="23"/>
  <c r="AB1050" i="23"/>
  <c r="R1050" i="23"/>
  <c r="L1050" i="23"/>
  <c r="CC1049" i="23"/>
  <c r="CB1049" i="23"/>
  <c r="CA1049" i="23"/>
  <c r="BZ1049" i="23"/>
  <c r="BL1049" i="23"/>
  <c r="BF1049" i="23"/>
  <c r="AZ1049" i="23"/>
  <c r="AT1049" i="23"/>
  <c r="AN1049" i="23"/>
  <c r="AH1049" i="23"/>
  <c r="AB1049" i="23"/>
  <c r="R1049" i="23"/>
  <c r="L1049" i="23"/>
  <c r="CC1048" i="23"/>
  <c r="CB1048" i="23"/>
  <c r="CA1048" i="23"/>
  <c r="BZ1048" i="23"/>
  <c r="BL1048" i="23"/>
  <c r="BF1048" i="23"/>
  <c r="AZ1048" i="23"/>
  <c r="AT1048" i="23"/>
  <c r="AN1048" i="23"/>
  <c r="AH1048" i="23"/>
  <c r="AB1048" i="23"/>
  <c r="R1048" i="23"/>
  <c r="L1048" i="23"/>
  <c r="CC1047" i="23"/>
  <c r="CB1047" i="23"/>
  <c r="CA1047" i="23"/>
  <c r="BZ1047" i="23"/>
  <c r="BL1047" i="23"/>
  <c r="BF1047" i="23"/>
  <c r="AZ1047" i="23"/>
  <c r="AT1047" i="23"/>
  <c r="AN1047" i="23"/>
  <c r="AH1047" i="23"/>
  <c r="AB1047" i="23"/>
  <c r="R1047" i="23"/>
  <c r="L1047" i="23"/>
  <c r="CC1046" i="23"/>
  <c r="CB1046" i="23"/>
  <c r="CA1046" i="23"/>
  <c r="BZ1046" i="23"/>
  <c r="BL1046" i="23"/>
  <c r="BF1046" i="23"/>
  <c r="AZ1046" i="23"/>
  <c r="AT1046" i="23"/>
  <c r="AN1046" i="23"/>
  <c r="AH1046" i="23"/>
  <c r="AB1046" i="23"/>
  <c r="R1046" i="23"/>
  <c r="L1046" i="23"/>
  <c r="CC949" i="23"/>
  <c r="CB949" i="23"/>
  <c r="BZ949" i="23"/>
  <c r="BL949" i="23"/>
  <c r="BF949" i="23"/>
  <c r="AZ949" i="23"/>
  <c r="AT949" i="23"/>
  <c r="AN949" i="23"/>
  <c r="AH949" i="23"/>
  <c r="AB949" i="23"/>
  <c r="R949" i="23"/>
  <c r="I949" i="23"/>
  <c r="CA949" i="23" s="1"/>
  <c r="CC517" i="23"/>
  <c r="CB517" i="23"/>
  <c r="CA517" i="23"/>
  <c r="BZ517" i="23"/>
  <c r="BL517" i="23"/>
  <c r="BF517" i="23"/>
  <c r="AZ517" i="23"/>
  <c r="AT517" i="23"/>
  <c r="AN517" i="23"/>
  <c r="AH517" i="23"/>
  <c r="AB517" i="23"/>
  <c r="R517" i="23"/>
  <c r="L517" i="23"/>
  <c r="CC516" i="23"/>
  <c r="CB516" i="23"/>
  <c r="CA516" i="23"/>
  <c r="BZ516" i="23"/>
  <c r="BL516" i="23"/>
  <c r="BF516" i="23"/>
  <c r="AZ516" i="23"/>
  <c r="AT516" i="23"/>
  <c r="AN516" i="23"/>
  <c r="AH516" i="23"/>
  <c r="AB516" i="23"/>
  <c r="R516" i="23"/>
  <c r="L516" i="23"/>
  <c r="J265" i="23"/>
  <c r="J267" i="23"/>
  <c r="I267" i="23"/>
  <c r="J266" i="23"/>
  <c r="I266" i="23"/>
  <c r="K265" i="23"/>
  <c r="I265" i="23"/>
  <c r="I1019" i="23"/>
  <c r="I1018" i="23"/>
  <c r="CD1654" i="23" l="1"/>
  <c r="CE1654" i="23" s="1"/>
  <c r="CD1325" i="23"/>
  <c r="CE1325" i="23" s="1"/>
  <c r="CD1328" i="23"/>
  <c r="CE1328" i="23" s="1"/>
  <c r="CD1650" i="23"/>
  <c r="CE1650" i="23" s="1"/>
  <c r="CD1050" i="23"/>
  <c r="CD1047" i="23"/>
  <c r="CE1047" i="23" s="1"/>
  <c r="CD1388" i="23"/>
  <c r="CE1388" i="23" s="1"/>
  <c r="CD1049" i="23"/>
  <c r="CD1324" i="23"/>
  <c r="CD1384" i="23"/>
  <c r="CE1384" i="23" s="1"/>
  <c r="CD1061" i="23"/>
  <c r="CD1382" i="23"/>
  <c r="CD1385" i="23"/>
  <c r="CE1385" i="23" s="1"/>
  <c r="CD1653" i="23"/>
  <c r="CE1653" i="23" s="1"/>
  <c r="CD516" i="23"/>
  <c r="CD517" i="23"/>
  <c r="CE517" i="23" s="1"/>
  <c r="CD1392" i="23"/>
  <c r="CE1392" i="23" s="1"/>
  <c r="CD1394" i="23"/>
  <c r="CE1394" i="23" s="1"/>
  <c r="CD1651" i="23"/>
  <c r="CE1651" i="23" s="1"/>
  <c r="CD1062" i="23"/>
  <c r="CE1062" i="23" s="1"/>
  <c r="CD1383" i="23"/>
  <c r="CE1383" i="23" s="1"/>
  <c r="CD1326" i="23"/>
  <c r="CE1326" i="23" s="1"/>
  <c r="CD1329" i="23"/>
  <c r="CE1329" i="23" s="1"/>
  <c r="CD1387" i="23"/>
  <c r="CD1046" i="23"/>
  <c r="CD1652" i="23"/>
  <c r="CD1386" i="23"/>
  <c r="CE1386" i="23" s="1"/>
  <c r="CD1389" i="23"/>
  <c r="CE1389" i="23" s="1"/>
  <c r="CD1649" i="23"/>
  <c r="CD1048" i="23"/>
  <c r="CE1048" i="23" s="1"/>
  <c r="CD1391" i="23"/>
  <c r="CE1391" i="23" s="1"/>
  <c r="CD1327" i="23"/>
  <c r="CD1390" i="23"/>
  <c r="CE1390" i="23" s="1"/>
  <c r="CD1393" i="23"/>
  <c r="CD949" i="23"/>
  <c r="L949" i="23"/>
  <c r="I1212" i="23"/>
  <c r="I1211" i="23"/>
  <c r="I1210" i="23"/>
  <c r="CE516" i="23" l="1"/>
  <c r="CE1649" i="23"/>
  <c r="CE1050" i="23"/>
  <c r="CE1393" i="23"/>
  <c r="CE1061" i="23"/>
  <c r="CE1652" i="23"/>
  <c r="CE1382" i="23"/>
  <c r="CE1327" i="23"/>
  <c r="CE1046" i="23"/>
  <c r="CE1324" i="23"/>
  <c r="CE1387" i="23"/>
  <c r="CE1049" i="23"/>
  <c r="CE949" i="23"/>
  <c r="AW411" i="23" l="1"/>
  <c r="AS411" i="23"/>
  <c r="AY410" i="23"/>
  <c r="CC327" i="23" l="1"/>
  <c r="CB327" i="23"/>
  <c r="CA327" i="23"/>
  <c r="BZ327" i="23"/>
  <c r="BL327" i="23"/>
  <c r="BF327" i="23"/>
  <c r="AZ327" i="23"/>
  <c r="AT327" i="23"/>
  <c r="AN327" i="23"/>
  <c r="AH327" i="23"/>
  <c r="AB327" i="23"/>
  <c r="R327" i="23"/>
  <c r="L327" i="23"/>
  <c r="CD327" i="23" l="1"/>
  <c r="Z1481" i="23"/>
  <c r="Y1481" i="23"/>
  <c r="CE327" i="23" l="1"/>
  <c r="J429" i="23"/>
  <c r="I429" i="23"/>
  <c r="J427" i="23"/>
  <c r="I427" i="23"/>
  <c r="I465" i="23" l="1"/>
  <c r="I464" i="23"/>
  <c r="J269" i="23" l="1"/>
  <c r="I269" i="23"/>
  <c r="I299" i="23"/>
  <c r="Y412" i="23" l="1"/>
  <c r="AW410" i="23"/>
  <c r="AS410" i="23"/>
  <c r="BU1415" i="23"/>
  <c r="I698" i="23" l="1"/>
  <c r="J698" i="23"/>
  <c r="J697" i="23"/>
  <c r="I697" i="23"/>
  <c r="J696" i="23"/>
  <c r="I696" i="23"/>
  <c r="W1352" i="23" l="1"/>
  <c r="W62" i="23"/>
  <c r="W59" i="23"/>
  <c r="W71" i="23"/>
  <c r="Z415" i="23" l="1"/>
  <c r="Y415" i="23"/>
  <c r="Y847" i="19"/>
  <c r="W272" i="23"/>
  <c r="W267" i="23" l="1"/>
  <c r="CC1045" i="23"/>
  <c r="CB1045" i="23"/>
  <c r="CA1045" i="23"/>
  <c r="BZ1045" i="23"/>
  <c r="BL1045" i="23"/>
  <c r="BF1045" i="23"/>
  <c r="AZ1045" i="23"/>
  <c r="AT1045" i="23"/>
  <c r="AN1045" i="23"/>
  <c r="AH1045" i="23"/>
  <c r="AB1045" i="23"/>
  <c r="R1045" i="23"/>
  <c r="L1045" i="23"/>
  <c r="CC1030" i="23"/>
  <c r="CB1030" i="23"/>
  <c r="CA1030" i="23"/>
  <c r="BZ1030" i="23"/>
  <c r="BL1030" i="23"/>
  <c r="BF1030" i="23"/>
  <c r="AZ1030" i="23"/>
  <c r="AT1030" i="23"/>
  <c r="AN1030" i="23"/>
  <c r="AH1030" i="23"/>
  <c r="AB1030" i="23"/>
  <c r="R1030" i="23"/>
  <c r="L1030" i="23"/>
  <c r="CC1029" i="23"/>
  <c r="CB1029" i="23"/>
  <c r="CA1029" i="23"/>
  <c r="BZ1029" i="23"/>
  <c r="BL1029" i="23"/>
  <c r="BF1029" i="23"/>
  <c r="AZ1029" i="23"/>
  <c r="AT1029" i="23"/>
  <c r="AN1029" i="23"/>
  <c r="AH1029" i="23"/>
  <c r="AB1029" i="23"/>
  <c r="R1029" i="23"/>
  <c r="L1029" i="23"/>
  <c r="CC1028" i="23"/>
  <c r="CB1028" i="23"/>
  <c r="CA1028" i="23"/>
  <c r="BZ1028" i="23"/>
  <c r="BL1028" i="23"/>
  <c r="BF1028" i="23"/>
  <c r="AZ1028" i="23"/>
  <c r="AT1028" i="23"/>
  <c r="AN1028" i="23"/>
  <c r="AH1028" i="23"/>
  <c r="AB1028" i="23"/>
  <c r="R1028" i="23"/>
  <c r="L1028" i="23"/>
  <c r="CC1027" i="23"/>
  <c r="CB1027" i="23"/>
  <c r="CA1027" i="23"/>
  <c r="BZ1027" i="23"/>
  <c r="BL1027" i="23"/>
  <c r="BF1027" i="23"/>
  <c r="AZ1027" i="23"/>
  <c r="AT1027" i="23"/>
  <c r="AN1027" i="23"/>
  <c r="AH1027" i="23"/>
  <c r="AB1027" i="23"/>
  <c r="R1027" i="23"/>
  <c r="L1027" i="23"/>
  <c r="CC1026" i="23"/>
  <c r="CB1026" i="23"/>
  <c r="CA1026" i="23"/>
  <c r="BZ1026" i="23"/>
  <c r="BL1026" i="23"/>
  <c r="BF1026" i="23"/>
  <c r="AZ1026" i="23"/>
  <c r="AT1026" i="23"/>
  <c r="AN1026" i="23"/>
  <c r="AH1026" i="23"/>
  <c r="AB1026" i="23"/>
  <c r="R1026" i="23"/>
  <c r="L1026" i="23"/>
  <c r="CC1025" i="23"/>
  <c r="CB1025" i="23"/>
  <c r="CA1025" i="23"/>
  <c r="BZ1025" i="23"/>
  <c r="BL1025" i="23"/>
  <c r="BF1025" i="23"/>
  <c r="AZ1025" i="23"/>
  <c r="AT1025" i="23"/>
  <c r="AN1025" i="23"/>
  <c r="AH1025" i="23"/>
  <c r="AB1025" i="23"/>
  <c r="R1025" i="23"/>
  <c r="L1025" i="23"/>
  <c r="CC1024" i="23"/>
  <c r="CB1024" i="23"/>
  <c r="CA1024" i="23"/>
  <c r="BZ1024" i="23"/>
  <c r="BL1024" i="23"/>
  <c r="BF1024" i="23"/>
  <c r="AZ1024" i="23"/>
  <c r="AT1024" i="23"/>
  <c r="AN1024" i="23"/>
  <c r="AH1024" i="23"/>
  <c r="AB1024" i="23"/>
  <c r="R1024" i="23"/>
  <c r="L1024" i="23"/>
  <c r="CC1023" i="23"/>
  <c r="CB1023" i="23"/>
  <c r="CA1023" i="23"/>
  <c r="BZ1023" i="23"/>
  <c r="BL1023" i="23"/>
  <c r="BF1023" i="23"/>
  <c r="AZ1023" i="23"/>
  <c r="AT1023" i="23"/>
  <c r="AN1023" i="23"/>
  <c r="AH1023" i="23"/>
  <c r="AB1023" i="23"/>
  <c r="R1023" i="23"/>
  <c r="L1023" i="23"/>
  <c r="CC1022" i="23"/>
  <c r="CB1022" i="23"/>
  <c r="CA1022" i="23"/>
  <c r="BZ1022" i="23"/>
  <c r="BL1022" i="23"/>
  <c r="BF1022" i="23"/>
  <c r="AZ1022" i="23"/>
  <c r="AT1022" i="23"/>
  <c r="AN1022" i="23"/>
  <c r="AH1022" i="23"/>
  <c r="AB1022" i="23"/>
  <c r="R1022" i="23"/>
  <c r="L1022" i="23"/>
  <c r="CC1021" i="23"/>
  <c r="CB1021" i="23"/>
  <c r="CA1021" i="23"/>
  <c r="BZ1021" i="23"/>
  <c r="BL1021" i="23"/>
  <c r="BF1021" i="23"/>
  <c r="AZ1021" i="23"/>
  <c r="AT1021" i="23"/>
  <c r="AN1021" i="23"/>
  <c r="AH1021" i="23"/>
  <c r="AB1021" i="23"/>
  <c r="R1021" i="23"/>
  <c r="L1021" i="23"/>
  <c r="CC1020" i="23"/>
  <c r="CB1020" i="23"/>
  <c r="CA1020" i="23"/>
  <c r="BZ1020" i="23"/>
  <c r="BL1020" i="23"/>
  <c r="BF1020" i="23"/>
  <c r="AZ1020" i="23"/>
  <c r="AT1020" i="23"/>
  <c r="AN1020" i="23"/>
  <c r="AH1020" i="23"/>
  <c r="AB1020" i="23"/>
  <c r="R1020" i="23"/>
  <c r="L1020" i="23"/>
  <c r="CC883" i="23"/>
  <c r="CB883" i="23"/>
  <c r="CA883" i="23"/>
  <c r="BZ883" i="23"/>
  <c r="BL883" i="23"/>
  <c r="BF883" i="23"/>
  <c r="AZ883" i="23"/>
  <c r="AT883" i="23"/>
  <c r="AN883" i="23"/>
  <c r="AH883" i="23"/>
  <c r="AB883" i="23"/>
  <c r="R883" i="23"/>
  <c r="L883" i="23"/>
  <c r="CC882" i="23"/>
  <c r="CB882" i="23"/>
  <c r="CA882" i="23"/>
  <c r="BZ882" i="23"/>
  <c r="BL882" i="23"/>
  <c r="BF882" i="23"/>
  <c r="AZ882" i="23"/>
  <c r="AT882" i="23"/>
  <c r="AN882" i="23"/>
  <c r="AH882" i="23"/>
  <c r="AB882" i="23"/>
  <c r="R882" i="23"/>
  <c r="L882" i="23"/>
  <c r="CC881" i="23"/>
  <c r="CB881" i="23"/>
  <c r="CA881" i="23"/>
  <c r="BZ881" i="23"/>
  <c r="BL881" i="23"/>
  <c r="BF881" i="23"/>
  <c r="AZ881" i="23"/>
  <c r="AT881" i="23"/>
  <c r="AN881" i="23"/>
  <c r="AH881" i="23"/>
  <c r="AB881" i="23"/>
  <c r="R881" i="23"/>
  <c r="L881" i="23"/>
  <c r="CC773" i="23"/>
  <c r="CB773" i="23"/>
  <c r="CA773" i="23"/>
  <c r="BZ773" i="23"/>
  <c r="BL773" i="23"/>
  <c r="BF773" i="23"/>
  <c r="AZ773" i="23"/>
  <c r="AT773" i="23"/>
  <c r="AN773" i="23"/>
  <c r="AH773" i="23"/>
  <c r="AB773" i="23"/>
  <c r="R773" i="23"/>
  <c r="L773" i="23"/>
  <c r="CC772" i="23"/>
  <c r="CB772" i="23"/>
  <c r="CA772" i="23"/>
  <c r="BZ772" i="23"/>
  <c r="BL772" i="23"/>
  <c r="BF772" i="23"/>
  <c r="AZ772" i="23"/>
  <c r="AT772" i="23"/>
  <c r="AN772" i="23"/>
  <c r="AH772" i="23"/>
  <c r="AB772" i="23"/>
  <c r="R772" i="23"/>
  <c r="L772" i="23"/>
  <c r="CD1024" i="23" l="1"/>
  <c r="CE1024" i="23" s="1"/>
  <c r="CD1030" i="23"/>
  <c r="CE1030" i="23" s="1"/>
  <c r="CD882" i="23"/>
  <c r="CE882" i="23" s="1"/>
  <c r="CD1022" i="23"/>
  <c r="CE1022" i="23" s="1"/>
  <c r="CD1023" i="23"/>
  <c r="CE1023" i="23" s="1"/>
  <c r="CD773" i="23"/>
  <c r="CD881" i="23"/>
  <c r="CD1027" i="23"/>
  <c r="CD1028" i="23"/>
  <c r="CE1028" i="23" s="1"/>
  <c r="CD1020" i="23"/>
  <c r="CD1026" i="23"/>
  <c r="CE1026" i="23" s="1"/>
  <c r="CD1029" i="23"/>
  <c r="CE1029" i="23" s="1"/>
  <c r="BM882" i="23"/>
  <c r="CD883" i="23"/>
  <c r="CD1025" i="23"/>
  <c r="CD1045" i="23"/>
  <c r="CD772" i="23"/>
  <c r="CD1021" i="23"/>
  <c r="CE1021" i="23" s="1"/>
  <c r="Y54" i="23"/>
  <c r="AQ411" i="23"/>
  <c r="W446" i="23"/>
  <c r="W564" i="23"/>
  <c r="W443" i="23"/>
  <c r="W440" i="23"/>
  <c r="W554" i="23"/>
  <c r="CE772" i="23" l="1"/>
  <c r="CE1045" i="23"/>
  <c r="CE1025" i="23"/>
  <c r="CE883" i="23"/>
  <c r="CE1020" i="23"/>
  <c r="CE1027" i="23"/>
  <c r="CE881" i="23"/>
  <c r="CE773" i="23"/>
  <c r="BU252" i="23" l="1"/>
  <c r="CC880" i="23" l="1"/>
  <c r="CB880" i="23"/>
  <c r="CA880" i="23"/>
  <c r="BZ880" i="23"/>
  <c r="BL880" i="23"/>
  <c r="BF880" i="23"/>
  <c r="AZ880" i="23"/>
  <c r="AT880" i="23"/>
  <c r="AN880" i="23"/>
  <c r="AH880" i="23"/>
  <c r="AB880" i="23"/>
  <c r="R880" i="23"/>
  <c r="L880" i="23"/>
  <c r="CC879" i="23"/>
  <c r="CB879" i="23"/>
  <c r="CA879" i="23"/>
  <c r="BZ879" i="23"/>
  <c r="BL879" i="23"/>
  <c r="BF879" i="23"/>
  <c r="AZ879" i="23"/>
  <c r="AT879" i="23"/>
  <c r="AN879" i="23"/>
  <c r="AH879" i="23"/>
  <c r="AB879" i="23"/>
  <c r="R879" i="23"/>
  <c r="L879" i="23"/>
  <c r="CC878" i="23"/>
  <c r="CB878" i="23"/>
  <c r="CA878" i="23"/>
  <c r="BZ878" i="23"/>
  <c r="BL878" i="23"/>
  <c r="BF878" i="23"/>
  <c r="AZ878" i="23"/>
  <c r="AT878" i="23"/>
  <c r="AN878" i="23"/>
  <c r="AH878" i="23"/>
  <c r="AB878" i="23"/>
  <c r="R878" i="23"/>
  <c r="L878" i="23"/>
  <c r="H878" i="23"/>
  <c r="CC877" i="23"/>
  <c r="CB877" i="23"/>
  <c r="CA877" i="23"/>
  <c r="BZ877" i="23"/>
  <c r="BL877" i="23"/>
  <c r="BF877" i="23"/>
  <c r="AZ877" i="23"/>
  <c r="AT877" i="23"/>
  <c r="AN877" i="23"/>
  <c r="AH877" i="23"/>
  <c r="AB877" i="23"/>
  <c r="R877" i="23"/>
  <c r="L877" i="23"/>
  <c r="CC876" i="23"/>
  <c r="CB876" i="23"/>
  <c r="CA876" i="23"/>
  <c r="BZ876" i="23"/>
  <c r="BL876" i="23"/>
  <c r="BF876" i="23"/>
  <c r="AZ876" i="23"/>
  <c r="AT876" i="23"/>
  <c r="AN876" i="23"/>
  <c r="AH876" i="23"/>
  <c r="AB876" i="23"/>
  <c r="R876" i="23"/>
  <c r="L876" i="23"/>
  <c r="CC875" i="23"/>
  <c r="CB875" i="23"/>
  <c r="CA875" i="23"/>
  <c r="BZ875" i="23"/>
  <c r="BL875" i="23"/>
  <c r="BF875" i="23"/>
  <c r="AZ875" i="23"/>
  <c r="AT875" i="23"/>
  <c r="AN875" i="23"/>
  <c r="AH875" i="23"/>
  <c r="AB875" i="23"/>
  <c r="R875" i="23"/>
  <c r="L875" i="23"/>
  <c r="CC874" i="23"/>
  <c r="CB874" i="23"/>
  <c r="CA874" i="23"/>
  <c r="BZ874" i="23"/>
  <c r="BL874" i="23"/>
  <c r="BF874" i="23"/>
  <c r="AZ874" i="23"/>
  <c r="AT874" i="23"/>
  <c r="AN874" i="23"/>
  <c r="AH874" i="23"/>
  <c r="AB874" i="23"/>
  <c r="R874" i="23"/>
  <c r="L874" i="23"/>
  <c r="CC873" i="23"/>
  <c r="CB873" i="23"/>
  <c r="CA873" i="23"/>
  <c r="BZ873" i="23"/>
  <c r="BL873" i="23"/>
  <c r="BF873" i="23"/>
  <c r="AZ873" i="23"/>
  <c r="AT873" i="23"/>
  <c r="AN873" i="23"/>
  <c r="AH873" i="23"/>
  <c r="AB873" i="23"/>
  <c r="R873" i="23"/>
  <c r="L873" i="23"/>
  <c r="CC830" i="23"/>
  <c r="CB830" i="23"/>
  <c r="CA830" i="23"/>
  <c r="BZ830" i="23"/>
  <c r="BL830" i="23"/>
  <c r="BF830" i="23"/>
  <c r="AZ830" i="23"/>
  <c r="AT830" i="23"/>
  <c r="AN830" i="23"/>
  <c r="AH830" i="23"/>
  <c r="AB830" i="23"/>
  <c r="R830" i="23"/>
  <c r="L830" i="23"/>
  <c r="CC829" i="23"/>
  <c r="CB829" i="23"/>
  <c r="CA829" i="23"/>
  <c r="BZ829" i="23"/>
  <c r="BL829" i="23"/>
  <c r="BF829" i="23"/>
  <c r="AZ829" i="23"/>
  <c r="AT829" i="23"/>
  <c r="AN829" i="23"/>
  <c r="AH829" i="23"/>
  <c r="AB829" i="23"/>
  <c r="R829" i="23"/>
  <c r="L829" i="23"/>
  <c r="CC828" i="23"/>
  <c r="CB828" i="23"/>
  <c r="CA828" i="23"/>
  <c r="BZ828" i="23"/>
  <c r="BL828" i="23"/>
  <c r="BF828" i="23"/>
  <c r="AZ828" i="23"/>
  <c r="AT828" i="23"/>
  <c r="AN828" i="23"/>
  <c r="AH828" i="23"/>
  <c r="AB828" i="23"/>
  <c r="R828" i="23"/>
  <c r="L828" i="23"/>
  <c r="CC827" i="23"/>
  <c r="CB827" i="23"/>
  <c r="CA827" i="23"/>
  <c r="BZ827" i="23"/>
  <c r="BL827" i="23"/>
  <c r="BF827" i="23"/>
  <c r="AZ827" i="23"/>
  <c r="AT827" i="23"/>
  <c r="AN827" i="23"/>
  <c r="AH827" i="23"/>
  <c r="AB827" i="23"/>
  <c r="R827" i="23"/>
  <c r="L827" i="23"/>
  <c r="CC771" i="23"/>
  <c r="CB771" i="23"/>
  <c r="CA771" i="23"/>
  <c r="BZ771" i="23"/>
  <c r="BL771" i="23"/>
  <c r="BF771" i="23"/>
  <c r="AZ771" i="23"/>
  <c r="AT771" i="23"/>
  <c r="AN771" i="23"/>
  <c r="AH771" i="23"/>
  <c r="AB771" i="23"/>
  <c r="R771" i="23"/>
  <c r="L771" i="23"/>
  <c r="CC770" i="23"/>
  <c r="CB770" i="23"/>
  <c r="CA770" i="23"/>
  <c r="BZ770" i="23"/>
  <c r="BL770" i="23"/>
  <c r="BF770" i="23"/>
  <c r="AZ770" i="23"/>
  <c r="AT770" i="23"/>
  <c r="AN770" i="23"/>
  <c r="AH770" i="23"/>
  <c r="AB770" i="23"/>
  <c r="R770" i="23"/>
  <c r="L770" i="23"/>
  <c r="CC769" i="23"/>
  <c r="CB769" i="23"/>
  <c r="CA769" i="23"/>
  <c r="BZ769" i="23"/>
  <c r="BL769" i="23"/>
  <c r="BF769" i="23"/>
  <c r="AZ769" i="23"/>
  <c r="AT769" i="23"/>
  <c r="AN769" i="23"/>
  <c r="AH769" i="23"/>
  <c r="AB769" i="23"/>
  <c r="R769" i="23"/>
  <c r="L769" i="23"/>
  <c r="CC768" i="23"/>
  <c r="CB768" i="23"/>
  <c r="CA768" i="23"/>
  <c r="BZ768" i="23"/>
  <c r="BL768" i="23"/>
  <c r="BF768" i="23"/>
  <c r="AZ768" i="23"/>
  <c r="AT768" i="23"/>
  <c r="AN768" i="23"/>
  <c r="AH768" i="23"/>
  <c r="AB768" i="23"/>
  <c r="R768" i="23"/>
  <c r="L768" i="23"/>
  <c r="CC767" i="23"/>
  <c r="CB767" i="23"/>
  <c r="CA767" i="23"/>
  <c r="BZ767" i="23"/>
  <c r="BL767" i="23"/>
  <c r="BF767" i="23"/>
  <c r="AZ767" i="23"/>
  <c r="AT767" i="23"/>
  <c r="AN767" i="23"/>
  <c r="AH767" i="23"/>
  <c r="AB767" i="23"/>
  <c r="R767" i="23"/>
  <c r="L767" i="23"/>
  <c r="CC766" i="23"/>
  <c r="CB766" i="23"/>
  <c r="CA766" i="23"/>
  <c r="BZ766" i="23"/>
  <c r="BL766" i="23"/>
  <c r="BF766" i="23"/>
  <c r="AZ766" i="23"/>
  <c r="AT766" i="23"/>
  <c r="AN766" i="23"/>
  <c r="AH766" i="23"/>
  <c r="AB766" i="23"/>
  <c r="R766" i="23"/>
  <c r="L766" i="23"/>
  <c r="CC765" i="23"/>
  <c r="CB765" i="23"/>
  <c r="CA765" i="23"/>
  <c r="BZ765" i="23"/>
  <c r="BL765" i="23"/>
  <c r="BF765" i="23"/>
  <c r="AZ765" i="23"/>
  <c r="AT765" i="23"/>
  <c r="AN765" i="23"/>
  <c r="AH765" i="23"/>
  <c r="AB765" i="23"/>
  <c r="R765" i="23"/>
  <c r="L765" i="23"/>
  <c r="CC764" i="23"/>
  <c r="CB764" i="23"/>
  <c r="CA764" i="23"/>
  <c r="BZ764" i="23"/>
  <c r="BL764" i="23"/>
  <c r="BF764" i="23"/>
  <c r="AZ764" i="23"/>
  <c r="AT764" i="23"/>
  <c r="AN764" i="23"/>
  <c r="AH764" i="23"/>
  <c r="AB764" i="23"/>
  <c r="R764" i="23"/>
  <c r="L764" i="23"/>
  <c r="CC763" i="23"/>
  <c r="CB763" i="23"/>
  <c r="CA763" i="23"/>
  <c r="BZ763" i="23"/>
  <c r="BL763" i="23"/>
  <c r="BF763" i="23"/>
  <c r="AZ763" i="23"/>
  <c r="AT763" i="23"/>
  <c r="AN763" i="23"/>
  <c r="AH763" i="23"/>
  <c r="AB763" i="23"/>
  <c r="R763" i="23"/>
  <c r="L763" i="23"/>
  <c r="CC762" i="23"/>
  <c r="CB762" i="23"/>
  <c r="CA762" i="23"/>
  <c r="BZ762" i="23"/>
  <c r="BL762" i="23"/>
  <c r="BF762" i="23"/>
  <c r="AZ762" i="23"/>
  <c r="AT762" i="23"/>
  <c r="AN762" i="23"/>
  <c r="AH762" i="23"/>
  <c r="AB762" i="23"/>
  <c r="R762" i="23"/>
  <c r="L762" i="23"/>
  <c r="CC761" i="23"/>
  <c r="CB761" i="23"/>
  <c r="CA761" i="23"/>
  <c r="BZ761" i="23"/>
  <c r="BL761" i="23"/>
  <c r="BF761" i="23"/>
  <c r="AZ761" i="23"/>
  <c r="AT761" i="23"/>
  <c r="AN761" i="23"/>
  <c r="AH761" i="23"/>
  <c r="AB761" i="23"/>
  <c r="R761" i="23"/>
  <c r="L761" i="23"/>
  <c r="CC760" i="23"/>
  <c r="CB760" i="23"/>
  <c r="CA760" i="23"/>
  <c r="BZ760" i="23"/>
  <c r="BL760" i="23"/>
  <c r="BF760" i="23"/>
  <c r="AZ760" i="23"/>
  <c r="AT760" i="23"/>
  <c r="AN760" i="23"/>
  <c r="AH760" i="23"/>
  <c r="AB760" i="23"/>
  <c r="R760" i="23"/>
  <c r="L760" i="23"/>
  <c r="CC759" i="23"/>
  <c r="CB759" i="23"/>
  <c r="CA759" i="23"/>
  <c r="BZ759" i="23"/>
  <c r="BL759" i="23"/>
  <c r="BF759" i="23"/>
  <c r="AZ759" i="23"/>
  <c r="AT759" i="23"/>
  <c r="AN759" i="23"/>
  <c r="AH759" i="23"/>
  <c r="AB759" i="23"/>
  <c r="R759" i="23"/>
  <c r="L759" i="23"/>
  <c r="CC758" i="23"/>
  <c r="CB758" i="23"/>
  <c r="CA758" i="23"/>
  <c r="BZ758" i="23"/>
  <c r="BL758" i="23"/>
  <c r="BF758" i="23"/>
  <c r="AZ758" i="23"/>
  <c r="AT758" i="23"/>
  <c r="AN758" i="23"/>
  <c r="AH758" i="23"/>
  <c r="AB758" i="23"/>
  <c r="R758" i="23"/>
  <c r="L758" i="23"/>
  <c r="CC757" i="23"/>
  <c r="CB757" i="23"/>
  <c r="CA757" i="23"/>
  <c r="BZ757" i="23"/>
  <c r="BL757" i="23"/>
  <c r="BF757" i="23"/>
  <c r="AZ757" i="23"/>
  <c r="AT757" i="23"/>
  <c r="AN757" i="23"/>
  <c r="AH757" i="23"/>
  <c r="AB757" i="23"/>
  <c r="R757" i="23"/>
  <c r="L757" i="23"/>
  <c r="CC756" i="23"/>
  <c r="CB756" i="23"/>
  <c r="CA756" i="23"/>
  <c r="BZ756" i="23"/>
  <c r="BL756" i="23"/>
  <c r="BF756" i="23"/>
  <c r="AZ756" i="23"/>
  <c r="AT756" i="23"/>
  <c r="AN756" i="23"/>
  <c r="AH756" i="23"/>
  <c r="AB756" i="23"/>
  <c r="R756" i="23"/>
  <c r="L756" i="23"/>
  <c r="CC755" i="23"/>
  <c r="CB755" i="23"/>
  <c r="CA755" i="23"/>
  <c r="BZ755" i="23"/>
  <c r="BL755" i="23"/>
  <c r="BF755" i="23"/>
  <c r="AZ755" i="23"/>
  <c r="AT755" i="23"/>
  <c r="AN755" i="23"/>
  <c r="AH755" i="23"/>
  <c r="AB755" i="23"/>
  <c r="R755" i="23"/>
  <c r="L755" i="23"/>
  <c r="CC754" i="23"/>
  <c r="CB754" i="23"/>
  <c r="CA754" i="23"/>
  <c r="BZ754" i="23"/>
  <c r="BL754" i="23"/>
  <c r="BF754" i="23"/>
  <c r="AZ754" i="23"/>
  <c r="AT754" i="23"/>
  <c r="AN754" i="23"/>
  <c r="AH754" i="23"/>
  <c r="AB754" i="23"/>
  <c r="R754" i="23"/>
  <c r="L754" i="23"/>
  <c r="CC753" i="23"/>
  <c r="CB753" i="23"/>
  <c r="CA753" i="23"/>
  <c r="BZ753" i="23"/>
  <c r="BL753" i="23"/>
  <c r="BF753" i="23"/>
  <c r="AZ753" i="23"/>
  <c r="AT753" i="23"/>
  <c r="AN753" i="23"/>
  <c r="AH753" i="23"/>
  <c r="AB753" i="23"/>
  <c r="R753" i="23"/>
  <c r="L753" i="23"/>
  <c r="CD877" i="23" l="1"/>
  <c r="CD878" i="23"/>
  <c r="CE878" i="23" s="1"/>
  <c r="CD880" i="23"/>
  <c r="CE880" i="23" s="1"/>
  <c r="CD756" i="23"/>
  <c r="CD758" i="23"/>
  <c r="CE758" i="23" s="1"/>
  <c r="CD766" i="23"/>
  <c r="CE766" i="23" s="1"/>
  <c r="CD829" i="23"/>
  <c r="CD879" i="23"/>
  <c r="BM830" i="23"/>
  <c r="CD762" i="23"/>
  <c r="CD770" i="23"/>
  <c r="CD754" i="23"/>
  <c r="CD764" i="23"/>
  <c r="CE764" i="23" s="1"/>
  <c r="CD827" i="23"/>
  <c r="CD873" i="23"/>
  <c r="CD755" i="23"/>
  <c r="CE755" i="23" s="1"/>
  <c r="CD763" i="23"/>
  <c r="CD771" i="23"/>
  <c r="CE771" i="23" s="1"/>
  <c r="CD760" i="23"/>
  <c r="CE760" i="23" s="1"/>
  <c r="CD768" i="23"/>
  <c r="CE768" i="23" s="1"/>
  <c r="CD757" i="23"/>
  <c r="CE757" i="23" s="1"/>
  <c r="CD765" i="23"/>
  <c r="CD828" i="23"/>
  <c r="CE828" i="23" s="1"/>
  <c r="CD875" i="23"/>
  <c r="CE875" i="23" s="1"/>
  <c r="CD759" i="23"/>
  <c r="CD767" i="23"/>
  <c r="CE767" i="23" s="1"/>
  <c r="CD830" i="23"/>
  <c r="CE830" i="23" s="1"/>
  <c r="CD753" i="23"/>
  <c r="CD761" i="23"/>
  <c r="CD769" i="23"/>
  <c r="CE769" i="23" s="1"/>
  <c r="CE877" i="23"/>
  <c r="CD874" i="23"/>
  <c r="CE874" i="23" s="1"/>
  <c r="CD876" i="23"/>
  <c r="BM878" i="23"/>
  <c r="CE876" i="23" l="1"/>
  <c r="CE761" i="23"/>
  <c r="CE753" i="23"/>
  <c r="CE759" i="23"/>
  <c r="CE765" i="23"/>
  <c r="CE763" i="23"/>
  <c r="CE873" i="23"/>
  <c r="CE827" i="23"/>
  <c r="CE754" i="23"/>
  <c r="CE770" i="23"/>
  <c r="CE762" i="23"/>
  <c r="CE879" i="23"/>
  <c r="CE829" i="23"/>
  <c r="CE756" i="23"/>
  <c r="W84" i="23"/>
  <c r="Y249" i="23" l="1"/>
  <c r="CC515" i="23" l="1"/>
  <c r="CB515" i="23"/>
  <c r="CA515" i="23"/>
  <c r="BZ515" i="23"/>
  <c r="BL515" i="23"/>
  <c r="BF515" i="23"/>
  <c r="AZ515" i="23"/>
  <c r="AT515" i="23"/>
  <c r="AN515" i="23"/>
  <c r="AH515" i="23"/>
  <c r="AB515" i="23"/>
  <c r="R515" i="23"/>
  <c r="L515" i="23"/>
  <c r="CC514" i="23"/>
  <c r="CB514" i="23"/>
  <c r="CA514" i="23"/>
  <c r="BZ514" i="23"/>
  <c r="BL514" i="23"/>
  <c r="BF514" i="23"/>
  <c r="AZ514" i="23"/>
  <c r="AT514" i="23"/>
  <c r="AN514" i="23"/>
  <c r="AH514" i="23"/>
  <c r="AB514" i="23"/>
  <c r="R514" i="23"/>
  <c r="L514" i="23"/>
  <c r="CC513" i="23"/>
  <c r="CB513" i="23"/>
  <c r="CA513" i="23"/>
  <c r="BZ513" i="23"/>
  <c r="BL513" i="23"/>
  <c r="BF513" i="23"/>
  <c r="AZ513" i="23"/>
  <c r="AT513" i="23"/>
  <c r="AN513" i="23"/>
  <c r="AH513" i="23"/>
  <c r="AB513" i="23"/>
  <c r="R513" i="23"/>
  <c r="L513" i="23"/>
  <c r="CC512" i="23"/>
  <c r="CB512" i="23"/>
  <c r="CA512" i="23"/>
  <c r="BZ512" i="23"/>
  <c r="BL512" i="23"/>
  <c r="BF512" i="23"/>
  <c r="AZ512" i="23"/>
  <c r="AT512" i="23"/>
  <c r="AN512" i="23"/>
  <c r="AH512" i="23"/>
  <c r="AB512" i="23"/>
  <c r="R512" i="23"/>
  <c r="L512" i="23"/>
  <c r="CC511" i="23"/>
  <c r="CB511" i="23"/>
  <c r="CA511" i="23"/>
  <c r="BZ511" i="23"/>
  <c r="BL511" i="23"/>
  <c r="BF511" i="23"/>
  <c r="AZ511" i="23"/>
  <c r="AT511" i="23"/>
  <c r="AN511" i="23"/>
  <c r="AH511" i="23"/>
  <c r="AB511" i="23"/>
  <c r="R511" i="23"/>
  <c r="L511" i="23"/>
  <c r="CC510" i="23"/>
  <c r="CB510" i="23"/>
  <c r="CA510" i="23"/>
  <c r="BZ510" i="23"/>
  <c r="BL510" i="23"/>
  <c r="BF510" i="23"/>
  <c r="AZ510" i="23"/>
  <c r="AT510" i="23"/>
  <c r="AN510" i="23"/>
  <c r="AH510" i="23"/>
  <c r="AB510" i="23"/>
  <c r="R510" i="23"/>
  <c r="L510" i="23"/>
  <c r="CC509" i="23"/>
  <c r="CB509" i="23"/>
  <c r="CA509" i="23"/>
  <c r="BZ509" i="23"/>
  <c r="BL509" i="23"/>
  <c r="BF509" i="23"/>
  <c r="AZ509" i="23"/>
  <c r="AT509" i="23"/>
  <c r="AN509" i="23"/>
  <c r="AH509" i="23"/>
  <c r="AB509" i="23"/>
  <c r="R509" i="23"/>
  <c r="L509" i="23"/>
  <c r="H509" i="23"/>
  <c r="CC508" i="23"/>
  <c r="CB508" i="23"/>
  <c r="CA508" i="23"/>
  <c r="BZ508" i="23"/>
  <c r="BL508" i="23"/>
  <c r="BF508" i="23"/>
  <c r="AZ508" i="23"/>
  <c r="AT508" i="23"/>
  <c r="AN508" i="23"/>
  <c r="AH508" i="23"/>
  <c r="AB508" i="23"/>
  <c r="R508" i="23"/>
  <c r="L508" i="23"/>
  <c r="CC507" i="23"/>
  <c r="CB507" i="23"/>
  <c r="CA507" i="23"/>
  <c r="BZ507" i="23"/>
  <c r="BL507" i="23"/>
  <c r="BF507" i="23"/>
  <c r="AZ507" i="23"/>
  <c r="AT507" i="23"/>
  <c r="AN507" i="23"/>
  <c r="AH507" i="23"/>
  <c r="AB507" i="23"/>
  <c r="R507" i="23"/>
  <c r="L507" i="23"/>
  <c r="CC651" i="23"/>
  <c r="CB651" i="23"/>
  <c r="CA651" i="23"/>
  <c r="BZ651" i="23"/>
  <c r="BL651" i="23"/>
  <c r="BF651" i="23"/>
  <c r="AZ651" i="23"/>
  <c r="AT651" i="23"/>
  <c r="AN651" i="23"/>
  <c r="AH651" i="23"/>
  <c r="AB651" i="23"/>
  <c r="R651" i="23"/>
  <c r="L651" i="23"/>
  <c r="CC650" i="23"/>
  <c r="CB650" i="23"/>
  <c r="CA650" i="23"/>
  <c r="BZ650" i="23"/>
  <c r="BL650" i="23"/>
  <c r="BF650" i="23"/>
  <c r="AZ650" i="23"/>
  <c r="AT650" i="23"/>
  <c r="AN650" i="23"/>
  <c r="AH650" i="23"/>
  <c r="AB650" i="23"/>
  <c r="R650" i="23"/>
  <c r="L650" i="23"/>
  <c r="CC649" i="23"/>
  <c r="CB649" i="23"/>
  <c r="CA649" i="23"/>
  <c r="BZ649" i="23"/>
  <c r="BL649" i="23"/>
  <c r="BF649" i="23"/>
  <c r="AZ649" i="23"/>
  <c r="AT649" i="23"/>
  <c r="AN649" i="23"/>
  <c r="AH649" i="23"/>
  <c r="AB649" i="23"/>
  <c r="R649" i="23"/>
  <c r="L649" i="23"/>
  <c r="CC648" i="23"/>
  <c r="CB648" i="23"/>
  <c r="CA648" i="23"/>
  <c r="BZ648" i="23"/>
  <c r="BL648" i="23"/>
  <c r="BF648" i="23"/>
  <c r="AZ648" i="23"/>
  <c r="AT648" i="23"/>
  <c r="AN648" i="23"/>
  <c r="AH648" i="23"/>
  <c r="AB648" i="23"/>
  <c r="R648" i="23"/>
  <c r="L648" i="23"/>
  <c r="CC647" i="23"/>
  <c r="CB647" i="23"/>
  <c r="CA647" i="23"/>
  <c r="BZ647" i="23"/>
  <c r="BL647" i="23"/>
  <c r="BF647" i="23"/>
  <c r="AZ647" i="23"/>
  <c r="AT647" i="23"/>
  <c r="AN647" i="23"/>
  <c r="AH647" i="23"/>
  <c r="AB647" i="23"/>
  <c r="R647" i="23"/>
  <c r="L647" i="23"/>
  <c r="CC646" i="23"/>
  <c r="CB646" i="23"/>
  <c r="CA646" i="23"/>
  <c r="BZ646" i="23"/>
  <c r="BL646" i="23"/>
  <c r="BF646" i="23"/>
  <c r="AZ646" i="23"/>
  <c r="AT646" i="23"/>
  <c r="AN646" i="23"/>
  <c r="AH646" i="23"/>
  <c r="AB646" i="23"/>
  <c r="R646" i="23"/>
  <c r="L646" i="23"/>
  <c r="CC598" i="23"/>
  <c r="CB598" i="23"/>
  <c r="CA598" i="23"/>
  <c r="BZ598" i="23"/>
  <c r="BL598" i="23"/>
  <c r="BF598" i="23"/>
  <c r="AZ598" i="23"/>
  <c r="AT598" i="23"/>
  <c r="AN598" i="23"/>
  <c r="AH598" i="23"/>
  <c r="AB598" i="23"/>
  <c r="R598" i="23"/>
  <c r="L598" i="23"/>
  <c r="CC596" i="23"/>
  <c r="CB596" i="23"/>
  <c r="CA596" i="23"/>
  <c r="BZ596" i="23"/>
  <c r="BL596" i="23"/>
  <c r="BF596" i="23"/>
  <c r="AZ596" i="23"/>
  <c r="AT596" i="23"/>
  <c r="AN596" i="23"/>
  <c r="AH596" i="23"/>
  <c r="AB596" i="23"/>
  <c r="R596" i="23"/>
  <c r="L596" i="23"/>
  <c r="CC595" i="23"/>
  <c r="CB595" i="23"/>
  <c r="CA595" i="23"/>
  <c r="BZ595" i="23"/>
  <c r="BL595" i="23"/>
  <c r="BF595" i="23"/>
  <c r="AZ595" i="23"/>
  <c r="AT595" i="23"/>
  <c r="AN595" i="23"/>
  <c r="AH595" i="23"/>
  <c r="AB595" i="23"/>
  <c r="R595" i="23"/>
  <c r="L595" i="23"/>
  <c r="CC594" i="23"/>
  <c r="CB594" i="23"/>
  <c r="CA594" i="23"/>
  <c r="BZ594" i="23"/>
  <c r="BL594" i="23"/>
  <c r="BF594" i="23"/>
  <c r="AZ594" i="23"/>
  <c r="AT594" i="23"/>
  <c r="AN594" i="23"/>
  <c r="AH594" i="23"/>
  <c r="AB594" i="23"/>
  <c r="R594" i="23"/>
  <c r="L594" i="23"/>
  <c r="CC593" i="23"/>
  <c r="CB593" i="23"/>
  <c r="CA593" i="23"/>
  <c r="BZ593" i="23"/>
  <c r="BL593" i="23"/>
  <c r="BF593" i="23"/>
  <c r="AZ593" i="23"/>
  <c r="AT593" i="23"/>
  <c r="AN593" i="23"/>
  <c r="AH593" i="23"/>
  <c r="AB593" i="23"/>
  <c r="R593" i="23"/>
  <c r="L593" i="23"/>
  <c r="CC592" i="23"/>
  <c r="CB592" i="23"/>
  <c r="CA592" i="23"/>
  <c r="BZ592" i="23"/>
  <c r="BL592" i="23"/>
  <c r="BF592" i="23"/>
  <c r="AZ592" i="23"/>
  <c r="AT592" i="23"/>
  <c r="AN592" i="23"/>
  <c r="AH592" i="23"/>
  <c r="AB592" i="23"/>
  <c r="R592" i="23"/>
  <c r="L592" i="23"/>
  <c r="CC591" i="23"/>
  <c r="CB591" i="23"/>
  <c r="CA591" i="23"/>
  <c r="BZ591" i="23"/>
  <c r="BL591" i="23"/>
  <c r="BF591" i="23"/>
  <c r="AZ591" i="23"/>
  <c r="AT591" i="23"/>
  <c r="AN591" i="23"/>
  <c r="AH591" i="23"/>
  <c r="AB591" i="23"/>
  <c r="R591" i="23"/>
  <c r="L591" i="23"/>
  <c r="CC590" i="23"/>
  <c r="CB590" i="23"/>
  <c r="CA590" i="23"/>
  <c r="BZ590" i="23"/>
  <c r="BL590" i="23"/>
  <c r="BF590" i="23"/>
  <c r="AZ590" i="23"/>
  <c r="AT590" i="23"/>
  <c r="AN590" i="23"/>
  <c r="AH590" i="23"/>
  <c r="AB590" i="23"/>
  <c r="R590" i="23"/>
  <c r="L590" i="23"/>
  <c r="CC589" i="23"/>
  <c r="CB589" i="23"/>
  <c r="CA589" i="23"/>
  <c r="BZ589" i="23"/>
  <c r="BL589" i="23"/>
  <c r="BF589" i="23"/>
  <c r="AZ589" i="23"/>
  <c r="AT589" i="23"/>
  <c r="AN589" i="23"/>
  <c r="AH589" i="23"/>
  <c r="AB589" i="23"/>
  <c r="R589" i="23"/>
  <c r="L589" i="23"/>
  <c r="CC588" i="23"/>
  <c r="CB588" i="23"/>
  <c r="CA588" i="23"/>
  <c r="BZ588" i="23"/>
  <c r="BL588" i="23"/>
  <c r="BF588" i="23"/>
  <c r="AZ588" i="23"/>
  <c r="AT588" i="23"/>
  <c r="AN588" i="23"/>
  <c r="AH588" i="23"/>
  <c r="AB588" i="23"/>
  <c r="R588" i="23"/>
  <c r="L588" i="23"/>
  <c r="CC587" i="23"/>
  <c r="CB587" i="23"/>
  <c r="CA587" i="23"/>
  <c r="BZ587" i="23"/>
  <c r="BL587" i="23"/>
  <c r="BF587" i="23"/>
  <c r="AZ587" i="23"/>
  <c r="AT587" i="23"/>
  <c r="AN587" i="23"/>
  <c r="AH587" i="23"/>
  <c r="AB587" i="23"/>
  <c r="R587" i="23"/>
  <c r="L587" i="23"/>
  <c r="CC586" i="23"/>
  <c r="CB586" i="23"/>
  <c r="CA586" i="23"/>
  <c r="BZ586" i="23"/>
  <c r="BL586" i="23"/>
  <c r="BF586" i="23"/>
  <c r="AZ586" i="23"/>
  <c r="AT586" i="23"/>
  <c r="AN586" i="23"/>
  <c r="AH586" i="23"/>
  <c r="AB586" i="23"/>
  <c r="R586" i="23"/>
  <c r="L586" i="23"/>
  <c r="CC585" i="23"/>
  <c r="CB585" i="23"/>
  <c r="CA585" i="23"/>
  <c r="BZ585" i="23"/>
  <c r="BL585" i="23"/>
  <c r="BF585" i="23"/>
  <c r="AZ585" i="23"/>
  <c r="AT585" i="23"/>
  <c r="AN585" i="23"/>
  <c r="AH585" i="23"/>
  <c r="AB585" i="23"/>
  <c r="R585" i="23"/>
  <c r="L585" i="23"/>
  <c r="CC584" i="23"/>
  <c r="CB584" i="23"/>
  <c r="CA584" i="23"/>
  <c r="BZ584" i="23"/>
  <c r="BL584" i="23"/>
  <c r="BF584" i="23"/>
  <c r="AZ584" i="23"/>
  <c r="AT584" i="23"/>
  <c r="AN584" i="23"/>
  <c r="AH584" i="23"/>
  <c r="AB584" i="23"/>
  <c r="R584" i="23"/>
  <c r="L584" i="23"/>
  <c r="CD584" i="23" l="1"/>
  <c r="CD586" i="23"/>
  <c r="CD588" i="23"/>
  <c r="CD590" i="23"/>
  <c r="CE590" i="23" s="1"/>
  <c r="CD592" i="23"/>
  <c r="CE592" i="23" s="1"/>
  <c r="CD594" i="23"/>
  <c r="CE594" i="23" s="1"/>
  <c r="CD596" i="23"/>
  <c r="CE596" i="23" s="1"/>
  <c r="CD646" i="23"/>
  <c r="CD648" i="23"/>
  <c r="CE648" i="23" s="1"/>
  <c r="CD651" i="23"/>
  <c r="BM509" i="23"/>
  <c r="CD509" i="23"/>
  <c r="CE509" i="23" s="1"/>
  <c r="CD511" i="23"/>
  <c r="CE511" i="23" s="1"/>
  <c r="CD513" i="23"/>
  <c r="CE513" i="23" s="1"/>
  <c r="CD515" i="23"/>
  <c r="CE515" i="23" s="1"/>
  <c r="CD585" i="23"/>
  <c r="CD587" i="23"/>
  <c r="CE587" i="23" s="1"/>
  <c r="CD589" i="23"/>
  <c r="CE589" i="23" s="1"/>
  <c r="CD591" i="23"/>
  <c r="CD593" i="23"/>
  <c r="CD595" i="23"/>
  <c r="CE595" i="23" s="1"/>
  <c r="CD598" i="23"/>
  <c r="CE598" i="23" s="1"/>
  <c r="CD647" i="23"/>
  <c r="CE647" i="23" s="1"/>
  <c r="CD649" i="23"/>
  <c r="CE649" i="23" s="1"/>
  <c r="CD650" i="23"/>
  <c r="CD508" i="23"/>
  <c r="CE508" i="23" s="1"/>
  <c r="CD512" i="23"/>
  <c r="CD514" i="23"/>
  <c r="CD507" i="23"/>
  <c r="CE514" i="23" l="1"/>
  <c r="CE510" i="23"/>
  <c r="CE650" i="23"/>
  <c r="CE591" i="23"/>
  <c r="CE651" i="23"/>
  <c r="CE646" i="23"/>
  <c r="CE586" i="23"/>
  <c r="CE507" i="23"/>
  <c r="CE512" i="23"/>
  <c r="CE593" i="23"/>
  <c r="CE585" i="23"/>
  <c r="CE588" i="23"/>
  <c r="CE584" i="23"/>
  <c r="W1479" i="23"/>
  <c r="W639" i="23"/>
  <c r="W567" i="23"/>
  <c r="BU77" i="23" l="1"/>
  <c r="CC300" i="23" l="1"/>
  <c r="CB300" i="23"/>
  <c r="CA300" i="23"/>
  <c r="BZ300" i="23"/>
  <c r="BL300" i="23"/>
  <c r="BF300" i="23"/>
  <c r="AZ300" i="23"/>
  <c r="AT300" i="23"/>
  <c r="AN300" i="23"/>
  <c r="AH300" i="23"/>
  <c r="AB300" i="23"/>
  <c r="R300" i="23"/>
  <c r="L300" i="23"/>
  <c r="CC506" i="23"/>
  <c r="CB506" i="23"/>
  <c r="CA506" i="23"/>
  <c r="BZ506" i="23"/>
  <c r="BL506" i="23"/>
  <c r="BF506" i="23"/>
  <c r="AZ506" i="23"/>
  <c r="AT506" i="23"/>
  <c r="AN506" i="23"/>
  <c r="AH506" i="23"/>
  <c r="AB506" i="23"/>
  <c r="R506" i="23"/>
  <c r="L506" i="23"/>
  <c r="CC505" i="23"/>
  <c r="CB505" i="23"/>
  <c r="CA505" i="23"/>
  <c r="BZ505" i="23"/>
  <c r="BL505" i="23"/>
  <c r="BF505" i="23"/>
  <c r="AZ505" i="23"/>
  <c r="AT505" i="23"/>
  <c r="AN505" i="23"/>
  <c r="AH505" i="23"/>
  <c r="AB505" i="23"/>
  <c r="R505" i="23"/>
  <c r="L505" i="23"/>
  <c r="CC504" i="23"/>
  <c r="CB504" i="23"/>
  <c r="CA504" i="23"/>
  <c r="BZ504" i="23"/>
  <c r="BL504" i="23"/>
  <c r="BF504" i="23"/>
  <c r="AZ504" i="23"/>
  <c r="AT504" i="23"/>
  <c r="AN504" i="23"/>
  <c r="AH504" i="23"/>
  <c r="AB504" i="23"/>
  <c r="R504" i="23"/>
  <c r="L504" i="23"/>
  <c r="H504" i="23"/>
  <c r="CC503" i="23"/>
  <c r="CB503" i="23"/>
  <c r="CA503" i="23"/>
  <c r="BZ503" i="23"/>
  <c r="BL503" i="23"/>
  <c r="BF503" i="23"/>
  <c r="AZ503" i="23"/>
  <c r="AT503" i="23"/>
  <c r="AN503" i="23"/>
  <c r="AH503" i="23"/>
  <c r="AB503" i="23"/>
  <c r="R503" i="23"/>
  <c r="L503" i="23"/>
  <c r="CC502" i="23"/>
  <c r="CB502" i="23"/>
  <c r="CA502" i="23"/>
  <c r="BZ502" i="23"/>
  <c r="BL502" i="23"/>
  <c r="BF502" i="23"/>
  <c r="AZ502" i="23"/>
  <c r="AT502" i="23"/>
  <c r="AN502" i="23"/>
  <c r="AH502" i="23"/>
  <c r="AB502" i="23"/>
  <c r="R502" i="23"/>
  <c r="L502" i="23"/>
  <c r="CC501" i="23"/>
  <c r="CB501" i="23"/>
  <c r="CA501" i="23"/>
  <c r="BZ501" i="23"/>
  <c r="BL501" i="23"/>
  <c r="BF501" i="23"/>
  <c r="AZ501" i="23"/>
  <c r="AT501" i="23"/>
  <c r="AN501" i="23"/>
  <c r="AH501" i="23"/>
  <c r="AB501" i="23"/>
  <c r="R501" i="23"/>
  <c r="L501" i="23"/>
  <c r="CC500" i="23"/>
  <c r="CB500" i="23"/>
  <c r="CA500" i="23"/>
  <c r="BZ500" i="23"/>
  <c r="BL500" i="23"/>
  <c r="BF500" i="23"/>
  <c r="AZ500" i="23"/>
  <c r="AT500" i="23"/>
  <c r="AN500" i="23"/>
  <c r="AH500" i="23"/>
  <c r="AB500" i="23"/>
  <c r="R500" i="23"/>
  <c r="L500" i="23"/>
  <c r="CC499" i="23"/>
  <c r="CB499" i="23"/>
  <c r="CA499" i="23"/>
  <c r="BZ499" i="23"/>
  <c r="BL499" i="23"/>
  <c r="BF499" i="23"/>
  <c r="AZ499" i="23"/>
  <c r="AT499" i="23"/>
  <c r="AN499" i="23"/>
  <c r="AH499" i="23"/>
  <c r="AB499" i="23"/>
  <c r="R499" i="23"/>
  <c r="L499" i="23"/>
  <c r="CC498" i="23"/>
  <c r="CB498" i="23"/>
  <c r="CA498" i="23"/>
  <c r="BZ498" i="23"/>
  <c r="BL498" i="23"/>
  <c r="BF498" i="23"/>
  <c r="AZ498" i="23"/>
  <c r="AT498" i="23"/>
  <c r="AN498" i="23"/>
  <c r="AH498" i="23"/>
  <c r="AB498" i="23"/>
  <c r="R498" i="23"/>
  <c r="L498" i="23"/>
  <c r="CC497" i="23"/>
  <c r="CB497" i="23"/>
  <c r="CA497" i="23"/>
  <c r="BZ497" i="23"/>
  <c r="BL497" i="23"/>
  <c r="BF497" i="23"/>
  <c r="AZ497" i="23"/>
  <c r="AT497" i="23"/>
  <c r="AN497" i="23"/>
  <c r="AH497" i="23"/>
  <c r="AB497" i="23"/>
  <c r="R497" i="23"/>
  <c r="L497" i="23"/>
  <c r="CC496" i="23"/>
  <c r="CB496" i="23"/>
  <c r="CA496" i="23"/>
  <c r="BZ496" i="23"/>
  <c r="BL496" i="23"/>
  <c r="BF496" i="23"/>
  <c r="AZ496" i="23"/>
  <c r="AT496" i="23"/>
  <c r="AN496" i="23"/>
  <c r="AH496" i="23"/>
  <c r="AB496" i="23"/>
  <c r="R496" i="23"/>
  <c r="L496" i="23"/>
  <c r="H496" i="23"/>
  <c r="CC495" i="23"/>
  <c r="CB495" i="23"/>
  <c r="CA495" i="23"/>
  <c r="BZ495" i="23"/>
  <c r="BL495" i="23"/>
  <c r="BF495" i="23"/>
  <c r="AZ495" i="23"/>
  <c r="AT495" i="23"/>
  <c r="AN495" i="23"/>
  <c r="AH495" i="23"/>
  <c r="AB495" i="23"/>
  <c r="R495" i="23"/>
  <c r="L495" i="23"/>
  <c r="CC494" i="23"/>
  <c r="CB494" i="23"/>
  <c r="CA494" i="23"/>
  <c r="BZ494" i="23"/>
  <c r="BL494" i="23"/>
  <c r="BF494" i="23"/>
  <c r="AZ494" i="23"/>
  <c r="AT494" i="23"/>
  <c r="AN494" i="23"/>
  <c r="AH494" i="23"/>
  <c r="AB494" i="23"/>
  <c r="R494" i="23"/>
  <c r="L494" i="23"/>
  <c r="CC493" i="23"/>
  <c r="CB493" i="23"/>
  <c r="CA493" i="23"/>
  <c r="BZ493" i="23"/>
  <c r="BL493" i="23"/>
  <c r="BF493" i="23"/>
  <c r="AZ493" i="23"/>
  <c r="AT493" i="23"/>
  <c r="AN493" i="23"/>
  <c r="AH493" i="23"/>
  <c r="AB493" i="23"/>
  <c r="R493" i="23"/>
  <c r="L493" i="23"/>
  <c r="CC492" i="23"/>
  <c r="CB492" i="23"/>
  <c r="CA492" i="23"/>
  <c r="BZ492" i="23"/>
  <c r="BL492" i="23"/>
  <c r="BF492" i="23"/>
  <c r="AZ492" i="23"/>
  <c r="AT492" i="23"/>
  <c r="AN492" i="23"/>
  <c r="AH492" i="23"/>
  <c r="AB492" i="23"/>
  <c r="R492" i="23"/>
  <c r="L492" i="23"/>
  <c r="CC583" i="23"/>
  <c r="CB583" i="23"/>
  <c r="CA583" i="23"/>
  <c r="BZ583" i="23"/>
  <c r="BL583" i="23"/>
  <c r="BF583" i="23"/>
  <c r="AZ583" i="23"/>
  <c r="AT583" i="23"/>
  <c r="AN583" i="23"/>
  <c r="AH583" i="23"/>
  <c r="AB583" i="23"/>
  <c r="R583" i="23"/>
  <c r="L583" i="23"/>
  <c r="CC582" i="23"/>
  <c r="CB582" i="23"/>
  <c r="CA582" i="23"/>
  <c r="BZ582" i="23"/>
  <c r="BL582" i="23"/>
  <c r="BF582" i="23"/>
  <c r="AZ582" i="23"/>
  <c r="AT582" i="23"/>
  <c r="AN582" i="23"/>
  <c r="AH582" i="23"/>
  <c r="AB582" i="23"/>
  <c r="R582" i="23"/>
  <c r="L582" i="23"/>
  <c r="CC581" i="23"/>
  <c r="CB581" i="23"/>
  <c r="CA581" i="23"/>
  <c r="BZ581" i="23"/>
  <c r="BL581" i="23"/>
  <c r="BF581" i="23"/>
  <c r="AZ581" i="23"/>
  <c r="AT581" i="23"/>
  <c r="AN581" i="23"/>
  <c r="AH581" i="23"/>
  <c r="AB581" i="23"/>
  <c r="R581" i="23"/>
  <c r="L581" i="23"/>
  <c r="CC580" i="23"/>
  <c r="CB580" i="23"/>
  <c r="CA580" i="23"/>
  <c r="BZ580" i="23"/>
  <c r="BL580" i="23"/>
  <c r="BF580" i="23"/>
  <c r="AZ580" i="23"/>
  <c r="AT580" i="23"/>
  <c r="AN580" i="23"/>
  <c r="AH580" i="23"/>
  <c r="AB580" i="23"/>
  <c r="R580" i="23"/>
  <c r="L580" i="23"/>
  <c r="CC579" i="23"/>
  <c r="CB579" i="23"/>
  <c r="CA579" i="23"/>
  <c r="BZ579" i="23"/>
  <c r="BL579" i="23"/>
  <c r="BF579" i="23"/>
  <c r="AZ579" i="23"/>
  <c r="AT579" i="23"/>
  <c r="AN579" i="23"/>
  <c r="AH579" i="23"/>
  <c r="AB579" i="23"/>
  <c r="R579" i="23"/>
  <c r="L579" i="23"/>
  <c r="CC578" i="23"/>
  <c r="CB578" i="23"/>
  <c r="CA578" i="23"/>
  <c r="BZ578" i="23"/>
  <c r="BL578" i="23"/>
  <c r="BF578" i="23"/>
  <c r="AZ578" i="23"/>
  <c r="AT578" i="23"/>
  <c r="AN578" i="23"/>
  <c r="AH578" i="23"/>
  <c r="AB578" i="23"/>
  <c r="R578" i="23"/>
  <c r="L578" i="23"/>
  <c r="CC577" i="23"/>
  <c r="CB577" i="23"/>
  <c r="CA577" i="23"/>
  <c r="BZ577" i="23"/>
  <c r="BL577" i="23"/>
  <c r="BF577" i="23"/>
  <c r="AZ577" i="23"/>
  <c r="AT577" i="23"/>
  <c r="AN577" i="23"/>
  <c r="AH577" i="23"/>
  <c r="AB577" i="23"/>
  <c r="R577" i="23"/>
  <c r="L577" i="23"/>
  <c r="CC576" i="23"/>
  <c r="CB576" i="23"/>
  <c r="CA576" i="23"/>
  <c r="BZ576" i="23"/>
  <c r="BL576" i="23"/>
  <c r="BF576" i="23"/>
  <c r="AZ576" i="23"/>
  <c r="AT576" i="23"/>
  <c r="AN576" i="23"/>
  <c r="AH576" i="23"/>
  <c r="AB576" i="23"/>
  <c r="R576" i="23"/>
  <c r="L576" i="23"/>
  <c r="CC575" i="23"/>
  <c r="CB575" i="23"/>
  <c r="CA575" i="23"/>
  <c r="BZ575" i="23"/>
  <c r="BL575" i="23"/>
  <c r="BF575" i="23"/>
  <c r="AZ575" i="23"/>
  <c r="AT575" i="23"/>
  <c r="AN575" i="23"/>
  <c r="AH575" i="23"/>
  <c r="AB575" i="23"/>
  <c r="R575" i="23"/>
  <c r="L575" i="23"/>
  <c r="CC1607" i="23"/>
  <c r="CB1607" i="23"/>
  <c r="CA1607" i="23"/>
  <c r="BZ1607" i="23"/>
  <c r="BL1607" i="23"/>
  <c r="BF1607" i="23"/>
  <c r="AZ1607" i="23"/>
  <c r="AT1607" i="23"/>
  <c r="AN1607" i="23"/>
  <c r="AH1607" i="23"/>
  <c r="AB1607" i="23"/>
  <c r="R1607" i="23"/>
  <c r="L1607" i="23"/>
  <c r="CC1606" i="23"/>
  <c r="CB1606" i="23"/>
  <c r="CA1606" i="23"/>
  <c r="BZ1606" i="23"/>
  <c r="BL1606" i="23"/>
  <c r="BF1606" i="23"/>
  <c r="AZ1606" i="23"/>
  <c r="AT1606" i="23"/>
  <c r="AN1606" i="23"/>
  <c r="AH1606" i="23"/>
  <c r="AB1606" i="23"/>
  <c r="R1606" i="23"/>
  <c r="L1606" i="23"/>
  <c r="CC1381" i="23"/>
  <c r="CB1381" i="23"/>
  <c r="CA1381" i="23"/>
  <c r="BZ1381" i="23"/>
  <c r="BL1381" i="23"/>
  <c r="BF1381" i="23"/>
  <c r="AZ1381" i="23"/>
  <c r="AT1381" i="23"/>
  <c r="AN1381" i="23"/>
  <c r="AH1381" i="23"/>
  <c r="AB1381" i="23"/>
  <c r="R1381" i="23"/>
  <c r="L1381" i="23"/>
  <c r="CC1380" i="23"/>
  <c r="CB1380" i="23"/>
  <c r="CA1380" i="23"/>
  <c r="BZ1380" i="23"/>
  <c r="BL1380" i="23"/>
  <c r="BF1380" i="23"/>
  <c r="AZ1380" i="23"/>
  <c r="AT1380" i="23"/>
  <c r="AN1380" i="23"/>
  <c r="AH1380" i="23"/>
  <c r="AB1380" i="23"/>
  <c r="R1380" i="23"/>
  <c r="L1380" i="23"/>
  <c r="CC1379" i="23"/>
  <c r="CB1379" i="23"/>
  <c r="CA1379" i="23"/>
  <c r="BZ1379" i="23"/>
  <c r="BL1379" i="23"/>
  <c r="BF1379" i="23"/>
  <c r="AZ1379" i="23"/>
  <c r="AT1379" i="23"/>
  <c r="AN1379" i="23"/>
  <c r="AH1379" i="23"/>
  <c r="AB1379" i="23"/>
  <c r="R1379" i="23"/>
  <c r="L1379" i="23"/>
  <c r="CC1323" i="23"/>
  <c r="CB1323" i="23"/>
  <c r="CA1323" i="23"/>
  <c r="BZ1323" i="23"/>
  <c r="BL1323" i="23"/>
  <c r="BF1323" i="23"/>
  <c r="AZ1323" i="23"/>
  <c r="AT1323" i="23"/>
  <c r="AN1323" i="23"/>
  <c r="AH1323" i="23"/>
  <c r="AB1323" i="23"/>
  <c r="R1323" i="23"/>
  <c r="L1323" i="23"/>
  <c r="H1323" i="23"/>
  <c r="CC1322" i="23"/>
  <c r="CB1322" i="23"/>
  <c r="CA1322" i="23"/>
  <c r="BZ1322" i="23"/>
  <c r="BL1322" i="23"/>
  <c r="BF1322" i="23"/>
  <c r="AZ1322" i="23"/>
  <c r="AT1322" i="23"/>
  <c r="AN1322" i="23"/>
  <c r="AH1322" i="23"/>
  <c r="AB1322" i="23"/>
  <c r="R1322" i="23"/>
  <c r="L1322" i="23"/>
  <c r="CC1321" i="23"/>
  <c r="CB1321" i="23"/>
  <c r="CA1321" i="23"/>
  <c r="BZ1321" i="23"/>
  <c r="BL1321" i="23"/>
  <c r="BF1321" i="23"/>
  <c r="AZ1321" i="23"/>
  <c r="AT1321" i="23"/>
  <c r="AN1321" i="23"/>
  <c r="AH1321" i="23"/>
  <c r="AB1321" i="23"/>
  <c r="R1321" i="23"/>
  <c r="L1321" i="23"/>
  <c r="CC1320" i="23"/>
  <c r="CB1320" i="23"/>
  <c r="CA1320" i="23"/>
  <c r="BZ1320" i="23"/>
  <c r="BL1320" i="23"/>
  <c r="BF1320" i="23"/>
  <c r="AZ1320" i="23"/>
  <c r="AT1320" i="23"/>
  <c r="AN1320" i="23"/>
  <c r="AH1320" i="23"/>
  <c r="AB1320" i="23"/>
  <c r="R1320" i="23"/>
  <c r="L1320" i="23"/>
  <c r="CC1319" i="23"/>
  <c r="CB1319" i="23"/>
  <c r="CA1319" i="23"/>
  <c r="BZ1319" i="23"/>
  <c r="BL1319" i="23"/>
  <c r="BF1319" i="23"/>
  <c r="AZ1319" i="23"/>
  <c r="AT1319" i="23"/>
  <c r="AN1319" i="23"/>
  <c r="AH1319" i="23"/>
  <c r="AB1319" i="23"/>
  <c r="R1319" i="23"/>
  <c r="L1319" i="23"/>
  <c r="CC1318" i="23"/>
  <c r="CB1318" i="23"/>
  <c r="CA1318" i="23"/>
  <c r="BZ1318" i="23"/>
  <c r="BL1318" i="23"/>
  <c r="BF1318" i="23"/>
  <c r="AZ1318" i="23"/>
  <c r="AT1318" i="23"/>
  <c r="AN1318" i="23"/>
  <c r="AH1318" i="23"/>
  <c r="AB1318" i="23"/>
  <c r="R1318" i="23"/>
  <c r="L1318" i="23"/>
  <c r="CC1317" i="23"/>
  <c r="CB1317" i="23"/>
  <c r="CA1317" i="23"/>
  <c r="BZ1317" i="23"/>
  <c r="BL1317" i="23"/>
  <c r="BF1317" i="23"/>
  <c r="AZ1317" i="23"/>
  <c r="AT1317" i="23"/>
  <c r="AN1317" i="23"/>
  <c r="AH1317" i="23"/>
  <c r="AB1317" i="23"/>
  <c r="R1317" i="23"/>
  <c r="L1317" i="23"/>
  <c r="CC1316" i="23"/>
  <c r="CB1316" i="23"/>
  <c r="CA1316" i="23"/>
  <c r="BZ1316" i="23"/>
  <c r="BL1316" i="23"/>
  <c r="BF1316" i="23"/>
  <c r="AZ1316" i="23"/>
  <c r="AT1316" i="23"/>
  <c r="AN1316" i="23"/>
  <c r="AH1316" i="23"/>
  <c r="AB1316" i="23"/>
  <c r="R1316" i="23"/>
  <c r="L1316" i="23"/>
  <c r="CC1315" i="23"/>
  <c r="CB1315" i="23"/>
  <c r="CA1315" i="23"/>
  <c r="BZ1315" i="23"/>
  <c r="BL1315" i="23"/>
  <c r="BF1315" i="23"/>
  <c r="AZ1315" i="23"/>
  <c r="AT1315" i="23"/>
  <c r="AN1315" i="23"/>
  <c r="AH1315" i="23"/>
  <c r="AB1315" i="23"/>
  <c r="R1315" i="23"/>
  <c r="L1315" i="23"/>
  <c r="CC1314" i="23"/>
  <c r="CB1314" i="23"/>
  <c r="CA1314" i="23"/>
  <c r="BZ1314" i="23"/>
  <c r="BL1314" i="23"/>
  <c r="BF1314" i="23"/>
  <c r="AZ1314" i="23"/>
  <c r="AT1314" i="23"/>
  <c r="AN1314" i="23"/>
  <c r="AH1314" i="23"/>
  <c r="AB1314" i="23"/>
  <c r="R1314" i="23"/>
  <c r="L1314" i="23"/>
  <c r="CC1313" i="23"/>
  <c r="CB1313" i="23"/>
  <c r="CA1313" i="23"/>
  <c r="BZ1313" i="23"/>
  <c r="BL1313" i="23"/>
  <c r="BF1313" i="23"/>
  <c r="AZ1313" i="23"/>
  <c r="AT1313" i="23"/>
  <c r="AN1313" i="23"/>
  <c r="AH1313" i="23"/>
  <c r="AB1313" i="23"/>
  <c r="R1313" i="23"/>
  <c r="L1313" i="23"/>
  <c r="CC1312" i="23"/>
  <c r="CB1312" i="23"/>
  <c r="CA1312" i="23"/>
  <c r="BZ1312" i="23"/>
  <c r="BL1312" i="23"/>
  <c r="BF1312" i="23"/>
  <c r="AZ1312" i="23"/>
  <c r="AT1312" i="23"/>
  <c r="AN1312" i="23"/>
  <c r="AH1312" i="23"/>
  <c r="AB1312" i="23"/>
  <c r="R1312" i="23"/>
  <c r="L1312" i="23"/>
  <c r="L1330" i="23"/>
  <c r="R1330" i="23"/>
  <c r="AB1330" i="23"/>
  <c r="AH1330" i="23"/>
  <c r="AN1330" i="23"/>
  <c r="AT1330" i="23"/>
  <c r="AZ1330" i="23"/>
  <c r="BF1330" i="23"/>
  <c r="BL1330" i="23"/>
  <c r="BZ1330" i="23"/>
  <c r="CA1330" i="23"/>
  <c r="CB1330" i="23"/>
  <c r="CC1330" i="23"/>
  <c r="CC826" i="23"/>
  <c r="CB826" i="23"/>
  <c r="CA826" i="23"/>
  <c r="BZ826" i="23"/>
  <c r="BL826" i="23"/>
  <c r="BF826" i="23"/>
  <c r="AZ826" i="23"/>
  <c r="AT826" i="23"/>
  <c r="AN826" i="23"/>
  <c r="AH826" i="23"/>
  <c r="AB826" i="23"/>
  <c r="R826" i="23"/>
  <c r="L826" i="23"/>
  <c r="CC825" i="23"/>
  <c r="CB825" i="23"/>
  <c r="CA825" i="23"/>
  <c r="BZ825" i="23"/>
  <c r="BL825" i="23"/>
  <c r="BF825" i="23"/>
  <c r="AZ825" i="23"/>
  <c r="AT825" i="23"/>
  <c r="AN825" i="23"/>
  <c r="AH825" i="23"/>
  <c r="AB825" i="23"/>
  <c r="R825" i="23"/>
  <c r="L825" i="23"/>
  <c r="CC824" i="23"/>
  <c r="CB824" i="23"/>
  <c r="CA824" i="23"/>
  <c r="BZ824" i="23"/>
  <c r="BL824" i="23"/>
  <c r="BF824" i="23"/>
  <c r="AZ824" i="23"/>
  <c r="AT824" i="23"/>
  <c r="AN824" i="23"/>
  <c r="AH824" i="23"/>
  <c r="AB824" i="23"/>
  <c r="R824" i="23"/>
  <c r="L824" i="23"/>
  <c r="CC823" i="23"/>
  <c r="CB823" i="23"/>
  <c r="CA823" i="23"/>
  <c r="BZ823" i="23"/>
  <c r="BL823" i="23"/>
  <c r="BF823" i="23"/>
  <c r="AZ823" i="23"/>
  <c r="AT823" i="23"/>
  <c r="AN823" i="23"/>
  <c r="AH823" i="23"/>
  <c r="AB823" i="23"/>
  <c r="R823" i="23"/>
  <c r="L823" i="23"/>
  <c r="CC822" i="23"/>
  <c r="CB822" i="23"/>
  <c r="CA822" i="23"/>
  <c r="BZ822" i="23"/>
  <c r="BL822" i="23"/>
  <c r="BF822" i="23"/>
  <c r="AZ822" i="23"/>
  <c r="AT822" i="23"/>
  <c r="AN822" i="23"/>
  <c r="AH822" i="23"/>
  <c r="AB822" i="23"/>
  <c r="R822" i="23"/>
  <c r="L822" i="23"/>
  <c r="CC752" i="23"/>
  <c r="CB752" i="23"/>
  <c r="CA752" i="23"/>
  <c r="BZ752" i="23"/>
  <c r="BL752" i="23"/>
  <c r="BF752" i="23"/>
  <c r="AZ752" i="23"/>
  <c r="AT752" i="23"/>
  <c r="AN752" i="23"/>
  <c r="AH752" i="23"/>
  <c r="AB752" i="23"/>
  <c r="R752" i="23"/>
  <c r="L752" i="23"/>
  <c r="CC751" i="23"/>
  <c r="CB751" i="23"/>
  <c r="CA751" i="23"/>
  <c r="BZ751" i="23"/>
  <c r="BL751" i="23"/>
  <c r="BF751" i="23"/>
  <c r="AZ751" i="23"/>
  <c r="AT751" i="23"/>
  <c r="AN751" i="23"/>
  <c r="AH751" i="23"/>
  <c r="AB751" i="23"/>
  <c r="R751" i="23"/>
  <c r="L751" i="23"/>
  <c r="CC750" i="23"/>
  <c r="CB750" i="23"/>
  <c r="CA750" i="23"/>
  <c r="BZ750" i="23"/>
  <c r="BL750" i="23"/>
  <c r="BF750" i="23"/>
  <c r="AZ750" i="23"/>
  <c r="AT750" i="23"/>
  <c r="AN750" i="23"/>
  <c r="AH750" i="23"/>
  <c r="AB750" i="23"/>
  <c r="R750" i="23"/>
  <c r="L750" i="23"/>
  <c r="CC749" i="23"/>
  <c r="CB749" i="23"/>
  <c r="CA749" i="23"/>
  <c r="BZ749" i="23"/>
  <c r="BL749" i="23"/>
  <c r="BF749" i="23"/>
  <c r="AZ749" i="23"/>
  <c r="AT749" i="23"/>
  <c r="AN749" i="23"/>
  <c r="AH749" i="23"/>
  <c r="AB749" i="23"/>
  <c r="R749" i="23"/>
  <c r="L749" i="23"/>
  <c r="CC748" i="23"/>
  <c r="CB748" i="23"/>
  <c r="CA748" i="23"/>
  <c r="BZ748" i="23"/>
  <c r="BL748" i="23"/>
  <c r="BF748" i="23"/>
  <c r="AZ748" i="23"/>
  <c r="AT748" i="23"/>
  <c r="AN748" i="23"/>
  <c r="AH748" i="23"/>
  <c r="AB748" i="23"/>
  <c r="R748" i="23"/>
  <c r="L748" i="23"/>
  <c r="CC747" i="23"/>
  <c r="CB747" i="23"/>
  <c r="CA747" i="23"/>
  <c r="BZ747" i="23"/>
  <c r="BL747" i="23"/>
  <c r="BF747" i="23"/>
  <c r="AZ747" i="23"/>
  <c r="AT747" i="23"/>
  <c r="AN747" i="23"/>
  <c r="AH747" i="23"/>
  <c r="AB747" i="23"/>
  <c r="R747" i="23"/>
  <c r="L747" i="23"/>
  <c r="CC746" i="23"/>
  <c r="CB746" i="23"/>
  <c r="CA746" i="23"/>
  <c r="BZ746" i="23"/>
  <c r="BL746" i="23"/>
  <c r="BF746" i="23"/>
  <c r="AZ746" i="23"/>
  <c r="AT746" i="23"/>
  <c r="AN746" i="23"/>
  <c r="AH746" i="23"/>
  <c r="AB746" i="23"/>
  <c r="R746" i="23"/>
  <c r="L746" i="23"/>
  <c r="CC745" i="23"/>
  <c r="CB745" i="23"/>
  <c r="CA745" i="23"/>
  <c r="BZ745" i="23"/>
  <c r="BL745" i="23"/>
  <c r="BF745" i="23"/>
  <c r="AZ745" i="23"/>
  <c r="AT745" i="23"/>
  <c r="AN745" i="23"/>
  <c r="AH745" i="23"/>
  <c r="AB745" i="23"/>
  <c r="R745" i="23"/>
  <c r="L745" i="23"/>
  <c r="CC744" i="23"/>
  <c r="CB744" i="23"/>
  <c r="CA744" i="23"/>
  <c r="BZ744" i="23"/>
  <c r="BL744" i="23"/>
  <c r="BF744" i="23"/>
  <c r="AZ744" i="23"/>
  <c r="AT744" i="23"/>
  <c r="AN744" i="23"/>
  <c r="AH744" i="23"/>
  <c r="AB744" i="23"/>
  <c r="R744" i="23"/>
  <c r="L744" i="23"/>
  <c r="CC743" i="23"/>
  <c r="CB743" i="23"/>
  <c r="CA743" i="23"/>
  <c r="BZ743" i="23"/>
  <c r="BL743" i="23"/>
  <c r="BF743" i="23"/>
  <c r="AZ743" i="23"/>
  <c r="AT743" i="23"/>
  <c r="AN743" i="23"/>
  <c r="AH743" i="23"/>
  <c r="AB743" i="23"/>
  <c r="R743" i="23"/>
  <c r="L743" i="23"/>
  <c r="CC742" i="23"/>
  <c r="CB742" i="23"/>
  <c r="CA742" i="23"/>
  <c r="BZ742" i="23"/>
  <c r="BL742" i="23"/>
  <c r="BF742" i="23"/>
  <c r="AZ742" i="23"/>
  <c r="AT742" i="23"/>
  <c r="AN742" i="23"/>
  <c r="AH742" i="23"/>
  <c r="AB742" i="23"/>
  <c r="R742" i="23"/>
  <c r="L742" i="23"/>
  <c r="CC741" i="23"/>
  <c r="CB741" i="23"/>
  <c r="CA741" i="23"/>
  <c r="BZ741" i="23"/>
  <c r="BL741" i="23"/>
  <c r="BF741" i="23"/>
  <c r="AZ741" i="23"/>
  <c r="AT741" i="23"/>
  <c r="AN741" i="23"/>
  <c r="AH741" i="23"/>
  <c r="AB741" i="23"/>
  <c r="R741" i="23"/>
  <c r="L741" i="23"/>
  <c r="CC740" i="23"/>
  <c r="CB740" i="23"/>
  <c r="CA740" i="23"/>
  <c r="BZ740" i="23"/>
  <c r="BL740" i="23"/>
  <c r="BF740" i="23"/>
  <c r="AZ740" i="23"/>
  <c r="AT740" i="23"/>
  <c r="AN740" i="23"/>
  <c r="AH740" i="23"/>
  <c r="AB740" i="23"/>
  <c r="R740" i="23"/>
  <c r="L740" i="23"/>
  <c r="CC739" i="23"/>
  <c r="CB739" i="23"/>
  <c r="CA739" i="23"/>
  <c r="BZ739" i="23"/>
  <c r="BL739" i="23"/>
  <c r="BF739" i="23"/>
  <c r="AZ739" i="23"/>
  <c r="AT739" i="23"/>
  <c r="AN739" i="23"/>
  <c r="AH739" i="23"/>
  <c r="AB739" i="23"/>
  <c r="R739" i="23"/>
  <c r="L739" i="23"/>
  <c r="CC738" i="23"/>
  <c r="CB738" i="23"/>
  <c r="CA738" i="23"/>
  <c r="BZ738" i="23"/>
  <c r="BL738" i="23"/>
  <c r="BF738" i="23"/>
  <c r="AZ738" i="23"/>
  <c r="AT738" i="23"/>
  <c r="AN738" i="23"/>
  <c r="AH738" i="23"/>
  <c r="AB738" i="23"/>
  <c r="R738" i="23"/>
  <c r="L738" i="23"/>
  <c r="CC737" i="23"/>
  <c r="CB737" i="23"/>
  <c r="CA737" i="23"/>
  <c r="BZ737" i="23"/>
  <c r="BL737" i="23"/>
  <c r="BF737" i="23"/>
  <c r="AZ737" i="23"/>
  <c r="AT737" i="23"/>
  <c r="AN737" i="23"/>
  <c r="AH737" i="23"/>
  <c r="AB737" i="23"/>
  <c r="R737" i="23"/>
  <c r="L737" i="23"/>
  <c r="CC736" i="23"/>
  <c r="CB736" i="23"/>
  <c r="CA736" i="23"/>
  <c r="BZ736" i="23"/>
  <c r="BL736" i="23"/>
  <c r="BF736" i="23"/>
  <c r="AZ736" i="23"/>
  <c r="AT736" i="23"/>
  <c r="AN736" i="23"/>
  <c r="AH736" i="23"/>
  <c r="AB736" i="23"/>
  <c r="R736" i="23"/>
  <c r="L736" i="23"/>
  <c r="CC735" i="23"/>
  <c r="CB735" i="23"/>
  <c r="CA735" i="23"/>
  <c r="BZ735" i="23"/>
  <c r="BL735" i="23"/>
  <c r="BF735" i="23"/>
  <c r="AZ735" i="23"/>
  <c r="AT735" i="23"/>
  <c r="AN735" i="23"/>
  <c r="AH735" i="23"/>
  <c r="AB735" i="23"/>
  <c r="R735" i="23"/>
  <c r="L735" i="23"/>
  <c r="CC734" i="23"/>
  <c r="CB734" i="23"/>
  <c r="CA734" i="23"/>
  <c r="BZ734" i="23"/>
  <c r="BL734" i="23"/>
  <c r="BF734" i="23"/>
  <c r="AZ734" i="23"/>
  <c r="AT734" i="23"/>
  <c r="AN734" i="23"/>
  <c r="AH734" i="23"/>
  <c r="AB734" i="23"/>
  <c r="R734" i="23"/>
  <c r="L734" i="23"/>
  <c r="CC733" i="23"/>
  <c r="CB733" i="23"/>
  <c r="CA733" i="23"/>
  <c r="BZ733" i="23"/>
  <c r="BL733" i="23"/>
  <c r="BF733" i="23"/>
  <c r="AZ733" i="23"/>
  <c r="AT733" i="23"/>
  <c r="AN733" i="23"/>
  <c r="AH733" i="23"/>
  <c r="AB733" i="23"/>
  <c r="R733" i="23"/>
  <c r="L733" i="23"/>
  <c r="H733" i="23"/>
  <c r="CC732" i="23"/>
  <c r="CB732" i="23"/>
  <c r="CA732" i="23"/>
  <c r="BZ732" i="23"/>
  <c r="BL732" i="23"/>
  <c r="BF732" i="23"/>
  <c r="AZ732" i="23"/>
  <c r="AT732" i="23"/>
  <c r="AN732" i="23"/>
  <c r="AH732" i="23"/>
  <c r="AB732" i="23"/>
  <c r="R732" i="23"/>
  <c r="L732" i="23"/>
  <c r="CC731" i="23"/>
  <c r="CB731" i="23"/>
  <c r="CA731" i="23"/>
  <c r="BZ731" i="23"/>
  <c r="BL731" i="23"/>
  <c r="BF731" i="23"/>
  <c r="AZ731" i="23"/>
  <c r="AT731" i="23"/>
  <c r="AN731" i="23"/>
  <c r="AH731" i="23"/>
  <c r="AB731" i="23"/>
  <c r="R731" i="23"/>
  <c r="L731" i="23"/>
  <c r="CC730" i="23"/>
  <c r="CB730" i="23"/>
  <c r="CA730" i="23"/>
  <c r="BZ730" i="23"/>
  <c r="BL730" i="23"/>
  <c r="BF730" i="23"/>
  <c r="AZ730" i="23"/>
  <c r="AT730" i="23"/>
  <c r="AN730" i="23"/>
  <c r="AH730" i="23"/>
  <c r="AB730" i="23"/>
  <c r="R730" i="23"/>
  <c r="L730" i="23"/>
  <c r="CC729" i="23"/>
  <c r="CB729" i="23"/>
  <c r="CA729" i="23"/>
  <c r="BZ729" i="23"/>
  <c r="BL729" i="23"/>
  <c r="BF729" i="23"/>
  <c r="AZ729" i="23"/>
  <c r="AT729" i="23"/>
  <c r="AN729" i="23"/>
  <c r="AH729" i="23"/>
  <c r="AB729" i="23"/>
  <c r="R729" i="23"/>
  <c r="L729" i="23"/>
  <c r="CC728" i="23"/>
  <c r="CB728" i="23"/>
  <c r="CA728" i="23"/>
  <c r="BZ728" i="23"/>
  <c r="BL728" i="23"/>
  <c r="BF728" i="23"/>
  <c r="AZ728" i="23"/>
  <c r="AT728" i="23"/>
  <c r="AN728" i="23"/>
  <c r="AH728" i="23"/>
  <c r="AB728" i="23"/>
  <c r="R728" i="23"/>
  <c r="L728" i="23"/>
  <c r="K1453" i="23"/>
  <c r="CD736" i="23" l="1"/>
  <c r="CE736" i="23" s="1"/>
  <c r="CD1330" i="23"/>
  <c r="CE1330" i="23" s="1"/>
  <c r="CD1317" i="23"/>
  <c r="CE1317" i="23" s="1"/>
  <c r="CD1319" i="23"/>
  <c r="CE1319" i="23" s="1"/>
  <c r="CD1321" i="23"/>
  <c r="CE1321" i="23" s="1"/>
  <c r="CD1381" i="23"/>
  <c r="CD1607" i="23"/>
  <c r="CE1607" i="23" s="1"/>
  <c r="CD576" i="23"/>
  <c r="CE576" i="23" s="1"/>
  <c r="CD578" i="23"/>
  <c r="CE578" i="23" s="1"/>
  <c r="CD580" i="23"/>
  <c r="CE580" i="23" s="1"/>
  <c r="CD582" i="23"/>
  <c r="CE582" i="23" s="1"/>
  <c r="CD492" i="23"/>
  <c r="CD494" i="23"/>
  <c r="CD497" i="23"/>
  <c r="CD499" i="23"/>
  <c r="CD501" i="23"/>
  <c r="BM504" i="23"/>
  <c r="CD504" i="23"/>
  <c r="CE504" i="23" s="1"/>
  <c r="CD506" i="23"/>
  <c r="CE506" i="23" s="1"/>
  <c r="CD300" i="23"/>
  <c r="BM1330" i="23"/>
  <c r="CD1318" i="23"/>
  <c r="CD1320" i="23"/>
  <c r="CE1320" i="23" s="1"/>
  <c r="CD1322" i="23"/>
  <c r="CD1323" i="23"/>
  <c r="CE1323" i="23" s="1"/>
  <c r="CD1379" i="23"/>
  <c r="CD1380" i="23"/>
  <c r="CE1380" i="23" s="1"/>
  <c r="CD1606" i="23"/>
  <c r="CD575" i="23"/>
  <c r="CD577" i="23"/>
  <c r="CE577" i="23" s="1"/>
  <c r="CD579" i="23"/>
  <c r="CD581" i="23"/>
  <c r="CE583" i="23"/>
  <c r="BM493" i="23"/>
  <c r="CD493" i="23"/>
  <c r="CE493" i="23" s="1"/>
  <c r="CD495" i="23"/>
  <c r="CE495" i="23" s="1"/>
  <c r="CD496" i="23"/>
  <c r="CE496" i="23" s="1"/>
  <c r="CD498" i="23"/>
  <c r="CE500" i="23"/>
  <c r="CD502" i="23"/>
  <c r="CE502" i="23" s="1"/>
  <c r="CD503" i="23"/>
  <c r="CE503" i="23" s="1"/>
  <c r="BM746" i="23"/>
  <c r="CD1312" i="23"/>
  <c r="CD1314" i="23"/>
  <c r="CD1316" i="23"/>
  <c r="BM1607" i="23"/>
  <c r="BM736" i="23"/>
  <c r="CD1313" i="23"/>
  <c r="CD1315" i="23"/>
  <c r="BM1323" i="23"/>
  <c r="BM496" i="23"/>
  <c r="BM730" i="23"/>
  <c r="BM733" i="23"/>
  <c r="BM741" i="23"/>
  <c r="CD744" i="23"/>
  <c r="CE744" i="23" s="1"/>
  <c r="BM747" i="23"/>
  <c r="CD822" i="23"/>
  <c r="BM735" i="23"/>
  <c r="CD747" i="23"/>
  <c r="CE747" i="23" s="1"/>
  <c r="CD732" i="23"/>
  <c r="CE732" i="23" s="1"/>
  <c r="CD752" i="23"/>
  <c r="CE752" i="23" s="1"/>
  <c r="CD729" i="23"/>
  <c r="CE729" i="23" s="1"/>
  <c r="CD740" i="23"/>
  <c r="CD746" i="23"/>
  <c r="CE746" i="23" s="1"/>
  <c r="CD749" i="23"/>
  <c r="CE749" i="23" s="1"/>
  <c r="CD826" i="23"/>
  <c r="CE826" i="23" s="1"/>
  <c r="CD737" i="23"/>
  <c r="CD739" i="23"/>
  <c r="CD748" i="23"/>
  <c r="CD825" i="23"/>
  <c r="CD730" i="23"/>
  <c r="CE730" i="23" s="1"/>
  <c r="CD733" i="23"/>
  <c r="CE733" i="23" s="1"/>
  <c r="CD741" i="23"/>
  <c r="CE741" i="23" s="1"/>
  <c r="CD750" i="23"/>
  <c r="BM752" i="23"/>
  <c r="CD738" i="23"/>
  <c r="CE738" i="23" s="1"/>
  <c r="CD824" i="23"/>
  <c r="CE824" i="23" s="1"/>
  <c r="CD735" i="23"/>
  <c r="CE735" i="23" s="1"/>
  <c r="CD743" i="23"/>
  <c r="CE743" i="23" s="1"/>
  <c r="CD745" i="23"/>
  <c r="CE745" i="23" s="1"/>
  <c r="CD823" i="23"/>
  <c r="CE823" i="23" s="1"/>
  <c r="CD728" i="23"/>
  <c r="CD731" i="23"/>
  <c r="CD734" i="23"/>
  <c r="CD742" i="23"/>
  <c r="CD751" i="23"/>
  <c r="CE505" i="23" l="1"/>
  <c r="CE498" i="23"/>
  <c r="CE581" i="23"/>
  <c r="CE300" i="23"/>
  <c r="CE497" i="23"/>
  <c r="CE492" i="23"/>
  <c r="CE501" i="23"/>
  <c r="CE579" i="23"/>
  <c r="CE575" i="23"/>
  <c r="CE499" i="23"/>
  <c r="CE494" i="23"/>
  <c r="CE1315" i="23"/>
  <c r="CE1313" i="23"/>
  <c r="CE1606" i="23"/>
  <c r="CE751" i="23"/>
  <c r="CE742" i="23"/>
  <c r="CE734" i="23"/>
  <c r="CE731" i="23"/>
  <c r="CE728" i="23"/>
  <c r="CE750" i="23"/>
  <c r="CE825" i="23"/>
  <c r="CE748" i="23"/>
  <c r="CE739" i="23"/>
  <c r="CE737" i="23"/>
  <c r="CE740" i="23"/>
  <c r="CE822" i="23"/>
  <c r="CE1316" i="23"/>
  <c r="CE1314" i="23"/>
  <c r="CE1312" i="23"/>
  <c r="CE1379" i="23"/>
  <c r="CE1322" i="23"/>
  <c r="CE1318" i="23"/>
  <c r="CE1381" i="23"/>
  <c r="Y411" i="23" l="1"/>
  <c r="Y77" i="23" l="1"/>
  <c r="W447" i="23" l="1"/>
  <c r="W448" i="23"/>
  <c r="W566" i="23"/>
  <c r="W565" i="23"/>
  <c r="W32" i="23"/>
  <c r="W26" i="23"/>
  <c r="W562" i="23"/>
  <c r="W444" i="23"/>
  <c r="W50" i="23"/>
  <c r="W48" i="23"/>
  <c r="W45" i="23"/>
  <c r="W43" i="23"/>
  <c r="AQ410" i="23" l="1"/>
  <c r="CC1169" i="23" l="1"/>
  <c r="CB1169" i="23"/>
  <c r="CA1169" i="23"/>
  <c r="BZ1169" i="23"/>
  <c r="BL1169" i="23"/>
  <c r="BF1169" i="23"/>
  <c r="AZ1169" i="23"/>
  <c r="AT1169" i="23"/>
  <c r="AN1169" i="23"/>
  <c r="AH1169" i="23"/>
  <c r="AB1169" i="23"/>
  <c r="R1169" i="23"/>
  <c r="L1169" i="23"/>
  <c r="CC1168" i="23"/>
  <c r="CB1168" i="23"/>
  <c r="CA1168" i="23"/>
  <c r="BZ1168" i="23"/>
  <c r="BL1168" i="23"/>
  <c r="BF1168" i="23"/>
  <c r="AZ1168" i="23"/>
  <c r="AT1168" i="23"/>
  <c r="AN1168" i="23"/>
  <c r="AH1168" i="23"/>
  <c r="AB1168" i="23"/>
  <c r="R1168" i="23"/>
  <c r="L1168" i="23"/>
  <c r="CC1167" i="23"/>
  <c r="CB1167" i="23"/>
  <c r="CA1167" i="23"/>
  <c r="BZ1167" i="23"/>
  <c r="BL1167" i="23"/>
  <c r="BF1167" i="23"/>
  <c r="AZ1167" i="23"/>
  <c r="AT1167" i="23"/>
  <c r="AN1167" i="23"/>
  <c r="AH1167" i="23"/>
  <c r="AB1167" i="23"/>
  <c r="R1167" i="23"/>
  <c r="L1167" i="23"/>
  <c r="CC1156" i="23"/>
  <c r="CB1156" i="23"/>
  <c r="CA1156" i="23"/>
  <c r="BZ1156" i="23"/>
  <c r="BL1156" i="23"/>
  <c r="BF1156" i="23"/>
  <c r="AZ1156" i="23"/>
  <c r="AT1156" i="23"/>
  <c r="AN1156" i="23"/>
  <c r="AH1156" i="23"/>
  <c r="AB1156" i="23"/>
  <c r="R1156" i="23"/>
  <c r="L1156" i="23"/>
  <c r="CC1155" i="23"/>
  <c r="CB1155" i="23"/>
  <c r="CA1155" i="23"/>
  <c r="BZ1155" i="23"/>
  <c r="BL1155" i="23"/>
  <c r="BF1155" i="23"/>
  <c r="AZ1155" i="23"/>
  <c r="AT1155" i="23"/>
  <c r="AN1155" i="23"/>
  <c r="AH1155" i="23"/>
  <c r="AB1155" i="23"/>
  <c r="R1155" i="23"/>
  <c r="L1155" i="23"/>
  <c r="CC1154" i="23"/>
  <c r="CB1154" i="23"/>
  <c r="CA1154" i="23"/>
  <c r="BZ1154" i="23"/>
  <c r="BL1154" i="23"/>
  <c r="BF1154" i="23"/>
  <c r="AZ1154" i="23"/>
  <c r="AT1154" i="23"/>
  <c r="AN1154" i="23"/>
  <c r="AH1154" i="23"/>
  <c r="AB1154" i="23"/>
  <c r="R1154" i="23"/>
  <c r="L1154" i="23"/>
  <c r="CC1060" i="23"/>
  <c r="CB1060" i="23"/>
  <c r="CA1060" i="23"/>
  <c r="BZ1060" i="23"/>
  <c r="BL1060" i="23"/>
  <c r="BF1060" i="23"/>
  <c r="AZ1060" i="23"/>
  <c r="AT1060" i="23"/>
  <c r="AN1060" i="23"/>
  <c r="AH1060" i="23"/>
  <c r="AB1060" i="23"/>
  <c r="R1060" i="23"/>
  <c r="L1060" i="23"/>
  <c r="CC1059" i="23"/>
  <c r="CB1059" i="23"/>
  <c r="CA1059" i="23"/>
  <c r="BZ1059" i="23"/>
  <c r="BL1059" i="23"/>
  <c r="BF1059" i="23"/>
  <c r="AZ1059" i="23"/>
  <c r="AT1059" i="23"/>
  <c r="AN1059" i="23"/>
  <c r="AH1059" i="23"/>
  <c r="AB1059" i="23"/>
  <c r="R1059" i="23"/>
  <c r="L1059" i="23"/>
  <c r="CC1058" i="23"/>
  <c r="CB1058" i="23"/>
  <c r="CA1058" i="23"/>
  <c r="BZ1058" i="23"/>
  <c r="BL1058" i="23"/>
  <c r="BF1058" i="23"/>
  <c r="AZ1058" i="23"/>
  <c r="AT1058" i="23"/>
  <c r="AN1058" i="23"/>
  <c r="AH1058" i="23"/>
  <c r="AB1058" i="23"/>
  <c r="R1058" i="23"/>
  <c r="L1058" i="23"/>
  <c r="CC1044" i="23"/>
  <c r="CB1044" i="23"/>
  <c r="CA1044" i="23"/>
  <c r="BZ1044" i="23"/>
  <c r="BL1044" i="23"/>
  <c r="BF1044" i="23"/>
  <c r="AZ1044" i="23"/>
  <c r="AT1044" i="23"/>
  <c r="AN1044" i="23"/>
  <c r="AH1044" i="23"/>
  <c r="AB1044" i="23"/>
  <c r="R1044" i="23"/>
  <c r="L1044" i="23"/>
  <c r="CC1043" i="23"/>
  <c r="CB1043" i="23"/>
  <c r="CA1043" i="23"/>
  <c r="BZ1043" i="23"/>
  <c r="BL1043" i="23"/>
  <c r="BF1043" i="23"/>
  <c r="AZ1043" i="23"/>
  <c r="AT1043" i="23"/>
  <c r="AN1043" i="23"/>
  <c r="AH1043" i="23"/>
  <c r="AB1043" i="23"/>
  <c r="R1043" i="23"/>
  <c r="L1043" i="23"/>
  <c r="CC1042" i="23"/>
  <c r="CB1042" i="23"/>
  <c r="CA1042" i="23"/>
  <c r="BZ1042" i="23"/>
  <c r="BL1042" i="23"/>
  <c r="BF1042" i="23"/>
  <c r="AZ1042" i="23"/>
  <c r="AT1042" i="23"/>
  <c r="AN1042" i="23"/>
  <c r="AH1042" i="23"/>
  <c r="AB1042" i="23"/>
  <c r="R1042" i="23"/>
  <c r="L1042" i="23"/>
  <c r="CC1041" i="23"/>
  <c r="CB1041" i="23"/>
  <c r="BZ1041" i="23"/>
  <c r="BL1041" i="23"/>
  <c r="BF1041" i="23"/>
  <c r="AZ1041" i="23"/>
  <c r="AT1041" i="23"/>
  <c r="AN1041" i="23"/>
  <c r="AH1041" i="23"/>
  <c r="AB1041" i="23"/>
  <c r="R1041" i="23"/>
  <c r="CC1019" i="23"/>
  <c r="CB1019" i="23"/>
  <c r="CA1019" i="23"/>
  <c r="BZ1019" i="23"/>
  <c r="BL1019" i="23"/>
  <c r="BF1019" i="23"/>
  <c r="AZ1019" i="23"/>
  <c r="AT1019" i="23"/>
  <c r="AN1019" i="23"/>
  <c r="AH1019" i="23"/>
  <c r="AB1019" i="23"/>
  <c r="R1019" i="23"/>
  <c r="L1019" i="23"/>
  <c r="CC1018" i="23"/>
  <c r="CB1018" i="23"/>
  <c r="CA1018" i="23"/>
  <c r="BZ1018" i="23"/>
  <c r="BL1018" i="23"/>
  <c r="BF1018" i="23"/>
  <c r="AZ1018" i="23"/>
  <c r="AT1018" i="23"/>
  <c r="AN1018" i="23"/>
  <c r="AH1018" i="23"/>
  <c r="AB1018" i="23"/>
  <c r="R1018" i="23"/>
  <c r="L1018" i="23"/>
  <c r="CC1017" i="23"/>
  <c r="CB1017" i="23"/>
  <c r="CA1017" i="23"/>
  <c r="BZ1017" i="23"/>
  <c r="BL1017" i="23"/>
  <c r="BF1017" i="23"/>
  <c r="AZ1017" i="23"/>
  <c r="AT1017" i="23"/>
  <c r="AN1017" i="23"/>
  <c r="AH1017" i="23"/>
  <c r="AB1017" i="23"/>
  <c r="R1017" i="23"/>
  <c r="L1017" i="23"/>
  <c r="CC1016" i="23"/>
  <c r="CB1016" i="23"/>
  <c r="CA1016" i="23"/>
  <c r="BZ1016" i="23"/>
  <c r="BL1016" i="23"/>
  <c r="BF1016" i="23"/>
  <c r="AZ1016" i="23"/>
  <c r="AT1016" i="23"/>
  <c r="AN1016" i="23"/>
  <c r="AH1016" i="23"/>
  <c r="AB1016" i="23"/>
  <c r="R1016" i="23"/>
  <c r="L1016" i="23"/>
  <c r="CC1015" i="23"/>
  <c r="CB1015" i="23"/>
  <c r="CA1015" i="23"/>
  <c r="BZ1015" i="23"/>
  <c r="BL1015" i="23"/>
  <c r="BF1015" i="23"/>
  <c r="AZ1015" i="23"/>
  <c r="AT1015" i="23"/>
  <c r="AN1015" i="23"/>
  <c r="AH1015" i="23"/>
  <c r="AB1015" i="23"/>
  <c r="R1015" i="23"/>
  <c r="L1015" i="23"/>
  <c r="CC1014" i="23"/>
  <c r="CB1014" i="23"/>
  <c r="CA1014" i="23"/>
  <c r="BZ1014" i="23"/>
  <c r="BL1014" i="23"/>
  <c r="BF1014" i="23"/>
  <c r="AZ1014" i="23"/>
  <c r="AT1014" i="23"/>
  <c r="AN1014" i="23"/>
  <c r="AH1014" i="23"/>
  <c r="AB1014" i="23"/>
  <c r="R1014" i="23"/>
  <c r="L1014" i="23"/>
  <c r="CD1017" i="23" l="1"/>
  <c r="CE1017" i="23" s="1"/>
  <c r="CD1156" i="23"/>
  <c r="CE1156" i="23" s="1"/>
  <c r="CD1169" i="23"/>
  <c r="CE1169" i="23" s="1"/>
  <c r="CD1058" i="23"/>
  <c r="CD1155" i="23"/>
  <c r="CE1155" i="23" s="1"/>
  <c r="CD1168" i="23"/>
  <c r="CE1168" i="23" s="1"/>
  <c r="CD1042" i="23"/>
  <c r="CD1059" i="23"/>
  <c r="CE1059" i="23" s="1"/>
  <c r="CD1154" i="23"/>
  <c r="CD1044" i="23"/>
  <c r="CD1041" i="23"/>
  <c r="CD1014" i="23"/>
  <c r="CD1167" i="23"/>
  <c r="CD1016" i="23"/>
  <c r="CE1016" i="23" s="1"/>
  <c r="CD1060" i="23"/>
  <c r="CE1060" i="23" s="1"/>
  <c r="CD1043" i="23"/>
  <c r="CE1043" i="23" s="1"/>
  <c r="CD1018" i="23"/>
  <c r="CD1015" i="23"/>
  <c r="CE1015" i="23" s="1"/>
  <c r="CD1019" i="23"/>
  <c r="CE1019" i="23" s="1"/>
  <c r="CE1018" i="23" l="1"/>
  <c r="CE1167" i="23"/>
  <c r="CE1014" i="23"/>
  <c r="CE1041" i="23"/>
  <c r="CE1044" i="23"/>
  <c r="CE1154" i="23"/>
  <c r="CE1042" i="23"/>
  <c r="CE1058" i="23"/>
  <c r="K1007" i="23" l="1"/>
  <c r="I1007" i="23"/>
  <c r="CC118" i="23"/>
  <c r="CB118" i="23"/>
  <c r="CA118" i="23"/>
  <c r="BZ118" i="23"/>
  <c r="BL118" i="23"/>
  <c r="BF118" i="23"/>
  <c r="AZ118" i="23"/>
  <c r="AT118" i="23"/>
  <c r="AN118" i="23"/>
  <c r="AH118" i="23"/>
  <c r="AB118" i="23"/>
  <c r="R118" i="23"/>
  <c r="L118" i="23"/>
  <c r="CD118" i="23" l="1"/>
  <c r="BW837" i="19"/>
  <c r="BU837" i="19"/>
  <c r="CE118" i="23" l="1"/>
  <c r="W449" i="23" l="1"/>
  <c r="W417" i="23"/>
  <c r="W138" i="23"/>
  <c r="I1440" i="23" l="1"/>
  <c r="I1439" i="23"/>
  <c r="CC872" i="23" l="1"/>
  <c r="CB872" i="23"/>
  <c r="CA872" i="23"/>
  <c r="BZ872" i="23"/>
  <c r="BL872" i="23"/>
  <c r="BF872" i="23"/>
  <c r="AZ872" i="23"/>
  <c r="AT872" i="23"/>
  <c r="AN872" i="23"/>
  <c r="AH872" i="23"/>
  <c r="AB872" i="23"/>
  <c r="R872" i="23"/>
  <c r="L872" i="23"/>
  <c r="CC871" i="23"/>
  <c r="CB871" i="23"/>
  <c r="CA871" i="23"/>
  <c r="BZ871" i="23"/>
  <c r="BL871" i="23"/>
  <c r="BF871" i="23"/>
  <c r="AZ871" i="23"/>
  <c r="AT871" i="23"/>
  <c r="AN871" i="23"/>
  <c r="AH871" i="23"/>
  <c r="AB871" i="23"/>
  <c r="R871" i="23"/>
  <c r="L871" i="23"/>
  <c r="CC870" i="23"/>
  <c r="CB870" i="23"/>
  <c r="CA870" i="23"/>
  <c r="BZ870" i="23"/>
  <c r="BL870" i="23"/>
  <c r="BF870" i="23"/>
  <c r="AZ870" i="23"/>
  <c r="AT870" i="23"/>
  <c r="AN870" i="23"/>
  <c r="AH870" i="23"/>
  <c r="AB870" i="23"/>
  <c r="R870" i="23"/>
  <c r="L870" i="23"/>
  <c r="CC869" i="23"/>
  <c r="CB869" i="23"/>
  <c r="CA869" i="23"/>
  <c r="BZ869" i="23"/>
  <c r="BL869" i="23"/>
  <c r="BF869" i="23"/>
  <c r="AZ869" i="23"/>
  <c r="AT869" i="23"/>
  <c r="AN869" i="23"/>
  <c r="AH869" i="23"/>
  <c r="AB869" i="23"/>
  <c r="R869" i="23"/>
  <c r="L869" i="23"/>
  <c r="CC868" i="23"/>
  <c r="CB868" i="23"/>
  <c r="CA868" i="23"/>
  <c r="BZ868" i="23"/>
  <c r="BL868" i="23"/>
  <c r="BF868" i="23"/>
  <c r="AZ868" i="23"/>
  <c r="AT868" i="23"/>
  <c r="AN868" i="23"/>
  <c r="AH868" i="23"/>
  <c r="AB868" i="23"/>
  <c r="R868" i="23"/>
  <c r="L868" i="23"/>
  <c r="CC867" i="23"/>
  <c r="CB867" i="23"/>
  <c r="CA867" i="23"/>
  <c r="BZ867" i="23"/>
  <c r="BL867" i="23"/>
  <c r="BF867" i="23"/>
  <c r="AZ867" i="23"/>
  <c r="AT867" i="23"/>
  <c r="AN867" i="23"/>
  <c r="AH867" i="23"/>
  <c r="AB867" i="23"/>
  <c r="R867" i="23"/>
  <c r="L867" i="23"/>
  <c r="CC866" i="23"/>
  <c r="CB866" i="23"/>
  <c r="CA866" i="23"/>
  <c r="BZ866" i="23"/>
  <c r="BL866" i="23"/>
  <c r="BF866" i="23"/>
  <c r="AZ866" i="23"/>
  <c r="AT866" i="23"/>
  <c r="AN866" i="23"/>
  <c r="AH866" i="23"/>
  <c r="AB866" i="23"/>
  <c r="R866" i="23"/>
  <c r="L866" i="23"/>
  <c r="CC865" i="23"/>
  <c r="CB865" i="23"/>
  <c r="CA865" i="23"/>
  <c r="BZ865" i="23"/>
  <c r="BL865" i="23"/>
  <c r="BF865" i="23"/>
  <c r="AZ865" i="23"/>
  <c r="AT865" i="23"/>
  <c r="AN865" i="23"/>
  <c r="AH865" i="23"/>
  <c r="AB865" i="23"/>
  <c r="R865" i="23"/>
  <c r="L865" i="23"/>
  <c r="CC864" i="23"/>
  <c r="CB864" i="23"/>
  <c r="CA864" i="23"/>
  <c r="BZ864" i="23"/>
  <c r="BL864" i="23"/>
  <c r="BF864" i="23"/>
  <c r="AZ864" i="23"/>
  <c r="AT864" i="23"/>
  <c r="AN864" i="23"/>
  <c r="AH864" i="23"/>
  <c r="AB864" i="23"/>
  <c r="R864" i="23"/>
  <c r="L864" i="23"/>
  <c r="CC863" i="23"/>
  <c r="CB863" i="23"/>
  <c r="CA863" i="23"/>
  <c r="BZ863" i="23"/>
  <c r="BL863" i="23"/>
  <c r="BF863" i="23"/>
  <c r="AZ863" i="23"/>
  <c r="AT863" i="23"/>
  <c r="AN863" i="23"/>
  <c r="AH863" i="23"/>
  <c r="AB863" i="23"/>
  <c r="R863" i="23"/>
  <c r="L863" i="23"/>
  <c r="CC862" i="23"/>
  <c r="CB862" i="23"/>
  <c r="CA862" i="23"/>
  <c r="BZ862" i="23"/>
  <c r="BL862" i="23"/>
  <c r="BF862" i="23"/>
  <c r="AZ862" i="23"/>
  <c r="AT862" i="23"/>
  <c r="AN862" i="23"/>
  <c r="AH862" i="23"/>
  <c r="AB862" i="23"/>
  <c r="R862" i="23"/>
  <c r="L862" i="23"/>
  <c r="CC821" i="23"/>
  <c r="CB821" i="23"/>
  <c r="CA821" i="23"/>
  <c r="BZ821" i="23"/>
  <c r="BL821" i="23"/>
  <c r="BF821" i="23"/>
  <c r="AZ821" i="23"/>
  <c r="AT821" i="23"/>
  <c r="AN821" i="23"/>
  <c r="AH821" i="23"/>
  <c r="AB821" i="23"/>
  <c r="R821" i="23"/>
  <c r="L821" i="23"/>
  <c r="CC820" i="23"/>
  <c r="CB820" i="23"/>
  <c r="CA820" i="23"/>
  <c r="BZ820" i="23"/>
  <c r="BL820" i="23"/>
  <c r="BF820" i="23"/>
  <c r="AZ820" i="23"/>
  <c r="AT820" i="23"/>
  <c r="AN820" i="23"/>
  <c r="AH820" i="23"/>
  <c r="AB820" i="23"/>
  <c r="R820" i="23"/>
  <c r="L820" i="23"/>
  <c r="CC819" i="23"/>
  <c r="CB819" i="23"/>
  <c r="CA819" i="23"/>
  <c r="BZ819" i="23"/>
  <c r="BL819" i="23"/>
  <c r="BF819" i="23"/>
  <c r="AZ819" i="23"/>
  <c r="AT819" i="23"/>
  <c r="AN819" i="23"/>
  <c r="AH819" i="23"/>
  <c r="AB819" i="23"/>
  <c r="R819" i="23"/>
  <c r="L819" i="23"/>
  <c r="CC818" i="23"/>
  <c r="CB818" i="23"/>
  <c r="CA818" i="23"/>
  <c r="BZ818" i="23"/>
  <c r="BL818" i="23"/>
  <c r="BF818" i="23"/>
  <c r="AZ818" i="23"/>
  <c r="AT818" i="23"/>
  <c r="AN818" i="23"/>
  <c r="AH818" i="23"/>
  <c r="AB818" i="23"/>
  <c r="R818" i="23"/>
  <c r="L818" i="23"/>
  <c r="CC817" i="23"/>
  <c r="CB817" i="23"/>
  <c r="CA817" i="23"/>
  <c r="BZ817" i="23"/>
  <c r="BL817" i="23"/>
  <c r="BF817" i="23"/>
  <c r="AZ817" i="23"/>
  <c r="AT817" i="23"/>
  <c r="AN817" i="23"/>
  <c r="AH817" i="23"/>
  <c r="AB817" i="23"/>
  <c r="R817" i="23"/>
  <c r="L817" i="23"/>
  <c r="CC816" i="23"/>
  <c r="CB816" i="23"/>
  <c r="CA816" i="23"/>
  <c r="BZ816" i="23"/>
  <c r="BL816" i="23"/>
  <c r="BF816" i="23"/>
  <c r="AZ816" i="23"/>
  <c r="AT816" i="23"/>
  <c r="AN816" i="23"/>
  <c r="AH816" i="23"/>
  <c r="AB816" i="23"/>
  <c r="R816" i="23"/>
  <c r="L816" i="23"/>
  <c r="CC815" i="23"/>
  <c r="CB815" i="23"/>
  <c r="CA815" i="23"/>
  <c r="BZ815" i="23"/>
  <c r="BL815" i="23"/>
  <c r="BF815" i="23"/>
  <c r="AZ815" i="23"/>
  <c r="AT815" i="23"/>
  <c r="AN815" i="23"/>
  <c r="AH815" i="23"/>
  <c r="AB815" i="23"/>
  <c r="R815" i="23"/>
  <c r="L815" i="23"/>
  <c r="CC814" i="23"/>
  <c r="CB814" i="23"/>
  <c r="CA814" i="23"/>
  <c r="BZ814" i="23"/>
  <c r="BL814" i="23"/>
  <c r="BF814" i="23"/>
  <c r="AZ814" i="23"/>
  <c r="AT814" i="23"/>
  <c r="AN814" i="23"/>
  <c r="AH814" i="23"/>
  <c r="AB814" i="23"/>
  <c r="R814" i="23"/>
  <c r="L814" i="23"/>
  <c r="CC813" i="23"/>
  <c r="CB813" i="23"/>
  <c r="CA813" i="23"/>
  <c r="BZ813" i="23"/>
  <c r="BL813" i="23"/>
  <c r="BF813" i="23"/>
  <c r="AZ813" i="23"/>
  <c r="AT813" i="23"/>
  <c r="AN813" i="23"/>
  <c r="AH813" i="23"/>
  <c r="AB813" i="23"/>
  <c r="R813" i="23"/>
  <c r="L813" i="23"/>
  <c r="CC812" i="23"/>
  <c r="CB812" i="23"/>
  <c r="CA812" i="23"/>
  <c r="BZ812" i="23"/>
  <c r="BL812" i="23"/>
  <c r="BF812" i="23"/>
  <c r="AZ812" i="23"/>
  <c r="AT812" i="23"/>
  <c r="AN812" i="23"/>
  <c r="AH812" i="23"/>
  <c r="AB812" i="23"/>
  <c r="R812" i="23"/>
  <c r="L812" i="23"/>
  <c r="CC811" i="23"/>
  <c r="CB811" i="23"/>
  <c r="CA811" i="23"/>
  <c r="BZ811" i="23"/>
  <c r="BL811" i="23"/>
  <c r="BF811" i="23"/>
  <c r="AZ811" i="23"/>
  <c r="AT811" i="23"/>
  <c r="AN811" i="23"/>
  <c r="AH811" i="23"/>
  <c r="AB811" i="23"/>
  <c r="R811" i="23"/>
  <c r="L811" i="23"/>
  <c r="CC810" i="23"/>
  <c r="CB810" i="23"/>
  <c r="CA810" i="23"/>
  <c r="BZ810" i="23"/>
  <c r="BL810" i="23"/>
  <c r="BF810" i="23"/>
  <c r="AZ810" i="23"/>
  <c r="AT810" i="23"/>
  <c r="AN810" i="23"/>
  <c r="AH810" i="23"/>
  <c r="AB810" i="23"/>
  <c r="R810" i="23"/>
  <c r="L810" i="23"/>
  <c r="CC809" i="23"/>
  <c r="CB809" i="23"/>
  <c r="CA809" i="23"/>
  <c r="BZ809" i="23"/>
  <c r="BL809" i="23"/>
  <c r="BF809" i="23"/>
  <c r="AZ809" i="23"/>
  <c r="AT809" i="23"/>
  <c r="AN809" i="23"/>
  <c r="AH809" i="23"/>
  <c r="AB809" i="23"/>
  <c r="R809" i="23"/>
  <c r="L809" i="23"/>
  <c r="CC808" i="23"/>
  <c r="CB808" i="23"/>
  <c r="CA808" i="23"/>
  <c r="BZ808" i="23"/>
  <c r="BL808" i="23"/>
  <c r="BF808" i="23"/>
  <c r="AZ808" i="23"/>
  <c r="AT808" i="23"/>
  <c r="AN808" i="23"/>
  <c r="AH808" i="23"/>
  <c r="AB808" i="23"/>
  <c r="R808" i="23"/>
  <c r="L808" i="23"/>
  <c r="CC807" i="23"/>
  <c r="CB807" i="23"/>
  <c r="CA807" i="23"/>
  <c r="BZ807" i="23"/>
  <c r="BL807" i="23"/>
  <c r="BF807" i="23"/>
  <c r="AZ807" i="23"/>
  <c r="AT807" i="23"/>
  <c r="AN807" i="23"/>
  <c r="AH807" i="23"/>
  <c r="AB807" i="23"/>
  <c r="R807" i="23"/>
  <c r="L807" i="23"/>
  <c r="CC806" i="23"/>
  <c r="CB806" i="23"/>
  <c r="CA806" i="23"/>
  <c r="BZ806" i="23"/>
  <c r="BL806" i="23"/>
  <c r="BF806" i="23"/>
  <c r="AZ806" i="23"/>
  <c r="AT806" i="23"/>
  <c r="AN806" i="23"/>
  <c r="AH806" i="23"/>
  <c r="AB806" i="23"/>
  <c r="R806" i="23"/>
  <c r="L806" i="23"/>
  <c r="CC805" i="23"/>
  <c r="CB805" i="23"/>
  <c r="CA805" i="23"/>
  <c r="BZ805" i="23"/>
  <c r="BL805" i="23"/>
  <c r="BF805" i="23"/>
  <c r="AZ805" i="23"/>
  <c r="AT805" i="23"/>
  <c r="AN805" i="23"/>
  <c r="AH805" i="23"/>
  <c r="AB805" i="23"/>
  <c r="R805" i="23"/>
  <c r="L805" i="23"/>
  <c r="CC804" i="23"/>
  <c r="CB804" i="23"/>
  <c r="CA804" i="23"/>
  <c r="BZ804" i="23"/>
  <c r="BL804" i="23"/>
  <c r="BF804" i="23"/>
  <c r="AZ804" i="23"/>
  <c r="AT804" i="23"/>
  <c r="AN804" i="23"/>
  <c r="AH804" i="23"/>
  <c r="AB804" i="23"/>
  <c r="R804" i="23"/>
  <c r="L804" i="23"/>
  <c r="CC803" i="23"/>
  <c r="CB803" i="23"/>
  <c r="CA803" i="23"/>
  <c r="BZ803" i="23"/>
  <c r="BL803" i="23"/>
  <c r="BF803" i="23"/>
  <c r="AZ803" i="23"/>
  <c r="AT803" i="23"/>
  <c r="AN803" i="23"/>
  <c r="AH803" i="23"/>
  <c r="AB803" i="23"/>
  <c r="R803" i="23"/>
  <c r="L803" i="23"/>
  <c r="CC802" i="23"/>
  <c r="CB802" i="23"/>
  <c r="CA802" i="23"/>
  <c r="BZ802" i="23"/>
  <c r="BL802" i="23"/>
  <c r="BF802" i="23"/>
  <c r="AZ802" i="23"/>
  <c r="AT802" i="23"/>
  <c r="AN802" i="23"/>
  <c r="AH802" i="23"/>
  <c r="AB802" i="23"/>
  <c r="R802" i="23"/>
  <c r="L802" i="23"/>
  <c r="CC801" i="23"/>
  <c r="CB801" i="23"/>
  <c r="CA801" i="23"/>
  <c r="BZ801" i="23"/>
  <c r="BL801" i="23"/>
  <c r="BF801" i="23"/>
  <c r="AZ801" i="23"/>
  <c r="AT801" i="23"/>
  <c r="AN801" i="23"/>
  <c r="AH801" i="23"/>
  <c r="AB801" i="23"/>
  <c r="R801" i="23"/>
  <c r="L801" i="23"/>
  <c r="CC800" i="23"/>
  <c r="CB800" i="23"/>
  <c r="CA800" i="23"/>
  <c r="BZ800" i="23"/>
  <c r="BL800" i="23"/>
  <c r="BF800" i="23"/>
  <c r="AZ800" i="23"/>
  <c r="AT800" i="23"/>
  <c r="AN800" i="23"/>
  <c r="AH800" i="23"/>
  <c r="AB800" i="23"/>
  <c r="R800" i="23"/>
  <c r="L800" i="23"/>
  <c r="CC799" i="23"/>
  <c r="CB799" i="23"/>
  <c r="CA799" i="23"/>
  <c r="BZ799" i="23"/>
  <c r="BL799" i="23"/>
  <c r="BF799" i="23"/>
  <c r="AZ799" i="23"/>
  <c r="AT799" i="23"/>
  <c r="AN799" i="23"/>
  <c r="AH799" i="23"/>
  <c r="AB799" i="23"/>
  <c r="R799" i="23"/>
  <c r="L799" i="23"/>
  <c r="CC798" i="23"/>
  <c r="CB798" i="23"/>
  <c r="CA798" i="23"/>
  <c r="BZ798" i="23"/>
  <c r="BL798" i="23"/>
  <c r="BF798" i="23"/>
  <c r="AZ798" i="23"/>
  <c r="AT798" i="23"/>
  <c r="AN798" i="23"/>
  <c r="AH798" i="23"/>
  <c r="AB798" i="23"/>
  <c r="R798" i="23"/>
  <c r="L798" i="23"/>
  <c r="CC797" i="23"/>
  <c r="CB797" i="23"/>
  <c r="CA797" i="23"/>
  <c r="BZ797" i="23"/>
  <c r="BL797" i="23"/>
  <c r="BF797" i="23"/>
  <c r="AZ797" i="23"/>
  <c r="AT797" i="23"/>
  <c r="AN797" i="23"/>
  <c r="AH797" i="23"/>
  <c r="AB797" i="23"/>
  <c r="R797" i="23"/>
  <c r="L797" i="23"/>
  <c r="CC796" i="23"/>
  <c r="CB796" i="23"/>
  <c r="CA796" i="23"/>
  <c r="BZ796" i="23"/>
  <c r="BL796" i="23"/>
  <c r="BF796" i="23"/>
  <c r="AZ796" i="23"/>
  <c r="AT796" i="23"/>
  <c r="AN796" i="23"/>
  <c r="AH796" i="23"/>
  <c r="AB796" i="23"/>
  <c r="R796" i="23"/>
  <c r="L796" i="23"/>
  <c r="CC795" i="23"/>
  <c r="CB795" i="23"/>
  <c r="CA795" i="23"/>
  <c r="BZ795" i="23"/>
  <c r="BL795" i="23"/>
  <c r="BF795" i="23"/>
  <c r="AZ795" i="23"/>
  <c r="AT795" i="23"/>
  <c r="AN795" i="23"/>
  <c r="AH795" i="23"/>
  <c r="AB795" i="23"/>
  <c r="R795" i="23"/>
  <c r="L795" i="23"/>
  <c r="CC794" i="23"/>
  <c r="CB794" i="23"/>
  <c r="CA794" i="23"/>
  <c r="BZ794" i="23"/>
  <c r="BL794" i="23"/>
  <c r="BF794" i="23"/>
  <c r="AZ794" i="23"/>
  <c r="AT794" i="23"/>
  <c r="AN794" i="23"/>
  <c r="AH794" i="23"/>
  <c r="AB794" i="23"/>
  <c r="R794" i="23"/>
  <c r="L794" i="23"/>
  <c r="CC793" i="23"/>
  <c r="CB793" i="23"/>
  <c r="CA793" i="23"/>
  <c r="BZ793" i="23"/>
  <c r="BL793" i="23"/>
  <c r="BF793" i="23"/>
  <c r="AZ793" i="23"/>
  <c r="AT793" i="23"/>
  <c r="AN793" i="23"/>
  <c r="AH793" i="23"/>
  <c r="AB793" i="23"/>
  <c r="R793" i="23"/>
  <c r="L793" i="23"/>
  <c r="CC792" i="23"/>
  <c r="CB792" i="23"/>
  <c r="CA792" i="23"/>
  <c r="BZ792" i="23"/>
  <c r="BL792" i="23"/>
  <c r="BF792" i="23"/>
  <c r="AZ792" i="23"/>
  <c r="AT792" i="23"/>
  <c r="AN792" i="23"/>
  <c r="AH792" i="23"/>
  <c r="AB792" i="23"/>
  <c r="R792" i="23"/>
  <c r="L792" i="23"/>
  <c r="CC791" i="23"/>
  <c r="CB791" i="23"/>
  <c r="CA791" i="23"/>
  <c r="BZ791" i="23"/>
  <c r="BL791" i="23"/>
  <c r="BF791" i="23"/>
  <c r="AZ791" i="23"/>
  <c r="AT791" i="23"/>
  <c r="AN791" i="23"/>
  <c r="AH791" i="23"/>
  <c r="AB791" i="23"/>
  <c r="R791" i="23"/>
  <c r="L791" i="23"/>
  <c r="CC790" i="23"/>
  <c r="CB790" i="23"/>
  <c r="CA790" i="23"/>
  <c r="BZ790" i="23"/>
  <c r="BL790" i="23"/>
  <c r="BF790" i="23"/>
  <c r="AZ790" i="23"/>
  <c r="AT790" i="23"/>
  <c r="AN790" i="23"/>
  <c r="AH790" i="23"/>
  <c r="AB790" i="23"/>
  <c r="R790" i="23"/>
  <c r="L790" i="23"/>
  <c r="CC789" i="23"/>
  <c r="CB789" i="23"/>
  <c r="CA789" i="23"/>
  <c r="BZ789" i="23"/>
  <c r="BL789" i="23"/>
  <c r="BF789" i="23"/>
  <c r="AZ789" i="23"/>
  <c r="AT789" i="23"/>
  <c r="AN789" i="23"/>
  <c r="AH789" i="23"/>
  <c r="AB789" i="23"/>
  <c r="R789" i="23"/>
  <c r="L789" i="23"/>
  <c r="CC727" i="23"/>
  <c r="CB727" i="23"/>
  <c r="CA727" i="23"/>
  <c r="BZ727" i="23"/>
  <c r="BL727" i="23"/>
  <c r="BF727" i="23"/>
  <c r="AZ727" i="23"/>
  <c r="AT727" i="23"/>
  <c r="AN727" i="23"/>
  <c r="AH727" i="23"/>
  <c r="AB727" i="23"/>
  <c r="R727" i="23"/>
  <c r="L727" i="23"/>
  <c r="CC726" i="23"/>
  <c r="CB726" i="23"/>
  <c r="CA726" i="23"/>
  <c r="BZ726" i="23"/>
  <c r="BL726" i="23"/>
  <c r="BF726" i="23"/>
  <c r="AZ726" i="23"/>
  <c r="AT726" i="23"/>
  <c r="AN726" i="23"/>
  <c r="AH726" i="23"/>
  <c r="AB726" i="23"/>
  <c r="R726" i="23"/>
  <c r="L726" i="23"/>
  <c r="CC725" i="23"/>
  <c r="CB725" i="23"/>
  <c r="CA725" i="23"/>
  <c r="BZ725" i="23"/>
  <c r="BL725" i="23"/>
  <c r="BF725" i="23"/>
  <c r="AZ725" i="23"/>
  <c r="AT725" i="23"/>
  <c r="AN725" i="23"/>
  <c r="AH725" i="23"/>
  <c r="AB725" i="23"/>
  <c r="R725" i="23"/>
  <c r="L725" i="23"/>
  <c r="CC724" i="23"/>
  <c r="CB724" i="23"/>
  <c r="CA724" i="23"/>
  <c r="BZ724" i="23"/>
  <c r="BL724" i="23"/>
  <c r="BF724" i="23"/>
  <c r="AZ724" i="23"/>
  <c r="AT724" i="23"/>
  <c r="AN724" i="23"/>
  <c r="AH724" i="23"/>
  <c r="AB724" i="23"/>
  <c r="R724" i="23"/>
  <c r="L724" i="23"/>
  <c r="CC723" i="23"/>
  <c r="CB723" i="23"/>
  <c r="CA723" i="23"/>
  <c r="BZ723" i="23"/>
  <c r="BL723" i="23"/>
  <c r="BF723" i="23"/>
  <c r="AZ723" i="23"/>
  <c r="AT723" i="23"/>
  <c r="AN723" i="23"/>
  <c r="AH723" i="23"/>
  <c r="AB723" i="23"/>
  <c r="R723" i="23"/>
  <c r="L723" i="23"/>
  <c r="CC722" i="23"/>
  <c r="CB722" i="23"/>
  <c r="CA722" i="23"/>
  <c r="BZ722" i="23"/>
  <c r="BL722" i="23"/>
  <c r="BF722" i="23"/>
  <c r="AZ722" i="23"/>
  <c r="AT722" i="23"/>
  <c r="AN722" i="23"/>
  <c r="AH722" i="23"/>
  <c r="AB722" i="23"/>
  <c r="R722" i="23"/>
  <c r="L722" i="23"/>
  <c r="CC721" i="23"/>
  <c r="CB721" i="23"/>
  <c r="CA721" i="23"/>
  <c r="BZ721" i="23"/>
  <c r="BL721" i="23"/>
  <c r="BF721" i="23"/>
  <c r="AZ721" i="23"/>
  <c r="AT721" i="23"/>
  <c r="AN721" i="23"/>
  <c r="AH721" i="23"/>
  <c r="AB721" i="23"/>
  <c r="R721" i="23"/>
  <c r="L721" i="23"/>
  <c r="CC720" i="23"/>
  <c r="CB720" i="23"/>
  <c r="CA720" i="23"/>
  <c r="BZ720" i="23"/>
  <c r="BL720" i="23"/>
  <c r="BF720" i="23"/>
  <c r="AZ720" i="23"/>
  <c r="AT720" i="23"/>
  <c r="AN720" i="23"/>
  <c r="AH720" i="23"/>
  <c r="AB720" i="23"/>
  <c r="R720" i="23"/>
  <c r="L720" i="23"/>
  <c r="CC719" i="23"/>
  <c r="CB719" i="23"/>
  <c r="CA719" i="23"/>
  <c r="BZ719" i="23"/>
  <c r="BL719" i="23"/>
  <c r="BF719" i="23"/>
  <c r="AZ719" i="23"/>
  <c r="AT719" i="23"/>
  <c r="AN719" i="23"/>
  <c r="AH719" i="23"/>
  <c r="AB719" i="23"/>
  <c r="R719" i="23"/>
  <c r="L719" i="23"/>
  <c r="CC718" i="23"/>
  <c r="CB718" i="23"/>
  <c r="CA718" i="23"/>
  <c r="BZ718" i="23"/>
  <c r="BL718" i="23"/>
  <c r="BF718" i="23"/>
  <c r="AZ718" i="23"/>
  <c r="AT718" i="23"/>
  <c r="AN718" i="23"/>
  <c r="AH718" i="23"/>
  <c r="AB718" i="23"/>
  <c r="R718" i="23"/>
  <c r="L718" i="23"/>
  <c r="CC717" i="23"/>
  <c r="CB717" i="23"/>
  <c r="CA717" i="23"/>
  <c r="BZ717" i="23"/>
  <c r="BL717" i="23"/>
  <c r="BF717" i="23"/>
  <c r="AZ717" i="23"/>
  <c r="AT717" i="23"/>
  <c r="AN717" i="23"/>
  <c r="AH717" i="23"/>
  <c r="AB717" i="23"/>
  <c r="R717" i="23"/>
  <c r="L717" i="23"/>
  <c r="CC716" i="23"/>
  <c r="CB716" i="23"/>
  <c r="CA716" i="23"/>
  <c r="BZ716" i="23"/>
  <c r="BL716" i="23"/>
  <c r="BF716" i="23"/>
  <c r="AZ716" i="23"/>
  <c r="AT716" i="23"/>
  <c r="AN716" i="23"/>
  <c r="AH716" i="23"/>
  <c r="AB716" i="23"/>
  <c r="R716" i="23"/>
  <c r="L716" i="23"/>
  <c r="CC715" i="23"/>
  <c r="CB715" i="23"/>
  <c r="CA715" i="23"/>
  <c r="BZ715" i="23"/>
  <c r="BL715" i="23"/>
  <c r="BF715" i="23"/>
  <c r="AZ715" i="23"/>
  <c r="AT715" i="23"/>
  <c r="AN715" i="23"/>
  <c r="AH715" i="23"/>
  <c r="AB715" i="23"/>
  <c r="R715" i="23"/>
  <c r="L715" i="23"/>
  <c r="CC714" i="23"/>
  <c r="CB714" i="23"/>
  <c r="CA714" i="23"/>
  <c r="BZ714" i="23"/>
  <c r="BL714" i="23"/>
  <c r="BF714" i="23"/>
  <c r="AZ714" i="23"/>
  <c r="AT714" i="23"/>
  <c r="AN714" i="23"/>
  <c r="AH714" i="23"/>
  <c r="AB714" i="23"/>
  <c r="R714" i="23"/>
  <c r="L714" i="23"/>
  <c r="CC713" i="23"/>
  <c r="CB713" i="23"/>
  <c r="CA713" i="23"/>
  <c r="BZ713" i="23"/>
  <c r="BL713" i="23"/>
  <c r="BF713" i="23"/>
  <c r="AZ713" i="23"/>
  <c r="AT713" i="23"/>
  <c r="AN713" i="23"/>
  <c r="AH713" i="23"/>
  <c r="AB713" i="23"/>
  <c r="R713" i="23"/>
  <c r="L713" i="23"/>
  <c r="CC712" i="23"/>
  <c r="CB712" i="23"/>
  <c r="CA712" i="23"/>
  <c r="BZ712" i="23"/>
  <c r="BL712" i="23"/>
  <c r="BF712" i="23"/>
  <c r="AZ712" i="23"/>
  <c r="AT712" i="23"/>
  <c r="AN712" i="23"/>
  <c r="AH712" i="23"/>
  <c r="AB712" i="23"/>
  <c r="R712" i="23"/>
  <c r="L712" i="23"/>
  <c r="CC711" i="23"/>
  <c r="CB711" i="23"/>
  <c r="CA711" i="23"/>
  <c r="BZ711" i="23"/>
  <c r="BL711" i="23"/>
  <c r="BF711" i="23"/>
  <c r="AZ711" i="23"/>
  <c r="AT711" i="23"/>
  <c r="AN711" i="23"/>
  <c r="AH711" i="23"/>
  <c r="AB711" i="23"/>
  <c r="R711" i="23"/>
  <c r="L711" i="23"/>
  <c r="CC710" i="23"/>
  <c r="CB710" i="23"/>
  <c r="CA710" i="23"/>
  <c r="BZ710" i="23"/>
  <c r="BL710" i="23"/>
  <c r="BF710" i="23"/>
  <c r="AZ710" i="23"/>
  <c r="AT710" i="23"/>
  <c r="AN710" i="23"/>
  <c r="AH710" i="23"/>
  <c r="AB710" i="23"/>
  <c r="R710" i="23"/>
  <c r="L710" i="23"/>
  <c r="CC709" i="23"/>
  <c r="CB709" i="23"/>
  <c r="CA709" i="23"/>
  <c r="BZ709" i="23"/>
  <c r="BL709" i="23"/>
  <c r="BF709" i="23"/>
  <c r="AZ709" i="23"/>
  <c r="AT709" i="23"/>
  <c r="AN709" i="23"/>
  <c r="AH709" i="23"/>
  <c r="AB709" i="23"/>
  <c r="R709" i="23"/>
  <c r="L709" i="23"/>
  <c r="CC708" i="23"/>
  <c r="CB708" i="23"/>
  <c r="CA708" i="23"/>
  <c r="BZ708" i="23"/>
  <c r="BL708" i="23"/>
  <c r="BF708" i="23"/>
  <c r="AZ708" i="23"/>
  <c r="AT708" i="23"/>
  <c r="AN708" i="23"/>
  <c r="AH708" i="23"/>
  <c r="AB708" i="23"/>
  <c r="R708" i="23"/>
  <c r="L708" i="23"/>
  <c r="CC707" i="23"/>
  <c r="CB707" i="23"/>
  <c r="CA707" i="23"/>
  <c r="BZ707" i="23"/>
  <c r="BL707" i="23"/>
  <c r="BF707" i="23"/>
  <c r="AZ707" i="23"/>
  <c r="AT707" i="23"/>
  <c r="AN707" i="23"/>
  <c r="AH707" i="23"/>
  <c r="AB707" i="23"/>
  <c r="R707" i="23"/>
  <c r="L707" i="23"/>
  <c r="CC706" i="23"/>
  <c r="CB706" i="23"/>
  <c r="CA706" i="23"/>
  <c r="BZ706" i="23"/>
  <c r="BL706" i="23"/>
  <c r="BF706" i="23"/>
  <c r="AZ706" i="23"/>
  <c r="AT706" i="23"/>
  <c r="AN706" i="23"/>
  <c r="AH706" i="23"/>
  <c r="AB706" i="23"/>
  <c r="R706" i="23"/>
  <c r="L706" i="23"/>
  <c r="CC705" i="23"/>
  <c r="CB705" i="23"/>
  <c r="CA705" i="23"/>
  <c r="BZ705" i="23"/>
  <c r="BL705" i="23"/>
  <c r="BF705" i="23"/>
  <c r="AZ705" i="23"/>
  <c r="AT705" i="23"/>
  <c r="AN705" i="23"/>
  <c r="AH705" i="23"/>
  <c r="AB705" i="23"/>
  <c r="R705" i="23"/>
  <c r="L705" i="23"/>
  <c r="CC704" i="23"/>
  <c r="CB704" i="23"/>
  <c r="CA704" i="23"/>
  <c r="BZ704" i="23"/>
  <c r="BL704" i="23"/>
  <c r="BF704" i="23"/>
  <c r="AZ704" i="23"/>
  <c r="AT704" i="23"/>
  <c r="AN704" i="23"/>
  <c r="AH704" i="23"/>
  <c r="AB704" i="23"/>
  <c r="R704" i="23"/>
  <c r="L704" i="23"/>
  <c r="CC703" i="23"/>
  <c r="CB703" i="23"/>
  <c r="CA703" i="23"/>
  <c r="BZ703" i="23"/>
  <c r="BL703" i="23"/>
  <c r="BF703" i="23"/>
  <c r="AZ703" i="23"/>
  <c r="AT703" i="23"/>
  <c r="AN703" i="23"/>
  <c r="AH703" i="23"/>
  <c r="AB703" i="23"/>
  <c r="R703" i="23"/>
  <c r="L703" i="23"/>
  <c r="CC702" i="23"/>
  <c r="CB702" i="23"/>
  <c r="CA702" i="23"/>
  <c r="BZ702" i="23"/>
  <c r="BL702" i="23"/>
  <c r="BF702" i="23"/>
  <c r="AZ702" i="23"/>
  <c r="AT702" i="23"/>
  <c r="AN702" i="23"/>
  <c r="AH702" i="23"/>
  <c r="AB702" i="23"/>
  <c r="R702" i="23"/>
  <c r="L702" i="23"/>
  <c r="CC701" i="23"/>
  <c r="CB701" i="23"/>
  <c r="CA701" i="23"/>
  <c r="BZ701" i="23"/>
  <c r="BL701" i="23"/>
  <c r="BF701" i="23"/>
  <c r="AZ701" i="23"/>
  <c r="AT701" i="23"/>
  <c r="AN701" i="23"/>
  <c r="AH701" i="23"/>
  <c r="AB701" i="23"/>
  <c r="R701" i="23"/>
  <c r="L701" i="23"/>
  <c r="CC700" i="23"/>
  <c r="CB700" i="23"/>
  <c r="CA700" i="23"/>
  <c r="BZ700" i="23"/>
  <c r="BL700" i="23"/>
  <c r="BF700" i="23"/>
  <c r="AZ700" i="23"/>
  <c r="AT700" i="23"/>
  <c r="AN700" i="23"/>
  <c r="AH700" i="23"/>
  <c r="AB700" i="23"/>
  <c r="R700" i="23"/>
  <c r="L700" i="23"/>
  <c r="CC699" i="23"/>
  <c r="CB699" i="23"/>
  <c r="CA699" i="23"/>
  <c r="BZ699" i="23"/>
  <c r="BL699" i="23"/>
  <c r="BF699" i="23"/>
  <c r="AZ699" i="23"/>
  <c r="AT699" i="23"/>
  <c r="AN699" i="23"/>
  <c r="AH699" i="23"/>
  <c r="AB699" i="23"/>
  <c r="R699" i="23"/>
  <c r="L699" i="23"/>
  <c r="CC698" i="23"/>
  <c r="CB698" i="23"/>
  <c r="CA698" i="23"/>
  <c r="BZ698" i="23"/>
  <c r="BL698" i="23"/>
  <c r="BF698" i="23"/>
  <c r="AZ698" i="23"/>
  <c r="AT698" i="23"/>
  <c r="AN698" i="23"/>
  <c r="AH698" i="23"/>
  <c r="AB698" i="23"/>
  <c r="R698" i="23"/>
  <c r="L698" i="23"/>
  <c r="CC697" i="23"/>
  <c r="CB697" i="23"/>
  <c r="CA697" i="23"/>
  <c r="BZ697" i="23"/>
  <c r="BL697" i="23"/>
  <c r="BF697" i="23"/>
  <c r="AZ697" i="23"/>
  <c r="AT697" i="23"/>
  <c r="AN697" i="23"/>
  <c r="AH697" i="23"/>
  <c r="AB697" i="23"/>
  <c r="R697" i="23"/>
  <c r="L697" i="23"/>
  <c r="CC696" i="23"/>
  <c r="CB696" i="23"/>
  <c r="CA696" i="23"/>
  <c r="BZ696" i="23"/>
  <c r="BL696" i="23"/>
  <c r="BF696" i="23"/>
  <c r="AZ696" i="23"/>
  <c r="AT696" i="23"/>
  <c r="AN696" i="23"/>
  <c r="AH696" i="23"/>
  <c r="AB696" i="23"/>
  <c r="R696" i="23"/>
  <c r="L696" i="23"/>
  <c r="CC695" i="23"/>
  <c r="CB695" i="23"/>
  <c r="CA695" i="23"/>
  <c r="BZ695" i="23"/>
  <c r="BL695" i="23"/>
  <c r="BF695" i="23"/>
  <c r="AZ695" i="23"/>
  <c r="AT695" i="23"/>
  <c r="AN695" i="23"/>
  <c r="AH695" i="23"/>
  <c r="AB695" i="23"/>
  <c r="R695" i="23"/>
  <c r="L695" i="23"/>
  <c r="CC694" i="23"/>
  <c r="CB694" i="23"/>
  <c r="CA694" i="23"/>
  <c r="BZ694" i="23"/>
  <c r="BL694" i="23"/>
  <c r="BF694" i="23"/>
  <c r="AZ694" i="23"/>
  <c r="AT694" i="23"/>
  <c r="AN694" i="23"/>
  <c r="AH694" i="23"/>
  <c r="AB694" i="23"/>
  <c r="R694" i="23"/>
  <c r="L694" i="23"/>
  <c r="CC693" i="23"/>
  <c r="CB693" i="23"/>
  <c r="CA693" i="23"/>
  <c r="BZ693" i="23"/>
  <c r="BL693" i="23"/>
  <c r="BF693" i="23"/>
  <c r="AZ693" i="23"/>
  <c r="AT693" i="23"/>
  <c r="AN693" i="23"/>
  <c r="AH693" i="23"/>
  <c r="AB693" i="23"/>
  <c r="R693" i="23"/>
  <c r="L693" i="23"/>
  <c r="CC692" i="23"/>
  <c r="CB692" i="23"/>
  <c r="CA692" i="23"/>
  <c r="BZ692" i="23"/>
  <c r="BL692" i="23"/>
  <c r="BF692" i="23"/>
  <c r="AZ692" i="23"/>
  <c r="AT692" i="23"/>
  <c r="AN692" i="23"/>
  <c r="AH692" i="23"/>
  <c r="AB692" i="23"/>
  <c r="R692" i="23"/>
  <c r="L692" i="23"/>
  <c r="CC691" i="23"/>
  <c r="CB691" i="23"/>
  <c r="CA691" i="23"/>
  <c r="BZ691" i="23"/>
  <c r="BL691" i="23"/>
  <c r="BF691" i="23"/>
  <c r="AZ691" i="23"/>
  <c r="AT691" i="23"/>
  <c r="AN691" i="23"/>
  <c r="AH691" i="23"/>
  <c r="AB691" i="23"/>
  <c r="R691" i="23"/>
  <c r="L691" i="23"/>
  <c r="CC690" i="23"/>
  <c r="CB690" i="23"/>
  <c r="CA690" i="23"/>
  <c r="BZ690" i="23"/>
  <c r="BL690" i="23"/>
  <c r="BF690" i="23"/>
  <c r="AZ690" i="23"/>
  <c r="AT690" i="23"/>
  <c r="AN690" i="23"/>
  <c r="AH690" i="23"/>
  <c r="AB690" i="23"/>
  <c r="R690" i="23"/>
  <c r="L690" i="23"/>
  <c r="CC689" i="23"/>
  <c r="CB689" i="23"/>
  <c r="CA689" i="23"/>
  <c r="BZ689" i="23"/>
  <c r="BL689" i="23"/>
  <c r="BF689" i="23"/>
  <c r="AZ689" i="23"/>
  <c r="AT689" i="23"/>
  <c r="AN689" i="23"/>
  <c r="AH689" i="23"/>
  <c r="AB689" i="23"/>
  <c r="R689" i="23"/>
  <c r="L689" i="23"/>
  <c r="CD704" i="23" l="1"/>
  <c r="CD712" i="23"/>
  <c r="CE712" i="23" s="1"/>
  <c r="CD720" i="23"/>
  <c r="CE720" i="23" s="1"/>
  <c r="CD807" i="23"/>
  <c r="CE807" i="23" s="1"/>
  <c r="CD815" i="23"/>
  <c r="CE815" i="23" s="1"/>
  <c r="CD869" i="23"/>
  <c r="CD722" i="23"/>
  <c r="CE722" i="23" s="1"/>
  <c r="CD791" i="23"/>
  <c r="CE791" i="23" s="1"/>
  <c r="CD799" i="23"/>
  <c r="CE799" i="23" s="1"/>
  <c r="CD710" i="23"/>
  <c r="CE710" i="23" s="1"/>
  <c r="CD718" i="23"/>
  <c r="CE718" i="23" s="1"/>
  <c r="CE702" i="23"/>
  <c r="CD726" i="23"/>
  <c r="CE726" i="23" s="1"/>
  <c r="CD698" i="23"/>
  <c r="CE698" i="23" s="1"/>
  <c r="CD706" i="23"/>
  <c r="CE706" i="23" s="1"/>
  <c r="CD714" i="23"/>
  <c r="CE714" i="23" s="1"/>
  <c r="CD863" i="23"/>
  <c r="CE863" i="23" s="1"/>
  <c r="CD700" i="23"/>
  <c r="CE700" i="23" s="1"/>
  <c r="CE708" i="23"/>
  <c r="CE716" i="23"/>
  <c r="CE724" i="23"/>
  <c r="CD793" i="23"/>
  <c r="CE793" i="23" s="1"/>
  <c r="CD801" i="23"/>
  <c r="CE801" i="23" s="1"/>
  <c r="CD689" i="23"/>
  <c r="CD809" i="23"/>
  <c r="CD817" i="23"/>
  <c r="CD865" i="23"/>
  <c r="CE865" i="23" s="1"/>
  <c r="CD789" i="23"/>
  <c r="CD794" i="23"/>
  <c r="CE794" i="23" s="1"/>
  <c r="CD796" i="23"/>
  <c r="CE796" i="23" s="1"/>
  <c r="CD797" i="23"/>
  <c r="CD802" i="23"/>
  <c r="CE802" i="23" s="1"/>
  <c r="CE804" i="23"/>
  <c r="CD805" i="23"/>
  <c r="CE805" i="23" s="1"/>
  <c r="CE810" i="23"/>
  <c r="CE812" i="23"/>
  <c r="CD813" i="23"/>
  <c r="CE813" i="23" s="1"/>
  <c r="CD818" i="23"/>
  <c r="CE818" i="23" s="1"/>
  <c r="CD820" i="23"/>
  <c r="CE820" i="23" s="1"/>
  <c r="CD821" i="23"/>
  <c r="CE821" i="23" s="1"/>
  <c r="CD866" i="23"/>
  <c r="CE866" i="23" s="1"/>
  <c r="CD868" i="23"/>
  <c r="CE868" i="23" s="1"/>
  <c r="CD870" i="23"/>
  <c r="CE870" i="23" s="1"/>
  <c r="CD872" i="23"/>
  <c r="CE872" i="23" s="1"/>
  <c r="CD790" i="23"/>
  <c r="CE790" i="23" s="1"/>
  <c r="CD792" i="23"/>
  <c r="CE792" i="23" s="1"/>
  <c r="CD795" i="23"/>
  <c r="CE795" i="23" s="1"/>
  <c r="CE798" i="23"/>
  <c r="CD800" i="23"/>
  <c r="CE800" i="23" s="1"/>
  <c r="CD803" i="23"/>
  <c r="CE803" i="23" s="1"/>
  <c r="CD806" i="23"/>
  <c r="CE806" i="23" s="1"/>
  <c r="CD808" i="23"/>
  <c r="CE808" i="23" s="1"/>
  <c r="CD811" i="23"/>
  <c r="CE811" i="23" s="1"/>
  <c r="CD814" i="23"/>
  <c r="CE814" i="23" s="1"/>
  <c r="CD816" i="23"/>
  <c r="CE816" i="23" s="1"/>
  <c r="CD819" i="23"/>
  <c r="CE819" i="23" s="1"/>
  <c r="CD862" i="23"/>
  <c r="CD864" i="23"/>
  <c r="CE864" i="23" s="1"/>
  <c r="CD867" i="23"/>
  <c r="CE867" i="23" s="1"/>
  <c r="CD871" i="23"/>
  <c r="CE871" i="23" s="1"/>
  <c r="CD697" i="23"/>
  <c r="CE697" i="23" s="1"/>
  <c r="CE705" i="23"/>
  <c r="CD713" i="23"/>
  <c r="CE713" i="23" s="1"/>
  <c r="CD721" i="23"/>
  <c r="CE721" i="23" s="1"/>
  <c r="CD691" i="23"/>
  <c r="CE691" i="23" s="1"/>
  <c r="CD699" i="23"/>
  <c r="CD707" i="23"/>
  <c r="CE715" i="23"/>
  <c r="CD723" i="23"/>
  <c r="CD693" i="23"/>
  <c r="CE693" i="23" s="1"/>
  <c r="CD701" i="23"/>
  <c r="CE701" i="23" s="1"/>
  <c r="CD709" i="23"/>
  <c r="CE709" i="23" s="1"/>
  <c r="CD717" i="23"/>
  <c r="CD725" i="23"/>
  <c r="CE725" i="23" s="1"/>
  <c r="CD695" i="23"/>
  <c r="CE695" i="23" s="1"/>
  <c r="CD703" i="23"/>
  <c r="CE703" i="23" s="1"/>
  <c r="CD711" i="23"/>
  <c r="CE711" i="23" s="1"/>
  <c r="CE719" i="23"/>
  <c r="CD727" i="23"/>
  <c r="CE727" i="23" s="1"/>
  <c r="CD690" i="23"/>
  <c r="CE690" i="23" s="1"/>
  <c r="CD692" i="23"/>
  <c r="CE692" i="23" s="1"/>
  <c r="CD694" i="23"/>
  <c r="CE694" i="23" s="1"/>
  <c r="CD696" i="23"/>
  <c r="J434" i="23"/>
  <c r="K453" i="23"/>
  <c r="J453" i="23"/>
  <c r="I453" i="23"/>
  <c r="K452" i="23"/>
  <c r="J452" i="23"/>
  <c r="I452" i="23"/>
  <c r="K451" i="23"/>
  <c r="J451" i="23"/>
  <c r="I451" i="23"/>
  <c r="CE696" i="23" l="1"/>
  <c r="CE689" i="23"/>
  <c r="CE717" i="23"/>
  <c r="CE723" i="23"/>
  <c r="CE707" i="23"/>
  <c r="CE699" i="23"/>
  <c r="CE862" i="23"/>
  <c r="CE797" i="23"/>
  <c r="CE789" i="23"/>
  <c r="CE817" i="23"/>
  <c r="CE809" i="23"/>
  <c r="CE869" i="23"/>
  <c r="CE704" i="23"/>
  <c r="W54" i="23" l="1"/>
  <c r="CC574" i="23" l="1"/>
  <c r="CB574" i="23"/>
  <c r="CA574" i="23"/>
  <c r="BZ574" i="23"/>
  <c r="BL574" i="23"/>
  <c r="BF574" i="23"/>
  <c r="AZ574" i="23"/>
  <c r="AT574" i="23"/>
  <c r="AN574" i="23"/>
  <c r="AH574" i="23"/>
  <c r="AB574" i="23"/>
  <c r="R574" i="23"/>
  <c r="L574" i="23"/>
  <c r="CC573" i="23"/>
  <c r="CB573" i="23"/>
  <c r="CA573" i="23"/>
  <c r="BZ573" i="23"/>
  <c r="BL573" i="23"/>
  <c r="BF573" i="23"/>
  <c r="AZ573" i="23"/>
  <c r="AT573" i="23"/>
  <c r="AN573" i="23"/>
  <c r="AH573" i="23"/>
  <c r="AB573" i="23"/>
  <c r="R573" i="23"/>
  <c r="L573" i="23"/>
  <c r="CC572" i="23"/>
  <c r="CB572" i="23"/>
  <c r="CA572" i="23"/>
  <c r="BZ572" i="23"/>
  <c r="BL572" i="23"/>
  <c r="BF572" i="23"/>
  <c r="AZ572" i="23"/>
  <c r="AT572" i="23"/>
  <c r="AN572" i="23"/>
  <c r="AH572" i="23"/>
  <c r="AB572" i="23"/>
  <c r="R572" i="23"/>
  <c r="L572" i="23"/>
  <c r="CC571" i="23"/>
  <c r="CB571" i="23"/>
  <c r="CA571" i="23"/>
  <c r="BZ571" i="23"/>
  <c r="BL571" i="23"/>
  <c r="BF571" i="23"/>
  <c r="AZ571" i="23"/>
  <c r="AT571" i="23"/>
  <c r="AN571" i="23"/>
  <c r="AH571" i="23"/>
  <c r="AB571" i="23"/>
  <c r="R571" i="23"/>
  <c r="L571" i="23"/>
  <c r="CC570" i="23"/>
  <c r="CB570" i="23"/>
  <c r="CA570" i="23"/>
  <c r="BZ570" i="23"/>
  <c r="BL570" i="23"/>
  <c r="BF570" i="23"/>
  <c r="AZ570" i="23"/>
  <c r="AT570" i="23"/>
  <c r="AN570" i="23"/>
  <c r="AH570" i="23"/>
  <c r="AB570" i="23"/>
  <c r="R570" i="23"/>
  <c r="L570" i="23"/>
  <c r="CC569" i="23"/>
  <c r="CB569" i="23"/>
  <c r="CA569" i="23"/>
  <c r="BZ569" i="23"/>
  <c r="BL569" i="23"/>
  <c r="BF569" i="23"/>
  <c r="AZ569" i="23"/>
  <c r="AT569" i="23"/>
  <c r="AN569" i="23"/>
  <c r="AH569" i="23"/>
  <c r="AB569" i="23"/>
  <c r="R569" i="23"/>
  <c r="L569" i="23"/>
  <c r="CC645" i="23"/>
  <c r="CB645" i="23"/>
  <c r="CA645" i="23"/>
  <c r="BZ645" i="23"/>
  <c r="BL645" i="23"/>
  <c r="BF645" i="23"/>
  <c r="AZ645" i="23"/>
  <c r="AT645" i="23"/>
  <c r="AN645" i="23"/>
  <c r="AH645" i="23"/>
  <c r="AB645" i="23"/>
  <c r="R645" i="23"/>
  <c r="L645" i="23"/>
  <c r="H645" i="23"/>
  <c r="CC644" i="23"/>
  <c r="CB644" i="23"/>
  <c r="CA644" i="23"/>
  <c r="BZ644" i="23"/>
  <c r="BL644" i="23"/>
  <c r="BF644" i="23"/>
  <c r="AZ644" i="23"/>
  <c r="AT644" i="23"/>
  <c r="AN644" i="23"/>
  <c r="AH644" i="23"/>
  <c r="AB644" i="23"/>
  <c r="R644" i="23"/>
  <c r="L644" i="23"/>
  <c r="CC643" i="23"/>
  <c r="CB643" i="23"/>
  <c r="CA643" i="23"/>
  <c r="BZ643" i="23"/>
  <c r="BL643" i="23"/>
  <c r="BF643" i="23"/>
  <c r="AZ643" i="23"/>
  <c r="AT643" i="23"/>
  <c r="AN643" i="23"/>
  <c r="AH643" i="23"/>
  <c r="AB643" i="23"/>
  <c r="R643" i="23"/>
  <c r="L643" i="23"/>
  <c r="CC491" i="23"/>
  <c r="CB491" i="23"/>
  <c r="CA491" i="23"/>
  <c r="BZ491" i="23"/>
  <c r="BL491" i="23"/>
  <c r="BF491" i="23"/>
  <c r="AZ491" i="23"/>
  <c r="AT491" i="23"/>
  <c r="AN491" i="23"/>
  <c r="AH491" i="23"/>
  <c r="AB491" i="23"/>
  <c r="R491" i="23"/>
  <c r="L491" i="23"/>
  <c r="H491" i="23"/>
  <c r="CC490" i="23"/>
  <c r="CB490" i="23"/>
  <c r="CA490" i="23"/>
  <c r="BZ490" i="23"/>
  <c r="BL490" i="23"/>
  <c r="BF490" i="23"/>
  <c r="AZ490" i="23"/>
  <c r="AT490" i="23"/>
  <c r="AN490" i="23"/>
  <c r="AH490" i="23"/>
  <c r="AB490" i="23"/>
  <c r="R490" i="23"/>
  <c r="L490" i="23"/>
  <c r="CC489" i="23"/>
  <c r="CB489" i="23"/>
  <c r="CA489" i="23"/>
  <c r="BZ489" i="23"/>
  <c r="BL489" i="23"/>
  <c r="BF489" i="23"/>
  <c r="AZ489" i="23"/>
  <c r="AT489" i="23"/>
  <c r="AN489" i="23"/>
  <c r="AH489" i="23"/>
  <c r="AB489" i="23"/>
  <c r="R489" i="23"/>
  <c r="L489" i="23"/>
  <c r="CC488" i="23"/>
  <c r="CB488" i="23"/>
  <c r="CA488" i="23"/>
  <c r="BZ488" i="23"/>
  <c r="BL488" i="23"/>
  <c r="BF488" i="23"/>
  <c r="AZ488" i="23"/>
  <c r="AT488" i="23"/>
  <c r="AN488" i="23"/>
  <c r="AH488" i="23"/>
  <c r="AB488" i="23"/>
  <c r="R488" i="23"/>
  <c r="L488" i="23"/>
  <c r="CC487" i="23"/>
  <c r="CB487" i="23"/>
  <c r="CA487" i="23"/>
  <c r="BZ487" i="23"/>
  <c r="BL487" i="23"/>
  <c r="BF487" i="23"/>
  <c r="AZ487" i="23"/>
  <c r="AT487" i="23"/>
  <c r="AN487" i="23"/>
  <c r="AH487" i="23"/>
  <c r="AB487" i="23"/>
  <c r="R487" i="23"/>
  <c r="L487" i="23"/>
  <c r="CC486" i="23"/>
  <c r="CB486" i="23"/>
  <c r="CA486" i="23"/>
  <c r="BZ486" i="23"/>
  <c r="BL486" i="23"/>
  <c r="BF486" i="23"/>
  <c r="AZ486" i="23"/>
  <c r="AT486" i="23"/>
  <c r="AN486" i="23"/>
  <c r="AH486" i="23"/>
  <c r="AB486" i="23"/>
  <c r="R486" i="23"/>
  <c r="L486" i="23"/>
  <c r="CC485" i="23"/>
  <c r="CB485" i="23"/>
  <c r="CA485" i="23"/>
  <c r="BZ485" i="23"/>
  <c r="BL485" i="23"/>
  <c r="BF485" i="23"/>
  <c r="AZ485" i="23"/>
  <c r="AT485" i="23"/>
  <c r="AN485" i="23"/>
  <c r="AH485" i="23"/>
  <c r="AB485" i="23"/>
  <c r="R485" i="23"/>
  <c r="L485" i="23"/>
  <c r="CC484" i="23"/>
  <c r="CB484" i="23"/>
  <c r="CA484" i="23"/>
  <c r="BZ484" i="23"/>
  <c r="BL484" i="23"/>
  <c r="BF484" i="23"/>
  <c r="AZ484" i="23"/>
  <c r="AT484" i="23"/>
  <c r="AN484" i="23"/>
  <c r="AH484" i="23"/>
  <c r="AB484" i="23"/>
  <c r="R484" i="23"/>
  <c r="L484" i="23"/>
  <c r="CC483" i="23"/>
  <c r="CB483" i="23"/>
  <c r="CA483" i="23"/>
  <c r="BZ483" i="23"/>
  <c r="BL483" i="23"/>
  <c r="BF483" i="23"/>
  <c r="AZ483" i="23"/>
  <c r="AT483" i="23"/>
  <c r="AN483" i="23"/>
  <c r="AH483" i="23"/>
  <c r="AB483" i="23"/>
  <c r="R483" i="23"/>
  <c r="L483" i="23"/>
  <c r="CC482" i="23"/>
  <c r="CB482" i="23"/>
  <c r="CA482" i="23"/>
  <c r="BZ482" i="23"/>
  <c r="BL482" i="23"/>
  <c r="BF482" i="23"/>
  <c r="AZ482" i="23"/>
  <c r="AT482" i="23"/>
  <c r="AN482" i="23"/>
  <c r="AH482" i="23"/>
  <c r="AB482" i="23"/>
  <c r="R482" i="23"/>
  <c r="L482" i="23"/>
  <c r="CC481" i="23"/>
  <c r="CB481" i="23"/>
  <c r="CA481" i="23"/>
  <c r="BZ481" i="23"/>
  <c r="BL481" i="23"/>
  <c r="BF481" i="23"/>
  <c r="AZ481" i="23"/>
  <c r="AT481" i="23"/>
  <c r="AN481" i="23"/>
  <c r="AH481" i="23"/>
  <c r="AB481" i="23"/>
  <c r="R481" i="23"/>
  <c r="L481" i="23"/>
  <c r="CC480" i="23"/>
  <c r="CB480" i="23"/>
  <c r="CA480" i="23"/>
  <c r="BZ480" i="23"/>
  <c r="BL480" i="23"/>
  <c r="BF480" i="23"/>
  <c r="AZ480" i="23"/>
  <c r="AT480" i="23"/>
  <c r="AN480" i="23"/>
  <c r="AH480" i="23"/>
  <c r="AB480" i="23"/>
  <c r="R480" i="23"/>
  <c r="L480" i="23"/>
  <c r="CC479" i="23"/>
  <c r="CB479" i="23"/>
  <c r="CA479" i="23"/>
  <c r="BZ479" i="23"/>
  <c r="BL479" i="23"/>
  <c r="BF479" i="23"/>
  <c r="AZ479" i="23"/>
  <c r="AT479" i="23"/>
  <c r="AN479" i="23"/>
  <c r="AH479" i="23"/>
  <c r="AB479" i="23"/>
  <c r="R479" i="23"/>
  <c r="L479" i="23"/>
  <c r="CC478" i="23"/>
  <c r="CB478" i="23"/>
  <c r="CA478" i="23"/>
  <c r="BZ478" i="23"/>
  <c r="BL478" i="23"/>
  <c r="BF478" i="23"/>
  <c r="AZ478" i="23"/>
  <c r="AT478" i="23"/>
  <c r="AN478" i="23"/>
  <c r="AH478" i="23"/>
  <c r="AB478" i="23"/>
  <c r="R478" i="23"/>
  <c r="L478" i="23"/>
  <c r="CC477" i="23"/>
  <c r="CB477" i="23"/>
  <c r="CA477" i="23"/>
  <c r="BZ477" i="23"/>
  <c r="BL477" i="23"/>
  <c r="BF477" i="23"/>
  <c r="AZ477" i="23"/>
  <c r="AT477" i="23"/>
  <c r="AN477" i="23"/>
  <c r="AH477" i="23"/>
  <c r="AB477" i="23"/>
  <c r="R477" i="23"/>
  <c r="L477" i="23"/>
  <c r="CC476" i="23"/>
  <c r="CB476" i="23"/>
  <c r="CA476" i="23"/>
  <c r="BZ476" i="23"/>
  <c r="BL476" i="23"/>
  <c r="BF476" i="23"/>
  <c r="AZ476" i="23"/>
  <c r="AT476" i="23"/>
  <c r="AN476" i="23"/>
  <c r="AH476" i="23"/>
  <c r="AB476" i="23"/>
  <c r="R476" i="23"/>
  <c r="L476" i="23"/>
  <c r="CC475" i="23"/>
  <c r="CB475" i="23"/>
  <c r="CA475" i="23"/>
  <c r="BZ475" i="23"/>
  <c r="BL475" i="23"/>
  <c r="BF475" i="23"/>
  <c r="AZ475" i="23"/>
  <c r="AT475" i="23"/>
  <c r="AN475" i="23"/>
  <c r="AH475" i="23"/>
  <c r="AB475" i="23"/>
  <c r="R475" i="23"/>
  <c r="L475" i="23"/>
  <c r="CC474" i="23"/>
  <c r="CB474" i="23"/>
  <c r="CA474" i="23"/>
  <c r="BZ474" i="23"/>
  <c r="BL474" i="23"/>
  <c r="BF474" i="23"/>
  <c r="AZ474" i="23"/>
  <c r="AT474" i="23"/>
  <c r="AN474" i="23"/>
  <c r="AH474" i="23"/>
  <c r="AB474" i="23"/>
  <c r="R474" i="23"/>
  <c r="L474" i="23"/>
  <c r="CC473" i="23"/>
  <c r="CB473" i="23"/>
  <c r="CA473" i="23"/>
  <c r="BZ473" i="23"/>
  <c r="BL473" i="23"/>
  <c r="BF473" i="23"/>
  <c r="AZ473" i="23"/>
  <c r="AT473" i="23"/>
  <c r="AN473" i="23"/>
  <c r="AH473" i="23"/>
  <c r="AB473" i="23"/>
  <c r="R473" i="23"/>
  <c r="L473" i="23"/>
  <c r="CC472" i="23"/>
  <c r="CB472" i="23"/>
  <c r="CA472" i="23"/>
  <c r="BZ472" i="23"/>
  <c r="BL472" i="23"/>
  <c r="BF472" i="23"/>
  <c r="AZ472" i="23"/>
  <c r="AT472" i="23"/>
  <c r="AN472" i="23"/>
  <c r="AH472" i="23"/>
  <c r="AB472" i="23"/>
  <c r="R472" i="23"/>
  <c r="L472" i="23"/>
  <c r="CC471" i="23"/>
  <c r="CB471" i="23"/>
  <c r="CA471" i="23"/>
  <c r="BZ471" i="23"/>
  <c r="BL471" i="23"/>
  <c r="BF471" i="23"/>
  <c r="AZ471" i="23"/>
  <c r="AT471" i="23"/>
  <c r="AN471" i="23"/>
  <c r="AH471" i="23"/>
  <c r="AB471" i="23"/>
  <c r="R471" i="23"/>
  <c r="L471" i="23"/>
  <c r="CC470" i="23"/>
  <c r="CB470" i="23"/>
  <c r="CA470" i="23"/>
  <c r="BZ470" i="23"/>
  <c r="BL470" i="23"/>
  <c r="BF470" i="23"/>
  <c r="AZ470" i="23"/>
  <c r="AT470" i="23"/>
  <c r="AN470" i="23"/>
  <c r="AH470" i="23"/>
  <c r="AB470" i="23"/>
  <c r="R470" i="23"/>
  <c r="L470" i="23"/>
  <c r="CC469" i="23"/>
  <c r="CB469" i="23"/>
  <c r="CA469" i="23"/>
  <c r="BZ469" i="23"/>
  <c r="BL469" i="23"/>
  <c r="BF469" i="23"/>
  <c r="AZ469" i="23"/>
  <c r="AT469" i="23"/>
  <c r="AN469" i="23"/>
  <c r="AH469" i="23"/>
  <c r="AB469" i="23"/>
  <c r="R469" i="23"/>
  <c r="L469" i="23"/>
  <c r="CC468" i="23"/>
  <c r="CB468" i="23"/>
  <c r="CA468" i="23"/>
  <c r="BZ468" i="23"/>
  <c r="BL468" i="23"/>
  <c r="BF468" i="23"/>
  <c r="AZ468" i="23"/>
  <c r="AT468" i="23"/>
  <c r="AN468" i="23"/>
  <c r="AH468" i="23"/>
  <c r="AB468" i="23"/>
  <c r="R468" i="23"/>
  <c r="L468" i="23"/>
  <c r="CC467" i="23"/>
  <c r="CB467" i="23"/>
  <c r="CA467" i="23"/>
  <c r="BZ467" i="23"/>
  <c r="BL467" i="23"/>
  <c r="BF467" i="23"/>
  <c r="AZ467" i="23"/>
  <c r="AT467" i="23"/>
  <c r="AN467" i="23"/>
  <c r="AH467" i="23"/>
  <c r="AB467" i="23"/>
  <c r="R467" i="23"/>
  <c r="L467" i="23"/>
  <c r="CC466" i="23"/>
  <c r="CB466" i="23"/>
  <c r="CA466" i="23"/>
  <c r="BZ466" i="23"/>
  <c r="BL466" i="23"/>
  <c r="BF466" i="23"/>
  <c r="AZ466" i="23"/>
  <c r="AT466" i="23"/>
  <c r="AN466" i="23"/>
  <c r="AH466" i="23"/>
  <c r="AB466" i="23"/>
  <c r="R466" i="23"/>
  <c r="L466" i="23"/>
  <c r="CC465" i="23"/>
  <c r="CB465" i="23"/>
  <c r="CA465" i="23"/>
  <c r="BZ465" i="23"/>
  <c r="BL465" i="23"/>
  <c r="BF465" i="23"/>
  <c r="AZ465" i="23"/>
  <c r="AT465" i="23"/>
  <c r="AN465" i="23"/>
  <c r="AH465" i="23"/>
  <c r="AB465" i="23"/>
  <c r="R465" i="23"/>
  <c r="L465" i="23"/>
  <c r="CC464" i="23"/>
  <c r="CB464" i="23"/>
  <c r="CA464" i="23"/>
  <c r="BZ464" i="23"/>
  <c r="BL464" i="23"/>
  <c r="BF464" i="23"/>
  <c r="AZ464" i="23"/>
  <c r="AT464" i="23"/>
  <c r="AN464" i="23"/>
  <c r="AH464" i="23"/>
  <c r="AB464" i="23"/>
  <c r="R464" i="23"/>
  <c r="L464" i="23"/>
  <c r="CC463" i="23"/>
  <c r="CB463" i="23"/>
  <c r="CA463" i="23"/>
  <c r="BZ463" i="23"/>
  <c r="BL463" i="23"/>
  <c r="BF463" i="23"/>
  <c r="AZ463" i="23"/>
  <c r="AT463" i="23"/>
  <c r="AN463" i="23"/>
  <c r="AH463" i="23"/>
  <c r="AB463" i="23"/>
  <c r="R463" i="23"/>
  <c r="L463" i="23"/>
  <c r="CD573" i="23" l="1"/>
  <c r="CE573" i="23" s="1"/>
  <c r="BM491" i="23"/>
  <c r="CD569" i="23"/>
  <c r="CD571" i="23"/>
  <c r="CD468" i="23"/>
  <c r="CE468" i="23" s="1"/>
  <c r="CD476" i="23"/>
  <c r="CE476" i="23" s="1"/>
  <c r="CD484" i="23"/>
  <c r="CD463" i="23"/>
  <c r="CD471" i="23"/>
  <c r="CE471" i="23" s="1"/>
  <c r="CD479" i="23"/>
  <c r="CE479" i="23" s="1"/>
  <c r="CD487" i="23"/>
  <c r="CE487" i="23" s="1"/>
  <c r="CD643" i="23"/>
  <c r="CD645" i="23"/>
  <c r="CE645" i="23" s="1"/>
  <c r="CD570" i="23"/>
  <c r="CE570" i="23" s="1"/>
  <c r="CD572" i="23"/>
  <c r="CE572" i="23" s="1"/>
  <c r="CD574" i="23"/>
  <c r="CE574" i="23" s="1"/>
  <c r="CD469" i="23"/>
  <c r="CE469" i="23" s="1"/>
  <c r="CD477" i="23"/>
  <c r="CE477" i="23" s="1"/>
  <c r="CD485" i="23"/>
  <c r="CE485" i="23" s="1"/>
  <c r="CD491" i="23"/>
  <c r="CE491" i="23" s="1"/>
  <c r="CD466" i="23"/>
  <c r="CD474" i="23"/>
  <c r="CE474" i="23" s="1"/>
  <c r="CD482" i="23"/>
  <c r="CE482" i="23" s="1"/>
  <c r="CD490" i="23"/>
  <c r="CE490" i="23" s="1"/>
  <c r="CD644" i="23"/>
  <c r="CE644" i="23" s="1"/>
  <c r="CD465" i="23"/>
  <c r="CE465" i="23" s="1"/>
  <c r="CD473" i="23"/>
  <c r="CE473" i="23" s="1"/>
  <c r="CD481" i="23"/>
  <c r="CE481" i="23" s="1"/>
  <c r="CD489" i="23"/>
  <c r="CD470" i="23"/>
  <c r="CE470" i="23" s="1"/>
  <c r="CD478" i="23"/>
  <c r="CE478" i="23" s="1"/>
  <c r="CD486" i="23"/>
  <c r="CE486" i="23" s="1"/>
  <c r="CD467" i="23"/>
  <c r="CE467" i="23" s="1"/>
  <c r="CD475" i="23"/>
  <c r="CE475" i="23" s="1"/>
  <c r="CD483" i="23"/>
  <c r="CE483" i="23" s="1"/>
  <c r="CD464" i="23"/>
  <c r="CE464" i="23" s="1"/>
  <c r="CD472" i="23"/>
  <c r="CD480" i="23"/>
  <c r="CE480" i="23" s="1"/>
  <c r="CD488" i="23"/>
  <c r="CE488" i="23" s="1"/>
  <c r="BM645" i="23"/>
  <c r="B140" i="2" l="1"/>
  <c r="CE472" i="23"/>
  <c r="CE643" i="23"/>
  <c r="CE463" i="23"/>
  <c r="CE569" i="23"/>
  <c r="CE489" i="23"/>
  <c r="CE466" i="23"/>
  <c r="CE484" i="23"/>
  <c r="CE571" i="23"/>
  <c r="Y1260" i="23"/>
  <c r="H139" i="2" l="1"/>
  <c r="E140" i="2"/>
  <c r="B139" i="2"/>
  <c r="B141" i="2"/>
  <c r="E139" i="2"/>
  <c r="J145" i="2"/>
  <c r="J154" i="2"/>
  <c r="G152" i="2"/>
  <c r="J139" i="2"/>
  <c r="G141" i="2"/>
  <c r="D148" i="2"/>
  <c r="D151" i="2"/>
  <c r="G144" i="2"/>
  <c r="D149" i="2"/>
  <c r="G143" i="2"/>
  <c r="J140" i="2"/>
  <c r="G139" i="2"/>
  <c r="J142" i="2"/>
  <c r="E142" i="2"/>
  <c r="J147" i="2"/>
  <c r="D139" i="2"/>
  <c r="J148" i="2"/>
  <c r="I148" i="2" s="1"/>
  <c r="J146" i="2"/>
  <c r="D152" i="2"/>
  <c r="G151" i="2"/>
  <c r="D154" i="2"/>
  <c r="D145" i="2"/>
  <c r="D141" i="2"/>
  <c r="D150" i="2"/>
  <c r="G145" i="2"/>
  <c r="D142" i="2"/>
  <c r="G146" i="2"/>
  <c r="G140" i="2"/>
  <c r="H150" i="2"/>
  <c r="B150" i="2"/>
  <c r="H149" i="2"/>
  <c r="B149" i="2"/>
  <c r="H146" i="2"/>
  <c r="E145" i="2"/>
  <c r="E146" i="2"/>
  <c r="H152" i="2"/>
  <c r="B152" i="2"/>
  <c r="H151" i="2"/>
  <c r="B151" i="2"/>
  <c r="E141" i="2"/>
  <c r="B146" i="2"/>
  <c r="H145" i="2"/>
  <c r="B145" i="2"/>
  <c r="E154" i="2"/>
  <c r="H144" i="2"/>
  <c r="B144" i="2"/>
  <c r="H154" i="2"/>
  <c r="B148" i="2"/>
  <c r="H147" i="2"/>
  <c r="B147" i="2"/>
  <c r="E150" i="2"/>
  <c r="E149" i="2"/>
  <c r="E153" i="2"/>
  <c r="B143" i="2"/>
  <c r="H142" i="2"/>
  <c r="I142" i="2" s="1"/>
  <c r="E151" i="2"/>
  <c r="B154" i="2"/>
  <c r="H143" i="2"/>
  <c r="E152" i="2"/>
  <c r="B142" i="2"/>
  <c r="H141" i="2"/>
  <c r="E144" i="2"/>
  <c r="F144" i="2" s="1"/>
  <c r="E148" i="2"/>
  <c r="E147" i="2"/>
  <c r="B153" i="2"/>
  <c r="J152" i="2"/>
  <c r="G150" i="2"/>
  <c r="D153" i="2"/>
  <c r="J150" i="2"/>
  <c r="G154" i="2"/>
  <c r="G149" i="2"/>
  <c r="H153" i="2"/>
  <c r="J149" i="2"/>
  <c r="G147" i="2"/>
  <c r="J144" i="2"/>
  <c r="D143" i="2"/>
  <c r="J141" i="2"/>
  <c r="J143" i="2"/>
  <c r="E143" i="2"/>
  <c r="G153" i="2"/>
  <c r="D144" i="2"/>
  <c r="G142" i="2"/>
  <c r="G148" i="2"/>
  <c r="J151" i="2"/>
  <c r="J153" i="2"/>
  <c r="D147" i="2"/>
  <c r="D140" i="2"/>
  <c r="C140" i="2" s="1"/>
  <c r="H140" i="2"/>
  <c r="I140" i="2" s="1"/>
  <c r="D146" i="2"/>
  <c r="M146" i="2" s="1"/>
  <c r="AE1422" i="23"/>
  <c r="F145" i="2" l="1"/>
  <c r="C145" i="2"/>
  <c r="M144" i="2"/>
  <c r="F142" i="2"/>
  <c r="I146" i="2"/>
  <c r="F141" i="2"/>
  <c r="C150" i="2"/>
  <c r="M147" i="2"/>
  <c r="M139" i="2"/>
  <c r="I154" i="2"/>
  <c r="I139" i="2"/>
  <c r="F151" i="2"/>
  <c r="K143" i="2"/>
  <c r="F143" i="2"/>
  <c r="C153" i="2"/>
  <c r="K153" i="2"/>
  <c r="H155" i="2"/>
  <c r="I141" i="2"/>
  <c r="K152" i="2"/>
  <c r="F152" i="2"/>
  <c r="K154" i="2"/>
  <c r="C154" i="2"/>
  <c r="M143" i="2"/>
  <c r="I153" i="2"/>
  <c r="F147" i="2"/>
  <c r="K142" i="2"/>
  <c r="C142" i="2"/>
  <c r="I143" i="2"/>
  <c r="C143" i="2"/>
  <c r="F149" i="2"/>
  <c r="K147" i="2"/>
  <c r="I147" i="2"/>
  <c r="K148" i="2"/>
  <c r="C148" i="2"/>
  <c r="C144" i="2"/>
  <c r="K144" i="2"/>
  <c r="F154" i="2"/>
  <c r="K145" i="2"/>
  <c r="I145" i="2"/>
  <c r="L145" i="2" s="1"/>
  <c r="K151" i="2"/>
  <c r="C151" i="2"/>
  <c r="C152" i="2"/>
  <c r="F146" i="2"/>
  <c r="I149" i="2"/>
  <c r="I150" i="2"/>
  <c r="M151" i="2"/>
  <c r="M148" i="2"/>
  <c r="J155" i="2"/>
  <c r="F139" i="2"/>
  <c r="E155" i="2"/>
  <c r="K139" i="2"/>
  <c r="C139" i="2"/>
  <c r="F140" i="2"/>
  <c r="L140" i="2" s="1"/>
  <c r="K140" i="2"/>
  <c r="M153" i="2"/>
  <c r="F148" i="2"/>
  <c r="F153" i="2"/>
  <c r="K150" i="2"/>
  <c r="F150" i="2"/>
  <c r="C147" i="2"/>
  <c r="I144" i="2"/>
  <c r="K146" i="2"/>
  <c r="C146" i="2"/>
  <c r="I151" i="2"/>
  <c r="I152" i="2"/>
  <c r="M140" i="2"/>
  <c r="G155" i="2"/>
  <c r="M142" i="2"/>
  <c r="M150" i="2"/>
  <c r="M141" i="2"/>
  <c r="M145" i="2"/>
  <c r="M154" i="2"/>
  <c r="M152" i="2"/>
  <c r="K141" i="2"/>
  <c r="C141" i="2"/>
  <c r="M149" i="2"/>
  <c r="D155" i="2"/>
  <c r="K149" i="2"/>
  <c r="C149" i="2"/>
  <c r="B155" i="2"/>
  <c r="I1343" i="23"/>
  <c r="L142" i="2" l="1"/>
  <c r="L147" i="2"/>
  <c r="L141" i="2"/>
  <c r="L150" i="2"/>
  <c r="L139" i="2"/>
  <c r="L154" i="2"/>
  <c r="M155" i="2"/>
  <c r="K155" i="2"/>
  <c r="L146" i="2"/>
  <c r="L144" i="2"/>
  <c r="L152" i="2"/>
  <c r="L148" i="2"/>
  <c r="I155" i="2"/>
  <c r="L153" i="2"/>
  <c r="F155" i="2"/>
  <c r="L151" i="2"/>
  <c r="L143" i="2"/>
  <c r="L149" i="2"/>
  <c r="C155" i="2"/>
  <c r="L155" i="2" l="1"/>
  <c r="CC462" i="23" l="1"/>
  <c r="CB462" i="23"/>
  <c r="CA462" i="23"/>
  <c r="BZ462" i="23"/>
  <c r="BL462" i="23"/>
  <c r="BF462" i="23"/>
  <c r="AZ462" i="23"/>
  <c r="AT462" i="23"/>
  <c r="AN462" i="23"/>
  <c r="AH462" i="23"/>
  <c r="AB462" i="23"/>
  <c r="R462" i="23"/>
  <c r="L462" i="23"/>
  <c r="CC461" i="23"/>
  <c r="CB461" i="23"/>
  <c r="CA461" i="23"/>
  <c r="BZ461" i="23"/>
  <c r="BL461" i="23"/>
  <c r="BF461" i="23"/>
  <c r="AZ461" i="23"/>
  <c r="AT461" i="23"/>
  <c r="AN461" i="23"/>
  <c r="AH461" i="23"/>
  <c r="AB461" i="23"/>
  <c r="R461" i="23"/>
  <c r="L461" i="23"/>
  <c r="CC460" i="23"/>
  <c r="CB460" i="23"/>
  <c r="CA460" i="23"/>
  <c r="BZ460" i="23"/>
  <c r="BL460" i="23"/>
  <c r="BF460" i="23"/>
  <c r="AZ460" i="23"/>
  <c r="AT460" i="23"/>
  <c r="AN460" i="23"/>
  <c r="AH460" i="23"/>
  <c r="AB460" i="23"/>
  <c r="R460" i="23"/>
  <c r="L460" i="23"/>
  <c r="CC459" i="23"/>
  <c r="CB459" i="23"/>
  <c r="CA459" i="23"/>
  <c r="BZ459" i="23"/>
  <c r="BL459" i="23"/>
  <c r="BF459" i="23"/>
  <c r="AZ459" i="23"/>
  <c r="AT459" i="23"/>
  <c r="AN459" i="23"/>
  <c r="AH459" i="23"/>
  <c r="AB459" i="23"/>
  <c r="R459" i="23"/>
  <c r="L459" i="23"/>
  <c r="CC458" i="23"/>
  <c r="CB458" i="23"/>
  <c r="CA458" i="23"/>
  <c r="BZ458" i="23"/>
  <c r="BL458" i="23"/>
  <c r="BF458" i="23"/>
  <c r="AZ458" i="23"/>
  <c r="AT458" i="23"/>
  <c r="AN458" i="23"/>
  <c r="AH458" i="23"/>
  <c r="AB458" i="23"/>
  <c r="R458" i="23"/>
  <c r="L458" i="23"/>
  <c r="CC457" i="23"/>
  <c r="CB457" i="23"/>
  <c r="CA457" i="23"/>
  <c r="BZ457" i="23"/>
  <c r="BL457" i="23"/>
  <c r="BF457" i="23"/>
  <c r="AZ457" i="23"/>
  <c r="AT457" i="23"/>
  <c r="AN457" i="23"/>
  <c r="AH457" i="23"/>
  <c r="AB457" i="23"/>
  <c r="R457" i="23"/>
  <c r="L457" i="23"/>
  <c r="CC456" i="23"/>
  <c r="CB456" i="23"/>
  <c r="CA456" i="23"/>
  <c r="BZ456" i="23"/>
  <c r="BL456" i="23"/>
  <c r="BF456" i="23"/>
  <c r="AZ456" i="23"/>
  <c r="AT456" i="23"/>
  <c r="AN456" i="23"/>
  <c r="AH456" i="23"/>
  <c r="AB456" i="23"/>
  <c r="R456" i="23"/>
  <c r="L456" i="23"/>
  <c r="CC455" i="23"/>
  <c r="CB455" i="23"/>
  <c r="CA455" i="23"/>
  <c r="BZ455" i="23"/>
  <c r="BL455" i="23"/>
  <c r="BF455" i="23"/>
  <c r="AZ455" i="23"/>
  <c r="AT455" i="23"/>
  <c r="AN455" i="23"/>
  <c r="AH455" i="23"/>
  <c r="AB455" i="23"/>
  <c r="R455" i="23"/>
  <c r="L455" i="23"/>
  <c r="CC454" i="23"/>
  <c r="CB454" i="23"/>
  <c r="CA454" i="23"/>
  <c r="BZ454" i="23"/>
  <c r="BL454" i="23"/>
  <c r="BF454" i="23"/>
  <c r="AZ454" i="23"/>
  <c r="AT454" i="23"/>
  <c r="AN454" i="23"/>
  <c r="AH454" i="23"/>
  <c r="AB454" i="23"/>
  <c r="R454" i="23"/>
  <c r="L454" i="23"/>
  <c r="CD456" i="23" l="1"/>
  <c r="CE456" i="23" s="1"/>
  <c r="CD457" i="23"/>
  <c r="CE457" i="23" s="1"/>
  <c r="CD459" i="23"/>
  <c r="CE459" i="23" s="1"/>
  <c r="CD454" i="23"/>
  <c r="CD462" i="23"/>
  <c r="CE462" i="23" s="1"/>
  <c r="CD455" i="23"/>
  <c r="CE455" i="23" s="1"/>
  <c r="CD458" i="23"/>
  <c r="CE458" i="23" s="1"/>
  <c r="CD460" i="23"/>
  <c r="CE460" i="23" s="1"/>
  <c r="CD461" i="23"/>
  <c r="CE461" i="23" s="1"/>
  <c r="K1604" i="23"/>
  <c r="I1604" i="23"/>
  <c r="K1603" i="23"/>
  <c r="I1603" i="23"/>
  <c r="K1575" i="23"/>
  <c r="I1575" i="23"/>
  <c r="K1574" i="23"/>
  <c r="I1574" i="23"/>
  <c r="CE454" i="23" l="1"/>
  <c r="AA1422" i="23"/>
  <c r="Y1422" i="23"/>
  <c r="CC453" i="23" l="1"/>
  <c r="CB453" i="23"/>
  <c r="CA453" i="23"/>
  <c r="BZ453" i="23"/>
  <c r="BL453" i="23"/>
  <c r="BF453" i="23"/>
  <c r="AZ453" i="23"/>
  <c r="AT453" i="23"/>
  <c r="AN453" i="23"/>
  <c r="AH453" i="23"/>
  <c r="AB453" i="23"/>
  <c r="R453" i="23"/>
  <c r="L453" i="23"/>
  <c r="CC452" i="23"/>
  <c r="CB452" i="23"/>
  <c r="CA452" i="23"/>
  <c r="BZ452" i="23"/>
  <c r="BL452" i="23"/>
  <c r="BF452" i="23"/>
  <c r="AZ452" i="23"/>
  <c r="AT452" i="23"/>
  <c r="AN452" i="23"/>
  <c r="AH452" i="23"/>
  <c r="AB452" i="23"/>
  <c r="R452" i="23"/>
  <c r="L452" i="23"/>
  <c r="CC451" i="23"/>
  <c r="CB451" i="23"/>
  <c r="CA451" i="23"/>
  <c r="BZ451" i="23"/>
  <c r="BL451" i="23"/>
  <c r="BF451" i="23"/>
  <c r="AZ451" i="23"/>
  <c r="AT451" i="23"/>
  <c r="AN451" i="23"/>
  <c r="AH451" i="23"/>
  <c r="AB451" i="23"/>
  <c r="R451" i="23"/>
  <c r="L451" i="23"/>
  <c r="CC450" i="23"/>
  <c r="CB450" i="23"/>
  <c r="CA450" i="23"/>
  <c r="BZ450" i="23"/>
  <c r="BL450" i="23"/>
  <c r="BF450" i="23"/>
  <c r="AZ450" i="23"/>
  <c r="AT450" i="23"/>
  <c r="AN450" i="23"/>
  <c r="AH450" i="23"/>
  <c r="AB450" i="23"/>
  <c r="R450" i="23"/>
  <c r="L450" i="23"/>
  <c r="H450" i="23"/>
  <c r="CC449" i="23"/>
  <c r="CB449" i="23"/>
  <c r="CA449" i="23"/>
  <c r="BZ449" i="23"/>
  <c r="BL449" i="23"/>
  <c r="BF449" i="23"/>
  <c r="AZ449" i="23"/>
  <c r="AT449" i="23"/>
  <c r="AN449" i="23"/>
  <c r="AH449" i="23"/>
  <c r="AB449" i="23"/>
  <c r="R449" i="23"/>
  <c r="L449" i="23"/>
  <c r="CC448" i="23"/>
  <c r="CB448" i="23"/>
  <c r="CA448" i="23"/>
  <c r="BZ448" i="23"/>
  <c r="BL448" i="23"/>
  <c r="BF448" i="23"/>
  <c r="AZ448" i="23"/>
  <c r="AT448" i="23"/>
  <c r="AN448" i="23"/>
  <c r="AH448" i="23"/>
  <c r="AB448" i="23"/>
  <c r="R448" i="23"/>
  <c r="L448" i="23"/>
  <c r="CC447" i="23"/>
  <c r="CB447" i="23"/>
  <c r="CA447" i="23"/>
  <c r="BZ447" i="23"/>
  <c r="BL447" i="23"/>
  <c r="BF447" i="23"/>
  <c r="AZ447" i="23"/>
  <c r="AT447" i="23"/>
  <c r="AN447" i="23"/>
  <c r="AH447" i="23"/>
  <c r="AB447" i="23"/>
  <c r="R447" i="23"/>
  <c r="L447" i="23"/>
  <c r="CC446" i="23"/>
  <c r="CB446" i="23"/>
  <c r="CA446" i="23"/>
  <c r="BZ446" i="23"/>
  <c r="BL446" i="23"/>
  <c r="BF446" i="23"/>
  <c r="AZ446" i="23"/>
  <c r="AT446" i="23"/>
  <c r="AN446" i="23"/>
  <c r="AH446" i="23"/>
  <c r="AB446" i="23"/>
  <c r="R446" i="23"/>
  <c r="L446" i="23"/>
  <c r="CC445" i="23"/>
  <c r="CB445" i="23"/>
  <c r="CA445" i="23"/>
  <c r="BZ445" i="23"/>
  <c r="BL445" i="23"/>
  <c r="BF445" i="23"/>
  <c r="AZ445" i="23"/>
  <c r="AT445" i="23"/>
  <c r="AN445" i="23"/>
  <c r="AH445" i="23"/>
  <c r="AB445" i="23"/>
  <c r="R445" i="23"/>
  <c r="L445" i="23"/>
  <c r="CC444" i="23"/>
  <c r="CB444" i="23"/>
  <c r="CA444" i="23"/>
  <c r="BZ444" i="23"/>
  <c r="BL444" i="23"/>
  <c r="BF444" i="23"/>
  <c r="AZ444" i="23"/>
  <c r="AT444" i="23"/>
  <c r="AN444" i="23"/>
  <c r="AH444" i="23"/>
  <c r="AB444" i="23"/>
  <c r="R444" i="23"/>
  <c r="L444" i="23"/>
  <c r="CC443" i="23"/>
  <c r="CB443" i="23"/>
  <c r="CA443" i="23"/>
  <c r="BZ443" i="23"/>
  <c r="BL443" i="23"/>
  <c r="BF443" i="23"/>
  <c r="AZ443" i="23"/>
  <c r="AT443" i="23"/>
  <c r="AN443" i="23"/>
  <c r="AH443" i="23"/>
  <c r="AB443" i="23"/>
  <c r="R443" i="23"/>
  <c r="L443" i="23"/>
  <c r="CC442" i="23"/>
  <c r="CB442" i="23"/>
  <c r="CA442" i="23"/>
  <c r="BZ442" i="23"/>
  <c r="BL442" i="23"/>
  <c r="BF442" i="23"/>
  <c r="AZ442" i="23"/>
  <c r="AT442" i="23"/>
  <c r="AN442" i="23"/>
  <c r="AH442" i="23"/>
  <c r="AB442" i="23"/>
  <c r="R442" i="23"/>
  <c r="L442" i="23"/>
  <c r="CC441" i="23"/>
  <c r="CB441" i="23"/>
  <c r="CA441" i="23"/>
  <c r="BZ441" i="23"/>
  <c r="BL441" i="23"/>
  <c r="BF441" i="23"/>
  <c r="AZ441" i="23"/>
  <c r="AT441" i="23"/>
  <c r="AN441" i="23"/>
  <c r="AH441" i="23"/>
  <c r="AB441" i="23"/>
  <c r="R441" i="23"/>
  <c r="L441" i="23"/>
  <c r="CC440" i="23"/>
  <c r="CB440" i="23"/>
  <c r="CA440" i="23"/>
  <c r="BZ440" i="23"/>
  <c r="BL440" i="23"/>
  <c r="BF440" i="23"/>
  <c r="AZ440" i="23"/>
  <c r="AT440" i="23"/>
  <c r="AN440" i="23"/>
  <c r="AH440" i="23"/>
  <c r="AB440" i="23"/>
  <c r="R440" i="23"/>
  <c r="L440" i="23"/>
  <c r="CC439" i="23"/>
  <c r="CB439" i="23"/>
  <c r="CA439" i="23"/>
  <c r="BZ439" i="23"/>
  <c r="BL439" i="23"/>
  <c r="BF439" i="23"/>
  <c r="AZ439" i="23"/>
  <c r="AT439" i="23"/>
  <c r="AN439" i="23"/>
  <c r="AH439" i="23"/>
  <c r="AB439" i="23"/>
  <c r="R439" i="23"/>
  <c r="L439" i="23"/>
  <c r="CC438" i="23"/>
  <c r="CB438" i="23"/>
  <c r="CA438" i="23"/>
  <c r="BZ438" i="23"/>
  <c r="BL438" i="23"/>
  <c r="BF438" i="23"/>
  <c r="AZ438" i="23"/>
  <c r="AT438" i="23"/>
  <c r="AN438" i="23"/>
  <c r="AH438" i="23"/>
  <c r="AB438" i="23"/>
  <c r="R438" i="23"/>
  <c r="L438" i="23"/>
  <c r="CC437" i="23"/>
  <c r="CB437" i="23"/>
  <c r="CA437" i="23"/>
  <c r="BZ437" i="23"/>
  <c r="BL437" i="23"/>
  <c r="BF437" i="23"/>
  <c r="AZ437" i="23"/>
  <c r="AT437" i="23"/>
  <c r="AN437" i="23"/>
  <c r="AH437" i="23"/>
  <c r="AB437" i="23"/>
  <c r="R437" i="23"/>
  <c r="L437" i="23"/>
  <c r="CC436" i="23"/>
  <c r="CB436" i="23"/>
  <c r="CA436" i="23"/>
  <c r="BZ436" i="23"/>
  <c r="BL436" i="23"/>
  <c r="BF436" i="23"/>
  <c r="AZ436" i="23"/>
  <c r="AT436" i="23"/>
  <c r="AN436" i="23"/>
  <c r="AH436" i="23"/>
  <c r="AB436" i="23"/>
  <c r="R436" i="23"/>
  <c r="L436" i="23"/>
  <c r="CC435" i="23"/>
  <c r="CB435" i="23"/>
  <c r="CA435" i="23"/>
  <c r="BZ435" i="23"/>
  <c r="BL435" i="23"/>
  <c r="BF435" i="23"/>
  <c r="AZ435" i="23"/>
  <c r="AT435" i="23"/>
  <c r="AN435" i="23"/>
  <c r="AH435" i="23"/>
  <c r="AB435" i="23"/>
  <c r="R435" i="23"/>
  <c r="L435" i="23"/>
  <c r="CC434" i="23"/>
  <c r="CB434" i="23"/>
  <c r="CA434" i="23"/>
  <c r="BZ434" i="23"/>
  <c r="BL434" i="23"/>
  <c r="BF434" i="23"/>
  <c r="AZ434" i="23"/>
  <c r="AT434" i="23"/>
  <c r="AN434" i="23"/>
  <c r="AH434" i="23"/>
  <c r="AB434" i="23"/>
  <c r="R434" i="23"/>
  <c r="L434" i="23"/>
  <c r="CC433" i="23"/>
  <c r="CB433" i="23"/>
  <c r="CA433" i="23"/>
  <c r="BZ433" i="23"/>
  <c r="BL433" i="23"/>
  <c r="BF433" i="23"/>
  <c r="AZ433" i="23"/>
  <c r="AT433" i="23"/>
  <c r="AN433" i="23"/>
  <c r="AH433" i="23"/>
  <c r="AB433" i="23"/>
  <c r="R433" i="23"/>
  <c r="L433" i="23"/>
  <c r="CC432" i="23"/>
  <c r="CB432" i="23"/>
  <c r="CA432" i="23"/>
  <c r="BZ432" i="23"/>
  <c r="BL432" i="23"/>
  <c r="BF432" i="23"/>
  <c r="AZ432" i="23"/>
  <c r="AT432" i="23"/>
  <c r="AN432" i="23"/>
  <c r="AH432" i="23"/>
  <c r="AB432" i="23"/>
  <c r="R432" i="23"/>
  <c r="L432" i="23"/>
  <c r="CC568" i="23"/>
  <c r="CB568" i="23"/>
  <c r="CA568" i="23"/>
  <c r="BZ568" i="23"/>
  <c r="BL568" i="23"/>
  <c r="BF568" i="23"/>
  <c r="AZ568" i="23"/>
  <c r="AT568" i="23"/>
  <c r="AN568" i="23"/>
  <c r="AH568" i="23"/>
  <c r="AB568" i="23"/>
  <c r="R568" i="23"/>
  <c r="L568" i="23"/>
  <c r="H568" i="23"/>
  <c r="CC567" i="23"/>
  <c r="CB567" i="23"/>
  <c r="CA567" i="23"/>
  <c r="BZ567" i="23"/>
  <c r="BL567" i="23"/>
  <c r="BF567" i="23"/>
  <c r="AZ567" i="23"/>
  <c r="AT567" i="23"/>
  <c r="AN567" i="23"/>
  <c r="AH567" i="23"/>
  <c r="AB567" i="23"/>
  <c r="R567" i="23"/>
  <c r="L567" i="23"/>
  <c r="CC566" i="23"/>
  <c r="CB566" i="23"/>
  <c r="CA566" i="23"/>
  <c r="BZ566" i="23"/>
  <c r="BL566" i="23"/>
  <c r="BF566" i="23"/>
  <c r="AZ566" i="23"/>
  <c r="AT566" i="23"/>
  <c r="AN566" i="23"/>
  <c r="AH566" i="23"/>
  <c r="AB566" i="23"/>
  <c r="R566" i="23"/>
  <c r="L566" i="23"/>
  <c r="CC565" i="23"/>
  <c r="CB565" i="23"/>
  <c r="CA565" i="23"/>
  <c r="BZ565" i="23"/>
  <c r="BL565" i="23"/>
  <c r="BF565" i="23"/>
  <c r="AZ565" i="23"/>
  <c r="AT565" i="23"/>
  <c r="AN565" i="23"/>
  <c r="AH565" i="23"/>
  <c r="AB565" i="23"/>
  <c r="R565" i="23"/>
  <c r="L565" i="23"/>
  <c r="CC564" i="23"/>
  <c r="CB564" i="23"/>
  <c r="CA564" i="23"/>
  <c r="BZ564" i="23"/>
  <c r="BL564" i="23"/>
  <c r="BF564" i="23"/>
  <c r="AZ564" i="23"/>
  <c r="AT564" i="23"/>
  <c r="AN564" i="23"/>
  <c r="AH564" i="23"/>
  <c r="AB564" i="23"/>
  <c r="R564" i="23"/>
  <c r="L564" i="23"/>
  <c r="CC563" i="23"/>
  <c r="CB563" i="23"/>
  <c r="CA563" i="23"/>
  <c r="BZ563" i="23"/>
  <c r="BL563" i="23"/>
  <c r="BF563" i="23"/>
  <c r="AZ563" i="23"/>
  <c r="AT563" i="23"/>
  <c r="AN563" i="23"/>
  <c r="AH563" i="23"/>
  <c r="AB563" i="23"/>
  <c r="R563" i="23"/>
  <c r="L563" i="23"/>
  <c r="CC562" i="23"/>
  <c r="CB562" i="23"/>
  <c r="CA562" i="23"/>
  <c r="BZ562" i="23"/>
  <c r="BL562" i="23"/>
  <c r="BF562" i="23"/>
  <c r="AZ562" i="23"/>
  <c r="AT562" i="23"/>
  <c r="AN562" i="23"/>
  <c r="AH562" i="23"/>
  <c r="AB562" i="23"/>
  <c r="R562" i="23"/>
  <c r="L562" i="23"/>
  <c r="CC561" i="23"/>
  <c r="CB561" i="23"/>
  <c r="CA561" i="23"/>
  <c r="BZ561" i="23"/>
  <c r="BL561" i="23"/>
  <c r="BF561" i="23"/>
  <c r="AZ561" i="23"/>
  <c r="AT561" i="23"/>
  <c r="AN561" i="23"/>
  <c r="AH561" i="23"/>
  <c r="AB561" i="23"/>
  <c r="R561" i="23"/>
  <c r="L561" i="23"/>
  <c r="H561" i="23"/>
  <c r="CC560" i="23"/>
  <c r="CB560" i="23"/>
  <c r="CA560" i="23"/>
  <c r="BZ560" i="23"/>
  <c r="BL560" i="23"/>
  <c r="BF560" i="23"/>
  <c r="AZ560" i="23"/>
  <c r="AT560" i="23"/>
  <c r="AN560" i="23"/>
  <c r="AH560" i="23"/>
  <c r="AB560" i="23"/>
  <c r="R560" i="23"/>
  <c r="L560" i="23"/>
  <c r="CC559" i="23"/>
  <c r="CB559" i="23"/>
  <c r="CA559" i="23"/>
  <c r="BZ559" i="23"/>
  <c r="BL559" i="23"/>
  <c r="BF559" i="23"/>
  <c r="AZ559" i="23"/>
  <c r="AT559" i="23"/>
  <c r="AN559" i="23"/>
  <c r="AH559" i="23"/>
  <c r="AB559" i="23"/>
  <c r="R559" i="23"/>
  <c r="L559" i="23"/>
  <c r="CC558" i="23"/>
  <c r="CB558" i="23"/>
  <c r="CA558" i="23"/>
  <c r="BZ558" i="23"/>
  <c r="BL558" i="23"/>
  <c r="BF558" i="23"/>
  <c r="AZ558" i="23"/>
  <c r="AT558" i="23"/>
  <c r="AN558" i="23"/>
  <c r="AH558" i="23"/>
  <c r="AB558" i="23"/>
  <c r="R558" i="23"/>
  <c r="L558" i="23"/>
  <c r="CC557" i="23"/>
  <c r="CB557" i="23"/>
  <c r="CA557" i="23"/>
  <c r="BZ557" i="23"/>
  <c r="BL557" i="23"/>
  <c r="BF557" i="23"/>
  <c r="AZ557" i="23"/>
  <c r="AT557" i="23"/>
  <c r="AN557" i="23"/>
  <c r="AH557" i="23"/>
  <c r="AB557" i="23"/>
  <c r="R557" i="23"/>
  <c r="L557" i="23"/>
  <c r="CC556" i="23"/>
  <c r="CB556" i="23"/>
  <c r="CA556" i="23"/>
  <c r="BZ556" i="23"/>
  <c r="BL556" i="23"/>
  <c r="BF556" i="23"/>
  <c r="AZ556" i="23"/>
  <c r="AT556" i="23"/>
  <c r="AN556" i="23"/>
  <c r="AH556" i="23"/>
  <c r="AB556" i="23"/>
  <c r="R556" i="23"/>
  <c r="L556" i="23"/>
  <c r="CC555" i="23"/>
  <c r="CB555" i="23"/>
  <c r="CA555" i="23"/>
  <c r="BZ555" i="23"/>
  <c r="BL555" i="23"/>
  <c r="BF555" i="23"/>
  <c r="AZ555" i="23"/>
  <c r="AT555" i="23"/>
  <c r="AN555" i="23"/>
  <c r="AH555" i="23"/>
  <c r="AB555" i="23"/>
  <c r="R555" i="23"/>
  <c r="L555" i="23"/>
  <c r="CC642" i="23"/>
  <c r="CB642" i="23"/>
  <c r="CA642" i="23"/>
  <c r="BZ642" i="23"/>
  <c r="BL642" i="23"/>
  <c r="BF642" i="23"/>
  <c r="AZ642" i="23"/>
  <c r="AT642" i="23"/>
  <c r="AN642" i="23"/>
  <c r="AH642" i="23"/>
  <c r="AB642" i="23"/>
  <c r="R642" i="23"/>
  <c r="L642" i="23"/>
  <c r="CC641" i="23"/>
  <c r="CB641" i="23"/>
  <c r="CA641" i="23"/>
  <c r="BZ641" i="23"/>
  <c r="BL641" i="23"/>
  <c r="BF641" i="23"/>
  <c r="AZ641" i="23"/>
  <c r="AT641" i="23"/>
  <c r="AN641" i="23"/>
  <c r="AH641" i="23"/>
  <c r="AB641" i="23"/>
  <c r="R641" i="23"/>
  <c r="L641" i="23"/>
  <c r="CC640" i="23"/>
  <c r="CB640" i="23"/>
  <c r="CA640" i="23"/>
  <c r="BZ640" i="23"/>
  <c r="BL640" i="23"/>
  <c r="BF640" i="23"/>
  <c r="AZ640" i="23"/>
  <c r="AT640" i="23"/>
  <c r="AN640" i="23"/>
  <c r="AH640" i="23"/>
  <c r="AB640" i="23"/>
  <c r="R640" i="23"/>
  <c r="L640" i="23"/>
  <c r="CC1311" i="23"/>
  <c r="CB1311" i="23"/>
  <c r="CA1311" i="23"/>
  <c r="BZ1311" i="23"/>
  <c r="BL1311" i="23"/>
  <c r="BF1311" i="23"/>
  <c r="AZ1311" i="23"/>
  <c r="AT1311" i="23"/>
  <c r="AN1311" i="23"/>
  <c r="AH1311" i="23"/>
  <c r="AB1311" i="23"/>
  <c r="R1311" i="23"/>
  <c r="L1311" i="23"/>
  <c r="CC1310" i="23"/>
  <c r="CB1310" i="23"/>
  <c r="CA1310" i="23"/>
  <c r="BZ1310" i="23"/>
  <c r="BL1310" i="23"/>
  <c r="BF1310" i="23"/>
  <c r="AZ1310" i="23"/>
  <c r="AT1310" i="23"/>
  <c r="AN1310" i="23"/>
  <c r="AH1310" i="23"/>
  <c r="AB1310" i="23"/>
  <c r="R1310" i="23"/>
  <c r="L1310" i="23"/>
  <c r="CC1309" i="23"/>
  <c r="CB1309" i="23"/>
  <c r="CA1309" i="23"/>
  <c r="BZ1309" i="23"/>
  <c r="BL1309" i="23"/>
  <c r="BF1309" i="23"/>
  <c r="AZ1309" i="23"/>
  <c r="AT1309" i="23"/>
  <c r="AN1309" i="23"/>
  <c r="AH1309" i="23"/>
  <c r="AB1309" i="23"/>
  <c r="R1309" i="23"/>
  <c r="L1309" i="23"/>
  <c r="CC1308" i="23"/>
  <c r="CB1308" i="23"/>
  <c r="CA1308" i="23"/>
  <c r="BZ1308" i="23"/>
  <c r="BL1308" i="23"/>
  <c r="BF1308" i="23"/>
  <c r="AZ1308" i="23"/>
  <c r="AT1308" i="23"/>
  <c r="AN1308" i="23"/>
  <c r="AH1308" i="23"/>
  <c r="AB1308" i="23"/>
  <c r="R1308" i="23"/>
  <c r="L1308" i="23"/>
  <c r="CC1307" i="23"/>
  <c r="CB1307" i="23"/>
  <c r="CA1307" i="23"/>
  <c r="BZ1307" i="23"/>
  <c r="BL1307" i="23"/>
  <c r="BF1307" i="23"/>
  <c r="AZ1307" i="23"/>
  <c r="AT1307" i="23"/>
  <c r="AN1307" i="23"/>
  <c r="AH1307" i="23"/>
  <c r="AB1307" i="23"/>
  <c r="R1307" i="23"/>
  <c r="L1307" i="23"/>
  <c r="CC1306" i="23"/>
  <c r="CB1306" i="23"/>
  <c r="CA1306" i="23"/>
  <c r="BZ1306" i="23"/>
  <c r="BL1306" i="23"/>
  <c r="BF1306" i="23"/>
  <c r="AZ1306" i="23"/>
  <c r="AT1306" i="23"/>
  <c r="AN1306" i="23"/>
  <c r="AH1306" i="23"/>
  <c r="AB1306" i="23"/>
  <c r="R1306" i="23"/>
  <c r="L1306" i="23"/>
  <c r="CC1305" i="23"/>
  <c r="CB1305" i="23"/>
  <c r="CA1305" i="23"/>
  <c r="BZ1305" i="23"/>
  <c r="BL1305" i="23"/>
  <c r="BF1305" i="23"/>
  <c r="AZ1305" i="23"/>
  <c r="AT1305" i="23"/>
  <c r="AN1305" i="23"/>
  <c r="AH1305" i="23"/>
  <c r="AB1305" i="23"/>
  <c r="R1305" i="23"/>
  <c r="L1305" i="23"/>
  <c r="CC1304" i="23"/>
  <c r="CB1304" i="23"/>
  <c r="CA1304" i="23"/>
  <c r="BZ1304" i="23"/>
  <c r="BL1304" i="23"/>
  <c r="BF1304" i="23"/>
  <c r="AZ1304" i="23"/>
  <c r="AT1304" i="23"/>
  <c r="AN1304" i="23"/>
  <c r="AH1304" i="23"/>
  <c r="AB1304" i="23"/>
  <c r="R1304" i="23"/>
  <c r="L1304" i="23"/>
  <c r="CC1303" i="23"/>
  <c r="CB1303" i="23"/>
  <c r="CA1303" i="23"/>
  <c r="BZ1303" i="23"/>
  <c r="BL1303" i="23"/>
  <c r="BF1303" i="23"/>
  <c r="AZ1303" i="23"/>
  <c r="AT1303" i="23"/>
  <c r="AN1303" i="23"/>
  <c r="AH1303" i="23"/>
  <c r="AB1303" i="23"/>
  <c r="R1303" i="23"/>
  <c r="L1303" i="23"/>
  <c r="CC1302" i="23"/>
  <c r="CB1302" i="23"/>
  <c r="CA1302" i="23"/>
  <c r="BZ1302" i="23"/>
  <c r="BL1302" i="23"/>
  <c r="BF1302" i="23"/>
  <c r="AZ1302" i="23"/>
  <c r="AT1302" i="23"/>
  <c r="AN1302" i="23"/>
  <c r="AH1302" i="23"/>
  <c r="AB1302" i="23"/>
  <c r="R1302" i="23"/>
  <c r="L1302" i="23"/>
  <c r="CC1301" i="23"/>
  <c r="CB1301" i="23"/>
  <c r="CA1301" i="23"/>
  <c r="BZ1301" i="23"/>
  <c r="BL1301" i="23"/>
  <c r="BF1301" i="23"/>
  <c r="AZ1301" i="23"/>
  <c r="AT1301" i="23"/>
  <c r="AN1301" i="23"/>
  <c r="AH1301" i="23"/>
  <c r="AB1301" i="23"/>
  <c r="R1301" i="23"/>
  <c r="L1301" i="23"/>
  <c r="CC1153" i="23"/>
  <c r="CB1153" i="23"/>
  <c r="CA1153" i="23"/>
  <c r="BZ1153" i="23"/>
  <c r="BL1153" i="23"/>
  <c r="BF1153" i="23"/>
  <c r="AZ1153" i="23"/>
  <c r="AT1153" i="23"/>
  <c r="AN1153" i="23"/>
  <c r="AH1153" i="23"/>
  <c r="AB1153" i="23"/>
  <c r="R1153" i="23"/>
  <c r="L1153" i="23"/>
  <c r="CC1152" i="23"/>
  <c r="CB1152" i="23"/>
  <c r="CA1152" i="23"/>
  <c r="BZ1152" i="23"/>
  <c r="BL1152" i="23"/>
  <c r="BF1152" i="23"/>
  <c r="AZ1152" i="23"/>
  <c r="AT1152" i="23"/>
  <c r="AN1152" i="23"/>
  <c r="AH1152" i="23"/>
  <c r="AB1152" i="23"/>
  <c r="R1152" i="23"/>
  <c r="L1152" i="23"/>
  <c r="CC1151" i="23"/>
  <c r="CB1151" i="23"/>
  <c r="CA1151" i="23"/>
  <c r="BZ1151" i="23"/>
  <c r="BL1151" i="23"/>
  <c r="BF1151" i="23"/>
  <c r="AZ1151" i="23"/>
  <c r="AT1151" i="23"/>
  <c r="AN1151" i="23"/>
  <c r="AH1151" i="23"/>
  <c r="AB1151" i="23"/>
  <c r="R1151" i="23"/>
  <c r="L1151" i="23"/>
  <c r="CC1150" i="23"/>
  <c r="CB1150" i="23"/>
  <c r="CA1150" i="23"/>
  <c r="BZ1150" i="23"/>
  <c r="BL1150" i="23"/>
  <c r="BF1150" i="23"/>
  <c r="AZ1150" i="23"/>
  <c r="AT1150" i="23"/>
  <c r="AN1150" i="23"/>
  <c r="AH1150" i="23"/>
  <c r="AB1150" i="23"/>
  <c r="R1150" i="23"/>
  <c r="L1150" i="23"/>
  <c r="CC1149" i="23"/>
  <c r="CB1149" i="23"/>
  <c r="CA1149" i="23"/>
  <c r="BZ1149" i="23"/>
  <c r="BL1149" i="23"/>
  <c r="BF1149" i="23"/>
  <c r="AZ1149" i="23"/>
  <c r="AT1149" i="23"/>
  <c r="AN1149" i="23"/>
  <c r="AH1149" i="23"/>
  <c r="AB1149" i="23"/>
  <c r="R1149" i="23"/>
  <c r="L1149" i="23"/>
  <c r="H1149" i="23"/>
  <c r="CC1148" i="23"/>
  <c r="CB1148" i="23"/>
  <c r="CA1148" i="23"/>
  <c r="BZ1148" i="23"/>
  <c r="BL1148" i="23"/>
  <c r="BF1148" i="23"/>
  <c r="AZ1148" i="23"/>
  <c r="AT1148" i="23"/>
  <c r="AN1148" i="23"/>
  <c r="AH1148" i="23"/>
  <c r="AB1148" i="23"/>
  <c r="R1148" i="23"/>
  <c r="L1148" i="23"/>
  <c r="H1148" i="23"/>
  <c r="CC1147" i="23"/>
  <c r="CB1147" i="23"/>
  <c r="CA1147" i="23"/>
  <c r="BZ1147" i="23"/>
  <c r="BL1147" i="23"/>
  <c r="BF1147" i="23"/>
  <c r="AZ1147" i="23"/>
  <c r="AT1147" i="23"/>
  <c r="AN1147" i="23"/>
  <c r="AH1147" i="23"/>
  <c r="AB1147" i="23"/>
  <c r="R1147" i="23"/>
  <c r="L1147" i="23"/>
  <c r="CC1146" i="23"/>
  <c r="CB1146" i="23"/>
  <c r="CA1146" i="23"/>
  <c r="BZ1146" i="23"/>
  <c r="BL1146" i="23"/>
  <c r="BF1146" i="23"/>
  <c r="AZ1146" i="23"/>
  <c r="AT1146" i="23"/>
  <c r="AN1146" i="23"/>
  <c r="AH1146" i="23"/>
  <c r="AB1146" i="23"/>
  <c r="R1146" i="23"/>
  <c r="L1146" i="23"/>
  <c r="CC1145" i="23"/>
  <c r="CB1145" i="23"/>
  <c r="CA1145" i="23"/>
  <c r="BZ1145" i="23"/>
  <c r="BL1145" i="23"/>
  <c r="BF1145" i="23"/>
  <c r="AZ1145" i="23"/>
  <c r="AT1145" i="23"/>
  <c r="AN1145" i="23"/>
  <c r="AH1145" i="23"/>
  <c r="AB1145" i="23"/>
  <c r="R1145" i="23"/>
  <c r="L1145" i="23"/>
  <c r="H1145" i="23"/>
  <c r="CC1144" i="23"/>
  <c r="CB1144" i="23"/>
  <c r="CA1144" i="23"/>
  <c r="BZ1144" i="23"/>
  <c r="BL1144" i="23"/>
  <c r="BF1144" i="23"/>
  <c r="AZ1144" i="23"/>
  <c r="AT1144" i="23"/>
  <c r="AN1144" i="23"/>
  <c r="AH1144" i="23"/>
  <c r="AB1144" i="23"/>
  <c r="R1144" i="23"/>
  <c r="L1144" i="23"/>
  <c r="CC1143" i="23"/>
  <c r="CB1143" i="23"/>
  <c r="CA1143" i="23"/>
  <c r="BZ1143" i="23"/>
  <c r="BL1143" i="23"/>
  <c r="BF1143" i="23"/>
  <c r="AZ1143" i="23"/>
  <c r="AT1143" i="23"/>
  <c r="AN1143" i="23"/>
  <c r="AH1143" i="23"/>
  <c r="AB1143" i="23"/>
  <c r="R1143" i="23"/>
  <c r="L1143" i="23"/>
  <c r="CC1142" i="23"/>
  <c r="CB1142" i="23"/>
  <c r="CA1142" i="23"/>
  <c r="BZ1142" i="23"/>
  <c r="BL1142" i="23"/>
  <c r="BF1142" i="23"/>
  <c r="AZ1142" i="23"/>
  <c r="AT1142" i="23"/>
  <c r="AN1142" i="23"/>
  <c r="AH1142" i="23"/>
  <c r="AB1142" i="23"/>
  <c r="R1142" i="23"/>
  <c r="L1142" i="23"/>
  <c r="CC1141" i="23"/>
  <c r="CB1141" i="23"/>
  <c r="CA1141" i="23"/>
  <c r="BZ1141" i="23"/>
  <c r="BL1141" i="23"/>
  <c r="BF1141" i="23"/>
  <c r="AZ1141" i="23"/>
  <c r="AT1141" i="23"/>
  <c r="AN1141" i="23"/>
  <c r="AH1141" i="23"/>
  <c r="AB1141" i="23"/>
  <c r="R1141" i="23"/>
  <c r="L1141" i="23"/>
  <c r="H1141" i="23"/>
  <c r="CC1140" i="23"/>
  <c r="CB1140" i="23"/>
  <c r="CA1140" i="23"/>
  <c r="BZ1140" i="23"/>
  <c r="BL1140" i="23"/>
  <c r="BF1140" i="23"/>
  <c r="AZ1140" i="23"/>
  <c r="AT1140" i="23"/>
  <c r="AN1140" i="23"/>
  <c r="AH1140" i="23"/>
  <c r="AB1140" i="23"/>
  <c r="R1140" i="23"/>
  <c r="L1140" i="23"/>
  <c r="H1140" i="23"/>
  <c r="CC1139" i="23"/>
  <c r="CB1139" i="23"/>
  <c r="CA1139" i="23"/>
  <c r="BZ1139" i="23"/>
  <c r="BL1139" i="23"/>
  <c r="BF1139" i="23"/>
  <c r="AZ1139" i="23"/>
  <c r="AT1139" i="23"/>
  <c r="AN1139" i="23"/>
  <c r="AH1139" i="23"/>
  <c r="AB1139" i="23"/>
  <c r="R1139" i="23"/>
  <c r="L1139" i="23"/>
  <c r="CC1138" i="23"/>
  <c r="CB1138" i="23"/>
  <c r="CA1138" i="23"/>
  <c r="BZ1138" i="23"/>
  <c r="BL1138" i="23"/>
  <c r="BF1138" i="23"/>
  <c r="AZ1138" i="23"/>
  <c r="AT1138" i="23"/>
  <c r="AN1138" i="23"/>
  <c r="AH1138" i="23"/>
  <c r="AB1138" i="23"/>
  <c r="R1138" i="23"/>
  <c r="L1138" i="23"/>
  <c r="CC1137" i="23"/>
  <c r="CB1137" i="23"/>
  <c r="CA1137" i="23"/>
  <c r="BZ1137" i="23"/>
  <c r="BL1137" i="23"/>
  <c r="BF1137" i="23"/>
  <c r="AZ1137" i="23"/>
  <c r="AT1137" i="23"/>
  <c r="AN1137" i="23"/>
  <c r="AH1137" i="23"/>
  <c r="AB1137" i="23"/>
  <c r="R1137" i="23"/>
  <c r="L1137" i="23"/>
  <c r="CC1136" i="23"/>
  <c r="CB1136" i="23"/>
  <c r="CA1136" i="23"/>
  <c r="BZ1136" i="23"/>
  <c r="BL1136" i="23"/>
  <c r="BF1136" i="23"/>
  <c r="AZ1136" i="23"/>
  <c r="AT1136" i="23"/>
  <c r="AN1136" i="23"/>
  <c r="AH1136" i="23"/>
  <c r="AB1136" i="23"/>
  <c r="R1136" i="23"/>
  <c r="L1136" i="23"/>
  <c r="CC1135" i="23"/>
  <c r="CB1135" i="23"/>
  <c r="CA1135" i="23"/>
  <c r="BZ1135" i="23"/>
  <c r="BL1135" i="23"/>
  <c r="BF1135" i="23"/>
  <c r="AZ1135" i="23"/>
  <c r="AT1135" i="23"/>
  <c r="AN1135" i="23"/>
  <c r="AH1135" i="23"/>
  <c r="AB1135" i="23"/>
  <c r="R1135" i="23"/>
  <c r="L1135" i="23"/>
  <c r="CC1134" i="23"/>
  <c r="CB1134" i="23"/>
  <c r="CA1134" i="23"/>
  <c r="BZ1134" i="23"/>
  <c r="BL1134" i="23"/>
  <c r="BF1134" i="23"/>
  <c r="AZ1134" i="23"/>
  <c r="AT1134" i="23"/>
  <c r="AN1134" i="23"/>
  <c r="AH1134" i="23"/>
  <c r="AB1134" i="23"/>
  <c r="R1134" i="23"/>
  <c r="L1134" i="23"/>
  <c r="CC1133" i="23"/>
  <c r="CB1133" i="23"/>
  <c r="CA1133" i="23"/>
  <c r="BZ1133" i="23"/>
  <c r="BL1133" i="23"/>
  <c r="BF1133" i="23"/>
  <c r="AZ1133" i="23"/>
  <c r="AT1133" i="23"/>
  <c r="AN1133" i="23"/>
  <c r="AH1133" i="23"/>
  <c r="AB1133" i="23"/>
  <c r="R1133" i="23"/>
  <c r="L1133" i="23"/>
  <c r="CC1132" i="23"/>
  <c r="CB1132" i="23"/>
  <c r="CA1132" i="23"/>
  <c r="BZ1132" i="23"/>
  <c r="BL1132" i="23"/>
  <c r="BF1132" i="23"/>
  <c r="AZ1132" i="23"/>
  <c r="AT1132" i="23"/>
  <c r="AN1132" i="23"/>
  <c r="AH1132" i="23"/>
  <c r="AB1132" i="23"/>
  <c r="R1132" i="23"/>
  <c r="L1132" i="23"/>
  <c r="CD1146" i="23" l="1"/>
  <c r="BM1148" i="23"/>
  <c r="CD1149" i="23"/>
  <c r="CE1149" i="23" s="1"/>
  <c r="BM561" i="23"/>
  <c r="CD567" i="23"/>
  <c r="CE567" i="23" s="1"/>
  <c r="BM433" i="23"/>
  <c r="CD451" i="23"/>
  <c r="CD448" i="23"/>
  <c r="CE448" i="23" s="1"/>
  <c r="CD1303" i="23"/>
  <c r="CE1303" i="23" s="1"/>
  <c r="CD1309" i="23"/>
  <c r="CD434" i="23"/>
  <c r="CD452" i="23"/>
  <c r="CE452" i="23" s="1"/>
  <c r="CD1308" i="23"/>
  <c r="CE1308" i="23" s="1"/>
  <c r="CD1304" i="23"/>
  <c r="CD640" i="23"/>
  <c r="CD1306" i="23"/>
  <c r="CD559" i="23"/>
  <c r="CE559" i="23" s="1"/>
  <c r="CD641" i="23"/>
  <c r="CE641" i="23" s="1"/>
  <c r="CD1152" i="23"/>
  <c r="CE1152" i="23" s="1"/>
  <c r="CD1307" i="23"/>
  <c r="CD444" i="23"/>
  <c r="CD1136" i="23"/>
  <c r="CE1136" i="23" s="1"/>
  <c r="CD1142" i="23"/>
  <c r="CD1145" i="23"/>
  <c r="CE1145" i="23" s="1"/>
  <c r="CD1310" i="23"/>
  <c r="CE1310" i="23" s="1"/>
  <c r="CD453" i="23"/>
  <c r="CE453" i="23" s="1"/>
  <c r="CD1301" i="23"/>
  <c r="CD1151" i="23"/>
  <c r="CE1151" i="23" s="1"/>
  <c r="CD439" i="23"/>
  <c r="CE439" i="23" s="1"/>
  <c r="CE443" i="23"/>
  <c r="CD1139" i="23"/>
  <c r="CE1139" i="23" s="1"/>
  <c r="CD433" i="23"/>
  <c r="CE433" i="23" s="1"/>
  <c r="CD1153" i="23"/>
  <c r="CE1153" i="23" s="1"/>
  <c r="CD560" i="23"/>
  <c r="CE560" i="23" s="1"/>
  <c r="CD566" i="23"/>
  <c r="CE566" i="23" s="1"/>
  <c r="CD432" i="23"/>
  <c r="CE445" i="23"/>
  <c r="CD1150" i="23"/>
  <c r="CD1311" i="23"/>
  <c r="CE1311" i="23" s="1"/>
  <c r="CD642" i="23"/>
  <c r="CE642" i="23" s="1"/>
  <c r="CE563" i="23"/>
  <c r="BM1140" i="23"/>
  <c r="CD556" i="23"/>
  <c r="CE556" i="23" s="1"/>
  <c r="BM1141" i="23"/>
  <c r="CD1147" i="23"/>
  <c r="CE1147" i="23" s="1"/>
  <c r="CD1302" i="23"/>
  <c r="CD1305" i="23"/>
  <c r="CE1305" i="23" s="1"/>
  <c r="CD450" i="23"/>
  <c r="CE450" i="23" s="1"/>
  <c r="BM1145" i="23"/>
  <c r="BM1149" i="23"/>
  <c r="CD557" i="23"/>
  <c r="CE557" i="23" s="1"/>
  <c r="CD436" i="23"/>
  <c r="CE436" i="23" s="1"/>
  <c r="CD1133" i="23"/>
  <c r="CE1133" i="23" s="1"/>
  <c r="BM568" i="23"/>
  <c r="CD440" i="23"/>
  <c r="CD1138" i="23"/>
  <c r="CE1138" i="23" s="1"/>
  <c r="BM1311" i="23"/>
  <c r="CD565" i="23"/>
  <c r="CE565" i="23" s="1"/>
  <c r="CD568" i="23"/>
  <c r="CE568" i="23" s="1"/>
  <c r="CD438" i="23"/>
  <c r="CE438" i="23" s="1"/>
  <c r="BM450" i="23"/>
  <c r="CD1135" i="23"/>
  <c r="CE1135" i="23" s="1"/>
  <c r="CD1144" i="23"/>
  <c r="CE1144" i="23" s="1"/>
  <c r="CD1148" i="23"/>
  <c r="CE1148" i="23" s="1"/>
  <c r="CD562" i="23"/>
  <c r="CD435" i="23"/>
  <c r="CE435" i="23" s="1"/>
  <c r="CD442" i="23"/>
  <c r="CE442" i="23" s="1"/>
  <c r="CD447" i="23"/>
  <c r="CE447" i="23" s="1"/>
  <c r="CD1132" i="23"/>
  <c r="CD1141" i="23"/>
  <c r="CE1141" i="23" s="1"/>
  <c r="CD558" i="23"/>
  <c r="CD564" i="23"/>
  <c r="CE564" i="23" s="1"/>
  <c r="CD437" i="23"/>
  <c r="CE437" i="23" s="1"/>
  <c r="CD449" i="23"/>
  <c r="CE449" i="23" s="1"/>
  <c r="CD1137" i="23"/>
  <c r="CD1134" i="23"/>
  <c r="CE1134" i="23" s="1"/>
  <c r="CD1140" i="23"/>
  <c r="CE1140" i="23" s="1"/>
  <c r="CD1143" i="23"/>
  <c r="CE1143" i="23" s="1"/>
  <c r="CD555" i="23"/>
  <c r="CD561" i="23"/>
  <c r="CE561" i="23" s="1"/>
  <c r="CD441" i="23"/>
  <c r="CE441" i="23" s="1"/>
  <c r="CD446" i="23"/>
  <c r="CE446" i="23" s="1"/>
  <c r="CE555" i="23" l="1"/>
  <c r="CE558" i="23"/>
  <c r="CE562" i="23"/>
  <c r="CE440" i="23"/>
  <c r="CE432" i="23"/>
  <c r="CE444" i="23"/>
  <c r="CE640" i="23"/>
  <c r="CE434" i="23"/>
  <c r="CE451" i="23"/>
  <c r="CE1301" i="23"/>
  <c r="CE1137" i="23"/>
  <c r="CE1132" i="23"/>
  <c r="CE1302" i="23"/>
  <c r="CE1150" i="23"/>
  <c r="CE1142" i="23"/>
  <c r="CE1307" i="23"/>
  <c r="CE1306" i="23"/>
  <c r="CE1304" i="23"/>
  <c r="CE1309" i="23"/>
  <c r="CE1146" i="23"/>
  <c r="CC85" i="23" l="1"/>
  <c r="CB85" i="23"/>
  <c r="CA85" i="23"/>
  <c r="BZ85" i="23"/>
  <c r="BL85" i="23"/>
  <c r="BF85" i="23"/>
  <c r="AZ85" i="23"/>
  <c r="AT85" i="23"/>
  <c r="AN85" i="23"/>
  <c r="AH85" i="23"/>
  <c r="AB85" i="23"/>
  <c r="R85" i="23"/>
  <c r="L85" i="23"/>
  <c r="CC84" i="23"/>
  <c r="CB84" i="23"/>
  <c r="CA84" i="23"/>
  <c r="BZ84" i="23"/>
  <c r="BL84" i="23"/>
  <c r="BF84" i="23"/>
  <c r="AZ84" i="23"/>
  <c r="AT84" i="23"/>
  <c r="AN84" i="23"/>
  <c r="AH84" i="23"/>
  <c r="AB84" i="23"/>
  <c r="R84" i="23"/>
  <c r="L84" i="23"/>
  <c r="CD84" i="23" l="1"/>
  <c r="CD85" i="23"/>
  <c r="CE85" i="23" s="1"/>
  <c r="BM85" i="23"/>
  <c r="CE84" i="23" l="1"/>
  <c r="CC639" i="23"/>
  <c r="CB639" i="23"/>
  <c r="CA639" i="23"/>
  <c r="BZ639" i="23"/>
  <c r="BL639" i="23"/>
  <c r="BF639" i="23"/>
  <c r="AZ639" i="23"/>
  <c r="AT639" i="23"/>
  <c r="AN639" i="23"/>
  <c r="AH639" i="23"/>
  <c r="AB639" i="23"/>
  <c r="R639" i="23"/>
  <c r="L639" i="23"/>
  <c r="CC638" i="23"/>
  <c r="CB638" i="23"/>
  <c r="CA638" i="23"/>
  <c r="BZ638" i="23"/>
  <c r="BL638" i="23"/>
  <c r="BF638" i="23"/>
  <c r="AZ638" i="23"/>
  <c r="AT638" i="23"/>
  <c r="AN638" i="23"/>
  <c r="AH638" i="23"/>
  <c r="AB638" i="23"/>
  <c r="R638" i="23"/>
  <c r="L638" i="23"/>
  <c r="CC637" i="23"/>
  <c r="CB637" i="23"/>
  <c r="CA637" i="23"/>
  <c r="BZ637" i="23"/>
  <c r="BL637" i="23"/>
  <c r="BF637" i="23"/>
  <c r="AZ637" i="23"/>
  <c r="AT637" i="23"/>
  <c r="AN637" i="23"/>
  <c r="AH637" i="23"/>
  <c r="AB637" i="23"/>
  <c r="R637" i="23"/>
  <c r="L637" i="23"/>
  <c r="CC554" i="23"/>
  <c r="CB554" i="23"/>
  <c r="CA554" i="23"/>
  <c r="BZ554" i="23"/>
  <c r="BL554" i="23"/>
  <c r="BF554" i="23"/>
  <c r="AZ554" i="23"/>
  <c r="AT554" i="23"/>
  <c r="AN554" i="23"/>
  <c r="AH554" i="23"/>
  <c r="AB554" i="23"/>
  <c r="R554" i="23"/>
  <c r="L554" i="23"/>
  <c r="CC553" i="23"/>
  <c r="CB553" i="23"/>
  <c r="CA553" i="23"/>
  <c r="BZ553" i="23"/>
  <c r="BL553" i="23"/>
  <c r="BF553" i="23"/>
  <c r="AZ553" i="23"/>
  <c r="AT553" i="23"/>
  <c r="AN553" i="23"/>
  <c r="AH553" i="23"/>
  <c r="AB553" i="23"/>
  <c r="R553" i="23"/>
  <c r="L553" i="23"/>
  <c r="CC552" i="23"/>
  <c r="CB552" i="23"/>
  <c r="CA552" i="23"/>
  <c r="BZ552" i="23"/>
  <c r="BL552" i="23"/>
  <c r="BF552" i="23"/>
  <c r="AZ552" i="23"/>
  <c r="AT552" i="23"/>
  <c r="AN552" i="23"/>
  <c r="AH552" i="23"/>
  <c r="AB552" i="23"/>
  <c r="R552" i="23"/>
  <c r="L552" i="23"/>
  <c r="CC551" i="23"/>
  <c r="CB551" i="23"/>
  <c r="CA551" i="23"/>
  <c r="BZ551" i="23"/>
  <c r="BL551" i="23"/>
  <c r="BF551" i="23"/>
  <c r="AZ551" i="23"/>
  <c r="AT551" i="23"/>
  <c r="AN551" i="23"/>
  <c r="AH551" i="23"/>
  <c r="AB551" i="23"/>
  <c r="R551" i="23"/>
  <c r="L551" i="23"/>
  <c r="CC550" i="23"/>
  <c r="CB550" i="23"/>
  <c r="CA550" i="23"/>
  <c r="BZ550" i="23"/>
  <c r="BL550" i="23"/>
  <c r="BF550" i="23"/>
  <c r="AZ550" i="23"/>
  <c r="AT550" i="23"/>
  <c r="AN550" i="23"/>
  <c r="AH550" i="23"/>
  <c r="AB550" i="23"/>
  <c r="R550" i="23"/>
  <c r="L550" i="23"/>
  <c r="CC549" i="23"/>
  <c r="CB549" i="23"/>
  <c r="CA549" i="23"/>
  <c r="BZ549" i="23"/>
  <c r="BL549" i="23"/>
  <c r="BF549" i="23"/>
  <c r="AZ549" i="23"/>
  <c r="AT549" i="23"/>
  <c r="AN549" i="23"/>
  <c r="AH549" i="23"/>
  <c r="AB549" i="23"/>
  <c r="R549" i="23"/>
  <c r="L549" i="23"/>
  <c r="CC548" i="23"/>
  <c r="CB548" i="23"/>
  <c r="CA548" i="23"/>
  <c r="BZ548" i="23"/>
  <c r="BL548" i="23"/>
  <c r="BF548" i="23"/>
  <c r="AZ548" i="23"/>
  <c r="AT548" i="23"/>
  <c r="AN548" i="23"/>
  <c r="AH548" i="23"/>
  <c r="AB548" i="23"/>
  <c r="R548" i="23"/>
  <c r="L548" i="23"/>
  <c r="CC547" i="23"/>
  <c r="CB547" i="23"/>
  <c r="CA547" i="23"/>
  <c r="BZ547" i="23"/>
  <c r="BL547" i="23"/>
  <c r="BF547" i="23"/>
  <c r="AZ547" i="23"/>
  <c r="AT547" i="23"/>
  <c r="AN547" i="23"/>
  <c r="AH547" i="23"/>
  <c r="AB547" i="23"/>
  <c r="R547" i="23"/>
  <c r="L547" i="23"/>
  <c r="CC546" i="23"/>
  <c r="CB546" i="23"/>
  <c r="CA546" i="23"/>
  <c r="BZ546" i="23"/>
  <c r="BL546" i="23"/>
  <c r="BF546" i="23"/>
  <c r="AZ546" i="23"/>
  <c r="AT546" i="23"/>
  <c r="AN546" i="23"/>
  <c r="AH546" i="23"/>
  <c r="AB546" i="23"/>
  <c r="R546" i="23"/>
  <c r="L546" i="23"/>
  <c r="CC545" i="23"/>
  <c r="CB545" i="23"/>
  <c r="CA545" i="23"/>
  <c r="BZ545" i="23"/>
  <c r="BL545" i="23"/>
  <c r="BF545" i="23"/>
  <c r="AZ545" i="23"/>
  <c r="AT545" i="23"/>
  <c r="AN545" i="23"/>
  <c r="AH545" i="23"/>
  <c r="AB545" i="23"/>
  <c r="R545" i="23"/>
  <c r="L545" i="23"/>
  <c r="H545" i="23"/>
  <c r="CC544" i="23"/>
  <c r="CB544" i="23"/>
  <c r="CA544" i="23"/>
  <c r="BZ544" i="23"/>
  <c r="BL544" i="23"/>
  <c r="BF544" i="23"/>
  <c r="AZ544" i="23"/>
  <c r="AT544" i="23"/>
  <c r="AN544" i="23"/>
  <c r="AH544" i="23"/>
  <c r="AB544" i="23"/>
  <c r="R544" i="23"/>
  <c r="L544" i="23"/>
  <c r="CC543" i="23"/>
  <c r="CB543" i="23"/>
  <c r="CA543" i="23"/>
  <c r="BZ543" i="23"/>
  <c r="BL543" i="23"/>
  <c r="BF543" i="23"/>
  <c r="AZ543" i="23"/>
  <c r="AT543" i="23"/>
  <c r="AN543" i="23"/>
  <c r="AH543" i="23"/>
  <c r="AB543" i="23"/>
  <c r="R543" i="23"/>
  <c r="L543" i="23"/>
  <c r="CC431" i="23"/>
  <c r="CB431" i="23"/>
  <c r="CA431" i="23"/>
  <c r="BZ431" i="23"/>
  <c r="BL431" i="23"/>
  <c r="BF431" i="23"/>
  <c r="AZ431" i="23"/>
  <c r="AT431" i="23"/>
  <c r="AN431" i="23"/>
  <c r="AH431" i="23"/>
  <c r="AB431" i="23"/>
  <c r="R431" i="23"/>
  <c r="L431" i="23"/>
  <c r="CC430" i="23"/>
  <c r="CB430" i="23"/>
  <c r="CA430" i="23"/>
  <c r="BZ430" i="23"/>
  <c r="BL430" i="23"/>
  <c r="BF430" i="23"/>
  <c r="AZ430" i="23"/>
  <c r="AT430" i="23"/>
  <c r="AN430" i="23"/>
  <c r="AH430" i="23"/>
  <c r="AB430" i="23"/>
  <c r="R430" i="23"/>
  <c r="L430" i="23"/>
  <c r="CC429" i="23"/>
  <c r="CB429" i="23"/>
  <c r="CA429" i="23"/>
  <c r="BZ429" i="23"/>
  <c r="BL429" i="23"/>
  <c r="BF429" i="23"/>
  <c r="AZ429" i="23"/>
  <c r="AT429" i="23"/>
  <c r="AN429" i="23"/>
  <c r="AH429" i="23"/>
  <c r="AB429" i="23"/>
  <c r="R429" i="23"/>
  <c r="L429" i="23"/>
  <c r="CC428" i="23"/>
  <c r="CB428" i="23"/>
  <c r="CA428" i="23"/>
  <c r="BZ428" i="23"/>
  <c r="BL428" i="23"/>
  <c r="BF428" i="23"/>
  <c r="AZ428" i="23"/>
  <c r="AT428" i="23"/>
  <c r="AN428" i="23"/>
  <c r="AH428" i="23"/>
  <c r="AB428" i="23"/>
  <c r="R428" i="23"/>
  <c r="L428" i="23"/>
  <c r="CC427" i="23"/>
  <c r="CB427" i="23"/>
  <c r="CA427" i="23"/>
  <c r="BZ427" i="23"/>
  <c r="BL427" i="23"/>
  <c r="BF427" i="23"/>
  <c r="AZ427" i="23"/>
  <c r="AT427" i="23"/>
  <c r="AN427" i="23"/>
  <c r="AH427" i="23"/>
  <c r="AB427" i="23"/>
  <c r="R427" i="23"/>
  <c r="L427" i="23"/>
  <c r="CC426" i="23"/>
  <c r="CB426" i="23"/>
  <c r="CA426" i="23"/>
  <c r="BZ426" i="23"/>
  <c r="BL426" i="23"/>
  <c r="BF426" i="23"/>
  <c r="AZ426" i="23"/>
  <c r="AT426" i="23"/>
  <c r="AN426" i="23"/>
  <c r="AH426" i="23"/>
  <c r="AB426" i="23"/>
  <c r="R426" i="23"/>
  <c r="L426" i="23"/>
  <c r="H426" i="23"/>
  <c r="CC425" i="23"/>
  <c r="CB425" i="23"/>
  <c r="CA425" i="23"/>
  <c r="BZ425" i="23"/>
  <c r="BL425" i="23"/>
  <c r="BF425" i="23"/>
  <c r="AZ425" i="23"/>
  <c r="AT425" i="23"/>
  <c r="AN425" i="23"/>
  <c r="AH425" i="23"/>
  <c r="AB425" i="23"/>
  <c r="R425" i="23"/>
  <c r="L425" i="23"/>
  <c r="CC424" i="23"/>
  <c r="CB424" i="23"/>
  <c r="CA424" i="23"/>
  <c r="BZ424" i="23"/>
  <c r="BL424" i="23"/>
  <c r="BF424" i="23"/>
  <c r="AZ424" i="23"/>
  <c r="AT424" i="23"/>
  <c r="AN424" i="23"/>
  <c r="AH424" i="23"/>
  <c r="AB424" i="23"/>
  <c r="R424" i="23"/>
  <c r="L424" i="23"/>
  <c r="CC423" i="23"/>
  <c r="CB423" i="23"/>
  <c r="CA423" i="23"/>
  <c r="BZ423" i="23"/>
  <c r="BL423" i="23"/>
  <c r="BF423" i="23"/>
  <c r="AZ423" i="23"/>
  <c r="AT423" i="23"/>
  <c r="AN423" i="23"/>
  <c r="AH423" i="23"/>
  <c r="AB423" i="23"/>
  <c r="R423" i="23"/>
  <c r="L423" i="23"/>
  <c r="CC422" i="23"/>
  <c r="CB422" i="23"/>
  <c r="CA422" i="23"/>
  <c r="BZ422" i="23"/>
  <c r="BL422" i="23"/>
  <c r="BF422" i="23"/>
  <c r="AZ422" i="23"/>
  <c r="AT422" i="23"/>
  <c r="AN422" i="23"/>
  <c r="AH422" i="23"/>
  <c r="AB422" i="23"/>
  <c r="R422" i="23"/>
  <c r="L422" i="23"/>
  <c r="CC421" i="23"/>
  <c r="CB421" i="23"/>
  <c r="CA421" i="23"/>
  <c r="BZ421" i="23"/>
  <c r="BL421" i="23"/>
  <c r="BF421" i="23"/>
  <c r="AZ421" i="23"/>
  <c r="AT421" i="23"/>
  <c r="AN421" i="23"/>
  <c r="AH421" i="23"/>
  <c r="AB421" i="23"/>
  <c r="R421" i="23"/>
  <c r="L421" i="23"/>
  <c r="CC420" i="23"/>
  <c r="CB420" i="23"/>
  <c r="CA420" i="23"/>
  <c r="BZ420" i="23"/>
  <c r="BL420" i="23"/>
  <c r="BF420" i="23"/>
  <c r="AZ420" i="23"/>
  <c r="AT420" i="23"/>
  <c r="AN420" i="23"/>
  <c r="AH420" i="23"/>
  <c r="AB420" i="23"/>
  <c r="R420" i="23"/>
  <c r="L420" i="23"/>
  <c r="H420" i="23"/>
  <c r="CC419" i="23"/>
  <c r="CB419" i="23"/>
  <c r="CA419" i="23"/>
  <c r="BZ419" i="23"/>
  <c r="BL419" i="23"/>
  <c r="BF419" i="23"/>
  <c r="AZ419" i="23"/>
  <c r="AT419" i="23"/>
  <c r="AN419" i="23"/>
  <c r="AH419" i="23"/>
  <c r="AB419" i="23"/>
  <c r="R419" i="23"/>
  <c r="L419" i="23"/>
  <c r="CC418" i="23"/>
  <c r="CB418" i="23"/>
  <c r="CA418" i="23"/>
  <c r="BZ418" i="23"/>
  <c r="BL418" i="23"/>
  <c r="BF418" i="23"/>
  <c r="AZ418" i="23"/>
  <c r="AT418" i="23"/>
  <c r="AN418" i="23"/>
  <c r="AH418" i="23"/>
  <c r="AB418" i="23"/>
  <c r="R418" i="23"/>
  <c r="L418" i="23"/>
  <c r="CC417" i="23"/>
  <c r="CB417" i="23"/>
  <c r="CA417" i="23"/>
  <c r="BZ417" i="23"/>
  <c r="BL417" i="23"/>
  <c r="BF417" i="23"/>
  <c r="AZ417" i="23"/>
  <c r="AT417" i="23"/>
  <c r="AN417" i="23"/>
  <c r="AH417" i="23"/>
  <c r="AB417" i="23"/>
  <c r="R417" i="23"/>
  <c r="L417" i="23"/>
  <c r="CC416" i="23"/>
  <c r="CB416" i="23"/>
  <c r="CA416" i="23"/>
  <c r="BZ416" i="23"/>
  <c r="BL416" i="23"/>
  <c r="BF416" i="23"/>
  <c r="AZ416" i="23"/>
  <c r="AT416" i="23"/>
  <c r="AN416" i="23"/>
  <c r="AH416" i="23"/>
  <c r="AB416" i="23"/>
  <c r="R416" i="23"/>
  <c r="L416" i="23"/>
  <c r="CD639" i="23" l="1"/>
  <c r="CE639" i="23" s="1"/>
  <c r="CD550" i="23"/>
  <c r="CD421" i="23"/>
  <c r="CD427" i="23"/>
  <c r="CD420" i="23"/>
  <c r="CE420" i="23" s="1"/>
  <c r="CD426" i="23"/>
  <c r="CE426" i="23" s="1"/>
  <c r="CD428" i="23"/>
  <c r="CE428" i="23" s="1"/>
  <c r="CD431" i="23"/>
  <c r="CE431" i="23" s="1"/>
  <c r="CD553" i="23"/>
  <c r="CD547" i="23"/>
  <c r="CE547" i="23" s="1"/>
  <c r="CD418" i="23"/>
  <c r="BM426" i="23"/>
  <c r="CD549" i="23"/>
  <c r="CE549" i="23" s="1"/>
  <c r="CD429" i="23"/>
  <c r="CE429" i="23" s="1"/>
  <c r="CD546" i="23"/>
  <c r="CD638" i="23"/>
  <c r="CE638" i="23" s="1"/>
  <c r="CD422" i="23"/>
  <c r="CE422" i="23" s="1"/>
  <c r="BM545" i="23"/>
  <c r="CD545" i="23"/>
  <c r="CE545" i="23" s="1"/>
  <c r="CD552" i="23"/>
  <c r="CE552" i="23" s="1"/>
  <c r="BM420" i="23"/>
  <c r="CD430" i="23"/>
  <c r="CE430" i="23" s="1"/>
  <c r="CD548" i="23"/>
  <c r="CE548" i="23" s="1"/>
  <c r="CD551" i="23"/>
  <c r="CD554" i="23"/>
  <c r="CE554" i="23" s="1"/>
  <c r="CD425" i="23"/>
  <c r="CE425" i="23" s="1"/>
  <c r="CD544" i="23"/>
  <c r="CE544" i="23" s="1"/>
  <c r="CD417" i="23"/>
  <c r="CE417" i="23" s="1"/>
  <c r="CD424" i="23"/>
  <c r="CD543" i="23"/>
  <c r="BM552" i="23"/>
  <c r="CD419" i="23"/>
  <c r="CE419" i="23" s="1"/>
  <c r="CD416" i="23"/>
  <c r="CD423" i="23"/>
  <c r="CE423" i="23" s="1"/>
  <c r="W1441" i="23"/>
  <c r="W77" i="23"/>
  <c r="W75" i="23"/>
  <c r="W74" i="23"/>
  <c r="W73" i="23"/>
  <c r="W61" i="23"/>
  <c r="W60" i="23"/>
  <c r="CE416" i="23" l="1"/>
  <c r="CE424" i="23"/>
  <c r="CE546" i="23"/>
  <c r="CE418" i="23"/>
  <c r="CE553" i="23"/>
  <c r="CE637" i="23"/>
  <c r="CE550" i="23"/>
  <c r="CE543" i="23"/>
  <c r="CE551" i="23"/>
  <c r="CE427" i="23"/>
  <c r="CE421" i="23"/>
  <c r="CC688" i="23" l="1"/>
  <c r="CB688" i="23"/>
  <c r="CA688" i="23"/>
  <c r="BZ688" i="23"/>
  <c r="BL688" i="23"/>
  <c r="BF688" i="23"/>
  <c r="AZ688" i="23"/>
  <c r="AT688" i="23"/>
  <c r="AN688" i="23"/>
  <c r="AH688" i="23"/>
  <c r="AB688" i="23"/>
  <c r="R688" i="23"/>
  <c r="L688" i="23"/>
  <c r="CC687" i="23"/>
  <c r="CB687" i="23"/>
  <c r="CA687" i="23"/>
  <c r="BZ687" i="23"/>
  <c r="BL687" i="23"/>
  <c r="BF687" i="23"/>
  <c r="AZ687" i="23"/>
  <c r="AT687" i="23"/>
  <c r="AN687" i="23"/>
  <c r="AH687" i="23"/>
  <c r="AB687" i="23"/>
  <c r="R687" i="23"/>
  <c r="L687" i="23"/>
  <c r="CC686" i="23"/>
  <c r="CB686" i="23"/>
  <c r="CA686" i="23"/>
  <c r="BZ686" i="23"/>
  <c r="BL686" i="23"/>
  <c r="BF686" i="23"/>
  <c r="AZ686" i="23"/>
  <c r="AT686" i="23"/>
  <c r="AN686" i="23"/>
  <c r="AH686" i="23"/>
  <c r="AB686" i="23"/>
  <c r="R686" i="23"/>
  <c r="L686" i="23"/>
  <c r="CC685" i="23"/>
  <c r="CB685" i="23"/>
  <c r="CA685" i="23"/>
  <c r="BZ685" i="23"/>
  <c r="BL685" i="23"/>
  <c r="BF685" i="23"/>
  <c r="AZ685" i="23"/>
  <c r="AT685" i="23"/>
  <c r="AN685" i="23"/>
  <c r="AH685" i="23"/>
  <c r="AB685" i="23"/>
  <c r="R685" i="23"/>
  <c r="L685" i="23"/>
  <c r="CC684" i="23"/>
  <c r="CB684" i="23"/>
  <c r="CA684" i="23"/>
  <c r="BZ684" i="23"/>
  <c r="BL684" i="23"/>
  <c r="BF684" i="23"/>
  <c r="AZ684" i="23"/>
  <c r="AT684" i="23"/>
  <c r="AN684" i="23"/>
  <c r="AH684" i="23"/>
  <c r="AB684" i="23"/>
  <c r="R684" i="23"/>
  <c r="L684" i="23"/>
  <c r="CC788" i="23"/>
  <c r="CB788" i="23"/>
  <c r="CA788" i="23"/>
  <c r="BZ788" i="23"/>
  <c r="BL788" i="23"/>
  <c r="BF788" i="23"/>
  <c r="AZ788" i="23"/>
  <c r="AT788" i="23"/>
  <c r="AN788" i="23"/>
  <c r="AH788" i="23"/>
  <c r="AB788" i="23"/>
  <c r="R788" i="23"/>
  <c r="L788" i="23"/>
  <c r="CC787" i="23"/>
  <c r="CB787" i="23"/>
  <c r="CA787" i="23"/>
  <c r="BZ787" i="23"/>
  <c r="BL787" i="23"/>
  <c r="BF787" i="23"/>
  <c r="AZ787" i="23"/>
  <c r="AT787" i="23"/>
  <c r="AN787" i="23"/>
  <c r="AH787" i="23"/>
  <c r="AB787" i="23"/>
  <c r="R787" i="23"/>
  <c r="L787" i="23"/>
  <c r="CC786" i="23"/>
  <c r="CB786" i="23"/>
  <c r="CA786" i="23"/>
  <c r="BZ786" i="23"/>
  <c r="BL786" i="23"/>
  <c r="BF786" i="23"/>
  <c r="AZ786" i="23"/>
  <c r="AT786" i="23"/>
  <c r="AN786" i="23"/>
  <c r="AH786" i="23"/>
  <c r="AB786" i="23"/>
  <c r="R786" i="23"/>
  <c r="L786" i="23"/>
  <c r="CD685" i="23" l="1"/>
  <c r="CE685" i="23" s="1"/>
  <c r="BM688" i="23"/>
  <c r="CD686" i="23"/>
  <c r="CD787" i="23"/>
  <c r="CD788" i="23"/>
  <c r="CE788" i="23" s="1"/>
  <c r="CD688" i="23"/>
  <c r="CE688" i="23" s="1"/>
  <c r="CD684" i="23"/>
  <c r="CD687" i="23"/>
  <c r="CD786" i="23"/>
  <c r="CE687" i="23" l="1"/>
  <c r="CE684" i="23"/>
  <c r="CE686" i="23"/>
  <c r="CE786" i="23"/>
  <c r="CE787" i="23"/>
  <c r="BU1417" i="23" l="1"/>
  <c r="W411" i="23" l="1"/>
  <c r="W117" i="23"/>
  <c r="W107" i="23"/>
  <c r="W106" i="23"/>
  <c r="W404" i="23"/>
  <c r="W407" i="23"/>
  <c r="K1532" i="23" l="1"/>
  <c r="J1532" i="23"/>
  <c r="I1532" i="23"/>
  <c r="CC276" i="23" l="1"/>
  <c r="CB276" i="23"/>
  <c r="CA276" i="23"/>
  <c r="BZ276" i="23"/>
  <c r="BL276" i="23"/>
  <c r="BF276" i="23"/>
  <c r="AZ276" i="23"/>
  <c r="AT276" i="23"/>
  <c r="AN276" i="23"/>
  <c r="AH276" i="23"/>
  <c r="AB276" i="23"/>
  <c r="R276" i="23"/>
  <c r="L276" i="23"/>
  <c r="CD276" i="23" l="1"/>
  <c r="CE276" i="23" l="1"/>
  <c r="CC1300" i="23"/>
  <c r="CB1300" i="23"/>
  <c r="CA1300" i="23"/>
  <c r="BZ1300" i="23"/>
  <c r="BL1300" i="23"/>
  <c r="BF1300" i="23"/>
  <c r="AZ1300" i="23"/>
  <c r="AT1300" i="23"/>
  <c r="AN1300" i="23"/>
  <c r="AH1300" i="23"/>
  <c r="AB1300" i="23"/>
  <c r="R1300" i="23"/>
  <c r="L1300" i="23"/>
  <c r="CC1299" i="23"/>
  <c r="CB1299" i="23"/>
  <c r="CA1299" i="23"/>
  <c r="BZ1299" i="23"/>
  <c r="BL1299" i="23"/>
  <c r="BF1299" i="23"/>
  <c r="AZ1299" i="23"/>
  <c r="AT1299" i="23"/>
  <c r="AN1299" i="23"/>
  <c r="AH1299" i="23"/>
  <c r="AB1299" i="23"/>
  <c r="R1299" i="23"/>
  <c r="L1299" i="23"/>
  <c r="CC1298" i="23"/>
  <c r="CB1298" i="23"/>
  <c r="CA1298" i="23"/>
  <c r="BZ1298" i="23"/>
  <c r="BL1298" i="23"/>
  <c r="BF1298" i="23"/>
  <c r="AZ1298" i="23"/>
  <c r="AT1298" i="23"/>
  <c r="AN1298" i="23"/>
  <c r="AH1298" i="23"/>
  <c r="AB1298" i="23"/>
  <c r="R1298" i="23"/>
  <c r="L1298" i="23"/>
  <c r="CC1297" i="23"/>
  <c r="CB1297" i="23"/>
  <c r="CA1297" i="23"/>
  <c r="BZ1297" i="23"/>
  <c r="BL1297" i="23"/>
  <c r="BF1297" i="23"/>
  <c r="AZ1297" i="23"/>
  <c r="AT1297" i="23"/>
  <c r="AN1297" i="23"/>
  <c r="AH1297" i="23"/>
  <c r="AB1297" i="23"/>
  <c r="R1297" i="23"/>
  <c r="L1297" i="23"/>
  <c r="CC1296" i="23"/>
  <c r="CB1296" i="23"/>
  <c r="CA1296" i="23"/>
  <c r="BZ1296" i="23"/>
  <c r="BL1296" i="23"/>
  <c r="BF1296" i="23"/>
  <c r="AZ1296" i="23"/>
  <c r="AT1296" i="23"/>
  <c r="AN1296" i="23"/>
  <c r="AH1296" i="23"/>
  <c r="AB1296" i="23"/>
  <c r="R1296" i="23"/>
  <c r="L1296" i="23"/>
  <c r="CC1295" i="23"/>
  <c r="CB1295" i="23"/>
  <c r="CA1295" i="23"/>
  <c r="BZ1295" i="23"/>
  <c r="BL1295" i="23"/>
  <c r="BF1295" i="23"/>
  <c r="AZ1295" i="23"/>
  <c r="AT1295" i="23"/>
  <c r="AN1295" i="23"/>
  <c r="AH1295" i="23"/>
  <c r="AB1295" i="23"/>
  <c r="R1295" i="23"/>
  <c r="L1295" i="23"/>
  <c r="CC1294" i="23"/>
  <c r="CB1294" i="23"/>
  <c r="CA1294" i="23"/>
  <c r="BZ1294" i="23"/>
  <c r="BL1294" i="23"/>
  <c r="BF1294" i="23"/>
  <c r="AZ1294" i="23"/>
  <c r="AT1294" i="23"/>
  <c r="AN1294" i="23"/>
  <c r="AH1294" i="23"/>
  <c r="AB1294" i="23"/>
  <c r="R1294" i="23"/>
  <c r="L1294" i="23"/>
  <c r="CC1293" i="23"/>
  <c r="CB1293" i="23"/>
  <c r="CA1293" i="23"/>
  <c r="BZ1293" i="23"/>
  <c r="BL1293" i="23"/>
  <c r="BF1293" i="23"/>
  <c r="AZ1293" i="23"/>
  <c r="AT1293" i="23"/>
  <c r="AN1293" i="23"/>
  <c r="AH1293" i="23"/>
  <c r="AB1293" i="23"/>
  <c r="R1293" i="23"/>
  <c r="L1293" i="23"/>
  <c r="CC1292" i="23"/>
  <c r="CB1292" i="23"/>
  <c r="CA1292" i="23"/>
  <c r="BZ1292" i="23"/>
  <c r="BL1292" i="23"/>
  <c r="BF1292" i="23"/>
  <c r="AZ1292" i="23"/>
  <c r="AT1292" i="23"/>
  <c r="AN1292" i="23"/>
  <c r="AH1292" i="23"/>
  <c r="AB1292" i="23"/>
  <c r="R1292" i="23"/>
  <c r="L1292" i="23"/>
  <c r="CC1291" i="23"/>
  <c r="CB1291" i="23"/>
  <c r="CA1291" i="23"/>
  <c r="BZ1291" i="23"/>
  <c r="BL1291" i="23"/>
  <c r="BF1291" i="23"/>
  <c r="AZ1291" i="23"/>
  <c r="AT1291" i="23"/>
  <c r="AN1291" i="23"/>
  <c r="AH1291" i="23"/>
  <c r="AB1291" i="23"/>
  <c r="R1291" i="23"/>
  <c r="L1291" i="23"/>
  <c r="CC1290" i="23"/>
  <c r="CB1290" i="23"/>
  <c r="CA1290" i="23"/>
  <c r="BZ1290" i="23"/>
  <c r="BL1290" i="23"/>
  <c r="BF1290" i="23"/>
  <c r="AZ1290" i="23"/>
  <c r="AT1290" i="23"/>
  <c r="AN1290" i="23"/>
  <c r="AH1290" i="23"/>
  <c r="AB1290" i="23"/>
  <c r="R1290" i="23"/>
  <c r="L1290" i="23"/>
  <c r="CC1289" i="23"/>
  <c r="CB1289" i="23"/>
  <c r="CA1289" i="23"/>
  <c r="BZ1289" i="23"/>
  <c r="BL1289" i="23"/>
  <c r="BF1289" i="23"/>
  <c r="AZ1289" i="23"/>
  <c r="AT1289" i="23"/>
  <c r="AN1289" i="23"/>
  <c r="AH1289" i="23"/>
  <c r="AB1289" i="23"/>
  <c r="R1289" i="23"/>
  <c r="L1289" i="23"/>
  <c r="CC1288" i="23"/>
  <c r="CB1288" i="23"/>
  <c r="CA1288" i="23"/>
  <c r="BZ1288" i="23"/>
  <c r="BL1288" i="23"/>
  <c r="BF1288" i="23"/>
  <c r="AZ1288" i="23"/>
  <c r="AT1288" i="23"/>
  <c r="AN1288" i="23"/>
  <c r="AH1288" i="23"/>
  <c r="AB1288" i="23"/>
  <c r="R1288" i="23"/>
  <c r="L1288" i="23"/>
  <c r="CC1287" i="23"/>
  <c r="CB1287" i="23"/>
  <c r="CA1287" i="23"/>
  <c r="BZ1287" i="23"/>
  <c r="BL1287" i="23"/>
  <c r="BF1287" i="23"/>
  <c r="AZ1287" i="23"/>
  <c r="AT1287" i="23"/>
  <c r="AN1287" i="23"/>
  <c r="AH1287" i="23"/>
  <c r="AB1287" i="23"/>
  <c r="R1287" i="23"/>
  <c r="L1287" i="23"/>
  <c r="CC1286" i="23"/>
  <c r="CB1286" i="23"/>
  <c r="CA1286" i="23"/>
  <c r="BZ1286" i="23"/>
  <c r="BL1286" i="23"/>
  <c r="BF1286" i="23"/>
  <c r="AZ1286" i="23"/>
  <c r="AT1286" i="23"/>
  <c r="AN1286" i="23"/>
  <c r="AH1286" i="23"/>
  <c r="AB1286" i="23"/>
  <c r="R1286" i="23"/>
  <c r="L1286" i="23"/>
  <c r="CC1285" i="23"/>
  <c r="CB1285" i="23"/>
  <c r="CA1285" i="23"/>
  <c r="BZ1285" i="23"/>
  <c r="BL1285" i="23"/>
  <c r="BF1285" i="23"/>
  <c r="AZ1285" i="23"/>
  <c r="AT1285" i="23"/>
  <c r="AN1285" i="23"/>
  <c r="AH1285" i="23"/>
  <c r="AB1285" i="23"/>
  <c r="R1285" i="23"/>
  <c r="L1285" i="23"/>
  <c r="CC1284" i="23"/>
  <c r="CB1284" i="23"/>
  <c r="CA1284" i="23"/>
  <c r="BZ1284" i="23"/>
  <c r="BL1284" i="23"/>
  <c r="BF1284" i="23"/>
  <c r="AZ1284" i="23"/>
  <c r="AT1284" i="23"/>
  <c r="AN1284" i="23"/>
  <c r="AH1284" i="23"/>
  <c r="AB1284" i="23"/>
  <c r="R1284" i="23"/>
  <c r="L1284" i="23"/>
  <c r="CC1283" i="23"/>
  <c r="CB1283" i="23"/>
  <c r="CA1283" i="23"/>
  <c r="BZ1283" i="23"/>
  <c r="BL1283" i="23"/>
  <c r="BF1283" i="23"/>
  <c r="AZ1283" i="23"/>
  <c r="AT1283" i="23"/>
  <c r="AN1283" i="23"/>
  <c r="AH1283" i="23"/>
  <c r="AB1283" i="23"/>
  <c r="R1283" i="23"/>
  <c r="L1283" i="23"/>
  <c r="CC1282" i="23"/>
  <c r="CB1282" i="23"/>
  <c r="CA1282" i="23"/>
  <c r="BZ1282" i="23"/>
  <c r="BL1282" i="23"/>
  <c r="BF1282" i="23"/>
  <c r="AZ1282" i="23"/>
  <c r="AT1282" i="23"/>
  <c r="AN1282" i="23"/>
  <c r="AH1282" i="23"/>
  <c r="AB1282" i="23"/>
  <c r="R1282" i="23"/>
  <c r="L1282" i="23"/>
  <c r="CC1281" i="23"/>
  <c r="CB1281" i="23"/>
  <c r="CA1281" i="23"/>
  <c r="BZ1281" i="23"/>
  <c r="BL1281" i="23"/>
  <c r="BF1281" i="23"/>
  <c r="AZ1281" i="23"/>
  <c r="AT1281" i="23"/>
  <c r="AN1281" i="23"/>
  <c r="AH1281" i="23"/>
  <c r="AB1281" i="23"/>
  <c r="R1281" i="23"/>
  <c r="L1281" i="23"/>
  <c r="CC1280" i="23"/>
  <c r="CB1280" i="23"/>
  <c r="CA1280" i="23"/>
  <c r="BZ1280" i="23"/>
  <c r="BL1280" i="23"/>
  <c r="BF1280" i="23"/>
  <c r="AZ1280" i="23"/>
  <c r="AT1280" i="23"/>
  <c r="AN1280" i="23"/>
  <c r="AH1280" i="23"/>
  <c r="AB1280" i="23"/>
  <c r="R1280" i="23"/>
  <c r="L1280" i="23"/>
  <c r="CC1279" i="23"/>
  <c r="CB1279" i="23"/>
  <c r="CA1279" i="23"/>
  <c r="BZ1279" i="23"/>
  <c r="BL1279" i="23"/>
  <c r="BF1279" i="23"/>
  <c r="AZ1279" i="23"/>
  <c r="AT1279" i="23"/>
  <c r="AN1279" i="23"/>
  <c r="AH1279" i="23"/>
  <c r="AB1279" i="23"/>
  <c r="R1279" i="23"/>
  <c r="L1279" i="23"/>
  <c r="CC1278" i="23"/>
  <c r="CB1278" i="23"/>
  <c r="CA1278" i="23"/>
  <c r="BZ1278" i="23"/>
  <c r="BL1278" i="23"/>
  <c r="BF1278" i="23"/>
  <c r="AZ1278" i="23"/>
  <c r="AT1278" i="23"/>
  <c r="AN1278" i="23"/>
  <c r="AH1278" i="23"/>
  <c r="AB1278" i="23"/>
  <c r="R1278" i="23"/>
  <c r="L1278" i="23"/>
  <c r="CC1277" i="23"/>
  <c r="CB1277" i="23"/>
  <c r="CA1277" i="23"/>
  <c r="BZ1277" i="23"/>
  <c r="BL1277" i="23"/>
  <c r="BF1277" i="23"/>
  <c r="AZ1277" i="23"/>
  <c r="AT1277" i="23"/>
  <c r="AN1277" i="23"/>
  <c r="AH1277" i="23"/>
  <c r="AB1277" i="23"/>
  <c r="R1277" i="23"/>
  <c r="L1277" i="23"/>
  <c r="CC1276" i="23"/>
  <c r="CB1276" i="23"/>
  <c r="CA1276" i="23"/>
  <c r="BZ1276" i="23"/>
  <c r="BL1276" i="23"/>
  <c r="BF1276" i="23"/>
  <c r="AZ1276" i="23"/>
  <c r="AT1276" i="23"/>
  <c r="AN1276" i="23"/>
  <c r="AH1276" i="23"/>
  <c r="AB1276" i="23"/>
  <c r="R1276" i="23"/>
  <c r="L1276" i="23"/>
  <c r="CC1275" i="23"/>
  <c r="CB1275" i="23"/>
  <c r="CA1275" i="23"/>
  <c r="BZ1275" i="23"/>
  <c r="BL1275" i="23"/>
  <c r="BF1275" i="23"/>
  <c r="AZ1275" i="23"/>
  <c r="AT1275" i="23"/>
  <c r="AN1275" i="23"/>
  <c r="AH1275" i="23"/>
  <c r="AB1275" i="23"/>
  <c r="R1275" i="23"/>
  <c r="L1275" i="23"/>
  <c r="CC1274" i="23"/>
  <c r="CB1274" i="23"/>
  <c r="CA1274" i="23"/>
  <c r="BZ1274" i="23"/>
  <c r="BL1274" i="23"/>
  <c r="BF1274" i="23"/>
  <c r="AZ1274" i="23"/>
  <c r="AT1274" i="23"/>
  <c r="AN1274" i="23"/>
  <c r="AH1274" i="23"/>
  <c r="AB1274" i="23"/>
  <c r="R1274" i="23"/>
  <c r="L1274" i="23"/>
  <c r="CC1273" i="23"/>
  <c r="CB1273" i="23"/>
  <c r="CA1273" i="23"/>
  <c r="BZ1273" i="23"/>
  <c r="BL1273" i="23"/>
  <c r="BF1273" i="23"/>
  <c r="AZ1273" i="23"/>
  <c r="AT1273" i="23"/>
  <c r="AN1273" i="23"/>
  <c r="AH1273" i="23"/>
  <c r="AB1273" i="23"/>
  <c r="R1273" i="23"/>
  <c r="L1273" i="23"/>
  <c r="CC1272" i="23"/>
  <c r="CB1272" i="23"/>
  <c r="CA1272" i="23"/>
  <c r="BZ1272" i="23"/>
  <c r="BL1272" i="23"/>
  <c r="BF1272" i="23"/>
  <c r="AZ1272" i="23"/>
  <c r="AT1272" i="23"/>
  <c r="AN1272" i="23"/>
  <c r="AH1272" i="23"/>
  <c r="AB1272" i="23"/>
  <c r="R1272" i="23"/>
  <c r="L1272" i="23"/>
  <c r="CC1271" i="23"/>
  <c r="CB1271" i="23"/>
  <c r="CA1271" i="23"/>
  <c r="BZ1271" i="23"/>
  <c r="BL1271" i="23"/>
  <c r="BF1271" i="23"/>
  <c r="AZ1271" i="23"/>
  <c r="AT1271" i="23"/>
  <c r="AN1271" i="23"/>
  <c r="AH1271" i="23"/>
  <c r="AB1271" i="23"/>
  <c r="R1271" i="23"/>
  <c r="L1271" i="23"/>
  <c r="CC1270" i="23"/>
  <c r="CB1270" i="23"/>
  <c r="CA1270" i="23"/>
  <c r="BZ1270" i="23"/>
  <c r="BL1270" i="23"/>
  <c r="BF1270" i="23"/>
  <c r="AZ1270" i="23"/>
  <c r="AT1270" i="23"/>
  <c r="AN1270" i="23"/>
  <c r="AH1270" i="23"/>
  <c r="AB1270" i="23"/>
  <c r="R1270" i="23"/>
  <c r="L1270" i="23"/>
  <c r="CC1269" i="23"/>
  <c r="CB1269" i="23"/>
  <c r="CA1269" i="23"/>
  <c r="BZ1269" i="23"/>
  <c r="BL1269" i="23"/>
  <c r="BF1269" i="23"/>
  <c r="AZ1269" i="23"/>
  <c r="AT1269" i="23"/>
  <c r="AN1269" i="23"/>
  <c r="AH1269" i="23"/>
  <c r="AB1269" i="23"/>
  <c r="R1269" i="23"/>
  <c r="L1269" i="23"/>
  <c r="CC1268" i="23"/>
  <c r="CB1268" i="23"/>
  <c r="CA1268" i="23"/>
  <c r="BZ1268" i="23"/>
  <c r="BL1268" i="23"/>
  <c r="BF1268" i="23"/>
  <c r="AZ1268" i="23"/>
  <c r="AT1268" i="23"/>
  <c r="AN1268" i="23"/>
  <c r="AH1268" i="23"/>
  <c r="AB1268" i="23"/>
  <c r="R1268" i="23"/>
  <c r="L1268" i="23"/>
  <c r="CD1284" i="23" l="1"/>
  <c r="CD1280" i="23"/>
  <c r="CD1294" i="23"/>
  <c r="CE1294" i="23" s="1"/>
  <c r="CD1296" i="23"/>
  <c r="CE1296" i="23" s="1"/>
  <c r="CD1276" i="23"/>
  <c r="CD1298" i="23"/>
  <c r="CD1300" i="23"/>
  <c r="CE1300" i="23" s="1"/>
  <c r="CD1270" i="23"/>
  <c r="CD1292" i="23"/>
  <c r="CE1292" i="23" s="1"/>
  <c r="CD1277" i="23"/>
  <c r="CE1277" i="23" s="1"/>
  <c r="CD1293" i="23"/>
  <c r="CE1293" i="23" s="1"/>
  <c r="CD1285" i="23"/>
  <c r="CE1285" i="23" s="1"/>
  <c r="CD1268" i="23"/>
  <c r="CD1282" i="23"/>
  <c r="CE1282" i="23" s="1"/>
  <c r="CD1273" i="23"/>
  <c r="CE1273" i="23" s="1"/>
  <c r="CD1278" i="23"/>
  <c r="CE1278" i="23" s="1"/>
  <c r="CD1272" i="23"/>
  <c r="CE1272" i="23" s="1"/>
  <c r="CD1286" i="23"/>
  <c r="CE1286" i="23" s="1"/>
  <c r="CD1269" i="23"/>
  <c r="CE1269" i="23" s="1"/>
  <c r="CD1290" i="23"/>
  <c r="CE1290" i="23" s="1"/>
  <c r="CD1281" i="23"/>
  <c r="CD1295" i="23"/>
  <c r="CE1295" i="23" s="1"/>
  <c r="CD1274" i="23"/>
  <c r="CD1288" i="23"/>
  <c r="CE1288" i="23" s="1"/>
  <c r="CD1283" i="23"/>
  <c r="CE1283" i="23" s="1"/>
  <c r="CD1299" i="23"/>
  <c r="CE1299" i="23" s="1"/>
  <c r="CD1289" i="23"/>
  <c r="CE1289" i="23" s="1"/>
  <c r="CD1279" i="23"/>
  <c r="CD1275" i="23"/>
  <c r="CE1275" i="23" s="1"/>
  <c r="CD1291" i="23"/>
  <c r="CE1291" i="23" s="1"/>
  <c r="CD1271" i="23"/>
  <c r="CD1287" i="23"/>
  <c r="CE1287" i="23" s="1"/>
  <c r="CD1297" i="23"/>
  <c r="CE1297" i="23" s="1"/>
  <c r="CC1013" i="23"/>
  <c r="CB1013" i="23"/>
  <c r="CA1013" i="23"/>
  <c r="BZ1013" i="23"/>
  <c r="BL1013" i="23"/>
  <c r="BF1013" i="23"/>
  <c r="AZ1013" i="23"/>
  <c r="AT1013" i="23"/>
  <c r="AN1013" i="23"/>
  <c r="AH1013" i="23"/>
  <c r="AB1013" i="23"/>
  <c r="R1013" i="23"/>
  <c r="L1013" i="23"/>
  <c r="CC1012" i="23"/>
  <c r="CB1012" i="23"/>
  <c r="CA1012" i="23"/>
  <c r="BZ1012" i="23"/>
  <c r="BL1012" i="23"/>
  <c r="BF1012" i="23"/>
  <c r="AZ1012" i="23"/>
  <c r="AT1012" i="23"/>
  <c r="AN1012" i="23"/>
  <c r="AH1012" i="23"/>
  <c r="AB1012" i="23"/>
  <c r="R1012" i="23"/>
  <c r="L1012" i="23"/>
  <c r="CE1279" i="23" l="1"/>
  <c r="CE1271" i="23"/>
  <c r="CE1274" i="23"/>
  <c r="CE1281" i="23"/>
  <c r="CE1268" i="23"/>
  <c r="CE1270" i="23"/>
  <c r="CE1298" i="23"/>
  <c r="CE1276" i="23"/>
  <c r="CE1280" i="23"/>
  <c r="CE1284" i="23"/>
  <c r="CD1013" i="23"/>
  <c r="CD1012" i="23"/>
  <c r="I1006" i="23"/>
  <c r="CE1012" i="23" l="1"/>
  <c r="CE1013" i="23"/>
  <c r="BU848" i="19"/>
  <c r="Y1342" i="23" l="1"/>
  <c r="CC275" i="23" l="1"/>
  <c r="CB275" i="23"/>
  <c r="CA275" i="23"/>
  <c r="BZ275" i="23"/>
  <c r="BL275" i="23"/>
  <c r="BF275" i="23"/>
  <c r="AZ275" i="23"/>
  <c r="AT275" i="23"/>
  <c r="AN275" i="23"/>
  <c r="AH275" i="23"/>
  <c r="AB275" i="23"/>
  <c r="R275" i="23"/>
  <c r="L275" i="23"/>
  <c r="CC274" i="23"/>
  <c r="CB274" i="23"/>
  <c r="CA274" i="23"/>
  <c r="BZ274" i="23"/>
  <c r="BL274" i="23"/>
  <c r="BF274" i="23"/>
  <c r="AZ274" i="23"/>
  <c r="AT274" i="23"/>
  <c r="AN274" i="23"/>
  <c r="AH274" i="23"/>
  <c r="AB274" i="23"/>
  <c r="R274" i="23"/>
  <c r="L274" i="23"/>
  <c r="CD274" i="23" l="1"/>
  <c r="CD275" i="23"/>
  <c r="CE275" i="23" s="1"/>
  <c r="BM275" i="23"/>
  <c r="CE274" i="23" l="1"/>
  <c r="W82" i="23"/>
  <c r="W105" i="23"/>
  <c r="W132" i="23"/>
  <c r="W49" i="23"/>
  <c r="W44" i="23"/>
  <c r="W116" i="23" l="1"/>
  <c r="W41" i="23"/>
  <c r="W40" i="23"/>
  <c r="W113" i="23"/>
  <c r="W112" i="23"/>
  <c r="W47" i="23"/>
  <c r="W42" i="23"/>
  <c r="W1344" i="23"/>
  <c r="CC1040" i="23" l="1"/>
  <c r="CB1040" i="23"/>
  <c r="CA1040" i="23"/>
  <c r="BZ1040" i="23"/>
  <c r="BL1040" i="23"/>
  <c r="BF1040" i="23"/>
  <c r="AZ1040" i="23"/>
  <c r="AT1040" i="23"/>
  <c r="AN1040" i="23"/>
  <c r="AH1040" i="23"/>
  <c r="AB1040" i="23"/>
  <c r="R1040" i="23"/>
  <c r="L1040" i="23"/>
  <c r="CC1039" i="23"/>
  <c r="CB1039" i="23"/>
  <c r="CA1039" i="23"/>
  <c r="BZ1039" i="23"/>
  <c r="BL1039" i="23"/>
  <c r="BF1039" i="23"/>
  <c r="AZ1039" i="23"/>
  <c r="AT1039" i="23"/>
  <c r="AN1039" i="23"/>
  <c r="AH1039" i="23"/>
  <c r="AB1039" i="23"/>
  <c r="R1039" i="23"/>
  <c r="L1039" i="23"/>
  <c r="CC1038" i="23"/>
  <c r="CB1038" i="23"/>
  <c r="CA1038" i="23"/>
  <c r="BZ1038" i="23"/>
  <c r="BL1038" i="23"/>
  <c r="BF1038" i="23"/>
  <c r="AZ1038" i="23"/>
  <c r="AT1038" i="23"/>
  <c r="AN1038" i="23"/>
  <c r="AH1038" i="23"/>
  <c r="AB1038" i="23"/>
  <c r="R1038" i="23"/>
  <c r="L1038" i="23"/>
  <c r="CD1040" i="23" l="1"/>
  <c r="CE1040" i="23" s="1"/>
  <c r="CD1038" i="23"/>
  <c r="CD1039" i="23"/>
  <c r="CE1039" i="23" s="1"/>
  <c r="I1003" i="23"/>
  <c r="I1002" i="23"/>
  <c r="I1005" i="23"/>
  <c r="CE1038" i="23" l="1"/>
  <c r="I1592" i="23"/>
  <c r="K1591" i="23"/>
  <c r="J1591" i="23"/>
  <c r="I1591" i="23"/>
  <c r="I1590" i="23"/>
  <c r="J1589" i="23"/>
  <c r="K1589" i="23"/>
  <c r="I1589" i="23"/>
  <c r="K1587" i="23"/>
  <c r="J1587" i="23"/>
  <c r="I1587" i="23"/>
  <c r="K1585" i="23"/>
  <c r="J1585" i="23"/>
  <c r="I1585" i="23"/>
  <c r="I1584" i="23"/>
  <c r="K1583" i="23"/>
  <c r="J1583" i="23"/>
  <c r="I1583" i="23"/>
  <c r="I1630" i="23"/>
  <c r="K1629" i="23"/>
  <c r="J1629" i="23"/>
  <c r="I1629" i="23"/>
  <c r="I1628" i="23"/>
  <c r="K1627" i="23"/>
  <c r="J1627" i="23"/>
  <c r="I1627" i="23"/>
  <c r="CC1011" i="23" l="1"/>
  <c r="CB1011" i="23"/>
  <c r="CA1011" i="23"/>
  <c r="BZ1011" i="23"/>
  <c r="BL1011" i="23"/>
  <c r="BF1011" i="23"/>
  <c r="AZ1011" i="23"/>
  <c r="AT1011" i="23"/>
  <c r="AN1011" i="23"/>
  <c r="AH1011" i="23"/>
  <c r="AB1011" i="23"/>
  <c r="R1011" i="23"/>
  <c r="L1011" i="23"/>
  <c r="CC1010" i="23"/>
  <c r="CB1010" i="23"/>
  <c r="CA1010" i="23"/>
  <c r="BZ1010" i="23"/>
  <c r="BL1010" i="23"/>
  <c r="BF1010" i="23"/>
  <c r="AZ1010" i="23"/>
  <c r="AT1010" i="23"/>
  <c r="AN1010" i="23"/>
  <c r="AH1010" i="23"/>
  <c r="AB1010" i="23"/>
  <c r="R1010" i="23"/>
  <c r="L1010" i="23"/>
  <c r="CC1009" i="23"/>
  <c r="CB1009" i="23"/>
  <c r="CA1009" i="23"/>
  <c r="BZ1009" i="23"/>
  <c r="BL1009" i="23"/>
  <c r="BF1009" i="23"/>
  <c r="AZ1009" i="23"/>
  <c r="AT1009" i="23"/>
  <c r="AN1009" i="23"/>
  <c r="AH1009" i="23"/>
  <c r="AB1009" i="23"/>
  <c r="R1009" i="23"/>
  <c r="L1009" i="23"/>
  <c r="CC1008" i="23"/>
  <c r="CB1008" i="23"/>
  <c r="CA1008" i="23"/>
  <c r="BZ1008" i="23"/>
  <c r="BL1008" i="23"/>
  <c r="BF1008" i="23"/>
  <c r="AZ1008" i="23"/>
  <c r="AT1008" i="23"/>
  <c r="AN1008" i="23"/>
  <c r="AH1008" i="23"/>
  <c r="AB1008" i="23"/>
  <c r="R1008" i="23"/>
  <c r="L1008" i="23"/>
  <c r="CD1009" i="23" l="1"/>
  <c r="CE1009" i="23" s="1"/>
  <c r="CD1011" i="23"/>
  <c r="CD1010" i="23"/>
  <c r="CD1008" i="23"/>
  <c r="CE1010" i="23" l="1"/>
  <c r="CE1008" i="23"/>
  <c r="CE1011" i="23"/>
  <c r="BU609" i="19"/>
  <c r="CC1648" i="23" l="1"/>
  <c r="CB1648" i="23"/>
  <c r="CA1648" i="23"/>
  <c r="BZ1648" i="23"/>
  <c r="BL1648" i="23"/>
  <c r="BF1648" i="23"/>
  <c r="AZ1648" i="23"/>
  <c r="AT1648" i="23"/>
  <c r="AN1648" i="23"/>
  <c r="AH1648" i="23"/>
  <c r="AB1648" i="23"/>
  <c r="R1648" i="23"/>
  <c r="L1648" i="23"/>
  <c r="CC1647" i="23"/>
  <c r="CB1647" i="23"/>
  <c r="CA1647" i="23"/>
  <c r="BZ1647" i="23"/>
  <c r="BL1647" i="23"/>
  <c r="BF1647" i="23"/>
  <c r="AZ1647" i="23"/>
  <c r="AT1647" i="23"/>
  <c r="AN1647" i="23"/>
  <c r="AH1647" i="23"/>
  <c r="AB1647" i="23"/>
  <c r="R1647" i="23"/>
  <c r="L1647" i="23"/>
  <c r="CC1646" i="23"/>
  <c r="CB1646" i="23"/>
  <c r="CA1646" i="23"/>
  <c r="BZ1646" i="23"/>
  <c r="BL1646" i="23"/>
  <c r="BF1646" i="23"/>
  <c r="AZ1646" i="23"/>
  <c r="AT1646" i="23"/>
  <c r="AN1646" i="23"/>
  <c r="AH1646" i="23"/>
  <c r="AB1646" i="23"/>
  <c r="R1646" i="23"/>
  <c r="L1646" i="23"/>
  <c r="CC1645" i="23"/>
  <c r="CB1645" i="23"/>
  <c r="CA1645" i="23"/>
  <c r="BZ1645" i="23"/>
  <c r="BL1645" i="23"/>
  <c r="BF1645" i="23"/>
  <c r="AZ1645" i="23"/>
  <c r="AT1645" i="23"/>
  <c r="AN1645" i="23"/>
  <c r="AH1645" i="23"/>
  <c r="AB1645" i="23"/>
  <c r="R1645" i="23"/>
  <c r="L1645" i="23"/>
  <c r="CC1644" i="23"/>
  <c r="CB1644" i="23"/>
  <c r="CA1644" i="23"/>
  <c r="BZ1644" i="23"/>
  <c r="BL1644" i="23"/>
  <c r="BF1644" i="23"/>
  <c r="AZ1644" i="23"/>
  <c r="AT1644" i="23"/>
  <c r="AN1644" i="23"/>
  <c r="AH1644" i="23"/>
  <c r="AB1644" i="23"/>
  <c r="R1644" i="23"/>
  <c r="L1644" i="23"/>
  <c r="CC1643" i="23"/>
  <c r="CB1643" i="23"/>
  <c r="CA1643" i="23"/>
  <c r="BZ1643" i="23"/>
  <c r="BL1643" i="23"/>
  <c r="BF1643" i="23"/>
  <c r="AZ1643" i="23"/>
  <c r="AT1643" i="23"/>
  <c r="AN1643" i="23"/>
  <c r="AH1643" i="23"/>
  <c r="AB1643" i="23"/>
  <c r="R1643" i="23"/>
  <c r="L1643" i="23"/>
  <c r="CC1642" i="23"/>
  <c r="CB1642" i="23"/>
  <c r="CA1642" i="23"/>
  <c r="BZ1642" i="23"/>
  <c r="BL1642" i="23"/>
  <c r="BF1642" i="23"/>
  <c r="AZ1642" i="23"/>
  <c r="AT1642" i="23"/>
  <c r="AN1642" i="23"/>
  <c r="AH1642" i="23"/>
  <c r="AB1642" i="23"/>
  <c r="R1642" i="23"/>
  <c r="L1642" i="23"/>
  <c r="CC1641" i="23"/>
  <c r="CB1641" i="23"/>
  <c r="CA1641" i="23"/>
  <c r="BZ1641" i="23"/>
  <c r="BL1641" i="23"/>
  <c r="BF1641" i="23"/>
  <c r="AZ1641" i="23"/>
  <c r="AT1641" i="23"/>
  <c r="AN1641" i="23"/>
  <c r="AH1641" i="23"/>
  <c r="AB1641" i="23"/>
  <c r="R1641" i="23"/>
  <c r="L1641" i="23"/>
  <c r="CC1640" i="23"/>
  <c r="CB1640" i="23"/>
  <c r="CA1640" i="23"/>
  <c r="BZ1640" i="23"/>
  <c r="BL1640" i="23"/>
  <c r="BF1640" i="23"/>
  <c r="AZ1640" i="23"/>
  <c r="AT1640" i="23"/>
  <c r="AN1640" i="23"/>
  <c r="AH1640" i="23"/>
  <c r="AB1640" i="23"/>
  <c r="R1640" i="23"/>
  <c r="L1640" i="23"/>
  <c r="CC1639" i="23"/>
  <c r="CB1639" i="23"/>
  <c r="CA1639" i="23"/>
  <c r="BZ1639" i="23"/>
  <c r="BL1639" i="23"/>
  <c r="BF1639" i="23"/>
  <c r="AZ1639" i="23"/>
  <c r="AT1639" i="23"/>
  <c r="AN1639" i="23"/>
  <c r="AH1639" i="23"/>
  <c r="AB1639" i="23"/>
  <c r="R1639" i="23"/>
  <c r="L1639" i="23"/>
  <c r="CC1638" i="23"/>
  <c r="CB1638" i="23"/>
  <c r="CA1638" i="23"/>
  <c r="BZ1638" i="23"/>
  <c r="BL1638" i="23"/>
  <c r="BF1638" i="23"/>
  <c r="AZ1638" i="23"/>
  <c r="AT1638" i="23"/>
  <c r="AN1638" i="23"/>
  <c r="AH1638" i="23"/>
  <c r="AB1638" i="23"/>
  <c r="R1638" i="23"/>
  <c r="L1638" i="23"/>
  <c r="CC1637" i="23"/>
  <c r="CB1637" i="23"/>
  <c r="CA1637" i="23"/>
  <c r="BZ1637" i="23"/>
  <c r="BL1637" i="23"/>
  <c r="BF1637" i="23"/>
  <c r="AZ1637" i="23"/>
  <c r="AT1637" i="23"/>
  <c r="AN1637" i="23"/>
  <c r="AH1637" i="23"/>
  <c r="AB1637" i="23"/>
  <c r="R1637" i="23"/>
  <c r="L1637" i="23"/>
  <c r="CC1636" i="23"/>
  <c r="CB1636" i="23"/>
  <c r="CA1636" i="23"/>
  <c r="BZ1636" i="23"/>
  <c r="BL1636" i="23"/>
  <c r="BF1636" i="23"/>
  <c r="AZ1636" i="23"/>
  <c r="AT1636" i="23"/>
  <c r="AN1636" i="23"/>
  <c r="AH1636" i="23"/>
  <c r="AB1636" i="23"/>
  <c r="R1636" i="23"/>
  <c r="L1636" i="23"/>
  <c r="CC1635" i="23"/>
  <c r="CB1635" i="23"/>
  <c r="CA1635" i="23"/>
  <c r="BZ1635" i="23"/>
  <c r="BL1635" i="23"/>
  <c r="BF1635" i="23"/>
  <c r="AZ1635" i="23"/>
  <c r="AT1635" i="23"/>
  <c r="AN1635" i="23"/>
  <c r="AH1635" i="23"/>
  <c r="AB1635" i="23"/>
  <c r="R1635" i="23"/>
  <c r="L1635" i="23"/>
  <c r="CD1648" i="23" l="1"/>
  <c r="CE1648" i="23" s="1"/>
  <c r="CD1645" i="23"/>
  <c r="CD1647" i="23"/>
  <c r="CE1647" i="23" s="1"/>
  <c r="CD1642" i="23"/>
  <c r="CE1642" i="23" s="1"/>
  <c r="CD1646" i="23"/>
  <c r="CE1646" i="23" s="1"/>
  <c r="CD1637" i="23"/>
  <c r="CE1637" i="23" s="1"/>
  <c r="CD1640" i="23"/>
  <c r="CE1640" i="23" s="1"/>
  <c r="CD1636" i="23"/>
  <c r="CE1636" i="23" s="1"/>
  <c r="CD1644" i="23"/>
  <c r="CE1644" i="23" s="1"/>
  <c r="CD1639" i="23"/>
  <c r="CD1635" i="23"/>
  <c r="CD1638" i="23"/>
  <c r="CE1638" i="23" s="1"/>
  <c r="CD1641" i="23"/>
  <c r="CE1641" i="23" s="1"/>
  <c r="CD1643" i="23"/>
  <c r="CE1643" i="23" s="1"/>
  <c r="BM1648" i="23"/>
  <c r="J1573" i="23"/>
  <c r="I1573" i="23"/>
  <c r="CE1645" i="23" l="1"/>
  <c r="CE1635" i="23"/>
  <c r="CE1639" i="23"/>
  <c r="AY609" i="19"/>
  <c r="AW609" i="19"/>
  <c r="AS609" i="19"/>
  <c r="AQ609" i="19" l="1"/>
  <c r="BU1248" i="23" l="1"/>
  <c r="W412" i="23" l="1"/>
  <c r="CC1634" i="23" l="1"/>
  <c r="CB1634" i="23"/>
  <c r="CA1634" i="23"/>
  <c r="BZ1634" i="23"/>
  <c r="BL1634" i="23"/>
  <c r="BF1634" i="23"/>
  <c r="AZ1634" i="23"/>
  <c r="AT1634" i="23"/>
  <c r="AN1634" i="23"/>
  <c r="AH1634" i="23"/>
  <c r="AB1634" i="23"/>
  <c r="R1634" i="23"/>
  <c r="L1634" i="23"/>
  <c r="CC1633" i="23"/>
  <c r="CB1633" i="23"/>
  <c r="CA1633" i="23"/>
  <c r="BZ1633" i="23"/>
  <c r="BL1633" i="23"/>
  <c r="BF1633" i="23"/>
  <c r="AZ1633" i="23"/>
  <c r="AT1633" i="23"/>
  <c r="AN1633" i="23"/>
  <c r="AH1633" i="23"/>
  <c r="AB1633" i="23"/>
  <c r="R1633" i="23"/>
  <c r="L1633" i="23"/>
  <c r="CC1501" i="23"/>
  <c r="CB1501" i="23"/>
  <c r="CA1501" i="23"/>
  <c r="BZ1501" i="23"/>
  <c r="BL1501" i="23"/>
  <c r="BF1501" i="23"/>
  <c r="AZ1501" i="23"/>
  <c r="AT1501" i="23"/>
  <c r="AN1501" i="23"/>
  <c r="AH1501" i="23"/>
  <c r="AB1501" i="23"/>
  <c r="R1501" i="23"/>
  <c r="L1501" i="23"/>
  <c r="CC1500" i="23"/>
  <c r="CB1500" i="23"/>
  <c r="CA1500" i="23"/>
  <c r="BZ1500" i="23"/>
  <c r="BL1500" i="23"/>
  <c r="BF1500" i="23"/>
  <c r="AZ1500" i="23"/>
  <c r="AT1500" i="23"/>
  <c r="AN1500" i="23"/>
  <c r="AH1500" i="23"/>
  <c r="AB1500" i="23"/>
  <c r="R1500" i="23"/>
  <c r="L1500" i="23"/>
  <c r="CC1499" i="23"/>
  <c r="CB1499" i="23"/>
  <c r="CA1499" i="23"/>
  <c r="BZ1499" i="23"/>
  <c r="BL1499" i="23"/>
  <c r="BF1499" i="23"/>
  <c r="AZ1499" i="23"/>
  <c r="AT1499" i="23"/>
  <c r="AN1499" i="23"/>
  <c r="AH1499" i="23"/>
  <c r="AB1499" i="23"/>
  <c r="R1499" i="23"/>
  <c r="L1499" i="23"/>
  <c r="CC1498" i="23"/>
  <c r="CB1498" i="23"/>
  <c r="CA1498" i="23"/>
  <c r="BZ1498" i="23"/>
  <c r="BL1498" i="23"/>
  <c r="BF1498" i="23"/>
  <c r="AZ1498" i="23"/>
  <c r="AT1498" i="23"/>
  <c r="AN1498" i="23"/>
  <c r="AH1498" i="23"/>
  <c r="AB1498" i="23"/>
  <c r="R1498" i="23"/>
  <c r="L1498" i="23"/>
  <c r="CC1497" i="23"/>
  <c r="CB1497" i="23"/>
  <c r="CA1497" i="23"/>
  <c r="BZ1497" i="23"/>
  <c r="BL1497" i="23"/>
  <c r="BF1497" i="23"/>
  <c r="AZ1497" i="23"/>
  <c r="AT1497" i="23"/>
  <c r="AN1497" i="23"/>
  <c r="AH1497" i="23"/>
  <c r="AB1497" i="23"/>
  <c r="R1497" i="23"/>
  <c r="L1497" i="23"/>
  <c r="CD1497" i="23" l="1"/>
  <c r="CD1501" i="23"/>
  <c r="CE1501" i="23" s="1"/>
  <c r="CD1499" i="23"/>
  <c r="CE1499" i="23" s="1"/>
  <c r="BM1634" i="23"/>
  <c r="CD1498" i="23"/>
  <c r="CE1498" i="23" s="1"/>
  <c r="CD1500" i="23"/>
  <c r="CD1633" i="23"/>
  <c r="CE1633" i="23" s="1"/>
  <c r="CD1634" i="23"/>
  <c r="CE1634" i="23" s="1"/>
  <c r="I1442" i="23"/>
  <c r="I1441" i="23"/>
  <c r="I1597" i="23"/>
  <c r="K1577" i="23"/>
  <c r="J1577" i="23"/>
  <c r="CE1500" i="23" l="1"/>
  <c r="CE1497" i="23"/>
  <c r="CC1632" i="23"/>
  <c r="CB1632" i="23"/>
  <c r="CA1632" i="23"/>
  <c r="BZ1632" i="23"/>
  <c r="BL1632" i="23"/>
  <c r="BF1632" i="23"/>
  <c r="AZ1632" i="23"/>
  <c r="AT1632" i="23"/>
  <c r="AN1632" i="23"/>
  <c r="AH1632" i="23"/>
  <c r="AB1632" i="23"/>
  <c r="R1632" i="23"/>
  <c r="L1632" i="23"/>
  <c r="CC1631" i="23"/>
  <c r="CB1631" i="23"/>
  <c r="CA1631" i="23"/>
  <c r="BZ1631" i="23"/>
  <c r="BL1631" i="23"/>
  <c r="BF1631" i="23"/>
  <c r="AZ1631" i="23"/>
  <c r="AT1631" i="23"/>
  <c r="AN1631" i="23"/>
  <c r="AH1631" i="23"/>
  <c r="AB1631" i="23"/>
  <c r="R1631" i="23"/>
  <c r="L1631" i="23"/>
  <c r="CC1630" i="23"/>
  <c r="CB1630" i="23"/>
  <c r="CA1630" i="23"/>
  <c r="BZ1630" i="23"/>
  <c r="BL1630" i="23"/>
  <c r="BF1630" i="23"/>
  <c r="AZ1630" i="23"/>
  <c r="AT1630" i="23"/>
  <c r="AN1630" i="23"/>
  <c r="AH1630" i="23"/>
  <c r="AB1630" i="23"/>
  <c r="R1630" i="23"/>
  <c r="L1630" i="23"/>
  <c r="CC1629" i="23"/>
  <c r="CB1629" i="23"/>
  <c r="CA1629" i="23"/>
  <c r="BZ1629" i="23"/>
  <c r="BL1629" i="23"/>
  <c r="BF1629" i="23"/>
  <c r="AZ1629" i="23"/>
  <c r="AT1629" i="23"/>
  <c r="AN1629" i="23"/>
  <c r="AH1629" i="23"/>
  <c r="AB1629" i="23"/>
  <c r="R1629" i="23"/>
  <c r="L1629" i="23"/>
  <c r="CC1628" i="23"/>
  <c r="CB1628" i="23"/>
  <c r="CA1628" i="23"/>
  <c r="BZ1628" i="23"/>
  <c r="BL1628" i="23"/>
  <c r="BF1628" i="23"/>
  <c r="AZ1628" i="23"/>
  <c r="AT1628" i="23"/>
  <c r="AN1628" i="23"/>
  <c r="AH1628" i="23"/>
  <c r="AB1628" i="23"/>
  <c r="R1628" i="23"/>
  <c r="L1628" i="23"/>
  <c r="CC1627" i="23"/>
  <c r="CB1627" i="23"/>
  <c r="CA1627" i="23"/>
  <c r="BZ1627" i="23"/>
  <c r="BL1627" i="23"/>
  <c r="BF1627" i="23"/>
  <c r="AZ1627" i="23"/>
  <c r="AT1627" i="23"/>
  <c r="AN1627" i="23"/>
  <c r="AH1627" i="23"/>
  <c r="AB1627" i="23"/>
  <c r="R1627" i="23"/>
  <c r="L1627" i="23"/>
  <c r="CC1605" i="23"/>
  <c r="CB1605" i="23"/>
  <c r="CA1605" i="23"/>
  <c r="BZ1605" i="23"/>
  <c r="BL1605" i="23"/>
  <c r="BF1605" i="23"/>
  <c r="AZ1605" i="23"/>
  <c r="AT1605" i="23"/>
  <c r="AN1605" i="23"/>
  <c r="AH1605" i="23"/>
  <c r="AB1605" i="23"/>
  <c r="R1605" i="23"/>
  <c r="L1605" i="23"/>
  <c r="CC1604" i="23"/>
  <c r="CB1604" i="23"/>
  <c r="CA1604" i="23"/>
  <c r="BZ1604" i="23"/>
  <c r="BL1604" i="23"/>
  <c r="BF1604" i="23"/>
  <c r="AZ1604" i="23"/>
  <c r="AT1604" i="23"/>
  <c r="AN1604" i="23"/>
  <c r="AH1604" i="23"/>
  <c r="AB1604" i="23"/>
  <c r="R1604" i="23"/>
  <c r="L1604" i="23"/>
  <c r="CC1603" i="23"/>
  <c r="CB1603" i="23"/>
  <c r="CA1603" i="23"/>
  <c r="BZ1603" i="23"/>
  <c r="BL1603" i="23"/>
  <c r="BF1603" i="23"/>
  <c r="AZ1603" i="23"/>
  <c r="AT1603" i="23"/>
  <c r="AN1603" i="23"/>
  <c r="AH1603" i="23"/>
  <c r="AB1603" i="23"/>
  <c r="R1603" i="23"/>
  <c r="L1603" i="23"/>
  <c r="CC1602" i="23"/>
  <c r="CB1602" i="23"/>
  <c r="CA1602" i="23"/>
  <c r="BZ1602" i="23"/>
  <c r="BL1602" i="23"/>
  <c r="BF1602" i="23"/>
  <c r="AZ1602" i="23"/>
  <c r="AT1602" i="23"/>
  <c r="AN1602" i="23"/>
  <c r="AH1602" i="23"/>
  <c r="AB1602" i="23"/>
  <c r="R1602" i="23"/>
  <c r="L1602" i="23"/>
  <c r="CC1601" i="23"/>
  <c r="CB1601" i="23"/>
  <c r="CA1601" i="23"/>
  <c r="BZ1601" i="23"/>
  <c r="BL1601" i="23"/>
  <c r="BF1601" i="23"/>
  <c r="AZ1601" i="23"/>
  <c r="AT1601" i="23"/>
  <c r="AN1601" i="23"/>
  <c r="AH1601" i="23"/>
  <c r="AB1601" i="23"/>
  <c r="R1601" i="23"/>
  <c r="L1601" i="23"/>
  <c r="CC1600" i="23"/>
  <c r="CB1600" i="23"/>
  <c r="CA1600" i="23"/>
  <c r="BZ1600" i="23"/>
  <c r="BL1600" i="23"/>
  <c r="BF1600" i="23"/>
  <c r="AZ1600" i="23"/>
  <c r="AT1600" i="23"/>
  <c r="AN1600" i="23"/>
  <c r="AH1600" i="23"/>
  <c r="AB1600" i="23"/>
  <c r="R1600" i="23"/>
  <c r="L1600" i="23"/>
  <c r="CC1599" i="23"/>
  <c r="CB1599" i="23"/>
  <c r="CA1599" i="23"/>
  <c r="BZ1599" i="23"/>
  <c r="BL1599" i="23"/>
  <c r="BF1599" i="23"/>
  <c r="AZ1599" i="23"/>
  <c r="AT1599" i="23"/>
  <c r="AN1599" i="23"/>
  <c r="AH1599" i="23"/>
  <c r="AB1599" i="23"/>
  <c r="R1599" i="23"/>
  <c r="L1599" i="23"/>
  <c r="CC1598" i="23"/>
  <c r="CB1598" i="23"/>
  <c r="CA1598" i="23"/>
  <c r="BZ1598" i="23"/>
  <c r="BL1598" i="23"/>
  <c r="BF1598" i="23"/>
  <c r="AZ1598" i="23"/>
  <c r="AT1598" i="23"/>
  <c r="AN1598" i="23"/>
  <c r="AH1598" i="23"/>
  <c r="AB1598" i="23"/>
  <c r="R1598" i="23"/>
  <c r="L1598" i="23"/>
  <c r="CC1597" i="23"/>
  <c r="CB1597" i="23"/>
  <c r="CA1597" i="23"/>
  <c r="BZ1597" i="23"/>
  <c r="BL1597" i="23"/>
  <c r="BF1597" i="23"/>
  <c r="AZ1597" i="23"/>
  <c r="AT1597" i="23"/>
  <c r="AN1597" i="23"/>
  <c r="AH1597" i="23"/>
  <c r="AB1597" i="23"/>
  <c r="R1597" i="23"/>
  <c r="L1597" i="23"/>
  <c r="CC1596" i="23"/>
  <c r="CB1596" i="23"/>
  <c r="CA1596" i="23"/>
  <c r="BZ1596" i="23"/>
  <c r="BL1596" i="23"/>
  <c r="BF1596" i="23"/>
  <c r="AZ1596" i="23"/>
  <c r="AT1596" i="23"/>
  <c r="AN1596" i="23"/>
  <c r="AH1596" i="23"/>
  <c r="AB1596" i="23"/>
  <c r="R1596" i="23"/>
  <c r="L1596" i="23"/>
  <c r="CC1595" i="23"/>
  <c r="CB1595" i="23"/>
  <c r="CA1595" i="23"/>
  <c r="BZ1595" i="23"/>
  <c r="BL1595" i="23"/>
  <c r="BF1595" i="23"/>
  <c r="AZ1595" i="23"/>
  <c r="AT1595" i="23"/>
  <c r="AN1595" i="23"/>
  <c r="AH1595" i="23"/>
  <c r="AB1595" i="23"/>
  <c r="R1595" i="23"/>
  <c r="L1595" i="23"/>
  <c r="CC1594" i="23"/>
  <c r="CB1594" i="23"/>
  <c r="CA1594" i="23"/>
  <c r="BZ1594" i="23"/>
  <c r="BL1594" i="23"/>
  <c r="BF1594" i="23"/>
  <c r="AZ1594" i="23"/>
  <c r="AT1594" i="23"/>
  <c r="AN1594" i="23"/>
  <c r="AH1594" i="23"/>
  <c r="AB1594" i="23"/>
  <c r="R1594" i="23"/>
  <c r="L1594" i="23"/>
  <c r="CC1593" i="23"/>
  <c r="CB1593" i="23"/>
  <c r="CA1593" i="23"/>
  <c r="BZ1593" i="23"/>
  <c r="BL1593" i="23"/>
  <c r="BF1593" i="23"/>
  <c r="AZ1593" i="23"/>
  <c r="AT1593" i="23"/>
  <c r="AN1593" i="23"/>
  <c r="AH1593" i="23"/>
  <c r="AB1593" i="23"/>
  <c r="R1593" i="23"/>
  <c r="L1593" i="23"/>
  <c r="CC1592" i="23"/>
  <c r="CB1592" i="23"/>
  <c r="CA1592" i="23"/>
  <c r="BZ1592" i="23"/>
  <c r="BL1592" i="23"/>
  <c r="BF1592" i="23"/>
  <c r="AZ1592" i="23"/>
  <c r="AT1592" i="23"/>
  <c r="AN1592" i="23"/>
  <c r="AH1592" i="23"/>
  <c r="AB1592" i="23"/>
  <c r="R1592" i="23"/>
  <c r="L1592" i="23"/>
  <c r="CC1591" i="23"/>
  <c r="CB1591" i="23"/>
  <c r="CA1591" i="23"/>
  <c r="BZ1591" i="23"/>
  <c r="BL1591" i="23"/>
  <c r="BF1591" i="23"/>
  <c r="AZ1591" i="23"/>
  <c r="AT1591" i="23"/>
  <c r="AN1591" i="23"/>
  <c r="AH1591" i="23"/>
  <c r="AB1591" i="23"/>
  <c r="R1591" i="23"/>
  <c r="L1591" i="23"/>
  <c r="CC1590" i="23"/>
  <c r="CB1590" i="23"/>
  <c r="CA1590" i="23"/>
  <c r="BZ1590" i="23"/>
  <c r="BL1590" i="23"/>
  <c r="BF1590" i="23"/>
  <c r="AZ1590" i="23"/>
  <c r="AT1590" i="23"/>
  <c r="AN1590" i="23"/>
  <c r="AH1590" i="23"/>
  <c r="AB1590" i="23"/>
  <c r="R1590" i="23"/>
  <c r="L1590" i="23"/>
  <c r="CC1589" i="23"/>
  <c r="CB1589" i="23"/>
  <c r="CA1589" i="23"/>
  <c r="BZ1589" i="23"/>
  <c r="BL1589" i="23"/>
  <c r="BF1589" i="23"/>
  <c r="AZ1589" i="23"/>
  <c r="AT1589" i="23"/>
  <c r="AN1589" i="23"/>
  <c r="AH1589" i="23"/>
  <c r="AB1589" i="23"/>
  <c r="R1589" i="23"/>
  <c r="L1589" i="23"/>
  <c r="CC1588" i="23"/>
  <c r="CB1588" i="23"/>
  <c r="CA1588" i="23"/>
  <c r="BZ1588" i="23"/>
  <c r="BL1588" i="23"/>
  <c r="BF1588" i="23"/>
  <c r="AZ1588" i="23"/>
  <c r="AT1588" i="23"/>
  <c r="AN1588" i="23"/>
  <c r="AH1588" i="23"/>
  <c r="AB1588" i="23"/>
  <c r="R1588" i="23"/>
  <c r="L1588" i="23"/>
  <c r="CC1587" i="23"/>
  <c r="CB1587" i="23"/>
  <c r="CA1587" i="23"/>
  <c r="BZ1587" i="23"/>
  <c r="BL1587" i="23"/>
  <c r="BF1587" i="23"/>
  <c r="AZ1587" i="23"/>
  <c r="AT1587" i="23"/>
  <c r="AN1587" i="23"/>
  <c r="AH1587" i="23"/>
  <c r="AB1587" i="23"/>
  <c r="R1587" i="23"/>
  <c r="L1587" i="23"/>
  <c r="CC1586" i="23"/>
  <c r="CB1586" i="23"/>
  <c r="CA1586" i="23"/>
  <c r="BZ1586" i="23"/>
  <c r="BL1586" i="23"/>
  <c r="BF1586" i="23"/>
  <c r="AZ1586" i="23"/>
  <c r="AT1586" i="23"/>
  <c r="AN1586" i="23"/>
  <c r="AH1586" i="23"/>
  <c r="AB1586" i="23"/>
  <c r="R1586" i="23"/>
  <c r="L1586" i="23"/>
  <c r="CC1585" i="23"/>
  <c r="CB1585" i="23"/>
  <c r="CA1585" i="23"/>
  <c r="BZ1585" i="23"/>
  <c r="BL1585" i="23"/>
  <c r="BF1585" i="23"/>
  <c r="AZ1585" i="23"/>
  <c r="AT1585" i="23"/>
  <c r="AN1585" i="23"/>
  <c r="AH1585" i="23"/>
  <c r="AB1585" i="23"/>
  <c r="R1585" i="23"/>
  <c r="L1585" i="23"/>
  <c r="CC1584" i="23"/>
  <c r="CB1584" i="23"/>
  <c r="CA1584" i="23"/>
  <c r="BZ1584" i="23"/>
  <c r="BL1584" i="23"/>
  <c r="BF1584" i="23"/>
  <c r="AZ1584" i="23"/>
  <c r="AT1584" i="23"/>
  <c r="AN1584" i="23"/>
  <c r="AH1584" i="23"/>
  <c r="AB1584" i="23"/>
  <c r="R1584" i="23"/>
  <c r="L1584" i="23"/>
  <c r="CC1583" i="23"/>
  <c r="CB1583" i="23"/>
  <c r="CA1583" i="23"/>
  <c r="BZ1583" i="23"/>
  <c r="BL1583" i="23"/>
  <c r="BF1583" i="23"/>
  <c r="AZ1583" i="23"/>
  <c r="AT1583" i="23"/>
  <c r="AN1583" i="23"/>
  <c r="AH1583" i="23"/>
  <c r="AB1583" i="23"/>
  <c r="R1583" i="23"/>
  <c r="L1583" i="23"/>
  <c r="CC1496" i="23"/>
  <c r="CB1496" i="23"/>
  <c r="CA1496" i="23"/>
  <c r="BZ1496" i="23"/>
  <c r="BL1496" i="23"/>
  <c r="BF1496" i="23"/>
  <c r="AZ1496" i="23"/>
  <c r="AT1496" i="23"/>
  <c r="AN1496" i="23"/>
  <c r="AH1496" i="23"/>
  <c r="AB1496" i="23"/>
  <c r="R1496" i="23"/>
  <c r="L1496" i="23"/>
  <c r="CC1495" i="23"/>
  <c r="CB1495" i="23"/>
  <c r="CA1495" i="23"/>
  <c r="BZ1495" i="23"/>
  <c r="BL1495" i="23"/>
  <c r="BF1495" i="23"/>
  <c r="AZ1495" i="23"/>
  <c r="AT1495" i="23"/>
  <c r="AN1495" i="23"/>
  <c r="AH1495" i="23"/>
  <c r="AB1495" i="23"/>
  <c r="R1495" i="23"/>
  <c r="L1495" i="23"/>
  <c r="CB1494" i="23"/>
  <c r="CA1494" i="23"/>
  <c r="BZ1494" i="23"/>
  <c r="BL1494" i="23"/>
  <c r="BF1494" i="23"/>
  <c r="AZ1494" i="23"/>
  <c r="AT1494" i="23"/>
  <c r="AN1494" i="23"/>
  <c r="AH1494" i="23"/>
  <c r="AB1494" i="23"/>
  <c r="R1494" i="23"/>
  <c r="L1494" i="23"/>
  <c r="CC1493" i="23"/>
  <c r="CB1493" i="23"/>
  <c r="CA1493" i="23"/>
  <c r="BZ1493" i="23"/>
  <c r="BL1493" i="23"/>
  <c r="BF1493" i="23"/>
  <c r="AZ1493" i="23"/>
  <c r="AT1493" i="23"/>
  <c r="AN1493" i="23"/>
  <c r="AH1493" i="23"/>
  <c r="AB1493" i="23"/>
  <c r="R1493" i="23"/>
  <c r="L1493" i="23"/>
  <c r="CC1492" i="23"/>
  <c r="CB1492" i="23"/>
  <c r="CA1492" i="23"/>
  <c r="BZ1492" i="23"/>
  <c r="BL1492" i="23"/>
  <c r="BF1492" i="23"/>
  <c r="AZ1492" i="23"/>
  <c r="AT1492" i="23"/>
  <c r="AN1492" i="23"/>
  <c r="AH1492" i="23"/>
  <c r="AB1492" i="23"/>
  <c r="R1492" i="23"/>
  <c r="L1492" i="23"/>
  <c r="CD1594" i="23" l="1"/>
  <c r="CE1594" i="23" s="1"/>
  <c r="BM1632" i="23"/>
  <c r="CD1583" i="23"/>
  <c r="CD1590" i="23"/>
  <c r="CE1590" i="23" s="1"/>
  <c r="CD1598" i="23"/>
  <c r="CE1598" i="23" s="1"/>
  <c r="CD1602" i="23"/>
  <c r="CE1602" i="23" s="1"/>
  <c r="CD1604" i="23"/>
  <c r="CE1604" i="23" s="1"/>
  <c r="CD1629" i="23"/>
  <c r="CE1629" i="23" s="1"/>
  <c r="CD1585" i="23"/>
  <c r="CE1585" i="23" s="1"/>
  <c r="CD1493" i="23"/>
  <c r="CE1493" i="23" s="1"/>
  <c r="CD1496" i="23"/>
  <c r="CD1586" i="23"/>
  <c r="CE1586" i="23" s="1"/>
  <c r="CE1601" i="23"/>
  <c r="CD1605" i="23"/>
  <c r="CD1627" i="23"/>
  <c r="CD1631" i="23"/>
  <c r="CD1632" i="23"/>
  <c r="CE1632" i="23" s="1"/>
  <c r="CD1595" i="23"/>
  <c r="CE1595" i="23" s="1"/>
  <c r="CE1494" i="23"/>
  <c r="CD1630" i="23"/>
  <c r="CE1630" i="23" s="1"/>
  <c r="CD1597" i="23"/>
  <c r="CE1597" i="23" s="1"/>
  <c r="CD1600" i="23"/>
  <c r="CE1600" i="23" s="1"/>
  <c r="CD1588" i="23"/>
  <c r="CE1588" i="23" s="1"/>
  <c r="CE1591" i="23"/>
  <c r="CD1592" i="23"/>
  <c r="CE1592" i="23" s="1"/>
  <c r="CD1584" i="23"/>
  <c r="CE1584" i="23" s="1"/>
  <c r="CD1593" i="23"/>
  <c r="CD1596" i="23"/>
  <c r="CD1599" i="23"/>
  <c r="CD1495" i="23"/>
  <c r="CE1495" i="23" s="1"/>
  <c r="CD1587" i="23"/>
  <c r="CE1587" i="23" s="1"/>
  <c r="CD1628" i="23"/>
  <c r="CE1628" i="23" s="1"/>
  <c r="K1576" i="23"/>
  <c r="J1576" i="23"/>
  <c r="I1576" i="23"/>
  <c r="I1450" i="23"/>
  <c r="J1449" i="23"/>
  <c r="K1449" i="23"/>
  <c r="CE1492" i="23" l="1"/>
  <c r="CE1599" i="23"/>
  <c r="CE1596" i="23"/>
  <c r="CE1593" i="23"/>
  <c r="CE1589" i="23"/>
  <c r="CE1631" i="23"/>
  <c r="CE1627" i="23"/>
  <c r="CE1605" i="23"/>
  <c r="CE1496" i="23"/>
  <c r="CE1603" i="23"/>
  <c r="CE1583" i="23"/>
  <c r="CC273" i="23" l="1"/>
  <c r="CB273" i="23"/>
  <c r="CA273" i="23"/>
  <c r="BZ273" i="23"/>
  <c r="BL273" i="23"/>
  <c r="BF273" i="23"/>
  <c r="AZ273" i="23"/>
  <c r="AT273" i="23"/>
  <c r="AN273" i="23"/>
  <c r="AH273" i="23"/>
  <c r="AB273" i="23"/>
  <c r="R273" i="23"/>
  <c r="L273" i="23"/>
  <c r="CC272" i="23"/>
  <c r="CB272" i="23"/>
  <c r="BZ272" i="23"/>
  <c r="BL272" i="23"/>
  <c r="BF272" i="23"/>
  <c r="AZ272" i="23"/>
  <c r="AT272" i="23"/>
  <c r="AN272" i="23"/>
  <c r="AH272" i="23"/>
  <c r="AB272" i="23"/>
  <c r="R272" i="23"/>
  <c r="I272" i="23"/>
  <c r="CA272" i="23" s="1"/>
  <c r="CC271" i="23"/>
  <c r="CB271" i="23"/>
  <c r="BZ271" i="23"/>
  <c r="BL271" i="23"/>
  <c r="BF271" i="23"/>
  <c r="AZ271" i="23"/>
  <c r="AT271" i="23"/>
  <c r="AN271" i="23"/>
  <c r="AH271" i="23"/>
  <c r="AB271" i="23"/>
  <c r="R271" i="23"/>
  <c r="I271" i="23"/>
  <c r="L271" i="23" s="1"/>
  <c r="CD273" i="23" l="1"/>
  <c r="L272" i="23"/>
  <c r="CA271" i="23"/>
  <c r="CD271" i="23" s="1"/>
  <c r="CE271" i="23" l="1"/>
  <c r="CE273" i="23"/>
  <c r="CE272" i="23"/>
  <c r="Y609" i="19"/>
  <c r="CC299" i="23" l="1"/>
  <c r="CB299" i="23"/>
  <c r="BZ299" i="23"/>
  <c r="BL299" i="23"/>
  <c r="BF299" i="23"/>
  <c r="AZ299" i="23"/>
  <c r="AT299" i="23"/>
  <c r="AN299" i="23"/>
  <c r="AH299" i="23"/>
  <c r="AB299" i="23"/>
  <c r="R299" i="23"/>
  <c r="CA299" i="23"/>
  <c r="CC298" i="23"/>
  <c r="CB298" i="23"/>
  <c r="CA298" i="23"/>
  <c r="BZ298" i="23"/>
  <c r="BL298" i="23"/>
  <c r="BF298" i="23"/>
  <c r="AZ298" i="23"/>
  <c r="AT298" i="23"/>
  <c r="AN298" i="23"/>
  <c r="AH298" i="23"/>
  <c r="AB298" i="23"/>
  <c r="R298" i="23"/>
  <c r="L298" i="23"/>
  <c r="CC297" i="23"/>
  <c r="CB297" i="23"/>
  <c r="CA297" i="23"/>
  <c r="BZ297" i="23"/>
  <c r="BL297" i="23"/>
  <c r="BF297" i="23"/>
  <c r="AZ297" i="23"/>
  <c r="AT297" i="23"/>
  <c r="AN297" i="23"/>
  <c r="AH297" i="23"/>
  <c r="AB297" i="23"/>
  <c r="R297" i="23"/>
  <c r="L297" i="23"/>
  <c r="CC296" i="23"/>
  <c r="CB296" i="23"/>
  <c r="BZ296" i="23"/>
  <c r="BL296" i="23"/>
  <c r="BF296" i="23"/>
  <c r="AZ296" i="23"/>
  <c r="AT296" i="23"/>
  <c r="AN296" i="23"/>
  <c r="AH296" i="23"/>
  <c r="AB296" i="23"/>
  <c r="R296" i="23"/>
  <c r="I296" i="23"/>
  <c r="L296" i="23" s="1"/>
  <c r="CC295" i="23"/>
  <c r="CB295" i="23"/>
  <c r="BZ295" i="23"/>
  <c r="BL295" i="23"/>
  <c r="BF295" i="23"/>
  <c r="AZ295" i="23"/>
  <c r="AT295" i="23"/>
  <c r="AN295" i="23"/>
  <c r="AH295" i="23"/>
  <c r="AB295" i="23"/>
  <c r="R295" i="23"/>
  <c r="I295" i="23"/>
  <c r="L295" i="23" s="1"/>
  <c r="CC294" i="23"/>
  <c r="CB294" i="23"/>
  <c r="BZ294" i="23"/>
  <c r="BL294" i="23"/>
  <c r="BF294" i="23"/>
  <c r="AZ294" i="23"/>
  <c r="AT294" i="23"/>
  <c r="AN294" i="23"/>
  <c r="AH294" i="23"/>
  <c r="AB294" i="23"/>
  <c r="R294" i="23"/>
  <c r="I294" i="23"/>
  <c r="CA294" i="23" s="1"/>
  <c r="CC293" i="23"/>
  <c r="CB293" i="23"/>
  <c r="BZ293" i="23"/>
  <c r="BL293" i="23"/>
  <c r="BF293" i="23"/>
  <c r="AZ293" i="23"/>
  <c r="AT293" i="23"/>
  <c r="AN293" i="23"/>
  <c r="AH293" i="23"/>
  <c r="AB293" i="23"/>
  <c r="R293" i="23"/>
  <c r="I293" i="23"/>
  <c r="CA293" i="23" s="1"/>
  <c r="CC292" i="23"/>
  <c r="CB292" i="23"/>
  <c r="BZ292" i="23"/>
  <c r="BL292" i="23"/>
  <c r="BF292" i="23"/>
  <c r="AZ292" i="23"/>
  <c r="AT292" i="23"/>
  <c r="AN292" i="23"/>
  <c r="AH292" i="23"/>
  <c r="AB292" i="23"/>
  <c r="R292" i="23"/>
  <c r="I292" i="23"/>
  <c r="CA292" i="23" s="1"/>
  <c r="CC291" i="23"/>
  <c r="CB291" i="23"/>
  <c r="BZ291" i="23"/>
  <c r="BL291" i="23"/>
  <c r="BF291" i="23"/>
  <c r="AZ291" i="23"/>
  <c r="AT291" i="23"/>
  <c r="AN291" i="23"/>
  <c r="AH291" i="23"/>
  <c r="AB291" i="23"/>
  <c r="R291" i="23"/>
  <c r="I291" i="23"/>
  <c r="CA291" i="23" s="1"/>
  <c r="CC270" i="23"/>
  <c r="CB270" i="23"/>
  <c r="CA270" i="23"/>
  <c r="BZ270" i="23"/>
  <c r="BL270" i="23"/>
  <c r="BF270" i="23"/>
  <c r="AZ270" i="23"/>
  <c r="AT270" i="23"/>
  <c r="AN270" i="23"/>
  <c r="AH270" i="23"/>
  <c r="AB270" i="23"/>
  <c r="R270" i="23"/>
  <c r="L270" i="23"/>
  <c r="CC269" i="23"/>
  <c r="CB269" i="23"/>
  <c r="CA269" i="23"/>
  <c r="BZ269" i="23"/>
  <c r="BL269" i="23"/>
  <c r="BF269" i="23"/>
  <c r="AZ269" i="23"/>
  <c r="AT269" i="23"/>
  <c r="AN269" i="23"/>
  <c r="AH269" i="23"/>
  <c r="AB269" i="23"/>
  <c r="R269" i="23"/>
  <c r="L269" i="23"/>
  <c r="CC268" i="23"/>
  <c r="CB268" i="23"/>
  <c r="CA268" i="23"/>
  <c r="BZ268" i="23"/>
  <c r="BL268" i="23"/>
  <c r="BF268" i="23"/>
  <c r="AZ268" i="23"/>
  <c r="AT268" i="23"/>
  <c r="AN268" i="23"/>
  <c r="AH268" i="23"/>
  <c r="AB268" i="23"/>
  <c r="R268" i="23"/>
  <c r="L268" i="23"/>
  <c r="CD294" i="23" l="1"/>
  <c r="CA295" i="23"/>
  <c r="CD295" i="23" s="1"/>
  <c r="CE295" i="23" s="1"/>
  <c r="CD268" i="23"/>
  <c r="CD270" i="23"/>
  <c r="CE270" i="23" s="1"/>
  <c r="CD297" i="23"/>
  <c r="CD299" i="23"/>
  <c r="CA296" i="23"/>
  <c r="CD296" i="23" s="1"/>
  <c r="CE296" i="23" s="1"/>
  <c r="CD269" i="23"/>
  <c r="CE269" i="23" s="1"/>
  <c r="CD291" i="23"/>
  <c r="CD293" i="23"/>
  <c r="L294" i="23"/>
  <c r="CD298" i="23"/>
  <c r="CE298" i="23" s="1"/>
  <c r="L299" i="23"/>
  <c r="L292" i="23"/>
  <c r="L291" i="23"/>
  <c r="L293" i="23"/>
  <c r="CE297" i="23" l="1"/>
  <c r="CE268" i="23"/>
  <c r="CE294" i="23"/>
  <c r="CE299" i="23"/>
  <c r="CE293" i="23"/>
  <c r="CE291" i="23"/>
  <c r="CE292" i="23"/>
  <c r="AE1415" i="23" l="1"/>
  <c r="CC117" i="23" l="1"/>
  <c r="CB117" i="23"/>
  <c r="CA117" i="23"/>
  <c r="BZ117" i="23"/>
  <c r="BL117" i="23"/>
  <c r="BF117" i="23"/>
  <c r="AZ117" i="23"/>
  <c r="AT117" i="23"/>
  <c r="AN117" i="23"/>
  <c r="AH117" i="23"/>
  <c r="AB117" i="23"/>
  <c r="R117" i="23"/>
  <c r="L117" i="23"/>
  <c r="CC116" i="23"/>
  <c r="CB116" i="23"/>
  <c r="CA116" i="23"/>
  <c r="BZ116" i="23"/>
  <c r="BL116" i="23"/>
  <c r="BF116" i="23"/>
  <c r="AZ116" i="23"/>
  <c r="AT116" i="23"/>
  <c r="AN116" i="23"/>
  <c r="AH116" i="23"/>
  <c r="AB116" i="23"/>
  <c r="R116" i="23"/>
  <c r="L116" i="23"/>
  <c r="CC115" i="23"/>
  <c r="CB115" i="23"/>
  <c r="CA115" i="23"/>
  <c r="BZ115" i="23"/>
  <c r="BL115" i="23"/>
  <c r="BF115" i="23"/>
  <c r="AZ115" i="23"/>
  <c r="AT115" i="23"/>
  <c r="AN115" i="23"/>
  <c r="AH115" i="23"/>
  <c r="AB115" i="23"/>
  <c r="R115" i="23"/>
  <c r="L115" i="23"/>
  <c r="CD115" i="23" l="1"/>
  <c r="CD116" i="23"/>
  <c r="CE116" i="23" s="1"/>
  <c r="CD117" i="23"/>
  <c r="CE117" i="23" s="1"/>
  <c r="CE115" i="23" l="1"/>
  <c r="Y1248" i="23" l="1"/>
  <c r="CC1491" i="23" l="1"/>
  <c r="CB1491" i="23"/>
  <c r="CA1491" i="23"/>
  <c r="BZ1491" i="23"/>
  <c r="BL1491" i="23"/>
  <c r="BF1491" i="23"/>
  <c r="AZ1491" i="23"/>
  <c r="AT1491" i="23"/>
  <c r="AN1491" i="23"/>
  <c r="AH1491" i="23"/>
  <c r="AB1491" i="23"/>
  <c r="R1491" i="23"/>
  <c r="L1491" i="23"/>
  <c r="CC1490" i="23"/>
  <c r="CB1490" i="23"/>
  <c r="CA1490" i="23"/>
  <c r="BZ1490" i="23"/>
  <c r="BL1490" i="23"/>
  <c r="BF1490" i="23"/>
  <c r="AZ1490" i="23"/>
  <c r="AT1490" i="23"/>
  <c r="AN1490" i="23"/>
  <c r="AH1490" i="23"/>
  <c r="AB1490" i="23"/>
  <c r="R1490" i="23"/>
  <c r="L1490" i="23"/>
  <c r="CC1489" i="23"/>
  <c r="CB1489" i="23"/>
  <c r="CA1489" i="23"/>
  <c r="BZ1489" i="23"/>
  <c r="BL1489" i="23"/>
  <c r="BF1489" i="23"/>
  <c r="AZ1489" i="23"/>
  <c r="AT1489" i="23"/>
  <c r="AN1489" i="23"/>
  <c r="AH1489" i="23"/>
  <c r="AB1489" i="23"/>
  <c r="R1489" i="23"/>
  <c r="L1489" i="23"/>
  <c r="CC1488" i="23"/>
  <c r="CB1488" i="23"/>
  <c r="CA1488" i="23"/>
  <c r="BZ1488" i="23"/>
  <c r="BL1488" i="23"/>
  <c r="BF1488" i="23"/>
  <c r="AZ1488" i="23"/>
  <c r="AT1488" i="23"/>
  <c r="AN1488" i="23"/>
  <c r="AH1488" i="23"/>
  <c r="AB1488" i="23"/>
  <c r="R1488" i="23"/>
  <c r="L1488" i="23"/>
  <c r="CC1487" i="23"/>
  <c r="CB1487" i="23"/>
  <c r="CA1487" i="23"/>
  <c r="BZ1487" i="23"/>
  <c r="BL1487" i="23"/>
  <c r="BF1487" i="23"/>
  <c r="AZ1487" i="23"/>
  <c r="AT1487" i="23"/>
  <c r="AN1487" i="23"/>
  <c r="AH1487" i="23"/>
  <c r="AB1487" i="23"/>
  <c r="R1487" i="23"/>
  <c r="L1487" i="23"/>
  <c r="CC1486" i="23"/>
  <c r="CB1486" i="23"/>
  <c r="CA1486" i="23"/>
  <c r="BZ1486" i="23"/>
  <c r="BL1486" i="23"/>
  <c r="BF1486" i="23"/>
  <c r="AZ1486" i="23"/>
  <c r="AT1486" i="23"/>
  <c r="AN1486" i="23"/>
  <c r="AH1486" i="23"/>
  <c r="AB1486" i="23"/>
  <c r="R1486" i="23"/>
  <c r="L1486" i="23"/>
  <c r="CC1485" i="23"/>
  <c r="CB1485" i="23"/>
  <c r="CA1485" i="23"/>
  <c r="BZ1485" i="23"/>
  <c r="BL1485" i="23"/>
  <c r="BF1485" i="23"/>
  <c r="AZ1485" i="23"/>
  <c r="AT1485" i="23"/>
  <c r="AN1485" i="23"/>
  <c r="AH1485" i="23"/>
  <c r="AB1485" i="23"/>
  <c r="R1485" i="23"/>
  <c r="L1485" i="23"/>
  <c r="CC1484" i="23"/>
  <c r="CB1484" i="23"/>
  <c r="CA1484" i="23"/>
  <c r="BZ1484" i="23"/>
  <c r="BL1484" i="23"/>
  <c r="BF1484" i="23"/>
  <c r="AZ1484" i="23"/>
  <c r="AT1484" i="23"/>
  <c r="AN1484" i="23"/>
  <c r="AH1484" i="23"/>
  <c r="AB1484" i="23"/>
  <c r="R1484" i="23"/>
  <c r="L1484" i="23"/>
  <c r="CC1483" i="23"/>
  <c r="CB1483" i="23"/>
  <c r="CA1483" i="23"/>
  <c r="BZ1483" i="23"/>
  <c r="BL1483" i="23"/>
  <c r="BF1483" i="23"/>
  <c r="AZ1483" i="23"/>
  <c r="AT1483" i="23"/>
  <c r="AN1483" i="23"/>
  <c r="AH1483" i="23"/>
  <c r="AB1483" i="23"/>
  <c r="R1483" i="23"/>
  <c r="L1483" i="23"/>
  <c r="CC1482" i="23"/>
  <c r="CB1482" i="23"/>
  <c r="CA1482" i="23"/>
  <c r="BZ1482" i="23"/>
  <c r="BL1482" i="23"/>
  <c r="BF1482" i="23"/>
  <c r="AZ1482" i="23"/>
  <c r="AT1482" i="23"/>
  <c r="AN1482" i="23"/>
  <c r="AH1482" i="23"/>
  <c r="AB1482" i="23"/>
  <c r="R1482" i="23"/>
  <c r="L1482" i="23"/>
  <c r="CC1481" i="23"/>
  <c r="CB1481" i="23"/>
  <c r="BZ1481" i="23"/>
  <c r="BL1481" i="23"/>
  <c r="BF1481" i="23"/>
  <c r="AZ1481" i="23"/>
  <c r="AT1481" i="23"/>
  <c r="AN1481" i="23"/>
  <c r="AH1481" i="23"/>
  <c r="AB1481" i="23"/>
  <c r="R1481" i="23"/>
  <c r="I1481" i="23"/>
  <c r="CA1481" i="23" s="1"/>
  <c r="CC1480" i="23"/>
  <c r="CB1480" i="23"/>
  <c r="CA1480" i="23"/>
  <c r="BZ1480" i="23"/>
  <c r="BL1480" i="23"/>
  <c r="BF1480" i="23"/>
  <c r="AZ1480" i="23"/>
  <c r="AT1480" i="23"/>
  <c r="AN1480" i="23"/>
  <c r="AH1480" i="23"/>
  <c r="AB1480" i="23"/>
  <c r="R1480" i="23"/>
  <c r="L1480" i="23"/>
  <c r="CC1479" i="23"/>
  <c r="CB1479" i="23"/>
  <c r="BZ1479" i="23"/>
  <c r="BL1479" i="23"/>
  <c r="BF1479" i="23"/>
  <c r="AZ1479" i="23"/>
  <c r="AT1479" i="23"/>
  <c r="AN1479" i="23"/>
  <c r="AH1479" i="23"/>
  <c r="AB1479" i="23"/>
  <c r="R1479" i="23"/>
  <c r="I1479" i="23"/>
  <c r="L1479" i="23" s="1"/>
  <c r="CC1626" i="23"/>
  <c r="CB1626" i="23"/>
  <c r="CA1626" i="23"/>
  <c r="BZ1626" i="23"/>
  <c r="BL1626" i="23"/>
  <c r="BF1626" i="23"/>
  <c r="AZ1626" i="23"/>
  <c r="AT1626" i="23"/>
  <c r="AN1626" i="23"/>
  <c r="AH1626" i="23"/>
  <c r="AB1626" i="23"/>
  <c r="R1626" i="23"/>
  <c r="L1626" i="23"/>
  <c r="CC1625" i="23"/>
  <c r="CB1625" i="23"/>
  <c r="CA1625" i="23"/>
  <c r="BZ1625" i="23"/>
  <c r="BL1625" i="23"/>
  <c r="BF1625" i="23"/>
  <c r="AZ1625" i="23"/>
  <c r="AT1625" i="23"/>
  <c r="AN1625" i="23"/>
  <c r="AH1625" i="23"/>
  <c r="AB1625" i="23"/>
  <c r="R1625" i="23"/>
  <c r="L1625" i="23"/>
  <c r="I1463" i="23"/>
  <c r="I1462" i="23"/>
  <c r="CD1491" i="23" l="1"/>
  <c r="CE1491" i="23" s="1"/>
  <c r="L1481" i="23"/>
  <c r="CD1490" i="23"/>
  <c r="CE1490" i="23" s="1"/>
  <c r="CD1487" i="23"/>
  <c r="CE1487" i="23" s="1"/>
  <c r="CD1488" i="23"/>
  <c r="CE1488" i="23" s="1"/>
  <c r="CE1482" i="23"/>
  <c r="CD1486" i="23"/>
  <c r="CE1486" i="23" s="1"/>
  <c r="CD1483" i="23"/>
  <c r="CE1483" i="23" s="1"/>
  <c r="CD1485" i="23"/>
  <c r="CE1485" i="23" s="1"/>
  <c r="CD1489" i="23"/>
  <c r="CE1489" i="23" s="1"/>
  <c r="CD1484" i="23"/>
  <c r="CE1484" i="23" s="1"/>
  <c r="CD1626" i="23"/>
  <c r="CE1626" i="23" s="1"/>
  <c r="CD1480" i="23"/>
  <c r="CE1480" i="23" s="1"/>
  <c r="CD1625" i="23"/>
  <c r="CD1481" i="23"/>
  <c r="CA1479" i="23"/>
  <c r="CE1479" i="23" l="1"/>
  <c r="CE1625" i="23"/>
  <c r="CE1481" i="23"/>
  <c r="CC1007" i="23"/>
  <c r="CB1007" i="23"/>
  <c r="CA1007" i="23"/>
  <c r="BZ1007" i="23"/>
  <c r="BL1007" i="23"/>
  <c r="BF1007" i="23"/>
  <c r="AZ1007" i="23"/>
  <c r="AT1007" i="23"/>
  <c r="AN1007" i="23"/>
  <c r="AH1007" i="23"/>
  <c r="AB1007" i="23"/>
  <c r="R1007" i="23"/>
  <c r="L1007" i="23"/>
  <c r="CC1006" i="23"/>
  <c r="CB1006" i="23"/>
  <c r="CA1006" i="23"/>
  <c r="BZ1006" i="23"/>
  <c r="BL1006" i="23"/>
  <c r="BF1006" i="23"/>
  <c r="AZ1006" i="23"/>
  <c r="AT1006" i="23"/>
  <c r="AN1006" i="23"/>
  <c r="AH1006" i="23"/>
  <c r="AB1006" i="23"/>
  <c r="R1006" i="23"/>
  <c r="L1006" i="23"/>
  <c r="CC1005" i="23"/>
  <c r="CB1005" i="23"/>
  <c r="CA1005" i="23"/>
  <c r="BZ1005" i="23"/>
  <c r="BL1005" i="23"/>
  <c r="BF1005" i="23"/>
  <c r="AZ1005" i="23"/>
  <c r="AT1005" i="23"/>
  <c r="AN1005" i="23"/>
  <c r="AH1005" i="23"/>
  <c r="AB1005" i="23"/>
  <c r="R1005" i="23"/>
  <c r="L1005" i="23"/>
  <c r="CC1004" i="23"/>
  <c r="CB1004" i="23"/>
  <c r="CA1004" i="23"/>
  <c r="BZ1004" i="23"/>
  <c r="BL1004" i="23"/>
  <c r="BF1004" i="23"/>
  <c r="AZ1004" i="23"/>
  <c r="AT1004" i="23"/>
  <c r="AN1004" i="23"/>
  <c r="AH1004" i="23"/>
  <c r="AB1004" i="23"/>
  <c r="R1004" i="23"/>
  <c r="L1004" i="23"/>
  <c r="CC1003" i="23"/>
  <c r="CB1003" i="23"/>
  <c r="CA1003" i="23"/>
  <c r="BZ1003" i="23"/>
  <c r="BL1003" i="23"/>
  <c r="BF1003" i="23"/>
  <c r="AZ1003" i="23"/>
  <c r="AT1003" i="23"/>
  <c r="AN1003" i="23"/>
  <c r="AH1003" i="23"/>
  <c r="AB1003" i="23"/>
  <c r="R1003" i="23"/>
  <c r="L1003" i="23"/>
  <c r="CC1002" i="23"/>
  <c r="CB1002" i="23"/>
  <c r="CA1002" i="23"/>
  <c r="BZ1002" i="23"/>
  <c r="BL1002" i="23"/>
  <c r="BF1002" i="23"/>
  <c r="AZ1002" i="23"/>
  <c r="AT1002" i="23"/>
  <c r="AN1002" i="23"/>
  <c r="AH1002" i="23"/>
  <c r="AB1002" i="23"/>
  <c r="R1002" i="23"/>
  <c r="L1002" i="23"/>
  <c r="CC1001" i="23"/>
  <c r="CB1001" i="23"/>
  <c r="CA1001" i="23"/>
  <c r="BZ1001" i="23"/>
  <c r="BL1001" i="23"/>
  <c r="BF1001" i="23"/>
  <c r="AZ1001" i="23"/>
  <c r="AT1001" i="23"/>
  <c r="AN1001" i="23"/>
  <c r="AH1001" i="23"/>
  <c r="AB1001" i="23"/>
  <c r="R1001" i="23"/>
  <c r="L1001" i="23"/>
  <c r="CC1000" i="23"/>
  <c r="CB1000" i="23"/>
  <c r="CA1000" i="23"/>
  <c r="BZ1000" i="23"/>
  <c r="BL1000" i="23"/>
  <c r="BF1000" i="23"/>
  <c r="AZ1000" i="23"/>
  <c r="AT1000" i="23"/>
  <c r="AN1000" i="23"/>
  <c r="AH1000" i="23"/>
  <c r="AB1000" i="23"/>
  <c r="R1000" i="23"/>
  <c r="L1000" i="23"/>
  <c r="CD1003" i="23" l="1"/>
  <c r="CE1003" i="23" s="1"/>
  <c r="CD1002" i="23"/>
  <c r="CD1001" i="23"/>
  <c r="CE1001" i="23" s="1"/>
  <c r="CD1000" i="23"/>
  <c r="CD1007" i="23"/>
  <c r="CD1006" i="23"/>
  <c r="CD1004" i="23"/>
  <c r="CD1005" i="23"/>
  <c r="CE1005" i="23" s="1"/>
  <c r="CE1006" i="23" l="1"/>
  <c r="CE1004" i="23"/>
  <c r="CE1007" i="23"/>
  <c r="CE1000" i="23"/>
  <c r="CE1002" i="23"/>
  <c r="BU753" i="19" l="1"/>
  <c r="CC1582" i="23" l="1"/>
  <c r="CB1582" i="23"/>
  <c r="CA1582" i="23"/>
  <c r="BZ1582" i="23"/>
  <c r="BL1582" i="23"/>
  <c r="BF1582" i="23"/>
  <c r="AZ1582" i="23"/>
  <c r="AT1582" i="23"/>
  <c r="AN1582" i="23"/>
  <c r="AH1582" i="23"/>
  <c r="AB1582" i="23"/>
  <c r="R1582" i="23"/>
  <c r="L1582" i="23"/>
  <c r="CC1581" i="23"/>
  <c r="CB1581" i="23"/>
  <c r="CA1581" i="23"/>
  <c r="BZ1581" i="23"/>
  <c r="BL1581" i="23"/>
  <c r="BF1581" i="23"/>
  <c r="AZ1581" i="23"/>
  <c r="AT1581" i="23"/>
  <c r="AN1581" i="23"/>
  <c r="AH1581" i="23"/>
  <c r="AB1581" i="23"/>
  <c r="R1581" i="23"/>
  <c r="L1581" i="23"/>
  <c r="CC1580" i="23"/>
  <c r="CB1580" i="23"/>
  <c r="CA1580" i="23"/>
  <c r="BZ1580" i="23"/>
  <c r="BL1580" i="23"/>
  <c r="BF1580" i="23"/>
  <c r="AZ1580" i="23"/>
  <c r="AT1580" i="23"/>
  <c r="AN1580" i="23"/>
  <c r="AH1580" i="23"/>
  <c r="AB1580" i="23"/>
  <c r="R1580" i="23"/>
  <c r="L1580" i="23"/>
  <c r="CC1579" i="23"/>
  <c r="CB1579" i="23"/>
  <c r="CA1579" i="23"/>
  <c r="BZ1579" i="23"/>
  <c r="BL1579" i="23"/>
  <c r="BF1579" i="23"/>
  <c r="AZ1579" i="23"/>
  <c r="AT1579" i="23"/>
  <c r="AN1579" i="23"/>
  <c r="AH1579" i="23"/>
  <c r="AB1579" i="23"/>
  <c r="R1579" i="23"/>
  <c r="L1579" i="23"/>
  <c r="CC1478" i="23"/>
  <c r="CB1478" i="23"/>
  <c r="CA1478" i="23"/>
  <c r="BZ1478" i="23"/>
  <c r="BL1478" i="23"/>
  <c r="BF1478" i="23"/>
  <c r="AZ1478" i="23"/>
  <c r="AT1478" i="23"/>
  <c r="AN1478" i="23"/>
  <c r="AH1478" i="23"/>
  <c r="AB1478" i="23"/>
  <c r="R1478" i="23"/>
  <c r="L1478" i="23"/>
  <c r="CC1477" i="23"/>
  <c r="CB1477" i="23"/>
  <c r="CA1477" i="23"/>
  <c r="BZ1477" i="23"/>
  <c r="BL1477" i="23"/>
  <c r="BF1477" i="23"/>
  <c r="AZ1477" i="23"/>
  <c r="AT1477" i="23"/>
  <c r="AN1477" i="23"/>
  <c r="AH1477" i="23"/>
  <c r="AB1477" i="23"/>
  <c r="R1477" i="23"/>
  <c r="L1477" i="23"/>
  <c r="H1477" i="23"/>
  <c r="CC1476" i="23"/>
  <c r="CB1476" i="23"/>
  <c r="CA1476" i="23"/>
  <c r="BZ1476" i="23"/>
  <c r="BL1476" i="23"/>
  <c r="BF1476" i="23"/>
  <c r="AZ1476" i="23"/>
  <c r="AT1476" i="23"/>
  <c r="AN1476" i="23"/>
  <c r="AH1476" i="23"/>
  <c r="AB1476" i="23"/>
  <c r="R1476" i="23"/>
  <c r="L1476" i="23"/>
  <c r="CC1475" i="23"/>
  <c r="CB1475" i="23"/>
  <c r="BZ1475" i="23"/>
  <c r="BL1475" i="23"/>
  <c r="BF1475" i="23"/>
  <c r="AZ1475" i="23"/>
  <c r="AT1475" i="23"/>
  <c r="AN1475" i="23"/>
  <c r="AH1475" i="23"/>
  <c r="AB1475" i="23"/>
  <c r="R1475" i="23"/>
  <c r="I1475" i="23"/>
  <c r="L1475" i="23" s="1"/>
  <c r="CC1474" i="23"/>
  <c r="CB1474" i="23"/>
  <c r="CA1474" i="23"/>
  <c r="BZ1474" i="23"/>
  <c r="BL1474" i="23"/>
  <c r="BF1474" i="23"/>
  <c r="AZ1474" i="23"/>
  <c r="AT1474" i="23"/>
  <c r="AN1474" i="23"/>
  <c r="AH1474" i="23"/>
  <c r="AB1474" i="23"/>
  <c r="R1474" i="23"/>
  <c r="L1474" i="23"/>
  <c r="CC1473" i="23"/>
  <c r="CB1473" i="23"/>
  <c r="CA1473" i="23"/>
  <c r="BZ1473" i="23"/>
  <c r="BL1473" i="23"/>
  <c r="BF1473" i="23"/>
  <c r="AZ1473" i="23"/>
  <c r="AT1473" i="23"/>
  <c r="AN1473" i="23"/>
  <c r="AH1473" i="23"/>
  <c r="AB1473" i="23"/>
  <c r="R1473" i="23"/>
  <c r="L1473" i="23"/>
  <c r="CD1477" i="23" l="1"/>
  <c r="CE1477" i="23" s="1"/>
  <c r="CD1478" i="23"/>
  <c r="CE1478" i="23" s="1"/>
  <c r="CD1582" i="23"/>
  <c r="CE1582" i="23" s="1"/>
  <c r="CD1580" i="23"/>
  <c r="CE1580" i="23" s="1"/>
  <c r="CD1581" i="23"/>
  <c r="CE1581" i="23" s="1"/>
  <c r="BM1477" i="23"/>
  <c r="CD1579" i="23"/>
  <c r="CD1476" i="23"/>
  <c r="CE1476" i="23" s="1"/>
  <c r="BM1478" i="23"/>
  <c r="CD1474" i="23"/>
  <c r="CE1474" i="23" s="1"/>
  <c r="CD1473" i="23"/>
  <c r="CA1475" i="23"/>
  <c r="CD1475" i="23" s="1"/>
  <c r="CE1475" i="23" s="1"/>
  <c r="CE1473" i="23" l="1"/>
  <c r="CE1579" i="23"/>
  <c r="Y1435" i="23" l="1"/>
  <c r="CC267" i="23" l="1"/>
  <c r="CB267" i="23"/>
  <c r="CA267" i="23"/>
  <c r="BZ267" i="23"/>
  <c r="BL267" i="23"/>
  <c r="BF267" i="23"/>
  <c r="AZ267" i="23"/>
  <c r="AT267" i="23"/>
  <c r="AN267" i="23"/>
  <c r="AH267" i="23"/>
  <c r="AB267" i="23"/>
  <c r="R267" i="23"/>
  <c r="L267" i="23"/>
  <c r="CC266" i="23"/>
  <c r="CB266" i="23"/>
  <c r="CA266" i="23"/>
  <c r="BZ266" i="23"/>
  <c r="BL266" i="23"/>
  <c r="BF266" i="23"/>
  <c r="AZ266" i="23"/>
  <c r="AT266" i="23"/>
  <c r="AN266" i="23"/>
  <c r="AH266" i="23"/>
  <c r="AB266" i="23"/>
  <c r="R266" i="23"/>
  <c r="L266" i="23"/>
  <c r="CC265" i="23"/>
  <c r="CB265" i="23"/>
  <c r="CA265" i="23"/>
  <c r="BZ265" i="23"/>
  <c r="BL265" i="23"/>
  <c r="BF265" i="23"/>
  <c r="AZ265" i="23"/>
  <c r="AT265" i="23"/>
  <c r="AN265" i="23"/>
  <c r="AH265" i="23"/>
  <c r="AB265" i="23"/>
  <c r="R265" i="23"/>
  <c r="L265" i="23"/>
  <c r="CC83" i="23"/>
  <c r="CB83" i="23"/>
  <c r="CA83" i="23"/>
  <c r="BZ83" i="23"/>
  <c r="BL83" i="23"/>
  <c r="BF83" i="23"/>
  <c r="AZ83" i="23"/>
  <c r="AT83" i="23"/>
  <c r="AN83" i="23"/>
  <c r="AH83" i="23"/>
  <c r="AB83" i="23"/>
  <c r="R83" i="23"/>
  <c r="L83" i="23"/>
  <c r="CC82" i="23"/>
  <c r="CB82" i="23"/>
  <c r="CA82" i="23"/>
  <c r="BZ82" i="23"/>
  <c r="BL82" i="23"/>
  <c r="BF82" i="23"/>
  <c r="AZ82" i="23"/>
  <c r="AT82" i="23"/>
  <c r="AN82" i="23"/>
  <c r="AH82" i="23"/>
  <c r="AB82" i="23"/>
  <c r="R82" i="23"/>
  <c r="L82" i="23"/>
  <c r="CC81" i="23"/>
  <c r="CB81" i="23"/>
  <c r="CA81" i="23"/>
  <c r="BZ81" i="23"/>
  <c r="BL81" i="23"/>
  <c r="BF81" i="23"/>
  <c r="AZ81" i="23"/>
  <c r="AT81" i="23"/>
  <c r="AN81" i="23"/>
  <c r="AH81" i="23"/>
  <c r="AB81" i="23"/>
  <c r="R81" i="23"/>
  <c r="L81" i="23"/>
  <c r="CC80" i="23"/>
  <c r="CB80" i="23"/>
  <c r="CA80" i="23"/>
  <c r="BZ80" i="23"/>
  <c r="BL80" i="23"/>
  <c r="BF80" i="23"/>
  <c r="AZ80" i="23"/>
  <c r="AT80" i="23"/>
  <c r="AN80" i="23"/>
  <c r="AH80" i="23"/>
  <c r="AB80" i="23"/>
  <c r="R80" i="23"/>
  <c r="L80" i="23"/>
  <c r="CC79" i="23"/>
  <c r="CB79" i="23"/>
  <c r="CA79" i="23"/>
  <c r="BZ79" i="23"/>
  <c r="BL79" i="23"/>
  <c r="BF79" i="23"/>
  <c r="AZ79" i="23"/>
  <c r="AT79" i="23"/>
  <c r="AN79" i="23"/>
  <c r="AH79" i="23"/>
  <c r="AB79" i="23"/>
  <c r="R79" i="23"/>
  <c r="L79" i="23"/>
  <c r="CD266" i="23" l="1"/>
  <c r="CE266" i="23" s="1"/>
  <c r="CD79" i="23"/>
  <c r="CD80" i="23"/>
  <c r="CE80" i="23" s="1"/>
  <c r="CD265" i="23"/>
  <c r="CD81" i="23"/>
  <c r="CE267" i="23"/>
  <c r="CD83" i="23"/>
  <c r="CE83" i="23" s="1"/>
  <c r="BM83" i="23"/>
  <c r="CE265" i="23" l="1"/>
  <c r="CE79" i="23"/>
  <c r="CE81" i="23"/>
  <c r="CE82" i="23"/>
  <c r="AG1100" i="19" l="1"/>
  <c r="BU1216" i="23" l="1"/>
  <c r="CC415" i="23" l="1"/>
  <c r="CB415" i="23"/>
  <c r="CA415" i="23"/>
  <c r="BZ415" i="23"/>
  <c r="BL415" i="23"/>
  <c r="BF415" i="23"/>
  <c r="AZ415" i="23"/>
  <c r="AT415" i="23"/>
  <c r="AN415" i="23"/>
  <c r="AH415" i="23"/>
  <c r="AB415" i="23"/>
  <c r="R415" i="23"/>
  <c r="L415" i="23"/>
  <c r="CC414" i="23"/>
  <c r="CB414" i="23"/>
  <c r="CA414" i="23"/>
  <c r="BZ414" i="23"/>
  <c r="BL414" i="23"/>
  <c r="BF414" i="23"/>
  <c r="AZ414" i="23"/>
  <c r="AT414" i="23"/>
  <c r="AN414" i="23"/>
  <c r="AH414" i="23"/>
  <c r="AB414" i="23"/>
  <c r="R414" i="23"/>
  <c r="L414" i="23"/>
  <c r="CC413" i="23"/>
  <c r="CB413" i="23"/>
  <c r="CA413" i="23"/>
  <c r="BZ413" i="23"/>
  <c r="BL413" i="23"/>
  <c r="BF413" i="23"/>
  <c r="AZ413" i="23"/>
  <c r="AT413" i="23"/>
  <c r="AN413" i="23"/>
  <c r="AH413" i="23"/>
  <c r="AB413" i="23"/>
  <c r="R413" i="23"/>
  <c r="L413" i="23"/>
  <c r="H413" i="23"/>
  <c r="CC412" i="23"/>
  <c r="CB412" i="23"/>
  <c r="CA412" i="23"/>
  <c r="BZ412" i="23"/>
  <c r="BL412" i="23"/>
  <c r="BF412" i="23"/>
  <c r="AZ412" i="23"/>
  <c r="AT412" i="23"/>
  <c r="AN412" i="23"/>
  <c r="AH412" i="23"/>
  <c r="AB412" i="23"/>
  <c r="R412" i="23"/>
  <c r="L412" i="23"/>
  <c r="H412" i="23"/>
  <c r="CC411" i="23"/>
  <c r="CB411" i="23"/>
  <c r="CA411" i="23"/>
  <c r="BZ411" i="23"/>
  <c r="BL411" i="23"/>
  <c r="BF411" i="23"/>
  <c r="AZ411" i="23"/>
  <c r="AT411" i="23"/>
  <c r="AN411" i="23"/>
  <c r="AH411" i="23"/>
  <c r="AB411" i="23"/>
  <c r="R411" i="23"/>
  <c r="L411" i="23"/>
  <c r="CC410" i="23"/>
  <c r="CB410" i="23"/>
  <c r="CA410" i="23"/>
  <c r="BZ410" i="23"/>
  <c r="BL410" i="23"/>
  <c r="BF410" i="23"/>
  <c r="AZ410" i="23"/>
  <c r="AT410" i="23"/>
  <c r="AN410" i="23"/>
  <c r="AH410" i="23"/>
  <c r="AB410" i="23"/>
  <c r="R410" i="23"/>
  <c r="L410" i="23"/>
  <c r="CC78" i="23"/>
  <c r="CB78" i="23"/>
  <c r="CA78" i="23"/>
  <c r="BZ78" i="23"/>
  <c r="BL78" i="23"/>
  <c r="BF78" i="23"/>
  <c r="AZ78" i="23"/>
  <c r="AT78" i="23"/>
  <c r="AN78" i="23"/>
  <c r="AH78" i="23"/>
  <c r="AB78" i="23"/>
  <c r="R78" i="23"/>
  <c r="L78" i="23"/>
  <c r="CC77" i="23"/>
  <c r="CB77" i="23"/>
  <c r="CA77" i="23"/>
  <c r="BZ77" i="23"/>
  <c r="BL77" i="23"/>
  <c r="BF77" i="23"/>
  <c r="AZ77" i="23"/>
  <c r="AT77" i="23"/>
  <c r="AN77" i="23"/>
  <c r="AH77" i="23"/>
  <c r="AB77" i="23"/>
  <c r="R77" i="23"/>
  <c r="L77" i="23"/>
  <c r="CC76" i="23"/>
  <c r="CB76" i="23"/>
  <c r="CA76" i="23"/>
  <c r="BZ76" i="23"/>
  <c r="BL76" i="23"/>
  <c r="BF76" i="23"/>
  <c r="AZ76" i="23"/>
  <c r="AT76" i="23"/>
  <c r="AN76" i="23"/>
  <c r="AH76" i="23"/>
  <c r="AB76" i="23"/>
  <c r="R76" i="23"/>
  <c r="L76" i="23"/>
  <c r="CC75" i="23"/>
  <c r="CB75" i="23"/>
  <c r="CA75" i="23"/>
  <c r="BZ75" i="23"/>
  <c r="BL75" i="23"/>
  <c r="BF75" i="23"/>
  <c r="AZ75" i="23"/>
  <c r="AT75" i="23"/>
  <c r="AN75" i="23"/>
  <c r="AH75" i="23"/>
  <c r="AB75" i="23"/>
  <c r="R75" i="23"/>
  <c r="L75" i="23"/>
  <c r="CC74" i="23"/>
  <c r="CB74" i="23"/>
  <c r="CA74" i="23"/>
  <c r="BZ74" i="23"/>
  <c r="BL74" i="23"/>
  <c r="BF74" i="23"/>
  <c r="AZ74" i="23"/>
  <c r="AT74" i="23"/>
  <c r="AN74" i="23"/>
  <c r="AH74" i="23"/>
  <c r="AB74" i="23"/>
  <c r="R74" i="23"/>
  <c r="L74" i="23"/>
  <c r="CC73" i="23"/>
  <c r="CB73" i="23"/>
  <c r="CA73" i="23"/>
  <c r="BZ73" i="23"/>
  <c r="BL73" i="23"/>
  <c r="BF73" i="23"/>
  <c r="AZ73" i="23"/>
  <c r="AT73" i="23"/>
  <c r="AN73" i="23"/>
  <c r="AH73" i="23"/>
  <c r="AB73" i="23"/>
  <c r="R73" i="23"/>
  <c r="L73" i="23"/>
  <c r="CC72" i="23"/>
  <c r="CB72" i="23"/>
  <c r="CA72" i="23"/>
  <c r="BZ72" i="23"/>
  <c r="BL72" i="23"/>
  <c r="BF72" i="23"/>
  <c r="AZ72" i="23"/>
  <c r="AT72" i="23"/>
  <c r="AN72" i="23"/>
  <c r="AH72" i="23"/>
  <c r="AB72" i="23"/>
  <c r="R72" i="23"/>
  <c r="L72" i="23"/>
  <c r="CC71" i="23"/>
  <c r="CB71" i="23"/>
  <c r="CA71" i="23"/>
  <c r="BZ71" i="23"/>
  <c r="BL71" i="23"/>
  <c r="BF71" i="23"/>
  <c r="AZ71" i="23"/>
  <c r="AT71" i="23"/>
  <c r="AN71" i="23"/>
  <c r="AH71" i="23"/>
  <c r="AB71" i="23"/>
  <c r="R71" i="23"/>
  <c r="L71" i="23"/>
  <c r="CC70" i="23"/>
  <c r="CB70" i="23"/>
  <c r="CA70" i="23"/>
  <c r="BZ70" i="23"/>
  <c r="BL70" i="23"/>
  <c r="BF70" i="23"/>
  <c r="AZ70" i="23"/>
  <c r="AT70" i="23"/>
  <c r="AN70" i="23"/>
  <c r="AH70" i="23"/>
  <c r="AB70" i="23"/>
  <c r="R70" i="23"/>
  <c r="L70" i="23"/>
  <c r="CC69" i="23"/>
  <c r="CB69" i="23"/>
  <c r="CA69" i="23"/>
  <c r="BZ69" i="23"/>
  <c r="BL69" i="23"/>
  <c r="BF69" i="23"/>
  <c r="AZ69" i="23"/>
  <c r="AT69" i="23"/>
  <c r="AN69" i="23"/>
  <c r="AH69" i="23"/>
  <c r="AB69" i="23"/>
  <c r="R69" i="23"/>
  <c r="L69" i="23"/>
  <c r="CC68" i="23"/>
  <c r="CB68" i="23"/>
  <c r="BZ68" i="23"/>
  <c r="BL68" i="23"/>
  <c r="BF68" i="23"/>
  <c r="AZ68" i="23"/>
  <c r="AT68" i="23"/>
  <c r="AN68" i="23"/>
  <c r="AH68" i="23"/>
  <c r="AB68" i="23"/>
  <c r="R68" i="23"/>
  <c r="I68" i="23"/>
  <c r="CA68" i="23" s="1"/>
  <c r="CC67" i="23"/>
  <c r="CB67" i="23"/>
  <c r="CA67" i="23"/>
  <c r="BZ67" i="23"/>
  <c r="BL67" i="23"/>
  <c r="BF67" i="23"/>
  <c r="AZ67" i="23"/>
  <c r="AT67" i="23"/>
  <c r="AN67" i="23"/>
  <c r="AH67" i="23"/>
  <c r="AB67" i="23"/>
  <c r="R67" i="23"/>
  <c r="L67" i="23"/>
  <c r="CC66" i="23"/>
  <c r="CB66" i="23"/>
  <c r="CA66" i="23"/>
  <c r="BZ66" i="23"/>
  <c r="BL66" i="23"/>
  <c r="BF66" i="23"/>
  <c r="AZ66" i="23"/>
  <c r="AT66" i="23"/>
  <c r="AN66" i="23"/>
  <c r="AH66" i="23"/>
  <c r="AB66" i="23"/>
  <c r="R66" i="23"/>
  <c r="L66" i="23"/>
  <c r="CC65" i="23"/>
  <c r="CB65" i="23"/>
  <c r="CA65" i="23"/>
  <c r="BZ65" i="23"/>
  <c r="BL65" i="23"/>
  <c r="BF65" i="23"/>
  <c r="AZ65" i="23"/>
  <c r="AT65" i="23"/>
  <c r="AN65" i="23"/>
  <c r="AH65" i="23"/>
  <c r="AB65" i="23"/>
  <c r="R65" i="23"/>
  <c r="L65" i="23"/>
  <c r="CC64" i="23"/>
  <c r="CB64" i="23"/>
  <c r="CA64" i="23"/>
  <c r="BZ64" i="23"/>
  <c r="BL64" i="23"/>
  <c r="BF64" i="23"/>
  <c r="AZ64" i="23"/>
  <c r="AT64" i="23"/>
  <c r="AN64" i="23"/>
  <c r="AH64" i="23"/>
  <c r="AB64" i="23"/>
  <c r="R64" i="23"/>
  <c r="L64" i="23"/>
  <c r="CC63" i="23"/>
  <c r="CB63" i="23"/>
  <c r="CA63" i="23"/>
  <c r="BZ63" i="23"/>
  <c r="BL63" i="23"/>
  <c r="BF63" i="23"/>
  <c r="AZ63" i="23"/>
  <c r="AT63" i="23"/>
  <c r="AN63" i="23"/>
  <c r="AH63" i="23"/>
  <c r="AB63" i="23"/>
  <c r="R63" i="23"/>
  <c r="L63" i="23"/>
  <c r="CC62" i="23"/>
  <c r="CB62" i="23"/>
  <c r="CA62" i="23"/>
  <c r="BZ62" i="23"/>
  <c r="BL62" i="23"/>
  <c r="BF62" i="23"/>
  <c r="AZ62" i="23"/>
  <c r="AT62" i="23"/>
  <c r="AN62" i="23"/>
  <c r="AH62" i="23"/>
  <c r="AB62" i="23"/>
  <c r="R62" i="23"/>
  <c r="L62" i="23"/>
  <c r="CC61" i="23"/>
  <c r="CB61" i="23"/>
  <c r="CA61" i="23"/>
  <c r="BZ61" i="23"/>
  <c r="BL61" i="23"/>
  <c r="BF61" i="23"/>
  <c r="AZ61" i="23"/>
  <c r="AT61" i="23"/>
  <c r="AN61" i="23"/>
  <c r="AH61" i="23"/>
  <c r="AB61" i="23"/>
  <c r="R61" i="23"/>
  <c r="L61" i="23"/>
  <c r="CC60" i="23"/>
  <c r="CB60" i="23"/>
  <c r="CA60" i="23"/>
  <c r="BZ60" i="23"/>
  <c r="BL60" i="23"/>
  <c r="BF60" i="23"/>
  <c r="AZ60" i="23"/>
  <c r="AT60" i="23"/>
  <c r="AN60" i="23"/>
  <c r="AH60" i="23"/>
  <c r="AB60" i="23"/>
  <c r="R60" i="23"/>
  <c r="L60" i="23"/>
  <c r="CC59" i="23"/>
  <c r="CB59" i="23"/>
  <c r="CA59" i="23"/>
  <c r="BZ59" i="23"/>
  <c r="BL59" i="23"/>
  <c r="BF59" i="23"/>
  <c r="AZ59" i="23"/>
  <c r="AT59" i="23"/>
  <c r="AN59" i="23"/>
  <c r="AH59" i="23"/>
  <c r="AB59" i="23"/>
  <c r="R59" i="23"/>
  <c r="L59" i="23"/>
  <c r="CC58" i="23"/>
  <c r="CB58" i="23"/>
  <c r="CA58" i="23"/>
  <c r="BZ58" i="23"/>
  <c r="BL58" i="23"/>
  <c r="BF58" i="23"/>
  <c r="AZ58" i="23"/>
  <c r="AT58" i="23"/>
  <c r="AN58" i="23"/>
  <c r="AH58" i="23"/>
  <c r="AB58" i="23"/>
  <c r="R58" i="23"/>
  <c r="L58" i="23"/>
  <c r="CC57" i="23"/>
  <c r="CB57" i="23"/>
  <c r="CA57" i="23"/>
  <c r="BZ57" i="23"/>
  <c r="BL57" i="23"/>
  <c r="BF57" i="23"/>
  <c r="AZ57" i="23"/>
  <c r="AT57" i="23"/>
  <c r="AN57" i="23"/>
  <c r="AH57" i="23"/>
  <c r="AB57" i="23"/>
  <c r="R57" i="23"/>
  <c r="L57" i="23"/>
  <c r="CC56" i="23"/>
  <c r="CB56" i="23"/>
  <c r="CA56" i="23"/>
  <c r="BZ56" i="23"/>
  <c r="BL56" i="23"/>
  <c r="BF56" i="23"/>
  <c r="AZ56" i="23"/>
  <c r="AT56" i="23"/>
  <c r="AN56" i="23"/>
  <c r="AH56" i="23"/>
  <c r="AB56" i="23"/>
  <c r="R56" i="23"/>
  <c r="L56" i="23"/>
  <c r="CC55" i="23"/>
  <c r="CB55" i="23"/>
  <c r="CA55" i="23"/>
  <c r="BZ55" i="23"/>
  <c r="BL55" i="23"/>
  <c r="BF55" i="23"/>
  <c r="AZ55" i="23"/>
  <c r="AT55" i="23"/>
  <c r="AN55" i="23"/>
  <c r="AH55" i="23"/>
  <c r="AB55" i="23"/>
  <c r="R55" i="23"/>
  <c r="L55" i="23"/>
  <c r="CC54" i="23"/>
  <c r="CB54" i="23"/>
  <c r="CA54" i="23"/>
  <c r="BZ54" i="23"/>
  <c r="BL54" i="23"/>
  <c r="BF54" i="23"/>
  <c r="AZ54" i="23"/>
  <c r="AT54" i="23"/>
  <c r="AN54" i="23"/>
  <c r="AH54" i="23"/>
  <c r="AB54" i="23"/>
  <c r="R54" i="23"/>
  <c r="L54" i="23"/>
  <c r="CC53" i="23"/>
  <c r="CB53" i="23"/>
  <c r="CA53" i="23"/>
  <c r="BZ53" i="23"/>
  <c r="BL53" i="23"/>
  <c r="BF53" i="23"/>
  <c r="AZ53" i="23"/>
  <c r="AT53" i="23"/>
  <c r="AN53" i="23"/>
  <c r="AH53" i="23"/>
  <c r="AB53" i="23"/>
  <c r="R53" i="23"/>
  <c r="L53" i="23"/>
  <c r="CC52" i="23"/>
  <c r="CB52" i="23"/>
  <c r="CA52" i="23"/>
  <c r="BZ52" i="23"/>
  <c r="BL52" i="23"/>
  <c r="BF52" i="23"/>
  <c r="AZ52" i="23"/>
  <c r="AT52" i="23"/>
  <c r="AN52" i="23"/>
  <c r="AH52" i="23"/>
  <c r="AB52" i="23"/>
  <c r="R52" i="23"/>
  <c r="L52" i="23"/>
  <c r="CD57" i="23" l="1"/>
  <c r="CD76" i="23"/>
  <c r="BM412" i="23"/>
  <c r="CD412" i="23"/>
  <c r="CE412" i="23" s="1"/>
  <c r="CD413" i="23"/>
  <c r="CE413" i="23" s="1"/>
  <c r="CD415" i="23"/>
  <c r="CE415" i="23" s="1"/>
  <c r="CD63" i="23"/>
  <c r="CD52" i="23"/>
  <c r="CD61" i="23"/>
  <c r="CD74" i="23"/>
  <c r="CD66" i="23"/>
  <c r="CD60" i="23"/>
  <c r="CD73" i="23"/>
  <c r="CD65" i="23"/>
  <c r="CD54" i="23"/>
  <c r="CD62" i="23"/>
  <c r="CD55" i="23"/>
  <c r="CD58" i="23"/>
  <c r="CD68" i="23"/>
  <c r="CD414" i="23"/>
  <c r="CD71" i="23"/>
  <c r="CD70" i="23"/>
  <c r="CD78" i="23"/>
  <c r="CE78" i="23" s="1"/>
  <c r="CD56" i="23"/>
  <c r="CD53" i="23"/>
  <c r="CD59" i="23"/>
  <c r="CD64" i="23"/>
  <c r="CE64" i="23" s="1"/>
  <c r="CD69" i="23"/>
  <c r="CD75" i="23"/>
  <c r="L68" i="23"/>
  <c r="CD411" i="23"/>
  <c r="CE411" i="23" s="1"/>
  <c r="CD67" i="23"/>
  <c r="CD410" i="23"/>
  <c r="BM413" i="23"/>
  <c r="CE75" i="23" l="1"/>
  <c r="CE53" i="23"/>
  <c r="CE56" i="23"/>
  <c r="CE70" i="23"/>
  <c r="CE414" i="23"/>
  <c r="CE58" i="23"/>
  <c r="CE62" i="23"/>
  <c r="CE65" i="23"/>
  <c r="CE60" i="23"/>
  <c r="CE74" i="23"/>
  <c r="CE52" i="23"/>
  <c r="CE76" i="23"/>
  <c r="CE67" i="23"/>
  <c r="CE410" i="23"/>
  <c r="CE77" i="23"/>
  <c r="CE69" i="23"/>
  <c r="CE59" i="23"/>
  <c r="CE72" i="23"/>
  <c r="CE71" i="23"/>
  <c r="CE55" i="23"/>
  <c r="CE54" i="23"/>
  <c r="CE73" i="23"/>
  <c r="CE66" i="23"/>
  <c r="CE61" i="23"/>
  <c r="CE63" i="23"/>
  <c r="CE57" i="23"/>
  <c r="CE68" i="23"/>
  <c r="CC1472" i="23"/>
  <c r="CB1472" i="23"/>
  <c r="CA1472" i="23"/>
  <c r="BZ1472" i="23"/>
  <c r="BL1472" i="23"/>
  <c r="BF1472" i="23"/>
  <c r="AZ1472" i="23"/>
  <c r="AT1472" i="23"/>
  <c r="AN1472" i="23"/>
  <c r="AH1472" i="23"/>
  <c r="AB1472" i="23"/>
  <c r="R1472" i="23"/>
  <c r="L1472" i="23"/>
  <c r="CC1471" i="23"/>
  <c r="CB1471" i="23"/>
  <c r="CA1471" i="23"/>
  <c r="BZ1471" i="23"/>
  <c r="BL1471" i="23"/>
  <c r="BF1471" i="23"/>
  <c r="AZ1471" i="23"/>
  <c r="AT1471" i="23"/>
  <c r="AN1471" i="23"/>
  <c r="AH1471" i="23"/>
  <c r="AB1471" i="23"/>
  <c r="R1471" i="23"/>
  <c r="L1471" i="23"/>
  <c r="CC1470" i="23"/>
  <c r="CB1470" i="23"/>
  <c r="CA1470" i="23"/>
  <c r="BZ1470" i="23"/>
  <c r="BL1470" i="23"/>
  <c r="BF1470" i="23"/>
  <c r="AZ1470" i="23"/>
  <c r="AT1470" i="23"/>
  <c r="AN1470" i="23"/>
  <c r="AH1470" i="23"/>
  <c r="AB1470" i="23"/>
  <c r="R1470" i="23"/>
  <c r="L1470" i="23"/>
  <c r="CC1469" i="23"/>
  <c r="CB1469" i="23"/>
  <c r="CA1469" i="23"/>
  <c r="BZ1469" i="23"/>
  <c r="BL1469" i="23"/>
  <c r="BF1469" i="23"/>
  <c r="AZ1469" i="23"/>
  <c r="AT1469" i="23"/>
  <c r="AN1469" i="23"/>
  <c r="AH1469" i="23"/>
  <c r="AB1469" i="23"/>
  <c r="R1469" i="23"/>
  <c r="L1469" i="23"/>
  <c r="CC1468" i="23"/>
  <c r="CB1468" i="23"/>
  <c r="CA1468" i="23"/>
  <c r="BZ1468" i="23"/>
  <c r="BL1468" i="23"/>
  <c r="BF1468" i="23"/>
  <c r="AZ1468" i="23"/>
  <c r="AT1468" i="23"/>
  <c r="AN1468" i="23"/>
  <c r="AH1468" i="23"/>
  <c r="AB1468" i="23"/>
  <c r="R1468" i="23"/>
  <c r="L1468" i="23"/>
  <c r="CC1467" i="23"/>
  <c r="CB1467" i="23"/>
  <c r="CA1467" i="23"/>
  <c r="BZ1467" i="23"/>
  <c r="BL1467" i="23"/>
  <c r="BF1467" i="23"/>
  <c r="AZ1467" i="23"/>
  <c r="AT1467" i="23"/>
  <c r="AN1467" i="23"/>
  <c r="AH1467" i="23"/>
  <c r="AB1467" i="23"/>
  <c r="R1467" i="23"/>
  <c r="L1467" i="23"/>
  <c r="CD1472" i="23" l="1"/>
  <c r="CE1472" i="23" s="1"/>
  <c r="CD1471" i="23"/>
  <c r="CE1471" i="23" s="1"/>
  <c r="CD1468" i="23"/>
  <c r="CE1468" i="23" s="1"/>
  <c r="CD1470" i="23"/>
  <c r="CE1470" i="23" s="1"/>
  <c r="CD1469" i="23"/>
  <c r="CD1467" i="23"/>
  <c r="Y708" i="19"/>
  <c r="CE1467" i="23" l="1"/>
  <c r="CE1469" i="23"/>
  <c r="W1342" i="23" l="1"/>
  <c r="W1215" i="23"/>
  <c r="W1340" i="23"/>
  <c r="AY753" i="19"/>
  <c r="CC264" i="23" l="1"/>
  <c r="CB264" i="23"/>
  <c r="CA264" i="23"/>
  <c r="BZ264" i="23"/>
  <c r="BL264" i="23"/>
  <c r="BF264" i="23"/>
  <c r="AZ264" i="23"/>
  <c r="AT264" i="23"/>
  <c r="AN264" i="23"/>
  <c r="AH264" i="23"/>
  <c r="AB264" i="23"/>
  <c r="R264" i="23"/>
  <c r="L264" i="23"/>
  <c r="CC683" i="23"/>
  <c r="CB683" i="23"/>
  <c r="CA683" i="23"/>
  <c r="BZ683" i="23"/>
  <c r="BL683" i="23"/>
  <c r="BF683" i="23"/>
  <c r="AZ683" i="23"/>
  <c r="AT683" i="23"/>
  <c r="AN683" i="23"/>
  <c r="AH683" i="23"/>
  <c r="AB683" i="23"/>
  <c r="R683" i="23"/>
  <c r="L683" i="23"/>
  <c r="CC682" i="23"/>
  <c r="CB682" i="23"/>
  <c r="CA682" i="23"/>
  <c r="BZ682" i="23"/>
  <c r="BL682" i="23"/>
  <c r="BF682" i="23"/>
  <c r="AZ682" i="23"/>
  <c r="AT682" i="23"/>
  <c r="AN682" i="23"/>
  <c r="AH682" i="23"/>
  <c r="AB682" i="23"/>
  <c r="R682" i="23"/>
  <c r="L682" i="23"/>
  <c r="CC993" i="23"/>
  <c r="CB993" i="23"/>
  <c r="CA993" i="23"/>
  <c r="BZ993" i="23"/>
  <c r="BL993" i="23"/>
  <c r="BF993" i="23"/>
  <c r="AZ993" i="23"/>
  <c r="AT993" i="23"/>
  <c r="AN993" i="23"/>
  <c r="AH993" i="23"/>
  <c r="AB993" i="23"/>
  <c r="R993" i="23"/>
  <c r="L993" i="23"/>
  <c r="CC992" i="23"/>
  <c r="BZ992" i="23"/>
  <c r="BL992" i="23"/>
  <c r="BF992" i="23"/>
  <c r="AZ992" i="23"/>
  <c r="AT992" i="23"/>
  <c r="AN992" i="23"/>
  <c r="AH992" i="23"/>
  <c r="AB992" i="23"/>
  <c r="R992" i="23"/>
  <c r="CB992" i="23"/>
  <c r="CA992" i="23"/>
  <c r="CC991" i="23"/>
  <c r="CB991" i="23"/>
  <c r="CA991" i="23"/>
  <c r="BZ991" i="23"/>
  <c r="BL991" i="23"/>
  <c r="BF991" i="23"/>
  <c r="AZ991" i="23"/>
  <c r="AT991" i="23"/>
  <c r="AN991" i="23"/>
  <c r="AH991" i="23"/>
  <c r="AB991" i="23"/>
  <c r="R991" i="23"/>
  <c r="L991" i="23"/>
  <c r="CC1267" i="23"/>
  <c r="CB1267" i="23"/>
  <c r="CA1267" i="23"/>
  <c r="BZ1267" i="23"/>
  <c r="BL1267" i="23"/>
  <c r="BF1267" i="23"/>
  <c r="AZ1267" i="23"/>
  <c r="AT1267" i="23"/>
  <c r="AN1267" i="23"/>
  <c r="AH1267" i="23"/>
  <c r="AB1267" i="23"/>
  <c r="R1267" i="23"/>
  <c r="L1267" i="23"/>
  <c r="CC1266" i="23"/>
  <c r="CB1266" i="23"/>
  <c r="CA1266" i="23"/>
  <c r="BZ1266" i="23"/>
  <c r="BL1266" i="23"/>
  <c r="BF1266" i="23"/>
  <c r="AZ1266" i="23"/>
  <c r="AT1266" i="23"/>
  <c r="AN1266" i="23"/>
  <c r="AH1266" i="23"/>
  <c r="AB1266" i="23"/>
  <c r="R1266" i="23"/>
  <c r="L1266" i="23"/>
  <c r="CC1378" i="23"/>
  <c r="CB1378" i="23"/>
  <c r="CA1378" i="23"/>
  <c r="BZ1378" i="23"/>
  <c r="BL1378" i="23"/>
  <c r="BF1378" i="23"/>
  <c r="AZ1378" i="23"/>
  <c r="AT1378" i="23"/>
  <c r="AN1378" i="23"/>
  <c r="AH1378" i="23"/>
  <c r="AB1378" i="23"/>
  <c r="R1378" i="23"/>
  <c r="L1378" i="23"/>
  <c r="H1378" i="23"/>
  <c r="CC1377" i="23"/>
  <c r="CB1377" i="23"/>
  <c r="CA1377" i="23"/>
  <c r="BZ1377" i="23"/>
  <c r="BL1377" i="23"/>
  <c r="BF1377" i="23"/>
  <c r="AZ1377" i="23"/>
  <c r="AT1377" i="23"/>
  <c r="AN1377" i="23"/>
  <c r="AH1377" i="23"/>
  <c r="AB1377" i="23"/>
  <c r="R1377" i="23"/>
  <c r="L1377" i="23"/>
  <c r="CC1364" i="23"/>
  <c r="CB1364" i="23"/>
  <c r="CA1364" i="23"/>
  <c r="BZ1364" i="23"/>
  <c r="BL1364" i="23"/>
  <c r="BF1364" i="23"/>
  <c r="AZ1364" i="23"/>
  <c r="AT1364" i="23"/>
  <c r="AN1364" i="23"/>
  <c r="AH1364" i="23"/>
  <c r="AB1364" i="23"/>
  <c r="R1364" i="23"/>
  <c r="L1364" i="23"/>
  <c r="CC1363" i="23"/>
  <c r="CB1363" i="23"/>
  <c r="CA1363" i="23"/>
  <c r="BZ1363" i="23"/>
  <c r="BL1363" i="23"/>
  <c r="BF1363" i="23"/>
  <c r="AZ1363" i="23"/>
  <c r="AT1363" i="23"/>
  <c r="AN1363" i="23"/>
  <c r="AH1363" i="23"/>
  <c r="AB1363" i="23"/>
  <c r="R1363" i="23"/>
  <c r="L1363" i="23"/>
  <c r="CC1362" i="23"/>
  <c r="CB1362" i="23"/>
  <c r="CA1362" i="23"/>
  <c r="BZ1362" i="23"/>
  <c r="BL1362" i="23"/>
  <c r="BF1362" i="23"/>
  <c r="AZ1362" i="23"/>
  <c r="AT1362" i="23"/>
  <c r="AN1362" i="23"/>
  <c r="AH1362" i="23"/>
  <c r="AB1362" i="23"/>
  <c r="R1362" i="23"/>
  <c r="L1362" i="23"/>
  <c r="H1362" i="23"/>
  <c r="CC1361" i="23"/>
  <c r="CB1361" i="23"/>
  <c r="CA1361" i="23"/>
  <c r="BZ1361" i="23"/>
  <c r="BL1361" i="23"/>
  <c r="BF1361" i="23"/>
  <c r="AZ1361" i="23"/>
  <c r="AT1361" i="23"/>
  <c r="AN1361" i="23"/>
  <c r="AH1361" i="23"/>
  <c r="AB1361" i="23"/>
  <c r="R1361" i="23"/>
  <c r="L1361" i="23"/>
  <c r="CC1360" i="23"/>
  <c r="CB1360" i="23"/>
  <c r="CA1360" i="23"/>
  <c r="BZ1360" i="23"/>
  <c r="BL1360" i="23"/>
  <c r="BF1360" i="23"/>
  <c r="AZ1360" i="23"/>
  <c r="AT1360" i="23"/>
  <c r="AN1360" i="23"/>
  <c r="AH1360" i="23"/>
  <c r="AB1360" i="23"/>
  <c r="R1360" i="23"/>
  <c r="L1360" i="23"/>
  <c r="CC1359" i="23"/>
  <c r="CB1359" i="23"/>
  <c r="CA1359" i="23"/>
  <c r="BZ1359" i="23"/>
  <c r="BL1359" i="23"/>
  <c r="BF1359" i="23"/>
  <c r="AZ1359" i="23"/>
  <c r="AT1359" i="23"/>
  <c r="AN1359" i="23"/>
  <c r="AH1359" i="23"/>
  <c r="AB1359" i="23"/>
  <c r="R1359" i="23"/>
  <c r="L1359" i="23"/>
  <c r="CC1358" i="23"/>
  <c r="CB1358" i="23"/>
  <c r="CA1358" i="23"/>
  <c r="BZ1358" i="23"/>
  <c r="BL1358" i="23"/>
  <c r="BF1358" i="23"/>
  <c r="AZ1358" i="23"/>
  <c r="AT1358" i="23"/>
  <c r="AN1358" i="23"/>
  <c r="AH1358" i="23"/>
  <c r="AB1358" i="23"/>
  <c r="R1358" i="23"/>
  <c r="L1358" i="23"/>
  <c r="CC1357" i="23"/>
  <c r="CB1357" i="23"/>
  <c r="CA1357" i="23"/>
  <c r="BZ1357" i="23"/>
  <c r="BL1357" i="23"/>
  <c r="BF1357" i="23"/>
  <c r="AZ1357" i="23"/>
  <c r="AT1357" i="23"/>
  <c r="AN1357" i="23"/>
  <c r="AH1357" i="23"/>
  <c r="AB1357" i="23"/>
  <c r="R1357" i="23"/>
  <c r="L1357" i="23"/>
  <c r="CC1356" i="23"/>
  <c r="CB1356" i="23"/>
  <c r="CA1356" i="23"/>
  <c r="BZ1356" i="23"/>
  <c r="BL1356" i="23"/>
  <c r="BF1356" i="23"/>
  <c r="AZ1356" i="23"/>
  <c r="AT1356" i="23"/>
  <c r="AN1356" i="23"/>
  <c r="AH1356" i="23"/>
  <c r="AB1356" i="23"/>
  <c r="R1356" i="23"/>
  <c r="L1356" i="23"/>
  <c r="CC1355" i="23"/>
  <c r="CB1355" i="23"/>
  <c r="CA1355" i="23"/>
  <c r="BZ1355" i="23"/>
  <c r="BL1355" i="23"/>
  <c r="BF1355" i="23"/>
  <c r="AZ1355" i="23"/>
  <c r="AT1355" i="23"/>
  <c r="AN1355" i="23"/>
  <c r="AH1355" i="23"/>
  <c r="AB1355" i="23"/>
  <c r="R1355" i="23"/>
  <c r="L1355" i="23"/>
  <c r="CC1354" i="23"/>
  <c r="CB1354" i="23"/>
  <c r="CA1354" i="23"/>
  <c r="BZ1354" i="23"/>
  <c r="BL1354" i="23"/>
  <c r="BF1354" i="23"/>
  <c r="AZ1354" i="23"/>
  <c r="AT1354" i="23"/>
  <c r="AN1354" i="23"/>
  <c r="AH1354" i="23"/>
  <c r="AB1354" i="23"/>
  <c r="R1354" i="23"/>
  <c r="L1354" i="23"/>
  <c r="CC1353" i="23"/>
  <c r="CB1353" i="23"/>
  <c r="CA1353" i="23"/>
  <c r="BZ1353" i="23"/>
  <c r="BL1353" i="23"/>
  <c r="BF1353" i="23"/>
  <c r="AZ1353" i="23"/>
  <c r="AT1353" i="23"/>
  <c r="AN1353" i="23"/>
  <c r="AH1353" i="23"/>
  <c r="AB1353" i="23"/>
  <c r="R1353" i="23"/>
  <c r="L1353" i="23"/>
  <c r="CC1352" i="23"/>
  <c r="CB1352" i="23"/>
  <c r="CA1352" i="23"/>
  <c r="BZ1352" i="23"/>
  <c r="BL1352" i="23"/>
  <c r="BF1352" i="23"/>
  <c r="AZ1352" i="23"/>
  <c r="AT1352" i="23"/>
  <c r="AN1352" i="23"/>
  <c r="AH1352" i="23"/>
  <c r="AB1352" i="23"/>
  <c r="R1352" i="23"/>
  <c r="L1352" i="23"/>
  <c r="CC1351" i="23"/>
  <c r="CB1351" i="23"/>
  <c r="CA1351" i="23"/>
  <c r="BZ1351" i="23"/>
  <c r="BL1351" i="23"/>
  <c r="BF1351" i="23"/>
  <c r="AZ1351" i="23"/>
  <c r="AT1351" i="23"/>
  <c r="AN1351" i="23"/>
  <c r="AH1351" i="23"/>
  <c r="AB1351" i="23"/>
  <c r="R1351" i="23"/>
  <c r="L1351" i="23"/>
  <c r="CC1350" i="23"/>
  <c r="CB1350" i="23"/>
  <c r="CA1350" i="23"/>
  <c r="BZ1350" i="23"/>
  <c r="BL1350" i="23"/>
  <c r="BF1350" i="23"/>
  <c r="AZ1350" i="23"/>
  <c r="AT1350" i="23"/>
  <c r="AN1350" i="23"/>
  <c r="AH1350" i="23"/>
  <c r="AB1350" i="23"/>
  <c r="R1350" i="23"/>
  <c r="L1350" i="23"/>
  <c r="CC1349" i="23"/>
  <c r="CB1349" i="23"/>
  <c r="CA1349" i="23"/>
  <c r="BZ1349" i="23"/>
  <c r="BL1349" i="23"/>
  <c r="BF1349" i="23"/>
  <c r="AZ1349" i="23"/>
  <c r="AT1349" i="23"/>
  <c r="AN1349" i="23"/>
  <c r="AH1349" i="23"/>
  <c r="AB1349" i="23"/>
  <c r="R1349" i="23"/>
  <c r="L1349" i="23"/>
  <c r="CD1359" i="23" l="1"/>
  <c r="CD1362" i="23"/>
  <c r="CE1362" i="23" s="1"/>
  <c r="CD682" i="23"/>
  <c r="BM1356" i="23"/>
  <c r="CE683" i="23"/>
  <c r="CD991" i="23"/>
  <c r="CD993" i="23"/>
  <c r="CE993" i="23" s="1"/>
  <c r="CD1267" i="23"/>
  <c r="CE1267" i="23" s="1"/>
  <c r="CD1266" i="23"/>
  <c r="CD992" i="23"/>
  <c r="CD1352" i="23"/>
  <c r="L992" i="23"/>
  <c r="BM1362" i="23"/>
  <c r="CD1358" i="23"/>
  <c r="CD1364" i="23"/>
  <c r="CE1364" i="23" s="1"/>
  <c r="CD1355" i="23"/>
  <c r="CE1355" i="23" s="1"/>
  <c r="CD1377" i="23"/>
  <c r="BM1378" i="23"/>
  <c r="CD1363" i="23"/>
  <c r="CD1351" i="23"/>
  <c r="CD1378" i="23"/>
  <c r="CE1378" i="23" s="1"/>
  <c r="CD1353" i="23"/>
  <c r="CD1356" i="23"/>
  <c r="CE1356" i="23" s="1"/>
  <c r="CD1350" i="23"/>
  <c r="CD1361" i="23"/>
  <c r="CE1361" i="23" s="1"/>
  <c r="CD1349" i="23"/>
  <c r="CD1360" i="23"/>
  <c r="CD1354" i="23"/>
  <c r="CD1357" i="23"/>
  <c r="CE264" i="23" l="1"/>
  <c r="CE682" i="23"/>
  <c r="CE1350" i="23"/>
  <c r="CE1358" i="23"/>
  <c r="CE1352" i="23"/>
  <c r="CE1357" i="23"/>
  <c r="CE1354" i="23"/>
  <c r="CE1360" i="23"/>
  <c r="CE1349" i="23"/>
  <c r="CE1353" i="23"/>
  <c r="CE1351" i="23"/>
  <c r="CE1363" i="23"/>
  <c r="CE1377" i="23"/>
  <c r="CE1266" i="23"/>
  <c r="CE991" i="23"/>
  <c r="CE1359" i="23"/>
  <c r="CE992" i="23"/>
  <c r="Y1415" i="23" l="1"/>
  <c r="BW1083" i="19" l="1"/>
  <c r="AS753" i="19" l="1"/>
  <c r="AW753" i="19"/>
  <c r="AE1100" i="19" l="1"/>
  <c r="BU1037" i="19"/>
  <c r="BU1039" i="19" l="1"/>
  <c r="BU1040" i="19"/>
  <c r="BU1100" i="19"/>
  <c r="BU1051" i="19"/>
  <c r="BU470" i="19"/>
  <c r="BU752" i="19"/>
  <c r="BU534" i="19"/>
  <c r="BU537" i="19"/>
  <c r="Z1083" i="19" l="1"/>
  <c r="Z815" i="19"/>
  <c r="Y815" i="19"/>
  <c r="Z780" i="19"/>
  <c r="Y780" i="19"/>
  <c r="Z779" i="19"/>
  <c r="Y779" i="19"/>
  <c r="Z781" i="19" l="1"/>
  <c r="Y781" i="19"/>
  <c r="Z782" i="19"/>
  <c r="Y782" i="19"/>
  <c r="AG1040" i="19" l="1"/>
  <c r="AE1040" i="19" l="1"/>
  <c r="AG1099" i="19"/>
  <c r="BW779" i="19" l="1"/>
  <c r="BU779" i="19"/>
  <c r="BW815" i="19"/>
  <c r="BU815" i="19"/>
  <c r="BW780" i="19" l="1"/>
  <c r="BU780" i="19"/>
  <c r="BW800" i="19"/>
  <c r="BU800" i="19"/>
  <c r="BW801" i="19"/>
  <c r="BU801" i="19"/>
  <c r="BW781" i="19"/>
  <c r="BU781" i="19"/>
  <c r="BU1233" i="23"/>
  <c r="BW782" i="19"/>
  <c r="BU782" i="19"/>
  <c r="BW799" i="19"/>
  <c r="BU799" i="19"/>
  <c r="BW802" i="19"/>
  <c r="BU802" i="19"/>
  <c r="BW841" i="19"/>
  <c r="BU841" i="19"/>
  <c r="BU932" i="19"/>
  <c r="BU485" i="19"/>
  <c r="BY1100" i="19" l="1"/>
  <c r="BW1100" i="19"/>
  <c r="BU720" i="19"/>
  <c r="BU392" i="19" l="1"/>
  <c r="BU1121" i="19" l="1"/>
  <c r="BU1099" i="19"/>
  <c r="AY1100" i="19" l="1"/>
  <c r="AS1100" i="19"/>
  <c r="AM1100" i="19"/>
  <c r="Y1233" i="23"/>
  <c r="CC1578" i="23" l="1"/>
  <c r="CB1578" i="23"/>
  <c r="CA1578" i="23"/>
  <c r="BZ1578" i="23"/>
  <c r="BL1578" i="23"/>
  <c r="BF1578" i="23"/>
  <c r="AZ1578" i="23"/>
  <c r="AT1578" i="23"/>
  <c r="AN1578" i="23"/>
  <c r="AH1578" i="23"/>
  <c r="AB1578" i="23"/>
  <c r="R1578" i="23"/>
  <c r="L1578" i="23"/>
  <c r="CD1578" i="23" l="1"/>
  <c r="CE1578" i="23" l="1"/>
  <c r="K99" i="2" l="1"/>
  <c r="CC1466" i="23" l="1"/>
  <c r="CB1466" i="23"/>
  <c r="CA1466" i="23"/>
  <c r="BZ1466" i="23"/>
  <c r="BL1466" i="23"/>
  <c r="BF1466" i="23"/>
  <c r="AZ1466" i="23"/>
  <c r="AT1466" i="23"/>
  <c r="AN1466" i="23"/>
  <c r="AH1466" i="23"/>
  <c r="AB1466" i="23"/>
  <c r="R1466" i="23"/>
  <c r="L1466" i="23"/>
  <c r="CC1465" i="23"/>
  <c r="CB1465" i="23"/>
  <c r="CA1465" i="23"/>
  <c r="BZ1465" i="23"/>
  <c r="BL1465" i="23"/>
  <c r="BF1465" i="23"/>
  <c r="AZ1465" i="23"/>
  <c r="AT1465" i="23"/>
  <c r="AN1465" i="23"/>
  <c r="AH1465" i="23"/>
  <c r="AB1465" i="23"/>
  <c r="R1465" i="23"/>
  <c r="L1465" i="23"/>
  <c r="CD1466" i="23" l="1"/>
  <c r="CE1466" i="23" s="1"/>
  <c r="CD1465" i="23"/>
  <c r="CE1465" i="23" l="1"/>
  <c r="AW1100" i="19"/>
  <c r="AQ1100" i="19"/>
  <c r="AK1100" i="19"/>
  <c r="AY1037" i="19"/>
  <c r="AY1040" i="19"/>
  <c r="CC1347" i="23"/>
  <c r="CB1347" i="23"/>
  <c r="CA1347" i="23"/>
  <c r="BZ1347" i="23"/>
  <c r="BL1347" i="23"/>
  <c r="BF1347" i="23"/>
  <c r="AZ1347" i="23"/>
  <c r="AT1347" i="23"/>
  <c r="AN1347" i="23"/>
  <c r="AH1347" i="23"/>
  <c r="AB1347" i="23"/>
  <c r="R1347" i="23"/>
  <c r="L1347" i="23"/>
  <c r="CC1346" i="23"/>
  <c r="CB1346" i="23"/>
  <c r="CA1346" i="23"/>
  <c r="BZ1346" i="23"/>
  <c r="BL1346" i="23"/>
  <c r="BF1346" i="23"/>
  <c r="AZ1346" i="23"/>
  <c r="AT1346" i="23"/>
  <c r="AN1346" i="23"/>
  <c r="AH1346" i="23"/>
  <c r="AB1346" i="23"/>
  <c r="R1346" i="23"/>
  <c r="L1346" i="23"/>
  <c r="CC1345" i="23"/>
  <c r="CB1345" i="23"/>
  <c r="CA1345" i="23"/>
  <c r="BZ1345" i="23"/>
  <c r="BL1345" i="23"/>
  <c r="BF1345" i="23"/>
  <c r="AZ1345" i="23"/>
  <c r="AT1345" i="23"/>
  <c r="AN1345" i="23"/>
  <c r="AH1345" i="23"/>
  <c r="AB1345" i="23"/>
  <c r="R1345" i="23"/>
  <c r="L1345" i="23"/>
  <c r="CC1265" i="23"/>
  <c r="CB1265" i="23"/>
  <c r="CA1265" i="23"/>
  <c r="BZ1265" i="23"/>
  <c r="BL1265" i="23"/>
  <c r="BF1265" i="23"/>
  <c r="AZ1265" i="23"/>
  <c r="AT1265" i="23"/>
  <c r="AN1265" i="23"/>
  <c r="AH1265" i="23"/>
  <c r="AB1265" i="23"/>
  <c r="R1265" i="23"/>
  <c r="L1265" i="23"/>
  <c r="CC1264" i="23"/>
  <c r="CB1264" i="23"/>
  <c r="CA1264" i="23"/>
  <c r="BZ1264" i="23"/>
  <c r="BL1264" i="23"/>
  <c r="BF1264" i="23"/>
  <c r="AZ1264" i="23"/>
  <c r="AT1264" i="23"/>
  <c r="AN1264" i="23"/>
  <c r="AH1264" i="23"/>
  <c r="AB1264" i="23"/>
  <c r="R1264" i="23"/>
  <c r="L1264" i="23"/>
  <c r="CC1263" i="23"/>
  <c r="CB1263" i="23"/>
  <c r="CA1263" i="23"/>
  <c r="BZ1263" i="23"/>
  <c r="BL1263" i="23"/>
  <c r="BF1263" i="23"/>
  <c r="AZ1263" i="23"/>
  <c r="AT1263" i="23"/>
  <c r="AN1263" i="23"/>
  <c r="AH1263" i="23"/>
  <c r="AB1263" i="23"/>
  <c r="R1263" i="23"/>
  <c r="L1263" i="23"/>
  <c r="CC1262" i="23"/>
  <c r="CB1262" i="23"/>
  <c r="CA1262" i="23"/>
  <c r="BZ1262" i="23"/>
  <c r="BL1262" i="23"/>
  <c r="BF1262" i="23"/>
  <c r="AZ1262" i="23"/>
  <c r="AT1262" i="23"/>
  <c r="AN1262" i="23"/>
  <c r="AH1262" i="23"/>
  <c r="AB1262" i="23"/>
  <c r="R1262" i="23"/>
  <c r="L1262" i="23"/>
  <c r="CC1261" i="23"/>
  <c r="CB1261" i="23"/>
  <c r="CA1261" i="23"/>
  <c r="BZ1261" i="23"/>
  <c r="BL1261" i="23"/>
  <c r="BF1261" i="23"/>
  <c r="AZ1261" i="23"/>
  <c r="AT1261" i="23"/>
  <c r="AN1261" i="23"/>
  <c r="AH1261" i="23"/>
  <c r="AB1261" i="23"/>
  <c r="R1261" i="23"/>
  <c r="L1261" i="23"/>
  <c r="CC1260" i="23"/>
  <c r="CB1260" i="23"/>
  <c r="CA1260" i="23"/>
  <c r="BZ1260" i="23"/>
  <c r="BL1260" i="23"/>
  <c r="BF1260" i="23"/>
  <c r="AZ1260" i="23"/>
  <c r="AT1260" i="23"/>
  <c r="AN1260" i="23"/>
  <c r="AH1260" i="23"/>
  <c r="AB1260" i="23"/>
  <c r="R1260" i="23"/>
  <c r="L1260" i="23"/>
  <c r="CC1259" i="23"/>
  <c r="CB1259" i="23"/>
  <c r="CA1259" i="23"/>
  <c r="BZ1259" i="23"/>
  <c r="BL1259" i="23"/>
  <c r="BF1259" i="23"/>
  <c r="AZ1259" i="23"/>
  <c r="AT1259" i="23"/>
  <c r="AN1259" i="23"/>
  <c r="AH1259" i="23"/>
  <c r="AB1259" i="23"/>
  <c r="R1259" i="23"/>
  <c r="L1259" i="23"/>
  <c r="CC1258" i="23"/>
  <c r="CB1258" i="23"/>
  <c r="CA1258" i="23"/>
  <c r="BZ1258" i="23"/>
  <c r="BL1258" i="23"/>
  <c r="BF1258" i="23"/>
  <c r="AZ1258" i="23"/>
  <c r="AT1258" i="23"/>
  <c r="AN1258" i="23"/>
  <c r="AH1258" i="23"/>
  <c r="AB1258" i="23"/>
  <c r="R1258" i="23"/>
  <c r="L1258" i="23"/>
  <c r="CC1257" i="23"/>
  <c r="CB1257" i="23"/>
  <c r="CA1257" i="23"/>
  <c r="BZ1257" i="23"/>
  <c r="BL1257" i="23"/>
  <c r="BF1257" i="23"/>
  <c r="AZ1257" i="23"/>
  <c r="AT1257" i="23"/>
  <c r="AN1257" i="23"/>
  <c r="AH1257" i="23"/>
  <c r="AB1257" i="23"/>
  <c r="R1257" i="23"/>
  <c r="L1257" i="23"/>
  <c r="CC1256" i="23"/>
  <c r="CB1256" i="23"/>
  <c r="CA1256" i="23"/>
  <c r="BZ1256" i="23"/>
  <c r="BL1256" i="23"/>
  <c r="BF1256" i="23"/>
  <c r="AZ1256" i="23"/>
  <c r="AT1256" i="23"/>
  <c r="AN1256" i="23"/>
  <c r="AH1256" i="23"/>
  <c r="AB1256" i="23"/>
  <c r="R1256" i="23"/>
  <c r="L1256" i="23"/>
  <c r="CC1255" i="23"/>
  <c r="CB1255" i="23"/>
  <c r="CA1255" i="23"/>
  <c r="BZ1255" i="23"/>
  <c r="BL1255" i="23"/>
  <c r="BF1255" i="23"/>
  <c r="AZ1255" i="23"/>
  <c r="AT1255" i="23"/>
  <c r="AN1255" i="23"/>
  <c r="AH1255" i="23"/>
  <c r="AB1255" i="23"/>
  <c r="R1255" i="23"/>
  <c r="L1255" i="23"/>
  <c r="CC1254" i="23"/>
  <c r="CB1254" i="23"/>
  <c r="CA1254" i="23"/>
  <c r="BZ1254" i="23"/>
  <c r="BL1254" i="23"/>
  <c r="BF1254" i="23"/>
  <c r="AZ1254" i="23"/>
  <c r="AT1254" i="23"/>
  <c r="AN1254" i="23"/>
  <c r="AH1254" i="23"/>
  <c r="AB1254" i="23"/>
  <c r="R1254" i="23"/>
  <c r="L1254" i="23"/>
  <c r="CC1253" i="23"/>
  <c r="CB1253" i="23"/>
  <c r="CA1253" i="23"/>
  <c r="BZ1253" i="23"/>
  <c r="BL1253" i="23"/>
  <c r="BF1253" i="23"/>
  <c r="AZ1253" i="23"/>
  <c r="AT1253" i="23"/>
  <c r="AN1253" i="23"/>
  <c r="AH1253" i="23"/>
  <c r="AB1253" i="23"/>
  <c r="R1253" i="23"/>
  <c r="L1253" i="23"/>
  <c r="CD1257" i="23" l="1"/>
  <c r="CE1257" i="23" s="1"/>
  <c r="CD1262" i="23"/>
  <c r="CD1346" i="23"/>
  <c r="CE1346" i="23" s="1"/>
  <c r="CD1347" i="23"/>
  <c r="CD1255" i="23"/>
  <c r="CE1255" i="23" s="1"/>
  <c r="CD1263" i="23"/>
  <c r="CE1263" i="23" s="1"/>
  <c r="CD1265" i="23"/>
  <c r="CE1265" i="23" s="1"/>
  <c r="CD1256" i="23"/>
  <c r="CD1259" i="23"/>
  <c r="CE1259" i="23" s="1"/>
  <c r="CD1261" i="23"/>
  <c r="CE1261" i="23" s="1"/>
  <c r="BM1263" i="23"/>
  <c r="CD1264" i="23"/>
  <c r="CD1258" i="23"/>
  <c r="CD1254" i="23"/>
  <c r="CE1254" i="23" s="1"/>
  <c r="CD1260" i="23"/>
  <c r="CE1260" i="23" s="1"/>
  <c r="CD1345" i="23"/>
  <c r="I1413" i="23"/>
  <c r="CE1347" i="23" l="1"/>
  <c r="CE1345" i="23"/>
  <c r="CE1258" i="23"/>
  <c r="CE1264" i="23"/>
  <c r="CE1253" i="23"/>
  <c r="CE1256" i="23"/>
  <c r="CE1262" i="23"/>
  <c r="AW1040" i="19" l="1"/>
  <c r="AW1037" i="19"/>
  <c r="AS1037" i="19"/>
  <c r="AS1040" i="19"/>
  <c r="Y1100" i="19"/>
  <c r="Y720" i="19"/>
  <c r="AG1039" i="19" l="1"/>
  <c r="AQ1037" i="19"/>
  <c r="AQ1040" i="19"/>
  <c r="BU1117" i="19"/>
  <c r="BU1219" i="23"/>
  <c r="BU1236" i="23"/>
  <c r="BK539" i="19" l="1"/>
  <c r="Y1216" i="23"/>
  <c r="CC1464" i="23" l="1"/>
  <c r="CB1464" i="23"/>
  <c r="CA1464" i="23"/>
  <c r="BZ1464" i="23"/>
  <c r="BL1464" i="23"/>
  <c r="BF1464" i="23"/>
  <c r="AZ1464" i="23"/>
  <c r="AT1464" i="23"/>
  <c r="AN1464" i="23"/>
  <c r="AH1464" i="23"/>
  <c r="AB1464" i="23"/>
  <c r="R1464" i="23"/>
  <c r="L1464" i="23"/>
  <c r="H1464" i="23"/>
  <c r="CC1463" i="23"/>
  <c r="CB1463" i="23"/>
  <c r="CA1463" i="23"/>
  <c r="BZ1463" i="23"/>
  <c r="BL1463" i="23"/>
  <c r="BF1463" i="23"/>
  <c r="AZ1463" i="23"/>
  <c r="AT1463" i="23"/>
  <c r="AN1463" i="23"/>
  <c r="AH1463" i="23"/>
  <c r="AB1463" i="23"/>
  <c r="R1463" i="23"/>
  <c r="L1463" i="23"/>
  <c r="CC1462" i="23"/>
  <c r="CB1462" i="23"/>
  <c r="CA1462" i="23"/>
  <c r="BZ1462" i="23"/>
  <c r="BL1462" i="23"/>
  <c r="BF1462" i="23"/>
  <c r="AZ1462" i="23"/>
  <c r="AT1462" i="23"/>
  <c r="AN1462" i="23"/>
  <c r="AH1462" i="23"/>
  <c r="AB1462" i="23"/>
  <c r="R1462" i="23"/>
  <c r="L1462" i="23"/>
  <c r="CC1461" i="23"/>
  <c r="CB1461" i="23"/>
  <c r="CA1461" i="23"/>
  <c r="BZ1461" i="23"/>
  <c r="BL1461" i="23"/>
  <c r="BF1461" i="23"/>
  <c r="AZ1461" i="23"/>
  <c r="AT1461" i="23"/>
  <c r="AN1461" i="23"/>
  <c r="AH1461" i="23"/>
  <c r="AB1461" i="23"/>
  <c r="R1461" i="23"/>
  <c r="L1461" i="23"/>
  <c r="H1461" i="23"/>
  <c r="CC1460" i="23"/>
  <c r="CB1460" i="23"/>
  <c r="CA1460" i="23"/>
  <c r="BZ1460" i="23"/>
  <c r="BL1460" i="23"/>
  <c r="BF1460" i="23"/>
  <c r="AZ1460" i="23"/>
  <c r="AT1460" i="23"/>
  <c r="AN1460" i="23"/>
  <c r="AH1460" i="23"/>
  <c r="AB1460" i="23"/>
  <c r="R1460" i="23"/>
  <c r="L1460" i="23"/>
  <c r="CC1459" i="23"/>
  <c r="CB1459" i="23"/>
  <c r="CA1459" i="23"/>
  <c r="BZ1459" i="23"/>
  <c r="BL1459" i="23"/>
  <c r="BF1459" i="23"/>
  <c r="AZ1459" i="23"/>
  <c r="AT1459" i="23"/>
  <c r="AN1459" i="23"/>
  <c r="AH1459" i="23"/>
  <c r="AB1459" i="23"/>
  <c r="R1459" i="23"/>
  <c r="L1459" i="23"/>
  <c r="CC1458" i="23"/>
  <c r="CB1458" i="23"/>
  <c r="CA1458" i="23"/>
  <c r="BZ1458" i="23"/>
  <c r="BL1458" i="23"/>
  <c r="BF1458" i="23"/>
  <c r="AZ1458" i="23"/>
  <c r="AT1458" i="23"/>
  <c r="AN1458" i="23"/>
  <c r="AH1458" i="23"/>
  <c r="AB1458" i="23"/>
  <c r="R1458" i="23"/>
  <c r="L1458" i="23"/>
  <c r="CC1457" i="23"/>
  <c r="CB1457" i="23"/>
  <c r="CA1457" i="23"/>
  <c r="BZ1457" i="23"/>
  <c r="BL1457" i="23"/>
  <c r="BF1457" i="23"/>
  <c r="AZ1457" i="23"/>
  <c r="AT1457" i="23"/>
  <c r="AN1457" i="23"/>
  <c r="AH1457" i="23"/>
  <c r="AB1457" i="23"/>
  <c r="R1457" i="23"/>
  <c r="L1457" i="23"/>
  <c r="H1457" i="23"/>
  <c r="CC1456" i="23"/>
  <c r="CB1456" i="23"/>
  <c r="CA1456" i="23"/>
  <c r="BZ1456" i="23"/>
  <c r="BL1456" i="23"/>
  <c r="BF1456" i="23"/>
  <c r="AZ1456" i="23"/>
  <c r="AT1456" i="23"/>
  <c r="AN1456" i="23"/>
  <c r="AH1456" i="23"/>
  <c r="AB1456" i="23"/>
  <c r="R1456" i="23"/>
  <c r="L1456" i="23"/>
  <c r="CC1455" i="23"/>
  <c r="CB1455" i="23"/>
  <c r="CA1455" i="23"/>
  <c r="BZ1455" i="23"/>
  <c r="BL1455" i="23"/>
  <c r="BF1455" i="23"/>
  <c r="AZ1455" i="23"/>
  <c r="AT1455" i="23"/>
  <c r="AN1455" i="23"/>
  <c r="AH1455" i="23"/>
  <c r="AB1455" i="23"/>
  <c r="R1455" i="23"/>
  <c r="L1455" i="23"/>
  <c r="CC1454" i="23"/>
  <c r="CB1454" i="23"/>
  <c r="CA1454" i="23"/>
  <c r="BZ1454" i="23"/>
  <c r="BL1454" i="23"/>
  <c r="BF1454" i="23"/>
  <c r="AZ1454" i="23"/>
  <c r="AT1454" i="23"/>
  <c r="AN1454" i="23"/>
  <c r="AH1454" i="23"/>
  <c r="AB1454" i="23"/>
  <c r="R1454" i="23"/>
  <c r="L1454" i="23"/>
  <c r="CD1458" i="23" l="1"/>
  <c r="CD1464" i="23"/>
  <c r="CE1464" i="23" s="1"/>
  <c r="CD1459" i="23"/>
  <c r="CE1459" i="23" s="1"/>
  <c r="CD1454" i="23"/>
  <c r="BM1464" i="23"/>
  <c r="CD1456" i="23"/>
  <c r="CE1456" i="23" s="1"/>
  <c r="CD1462" i="23"/>
  <c r="BM1461" i="23"/>
  <c r="CD1461" i="23"/>
  <c r="CE1461" i="23" s="1"/>
  <c r="CD1455" i="23"/>
  <c r="CE1455" i="23" s="1"/>
  <c r="BM1457" i="23"/>
  <c r="CD1460" i="23"/>
  <c r="CE1460" i="23" s="1"/>
  <c r="CD1457" i="23"/>
  <c r="CE1457" i="23" s="1"/>
  <c r="CD1463" i="23"/>
  <c r="CE1463" i="23" s="1"/>
  <c r="I1415" i="23"/>
  <c r="CE1462" i="23" l="1"/>
  <c r="CE1454" i="23"/>
  <c r="CE1458" i="23"/>
  <c r="BU1223" i="23"/>
  <c r="BU1221" i="23"/>
  <c r="BW831" i="19" l="1"/>
  <c r="BU831" i="19"/>
  <c r="BW832" i="19"/>
  <c r="BU832" i="19"/>
  <c r="BU1094" i="19"/>
  <c r="BW368" i="19"/>
  <c r="BW371" i="19"/>
  <c r="BW332" i="19"/>
  <c r="BU1049" i="19"/>
  <c r="H386" i="23" l="1"/>
  <c r="CC385" i="23"/>
  <c r="CB385" i="23"/>
  <c r="CA385" i="23"/>
  <c r="BZ385" i="23"/>
  <c r="BL385" i="23"/>
  <c r="BF385" i="23"/>
  <c r="AZ385" i="23"/>
  <c r="AT385" i="23"/>
  <c r="AN385" i="23"/>
  <c r="AH385" i="23"/>
  <c r="AB385" i="23"/>
  <c r="R385" i="23"/>
  <c r="L385" i="23"/>
  <c r="CD385" i="23" l="1"/>
  <c r="CE385" i="23" s="1"/>
  <c r="BK1219" i="23" l="1"/>
  <c r="BK537" i="19"/>
  <c r="Y1236" i="23"/>
  <c r="AE1099" i="19"/>
  <c r="Y817" i="19" l="1"/>
  <c r="Y809" i="19"/>
  <c r="Y932" i="19"/>
  <c r="Z832" i="19"/>
  <c r="Y832" i="19"/>
  <c r="Z831" i="19"/>
  <c r="Y831" i="19"/>
  <c r="AM1099" i="19" l="1"/>
  <c r="BW835" i="19" l="1"/>
  <c r="BW331" i="19"/>
  <c r="BU332" i="19"/>
  <c r="BU371" i="19"/>
  <c r="BU368" i="19" l="1"/>
  <c r="CC1577" i="23" l="1"/>
  <c r="CB1577" i="23"/>
  <c r="CA1577" i="23"/>
  <c r="BZ1577" i="23"/>
  <c r="BL1577" i="23"/>
  <c r="BF1577" i="23"/>
  <c r="AZ1577" i="23"/>
  <c r="AT1577" i="23"/>
  <c r="AN1577" i="23"/>
  <c r="AH1577" i="23"/>
  <c r="AB1577" i="23"/>
  <c r="R1577" i="23"/>
  <c r="L1577" i="23"/>
  <c r="CC1576" i="23"/>
  <c r="CB1576" i="23"/>
  <c r="CA1576" i="23"/>
  <c r="BZ1576" i="23"/>
  <c r="BL1576" i="23"/>
  <c r="BF1576" i="23"/>
  <c r="AZ1576" i="23"/>
  <c r="AT1576" i="23"/>
  <c r="AN1576" i="23"/>
  <c r="AH1576" i="23"/>
  <c r="AB1576" i="23"/>
  <c r="R1576" i="23"/>
  <c r="L1576" i="23"/>
  <c r="CC1575" i="23"/>
  <c r="CB1575" i="23"/>
  <c r="CA1575" i="23"/>
  <c r="BZ1575" i="23"/>
  <c r="BL1575" i="23"/>
  <c r="BF1575" i="23"/>
  <c r="AZ1575" i="23"/>
  <c r="AT1575" i="23"/>
  <c r="AN1575" i="23"/>
  <c r="AH1575" i="23"/>
  <c r="AB1575" i="23"/>
  <c r="R1575" i="23"/>
  <c r="L1575" i="23"/>
  <c r="CC1574" i="23"/>
  <c r="CB1574" i="23"/>
  <c r="CA1574" i="23"/>
  <c r="BZ1574" i="23"/>
  <c r="BL1574" i="23"/>
  <c r="BF1574" i="23"/>
  <c r="AZ1574" i="23"/>
  <c r="AT1574" i="23"/>
  <c r="AN1574" i="23"/>
  <c r="AH1574" i="23"/>
  <c r="AB1574" i="23"/>
  <c r="R1574" i="23"/>
  <c r="L1574" i="23"/>
  <c r="CC1453" i="23"/>
  <c r="CB1453" i="23"/>
  <c r="CA1453" i="23"/>
  <c r="BZ1453" i="23"/>
  <c r="BL1453" i="23"/>
  <c r="BF1453" i="23"/>
  <c r="AZ1453" i="23"/>
  <c r="AT1453" i="23"/>
  <c r="AN1453" i="23"/>
  <c r="AH1453" i="23"/>
  <c r="AB1453" i="23"/>
  <c r="R1453" i="23"/>
  <c r="L1453" i="23"/>
  <c r="CC1452" i="23"/>
  <c r="CB1452" i="23"/>
  <c r="CA1452" i="23"/>
  <c r="BZ1452" i="23"/>
  <c r="BL1452" i="23"/>
  <c r="BF1452" i="23"/>
  <c r="AZ1452" i="23"/>
  <c r="AT1452" i="23"/>
  <c r="AN1452" i="23"/>
  <c r="AH1452" i="23"/>
  <c r="AB1452" i="23"/>
  <c r="R1452" i="23"/>
  <c r="L1452" i="23"/>
  <c r="CC1451" i="23"/>
  <c r="CB1451" i="23"/>
  <c r="CA1451" i="23"/>
  <c r="BZ1451" i="23"/>
  <c r="BL1451" i="23"/>
  <c r="BF1451" i="23"/>
  <c r="AZ1451" i="23"/>
  <c r="AT1451" i="23"/>
  <c r="AN1451" i="23"/>
  <c r="AH1451" i="23"/>
  <c r="AB1451" i="23"/>
  <c r="R1451" i="23"/>
  <c r="L1451" i="23"/>
  <c r="CC1450" i="23"/>
  <c r="CB1450" i="23"/>
  <c r="CA1450" i="23"/>
  <c r="BZ1450" i="23"/>
  <c r="BL1450" i="23"/>
  <c r="BF1450" i="23"/>
  <c r="AZ1450" i="23"/>
  <c r="AT1450" i="23"/>
  <c r="AN1450" i="23"/>
  <c r="AH1450" i="23"/>
  <c r="AB1450" i="23"/>
  <c r="R1450" i="23"/>
  <c r="L1450" i="23"/>
  <c r="CC1449" i="23"/>
  <c r="CB1449" i="23"/>
  <c r="CA1449" i="23"/>
  <c r="BZ1449" i="23"/>
  <c r="BL1449" i="23"/>
  <c r="BF1449" i="23"/>
  <c r="AZ1449" i="23"/>
  <c r="AT1449" i="23"/>
  <c r="AN1449" i="23"/>
  <c r="AH1449" i="23"/>
  <c r="AB1449" i="23"/>
  <c r="R1449" i="23"/>
  <c r="L1449" i="23"/>
  <c r="CD1577" i="23" l="1"/>
  <c r="CD1453" i="23"/>
  <c r="CD1449" i="23"/>
  <c r="CD1574" i="23"/>
  <c r="CD1450" i="23"/>
  <c r="CE1450" i="23" s="1"/>
  <c r="CD1576" i="23"/>
  <c r="CD1452" i="23"/>
  <c r="CE1452" i="23" s="1"/>
  <c r="CD1575" i="23"/>
  <c r="CE1575" i="23" s="1"/>
  <c r="CD1451" i="23"/>
  <c r="CE1451" i="23" s="1"/>
  <c r="CE1576" i="23" l="1"/>
  <c r="CE1574" i="23"/>
  <c r="CE1453" i="23"/>
  <c r="CE1577" i="23"/>
  <c r="CE1449" i="23"/>
  <c r="AA374" i="19"/>
  <c r="BU811" i="19" l="1"/>
  <c r="BK836" i="19" l="1"/>
  <c r="BI836" i="19"/>
  <c r="Y1223" i="23"/>
  <c r="Y1221" i="23"/>
  <c r="Y784" i="19" l="1"/>
  <c r="Y540" i="19"/>
  <c r="Y1099" i="19"/>
  <c r="CC1252" i="23" l="1"/>
  <c r="CB1252" i="23"/>
  <c r="CA1252" i="23"/>
  <c r="BZ1252" i="23"/>
  <c r="BL1252" i="23"/>
  <c r="BF1252" i="23"/>
  <c r="AZ1252" i="23"/>
  <c r="AT1252" i="23"/>
  <c r="AN1252" i="23"/>
  <c r="AH1252" i="23"/>
  <c r="AB1252" i="23"/>
  <c r="R1252" i="23"/>
  <c r="L1252" i="23"/>
  <c r="CC1251" i="23"/>
  <c r="CB1251" i="23"/>
  <c r="CA1251" i="23"/>
  <c r="BZ1251" i="23"/>
  <c r="BL1251" i="23"/>
  <c r="BF1251" i="23"/>
  <c r="AZ1251" i="23"/>
  <c r="AT1251" i="23"/>
  <c r="AN1251" i="23"/>
  <c r="AH1251" i="23"/>
  <c r="AB1251" i="23"/>
  <c r="R1251" i="23"/>
  <c r="L1251" i="23"/>
  <c r="CC1250" i="23"/>
  <c r="CB1250" i="23"/>
  <c r="CA1250" i="23"/>
  <c r="BZ1250" i="23"/>
  <c r="BL1250" i="23"/>
  <c r="BF1250" i="23"/>
  <c r="AZ1250" i="23"/>
  <c r="AT1250" i="23"/>
  <c r="AN1250" i="23"/>
  <c r="AH1250" i="23"/>
  <c r="AB1250" i="23"/>
  <c r="R1250" i="23"/>
  <c r="L1250" i="23"/>
  <c r="CC1249" i="23"/>
  <c r="CB1249" i="23"/>
  <c r="CA1249" i="23"/>
  <c r="BZ1249" i="23"/>
  <c r="BL1249" i="23"/>
  <c r="BF1249" i="23"/>
  <c r="AZ1249" i="23"/>
  <c r="AT1249" i="23"/>
  <c r="AN1249" i="23"/>
  <c r="AH1249" i="23"/>
  <c r="AB1249" i="23"/>
  <c r="R1249" i="23"/>
  <c r="L1249" i="23"/>
  <c r="CC1248" i="23"/>
  <c r="CB1248" i="23"/>
  <c r="CA1248" i="23"/>
  <c r="BZ1248" i="23"/>
  <c r="BL1248" i="23"/>
  <c r="BF1248" i="23"/>
  <c r="AZ1248" i="23"/>
  <c r="AT1248" i="23"/>
  <c r="AN1248" i="23"/>
  <c r="AH1248" i="23"/>
  <c r="AB1248" i="23"/>
  <c r="R1248" i="23"/>
  <c r="L1248" i="23"/>
  <c r="CC1247" i="23"/>
  <c r="CB1247" i="23"/>
  <c r="CA1247" i="23"/>
  <c r="BZ1247" i="23"/>
  <c r="BL1247" i="23"/>
  <c r="BF1247" i="23"/>
  <c r="AZ1247" i="23"/>
  <c r="AT1247" i="23"/>
  <c r="AN1247" i="23"/>
  <c r="AH1247" i="23"/>
  <c r="AB1247" i="23"/>
  <c r="R1247" i="23"/>
  <c r="L1247" i="23"/>
  <c r="CC1246" i="23"/>
  <c r="CB1246" i="23"/>
  <c r="CA1246" i="23"/>
  <c r="BZ1246" i="23"/>
  <c r="BL1246" i="23"/>
  <c r="BF1246" i="23"/>
  <c r="AZ1246" i="23"/>
  <c r="AT1246" i="23"/>
  <c r="AN1246" i="23"/>
  <c r="AH1246" i="23"/>
  <c r="AB1246" i="23"/>
  <c r="R1246" i="23"/>
  <c r="L1246" i="23"/>
  <c r="CC1245" i="23"/>
  <c r="CB1245" i="23"/>
  <c r="CA1245" i="23"/>
  <c r="BZ1245" i="23"/>
  <c r="BL1245" i="23"/>
  <c r="BF1245" i="23"/>
  <c r="AZ1245" i="23"/>
  <c r="AT1245" i="23"/>
  <c r="AN1245" i="23"/>
  <c r="AH1245" i="23"/>
  <c r="AB1245" i="23"/>
  <c r="R1245" i="23"/>
  <c r="L1245" i="23"/>
  <c r="CC1244" i="23"/>
  <c r="CB1244" i="23"/>
  <c r="CA1244" i="23"/>
  <c r="BZ1244" i="23"/>
  <c r="BL1244" i="23"/>
  <c r="BF1244" i="23"/>
  <c r="AZ1244" i="23"/>
  <c r="AT1244" i="23"/>
  <c r="AN1244" i="23"/>
  <c r="AH1244" i="23"/>
  <c r="AB1244" i="23"/>
  <c r="R1244" i="23"/>
  <c r="L1244" i="23"/>
  <c r="CC1057" i="23"/>
  <c r="CB1057" i="23"/>
  <c r="CA1057" i="23"/>
  <c r="BZ1057" i="23"/>
  <c r="BL1057" i="23"/>
  <c r="BF1057" i="23"/>
  <c r="AZ1057" i="23"/>
  <c r="AT1057" i="23"/>
  <c r="AN1057" i="23"/>
  <c r="AH1057" i="23"/>
  <c r="AB1057" i="23"/>
  <c r="R1057" i="23"/>
  <c r="L1057" i="23"/>
  <c r="CC1056" i="23"/>
  <c r="CB1056" i="23"/>
  <c r="CA1056" i="23"/>
  <c r="BZ1056" i="23"/>
  <c r="BL1056" i="23"/>
  <c r="BF1056" i="23"/>
  <c r="AZ1056" i="23"/>
  <c r="AT1056" i="23"/>
  <c r="AN1056" i="23"/>
  <c r="AH1056" i="23"/>
  <c r="AB1056" i="23"/>
  <c r="R1056" i="23"/>
  <c r="L1056" i="23"/>
  <c r="CD1252" i="23" l="1"/>
  <c r="CD1056" i="23"/>
  <c r="CD1250" i="23"/>
  <c r="CE1250" i="23" s="1"/>
  <c r="CD1247" i="23"/>
  <c r="CD1246" i="23"/>
  <c r="CD1249" i="23"/>
  <c r="CD1248" i="23"/>
  <c r="CE1248" i="23" s="1"/>
  <c r="CD1245" i="23"/>
  <c r="CD1057" i="23"/>
  <c r="CE1057" i="23" s="1"/>
  <c r="CD1251" i="23"/>
  <c r="CE1251" i="23" s="1"/>
  <c r="CD1244" i="23"/>
  <c r="AK1099" i="19"/>
  <c r="AY1094" i="19"/>
  <c r="AW1094" i="19"/>
  <c r="AS1094" i="19"/>
  <c r="AQ1094" i="19"/>
  <c r="AM1094" i="19"/>
  <c r="AK1094" i="19"/>
  <c r="AY1049" i="19"/>
  <c r="AW1049" i="19"/>
  <c r="AS1049" i="19"/>
  <c r="AQ1049" i="19"/>
  <c r="AM1049" i="19"/>
  <c r="AK1049" i="19"/>
  <c r="AY752" i="19"/>
  <c r="CE1252" i="23" l="1"/>
  <c r="CE1245" i="23"/>
  <c r="CE1244" i="23"/>
  <c r="CE1249" i="23"/>
  <c r="CE1246" i="23"/>
  <c r="CE1247" i="23"/>
  <c r="CE1056" i="23"/>
  <c r="BU140" i="19"/>
  <c r="BU141" i="19"/>
  <c r="BW369" i="19"/>
  <c r="BU834" i="19"/>
  <c r="BU270" i="19" l="1"/>
  <c r="BU409" i="19"/>
  <c r="BI537" i="19" l="1"/>
  <c r="AW752" i="19" l="1"/>
  <c r="AS752" i="19"/>
  <c r="Y1219" i="23" l="1"/>
  <c r="Y1094" i="19"/>
  <c r="Y1049" i="19"/>
  <c r="Y1040" i="19"/>
  <c r="BI539" i="19" l="1"/>
  <c r="BI1219" i="23"/>
  <c r="AG141" i="19" l="1"/>
  <c r="BU888" i="19"/>
  <c r="BW372" i="19"/>
  <c r="AM779" i="19" l="1"/>
  <c r="AG1117" i="19" l="1"/>
  <c r="BU611" i="19"/>
  <c r="BW813" i="19"/>
  <c r="AY54" i="19" l="1"/>
  <c r="AW54" i="19"/>
  <c r="AK779" i="19"/>
  <c r="AS12" i="19"/>
  <c r="AS14" i="19"/>
  <c r="CC1573" i="23" l="1"/>
  <c r="CB1573" i="23"/>
  <c r="CA1573" i="23"/>
  <c r="BZ1573" i="23"/>
  <c r="BL1573" i="23"/>
  <c r="BF1573" i="23"/>
  <c r="AZ1573" i="23"/>
  <c r="AT1573" i="23"/>
  <c r="AN1573" i="23"/>
  <c r="AH1573" i="23"/>
  <c r="AB1573" i="23"/>
  <c r="R1573" i="23"/>
  <c r="L1573" i="23"/>
  <c r="CC1572" i="23"/>
  <c r="CB1572" i="23"/>
  <c r="CA1572" i="23"/>
  <c r="BZ1572" i="23"/>
  <c r="BL1572" i="23"/>
  <c r="BF1572" i="23"/>
  <c r="AZ1572" i="23"/>
  <c r="AT1572" i="23"/>
  <c r="AN1572" i="23"/>
  <c r="AH1572" i="23"/>
  <c r="AB1572" i="23"/>
  <c r="R1572" i="23"/>
  <c r="L1572" i="23"/>
  <c r="CC1571" i="23"/>
  <c r="CB1571" i="23"/>
  <c r="CA1571" i="23"/>
  <c r="BZ1571" i="23"/>
  <c r="BL1571" i="23"/>
  <c r="BF1571" i="23"/>
  <c r="AZ1571" i="23"/>
  <c r="AT1571" i="23"/>
  <c r="AN1571" i="23"/>
  <c r="AH1571" i="23"/>
  <c r="AB1571" i="23"/>
  <c r="R1571" i="23"/>
  <c r="L1571" i="23"/>
  <c r="CC1570" i="23"/>
  <c r="CB1570" i="23"/>
  <c r="CA1570" i="23"/>
  <c r="BZ1570" i="23"/>
  <c r="BL1570" i="23"/>
  <c r="BF1570" i="23"/>
  <c r="AZ1570" i="23"/>
  <c r="AT1570" i="23"/>
  <c r="AN1570" i="23"/>
  <c r="AH1570" i="23"/>
  <c r="AB1570" i="23"/>
  <c r="R1570" i="23"/>
  <c r="L1570" i="23"/>
  <c r="CC1569" i="23"/>
  <c r="CB1569" i="23"/>
  <c r="CA1569" i="23"/>
  <c r="BZ1569" i="23"/>
  <c r="BL1569" i="23"/>
  <c r="BF1569" i="23"/>
  <c r="AZ1569" i="23"/>
  <c r="AT1569" i="23"/>
  <c r="AN1569" i="23"/>
  <c r="AH1569" i="23"/>
  <c r="AB1569" i="23"/>
  <c r="R1569" i="23"/>
  <c r="L1569" i="23"/>
  <c r="CC1568" i="23"/>
  <c r="CB1568" i="23"/>
  <c r="CA1568" i="23"/>
  <c r="BZ1568" i="23"/>
  <c r="BL1568" i="23"/>
  <c r="BF1568" i="23"/>
  <c r="AZ1568" i="23"/>
  <c r="AT1568" i="23"/>
  <c r="AN1568" i="23"/>
  <c r="AH1568" i="23"/>
  <c r="AB1568" i="23"/>
  <c r="R1568" i="23"/>
  <c r="L1568" i="23"/>
  <c r="H1568" i="23"/>
  <c r="CC1567" i="23"/>
  <c r="CB1567" i="23"/>
  <c r="CA1567" i="23"/>
  <c r="BZ1567" i="23"/>
  <c r="BL1567" i="23"/>
  <c r="BF1567" i="23"/>
  <c r="AZ1567" i="23"/>
  <c r="AT1567" i="23"/>
  <c r="AN1567" i="23"/>
  <c r="AH1567" i="23"/>
  <c r="AB1567" i="23"/>
  <c r="R1567" i="23"/>
  <c r="L1567" i="23"/>
  <c r="CC1566" i="23"/>
  <c r="CB1566" i="23"/>
  <c r="CA1566" i="23"/>
  <c r="BZ1566" i="23"/>
  <c r="BL1566" i="23"/>
  <c r="BF1566" i="23"/>
  <c r="AZ1566" i="23"/>
  <c r="AT1566" i="23"/>
  <c r="AN1566" i="23"/>
  <c r="AH1566" i="23"/>
  <c r="AB1566" i="23"/>
  <c r="R1566" i="23"/>
  <c r="L1566" i="23"/>
  <c r="CC1565" i="23"/>
  <c r="CB1565" i="23"/>
  <c r="CA1565" i="23"/>
  <c r="BZ1565" i="23"/>
  <c r="BL1565" i="23"/>
  <c r="BF1565" i="23"/>
  <c r="AZ1565" i="23"/>
  <c r="AT1565" i="23"/>
  <c r="AN1565" i="23"/>
  <c r="AH1565" i="23"/>
  <c r="AB1565" i="23"/>
  <c r="R1565" i="23"/>
  <c r="L1565" i="23"/>
  <c r="H1565" i="23"/>
  <c r="CC1564" i="23"/>
  <c r="CB1564" i="23"/>
  <c r="BZ1564" i="23"/>
  <c r="BL1564" i="23"/>
  <c r="BF1564" i="23"/>
  <c r="AZ1564" i="23"/>
  <c r="AT1564" i="23"/>
  <c r="AN1564" i="23"/>
  <c r="AH1564" i="23"/>
  <c r="AB1564" i="23"/>
  <c r="R1564" i="23"/>
  <c r="I1564" i="23"/>
  <c r="CA1564" i="23" s="1"/>
  <c r="CC1563" i="23"/>
  <c r="CB1563" i="23"/>
  <c r="BZ1563" i="23"/>
  <c r="BL1563" i="23"/>
  <c r="BF1563" i="23"/>
  <c r="AZ1563" i="23"/>
  <c r="AT1563" i="23"/>
  <c r="AN1563" i="23"/>
  <c r="AH1563" i="23"/>
  <c r="AB1563" i="23"/>
  <c r="R1563" i="23"/>
  <c r="I1563" i="23"/>
  <c r="CA1563" i="23" s="1"/>
  <c r="CC1562" i="23"/>
  <c r="CB1562" i="23"/>
  <c r="CA1562" i="23"/>
  <c r="BZ1562" i="23"/>
  <c r="BL1562" i="23"/>
  <c r="BF1562" i="23"/>
  <c r="AZ1562" i="23"/>
  <c r="AT1562" i="23"/>
  <c r="AN1562" i="23"/>
  <c r="AH1562" i="23"/>
  <c r="AB1562" i="23"/>
  <c r="R1562" i="23"/>
  <c r="L1562" i="23"/>
  <c r="CC1561" i="23"/>
  <c r="CB1561" i="23"/>
  <c r="CA1561" i="23"/>
  <c r="BZ1561" i="23"/>
  <c r="BL1561" i="23"/>
  <c r="BF1561" i="23"/>
  <c r="AZ1561" i="23"/>
  <c r="AT1561" i="23"/>
  <c r="AN1561" i="23"/>
  <c r="AH1561" i="23"/>
  <c r="AB1561" i="23"/>
  <c r="R1561" i="23"/>
  <c r="L1561" i="23"/>
  <c r="CC1560" i="23"/>
  <c r="CB1560" i="23"/>
  <c r="CA1560" i="23"/>
  <c r="BZ1560" i="23"/>
  <c r="BL1560" i="23"/>
  <c r="BF1560" i="23"/>
  <c r="AZ1560" i="23"/>
  <c r="AT1560" i="23"/>
  <c r="AN1560" i="23"/>
  <c r="AH1560" i="23"/>
  <c r="AB1560" i="23"/>
  <c r="R1560" i="23"/>
  <c r="L1560" i="23"/>
  <c r="CC1559" i="23"/>
  <c r="CB1559" i="23"/>
  <c r="CA1559" i="23"/>
  <c r="BZ1559" i="23"/>
  <c r="BL1559" i="23"/>
  <c r="BF1559" i="23"/>
  <c r="AZ1559" i="23"/>
  <c r="AT1559" i="23"/>
  <c r="AN1559" i="23"/>
  <c r="AH1559" i="23"/>
  <c r="AB1559" i="23"/>
  <c r="R1559" i="23"/>
  <c r="L1559" i="23"/>
  <c r="CC1558" i="23"/>
  <c r="CB1558" i="23"/>
  <c r="CA1558" i="23"/>
  <c r="BZ1558" i="23"/>
  <c r="BL1558" i="23"/>
  <c r="BF1558" i="23"/>
  <c r="AZ1558" i="23"/>
  <c r="AT1558" i="23"/>
  <c r="AN1558" i="23"/>
  <c r="AH1558" i="23"/>
  <c r="AB1558" i="23"/>
  <c r="R1558" i="23"/>
  <c r="L1558" i="23"/>
  <c r="CC1557" i="23"/>
  <c r="CB1557" i="23"/>
  <c r="CA1557" i="23"/>
  <c r="BZ1557" i="23"/>
  <c r="BL1557" i="23"/>
  <c r="BF1557" i="23"/>
  <c r="AZ1557" i="23"/>
  <c r="AT1557" i="23"/>
  <c r="AN1557" i="23"/>
  <c r="AH1557" i="23"/>
  <c r="AB1557" i="23"/>
  <c r="R1557" i="23"/>
  <c r="L1557" i="23"/>
  <c r="CC1556" i="23"/>
  <c r="CB1556" i="23"/>
  <c r="CA1556" i="23"/>
  <c r="BZ1556" i="23"/>
  <c r="BL1556" i="23"/>
  <c r="BF1556" i="23"/>
  <c r="AZ1556" i="23"/>
  <c r="AT1556" i="23"/>
  <c r="AN1556" i="23"/>
  <c r="AH1556" i="23"/>
  <c r="AB1556" i="23"/>
  <c r="R1556" i="23"/>
  <c r="L1556" i="23"/>
  <c r="CC1555" i="23"/>
  <c r="CB1555" i="23"/>
  <c r="CA1555" i="23"/>
  <c r="BZ1555" i="23"/>
  <c r="BL1555" i="23"/>
  <c r="BF1555" i="23"/>
  <c r="AZ1555" i="23"/>
  <c r="AT1555" i="23"/>
  <c r="AN1555" i="23"/>
  <c r="AH1555" i="23"/>
  <c r="AB1555" i="23"/>
  <c r="R1555" i="23"/>
  <c r="L1555" i="23"/>
  <c r="CC1554" i="23"/>
  <c r="CB1554" i="23"/>
  <c r="CA1554" i="23"/>
  <c r="BZ1554" i="23"/>
  <c r="BL1554" i="23"/>
  <c r="BF1554" i="23"/>
  <c r="AZ1554" i="23"/>
  <c r="AT1554" i="23"/>
  <c r="AN1554" i="23"/>
  <c r="AH1554" i="23"/>
  <c r="AB1554" i="23"/>
  <c r="R1554" i="23"/>
  <c r="L1554" i="23"/>
  <c r="CC1448" i="23"/>
  <c r="CB1448" i="23"/>
  <c r="CA1448" i="23"/>
  <c r="BZ1448" i="23"/>
  <c r="BL1448" i="23"/>
  <c r="BF1448" i="23"/>
  <c r="AZ1448" i="23"/>
  <c r="AT1448" i="23"/>
  <c r="AN1448" i="23"/>
  <c r="AH1448" i="23"/>
  <c r="AB1448" i="23"/>
  <c r="R1448" i="23"/>
  <c r="L1448" i="23"/>
  <c r="CC1447" i="23"/>
  <c r="CB1447" i="23"/>
  <c r="CA1447" i="23"/>
  <c r="BZ1447" i="23"/>
  <c r="BL1447" i="23"/>
  <c r="BF1447" i="23"/>
  <c r="AZ1447" i="23"/>
  <c r="AT1447" i="23"/>
  <c r="AN1447" i="23"/>
  <c r="AH1447" i="23"/>
  <c r="AB1447" i="23"/>
  <c r="R1447" i="23"/>
  <c r="L1447" i="23"/>
  <c r="CC1446" i="23"/>
  <c r="CB1446" i="23"/>
  <c r="CA1446" i="23"/>
  <c r="BZ1446" i="23"/>
  <c r="BL1446" i="23"/>
  <c r="BF1446" i="23"/>
  <c r="AZ1446" i="23"/>
  <c r="AT1446" i="23"/>
  <c r="AN1446" i="23"/>
  <c r="AH1446" i="23"/>
  <c r="AB1446" i="23"/>
  <c r="R1446" i="23"/>
  <c r="L1446" i="23"/>
  <c r="CC1445" i="23"/>
  <c r="CB1445" i="23"/>
  <c r="CA1445" i="23"/>
  <c r="BZ1445" i="23"/>
  <c r="BL1445" i="23"/>
  <c r="BF1445" i="23"/>
  <c r="AZ1445" i="23"/>
  <c r="AT1445" i="23"/>
  <c r="AN1445" i="23"/>
  <c r="AH1445" i="23"/>
  <c r="AB1445" i="23"/>
  <c r="R1445" i="23"/>
  <c r="L1445" i="23"/>
  <c r="CC1444" i="23"/>
  <c r="CB1444" i="23"/>
  <c r="CA1444" i="23"/>
  <c r="BZ1444" i="23"/>
  <c r="BL1444" i="23"/>
  <c r="BF1444" i="23"/>
  <c r="AZ1444" i="23"/>
  <c r="AT1444" i="23"/>
  <c r="AN1444" i="23"/>
  <c r="AH1444" i="23"/>
  <c r="AB1444" i="23"/>
  <c r="R1444" i="23"/>
  <c r="L1444" i="23"/>
  <c r="CC1443" i="23"/>
  <c r="CB1443" i="23"/>
  <c r="CA1443" i="23"/>
  <c r="BZ1443" i="23"/>
  <c r="BL1443" i="23"/>
  <c r="BF1443" i="23"/>
  <c r="AZ1443" i="23"/>
  <c r="AT1443" i="23"/>
  <c r="AN1443" i="23"/>
  <c r="AH1443" i="23"/>
  <c r="AB1443" i="23"/>
  <c r="R1443" i="23"/>
  <c r="L1443" i="23"/>
  <c r="CC1442" i="23"/>
  <c r="CB1442" i="23"/>
  <c r="CA1442" i="23"/>
  <c r="BZ1442" i="23"/>
  <c r="BL1442" i="23"/>
  <c r="BF1442" i="23"/>
  <c r="AZ1442" i="23"/>
  <c r="AT1442" i="23"/>
  <c r="AN1442" i="23"/>
  <c r="AH1442" i="23"/>
  <c r="AB1442" i="23"/>
  <c r="R1442" i="23"/>
  <c r="L1442" i="23"/>
  <c r="CC1441" i="23"/>
  <c r="CB1441" i="23"/>
  <c r="CA1441" i="23"/>
  <c r="BZ1441" i="23"/>
  <c r="BL1441" i="23"/>
  <c r="BF1441" i="23"/>
  <c r="AZ1441" i="23"/>
  <c r="AT1441" i="23"/>
  <c r="AN1441" i="23"/>
  <c r="AH1441" i="23"/>
  <c r="AB1441" i="23"/>
  <c r="R1441" i="23"/>
  <c r="L1441" i="23"/>
  <c r="CD1568" i="23" l="1"/>
  <c r="CE1568" i="23" s="1"/>
  <c r="CD1565" i="23"/>
  <c r="CE1565" i="23" s="1"/>
  <c r="CD1573" i="23"/>
  <c r="CD1441" i="23"/>
  <c r="CD1572" i="23"/>
  <c r="CE1572" i="23" s="1"/>
  <c r="CD1570" i="23"/>
  <c r="CD1442" i="23"/>
  <c r="CE1442" i="23" s="1"/>
  <c r="CD1446" i="23"/>
  <c r="CD1443" i="23"/>
  <c r="CD1447" i="23"/>
  <c r="CE1447" i="23" s="1"/>
  <c r="CD1566" i="23"/>
  <c r="L1564" i="23"/>
  <c r="CD1569" i="23"/>
  <c r="BM1568" i="23"/>
  <c r="CD1557" i="23"/>
  <c r="CE1557" i="23" s="1"/>
  <c r="CD1571" i="23"/>
  <c r="CE1571" i="23" s="1"/>
  <c r="CD1444" i="23"/>
  <c r="CE1444" i="23" s="1"/>
  <c r="CD1448" i="23"/>
  <c r="CE1448" i="23" s="1"/>
  <c r="CD1563" i="23"/>
  <c r="CD1564" i="23"/>
  <c r="CD1567" i="23"/>
  <c r="CE1567" i="23" s="1"/>
  <c r="CD1556" i="23"/>
  <c r="CE1556" i="23" s="1"/>
  <c r="L1563" i="23"/>
  <c r="CD1558" i="23"/>
  <c r="CD1554" i="23"/>
  <c r="BM1561" i="23"/>
  <c r="CD1562" i="23"/>
  <c r="CD1559" i="23"/>
  <c r="CE1559" i="23" s="1"/>
  <c r="CD1561" i="23"/>
  <c r="CE1561" i="23" s="1"/>
  <c r="CE1555" i="23"/>
  <c r="CD1560" i="23"/>
  <c r="CE1560" i="23" s="1"/>
  <c r="BM1565" i="23"/>
  <c r="CC1440" i="23"/>
  <c r="CB1440" i="23"/>
  <c r="CA1440" i="23"/>
  <c r="BZ1440" i="23"/>
  <c r="BL1440" i="23"/>
  <c r="BF1440" i="23"/>
  <c r="AZ1440" i="23"/>
  <c r="AT1440" i="23"/>
  <c r="AN1440" i="23"/>
  <c r="AH1440" i="23"/>
  <c r="AB1440" i="23"/>
  <c r="R1440" i="23"/>
  <c r="L1440" i="23"/>
  <c r="CC1439" i="23"/>
  <c r="CB1439" i="23"/>
  <c r="CA1439" i="23"/>
  <c r="BZ1439" i="23"/>
  <c r="BL1439" i="23"/>
  <c r="BF1439" i="23"/>
  <c r="AZ1439" i="23"/>
  <c r="AT1439" i="23"/>
  <c r="AN1439" i="23"/>
  <c r="AH1439" i="23"/>
  <c r="AB1439" i="23"/>
  <c r="R1439" i="23"/>
  <c r="L1439" i="23"/>
  <c r="CC1438" i="23"/>
  <c r="CB1438" i="23"/>
  <c r="CA1438" i="23"/>
  <c r="BZ1438" i="23"/>
  <c r="BL1438" i="23"/>
  <c r="BF1438" i="23"/>
  <c r="AZ1438" i="23"/>
  <c r="AT1438" i="23"/>
  <c r="AN1438" i="23"/>
  <c r="AH1438" i="23"/>
  <c r="AB1438" i="23"/>
  <c r="R1438" i="23"/>
  <c r="L1438" i="23"/>
  <c r="H1438" i="23"/>
  <c r="CC1437" i="23"/>
  <c r="CB1437" i="23"/>
  <c r="CA1437" i="23"/>
  <c r="BZ1437" i="23"/>
  <c r="BL1437" i="23"/>
  <c r="BF1437" i="23"/>
  <c r="AZ1437" i="23"/>
  <c r="AT1437" i="23"/>
  <c r="AN1437" i="23"/>
  <c r="AH1437" i="23"/>
  <c r="AB1437" i="23"/>
  <c r="R1437" i="23"/>
  <c r="L1437" i="23"/>
  <c r="CC1436" i="23"/>
  <c r="CB1436" i="23"/>
  <c r="CA1436" i="23"/>
  <c r="BZ1436" i="23"/>
  <c r="BL1436" i="23"/>
  <c r="BF1436" i="23"/>
  <c r="AZ1436" i="23"/>
  <c r="AT1436" i="23"/>
  <c r="AN1436" i="23"/>
  <c r="AH1436" i="23"/>
  <c r="AB1436" i="23"/>
  <c r="R1436" i="23"/>
  <c r="L1436" i="23"/>
  <c r="CC1435" i="23"/>
  <c r="CB1435" i="23"/>
  <c r="CA1435" i="23"/>
  <c r="BZ1435" i="23"/>
  <c r="BL1435" i="23"/>
  <c r="BF1435" i="23"/>
  <c r="AZ1435" i="23"/>
  <c r="AT1435" i="23"/>
  <c r="AN1435" i="23"/>
  <c r="AH1435" i="23"/>
  <c r="AB1435" i="23"/>
  <c r="R1435" i="23"/>
  <c r="L1435" i="23"/>
  <c r="CC1434" i="23"/>
  <c r="CB1434" i="23"/>
  <c r="CA1434" i="23"/>
  <c r="BZ1434" i="23"/>
  <c r="BL1434" i="23"/>
  <c r="BF1434" i="23"/>
  <c r="AZ1434" i="23"/>
  <c r="AT1434" i="23"/>
  <c r="AN1434" i="23"/>
  <c r="AH1434" i="23"/>
  <c r="AB1434" i="23"/>
  <c r="R1434" i="23"/>
  <c r="L1434" i="23"/>
  <c r="CC1433" i="23"/>
  <c r="CB1433" i="23"/>
  <c r="CA1433" i="23"/>
  <c r="BZ1433" i="23"/>
  <c r="BL1433" i="23"/>
  <c r="BF1433" i="23"/>
  <c r="AZ1433" i="23"/>
  <c r="AT1433" i="23"/>
  <c r="AN1433" i="23"/>
  <c r="AH1433" i="23"/>
  <c r="AB1433" i="23"/>
  <c r="R1433" i="23"/>
  <c r="L1433" i="23"/>
  <c r="CC1432" i="23"/>
  <c r="CB1432" i="23"/>
  <c r="CA1432" i="23"/>
  <c r="BZ1432" i="23"/>
  <c r="BL1432" i="23"/>
  <c r="BF1432" i="23"/>
  <c r="AZ1432" i="23"/>
  <c r="AT1432" i="23"/>
  <c r="AN1432" i="23"/>
  <c r="AH1432" i="23"/>
  <c r="AB1432" i="23"/>
  <c r="R1432" i="23"/>
  <c r="L1432" i="23"/>
  <c r="CC1431" i="23"/>
  <c r="CB1431" i="23"/>
  <c r="CA1431" i="23"/>
  <c r="BZ1431" i="23"/>
  <c r="BL1431" i="23"/>
  <c r="BF1431" i="23"/>
  <c r="AZ1431" i="23"/>
  <c r="AT1431" i="23"/>
  <c r="AN1431" i="23"/>
  <c r="AH1431" i="23"/>
  <c r="AB1431" i="23"/>
  <c r="R1431" i="23"/>
  <c r="L1431" i="23"/>
  <c r="CC1430" i="23"/>
  <c r="CB1430" i="23"/>
  <c r="CA1430" i="23"/>
  <c r="BZ1430" i="23"/>
  <c r="BL1430" i="23"/>
  <c r="BF1430" i="23"/>
  <c r="AZ1430" i="23"/>
  <c r="AT1430" i="23"/>
  <c r="AN1430" i="23"/>
  <c r="AH1430" i="23"/>
  <c r="AB1430" i="23"/>
  <c r="R1430" i="23"/>
  <c r="L1430" i="23"/>
  <c r="CC1429" i="23"/>
  <c r="CB1429" i="23"/>
  <c r="CA1429" i="23"/>
  <c r="BZ1429" i="23"/>
  <c r="BL1429" i="23"/>
  <c r="BF1429" i="23"/>
  <c r="AZ1429" i="23"/>
  <c r="AT1429" i="23"/>
  <c r="AN1429" i="23"/>
  <c r="AH1429" i="23"/>
  <c r="AB1429" i="23"/>
  <c r="R1429" i="23"/>
  <c r="L1429" i="23"/>
  <c r="CC1428" i="23"/>
  <c r="CB1428" i="23"/>
  <c r="CA1428" i="23"/>
  <c r="BZ1428" i="23"/>
  <c r="BL1428" i="23"/>
  <c r="BF1428" i="23"/>
  <c r="AZ1428" i="23"/>
  <c r="AT1428" i="23"/>
  <c r="AN1428" i="23"/>
  <c r="AH1428" i="23"/>
  <c r="AB1428" i="23"/>
  <c r="R1428" i="23"/>
  <c r="L1428" i="23"/>
  <c r="CC1427" i="23"/>
  <c r="CB1427" i="23"/>
  <c r="CA1427" i="23"/>
  <c r="BZ1427" i="23"/>
  <c r="BL1427" i="23"/>
  <c r="BF1427" i="23"/>
  <c r="AZ1427" i="23"/>
  <c r="AT1427" i="23"/>
  <c r="AN1427" i="23"/>
  <c r="AH1427" i="23"/>
  <c r="AB1427" i="23"/>
  <c r="R1427" i="23"/>
  <c r="L1427" i="23"/>
  <c r="CC1426" i="23"/>
  <c r="CB1426" i="23"/>
  <c r="BZ1426" i="23"/>
  <c r="BL1426" i="23"/>
  <c r="BF1426" i="23"/>
  <c r="AZ1426" i="23"/>
  <c r="AT1426" i="23"/>
  <c r="AN1426" i="23"/>
  <c r="AH1426" i="23"/>
  <c r="AB1426" i="23"/>
  <c r="R1426" i="23"/>
  <c r="L1426" i="23"/>
  <c r="CC1425" i="23"/>
  <c r="CB1425" i="23"/>
  <c r="CA1425" i="23"/>
  <c r="BZ1425" i="23"/>
  <c r="BL1425" i="23"/>
  <c r="BF1425" i="23"/>
  <c r="AZ1425" i="23"/>
  <c r="AT1425" i="23"/>
  <c r="AN1425" i="23"/>
  <c r="AH1425" i="23"/>
  <c r="AB1425" i="23"/>
  <c r="R1425" i="23"/>
  <c r="L1425" i="23"/>
  <c r="CC1424" i="23"/>
  <c r="CB1424" i="23"/>
  <c r="CA1424" i="23"/>
  <c r="BZ1424" i="23"/>
  <c r="BL1424" i="23"/>
  <c r="BF1424" i="23"/>
  <c r="AZ1424" i="23"/>
  <c r="AT1424" i="23"/>
  <c r="AN1424" i="23"/>
  <c r="AH1424" i="23"/>
  <c r="AB1424" i="23"/>
  <c r="R1424" i="23"/>
  <c r="L1424" i="23"/>
  <c r="CC1624" i="23"/>
  <c r="CB1624" i="23"/>
  <c r="CA1624" i="23"/>
  <c r="BZ1624" i="23"/>
  <c r="BL1624" i="23"/>
  <c r="BF1624" i="23"/>
  <c r="AZ1624" i="23"/>
  <c r="AT1624" i="23"/>
  <c r="AN1624" i="23"/>
  <c r="AH1624" i="23"/>
  <c r="AB1624" i="23"/>
  <c r="R1624" i="23"/>
  <c r="L1624" i="23"/>
  <c r="CC1623" i="23"/>
  <c r="CB1623" i="23"/>
  <c r="CA1623" i="23"/>
  <c r="BZ1623" i="23"/>
  <c r="BL1623" i="23"/>
  <c r="BF1623" i="23"/>
  <c r="AZ1623" i="23"/>
  <c r="AT1623" i="23"/>
  <c r="AN1623" i="23"/>
  <c r="AH1623" i="23"/>
  <c r="AB1623" i="23"/>
  <c r="R1623" i="23"/>
  <c r="L1623" i="23"/>
  <c r="CC1553" i="23"/>
  <c r="CB1553" i="23"/>
  <c r="CA1553" i="23"/>
  <c r="BZ1553" i="23"/>
  <c r="BL1553" i="23"/>
  <c r="BF1553" i="23"/>
  <c r="AZ1553" i="23"/>
  <c r="AT1553" i="23"/>
  <c r="AN1553" i="23"/>
  <c r="AH1553" i="23"/>
  <c r="AB1553" i="23"/>
  <c r="R1553" i="23"/>
  <c r="L1553" i="23"/>
  <c r="CC1552" i="23"/>
  <c r="CB1552" i="23"/>
  <c r="CA1552" i="23"/>
  <c r="BZ1552" i="23"/>
  <c r="BL1552" i="23"/>
  <c r="BF1552" i="23"/>
  <c r="AZ1552" i="23"/>
  <c r="AT1552" i="23"/>
  <c r="AN1552" i="23"/>
  <c r="AH1552" i="23"/>
  <c r="AB1552" i="23"/>
  <c r="R1552" i="23"/>
  <c r="L1552" i="23"/>
  <c r="CC1551" i="23"/>
  <c r="CB1551" i="23"/>
  <c r="CA1551" i="23"/>
  <c r="BZ1551" i="23"/>
  <c r="BL1551" i="23"/>
  <c r="BF1551" i="23"/>
  <c r="AZ1551" i="23"/>
  <c r="AT1551" i="23"/>
  <c r="AN1551" i="23"/>
  <c r="AH1551" i="23"/>
  <c r="AB1551" i="23"/>
  <c r="R1551" i="23"/>
  <c r="L1551" i="23"/>
  <c r="CC1550" i="23"/>
  <c r="CB1550" i="23"/>
  <c r="CA1550" i="23"/>
  <c r="BZ1550" i="23"/>
  <c r="BL1550" i="23"/>
  <c r="BF1550" i="23"/>
  <c r="AZ1550" i="23"/>
  <c r="AT1550" i="23"/>
  <c r="AN1550" i="23"/>
  <c r="AH1550" i="23"/>
  <c r="AB1550" i="23"/>
  <c r="R1550" i="23"/>
  <c r="L1550" i="23"/>
  <c r="CC1549" i="23"/>
  <c r="CB1549" i="23"/>
  <c r="CA1549" i="23"/>
  <c r="BZ1549" i="23"/>
  <c r="BL1549" i="23"/>
  <c r="BF1549" i="23"/>
  <c r="AZ1549" i="23"/>
  <c r="AT1549" i="23"/>
  <c r="AN1549" i="23"/>
  <c r="AH1549" i="23"/>
  <c r="AB1549" i="23"/>
  <c r="R1549" i="23"/>
  <c r="L1549" i="23"/>
  <c r="CC1548" i="23"/>
  <c r="CB1548" i="23"/>
  <c r="CA1548" i="23"/>
  <c r="BZ1548" i="23"/>
  <c r="BL1548" i="23"/>
  <c r="BF1548" i="23"/>
  <c r="AZ1548" i="23"/>
  <c r="AT1548" i="23"/>
  <c r="AN1548" i="23"/>
  <c r="AH1548" i="23"/>
  <c r="AB1548" i="23"/>
  <c r="R1548" i="23"/>
  <c r="L1548" i="23"/>
  <c r="CC1547" i="23"/>
  <c r="CB1547" i="23"/>
  <c r="CA1547" i="23"/>
  <c r="BZ1547" i="23"/>
  <c r="BL1547" i="23"/>
  <c r="BF1547" i="23"/>
  <c r="AZ1547" i="23"/>
  <c r="AT1547" i="23"/>
  <c r="AN1547" i="23"/>
  <c r="AH1547" i="23"/>
  <c r="AB1547" i="23"/>
  <c r="R1547" i="23"/>
  <c r="L1547" i="23"/>
  <c r="CC1546" i="23"/>
  <c r="CB1546" i="23"/>
  <c r="CA1546" i="23"/>
  <c r="BZ1546" i="23"/>
  <c r="BL1546" i="23"/>
  <c r="BF1546" i="23"/>
  <c r="AZ1546" i="23"/>
  <c r="AT1546" i="23"/>
  <c r="AN1546" i="23"/>
  <c r="AH1546" i="23"/>
  <c r="AB1546" i="23"/>
  <c r="R1546" i="23"/>
  <c r="L1546" i="23"/>
  <c r="CC1545" i="23"/>
  <c r="CB1545" i="23"/>
  <c r="CA1545" i="23"/>
  <c r="BZ1545" i="23"/>
  <c r="BL1545" i="23"/>
  <c r="BF1545" i="23"/>
  <c r="AZ1545" i="23"/>
  <c r="AT1545" i="23"/>
  <c r="AN1545" i="23"/>
  <c r="AH1545" i="23"/>
  <c r="AB1545" i="23"/>
  <c r="R1545" i="23"/>
  <c r="L1545" i="23"/>
  <c r="CC1544" i="23"/>
  <c r="CB1544" i="23"/>
  <c r="CA1544" i="23"/>
  <c r="BZ1544" i="23"/>
  <c r="BL1544" i="23"/>
  <c r="BF1544" i="23"/>
  <c r="AZ1544" i="23"/>
  <c r="AT1544" i="23"/>
  <c r="AN1544" i="23"/>
  <c r="AH1544" i="23"/>
  <c r="AB1544" i="23"/>
  <c r="R1544" i="23"/>
  <c r="L1544" i="23"/>
  <c r="CC1543" i="23"/>
  <c r="CB1543" i="23"/>
  <c r="CA1543" i="23"/>
  <c r="BZ1543" i="23"/>
  <c r="BL1543" i="23"/>
  <c r="BF1543" i="23"/>
  <c r="AZ1543" i="23"/>
  <c r="AT1543" i="23"/>
  <c r="AN1543" i="23"/>
  <c r="AH1543" i="23"/>
  <c r="AB1543" i="23"/>
  <c r="R1543" i="23"/>
  <c r="L1543" i="23"/>
  <c r="CC1542" i="23"/>
  <c r="CB1542" i="23"/>
  <c r="CA1542" i="23"/>
  <c r="BZ1542" i="23"/>
  <c r="BL1542" i="23"/>
  <c r="BF1542" i="23"/>
  <c r="AZ1542" i="23"/>
  <c r="AT1542" i="23"/>
  <c r="AN1542" i="23"/>
  <c r="AH1542" i="23"/>
  <c r="AB1542" i="23"/>
  <c r="R1542" i="23"/>
  <c r="L1542" i="23"/>
  <c r="CC1541" i="23"/>
  <c r="CB1541" i="23"/>
  <c r="CA1541" i="23"/>
  <c r="BZ1541" i="23"/>
  <c r="BL1541" i="23"/>
  <c r="BF1541" i="23"/>
  <c r="AZ1541" i="23"/>
  <c r="AT1541" i="23"/>
  <c r="AN1541" i="23"/>
  <c r="AH1541" i="23"/>
  <c r="AB1541" i="23"/>
  <c r="R1541" i="23"/>
  <c r="L1541" i="23"/>
  <c r="CC1540" i="23"/>
  <c r="CB1540" i="23"/>
  <c r="CA1540" i="23"/>
  <c r="BZ1540" i="23"/>
  <c r="BL1540" i="23"/>
  <c r="BF1540" i="23"/>
  <c r="AZ1540" i="23"/>
  <c r="AT1540" i="23"/>
  <c r="AN1540" i="23"/>
  <c r="AH1540" i="23"/>
  <c r="AB1540" i="23"/>
  <c r="R1540" i="23"/>
  <c r="L1540" i="23"/>
  <c r="CC1539" i="23"/>
  <c r="CB1539" i="23"/>
  <c r="CA1539" i="23"/>
  <c r="BZ1539" i="23"/>
  <c r="BL1539" i="23"/>
  <c r="BF1539" i="23"/>
  <c r="AZ1539" i="23"/>
  <c r="AT1539" i="23"/>
  <c r="AN1539" i="23"/>
  <c r="AH1539" i="23"/>
  <c r="AB1539" i="23"/>
  <c r="R1539" i="23"/>
  <c r="L1539" i="23"/>
  <c r="CC1538" i="23"/>
  <c r="CB1538" i="23"/>
  <c r="CA1538" i="23"/>
  <c r="BZ1538" i="23"/>
  <c r="BL1538" i="23"/>
  <c r="BF1538" i="23"/>
  <c r="AZ1538" i="23"/>
  <c r="AT1538" i="23"/>
  <c r="AN1538" i="23"/>
  <c r="AH1538" i="23"/>
  <c r="AB1538" i="23"/>
  <c r="R1538" i="23"/>
  <c r="L1538" i="23"/>
  <c r="CC1537" i="23"/>
  <c r="CB1537" i="23"/>
  <c r="CA1537" i="23"/>
  <c r="BZ1537" i="23"/>
  <c r="BL1537" i="23"/>
  <c r="BF1537" i="23"/>
  <c r="AZ1537" i="23"/>
  <c r="AT1537" i="23"/>
  <c r="AN1537" i="23"/>
  <c r="AH1537" i="23"/>
  <c r="AB1537" i="23"/>
  <c r="R1537" i="23"/>
  <c r="L1537" i="23"/>
  <c r="CC1536" i="23"/>
  <c r="CB1536" i="23"/>
  <c r="CA1536" i="23"/>
  <c r="BZ1536" i="23"/>
  <c r="BL1536" i="23"/>
  <c r="BF1536" i="23"/>
  <c r="AZ1536" i="23"/>
  <c r="AT1536" i="23"/>
  <c r="AN1536" i="23"/>
  <c r="AH1536" i="23"/>
  <c r="AB1536" i="23"/>
  <c r="R1536" i="23"/>
  <c r="L1536" i="23"/>
  <c r="CC1535" i="23"/>
  <c r="CB1535" i="23"/>
  <c r="CA1535" i="23"/>
  <c r="BZ1535" i="23"/>
  <c r="BL1535" i="23"/>
  <c r="BF1535" i="23"/>
  <c r="AZ1535" i="23"/>
  <c r="AT1535" i="23"/>
  <c r="AN1535" i="23"/>
  <c r="AH1535" i="23"/>
  <c r="AB1535" i="23"/>
  <c r="R1535" i="23"/>
  <c r="L1535" i="23"/>
  <c r="CC1534" i="23"/>
  <c r="CB1534" i="23"/>
  <c r="CA1534" i="23"/>
  <c r="BZ1534" i="23"/>
  <c r="BL1534" i="23"/>
  <c r="BF1534" i="23"/>
  <c r="AZ1534" i="23"/>
  <c r="AT1534" i="23"/>
  <c r="AN1534" i="23"/>
  <c r="AH1534" i="23"/>
  <c r="AB1534" i="23"/>
  <c r="R1534" i="23"/>
  <c r="L1534" i="23"/>
  <c r="CC1533" i="23"/>
  <c r="CB1533" i="23"/>
  <c r="CA1533" i="23"/>
  <c r="BZ1533" i="23"/>
  <c r="BL1533" i="23"/>
  <c r="BF1533" i="23"/>
  <c r="AZ1533" i="23"/>
  <c r="AT1533" i="23"/>
  <c r="AN1533" i="23"/>
  <c r="AH1533" i="23"/>
  <c r="AB1533" i="23"/>
  <c r="R1533" i="23"/>
  <c r="L1533" i="23"/>
  <c r="CE1562" i="23" l="1"/>
  <c r="CE1554" i="23"/>
  <c r="CE1558" i="23"/>
  <c r="CE1445" i="23"/>
  <c r="CE1569" i="23"/>
  <c r="CE1566" i="23"/>
  <c r="CE1570" i="23"/>
  <c r="CE1573" i="23"/>
  <c r="CE1443" i="23"/>
  <c r="CE1446" i="23"/>
  <c r="CE1441" i="23"/>
  <c r="CD1543" i="23"/>
  <c r="CE1543" i="23" s="1"/>
  <c r="CE1564" i="23"/>
  <c r="CD1547" i="23"/>
  <c r="CE1547" i="23" s="1"/>
  <c r="CD1548" i="23"/>
  <c r="CD1539" i="23"/>
  <c r="CD1431" i="23"/>
  <c r="CE1431" i="23" s="1"/>
  <c r="CD1553" i="23"/>
  <c r="CE1553" i="23" s="1"/>
  <c r="CE1563" i="23"/>
  <c r="CD1624" i="23"/>
  <c r="CE1624" i="23" s="1"/>
  <c r="CD1538" i="23"/>
  <c r="CE1538" i="23" s="1"/>
  <c r="CD1541" i="23"/>
  <c r="CE1541" i="23" s="1"/>
  <c r="CD1425" i="23"/>
  <c r="CE1425" i="23" s="1"/>
  <c r="CD1427" i="23"/>
  <c r="CD1435" i="23"/>
  <c r="CD1438" i="23"/>
  <c r="CE1438" i="23" s="1"/>
  <c r="BM1553" i="23"/>
  <c r="CD1550" i="23"/>
  <c r="CE1550" i="23" s="1"/>
  <c r="BM1541" i="23"/>
  <c r="CD1544" i="23"/>
  <c r="CE1544" i="23" s="1"/>
  <c r="CD1440" i="23"/>
  <c r="CE1440" i="23" s="1"/>
  <c r="CD1535" i="23"/>
  <c r="CE1535" i="23" s="1"/>
  <c r="CD1552" i="23"/>
  <c r="CE1552" i="23" s="1"/>
  <c r="CD1534" i="23"/>
  <c r="CE1534" i="23" s="1"/>
  <c r="CD1537" i="23"/>
  <c r="CE1537" i="23" s="1"/>
  <c r="CD1540" i="23"/>
  <c r="CE1540" i="23" s="1"/>
  <c r="CD1546" i="23"/>
  <c r="CE1546" i="23" s="1"/>
  <c r="CD1434" i="23"/>
  <c r="CE1434" i="23" s="1"/>
  <c r="CD1533" i="23"/>
  <c r="CD1536" i="23"/>
  <c r="CE1536" i="23" s="1"/>
  <c r="CD1542" i="23"/>
  <c r="CD1545" i="23"/>
  <c r="CD1551" i="23"/>
  <c r="CE1551" i="23" s="1"/>
  <c r="CD1439" i="23"/>
  <c r="BM1538" i="23"/>
  <c r="BM1547" i="23"/>
  <c r="BM1438" i="23"/>
  <c r="CD1623" i="23"/>
  <c r="CD1424" i="23"/>
  <c r="CD1432" i="23"/>
  <c r="CE1432" i="23" s="1"/>
  <c r="CD1429" i="23"/>
  <c r="CD1437" i="23"/>
  <c r="CE1437" i="23" s="1"/>
  <c r="CD1428" i="23"/>
  <c r="CE1428" i="23" s="1"/>
  <c r="CD1436" i="23"/>
  <c r="CE1436" i="23" s="1"/>
  <c r="CD1433" i="23"/>
  <c r="CE1433" i="23" s="1"/>
  <c r="CD1430" i="23"/>
  <c r="CE1430" i="23" s="1"/>
  <c r="CA1426" i="23"/>
  <c r="CD1426" i="23" s="1"/>
  <c r="CE1623" i="23" l="1"/>
  <c r="CE1545" i="23"/>
  <c r="CE1542" i="23"/>
  <c r="CE1533" i="23"/>
  <c r="CE1549" i="23"/>
  <c r="CE1539" i="23"/>
  <c r="CE1548" i="23"/>
  <c r="CE1426" i="23"/>
  <c r="CE1429" i="23"/>
  <c r="CE1424" i="23"/>
  <c r="CE1439" i="23"/>
  <c r="CE1435" i="23"/>
  <c r="CE1427" i="23"/>
  <c r="CC1532" i="23" l="1"/>
  <c r="CB1532" i="23"/>
  <c r="CA1532" i="23"/>
  <c r="BZ1532" i="23"/>
  <c r="BL1532" i="23"/>
  <c r="BF1532" i="23"/>
  <c r="AZ1532" i="23"/>
  <c r="AT1532" i="23"/>
  <c r="AN1532" i="23"/>
  <c r="AH1532" i="23"/>
  <c r="AB1532" i="23"/>
  <c r="R1532" i="23"/>
  <c r="L1532" i="23"/>
  <c r="CC1531" i="23"/>
  <c r="CB1531" i="23"/>
  <c r="CA1531" i="23"/>
  <c r="BZ1531" i="23"/>
  <c r="BL1531" i="23"/>
  <c r="BF1531" i="23"/>
  <c r="AZ1531" i="23"/>
  <c r="AT1531" i="23"/>
  <c r="AN1531" i="23"/>
  <c r="AH1531" i="23"/>
  <c r="AB1531" i="23"/>
  <c r="R1531" i="23"/>
  <c r="L1531" i="23"/>
  <c r="CC1530" i="23"/>
  <c r="CB1530" i="23"/>
  <c r="CA1530" i="23"/>
  <c r="BZ1530" i="23"/>
  <c r="BL1530" i="23"/>
  <c r="BF1530" i="23"/>
  <c r="AZ1530" i="23"/>
  <c r="AT1530" i="23"/>
  <c r="AN1530" i="23"/>
  <c r="AH1530" i="23"/>
  <c r="AB1530" i="23"/>
  <c r="R1530" i="23"/>
  <c r="L1530" i="23"/>
  <c r="CC1529" i="23"/>
  <c r="CB1529" i="23"/>
  <c r="CA1529" i="23"/>
  <c r="BZ1529" i="23"/>
  <c r="BL1529" i="23"/>
  <c r="BF1529" i="23"/>
  <c r="AZ1529" i="23"/>
  <c r="AT1529" i="23"/>
  <c r="AN1529" i="23"/>
  <c r="AH1529" i="23"/>
  <c r="AB1529" i="23"/>
  <c r="R1529" i="23"/>
  <c r="L1529" i="23"/>
  <c r="CC1528" i="23"/>
  <c r="CB1528" i="23"/>
  <c r="CA1528" i="23"/>
  <c r="BZ1528" i="23"/>
  <c r="BL1528" i="23"/>
  <c r="BF1528" i="23"/>
  <c r="AZ1528" i="23"/>
  <c r="AT1528" i="23"/>
  <c r="AN1528" i="23"/>
  <c r="AH1528" i="23"/>
  <c r="AB1528" i="23"/>
  <c r="R1528" i="23"/>
  <c r="L1528" i="23"/>
  <c r="CC1527" i="23"/>
  <c r="CB1527" i="23"/>
  <c r="CA1527" i="23"/>
  <c r="BZ1527" i="23"/>
  <c r="BL1527" i="23"/>
  <c r="BF1527" i="23"/>
  <c r="AZ1527" i="23"/>
  <c r="AT1527" i="23"/>
  <c r="AN1527" i="23"/>
  <c r="AH1527" i="23"/>
  <c r="AB1527" i="23"/>
  <c r="R1527" i="23"/>
  <c r="L1527" i="23"/>
  <c r="CC1526" i="23"/>
  <c r="CB1526" i="23"/>
  <c r="CA1526" i="23"/>
  <c r="BZ1526" i="23"/>
  <c r="BL1526" i="23"/>
  <c r="BF1526" i="23"/>
  <c r="AZ1526" i="23"/>
  <c r="AT1526" i="23"/>
  <c r="AN1526" i="23"/>
  <c r="AH1526" i="23"/>
  <c r="AB1526" i="23"/>
  <c r="R1526" i="23"/>
  <c r="L1526" i="23"/>
  <c r="CC1525" i="23"/>
  <c r="CB1525" i="23"/>
  <c r="CA1525" i="23"/>
  <c r="BZ1525" i="23"/>
  <c r="BL1525" i="23"/>
  <c r="BF1525" i="23"/>
  <c r="AZ1525" i="23"/>
  <c r="AT1525" i="23"/>
  <c r="AN1525" i="23"/>
  <c r="AH1525" i="23"/>
  <c r="AB1525" i="23"/>
  <c r="R1525" i="23"/>
  <c r="L1525" i="23"/>
  <c r="CC1524" i="23"/>
  <c r="CB1524" i="23"/>
  <c r="CA1524" i="23"/>
  <c r="BZ1524" i="23"/>
  <c r="BL1524" i="23"/>
  <c r="BF1524" i="23"/>
  <c r="AZ1524" i="23"/>
  <c r="AT1524" i="23"/>
  <c r="AN1524" i="23"/>
  <c r="AH1524" i="23"/>
  <c r="AB1524" i="23"/>
  <c r="R1524" i="23"/>
  <c r="L1524" i="23"/>
  <c r="CC1523" i="23"/>
  <c r="CB1523" i="23"/>
  <c r="CA1523" i="23"/>
  <c r="BZ1523" i="23"/>
  <c r="BL1523" i="23"/>
  <c r="BF1523" i="23"/>
  <c r="AZ1523" i="23"/>
  <c r="AT1523" i="23"/>
  <c r="AN1523" i="23"/>
  <c r="AH1523" i="23"/>
  <c r="AB1523" i="23"/>
  <c r="R1523" i="23"/>
  <c r="L1523" i="23"/>
  <c r="CC1423" i="23"/>
  <c r="CB1423" i="23"/>
  <c r="CA1423" i="23"/>
  <c r="BZ1423" i="23"/>
  <c r="BL1423" i="23"/>
  <c r="BF1423" i="23"/>
  <c r="AZ1423" i="23"/>
  <c r="AT1423" i="23"/>
  <c r="AN1423" i="23"/>
  <c r="AH1423" i="23"/>
  <c r="AB1423" i="23"/>
  <c r="R1423" i="23"/>
  <c r="L1423" i="23"/>
  <c r="CC1422" i="23"/>
  <c r="CB1422" i="23"/>
  <c r="CA1422" i="23"/>
  <c r="BZ1422" i="23"/>
  <c r="BL1422" i="23"/>
  <c r="BF1422" i="23"/>
  <c r="AZ1422" i="23"/>
  <c r="AT1422" i="23"/>
  <c r="AN1422" i="23"/>
  <c r="AH1422" i="23"/>
  <c r="AB1422" i="23"/>
  <c r="R1422" i="23"/>
  <c r="L1422" i="23"/>
  <c r="CC1421" i="23"/>
  <c r="CB1421" i="23"/>
  <c r="CA1421" i="23"/>
  <c r="BZ1421" i="23"/>
  <c r="BL1421" i="23"/>
  <c r="BF1421" i="23"/>
  <c r="AZ1421" i="23"/>
  <c r="AT1421" i="23"/>
  <c r="AN1421" i="23"/>
  <c r="AH1421" i="23"/>
  <c r="AB1421" i="23"/>
  <c r="R1421" i="23"/>
  <c r="L1421" i="23"/>
  <c r="CC1420" i="23"/>
  <c r="CB1420" i="23"/>
  <c r="CA1420" i="23"/>
  <c r="BZ1420" i="23"/>
  <c r="BL1420" i="23"/>
  <c r="BF1420" i="23"/>
  <c r="AZ1420" i="23"/>
  <c r="AT1420" i="23"/>
  <c r="AN1420" i="23"/>
  <c r="AH1420" i="23"/>
  <c r="AB1420" i="23"/>
  <c r="R1420" i="23"/>
  <c r="L1420" i="23"/>
  <c r="CC1419" i="23"/>
  <c r="CB1419" i="23"/>
  <c r="CA1419" i="23"/>
  <c r="BZ1419" i="23"/>
  <c r="BL1419" i="23"/>
  <c r="BF1419" i="23"/>
  <c r="AZ1419" i="23"/>
  <c r="AT1419" i="23"/>
  <c r="AN1419" i="23"/>
  <c r="AH1419" i="23"/>
  <c r="AB1419" i="23"/>
  <c r="R1419" i="23"/>
  <c r="L1419" i="23"/>
  <c r="CC1418" i="23"/>
  <c r="CB1418" i="23"/>
  <c r="CA1418" i="23"/>
  <c r="BZ1418" i="23"/>
  <c r="BL1418" i="23"/>
  <c r="BF1418" i="23"/>
  <c r="AZ1418" i="23"/>
  <c r="AT1418" i="23"/>
  <c r="AN1418" i="23"/>
  <c r="AH1418" i="23"/>
  <c r="AB1418" i="23"/>
  <c r="R1418" i="23"/>
  <c r="L1418" i="23"/>
  <c r="CC1417" i="23"/>
  <c r="CB1417" i="23"/>
  <c r="CA1417" i="23"/>
  <c r="BZ1417" i="23"/>
  <c r="BL1417" i="23"/>
  <c r="BF1417" i="23"/>
  <c r="AZ1417" i="23"/>
  <c r="AT1417" i="23"/>
  <c r="AN1417" i="23"/>
  <c r="AH1417" i="23"/>
  <c r="AB1417" i="23"/>
  <c r="R1417" i="23"/>
  <c r="L1417" i="23"/>
  <c r="CC1416" i="23"/>
  <c r="CB1416" i="23"/>
  <c r="CA1416" i="23"/>
  <c r="BZ1416" i="23"/>
  <c r="BL1416" i="23"/>
  <c r="BF1416" i="23"/>
  <c r="AZ1416" i="23"/>
  <c r="AT1416" i="23"/>
  <c r="AN1416" i="23"/>
  <c r="AH1416" i="23"/>
  <c r="AB1416" i="23"/>
  <c r="R1416" i="23"/>
  <c r="L1416" i="23"/>
  <c r="CC1415" i="23"/>
  <c r="CB1415" i="23"/>
  <c r="CA1415" i="23"/>
  <c r="BZ1415" i="23"/>
  <c r="BL1415" i="23"/>
  <c r="BF1415" i="23"/>
  <c r="AZ1415" i="23"/>
  <c r="AT1415" i="23"/>
  <c r="AN1415" i="23"/>
  <c r="AH1415" i="23"/>
  <c r="AB1415" i="23"/>
  <c r="R1415" i="23"/>
  <c r="L1415" i="23"/>
  <c r="CC1414" i="23"/>
  <c r="CB1414" i="23"/>
  <c r="CA1414" i="23"/>
  <c r="BZ1414" i="23"/>
  <c r="BL1414" i="23"/>
  <c r="BF1414" i="23"/>
  <c r="AZ1414" i="23"/>
  <c r="AT1414" i="23"/>
  <c r="AN1414" i="23"/>
  <c r="AH1414" i="23"/>
  <c r="AB1414" i="23"/>
  <c r="R1414" i="23"/>
  <c r="L1414" i="23"/>
  <c r="CC1413" i="23"/>
  <c r="CB1413" i="23"/>
  <c r="CA1413" i="23"/>
  <c r="BZ1413" i="23"/>
  <c r="BL1413" i="23"/>
  <c r="BF1413" i="23"/>
  <c r="AZ1413" i="23"/>
  <c r="AT1413" i="23"/>
  <c r="AN1413" i="23"/>
  <c r="AH1413" i="23"/>
  <c r="AB1413" i="23"/>
  <c r="R1413" i="23"/>
  <c r="L1413" i="23"/>
  <c r="CC1412" i="23"/>
  <c r="CB1412" i="23"/>
  <c r="BZ1412" i="23"/>
  <c r="BL1412" i="23"/>
  <c r="BF1412" i="23"/>
  <c r="AZ1412" i="23"/>
  <c r="AT1412" i="23"/>
  <c r="AN1412" i="23"/>
  <c r="AH1412" i="23"/>
  <c r="AB1412" i="23"/>
  <c r="R1412" i="23"/>
  <c r="I1412" i="23"/>
  <c r="CA1412" i="23" s="1"/>
  <c r="CC1411" i="23"/>
  <c r="CB1411" i="23"/>
  <c r="BZ1411" i="23"/>
  <c r="BL1411" i="23"/>
  <c r="BF1411" i="23"/>
  <c r="AZ1411" i="23"/>
  <c r="AT1411" i="23"/>
  <c r="AN1411" i="23"/>
  <c r="AH1411" i="23"/>
  <c r="AB1411" i="23"/>
  <c r="R1411" i="23"/>
  <c r="I1411" i="23"/>
  <c r="L1411" i="23" s="1"/>
  <c r="CC1410" i="23"/>
  <c r="CB1410" i="23"/>
  <c r="CA1410" i="23"/>
  <c r="BZ1410" i="23"/>
  <c r="BL1410" i="23"/>
  <c r="BF1410" i="23"/>
  <c r="AZ1410" i="23"/>
  <c r="AT1410" i="23"/>
  <c r="AN1410" i="23"/>
  <c r="AH1410" i="23"/>
  <c r="AB1410" i="23"/>
  <c r="R1410" i="23"/>
  <c r="L1410" i="23"/>
  <c r="CD1422" i="23" l="1"/>
  <c r="CD1523" i="23"/>
  <c r="CE1523" i="23" s="1"/>
  <c r="CD1531" i="23"/>
  <c r="CE1531" i="23" s="1"/>
  <c r="CD1421" i="23"/>
  <c r="CE1421" i="23" s="1"/>
  <c r="CD1417" i="23"/>
  <c r="CD1530" i="23"/>
  <c r="CD1414" i="23"/>
  <c r="CE1414" i="23" s="1"/>
  <c r="CE1532" i="23"/>
  <c r="CD1415" i="23"/>
  <c r="CD1420" i="23"/>
  <c r="BM1414" i="23"/>
  <c r="CD1527" i="23"/>
  <c r="CD1529" i="23"/>
  <c r="CE1529" i="23" s="1"/>
  <c r="CD1416" i="23"/>
  <c r="CE1416" i="23" s="1"/>
  <c r="BM1421" i="23"/>
  <c r="CD1418" i="23"/>
  <c r="CE1418" i="23" s="1"/>
  <c r="CD1525" i="23"/>
  <c r="CD1423" i="23"/>
  <c r="CE1423" i="23" s="1"/>
  <c r="CD1528" i="23"/>
  <c r="CD1526" i="23"/>
  <c r="CE1526" i="23" s="1"/>
  <c r="CD1412" i="23"/>
  <c r="BM1418" i="23"/>
  <c r="CD1419" i="23"/>
  <c r="CE1419" i="23" s="1"/>
  <c r="CA1411" i="23"/>
  <c r="CD1411" i="23" s="1"/>
  <c r="BM1419" i="23"/>
  <c r="CD1410" i="23"/>
  <c r="CD1524" i="23"/>
  <c r="CE1524" i="23" s="1"/>
  <c r="L1412" i="23"/>
  <c r="AE141" i="19"/>
  <c r="CE1528" i="23" l="1"/>
  <c r="CE1525" i="23"/>
  <c r="CE1527" i="23"/>
  <c r="CE1530" i="23"/>
  <c r="CE1410" i="23"/>
  <c r="CE1411" i="23"/>
  <c r="CE1420" i="23"/>
  <c r="CE1415" i="23"/>
  <c r="CE1417" i="23"/>
  <c r="CE1413" i="23"/>
  <c r="CE1422" i="23"/>
  <c r="CE1412" i="23"/>
  <c r="BU222" i="19" l="1"/>
  <c r="BU796" i="19"/>
  <c r="BU1061" i="19"/>
  <c r="BU345" i="19"/>
  <c r="BU97" i="19"/>
  <c r="BY1046" i="19"/>
  <c r="BU788" i="19"/>
  <c r="Y1004" i="19" l="1"/>
  <c r="Y1061" i="19"/>
  <c r="AA1046" i="19"/>
  <c r="Y818" i="19"/>
  <c r="AS1052" i="19" l="1"/>
  <c r="AG1038" i="19"/>
  <c r="AE1037" i="19"/>
  <c r="AE1039" i="19"/>
  <c r="W350" i="19" l="1"/>
  <c r="AQ1052" i="19"/>
  <c r="BU412" i="19" l="1"/>
  <c r="BU1036" i="19"/>
  <c r="BU286" i="19"/>
  <c r="BU243" i="19"/>
  <c r="BU159" i="19"/>
  <c r="BU933" i="19"/>
  <c r="BW370" i="19"/>
  <c r="BU1059" i="19" l="1"/>
  <c r="BW349" i="19"/>
  <c r="AG1026" i="19" l="1"/>
  <c r="AE1026" i="19"/>
  <c r="Y222" i="19" l="1"/>
  <c r="AS1059" i="19" l="1"/>
  <c r="BW1097" i="19"/>
  <c r="BU1096" i="19"/>
  <c r="Z1097" i="19"/>
  <c r="BW347" i="19"/>
  <c r="BW336" i="19"/>
  <c r="BW348" i="19"/>
  <c r="BY348" i="19"/>
  <c r="BU349" i="19"/>
  <c r="BU814" i="19"/>
  <c r="BW338" i="19"/>
  <c r="BW798" i="19"/>
  <c r="BU53" i="19"/>
  <c r="BU51" i="19"/>
  <c r="BU370" i="19"/>
  <c r="BU411" i="19" l="1"/>
  <c r="CC51" i="23" l="1"/>
  <c r="CB51" i="23"/>
  <c r="CA51" i="23"/>
  <c r="BZ51" i="23"/>
  <c r="BL51" i="23"/>
  <c r="BF51" i="23"/>
  <c r="AZ51" i="23"/>
  <c r="AT51" i="23"/>
  <c r="AN51" i="23"/>
  <c r="AH51" i="23"/>
  <c r="AB51" i="23"/>
  <c r="R51" i="23"/>
  <c r="L51" i="23"/>
  <c r="H51" i="23"/>
  <c r="CC50" i="23"/>
  <c r="CB50" i="23"/>
  <c r="CA50" i="23"/>
  <c r="BZ50" i="23"/>
  <c r="BL50" i="23"/>
  <c r="BF50" i="23"/>
  <c r="AZ50" i="23"/>
  <c r="AT50" i="23"/>
  <c r="AN50" i="23"/>
  <c r="AH50" i="23"/>
  <c r="AB50" i="23"/>
  <c r="R50" i="23"/>
  <c r="L50" i="23"/>
  <c r="CC49" i="23"/>
  <c r="CB49" i="23"/>
  <c r="CA49" i="23"/>
  <c r="BZ49" i="23"/>
  <c r="BL49" i="23"/>
  <c r="BF49" i="23"/>
  <c r="AZ49" i="23"/>
  <c r="AT49" i="23"/>
  <c r="AN49" i="23"/>
  <c r="AH49" i="23"/>
  <c r="AB49" i="23"/>
  <c r="R49" i="23"/>
  <c r="L49" i="23"/>
  <c r="CC48" i="23"/>
  <c r="CB48" i="23"/>
  <c r="CA48" i="23"/>
  <c r="BZ48" i="23"/>
  <c r="BL48" i="23"/>
  <c r="BF48" i="23"/>
  <c r="AZ48" i="23"/>
  <c r="AT48" i="23"/>
  <c r="AN48" i="23"/>
  <c r="AH48" i="23"/>
  <c r="AB48" i="23"/>
  <c r="R48" i="23"/>
  <c r="L48" i="23"/>
  <c r="CC47" i="23"/>
  <c r="CB47" i="23"/>
  <c r="CA47" i="23"/>
  <c r="BZ47" i="23"/>
  <c r="BL47" i="23"/>
  <c r="BF47" i="23"/>
  <c r="AZ47" i="23"/>
  <c r="AT47" i="23"/>
  <c r="AN47" i="23"/>
  <c r="AH47" i="23"/>
  <c r="AB47" i="23"/>
  <c r="R47" i="23"/>
  <c r="L47" i="23"/>
  <c r="CC46" i="23"/>
  <c r="CB46" i="23"/>
  <c r="CA46" i="23"/>
  <c r="BZ46" i="23"/>
  <c r="BL46" i="23"/>
  <c r="BF46" i="23"/>
  <c r="AZ46" i="23"/>
  <c r="AT46" i="23"/>
  <c r="AN46" i="23"/>
  <c r="AH46" i="23"/>
  <c r="AB46" i="23"/>
  <c r="R46" i="23"/>
  <c r="L46" i="23"/>
  <c r="H46" i="23"/>
  <c r="CC45" i="23"/>
  <c r="CB45" i="23"/>
  <c r="CA45" i="23"/>
  <c r="BZ45" i="23"/>
  <c r="BL45" i="23"/>
  <c r="BF45" i="23"/>
  <c r="AZ45" i="23"/>
  <c r="AT45" i="23"/>
  <c r="AN45" i="23"/>
  <c r="AH45" i="23"/>
  <c r="AB45" i="23"/>
  <c r="R45" i="23"/>
  <c r="L45" i="23"/>
  <c r="CC44" i="23"/>
  <c r="CB44" i="23"/>
  <c r="CA44" i="23"/>
  <c r="BZ44" i="23"/>
  <c r="BL44" i="23"/>
  <c r="BF44" i="23"/>
  <c r="AZ44" i="23"/>
  <c r="AT44" i="23"/>
  <c r="AN44" i="23"/>
  <c r="AH44" i="23"/>
  <c r="AB44" i="23"/>
  <c r="R44" i="23"/>
  <c r="L44" i="23"/>
  <c r="CC43" i="23"/>
  <c r="CB43" i="23"/>
  <c r="CA43" i="23"/>
  <c r="BZ43" i="23"/>
  <c r="BL43" i="23"/>
  <c r="BF43" i="23"/>
  <c r="AZ43" i="23"/>
  <c r="AT43" i="23"/>
  <c r="AN43" i="23"/>
  <c r="AH43" i="23"/>
  <c r="AB43" i="23"/>
  <c r="R43" i="23"/>
  <c r="L43" i="23"/>
  <c r="CC42" i="23"/>
  <c r="CB42" i="23"/>
  <c r="CA42" i="23"/>
  <c r="BZ42" i="23"/>
  <c r="BL42" i="23"/>
  <c r="BF42" i="23"/>
  <c r="AZ42" i="23"/>
  <c r="AT42" i="23"/>
  <c r="AN42" i="23"/>
  <c r="AH42" i="23"/>
  <c r="AB42" i="23"/>
  <c r="R42" i="23"/>
  <c r="L42" i="23"/>
  <c r="CC263" i="23"/>
  <c r="CB263" i="23"/>
  <c r="CA263" i="23"/>
  <c r="BZ263" i="23"/>
  <c r="BL263" i="23"/>
  <c r="BF263" i="23"/>
  <c r="AZ263" i="23"/>
  <c r="AT263" i="23"/>
  <c r="AN263" i="23"/>
  <c r="AH263" i="23"/>
  <c r="AB263" i="23"/>
  <c r="R263" i="23"/>
  <c r="L263" i="23"/>
  <c r="H263" i="23"/>
  <c r="CC262" i="23"/>
  <c r="CB262" i="23"/>
  <c r="CA262" i="23"/>
  <c r="BZ262" i="23"/>
  <c r="BL262" i="23"/>
  <c r="BF262" i="23"/>
  <c r="AZ262" i="23"/>
  <c r="AT262" i="23"/>
  <c r="AN262" i="23"/>
  <c r="AH262" i="23"/>
  <c r="AB262" i="23"/>
  <c r="R262" i="23"/>
  <c r="L262" i="23"/>
  <c r="CC261" i="23"/>
  <c r="CB261" i="23"/>
  <c r="CA261" i="23"/>
  <c r="BZ261" i="23"/>
  <c r="BL261" i="23"/>
  <c r="BF261" i="23"/>
  <c r="AZ261" i="23"/>
  <c r="AT261" i="23"/>
  <c r="AN261" i="23"/>
  <c r="AH261" i="23"/>
  <c r="AB261" i="23"/>
  <c r="R261" i="23"/>
  <c r="L261" i="23"/>
  <c r="CC260" i="23"/>
  <c r="CB260" i="23"/>
  <c r="CA260" i="23"/>
  <c r="BZ260" i="23"/>
  <c r="BL260" i="23"/>
  <c r="BF260" i="23"/>
  <c r="AZ260" i="23"/>
  <c r="AT260" i="23"/>
  <c r="AN260" i="23"/>
  <c r="AH260" i="23"/>
  <c r="AB260" i="23"/>
  <c r="R260" i="23"/>
  <c r="L260" i="23"/>
  <c r="CC259" i="23"/>
  <c r="CB259" i="23"/>
  <c r="CA259" i="23"/>
  <c r="BZ259" i="23"/>
  <c r="BL259" i="23"/>
  <c r="BF259" i="23"/>
  <c r="AZ259" i="23"/>
  <c r="AT259" i="23"/>
  <c r="AN259" i="23"/>
  <c r="AH259" i="23"/>
  <c r="AB259" i="23"/>
  <c r="R259" i="23"/>
  <c r="L259" i="23"/>
  <c r="H259" i="23"/>
  <c r="CC258" i="23"/>
  <c r="CB258" i="23"/>
  <c r="CA258" i="23"/>
  <c r="BZ258" i="23"/>
  <c r="BL258" i="23"/>
  <c r="BF258" i="23"/>
  <c r="AZ258" i="23"/>
  <c r="AT258" i="23"/>
  <c r="AN258" i="23"/>
  <c r="AH258" i="23"/>
  <c r="AB258" i="23"/>
  <c r="R258" i="23"/>
  <c r="L258" i="23"/>
  <c r="CC257" i="23"/>
  <c r="CB257" i="23"/>
  <c r="CA257" i="23"/>
  <c r="BZ257" i="23"/>
  <c r="BL257" i="23"/>
  <c r="BF257" i="23"/>
  <c r="AZ257" i="23"/>
  <c r="AT257" i="23"/>
  <c r="AN257" i="23"/>
  <c r="AH257" i="23"/>
  <c r="AB257" i="23"/>
  <c r="R257" i="23"/>
  <c r="L257" i="23"/>
  <c r="CC256" i="23"/>
  <c r="CB256" i="23"/>
  <c r="CA256" i="23"/>
  <c r="BZ256" i="23"/>
  <c r="BL256" i="23"/>
  <c r="BF256" i="23"/>
  <c r="AZ256" i="23"/>
  <c r="AT256" i="23"/>
  <c r="AN256" i="23"/>
  <c r="AH256" i="23"/>
  <c r="AB256" i="23"/>
  <c r="R256" i="23"/>
  <c r="L256" i="23"/>
  <c r="CC542" i="23"/>
  <c r="CB542" i="23"/>
  <c r="CA542" i="23"/>
  <c r="BZ542" i="23"/>
  <c r="BL542" i="23"/>
  <c r="BF542" i="23"/>
  <c r="AZ542" i="23"/>
  <c r="AT542" i="23"/>
  <c r="AN542" i="23"/>
  <c r="AH542" i="23"/>
  <c r="AB542" i="23"/>
  <c r="R542" i="23"/>
  <c r="L542" i="23"/>
  <c r="CC541" i="23"/>
  <c r="CB541" i="23"/>
  <c r="CA541" i="23"/>
  <c r="BZ541" i="23"/>
  <c r="BL541" i="23"/>
  <c r="BF541" i="23"/>
  <c r="AZ541" i="23"/>
  <c r="AT541" i="23"/>
  <c r="AN541" i="23"/>
  <c r="AH541" i="23"/>
  <c r="AB541" i="23"/>
  <c r="R541" i="23"/>
  <c r="L541" i="23"/>
  <c r="CC540" i="23"/>
  <c r="CB540" i="23"/>
  <c r="CA540" i="23"/>
  <c r="BZ540" i="23"/>
  <c r="BL540" i="23"/>
  <c r="BF540" i="23"/>
  <c r="AZ540" i="23"/>
  <c r="AT540" i="23"/>
  <c r="AN540" i="23"/>
  <c r="AH540" i="23"/>
  <c r="AB540" i="23"/>
  <c r="R540" i="23"/>
  <c r="L540" i="23"/>
  <c r="H540" i="23"/>
  <c r="CC539" i="23"/>
  <c r="CB539" i="23"/>
  <c r="CA539" i="23"/>
  <c r="BZ539" i="23"/>
  <c r="BL539" i="23"/>
  <c r="BF539" i="23"/>
  <c r="AZ539" i="23"/>
  <c r="AT539" i="23"/>
  <c r="AN539" i="23"/>
  <c r="AH539" i="23"/>
  <c r="AB539" i="23"/>
  <c r="R539" i="23"/>
  <c r="L539" i="23"/>
  <c r="CC538" i="23"/>
  <c r="CB538" i="23"/>
  <c r="CA538" i="23"/>
  <c r="BZ538" i="23"/>
  <c r="BL538" i="23"/>
  <c r="BF538" i="23"/>
  <c r="AZ538" i="23"/>
  <c r="AT538" i="23"/>
  <c r="AN538" i="23"/>
  <c r="AH538" i="23"/>
  <c r="AB538" i="23"/>
  <c r="R538" i="23"/>
  <c r="L538" i="23"/>
  <c r="CC409" i="23"/>
  <c r="CB409" i="23"/>
  <c r="CA409" i="23"/>
  <c r="BZ409" i="23"/>
  <c r="BL409" i="23"/>
  <c r="BF409" i="23"/>
  <c r="AZ409" i="23"/>
  <c r="AT409" i="23"/>
  <c r="AN409" i="23"/>
  <c r="AH409" i="23"/>
  <c r="AB409" i="23"/>
  <c r="R409" i="23"/>
  <c r="L409" i="23"/>
  <c r="CC408" i="23"/>
  <c r="CB408" i="23"/>
  <c r="CA408" i="23"/>
  <c r="BZ408" i="23"/>
  <c r="BL408" i="23"/>
  <c r="BF408" i="23"/>
  <c r="AZ408" i="23"/>
  <c r="AT408" i="23"/>
  <c r="AN408" i="23"/>
  <c r="AH408" i="23"/>
  <c r="AB408" i="23"/>
  <c r="R408" i="23"/>
  <c r="L408" i="23"/>
  <c r="CC407" i="23"/>
  <c r="CB407" i="23"/>
  <c r="CA407" i="23"/>
  <c r="BZ407" i="23"/>
  <c r="BL407" i="23"/>
  <c r="BF407" i="23"/>
  <c r="AZ407" i="23"/>
  <c r="AT407" i="23"/>
  <c r="AN407" i="23"/>
  <c r="AH407" i="23"/>
  <c r="AB407" i="23"/>
  <c r="R407" i="23"/>
  <c r="L407" i="23"/>
  <c r="CC406" i="23"/>
  <c r="CB406" i="23"/>
  <c r="CA406" i="23"/>
  <c r="BZ406" i="23"/>
  <c r="BL406" i="23"/>
  <c r="BF406" i="23"/>
  <c r="AZ406" i="23"/>
  <c r="AT406" i="23"/>
  <c r="AN406" i="23"/>
  <c r="AH406" i="23"/>
  <c r="AB406" i="23"/>
  <c r="R406" i="23"/>
  <c r="L406" i="23"/>
  <c r="CC405" i="23"/>
  <c r="CB405" i="23"/>
  <c r="CA405" i="23"/>
  <c r="BZ405" i="23"/>
  <c r="BL405" i="23"/>
  <c r="BF405" i="23"/>
  <c r="AZ405" i="23"/>
  <c r="AT405" i="23"/>
  <c r="AN405" i="23"/>
  <c r="AH405" i="23"/>
  <c r="AB405" i="23"/>
  <c r="R405" i="23"/>
  <c r="L405" i="23"/>
  <c r="CC404" i="23"/>
  <c r="CB404" i="23"/>
  <c r="CA404" i="23"/>
  <c r="BZ404" i="23"/>
  <c r="BL404" i="23"/>
  <c r="BF404" i="23"/>
  <c r="AZ404" i="23"/>
  <c r="AT404" i="23"/>
  <c r="AN404" i="23"/>
  <c r="AH404" i="23"/>
  <c r="AB404" i="23"/>
  <c r="R404" i="23"/>
  <c r="L404" i="23"/>
  <c r="CC403" i="23"/>
  <c r="CB403" i="23"/>
  <c r="CA403" i="23"/>
  <c r="BZ403" i="23"/>
  <c r="BL403" i="23"/>
  <c r="BF403" i="23"/>
  <c r="AZ403" i="23"/>
  <c r="AT403" i="23"/>
  <c r="AN403" i="23"/>
  <c r="AH403" i="23"/>
  <c r="AB403" i="23"/>
  <c r="R403" i="23"/>
  <c r="L403" i="23"/>
  <c r="CC402" i="23"/>
  <c r="CB402" i="23"/>
  <c r="CA402" i="23"/>
  <c r="BZ402" i="23"/>
  <c r="BL402" i="23"/>
  <c r="BF402" i="23"/>
  <c r="AZ402" i="23"/>
  <c r="AT402" i="23"/>
  <c r="AN402" i="23"/>
  <c r="AH402" i="23"/>
  <c r="AB402" i="23"/>
  <c r="R402" i="23"/>
  <c r="L402" i="23"/>
  <c r="CC401" i="23"/>
  <c r="CB401" i="23"/>
  <c r="CA401" i="23"/>
  <c r="BZ401" i="23"/>
  <c r="BL401" i="23"/>
  <c r="BF401" i="23"/>
  <c r="AZ401" i="23"/>
  <c r="AT401" i="23"/>
  <c r="AN401" i="23"/>
  <c r="AH401" i="23"/>
  <c r="AB401" i="23"/>
  <c r="R401" i="23"/>
  <c r="L401" i="23"/>
  <c r="H401" i="23"/>
  <c r="CC400" i="23"/>
  <c r="CB400" i="23"/>
  <c r="CA400" i="23"/>
  <c r="BZ400" i="23"/>
  <c r="BL400" i="23"/>
  <c r="BF400" i="23"/>
  <c r="AZ400" i="23"/>
  <c r="AT400" i="23"/>
  <c r="AN400" i="23"/>
  <c r="AH400" i="23"/>
  <c r="AB400" i="23"/>
  <c r="R400" i="23"/>
  <c r="L400" i="23"/>
  <c r="CC399" i="23"/>
  <c r="CB399" i="23"/>
  <c r="CA399" i="23"/>
  <c r="BZ399" i="23"/>
  <c r="BL399" i="23"/>
  <c r="BF399" i="23"/>
  <c r="AZ399" i="23"/>
  <c r="AT399" i="23"/>
  <c r="AN399" i="23"/>
  <c r="AH399" i="23"/>
  <c r="AB399" i="23"/>
  <c r="R399" i="23"/>
  <c r="L399" i="23"/>
  <c r="CC398" i="23"/>
  <c r="CB398" i="23"/>
  <c r="CA398" i="23"/>
  <c r="BZ398" i="23"/>
  <c r="BL398" i="23"/>
  <c r="BF398" i="23"/>
  <c r="AZ398" i="23"/>
  <c r="AT398" i="23"/>
  <c r="AN398" i="23"/>
  <c r="AH398" i="23"/>
  <c r="AB398" i="23"/>
  <c r="R398" i="23"/>
  <c r="L398" i="23"/>
  <c r="CC397" i="23"/>
  <c r="CB397" i="23"/>
  <c r="CA397" i="23"/>
  <c r="BZ397" i="23"/>
  <c r="BL397" i="23"/>
  <c r="BF397" i="23"/>
  <c r="AZ397" i="23"/>
  <c r="AT397" i="23"/>
  <c r="AN397" i="23"/>
  <c r="AH397" i="23"/>
  <c r="AB397" i="23"/>
  <c r="R397" i="23"/>
  <c r="L397" i="23"/>
  <c r="CC396" i="23"/>
  <c r="CB396" i="23"/>
  <c r="CA396" i="23"/>
  <c r="BZ396" i="23"/>
  <c r="BL396" i="23"/>
  <c r="BF396" i="23"/>
  <c r="AZ396" i="23"/>
  <c r="AT396" i="23"/>
  <c r="AN396" i="23"/>
  <c r="AH396" i="23"/>
  <c r="AB396" i="23"/>
  <c r="R396" i="23"/>
  <c r="L396" i="23"/>
  <c r="CC395" i="23"/>
  <c r="CB395" i="23"/>
  <c r="CA395" i="23"/>
  <c r="BZ395" i="23"/>
  <c r="BL395" i="23"/>
  <c r="BF395" i="23"/>
  <c r="AZ395" i="23"/>
  <c r="AT395" i="23"/>
  <c r="AN395" i="23"/>
  <c r="AH395" i="23"/>
  <c r="AB395" i="23"/>
  <c r="R395" i="23"/>
  <c r="L395" i="23"/>
  <c r="CC394" i="23"/>
  <c r="CB394" i="23"/>
  <c r="CA394" i="23"/>
  <c r="BZ394" i="23"/>
  <c r="BL394" i="23"/>
  <c r="BF394" i="23"/>
  <c r="AZ394" i="23"/>
  <c r="AT394" i="23"/>
  <c r="AN394" i="23"/>
  <c r="AH394" i="23"/>
  <c r="AB394" i="23"/>
  <c r="R394" i="23"/>
  <c r="L394" i="23"/>
  <c r="CC393" i="23"/>
  <c r="CB393" i="23"/>
  <c r="CA393" i="23"/>
  <c r="BZ393" i="23"/>
  <c r="BL393" i="23"/>
  <c r="BF393" i="23"/>
  <c r="AZ393" i="23"/>
  <c r="AT393" i="23"/>
  <c r="AN393" i="23"/>
  <c r="AH393" i="23"/>
  <c r="AB393" i="23"/>
  <c r="R393" i="23"/>
  <c r="L393" i="23"/>
  <c r="CC392" i="23"/>
  <c r="CB392" i="23"/>
  <c r="CA392" i="23"/>
  <c r="BZ392" i="23"/>
  <c r="BL392" i="23"/>
  <c r="BF392" i="23"/>
  <c r="AZ392" i="23"/>
  <c r="AT392" i="23"/>
  <c r="AN392" i="23"/>
  <c r="AH392" i="23"/>
  <c r="AB392" i="23"/>
  <c r="R392" i="23"/>
  <c r="L392" i="23"/>
  <c r="CC391" i="23"/>
  <c r="CB391" i="23"/>
  <c r="CA391" i="23"/>
  <c r="BZ391" i="23"/>
  <c r="BL391" i="23"/>
  <c r="BF391" i="23"/>
  <c r="AZ391" i="23"/>
  <c r="AT391" i="23"/>
  <c r="AN391" i="23"/>
  <c r="AH391" i="23"/>
  <c r="AB391" i="23"/>
  <c r="R391" i="23"/>
  <c r="L391" i="23"/>
  <c r="CC390" i="23"/>
  <c r="CB390" i="23"/>
  <c r="CA390" i="23"/>
  <c r="BZ390" i="23"/>
  <c r="BL390" i="23"/>
  <c r="BF390" i="23"/>
  <c r="AZ390" i="23"/>
  <c r="AT390" i="23"/>
  <c r="AN390" i="23"/>
  <c r="AH390" i="23"/>
  <c r="AB390" i="23"/>
  <c r="R390" i="23"/>
  <c r="L390" i="23"/>
  <c r="CC389" i="23"/>
  <c r="CB389" i="23"/>
  <c r="CA389" i="23"/>
  <c r="BZ389" i="23"/>
  <c r="BL389" i="23"/>
  <c r="BF389" i="23"/>
  <c r="AZ389" i="23"/>
  <c r="AT389" i="23"/>
  <c r="AN389" i="23"/>
  <c r="AH389" i="23"/>
  <c r="AB389" i="23"/>
  <c r="R389" i="23"/>
  <c r="L389" i="23"/>
  <c r="CC388" i="23"/>
  <c r="CB388" i="23"/>
  <c r="CA388" i="23"/>
  <c r="BZ388" i="23"/>
  <c r="BL388" i="23"/>
  <c r="BF388" i="23"/>
  <c r="AZ388" i="23"/>
  <c r="AT388" i="23"/>
  <c r="AN388" i="23"/>
  <c r="AH388" i="23"/>
  <c r="AB388" i="23"/>
  <c r="R388" i="23"/>
  <c r="L388" i="23"/>
  <c r="CC387" i="23"/>
  <c r="CB387" i="23"/>
  <c r="CA387" i="23"/>
  <c r="BZ387" i="23"/>
  <c r="BL387" i="23"/>
  <c r="BF387" i="23"/>
  <c r="AZ387" i="23"/>
  <c r="AT387" i="23"/>
  <c r="AN387" i="23"/>
  <c r="AH387" i="23"/>
  <c r="AB387" i="23"/>
  <c r="R387" i="23"/>
  <c r="L387" i="23"/>
  <c r="CD51" i="23" l="1"/>
  <c r="CE51" i="23" s="1"/>
  <c r="BM406" i="23"/>
  <c r="CD391" i="23"/>
  <c r="CD402" i="23"/>
  <c r="CD49" i="23"/>
  <c r="CE49" i="23" s="1"/>
  <c r="CD407" i="23"/>
  <c r="BM540" i="23"/>
  <c r="CD405" i="23"/>
  <c r="CD45" i="23"/>
  <c r="CE45" i="23" s="1"/>
  <c r="CD48" i="23"/>
  <c r="CE48" i="23" s="1"/>
  <c r="BM409" i="23"/>
  <c r="BM46" i="23"/>
  <c r="BM259" i="23"/>
  <c r="BM51" i="23"/>
  <c r="CD389" i="23"/>
  <c r="CE389" i="23" s="1"/>
  <c r="BM542" i="23"/>
  <c r="CD258" i="23"/>
  <c r="CE258" i="23" s="1"/>
  <c r="CD42" i="23"/>
  <c r="CD408" i="23"/>
  <c r="BM263" i="23"/>
  <c r="CD50" i="23"/>
  <c r="CE50" i="23" s="1"/>
  <c r="CD392" i="23"/>
  <c r="CE392" i="23" s="1"/>
  <c r="CD395" i="23"/>
  <c r="CE395" i="23" s="1"/>
  <c r="BM403" i="23"/>
  <c r="CD256" i="23"/>
  <c r="CD262" i="23"/>
  <c r="CE262" i="23" s="1"/>
  <c r="CD43" i="23"/>
  <c r="CE43" i="23" s="1"/>
  <c r="CD46" i="23"/>
  <c r="CE46" i="23" s="1"/>
  <c r="CD403" i="23"/>
  <c r="CE403" i="23" s="1"/>
  <c r="CD406" i="23"/>
  <c r="CE406" i="23" s="1"/>
  <c r="CD259" i="23"/>
  <c r="CE259" i="23" s="1"/>
  <c r="CD261" i="23"/>
  <c r="CE261" i="23" s="1"/>
  <c r="CD399" i="23"/>
  <c r="CE399" i="23" s="1"/>
  <c r="CD388" i="23"/>
  <c r="CE388" i="23" s="1"/>
  <c r="BM401" i="23"/>
  <c r="CD257" i="23"/>
  <c r="CE257" i="23" s="1"/>
  <c r="CD44" i="23"/>
  <c r="CE44" i="23" s="1"/>
  <c r="CD47" i="23"/>
  <c r="CD387" i="23"/>
  <c r="CD390" i="23"/>
  <c r="CE390" i="23" s="1"/>
  <c r="CD401" i="23"/>
  <c r="CE401" i="23" s="1"/>
  <c r="CD404" i="23"/>
  <c r="CD541" i="23"/>
  <c r="CD260" i="23"/>
  <c r="CD263" i="23"/>
  <c r="CE263" i="23" s="1"/>
  <c r="CD542" i="23"/>
  <c r="CE542" i="23" s="1"/>
  <c r="CD540" i="23"/>
  <c r="CE540" i="23" s="1"/>
  <c r="CD539" i="23"/>
  <c r="CE539" i="23" s="1"/>
  <c r="CD396" i="23"/>
  <c r="CE396" i="23" s="1"/>
  <c r="CD393" i="23"/>
  <c r="CE393" i="23" s="1"/>
  <c r="CD398" i="23"/>
  <c r="CE398" i="23" s="1"/>
  <c r="CD538" i="23"/>
  <c r="CD400" i="23"/>
  <c r="CE400" i="23" s="1"/>
  <c r="CD397" i="23"/>
  <c r="CD409" i="23"/>
  <c r="CE409" i="23" s="1"/>
  <c r="CD394" i="23"/>
  <c r="CE394" i="23" l="1"/>
  <c r="CE538" i="23"/>
  <c r="CE260" i="23"/>
  <c r="CE404" i="23"/>
  <c r="CE47" i="23"/>
  <c r="CE42" i="23"/>
  <c r="CE405" i="23"/>
  <c r="CE407" i="23"/>
  <c r="CE402" i="23"/>
  <c r="CE397" i="23"/>
  <c r="CE541" i="23"/>
  <c r="CE387" i="23"/>
  <c r="CE408" i="23"/>
  <c r="CE391" i="23"/>
  <c r="CE256" i="23"/>
  <c r="Y933" i="19" l="1"/>
  <c r="Y488" i="19" l="1"/>
  <c r="Y487" i="19"/>
  <c r="Y1059" i="19"/>
  <c r="AQ1059" i="19" l="1"/>
  <c r="Z336" i="19"/>
  <c r="Z347" i="19"/>
  <c r="BU1097" i="19" l="1"/>
  <c r="BW833" i="19"/>
  <c r="BU787" i="19"/>
  <c r="BU791" i="19"/>
  <c r="BU830" i="19"/>
  <c r="BU300" i="19"/>
  <c r="BU468" i="19"/>
  <c r="BU331" i="19"/>
  <c r="BU338" i="19"/>
  <c r="BU1053" i="19"/>
  <c r="BU851" i="19"/>
  <c r="BU812" i="19"/>
  <c r="Y1000" i="19" l="1"/>
  <c r="Y172" i="19"/>
  <c r="Y300" i="19"/>
  <c r="Y717" i="19" l="1"/>
  <c r="Y1081" i="19"/>
  <c r="Y412" i="19"/>
  <c r="AY300" i="19"/>
  <c r="AY412" i="19"/>
  <c r="AW300" i="19"/>
  <c r="AS300" i="19"/>
  <c r="AW412" i="19"/>
  <c r="AS412" i="19"/>
  <c r="W1232" i="23" l="1"/>
  <c r="AQ300" i="19" l="1"/>
  <c r="AQ412" i="19"/>
  <c r="AG1097" i="19"/>
  <c r="Z348" i="19"/>
  <c r="AA348" i="19"/>
  <c r="AM1098" i="19"/>
  <c r="AY347" i="19" l="1"/>
  <c r="AY371" i="19"/>
  <c r="AY336" i="19"/>
  <c r="AY359" i="19"/>
  <c r="AS359" i="19"/>
  <c r="AS661" i="19" l="1"/>
  <c r="AY661" i="19"/>
  <c r="AY662" i="19"/>
  <c r="AS662" i="19"/>
  <c r="Z506" i="19"/>
  <c r="Y409" i="19"/>
  <c r="Y1096" i="19"/>
  <c r="BW506" i="19" l="1"/>
  <c r="BU1005" i="19"/>
  <c r="BU721" i="19"/>
  <c r="BU172" i="19"/>
  <c r="BU339" i="19"/>
  <c r="BU1081" i="19"/>
  <c r="BU662" i="19"/>
  <c r="BU661" i="19"/>
  <c r="BU506" i="19"/>
  <c r="BU348" i="19"/>
  <c r="BU336" i="19"/>
  <c r="CC1344" i="23" l="1"/>
  <c r="CB1344" i="23"/>
  <c r="CA1344" i="23"/>
  <c r="BZ1344" i="23"/>
  <c r="BL1344" i="23"/>
  <c r="BF1344" i="23"/>
  <c r="AZ1344" i="23"/>
  <c r="AT1344" i="23"/>
  <c r="AN1344" i="23"/>
  <c r="AH1344" i="23"/>
  <c r="AB1344" i="23"/>
  <c r="R1344" i="23"/>
  <c r="L1344" i="23"/>
  <c r="CC1343" i="23"/>
  <c r="CB1343" i="23"/>
  <c r="CA1343" i="23"/>
  <c r="BZ1343" i="23"/>
  <c r="BL1343" i="23"/>
  <c r="BF1343" i="23"/>
  <c r="AZ1343" i="23"/>
  <c r="AT1343" i="23"/>
  <c r="AN1343" i="23"/>
  <c r="AH1343" i="23"/>
  <c r="AB1343" i="23"/>
  <c r="R1343" i="23"/>
  <c r="L1343" i="23"/>
  <c r="CC1342" i="23"/>
  <c r="CB1342" i="23"/>
  <c r="CA1342" i="23"/>
  <c r="BZ1342" i="23"/>
  <c r="BL1342" i="23"/>
  <c r="BF1342" i="23"/>
  <c r="AZ1342" i="23"/>
  <c r="AT1342" i="23"/>
  <c r="AN1342" i="23"/>
  <c r="AH1342" i="23"/>
  <c r="AB1342" i="23"/>
  <c r="R1342" i="23"/>
  <c r="L1342" i="23"/>
  <c r="CC1341" i="23"/>
  <c r="CB1341" i="23"/>
  <c r="CA1341" i="23"/>
  <c r="BZ1341" i="23"/>
  <c r="BL1341" i="23"/>
  <c r="BF1341" i="23"/>
  <c r="AZ1341" i="23"/>
  <c r="AT1341" i="23"/>
  <c r="AN1341" i="23"/>
  <c r="AH1341" i="23"/>
  <c r="AB1341" i="23"/>
  <c r="R1341" i="23"/>
  <c r="L1341" i="23"/>
  <c r="CC1340" i="23"/>
  <c r="CB1340" i="23"/>
  <c r="CA1340" i="23"/>
  <c r="BZ1340" i="23"/>
  <c r="BL1340" i="23"/>
  <c r="BF1340" i="23"/>
  <c r="AZ1340" i="23"/>
  <c r="AT1340" i="23"/>
  <c r="AN1340" i="23"/>
  <c r="AH1340" i="23"/>
  <c r="AB1340" i="23"/>
  <c r="R1340" i="23"/>
  <c r="L1340" i="23"/>
  <c r="CC1339" i="23"/>
  <c r="CB1339" i="23"/>
  <c r="CA1339" i="23"/>
  <c r="BZ1339" i="23"/>
  <c r="BL1339" i="23"/>
  <c r="BF1339" i="23"/>
  <c r="AZ1339" i="23"/>
  <c r="AT1339" i="23"/>
  <c r="AN1339" i="23"/>
  <c r="AH1339" i="23"/>
  <c r="AB1339" i="23"/>
  <c r="R1339" i="23"/>
  <c r="L1339" i="23"/>
  <c r="CC1243" i="23"/>
  <c r="CB1243" i="23"/>
  <c r="CA1243" i="23"/>
  <c r="BZ1243" i="23"/>
  <c r="BL1243" i="23"/>
  <c r="BF1243" i="23"/>
  <c r="AZ1243" i="23"/>
  <c r="AT1243" i="23"/>
  <c r="AN1243" i="23"/>
  <c r="AH1243" i="23"/>
  <c r="AB1243" i="23"/>
  <c r="R1243" i="23"/>
  <c r="L1243" i="23"/>
  <c r="CC1242" i="23"/>
  <c r="CB1242" i="23"/>
  <c r="CA1242" i="23"/>
  <c r="BZ1242" i="23"/>
  <c r="BL1242" i="23"/>
  <c r="BF1242" i="23"/>
  <c r="AZ1242" i="23"/>
  <c r="AT1242" i="23"/>
  <c r="AN1242" i="23"/>
  <c r="AH1242" i="23"/>
  <c r="AB1242" i="23"/>
  <c r="R1242" i="23"/>
  <c r="L1242" i="23"/>
  <c r="CC1241" i="23"/>
  <c r="CB1241" i="23"/>
  <c r="CA1241" i="23"/>
  <c r="BZ1241" i="23"/>
  <c r="BL1241" i="23"/>
  <c r="BF1241" i="23"/>
  <c r="AZ1241" i="23"/>
  <c r="AT1241" i="23"/>
  <c r="AN1241" i="23"/>
  <c r="AH1241" i="23"/>
  <c r="AB1241" i="23"/>
  <c r="R1241" i="23"/>
  <c r="L1241" i="23"/>
  <c r="CC1240" i="23"/>
  <c r="CB1240" i="23"/>
  <c r="CA1240" i="23"/>
  <c r="BZ1240" i="23"/>
  <c r="BL1240" i="23"/>
  <c r="BF1240" i="23"/>
  <c r="AZ1240" i="23"/>
  <c r="AT1240" i="23"/>
  <c r="AN1240" i="23"/>
  <c r="AH1240" i="23"/>
  <c r="AB1240" i="23"/>
  <c r="R1240" i="23"/>
  <c r="L1240" i="23"/>
  <c r="CC1239" i="23"/>
  <c r="CB1239" i="23"/>
  <c r="CA1239" i="23"/>
  <c r="BZ1239" i="23"/>
  <c r="BL1239" i="23"/>
  <c r="BF1239" i="23"/>
  <c r="AZ1239" i="23"/>
  <c r="AT1239" i="23"/>
  <c r="AN1239" i="23"/>
  <c r="AH1239" i="23"/>
  <c r="AB1239" i="23"/>
  <c r="R1239" i="23"/>
  <c r="L1239" i="23"/>
  <c r="CC1238" i="23"/>
  <c r="CB1238" i="23"/>
  <c r="CA1238" i="23"/>
  <c r="BZ1238" i="23"/>
  <c r="BL1238" i="23"/>
  <c r="BF1238" i="23"/>
  <c r="AZ1238" i="23"/>
  <c r="AT1238" i="23"/>
  <c r="AN1238" i="23"/>
  <c r="AH1238" i="23"/>
  <c r="AB1238" i="23"/>
  <c r="R1238" i="23"/>
  <c r="L1238" i="23"/>
  <c r="CC1237" i="23"/>
  <c r="CB1237" i="23"/>
  <c r="CA1237" i="23"/>
  <c r="BZ1237" i="23"/>
  <c r="BL1237" i="23"/>
  <c r="BF1237" i="23"/>
  <c r="AZ1237" i="23"/>
  <c r="AT1237" i="23"/>
  <c r="AN1237" i="23"/>
  <c r="AH1237" i="23"/>
  <c r="AB1237" i="23"/>
  <c r="R1237" i="23"/>
  <c r="L1237" i="23"/>
  <c r="CC1236" i="23"/>
  <c r="CB1236" i="23"/>
  <c r="CA1236" i="23"/>
  <c r="BZ1236" i="23"/>
  <c r="BL1236" i="23"/>
  <c r="BF1236" i="23"/>
  <c r="AZ1236" i="23"/>
  <c r="AT1236" i="23"/>
  <c r="AN1236" i="23"/>
  <c r="AH1236" i="23"/>
  <c r="AB1236" i="23"/>
  <c r="R1236" i="23"/>
  <c r="L1236" i="23"/>
  <c r="CC1235" i="23"/>
  <c r="CB1235" i="23"/>
  <c r="CA1235" i="23"/>
  <c r="BZ1235" i="23"/>
  <c r="BL1235" i="23"/>
  <c r="BF1235" i="23"/>
  <c r="AZ1235" i="23"/>
  <c r="AT1235" i="23"/>
  <c r="AN1235" i="23"/>
  <c r="AH1235" i="23"/>
  <c r="AB1235" i="23"/>
  <c r="R1235" i="23"/>
  <c r="L1235" i="23"/>
  <c r="CC1234" i="23"/>
  <c r="CB1234" i="23"/>
  <c r="CA1234" i="23"/>
  <c r="BZ1234" i="23"/>
  <c r="BL1234" i="23"/>
  <c r="BF1234" i="23"/>
  <c r="AZ1234" i="23"/>
  <c r="AT1234" i="23"/>
  <c r="AN1234" i="23"/>
  <c r="AH1234" i="23"/>
  <c r="AB1234" i="23"/>
  <c r="R1234" i="23"/>
  <c r="L1234" i="23"/>
  <c r="CC1233" i="23"/>
  <c r="CB1233" i="23"/>
  <c r="CA1233" i="23"/>
  <c r="BZ1233" i="23"/>
  <c r="BL1233" i="23"/>
  <c r="BF1233" i="23"/>
  <c r="AZ1233" i="23"/>
  <c r="AT1233" i="23"/>
  <c r="AN1233" i="23"/>
  <c r="AH1233" i="23"/>
  <c r="AB1233" i="23"/>
  <c r="R1233" i="23"/>
  <c r="L1233" i="23"/>
  <c r="CC1232" i="23"/>
  <c r="CB1232" i="23"/>
  <c r="CA1232" i="23"/>
  <c r="BZ1232" i="23"/>
  <c r="BL1232" i="23"/>
  <c r="BF1232" i="23"/>
  <c r="AZ1232" i="23"/>
  <c r="AT1232" i="23"/>
  <c r="AN1232" i="23"/>
  <c r="AH1232" i="23"/>
  <c r="AB1232" i="23"/>
  <c r="R1232" i="23"/>
  <c r="L1232" i="23"/>
  <c r="CC1231" i="23"/>
  <c r="CB1231" i="23"/>
  <c r="CA1231" i="23"/>
  <c r="BZ1231" i="23"/>
  <c r="BL1231" i="23"/>
  <c r="BF1231" i="23"/>
  <c r="AZ1231" i="23"/>
  <c r="AT1231" i="23"/>
  <c r="AN1231" i="23"/>
  <c r="AH1231" i="23"/>
  <c r="AB1231" i="23"/>
  <c r="R1231" i="23"/>
  <c r="L1231" i="23"/>
  <c r="CC1230" i="23"/>
  <c r="CB1230" i="23"/>
  <c r="CA1230" i="23"/>
  <c r="BZ1230" i="23"/>
  <c r="BL1230" i="23"/>
  <c r="BF1230" i="23"/>
  <c r="AZ1230" i="23"/>
  <c r="AT1230" i="23"/>
  <c r="AN1230" i="23"/>
  <c r="AH1230" i="23"/>
  <c r="AB1230" i="23"/>
  <c r="R1230" i="23"/>
  <c r="L1230" i="23"/>
  <c r="CC1229" i="23"/>
  <c r="CB1229" i="23"/>
  <c r="CA1229" i="23"/>
  <c r="BZ1229" i="23"/>
  <c r="BL1229" i="23"/>
  <c r="BF1229" i="23"/>
  <c r="AZ1229" i="23"/>
  <c r="AT1229" i="23"/>
  <c r="AN1229" i="23"/>
  <c r="AH1229" i="23"/>
  <c r="AB1229" i="23"/>
  <c r="R1229" i="23"/>
  <c r="L1229" i="23"/>
  <c r="CC1228" i="23"/>
  <c r="CB1228" i="23"/>
  <c r="CA1228" i="23"/>
  <c r="BZ1228" i="23"/>
  <c r="BL1228" i="23"/>
  <c r="BF1228" i="23"/>
  <c r="AZ1228" i="23"/>
  <c r="AT1228" i="23"/>
  <c r="AN1228" i="23"/>
  <c r="AH1228" i="23"/>
  <c r="AB1228" i="23"/>
  <c r="R1228" i="23"/>
  <c r="L1228" i="23"/>
  <c r="CC1227" i="23"/>
  <c r="CB1227" i="23"/>
  <c r="CA1227" i="23"/>
  <c r="BZ1227" i="23"/>
  <c r="BL1227" i="23"/>
  <c r="BF1227" i="23"/>
  <c r="AZ1227" i="23"/>
  <c r="AT1227" i="23"/>
  <c r="AN1227" i="23"/>
  <c r="AH1227" i="23"/>
  <c r="AB1227" i="23"/>
  <c r="R1227" i="23"/>
  <c r="L1227" i="23"/>
  <c r="CC1226" i="23"/>
  <c r="CB1226" i="23"/>
  <c r="CA1226" i="23"/>
  <c r="BZ1226" i="23"/>
  <c r="BL1226" i="23"/>
  <c r="BF1226" i="23"/>
  <c r="AZ1226" i="23"/>
  <c r="AT1226" i="23"/>
  <c r="AN1226" i="23"/>
  <c r="AH1226" i="23"/>
  <c r="AB1226" i="23"/>
  <c r="R1226" i="23"/>
  <c r="L1226" i="23"/>
  <c r="CC1225" i="23"/>
  <c r="CB1225" i="23"/>
  <c r="CA1225" i="23"/>
  <c r="BZ1225" i="23"/>
  <c r="BL1225" i="23"/>
  <c r="BF1225" i="23"/>
  <c r="AZ1225" i="23"/>
  <c r="AT1225" i="23"/>
  <c r="AN1225" i="23"/>
  <c r="AH1225" i="23"/>
  <c r="AB1225" i="23"/>
  <c r="R1225" i="23"/>
  <c r="L1225" i="23"/>
  <c r="CC1224" i="23"/>
  <c r="CB1224" i="23"/>
  <c r="CA1224" i="23"/>
  <c r="BZ1224" i="23"/>
  <c r="BL1224" i="23"/>
  <c r="BF1224" i="23"/>
  <c r="AZ1224" i="23"/>
  <c r="AT1224" i="23"/>
  <c r="AN1224" i="23"/>
  <c r="AH1224" i="23"/>
  <c r="AB1224" i="23"/>
  <c r="R1224" i="23"/>
  <c r="L1224" i="23"/>
  <c r="CC1223" i="23"/>
  <c r="CB1223" i="23"/>
  <c r="CA1223" i="23"/>
  <c r="BZ1223" i="23"/>
  <c r="BL1223" i="23"/>
  <c r="BF1223" i="23"/>
  <c r="AZ1223" i="23"/>
  <c r="AT1223" i="23"/>
  <c r="AN1223" i="23"/>
  <c r="AH1223" i="23"/>
  <c r="AB1223" i="23"/>
  <c r="R1223" i="23"/>
  <c r="L1223" i="23"/>
  <c r="CC1222" i="23"/>
  <c r="CB1222" i="23"/>
  <c r="CA1222" i="23"/>
  <c r="BZ1222" i="23"/>
  <c r="BL1222" i="23"/>
  <c r="BF1222" i="23"/>
  <c r="AZ1222" i="23"/>
  <c r="AT1222" i="23"/>
  <c r="AN1222" i="23"/>
  <c r="AH1222" i="23"/>
  <c r="AB1222" i="23"/>
  <c r="R1222" i="23"/>
  <c r="L1222" i="23"/>
  <c r="CC1221" i="23"/>
  <c r="CB1221" i="23"/>
  <c r="CA1221" i="23"/>
  <c r="BZ1221" i="23"/>
  <c r="BL1221" i="23"/>
  <c r="BF1221" i="23"/>
  <c r="AZ1221" i="23"/>
  <c r="AT1221" i="23"/>
  <c r="AN1221" i="23"/>
  <c r="AH1221" i="23"/>
  <c r="AB1221" i="23"/>
  <c r="R1221" i="23"/>
  <c r="L1221" i="23"/>
  <c r="CC1220" i="23"/>
  <c r="CB1220" i="23"/>
  <c r="CA1220" i="23"/>
  <c r="BZ1220" i="23"/>
  <c r="BL1220" i="23"/>
  <c r="BF1220" i="23"/>
  <c r="AZ1220" i="23"/>
  <c r="AT1220" i="23"/>
  <c r="AN1220" i="23"/>
  <c r="AH1220" i="23"/>
  <c r="AB1220" i="23"/>
  <c r="R1220" i="23"/>
  <c r="L1220" i="23"/>
  <c r="CC1219" i="23"/>
  <c r="CB1219" i="23"/>
  <c r="CA1219" i="23"/>
  <c r="BZ1219" i="23"/>
  <c r="BL1219" i="23"/>
  <c r="BF1219" i="23"/>
  <c r="AZ1219" i="23"/>
  <c r="AT1219" i="23"/>
  <c r="AN1219" i="23"/>
  <c r="AH1219" i="23"/>
  <c r="AB1219" i="23"/>
  <c r="R1219" i="23"/>
  <c r="L1219" i="23"/>
  <c r="CC1218" i="23"/>
  <c r="CB1218" i="23"/>
  <c r="CA1218" i="23"/>
  <c r="BZ1218" i="23"/>
  <c r="BL1218" i="23"/>
  <c r="BF1218" i="23"/>
  <c r="AZ1218" i="23"/>
  <c r="AT1218" i="23"/>
  <c r="AN1218" i="23"/>
  <c r="AH1218" i="23"/>
  <c r="AB1218" i="23"/>
  <c r="R1218" i="23"/>
  <c r="L1218" i="23"/>
  <c r="CC1217" i="23"/>
  <c r="CB1217" i="23"/>
  <c r="CA1217" i="23"/>
  <c r="BZ1217" i="23"/>
  <c r="BL1217" i="23"/>
  <c r="BF1217" i="23"/>
  <c r="AZ1217" i="23"/>
  <c r="AT1217" i="23"/>
  <c r="AN1217" i="23"/>
  <c r="AH1217" i="23"/>
  <c r="AB1217" i="23"/>
  <c r="R1217" i="23"/>
  <c r="L1217" i="23"/>
  <c r="CC1216" i="23"/>
  <c r="CB1216" i="23"/>
  <c r="CA1216" i="23"/>
  <c r="BZ1216" i="23"/>
  <c r="BL1216" i="23"/>
  <c r="BF1216" i="23"/>
  <c r="AZ1216" i="23"/>
  <c r="AT1216" i="23"/>
  <c r="AN1216" i="23"/>
  <c r="AH1216" i="23"/>
  <c r="AB1216" i="23"/>
  <c r="R1216" i="23"/>
  <c r="L1216" i="23"/>
  <c r="CC1215" i="23"/>
  <c r="CB1215" i="23"/>
  <c r="CA1215" i="23"/>
  <c r="BZ1215" i="23"/>
  <c r="BL1215" i="23"/>
  <c r="BF1215" i="23"/>
  <c r="AZ1215" i="23"/>
  <c r="AT1215" i="23"/>
  <c r="AN1215" i="23"/>
  <c r="AH1215" i="23"/>
  <c r="AB1215" i="23"/>
  <c r="R1215" i="23"/>
  <c r="L1215" i="23"/>
  <c r="CC1214" i="23"/>
  <c r="CB1214" i="23"/>
  <c r="CA1214" i="23"/>
  <c r="BZ1214" i="23"/>
  <c r="BL1214" i="23"/>
  <c r="BF1214" i="23"/>
  <c r="AZ1214" i="23"/>
  <c r="AT1214" i="23"/>
  <c r="AN1214" i="23"/>
  <c r="AH1214" i="23"/>
  <c r="AB1214" i="23"/>
  <c r="R1214" i="23"/>
  <c r="L1214" i="23"/>
  <c r="CC1213" i="23"/>
  <c r="CB1213" i="23"/>
  <c r="CA1213" i="23"/>
  <c r="BZ1213" i="23"/>
  <c r="BL1213" i="23"/>
  <c r="BF1213" i="23"/>
  <c r="AZ1213" i="23"/>
  <c r="AT1213" i="23"/>
  <c r="AN1213" i="23"/>
  <c r="AH1213" i="23"/>
  <c r="AB1213" i="23"/>
  <c r="R1213" i="23"/>
  <c r="L1213" i="23"/>
  <c r="CC1212" i="23"/>
  <c r="CB1212" i="23"/>
  <c r="CA1212" i="23"/>
  <c r="BZ1212" i="23"/>
  <c r="BL1212" i="23"/>
  <c r="BF1212" i="23"/>
  <c r="AZ1212" i="23"/>
  <c r="AT1212" i="23"/>
  <c r="AN1212" i="23"/>
  <c r="AH1212" i="23"/>
  <c r="AB1212" i="23"/>
  <c r="R1212" i="23"/>
  <c r="L1212" i="23"/>
  <c r="CC1211" i="23"/>
  <c r="CB1211" i="23"/>
  <c r="CA1211" i="23"/>
  <c r="BZ1211" i="23"/>
  <c r="BL1211" i="23"/>
  <c r="BF1211" i="23"/>
  <c r="AZ1211" i="23"/>
  <c r="AT1211" i="23"/>
  <c r="AN1211" i="23"/>
  <c r="AH1211" i="23"/>
  <c r="AB1211" i="23"/>
  <c r="R1211" i="23"/>
  <c r="L1211" i="23"/>
  <c r="CC1210" i="23"/>
  <c r="CB1210" i="23"/>
  <c r="CA1210" i="23"/>
  <c r="BZ1210" i="23"/>
  <c r="BL1210" i="23"/>
  <c r="BF1210" i="23"/>
  <c r="AZ1210" i="23"/>
  <c r="AT1210" i="23"/>
  <c r="AN1210" i="23"/>
  <c r="AH1210" i="23"/>
  <c r="AB1210" i="23"/>
  <c r="R1210" i="23"/>
  <c r="L1210" i="23"/>
  <c r="CC1209" i="23"/>
  <c r="CB1209" i="23"/>
  <c r="CA1209" i="23"/>
  <c r="BZ1209" i="23"/>
  <c r="BL1209" i="23"/>
  <c r="BF1209" i="23"/>
  <c r="AZ1209" i="23"/>
  <c r="AT1209" i="23"/>
  <c r="AN1209" i="23"/>
  <c r="AH1209" i="23"/>
  <c r="AB1209" i="23"/>
  <c r="R1209" i="23"/>
  <c r="L1209" i="23"/>
  <c r="CC1208" i="23"/>
  <c r="CB1208" i="23"/>
  <c r="CA1208" i="23"/>
  <c r="BZ1208" i="23"/>
  <c r="BL1208" i="23"/>
  <c r="BF1208" i="23"/>
  <c r="AZ1208" i="23"/>
  <c r="AT1208" i="23"/>
  <c r="AN1208" i="23"/>
  <c r="AH1208" i="23"/>
  <c r="AB1208" i="23"/>
  <c r="R1208" i="23"/>
  <c r="L1208" i="23"/>
  <c r="CC537" i="23"/>
  <c r="CB537" i="23"/>
  <c r="CA537" i="23"/>
  <c r="BZ537" i="23"/>
  <c r="BL537" i="23"/>
  <c r="BF537" i="23"/>
  <c r="AZ537" i="23"/>
  <c r="AT537" i="23"/>
  <c r="AN537" i="23"/>
  <c r="AH537" i="23"/>
  <c r="AB537" i="23"/>
  <c r="R537" i="23"/>
  <c r="L537" i="23"/>
  <c r="CC536" i="23"/>
  <c r="CB536" i="23"/>
  <c r="CA536" i="23"/>
  <c r="BZ536" i="23"/>
  <c r="BL536" i="23"/>
  <c r="BF536" i="23"/>
  <c r="AZ536" i="23"/>
  <c r="AT536" i="23"/>
  <c r="AN536" i="23"/>
  <c r="AH536" i="23"/>
  <c r="AB536" i="23"/>
  <c r="R536" i="23"/>
  <c r="L536" i="23"/>
  <c r="CC535" i="23"/>
  <c r="CB535" i="23"/>
  <c r="CA535" i="23"/>
  <c r="BZ535" i="23"/>
  <c r="BL535" i="23"/>
  <c r="BF535" i="23"/>
  <c r="AZ535" i="23"/>
  <c r="AT535" i="23"/>
  <c r="AN535" i="23"/>
  <c r="AH535" i="23"/>
  <c r="AB535" i="23"/>
  <c r="R535" i="23"/>
  <c r="L535" i="23"/>
  <c r="CC386" i="23"/>
  <c r="CB386" i="23"/>
  <c r="CA386" i="23"/>
  <c r="BZ386" i="23"/>
  <c r="BL386" i="23"/>
  <c r="BF386" i="23"/>
  <c r="AZ386" i="23"/>
  <c r="AT386" i="23"/>
  <c r="AN386" i="23"/>
  <c r="AH386" i="23"/>
  <c r="AB386" i="23"/>
  <c r="R386" i="23"/>
  <c r="L386" i="23"/>
  <c r="CC384" i="23"/>
  <c r="CB384" i="23"/>
  <c r="CA384" i="23"/>
  <c r="BZ384" i="23"/>
  <c r="BL384" i="23"/>
  <c r="BF384" i="23"/>
  <c r="AZ384" i="23"/>
  <c r="AT384" i="23"/>
  <c r="AN384" i="23"/>
  <c r="AH384" i="23"/>
  <c r="AB384" i="23"/>
  <c r="R384" i="23"/>
  <c r="L384" i="23"/>
  <c r="CC383" i="23"/>
  <c r="CB383" i="23"/>
  <c r="CA383" i="23"/>
  <c r="BZ383" i="23"/>
  <c r="BL383" i="23"/>
  <c r="BF383" i="23"/>
  <c r="AZ383" i="23"/>
  <c r="AT383" i="23"/>
  <c r="AN383" i="23"/>
  <c r="AH383" i="23"/>
  <c r="AB383" i="23"/>
  <c r="R383" i="23"/>
  <c r="L383" i="23"/>
  <c r="CC382" i="23"/>
  <c r="CB382" i="23"/>
  <c r="CA382" i="23"/>
  <c r="BZ382" i="23"/>
  <c r="BL382" i="23"/>
  <c r="BF382" i="23"/>
  <c r="AZ382" i="23"/>
  <c r="AT382" i="23"/>
  <c r="AN382" i="23"/>
  <c r="AH382" i="23"/>
  <c r="AB382" i="23"/>
  <c r="R382" i="23"/>
  <c r="L382" i="23"/>
  <c r="CC255" i="23"/>
  <c r="CB255" i="23"/>
  <c r="CA255" i="23"/>
  <c r="BZ255" i="23"/>
  <c r="BL255" i="23"/>
  <c r="BF255" i="23"/>
  <c r="AZ255" i="23"/>
  <c r="AT255" i="23"/>
  <c r="AN255" i="23"/>
  <c r="AH255" i="23"/>
  <c r="AB255" i="23"/>
  <c r="R255" i="23"/>
  <c r="L255" i="23"/>
  <c r="CC254" i="23"/>
  <c r="CB254" i="23"/>
  <c r="CA254" i="23"/>
  <c r="BZ254" i="23"/>
  <c r="BL254" i="23"/>
  <c r="BF254" i="23"/>
  <c r="AZ254" i="23"/>
  <c r="AT254" i="23"/>
  <c r="AN254" i="23"/>
  <c r="AH254" i="23"/>
  <c r="AB254" i="23"/>
  <c r="R254" i="23"/>
  <c r="L254" i="23"/>
  <c r="H254" i="23"/>
  <c r="CC253" i="23"/>
  <c r="CB253" i="23"/>
  <c r="CA253" i="23"/>
  <c r="BZ253" i="23"/>
  <c r="BL253" i="23"/>
  <c r="BF253" i="23"/>
  <c r="AZ253" i="23"/>
  <c r="AT253" i="23"/>
  <c r="AN253" i="23"/>
  <c r="AH253" i="23"/>
  <c r="AB253" i="23"/>
  <c r="R253" i="23"/>
  <c r="L253" i="23"/>
  <c r="CC252" i="23"/>
  <c r="CB252" i="23"/>
  <c r="CA252" i="23"/>
  <c r="BZ252" i="23"/>
  <c r="BL252" i="23"/>
  <c r="BF252" i="23"/>
  <c r="AZ252" i="23"/>
  <c r="AT252" i="23"/>
  <c r="AN252" i="23"/>
  <c r="AH252" i="23"/>
  <c r="AB252" i="23"/>
  <c r="R252" i="23"/>
  <c r="L252" i="23"/>
  <c r="CC251" i="23"/>
  <c r="CB251" i="23"/>
  <c r="CA251" i="23"/>
  <c r="BZ251" i="23"/>
  <c r="BL251" i="23"/>
  <c r="BF251" i="23"/>
  <c r="AZ251" i="23"/>
  <c r="AT251" i="23"/>
  <c r="AN251" i="23"/>
  <c r="AH251" i="23"/>
  <c r="AB251" i="23"/>
  <c r="R251" i="23"/>
  <c r="L251" i="23"/>
  <c r="CC250" i="23"/>
  <c r="CB250" i="23"/>
  <c r="CA250" i="23"/>
  <c r="BZ250" i="23"/>
  <c r="BL250" i="23"/>
  <c r="BF250" i="23"/>
  <c r="AZ250" i="23"/>
  <c r="AT250" i="23"/>
  <c r="AN250" i="23"/>
  <c r="AH250" i="23"/>
  <c r="AB250" i="23"/>
  <c r="R250" i="23"/>
  <c r="L250" i="23"/>
  <c r="CC249" i="23"/>
  <c r="CB249" i="23"/>
  <c r="CA249" i="23"/>
  <c r="BZ249" i="23"/>
  <c r="BL249" i="23"/>
  <c r="BF249" i="23"/>
  <c r="AZ249" i="23"/>
  <c r="AT249" i="23"/>
  <c r="AN249" i="23"/>
  <c r="AH249" i="23"/>
  <c r="AB249" i="23"/>
  <c r="R249" i="23"/>
  <c r="L249" i="23"/>
  <c r="H249" i="23"/>
  <c r="CC248" i="23"/>
  <c r="CB248" i="23"/>
  <c r="CA248" i="23"/>
  <c r="BZ248" i="23"/>
  <c r="BL248" i="23"/>
  <c r="BF248" i="23"/>
  <c r="AZ248" i="23"/>
  <c r="AT248" i="23"/>
  <c r="AN248" i="23"/>
  <c r="AH248" i="23"/>
  <c r="AB248" i="23"/>
  <c r="R248" i="23"/>
  <c r="L248" i="23"/>
  <c r="CC247" i="23"/>
  <c r="CB247" i="23"/>
  <c r="CA247" i="23"/>
  <c r="BZ247" i="23"/>
  <c r="BL247" i="23"/>
  <c r="BF247" i="23"/>
  <c r="AZ247" i="23"/>
  <c r="AT247" i="23"/>
  <c r="AN247" i="23"/>
  <c r="AH247" i="23"/>
  <c r="AB247" i="23"/>
  <c r="R247" i="23"/>
  <c r="L247" i="23"/>
  <c r="CC246" i="23"/>
  <c r="CB246" i="23"/>
  <c r="CA246" i="23"/>
  <c r="BZ246" i="23"/>
  <c r="BL246" i="23"/>
  <c r="BF246" i="23"/>
  <c r="AZ246" i="23"/>
  <c r="AT246" i="23"/>
  <c r="AN246" i="23"/>
  <c r="AH246" i="23"/>
  <c r="AB246" i="23"/>
  <c r="R246" i="23"/>
  <c r="L246" i="23"/>
  <c r="CC140" i="23"/>
  <c r="CB140" i="23"/>
  <c r="CA140" i="23"/>
  <c r="BZ140" i="23"/>
  <c r="BL140" i="23"/>
  <c r="BF140" i="23"/>
  <c r="AZ140" i="23"/>
  <c r="AT140" i="23"/>
  <c r="AN140" i="23"/>
  <c r="AH140" i="23"/>
  <c r="AB140" i="23"/>
  <c r="R140" i="23"/>
  <c r="L140" i="23"/>
  <c r="CC139" i="23"/>
  <c r="CB139" i="23"/>
  <c r="CA139" i="23"/>
  <c r="BZ139" i="23"/>
  <c r="BL139" i="23"/>
  <c r="BF139" i="23"/>
  <c r="AZ139" i="23"/>
  <c r="AT139" i="23"/>
  <c r="AN139" i="23"/>
  <c r="AH139" i="23"/>
  <c r="AB139" i="23"/>
  <c r="R139" i="23"/>
  <c r="L139" i="23"/>
  <c r="CC138" i="23"/>
  <c r="CB138" i="23"/>
  <c r="CA138" i="23"/>
  <c r="BZ138" i="23"/>
  <c r="BL138" i="23"/>
  <c r="BF138" i="23"/>
  <c r="AZ138" i="23"/>
  <c r="AT138" i="23"/>
  <c r="AN138" i="23"/>
  <c r="AH138" i="23"/>
  <c r="AB138" i="23"/>
  <c r="R138" i="23"/>
  <c r="L138" i="23"/>
  <c r="H138" i="23"/>
  <c r="CC137" i="23"/>
  <c r="CB137" i="23"/>
  <c r="CA137" i="23"/>
  <c r="BZ137" i="23"/>
  <c r="BL137" i="23"/>
  <c r="BF137" i="23"/>
  <c r="AZ137" i="23"/>
  <c r="AT137" i="23"/>
  <c r="AN137" i="23"/>
  <c r="AH137" i="23"/>
  <c r="AB137" i="23"/>
  <c r="R137" i="23"/>
  <c r="L137" i="23"/>
  <c r="CC136" i="23"/>
  <c r="CB136" i="23"/>
  <c r="CA136" i="23"/>
  <c r="BZ136" i="23"/>
  <c r="BL136" i="23"/>
  <c r="BF136" i="23"/>
  <c r="AZ136" i="23"/>
  <c r="AT136" i="23"/>
  <c r="AN136" i="23"/>
  <c r="AH136" i="23"/>
  <c r="AB136" i="23"/>
  <c r="R136" i="23"/>
  <c r="L136" i="23"/>
  <c r="CC135" i="23"/>
  <c r="CB135" i="23"/>
  <c r="CA135" i="23"/>
  <c r="BZ135" i="23"/>
  <c r="BL135" i="23"/>
  <c r="BF135" i="23"/>
  <c r="AZ135" i="23"/>
  <c r="AT135" i="23"/>
  <c r="AN135" i="23"/>
  <c r="AH135" i="23"/>
  <c r="AB135" i="23"/>
  <c r="R135" i="23"/>
  <c r="L135" i="23"/>
  <c r="CC134" i="23"/>
  <c r="CB134" i="23"/>
  <c r="CA134" i="23"/>
  <c r="BZ134" i="23"/>
  <c r="BL134" i="23"/>
  <c r="BF134" i="23"/>
  <c r="AZ134" i="23"/>
  <c r="AT134" i="23"/>
  <c r="AN134" i="23"/>
  <c r="AH134" i="23"/>
  <c r="AB134" i="23"/>
  <c r="R134" i="23"/>
  <c r="L134" i="23"/>
  <c r="CC133" i="23"/>
  <c r="CB133" i="23"/>
  <c r="CA133" i="23"/>
  <c r="BZ133" i="23"/>
  <c r="BL133" i="23"/>
  <c r="BF133" i="23"/>
  <c r="AZ133" i="23"/>
  <c r="AT133" i="23"/>
  <c r="AN133" i="23"/>
  <c r="AH133" i="23"/>
  <c r="AB133" i="23"/>
  <c r="R133" i="23"/>
  <c r="L133" i="23"/>
  <c r="CC132" i="23"/>
  <c r="CB132" i="23"/>
  <c r="CA132" i="23"/>
  <c r="BZ132" i="23"/>
  <c r="BL132" i="23"/>
  <c r="BF132" i="23"/>
  <c r="AZ132" i="23"/>
  <c r="AT132" i="23"/>
  <c r="AN132" i="23"/>
  <c r="AH132" i="23"/>
  <c r="AB132" i="23"/>
  <c r="R132" i="23"/>
  <c r="L132" i="23"/>
  <c r="CC131" i="23"/>
  <c r="CB131" i="23"/>
  <c r="CA131" i="23"/>
  <c r="BZ131" i="23"/>
  <c r="BL131" i="23"/>
  <c r="BF131" i="23"/>
  <c r="AZ131" i="23"/>
  <c r="AT131" i="23"/>
  <c r="AN131" i="23"/>
  <c r="AH131" i="23"/>
  <c r="AB131" i="23"/>
  <c r="R131" i="23"/>
  <c r="L131" i="23"/>
  <c r="CC130" i="23"/>
  <c r="CB130" i="23"/>
  <c r="CA130" i="23"/>
  <c r="BZ130" i="23"/>
  <c r="BL130" i="23"/>
  <c r="BF130" i="23"/>
  <c r="AZ130" i="23"/>
  <c r="AT130" i="23"/>
  <c r="AN130" i="23"/>
  <c r="AH130" i="23"/>
  <c r="AB130" i="23"/>
  <c r="R130" i="23"/>
  <c r="L130" i="23"/>
  <c r="CC129" i="23"/>
  <c r="CB129" i="23"/>
  <c r="CA129" i="23"/>
  <c r="BZ129" i="23"/>
  <c r="BL129" i="23"/>
  <c r="BF129" i="23"/>
  <c r="AZ129" i="23"/>
  <c r="AT129" i="23"/>
  <c r="AN129" i="23"/>
  <c r="AH129" i="23"/>
  <c r="AB129" i="23"/>
  <c r="R129" i="23"/>
  <c r="L129" i="23"/>
  <c r="CC114" i="23"/>
  <c r="CB114" i="23"/>
  <c r="CA114" i="23"/>
  <c r="BZ114" i="23"/>
  <c r="BL114" i="23"/>
  <c r="BF114" i="23"/>
  <c r="AZ114" i="23"/>
  <c r="AT114" i="23"/>
  <c r="AN114" i="23"/>
  <c r="AH114" i="23"/>
  <c r="AB114" i="23"/>
  <c r="R114" i="23"/>
  <c r="L114" i="23"/>
  <c r="CC113" i="23"/>
  <c r="CB113" i="23"/>
  <c r="CA113" i="23"/>
  <c r="BZ113" i="23"/>
  <c r="BL113" i="23"/>
  <c r="BF113" i="23"/>
  <c r="AZ113" i="23"/>
  <c r="AT113" i="23"/>
  <c r="AN113" i="23"/>
  <c r="AH113" i="23"/>
  <c r="AB113" i="23"/>
  <c r="R113" i="23"/>
  <c r="L113" i="23"/>
  <c r="CC112" i="23"/>
  <c r="CB112" i="23"/>
  <c r="CA112" i="23"/>
  <c r="BZ112" i="23"/>
  <c r="BL112" i="23"/>
  <c r="BF112" i="23"/>
  <c r="AZ112" i="23"/>
  <c r="AT112" i="23"/>
  <c r="AN112" i="23"/>
  <c r="AH112" i="23"/>
  <c r="AB112" i="23"/>
  <c r="R112" i="23"/>
  <c r="L112" i="23"/>
  <c r="CC111" i="23"/>
  <c r="CB111" i="23"/>
  <c r="CA111" i="23"/>
  <c r="BZ111" i="23"/>
  <c r="BL111" i="23"/>
  <c r="BF111" i="23"/>
  <c r="AZ111" i="23"/>
  <c r="AT111" i="23"/>
  <c r="AN111" i="23"/>
  <c r="AH111" i="23"/>
  <c r="AB111" i="23"/>
  <c r="R111" i="23"/>
  <c r="L111" i="23"/>
  <c r="H111" i="23"/>
  <c r="CC110" i="23"/>
  <c r="CB110" i="23"/>
  <c r="CA110" i="23"/>
  <c r="BZ110" i="23"/>
  <c r="BL110" i="23"/>
  <c r="BF110" i="23"/>
  <c r="AZ110" i="23"/>
  <c r="AT110" i="23"/>
  <c r="AN110" i="23"/>
  <c r="AH110" i="23"/>
  <c r="AB110" i="23"/>
  <c r="R110" i="23"/>
  <c r="L110" i="23"/>
  <c r="CC109" i="23"/>
  <c r="CB109" i="23"/>
  <c r="CA109" i="23"/>
  <c r="BZ109" i="23"/>
  <c r="BL109" i="23"/>
  <c r="BF109" i="23"/>
  <c r="AZ109" i="23"/>
  <c r="AT109" i="23"/>
  <c r="AN109" i="23"/>
  <c r="AH109" i="23"/>
  <c r="AB109" i="23"/>
  <c r="R109" i="23"/>
  <c r="L109" i="23"/>
  <c r="CC108" i="23"/>
  <c r="CB108" i="23"/>
  <c r="CA108" i="23"/>
  <c r="BZ108" i="23"/>
  <c r="BL108" i="23"/>
  <c r="BF108" i="23"/>
  <c r="AZ108" i="23"/>
  <c r="AT108" i="23"/>
  <c r="AN108" i="23"/>
  <c r="AH108" i="23"/>
  <c r="AB108" i="23"/>
  <c r="R108" i="23"/>
  <c r="L108" i="23"/>
  <c r="CC107" i="23"/>
  <c r="CB107" i="23"/>
  <c r="CA107" i="23"/>
  <c r="BZ107" i="23"/>
  <c r="BL107" i="23"/>
  <c r="BF107" i="23"/>
  <c r="AZ107" i="23"/>
  <c r="AT107" i="23"/>
  <c r="AN107" i="23"/>
  <c r="AH107" i="23"/>
  <c r="AB107" i="23"/>
  <c r="R107" i="23"/>
  <c r="L107" i="23"/>
  <c r="CC106" i="23"/>
  <c r="CB106" i="23"/>
  <c r="CA106" i="23"/>
  <c r="BZ106" i="23"/>
  <c r="BL106" i="23"/>
  <c r="BF106" i="23"/>
  <c r="AZ106" i="23"/>
  <c r="AT106" i="23"/>
  <c r="AN106" i="23"/>
  <c r="AH106" i="23"/>
  <c r="AB106" i="23"/>
  <c r="R106" i="23"/>
  <c r="L106" i="23"/>
  <c r="CC105" i="23"/>
  <c r="CB105" i="23"/>
  <c r="CA105" i="23"/>
  <c r="BZ105" i="23"/>
  <c r="BL105" i="23"/>
  <c r="BF105" i="23"/>
  <c r="AZ105" i="23"/>
  <c r="AT105" i="23"/>
  <c r="AN105" i="23"/>
  <c r="AH105" i="23"/>
  <c r="AB105" i="23"/>
  <c r="R105" i="23"/>
  <c r="L105" i="23"/>
  <c r="CC104" i="23"/>
  <c r="CB104" i="23"/>
  <c r="CA104" i="23"/>
  <c r="BZ104" i="23"/>
  <c r="BL104" i="23"/>
  <c r="BF104" i="23"/>
  <c r="AZ104" i="23"/>
  <c r="AT104" i="23"/>
  <c r="AN104" i="23"/>
  <c r="AH104" i="23"/>
  <c r="AB104" i="23"/>
  <c r="R104" i="23"/>
  <c r="L104" i="23"/>
  <c r="H104" i="23"/>
  <c r="CC103" i="23"/>
  <c r="CB103" i="23"/>
  <c r="CA103" i="23"/>
  <c r="BZ103" i="23"/>
  <c r="BL103" i="23"/>
  <c r="BF103" i="23"/>
  <c r="AZ103" i="23"/>
  <c r="AT103" i="23"/>
  <c r="AN103" i="23"/>
  <c r="AH103" i="23"/>
  <c r="AB103" i="23"/>
  <c r="R103" i="23"/>
  <c r="L103" i="23"/>
  <c r="CC102" i="23"/>
  <c r="CB102" i="23"/>
  <c r="CA102" i="23"/>
  <c r="BZ102" i="23"/>
  <c r="BL102" i="23"/>
  <c r="BF102" i="23"/>
  <c r="AZ102" i="23"/>
  <c r="AT102" i="23"/>
  <c r="AN102" i="23"/>
  <c r="AH102" i="23"/>
  <c r="AB102" i="23"/>
  <c r="R102" i="23"/>
  <c r="L102" i="23"/>
  <c r="CC101" i="23"/>
  <c r="CB101" i="23"/>
  <c r="CA101" i="23"/>
  <c r="BZ101" i="23"/>
  <c r="BL101" i="23"/>
  <c r="BF101" i="23"/>
  <c r="AZ101" i="23"/>
  <c r="AT101" i="23"/>
  <c r="AN101" i="23"/>
  <c r="AH101" i="23"/>
  <c r="AB101" i="23"/>
  <c r="R101" i="23"/>
  <c r="L101" i="23"/>
  <c r="CC100" i="23"/>
  <c r="CB100" i="23"/>
  <c r="CA100" i="23"/>
  <c r="BZ100" i="23"/>
  <c r="BL100" i="23"/>
  <c r="BF100" i="23"/>
  <c r="AZ100" i="23"/>
  <c r="AT100" i="23"/>
  <c r="AN100" i="23"/>
  <c r="AH100" i="23"/>
  <c r="AB100" i="23"/>
  <c r="R100" i="23"/>
  <c r="L100" i="23"/>
  <c r="CC99" i="23"/>
  <c r="CB99" i="23"/>
  <c r="CA99" i="23"/>
  <c r="BZ99" i="23"/>
  <c r="BL99" i="23"/>
  <c r="BF99" i="23"/>
  <c r="AZ99" i="23"/>
  <c r="AT99" i="23"/>
  <c r="AN99" i="23"/>
  <c r="AH99" i="23"/>
  <c r="AB99" i="23"/>
  <c r="R99" i="23"/>
  <c r="L99" i="23"/>
  <c r="CC98" i="23"/>
  <c r="CB98" i="23"/>
  <c r="CA98" i="23"/>
  <c r="BZ98" i="23"/>
  <c r="BL98" i="23"/>
  <c r="BF98" i="23"/>
  <c r="AZ98" i="23"/>
  <c r="AT98" i="23"/>
  <c r="AN98" i="23"/>
  <c r="AH98" i="23"/>
  <c r="AB98" i="23"/>
  <c r="R98" i="23"/>
  <c r="L98" i="23"/>
  <c r="CC97" i="23"/>
  <c r="CB97" i="23"/>
  <c r="CA97" i="23"/>
  <c r="BZ97" i="23"/>
  <c r="BL97" i="23"/>
  <c r="BF97" i="23"/>
  <c r="AZ97" i="23"/>
  <c r="AT97" i="23"/>
  <c r="AN97" i="23"/>
  <c r="AH97" i="23"/>
  <c r="AB97" i="23"/>
  <c r="R97" i="23"/>
  <c r="L97" i="23"/>
  <c r="CC96" i="23"/>
  <c r="CB96" i="23"/>
  <c r="CA96" i="23"/>
  <c r="BZ96" i="23"/>
  <c r="BL96" i="23"/>
  <c r="BF96" i="23"/>
  <c r="AZ96" i="23"/>
  <c r="AT96" i="23"/>
  <c r="AN96" i="23"/>
  <c r="AH96" i="23"/>
  <c r="AB96" i="23"/>
  <c r="R96" i="23"/>
  <c r="L96" i="23"/>
  <c r="CC95" i="23"/>
  <c r="CB95" i="23"/>
  <c r="CA95" i="23"/>
  <c r="BZ95" i="23"/>
  <c r="BL95" i="23"/>
  <c r="BF95" i="23"/>
  <c r="AZ95" i="23"/>
  <c r="AT95" i="23"/>
  <c r="AN95" i="23"/>
  <c r="AH95" i="23"/>
  <c r="AB95" i="23"/>
  <c r="R95" i="23"/>
  <c r="L95" i="23"/>
  <c r="CC41" i="23"/>
  <c r="CB41" i="23"/>
  <c r="CA41" i="23"/>
  <c r="BZ41" i="23"/>
  <c r="BL41" i="23"/>
  <c r="BF41" i="23"/>
  <c r="AZ41" i="23"/>
  <c r="AT41" i="23"/>
  <c r="AN41" i="23"/>
  <c r="AH41" i="23"/>
  <c r="AB41" i="23"/>
  <c r="R41" i="23"/>
  <c r="L41" i="23"/>
  <c r="CC40" i="23"/>
  <c r="CB40" i="23"/>
  <c r="CA40" i="23"/>
  <c r="BZ40" i="23"/>
  <c r="BL40" i="23"/>
  <c r="BF40" i="23"/>
  <c r="AZ40" i="23"/>
  <c r="AT40" i="23"/>
  <c r="AN40" i="23"/>
  <c r="AH40" i="23"/>
  <c r="AB40" i="23"/>
  <c r="R40" i="23"/>
  <c r="L40" i="23"/>
  <c r="CC39" i="23"/>
  <c r="CB39" i="23"/>
  <c r="CA39" i="23"/>
  <c r="BZ39" i="23"/>
  <c r="BL39" i="23"/>
  <c r="BF39" i="23"/>
  <c r="AZ39" i="23"/>
  <c r="AT39" i="23"/>
  <c r="AN39" i="23"/>
  <c r="AH39" i="23"/>
  <c r="AB39" i="23"/>
  <c r="R39" i="23"/>
  <c r="L39" i="23"/>
  <c r="CC38" i="23"/>
  <c r="CB38" i="23"/>
  <c r="CA38" i="23"/>
  <c r="BZ38" i="23"/>
  <c r="BL38" i="23"/>
  <c r="BF38" i="23"/>
  <c r="AZ38" i="23"/>
  <c r="AT38" i="23"/>
  <c r="AN38" i="23"/>
  <c r="AH38" i="23"/>
  <c r="AB38" i="23"/>
  <c r="R38" i="23"/>
  <c r="L38" i="23"/>
  <c r="CC37" i="23"/>
  <c r="CB37" i="23"/>
  <c r="CA37" i="23"/>
  <c r="BZ37" i="23"/>
  <c r="BL37" i="23"/>
  <c r="BF37" i="23"/>
  <c r="AZ37" i="23"/>
  <c r="AT37" i="23"/>
  <c r="AN37" i="23"/>
  <c r="AH37" i="23"/>
  <c r="AB37" i="23"/>
  <c r="R37" i="23"/>
  <c r="L37" i="23"/>
  <c r="CC36" i="23"/>
  <c r="CB36" i="23"/>
  <c r="CA36" i="23"/>
  <c r="BZ36" i="23"/>
  <c r="BL36" i="23"/>
  <c r="BF36" i="23"/>
  <c r="AZ36" i="23"/>
  <c r="AT36" i="23"/>
  <c r="AN36" i="23"/>
  <c r="AH36" i="23"/>
  <c r="AB36" i="23"/>
  <c r="R36" i="23"/>
  <c r="L36" i="23"/>
  <c r="CC35" i="23"/>
  <c r="CB35" i="23"/>
  <c r="CA35" i="23"/>
  <c r="BZ35" i="23"/>
  <c r="BL35" i="23"/>
  <c r="BF35" i="23"/>
  <c r="AZ35" i="23"/>
  <c r="AT35" i="23"/>
  <c r="AN35" i="23"/>
  <c r="AH35" i="23"/>
  <c r="AB35" i="23"/>
  <c r="R35" i="23"/>
  <c r="L35" i="23"/>
  <c r="H35" i="23"/>
  <c r="CC34" i="23"/>
  <c r="CB34" i="23"/>
  <c r="CA34" i="23"/>
  <c r="BZ34" i="23"/>
  <c r="BL34" i="23"/>
  <c r="BF34" i="23"/>
  <c r="AZ34" i="23"/>
  <c r="AT34" i="23"/>
  <c r="AN34" i="23"/>
  <c r="AH34" i="23"/>
  <c r="AB34" i="23"/>
  <c r="R34" i="23"/>
  <c r="L34" i="23"/>
  <c r="CC33" i="23"/>
  <c r="CB33" i="23"/>
  <c r="CA33" i="23"/>
  <c r="BZ33" i="23"/>
  <c r="BL33" i="23"/>
  <c r="BF33" i="23"/>
  <c r="AZ33" i="23"/>
  <c r="AT33" i="23"/>
  <c r="AN33" i="23"/>
  <c r="AH33" i="23"/>
  <c r="AB33" i="23"/>
  <c r="R33" i="23"/>
  <c r="L33" i="23"/>
  <c r="CC32" i="23"/>
  <c r="CB32" i="23"/>
  <c r="CA32" i="23"/>
  <c r="BZ32" i="23"/>
  <c r="BL32" i="23"/>
  <c r="BF32" i="23"/>
  <c r="AZ32" i="23"/>
  <c r="AT32" i="23"/>
  <c r="AN32" i="23"/>
  <c r="AH32" i="23"/>
  <c r="AB32" i="23"/>
  <c r="R32" i="23"/>
  <c r="L32" i="23"/>
  <c r="CC31" i="23"/>
  <c r="CB31" i="23"/>
  <c r="CA31" i="23"/>
  <c r="BZ31" i="23"/>
  <c r="BL31" i="23"/>
  <c r="BF31" i="23"/>
  <c r="AZ31" i="23"/>
  <c r="AT31" i="23"/>
  <c r="AN31" i="23"/>
  <c r="AH31" i="23"/>
  <c r="AB31" i="23"/>
  <c r="R31" i="23"/>
  <c r="L31" i="23"/>
  <c r="CC30" i="23"/>
  <c r="CB30" i="23"/>
  <c r="CA30" i="23"/>
  <c r="BZ30" i="23"/>
  <c r="BL30" i="23"/>
  <c r="BF30" i="23"/>
  <c r="AZ30" i="23"/>
  <c r="AT30" i="23"/>
  <c r="AN30" i="23"/>
  <c r="AH30" i="23"/>
  <c r="AB30" i="23"/>
  <c r="R30" i="23"/>
  <c r="L30" i="23"/>
  <c r="CC29" i="23"/>
  <c r="CB29" i="23"/>
  <c r="CA29" i="23"/>
  <c r="BZ29" i="23"/>
  <c r="BL29" i="23"/>
  <c r="BF29" i="23"/>
  <c r="AZ29" i="23"/>
  <c r="AT29" i="23"/>
  <c r="AN29" i="23"/>
  <c r="AH29" i="23"/>
  <c r="AB29" i="23"/>
  <c r="R29" i="23"/>
  <c r="L29" i="23"/>
  <c r="H29" i="23"/>
  <c r="CC28" i="23"/>
  <c r="CB28" i="23"/>
  <c r="CA28" i="23"/>
  <c r="BZ28" i="23"/>
  <c r="BL28" i="23"/>
  <c r="BF28" i="23"/>
  <c r="AZ28" i="23"/>
  <c r="AT28" i="23"/>
  <c r="AN28" i="23"/>
  <c r="AH28" i="23"/>
  <c r="AB28" i="23"/>
  <c r="R28" i="23"/>
  <c r="L28" i="23"/>
  <c r="CC27" i="23"/>
  <c r="CB27" i="23"/>
  <c r="CA27" i="23"/>
  <c r="BZ27" i="23"/>
  <c r="BL27" i="23"/>
  <c r="BF27" i="23"/>
  <c r="AZ27" i="23"/>
  <c r="AT27" i="23"/>
  <c r="AN27" i="23"/>
  <c r="AH27" i="23"/>
  <c r="AB27" i="23"/>
  <c r="R27" i="23"/>
  <c r="L27" i="23"/>
  <c r="CC26" i="23"/>
  <c r="CB26" i="23"/>
  <c r="CA26" i="23"/>
  <c r="BZ26" i="23"/>
  <c r="BL26" i="23"/>
  <c r="BF26" i="23"/>
  <c r="AZ26" i="23"/>
  <c r="AT26" i="23"/>
  <c r="AN26" i="23"/>
  <c r="AH26" i="23"/>
  <c r="AB26" i="23"/>
  <c r="R26" i="23"/>
  <c r="L26" i="23"/>
  <c r="CC11" i="23"/>
  <c r="CB11" i="23"/>
  <c r="CA11" i="23"/>
  <c r="BZ11" i="23"/>
  <c r="BL11" i="23"/>
  <c r="BF11" i="23"/>
  <c r="AZ11" i="23"/>
  <c r="AT11" i="23"/>
  <c r="AN11" i="23"/>
  <c r="AH11" i="23"/>
  <c r="AB11" i="23"/>
  <c r="R11" i="23"/>
  <c r="L11" i="23"/>
  <c r="H11" i="23"/>
  <c r="CC10" i="23"/>
  <c r="CB10" i="23"/>
  <c r="CA10" i="23"/>
  <c r="BZ10" i="23"/>
  <c r="BL10" i="23"/>
  <c r="BF10" i="23"/>
  <c r="AZ10" i="23"/>
  <c r="AT10" i="23"/>
  <c r="AN10" i="23"/>
  <c r="AH10" i="23"/>
  <c r="AB10" i="23"/>
  <c r="R10" i="23"/>
  <c r="L10" i="23"/>
  <c r="CC9" i="23"/>
  <c r="CB9" i="23"/>
  <c r="CA9" i="23"/>
  <c r="BZ9" i="23"/>
  <c r="BL9" i="23"/>
  <c r="BF9" i="23"/>
  <c r="AZ9" i="23"/>
  <c r="AT9" i="23"/>
  <c r="AN9" i="23"/>
  <c r="AH9" i="23"/>
  <c r="AB9" i="23"/>
  <c r="R9" i="23"/>
  <c r="L9" i="23"/>
  <c r="CC8" i="23"/>
  <c r="CB8" i="23"/>
  <c r="CA8" i="23"/>
  <c r="BZ8" i="23"/>
  <c r="BL8" i="23"/>
  <c r="BF8" i="23"/>
  <c r="AZ8" i="23"/>
  <c r="AT8" i="23"/>
  <c r="AN8" i="23"/>
  <c r="AH8" i="23"/>
  <c r="AB8" i="23"/>
  <c r="R8" i="23"/>
  <c r="L8" i="23"/>
  <c r="CD1241" i="23" l="1"/>
  <c r="CD1239" i="23"/>
  <c r="BM1231" i="23"/>
  <c r="CD1342" i="23"/>
  <c r="CE1342" i="23" s="1"/>
  <c r="BM249" i="23"/>
  <c r="CD1344" i="23"/>
  <c r="CE1344" i="23" s="1"/>
  <c r="BM1228" i="23"/>
  <c r="CD1210" i="23"/>
  <c r="CD1214" i="23"/>
  <c r="CE1214" i="23" s="1"/>
  <c r="CD1218" i="23"/>
  <c r="CD1222" i="23"/>
  <c r="CE1222" i="23" s="1"/>
  <c r="CD1226" i="23"/>
  <c r="CE1226" i="23" s="1"/>
  <c r="CD1229" i="23"/>
  <c r="CD1232" i="23"/>
  <c r="CD1240" i="23"/>
  <c r="CE1240" i="23" s="1"/>
  <c r="CD1343" i="23"/>
  <c r="CE1343" i="23" s="1"/>
  <c r="CD383" i="23"/>
  <c r="CE383" i="23" s="1"/>
  <c r="CD1213" i="23"/>
  <c r="CD1221" i="23"/>
  <c r="CD1235" i="23"/>
  <c r="CE1235" i="23" s="1"/>
  <c r="CD1243" i="23"/>
  <c r="CE1243" i="23" s="1"/>
  <c r="CD255" i="23"/>
  <c r="CD386" i="23"/>
  <c r="CE386" i="23" s="1"/>
  <c r="CD537" i="23"/>
  <c r="CE537" i="23" s="1"/>
  <c r="CD1215" i="23"/>
  <c r="CE1215" i="23" s="1"/>
  <c r="CD1223" i="23"/>
  <c r="CE1223" i="23" s="1"/>
  <c r="CD1237" i="23"/>
  <c r="CE1237" i="23" s="1"/>
  <c r="CD1340" i="23"/>
  <c r="CE1340" i="23" s="1"/>
  <c r="BM97" i="23"/>
  <c r="CE1212" i="23"/>
  <c r="CD1220" i="23"/>
  <c r="CE1220" i="23" s="1"/>
  <c r="CD1234" i="23"/>
  <c r="CE1234" i="23" s="1"/>
  <c r="CD1242" i="23"/>
  <c r="CE1242" i="23" s="1"/>
  <c r="CD382" i="23"/>
  <c r="CD536" i="23"/>
  <c r="CE536" i="23" s="1"/>
  <c r="CD1209" i="23"/>
  <c r="CE1209" i="23" s="1"/>
  <c r="CE1217" i="23"/>
  <c r="CD1225" i="23"/>
  <c r="CE1225" i="23" s="1"/>
  <c r="CD1228" i="23"/>
  <c r="CE1228" i="23" s="1"/>
  <c r="CD1231" i="23"/>
  <c r="CE1231" i="23" s="1"/>
  <c r="CD1236" i="23"/>
  <c r="CD1339" i="23"/>
  <c r="CD384" i="23"/>
  <c r="CD1211" i="23"/>
  <c r="CE1211" i="23" s="1"/>
  <c r="CD1219" i="23"/>
  <c r="CE1219" i="23" s="1"/>
  <c r="CD1227" i="23"/>
  <c r="CE1227" i="23" s="1"/>
  <c r="CD1230" i="23"/>
  <c r="CE1230" i="23" s="1"/>
  <c r="CD1233" i="23"/>
  <c r="CD535" i="23"/>
  <c r="CD1208" i="23"/>
  <c r="CD1216" i="23"/>
  <c r="CD1224" i="23"/>
  <c r="CD1238" i="23"/>
  <c r="CE1238" i="23" s="1"/>
  <c r="CD1341" i="23"/>
  <c r="BM35" i="23"/>
  <c r="BM100" i="23"/>
  <c r="BM11" i="23"/>
  <c r="CD26" i="23"/>
  <c r="CD28" i="23"/>
  <c r="CE28" i="23" s="1"/>
  <c r="CD30" i="23"/>
  <c r="CD32" i="23"/>
  <c r="CD34" i="23"/>
  <c r="CE34" i="23" s="1"/>
  <c r="CD35" i="23"/>
  <c r="CE35" i="23" s="1"/>
  <c r="CD37" i="23"/>
  <c r="CE37" i="23" s="1"/>
  <c r="CD39" i="23"/>
  <c r="CE39" i="23" s="1"/>
  <c r="CD41" i="23"/>
  <c r="CE41" i="23" s="1"/>
  <c r="CD95" i="23"/>
  <c r="CD96" i="23"/>
  <c r="CE96" i="23" s="1"/>
  <c r="CD97" i="23"/>
  <c r="CE97" i="23" s="1"/>
  <c r="CD98" i="23"/>
  <c r="CD99" i="23"/>
  <c r="CE99" i="23" s="1"/>
  <c r="CD100" i="23"/>
  <c r="CE100" i="23" s="1"/>
  <c r="CD103" i="23"/>
  <c r="CE103" i="23" s="1"/>
  <c r="BM104" i="23"/>
  <c r="CD104" i="23"/>
  <c r="CE104" i="23" s="1"/>
  <c r="CD106" i="23"/>
  <c r="CE106" i="23" s="1"/>
  <c r="CD108" i="23"/>
  <c r="CD110" i="23"/>
  <c r="CE110" i="23" s="1"/>
  <c r="BM111" i="23"/>
  <c r="CD111" i="23"/>
  <c r="CE111" i="23" s="1"/>
  <c r="CD114" i="23"/>
  <c r="CE114" i="23" s="1"/>
  <c r="CD131" i="23"/>
  <c r="CE131" i="23" s="1"/>
  <c r="CD132" i="23"/>
  <c r="CD135" i="23"/>
  <c r="CD136" i="23"/>
  <c r="CE136" i="23" s="1"/>
  <c r="BM138" i="23"/>
  <c r="CD138" i="23"/>
  <c r="CE138" i="23" s="1"/>
  <c r="CD140" i="23"/>
  <c r="CE140" i="23" s="1"/>
  <c r="CD253" i="23"/>
  <c r="CE253" i="23" s="1"/>
  <c r="BM254" i="23"/>
  <c r="CD254" i="23"/>
  <c r="CE254" i="23" s="1"/>
  <c r="CD101" i="23"/>
  <c r="CD102" i="23"/>
  <c r="CE102" i="23" s="1"/>
  <c r="CD105" i="23"/>
  <c r="CD107" i="23"/>
  <c r="CE107" i="23" s="1"/>
  <c r="CD109" i="23"/>
  <c r="CE109" i="23" s="1"/>
  <c r="CD112" i="23"/>
  <c r="CD113" i="23"/>
  <c r="CE113" i="23" s="1"/>
  <c r="CD129" i="23"/>
  <c r="CD130" i="23"/>
  <c r="CE130" i="23" s="1"/>
  <c r="CD133" i="23"/>
  <c r="CE133" i="23" s="1"/>
  <c r="CD134" i="23"/>
  <c r="CE134" i="23" s="1"/>
  <c r="CD137" i="23"/>
  <c r="CE137" i="23" s="1"/>
  <c r="CD139" i="23"/>
  <c r="CD246" i="23"/>
  <c r="CD247" i="23"/>
  <c r="CE247" i="23" s="1"/>
  <c r="CD248" i="23"/>
  <c r="CE248" i="23" s="1"/>
  <c r="CD249" i="23"/>
  <c r="CE249" i="23" s="1"/>
  <c r="CD250" i="23"/>
  <c r="CD251" i="23"/>
  <c r="CE251" i="23" s="1"/>
  <c r="CD252" i="23"/>
  <c r="CE252" i="23" s="1"/>
  <c r="CD9" i="23"/>
  <c r="CE9" i="23" s="1"/>
  <c r="CD8" i="23"/>
  <c r="CD10" i="23"/>
  <c r="CE10" i="23" s="1"/>
  <c r="CD11" i="23"/>
  <c r="CE11" i="23" s="1"/>
  <c r="CD27" i="23"/>
  <c r="CE27" i="23" s="1"/>
  <c r="BM29" i="23"/>
  <c r="CD29" i="23"/>
  <c r="CE29" i="23" s="1"/>
  <c r="CE31" i="23"/>
  <c r="CD33" i="23"/>
  <c r="CE33" i="23" s="1"/>
  <c r="CD36" i="23"/>
  <c r="CD38" i="23"/>
  <c r="CE38" i="23" s="1"/>
  <c r="CD40" i="23"/>
  <c r="CE40" i="23" l="1"/>
  <c r="CE129" i="23"/>
  <c r="CE139" i="23"/>
  <c r="CE105" i="23"/>
  <c r="CE135" i="23"/>
  <c r="CE98" i="23"/>
  <c r="CE30" i="23"/>
  <c r="CE26" i="23"/>
  <c r="CE382" i="23"/>
  <c r="CE255" i="23"/>
  <c r="CE36" i="23"/>
  <c r="CE8" i="23"/>
  <c r="CE250" i="23"/>
  <c r="CE246" i="23"/>
  <c r="CE112" i="23"/>
  <c r="CE132" i="23"/>
  <c r="CE108" i="23"/>
  <c r="CE95" i="23"/>
  <c r="CE32" i="23"/>
  <c r="CE535" i="23"/>
  <c r="CE384" i="23"/>
  <c r="CE101" i="23"/>
  <c r="CE1341" i="23"/>
  <c r="CE1224" i="23"/>
  <c r="CE1216" i="23"/>
  <c r="CE1208" i="23"/>
  <c r="CE1233" i="23"/>
  <c r="CE1339" i="23"/>
  <c r="CE1236" i="23"/>
  <c r="CE1221" i="23"/>
  <c r="CE1213" i="23"/>
  <c r="CE1232" i="23"/>
  <c r="CE1229" i="23"/>
  <c r="CE1218" i="23"/>
  <c r="CE1210" i="23"/>
  <c r="CE1239" i="23"/>
  <c r="CE1241" i="23"/>
  <c r="B1751" i="23"/>
  <c r="B1750" i="23"/>
  <c r="B1749" i="23"/>
  <c r="B1748" i="23"/>
  <c r="B1747" i="23"/>
  <c r="B1746" i="23"/>
  <c r="B1745" i="23"/>
  <c r="B1744" i="23"/>
  <c r="B1743" i="23"/>
  <c r="B1742" i="23"/>
  <c r="B1741" i="23"/>
  <c r="B1740" i="23"/>
  <c r="B1739" i="23"/>
  <c r="B1738" i="23"/>
  <c r="B1737" i="23"/>
  <c r="B1736" i="23"/>
  <c r="B1735" i="23"/>
  <c r="B1734" i="23"/>
  <c r="B1733" i="23"/>
  <c r="B1732" i="23"/>
  <c r="B1731" i="23"/>
  <c r="B1730" i="23"/>
  <c r="B1729" i="23"/>
  <c r="B1728" i="23"/>
  <c r="B1727" i="23"/>
  <c r="B1726" i="23"/>
  <c r="B1725" i="23"/>
  <c r="B1724" i="23"/>
  <c r="B1723" i="23"/>
  <c r="B1722" i="23"/>
  <c r="B1721" i="23"/>
  <c r="B1720" i="23"/>
  <c r="B1719" i="23"/>
  <c r="H1695" i="23"/>
  <c r="G1695" i="23"/>
  <c r="E1695" i="23"/>
  <c r="D1695" i="23"/>
  <c r="C1695" i="23"/>
  <c r="B1695" i="23"/>
  <c r="H1694" i="23"/>
  <c r="G1694" i="23"/>
  <c r="E1694" i="23"/>
  <c r="D1694" i="23"/>
  <c r="C1694" i="23"/>
  <c r="B1694" i="23"/>
  <c r="H1693" i="23"/>
  <c r="G1693" i="23"/>
  <c r="E1693" i="23"/>
  <c r="D1693" i="23"/>
  <c r="C1693" i="23"/>
  <c r="B1693" i="23"/>
  <c r="H1692" i="23"/>
  <c r="G1692" i="23"/>
  <c r="E1692" i="23"/>
  <c r="D1692" i="23"/>
  <c r="C1692" i="23"/>
  <c r="B1692" i="23"/>
  <c r="H1691" i="23"/>
  <c r="G1691" i="23"/>
  <c r="E1691" i="23"/>
  <c r="D1691" i="23"/>
  <c r="C1691" i="23"/>
  <c r="B1691" i="23"/>
  <c r="H1690" i="23"/>
  <c r="G1690" i="23"/>
  <c r="E1690" i="23"/>
  <c r="D1690" i="23"/>
  <c r="C1690" i="23"/>
  <c r="B1690" i="23"/>
  <c r="H1689" i="23"/>
  <c r="G1689" i="23"/>
  <c r="E1689" i="23"/>
  <c r="D1689" i="23"/>
  <c r="C1689" i="23"/>
  <c r="B1689" i="23"/>
  <c r="H1688" i="23"/>
  <c r="G1688" i="23"/>
  <c r="E1688" i="23"/>
  <c r="D1688" i="23"/>
  <c r="C1688" i="23"/>
  <c r="B1688" i="23"/>
  <c r="CC1675" i="23"/>
  <c r="CB1675" i="23"/>
  <c r="CA1675" i="23"/>
  <c r="BZ1675" i="23"/>
  <c r="BL1675" i="23"/>
  <c r="BF1675" i="23"/>
  <c r="AZ1675" i="23"/>
  <c r="AT1675" i="23"/>
  <c r="AN1675" i="23"/>
  <c r="AH1675" i="23"/>
  <c r="AB1675" i="23"/>
  <c r="R1675" i="23"/>
  <c r="L1675" i="23"/>
  <c r="CC1674" i="23"/>
  <c r="CB1674" i="23"/>
  <c r="CA1674" i="23"/>
  <c r="BZ1674" i="23"/>
  <c r="BL1674" i="23"/>
  <c r="BF1674" i="23"/>
  <c r="AZ1674" i="23"/>
  <c r="AT1674" i="23"/>
  <c r="AN1674" i="23"/>
  <c r="AH1674" i="23"/>
  <c r="AB1674" i="23"/>
  <c r="R1674" i="23"/>
  <c r="L1674" i="23"/>
  <c r="CC1673" i="23"/>
  <c r="CB1673" i="23"/>
  <c r="CA1673" i="23"/>
  <c r="BZ1673" i="23"/>
  <c r="BL1673" i="23"/>
  <c r="BF1673" i="23"/>
  <c r="AZ1673" i="23"/>
  <c r="AT1673" i="23"/>
  <c r="AN1673" i="23"/>
  <c r="AH1673" i="23"/>
  <c r="AB1673" i="23"/>
  <c r="R1673" i="23"/>
  <c r="L1673" i="23"/>
  <c r="CC1672" i="23"/>
  <c r="CB1672" i="23"/>
  <c r="CA1672" i="23"/>
  <c r="BZ1672" i="23"/>
  <c r="BL1672" i="23"/>
  <c r="BF1672" i="23"/>
  <c r="AZ1672" i="23"/>
  <c r="AT1672" i="23"/>
  <c r="AN1672" i="23"/>
  <c r="AH1672" i="23"/>
  <c r="AB1672" i="23"/>
  <c r="R1672" i="23"/>
  <c r="L1672" i="23"/>
  <c r="CC1671" i="23"/>
  <c r="CB1671" i="23"/>
  <c r="CA1671" i="23"/>
  <c r="BZ1671" i="23"/>
  <c r="BL1671" i="23"/>
  <c r="BF1671" i="23"/>
  <c r="AZ1671" i="23"/>
  <c r="AT1671" i="23"/>
  <c r="AN1671" i="23"/>
  <c r="AH1671" i="23"/>
  <c r="AB1671" i="23"/>
  <c r="R1671" i="23"/>
  <c r="L1671" i="23"/>
  <c r="CC1670" i="23"/>
  <c r="CB1670" i="23"/>
  <c r="CA1670" i="23"/>
  <c r="BZ1670" i="23"/>
  <c r="BL1670" i="23"/>
  <c r="BF1670" i="23"/>
  <c r="AZ1670" i="23"/>
  <c r="AT1670" i="23"/>
  <c r="AN1670" i="23"/>
  <c r="AH1670" i="23"/>
  <c r="AB1670" i="23"/>
  <c r="R1670" i="23"/>
  <c r="L1670" i="23"/>
  <c r="CC1669" i="23"/>
  <c r="CB1669" i="23"/>
  <c r="CA1669" i="23"/>
  <c r="BZ1669" i="23"/>
  <c r="BL1669" i="23"/>
  <c r="BF1669" i="23"/>
  <c r="AZ1669" i="23"/>
  <c r="AT1669" i="23"/>
  <c r="AN1669" i="23"/>
  <c r="AH1669" i="23"/>
  <c r="AB1669" i="23"/>
  <c r="R1669" i="23"/>
  <c r="L1669" i="23"/>
  <c r="CC1668" i="23"/>
  <c r="CB1668" i="23"/>
  <c r="CA1668" i="23"/>
  <c r="BZ1668" i="23"/>
  <c r="BL1668" i="23"/>
  <c r="BF1668" i="23"/>
  <c r="AZ1668" i="23"/>
  <c r="AT1668" i="23"/>
  <c r="AN1668" i="23"/>
  <c r="AH1668" i="23"/>
  <c r="AB1668" i="23"/>
  <c r="R1668" i="23"/>
  <c r="L1668" i="23"/>
  <c r="CC1667" i="23"/>
  <c r="CB1667" i="23"/>
  <c r="CA1667" i="23"/>
  <c r="BZ1667" i="23"/>
  <c r="BL1667" i="23"/>
  <c r="BF1667" i="23"/>
  <c r="AZ1667" i="23"/>
  <c r="AT1667" i="23"/>
  <c r="AN1667" i="23"/>
  <c r="AH1667" i="23"/>
  <c r="AB1667" i="23"/>
  <c r="R1667" i="23"/>
  <c r="L1667" i="23"/>
  <c r="CC1666" i="23"/>
  <c r="CB1666" i="23"/>
  <c r="CA1666" i="23"/>
  <c r="BZ1666" i="23"/>
  <c r="BL1666" i="23"/>
  <c r="BF1666" i="23"/>
  <c r="AZ1666" i="23"/>
  <c r="AT1666" i="23"/>
  <c r="AN1666" i="23"/>
  <c r="AH1666" i="23"/>
  <c r="AB1666" i="23"/>
  <c r="R1666" i="23"/>
  <c r="L1666" i="23"/>
  <c r="CC1665" i="23"/>
  <c r="CB1665" i="23"/>
  <c r="CA1665" i="23"/>
  <c r="BZ1665" i="23"/>
  <c r="BL1665" i="23"/>
  <c r="BF1665" i="23"/>
  <c r="AZ1665" i="23"/>
  <c r="AT1665" i="23"/>
  <c r="AN1665" i="23"/>
  <c r="AH1665" i="23"/>
  <c r="AB1665" i="23"/>
  <c r="R1665" i="23"/>
  <c r="L1665" i="23"/>
  <c r="CC1664" i="23"/>
  <c r="CB1664" i="23"/>
  <c r="CA1664" i="23"/>
  <c r="BZ1664" i="23"/>
  <c r="BL1664" i="23"/>
  <c r="BF1664" i="23"/>
  <c r="AZ1664" i="23"/>
  <c r="AT1664" i="23"/>
  <c r="AN1664" i="23"/>
  <c r="AH1664" i="23"/>
  <c r="AB1664" i="23"/>
  <c r="R1664" i="23"/>
  <c r="L1664" i="23"/>
  <c r="CC1663" i="23"/>
  <c r="CB1663" i="23"/>
  <c r="CA1663" i="23"/>
  <c r="BZ1663" i="23"/>
  <c r="BL1663" i="23"/>
  <c r="BF1663" i="23"/>
  <c r="AZ1663" i="23"/>
  <c r="AT1663" i="23"/>
  <c r="AN1663" i="23"/>
  <c r="AH1663" i="23"/>
  <c r="AB1663" i="23"/>
  <c r="R1663" i="23"/>
  <c r="L1663" i="23"/>
  <c r="CC1662" i="23"/>
  <c r="CB1662" i="23"/>
  <c r="CA1662" i="23"/>
  <c r="BZ1662" i="23"/>
  <c r="BL1662" i="23"/>
  <c r="BF1662" i="23"/>
  <c r="AZ1662" i="23"/>
  <c r="AT1662" i="23"/>
  <c r="AN1662" i="23"/>
  <c r="AH1662" i="23"/>
  <c r="AB1662" i="23"/>
  <c r="R1662" i="23"/>
  <c r="L1662" i="23"/>
  <c r="CC1661" i="23"/>
  <c r="CB1661" i="23"/>
  <c r="CA1661" i="23"/>
  <c r="BZ1661" i="23"/>
  <c r="BL1661" i="23"/>
  <c r="BF1661" i="23"/>
  <c r="AZ1661" i="23"/>
  <c r="AT1661" i="23"/>
  <c r="AN1661" i="23"/>
  <c r="AH1661" i="23"/>
  <c r="AB1661" i="23"/>
  <c r="R1661" i="23"/>
  <c r="L1661" i="23"/>
  <c r="CC1660" i="23"/>
  <c r="CB1660" i="23"/>
  <c r="CA1660" i="23"/>
  <c r="BZ1660" i="23"/>
  <c r="BL1660" i="23"/>
  <c r="BF1660" i="23"/>
  <c r="AZ1660" i="23"/>
  <c r="AT1660" i="23"/>
  <c r="AN1660" i="23"/>
  <c r="AH1660" i="23"/>
  <c r="AB1660" i="23"/>
  <c r="R1660" i="23"/>
  <c r="L1660" i="23"/>
  <c r="CC1659" i="23"/>
  <c r="CB1659" i="23"/>
  <c r="CA1659" i="23"/>
  <c r="BZ1659" i="23"/>
  <c r="BL1659" i="23"/>
  <c r="BF1659" i="23"/>
  <c r="AZ1659" i="23"/>
  <c r="AT1659" i="23"/>
  <c r="AN1659" i="23"/>
  <c r="AH1659" i="23"/>
  <c r="AB1659" i="23"/>
  <c r="R1659" i="23"/>
  <c r="L1659" i="23"/>
  <c r="CC1658" i="23"/>
  <c r="CB1658" i="23"/>
  <c r="CA1658" i="23"/>
  <c r="BZ1658" i="23"/>
  <c r="BL1658" i="23"/>
  <c r="BF1658" i="23"/>
  <c r="AZ1658" i="23"/>
  <c r="AT1658" i="23"/>
  <c r="AN1658" i="23"/>
  <c r="AH1658" i="23"/>
  <c r="AB1658" i="23"/>
  <c r="R1658" i="23"/>
  <c r="L1658" i="23"/>
  <c r="CC1622" i="23"/>
  <c r="CB1622" i="23"/>
  <c r="CA1622" i="23"/>
  <c r="BZ1622" i="23"/>
  <c r="BL1622" i="23"/>
  <c r="BF1622" i="23"/>
  <c r="AZ1622" i="23"/>
  <c r="AT1622" i="23"/>
  <c r="AN1622" i="23"/>
  <c r="AH1622" i="23"/>
  <c r="AB1622" i="23"/>
  <c r="R1622" i="23"/>
  <c r="L1622" i="23"/>
  <c r="CC1621" i="23"/>
  <c r="CB1621" i="23"/>
  <c r="CA1621" i="23"/>
  <c r="BZ1621" i="23"/>
  <c r="BL1621" i="23"/>
  <c r="BF1621" i="23"/>
  <c r="AZ1621" i="23"/>
  <c r="AT1621" i="23"/>
  <c r="AN1621" i="23"/>
  <c r="AH1621" i="23"/>
  <c r="AB1621" i="23"/>
  <c r="R1621" i="23"/>
  <c r="L1621" i="23"/>
  <c r="CC1620" i="23"/>
  <c r="CB1620" i="23"/>
  <c r="CA1620" i="23"/>
  <c r="BZ1620" i="23"/>
  <c r="BL1620" i="23"/>
  <c r="BF1620" i="23"/>
  <c r="AZ1620" i="23"/>
  <c r="AT1620" i="23"/>
  <c r="AN1620" i="23"/>
  <c r="AH1620" i="23"/>
  <c r="AB1620" i="23"/>
  <c r="R1620" i="23"/>
  <c r="L1620" i="23"/>
  <c r="CC1619" i="23"/>
  <c r="CB1619" i="23"/>
  <c r="CA1619" i="23"/>
  <c r="BZ1619" i="23"/>
  <c r="BL1619" i="23"/>
  <c r="BF1619" i="23"/>
  <c r="AZ1619" i="23"/>
  <c r="AT1619" i="23"/>
  <c r="AN1619" i="23"/>
  <c r="AH1619" i="23"/>
  <c r="AB1619" i="23"/>
  <c r="R1619" i="23"/>
  <c r="L1619" i="23"/>
  <c r="CC1618" i="23"/>
  <c r="CB1618" i="23"/>
  <c r="CA1618" i="23"/>
  <c r="BZ1618" i="23"/>
  <c r="BL1618" i="23"/>
  <c r="BF1618" i="23"/>
  <c r="AZ1618" i="23"/>
  <c r="AT1618" i="23"/>
  <c r="AN1618" i="23"/>
  <c r="AH1618" i="23"/>
  <c r="AB1618" i="23"/>
  <c r="R1618" i="23"/>
  <c r="L1618" i="23"/>
  <c r="CC1617" i="23"/>
  <c r="CB1617" i="23"/>
  <c r="CA1617" i="23"/>
  <c r="BZ1617" i="23"/>
  <c r="BL1617" i="23"/>
  <c r="BF1617" i="23"/>
  <c r="AZ1617" i="23"/>
  <c r="AT1617" i="23"/>
  <c r="AN1617" i="23"/>
  <c r="AH1617" i="23"/>
  <c r="AB1617" i="23"/>
  <c r="R1617" i="23"/>
  <c r="L1617" i="23"/>
  <c r="CC1616" i="23"/>
  <c r="CB1616" i="23"/>
  <c r="CA1616" i="23"/>
  <c r="BZ1616" i="23"/>
  <c r="BL1616" i="23"/>
  <c r="BF1616" i="23"/>
  <c r="AZ1616" i="23"/>
  <c r="AT1616" i="23"/>
  <c r="AN1616" i="23"/>
  <c r="AH1616" i="23"/>
  <c r="AB1616" i="23"/>
  <c r="R1616" i="23"/>
  <c r="L1616" i="23"/>
  <c r="CC1615" i="23"/>
  <c r="CB1615" i="23"/>
  <c r="CA1615" i="23"/>
  <c r="BZ1615" i="23"/>
  <c r="BL1615" i="23"/>
  <c r="BF1615" i="23"/>
  <c r="AZ1615" i="23"/>
  <c r="AT1615" i="23"/>
  <c r="AN1615" i="23"/>
  <c r="AH1615" i="23"/>
  <c r="AB1615" i="23"/>
  <c r="R1615" i="23"/>
  <c r="L1615" i="23"/>
  <c r="CC1614" i="23"/>
  <c r="CB1614" i="23"/>
  <c r="CA1614" i="23"/>
  <c r="BZ1614" i="23"/>
  <c r="BL1614" i="23"/>
  <c r="BF1614" i="23"/>
  <c r="AZ1614" i="23"/>
  <c r="AT1614" i="23"/>
  <c r="AN1614" i="23"/>
  <c r="AH1614" i="23"/>
  <c r="AB1614" i="23"/>
  <c r="R1614" i="23"/>
  <c r="L1614" i="23"/>
  <c r="CC1522" i="23"/>
  <c r="CB1522" i="23"/>
  <c r="CA1522" i="23"/>
  <c r="BZ1522" i="23"/>
  <c r="BL1522" i="23"/>
  <c r="BF1522" i="23"/>
  <c r="AZ1522" i="23"/>
  <c r="AT1522" i="23"/>
  <c r="AN1522" i="23"/>
  <c r="AH1522" i="23"/>
  <c r="AB1522" i="23"/>
  <c r="R1522" i="23"/>
  <c r="L1522" i="23"/>
  <c r="CC1521" i="23"/>
  <c r="CB1521" i="23"/>
  <c r="CA1521" i="23"/>
  <c r="BZ1521" i="23"/>
  <c r="BL1521" i="23"/>
  <c r="BF1521" i="23"/>
  <c r="AZ1521" i="23"/>
  <c r="AT1521" i="23"/>
  <c r="AN1521" i="23"/>
  <c r="AH1521" i="23"/>
  <c r="AB1521" i="23"/>
  <c r="R1521" i="23"/>
  <c r="L1521" i="23"/>
  <c r="CC1520" i="23"/>
  <c r="CB1520" i="23"/>
  <c r="CA1520" i="23"/>
  <c r="BZ1520" i="23"/>
  <c r="BL1520" i="23"/>
  <c r="BF1520" i="23"/>
  <c r="AZ1520" i="23"/>
  <c r="AT1520" i="23"/>
  <c r="AN1520" i="23"/>
  <c r="AH1520" i="23"/>
  <c r="AB1520" i="23"/>
  <c r="R1520" i="23"/>
  <c r="L1520" i="23"/>
  <c r="CC1519" i="23"/>
  <c r="CB1519" i="23"/>
  <c r="CA1519" i="23"/>
  <c r="BZ1519" i="23"/>
  <c r="BL1519" i="23"/>
  <c r="BF1519" i="23"/>
  <c r="AZ1519" i="23"/>
  <c r="AT1519" i="23"/>
  <c r="AN1519" i="23"/>
  <c r="AH1519" i="23"/>
  <c r="AB1519" i="23"/>
  <c r="R1519" i="23"/>
  <c r="L1519" i="23"/>
  <c r="CC1518" i="23"/>
  <c r="CB1518" i="23"/>
  <c r="CA1518" i="23"/>
  <c r="BZ1518" i="23"/>
  <c r="BL1518" i="23"/>
  <c r="BF1518" i="23"/>
  <c r="AZ1518" i="23"/>
  <c r="AT1518" i="23"/>
  <c r="AN1518" i="23"/>
  <c r="AH1518" i="23"/>
  <c r="AB1518" i="23"/>
  <c r="R1518" i="23"/>
  <c r="L1518" i="23"/>
  <c r="CC1517" i="23"/>
  <c r="CB1517" i="23"/>
  <c r="CA1517" i="23"/>
  <c r="BZ1517" i="23"/>
  <c r="BL1517" i="23"/>
  <c r="BF1517" i="23"/>
  <c r="AZ1517" i="23"/>
  <c r="AT1517" i="23"/>
  <c r="AN1517" i="23"/>
  <c r="AH1517" i="23"/>
  <c r="AB1517" i="23"/>
  <c r="R1517" i="23"/>
  <c r="L1517" i="23"/>
  <c r="CC1516" i="23"/>
  <c r="CB1516" i="23"/>
  <c r="CA1516" i="23"/>
  <c r="BZ1516" i="23"/>
  <c r="BL1516" i="23"/>
  <c r="BF1516" i="23"/>
  <c r="AZ1516" i="23"/>
  <c r="AT1516" i="23"/>
  <c r="AN1516" i="23"/>
  <c r="AH1516" i="23"/>
  <c r="AB1516" i="23"/>
  <c r="R1516" i="23"/>
  <c r="L1516" i="23"/>
  <c r="CC1515" i="23"/>
  <c r="CB1515" i="23"/>
  <c r="CA1515" i="23"/>
  <c r="BZ1515" i="23"/>
  <c r="BL1515" i="23"/>
  <c r="BF1515" i="23"/>
  <c r="AZ1515" i="23"/>
  <c r="AT1515" i="23"/>
  <c r="AN1515" i="23"/>
  <c r="AH1515" i="23"/>
  <c r="AB1515" i="23"/>
  <c r="R1515" i="23"/>
  <c r="L1515" i="23"/>
  <c r="CC1514" i="23"/>
  <c r="CB1514" i="23"/>
  <c r="CA1514" i="23"/>
  <c r="BZ1514" i="23"/>
  <c r="BL1514" i="23"/>
  <c r="BF1514" i="23"/>
  <c r="AZ1514" i="23"/>
  <c r="AT1514" i="23"/>
  <c r="AN1514" i="23"/>
  <c r="AH1514" i="23"/>
  <c r="AB1514" i="23"/>
  <c r="R1514" i="23"/>
  <c r="L1514" i="23"/>
  <c r="CC1409" i="23"/>
  <c r="CB1409" i="23"/>
  <c r="CA1409" i="23"/>
  <c r="BZ1409" i="23"/>
  <c r="BL1409" i="23"/>
  <c r="BF1409" i="23"/>
  <c r="AZ1409" i="23"/>
  <c r="AT1409" i="23"/>
  <c r="AN1409" i="23"/>
  <c r="AH1409" i="23"/>
  <c r="AB1409" i="23"/>
  <c r="R1409" i="23"/>
  <c r="L1409" i="23"/>
  <c r="CC1408" i="23"/>
  <c r="CB1408" i="23"/>
  <c r="CA1408" i="23"/>
  <c r="BZ1408" i="23"/>
  <c r="BL1408" i="23"/>
  <c r="BF1408" i="23"/>
  <c r="AZ1408" i="23"/>
  <c r="AT1408" i="23"/>
  <c r="AN1408" i="23"/>
  <c r="AH1408" i="23"/>
  <c r="AB1408" i="23"/>
  <c r="R1408" i="23"/>
  <c r="L1408" i="23"/>
  <c r="CC1407" i="23"/>
  <c r="CB1407" i="23"/>
  <c r="CA1407" i="23"/>
  <c r="BZ1407" i="23"/>
  <c r="BL1407" i="23"/>
  <c r="BF1407" i="23"/>
  <c r="AZ1407" i="23"/>
  <c r="AT1407" i="23"/>
  <c r="AN1407" i="23"/>
  <c r="AH1407" i="23"/>
  <c r="AB1407" i="23"/>
  <c r="R1407" i="23"/>
  <c r="L1407" i="23"/>
  <c r="CC1406" i="23"/>
  <c r="CB1406" i="23"/>
  <c r="CA1406" i="23"/>
  <c r="BZ1406" i="23"/>
  <c r="BL1406" i="23"/>
  <c r="BF1406" i="23"/>
  <c r="AZ1406" i="23"/>
  <c r="AT1406" i="23"/>
  <c r="AN1406" i="23"/>
  <c r="AH1406" i="23"/>
  <c r="AB1406" i="23"/>
  <c r="R1406" i="23"/>
  <c r="L1406" i="23"/>
  <c r="CC1405" i="23"/>
  <c r="CB1405" i="23"/>
  <c r="CA1405" i="23"/>
  <c r="BZ1405" i="23"/>
  <c r="BL1405" i="23"/>
  <c r="BF1405" i="23"/>
  <c r="AZ1405" i="23"/>
  <c r="AT1405" i="23"/>
  <c r="AN1405" i="23"/>
  <c r="AH1405" i="23"/>
  <c r="AB1405" i="23"/>
  <c r="R1405" i="23"/>
  <c r="L1405" i="23"/>
  <c r="CC1404" i="23"/>
  <c r="CB1404" i="23"/>
  <c r="CA1404" i="23"/>
  <c r="BZ1404" i="23"/>
  <c r="BL1404" i="23"/>
  <c r="BF1404" i="23"/>
  <c r="AZ1404" i="23"/>
  <c r="AT1404" i="23"/>
  <c r="AN1404" i="23"/>
  <c r="AH1404" i="23"/>
  <c r="AB1404" i="23"/>
  <c r="R1404" i="23"/>
  <c r="L1404" i="23"/>
  <c r="CC1403" i="23"/>
  <c r="CB1403" i="23"/>
  <c r="CA1403" i="23"/>
  <c r="BZ1403" i="23"/>
  <c r="BL1403" i="23"/>
  <c r="BF1403" i="23"/>
  <c r="AZ1403" i="23"/>
  <c r="AT1403" i="23"/>
  <c r="AN1403" i="23"/>
  <c r="AH1403" i="23"/>
  <c r="AB1403" i="23"/>
  <c r="R1403" i="23"/>
  <c r="L1403" i="23"/>
  <c r="CC1402" i="23"/>
  <c r="CB1402" i="23"/>
  <c r="CA1402" i="23"/>
  <c r="BZ1402" i="23"/>
  <c r="BL1402" i="23"/>
  <c r="BF1402" i="23"/>
  <c r="AZ1402" i="23"/>
  <c r="AT1402" i="23"/>
  <c r="AN1402" i="23"/>
  <c r="AH1402" i="23"/>
  <c r="AB1402" i="23"/>
  <c r="R1402" i="23"/>
  <c r="L1402" i="23"/>
  <c r="CC1401" i="23"/>
  <c r="CB1401" i="23"/>
  <c r="CA1401" i="23"/>
  <c r="BZ1401" i="23"/>
  <c r="BL1401" i="23"/>
  <c r="BF1401" i="23"/>
  <c r="AZ1401" i="23"/>
  <c r="AT1401" i="23"/>
  <c r="AN1401" i="23"/>
  <c r="AH1401" i="23"/>
  <c r="AB1401" i="23"/>
  <c r="R1401" i="23"/>
  <c r="L1401" i="23"/>
  <c r="CC1400" i="23"/>
  <c r="CB1400" i="23"/>
  <c r="CA1400" i="23"/>
  <c r="BZ1400" i="23"/>
  <c r="BL1400" i="23"/>
  <c r="BF1400" i="23"/>
  <c r="AZ1400" i="23"/>
  <c r="AT1400" i="23"/>
  <c r="AN1400" i="23"/>
  <c r="AH1400" i="23"/>
  <c r="AB1400" i="23"/>
  <c r="R1400" i="23"/>
  <c r="L1400" i="23"/>
  <c r="CC1399" i="23"/>
  <c r="CB1399" i="23"/>
  <c r="CA1399" i="23"/>
  <c r="BZ1399" i="23"/>
  <c r="BL1399" i="23"/>
  <c r="BF1399" i="23"/>
  <c r="AZ1399" i="23"/>
  <c r="AT1399" i="23"/>
  <c r="AN1399" i="23"/>
  <c r="AH1399" i="23"/>
  <c r="AB1399" i="23"/>
  <c r="R1399" i="23"/>
  <c r="L1399" i="23"/>
  <c r="CC1398" i="23"/>
  <c r="CB1398" i="23"/>
  <c r="CA1398" i="23"/>
  <c r="BZ1398" i="23"/>
  <c r="BL1398" i="23"/>
  <c r="BF1398" i="23"/>
  <c r="AZ1398" i="23"/>
  <c r="AT1398" i="23"/>
  <c r="AN1398" i="23"/>
  <c r="AH1398" i="23"/>
  <c r="AB1398" i="23"/>
  <c r="R1398" i="23"/>
  <c r="L1398" i="23"/>
  <c r="CC1397" i="23"/>
  <c r="CB1397" i="23"/>
  <c r="CA1397" i="23"/>
  <c r="BZ1397" i="23"/>
  <c r="BL1397" i="23"/>
  <c r="BF1397" i="23"/>
  <c r="AZ1397" i="23"/>
  <c r="AT1397" i="23"/>
  <c r="AN1397" i="23"/>
  <c r="AH1397" i="23"/>
  <c r="AB1397" i="23"/>
  <c r="R1397" i="23"/>
  <c r="L1397" i="23"/>
  <c r="CC1396" i="23"/>
  <c r="CB1396" i="23"/>
  <c r="CA1396" i="23"/>
  <c r="BZ1396" i="23"/>
  <c r="BL1396" i="23"/>
  <c r="BF1396" i="23"/>
  <c r="AZ1396" i="23"/>
  <c r="AT1396" i="23"/>
  <c r="AN1396" i="23"/>
  <c r="AH1396" i="23"/>
  <c r="AB1396" i="23"/>
  <c r="R1396" i="23"/>
  <c r="L1396" i="23"/>
  <c r="CC1395" i="23"/>
  <c r="CB1395" i="23"/>
  <c r="CA1395" i="23"/>
  <c r="BZ1395" i="23"/>
  <c r="BL1395" i="23"/>
  <c r="BF1395" i="23"/>
  <c r="AZ1395" i="23"/>
  <c r="AT1395" i="23"/>
  <c r="AN1395" i="23"/>
  <c r="AH1395" i="23"/>
  <c r="AB1395" i="23"/>
  <c r="R1395" i="23"/>
  <c r="L1395" i="23"/>
  <c r="CC1376" i="23"/>
  <c r="CB1376" i="23"/>
  <c r="CA1376" i="23"/>
  <c r="BZ1376" i="23"/>
  <c r="BL1376" i="23"/>
  <c r="BF1376" i="23"/>
  <c r="AZ1376" i="23"/>
  <c r="AT1376" i="23"/>
  <c r="AN1376" i="23"/>
  <c r="AH1376" i="23"/>
  <c r="AB1376" i="23"/>
  <c r="R1376" i="23"/>
  <c r="L1376" i="23"/>
  <c r="CC1375" i="23"/>
  <c r="CB1375" i="23"/>
  <c r="CA1375" i="23"/>
  <c r="BZ1375" i="23"/>
  <c r="BL1375" i="23"/>
  <c r="BF1375" i="23"/>
  <c r="AZ1375" i="23"/>
  <c r="AT1375" i="23"/>
  <c r="AN1375" i="23"/>
  <c r="AH1375" i="23"/>
  <c r="AB1375" i="23"/>
  <c r="R1375" i="23"/>
  <c r="L1375" i="23"/>
  <c r="CC1374" i="23"/>
  <c r="CB1374" i="23"/>
  <c r="CA1374" i="23"/>
  <c r="BZ1374" i="23"/>
  <c r="BL1374" i="23"/>
  <c r="BF1374" i="23"/>
  <c r="AZ1374" i="23"/>
  <c r="AT1374" i="23"/>
  <c r="AN1374" i="23"/>
  <c r="AH1374" i="23"/>
  <c r="AB1374" i="23"/>
  <c r="R1374" i="23"/>
  <c r="L1374" i="23"/>
  <c r="CC1373" i="23"/>
  <c r="CB1373" i="23"/>
  <c r="CA1373" i="23"/>
  <c r="BZ1373" i="23"/>
  <c r="BL1373" i="23"/>
  <c r="BF1373" i="23"/>
  <c r="AZ1373" i="23"/>
  <c r="AT1373" i="23"/>
  <c r="AN1373" i="23"/>
  <c r="AH1373" i="23"/>
  <c r="AB1373" i="23"/>
  <c r="R1373" i="23"/>
  <c r="L1373" i="23"/>
  <c r="CC1372" i="23"/>
  <c r="CB1372" i="23"/>
  <c r="CA1372" i="23"/>
  <c r="BZ1372" i="23"/>
  <c r="BL1372" i="23"/>
  <c r="BF1372" i="23"/>
  <c r="AZ1372" i="23"/>
  <c r="AT1372" i="23"/>
  <c r="AN1372" i="23"/>
  <c r="AH1372" i="23"/>
  <c r="AB1372" i="23"/>
  <c r="R1372" i="23"/>
  <c r="L1372" i="23"/>
  <c r="CC1371" i="23"/>
  <c r="CB1371" i="23"/>
  <c r="CA1371" i="23"/>
  <c r="BZ1371" i="23"/>
  <c r="BL1371" i="23"/>
  <c r="BF1371" i="23"/>
  <c r="AZ1371" i="23"/>
  <c r="AT1371" i="23"/>
  <c r="AN1371" i="23"/>
  <c r="AH1371" i="23"/>
  <c r="AB1371" i="23"/>
  <c r="R1371" i="23"/>
  <c r="L1371" i="23"/>
  <c r="CC1370" i="23"/>
  <c r="CB1370" i="23"/>
  <c r="CA1370" i="23"/>
  <c r="BZ1370" i="23"/>
  <c r="BL1370" i="23"/>
  <c r="BF1370" i="23"/>
  <c r="AZ1370" i="23"/>
  <c r="AT1370" i="23"/>
  <c r="AN1370" i="23"/>
  <c r="AH1370" i="23"/>
  <c r="AB1370" i="23"/>
  <c r="R1370" i="23"/>
  <c r="L1370" i="23"/>
  <c r="CC1369" i="23"/>
  <c r="CB1369" i="23"/>
  <c r="CA1369" i="23"/>
  <c r="BZ1369" i="23"/>
  <c r="BL1369" i="23"/>
  <c r="BF1369" i="23"/>
  <c r="AZ1369" i="23"/>
  <c r="AT1369" i="23"/>
  <c r="AN1369" i="23"/>
  <c r="AH1369" i="23"/>
  <c r="AB1369" i="23"/>
  <c r="R1369" i="23"/>
  <c r="L1369" i="23"/>
  <c r="CC1368" i="23"/>
  <c r="CB1368" i="23"/>
  <c r="CA1368" i="23"/>
  <c r="BZ1368" i="23"/>
  <c r="BL1368" i="23"/>
  <c r="BF1368" i="23"/>
  <c r="AZ1368" i="23"/>
  <c r="AT1368" i="23"/>
  <c r="AN1368" i="23"/>
  <c r="AH1368" i="23"/>
  <c r="AB1368" i="23"/>
  <c r="R1368" i="23"/>
  <c r="L1368" i="23"/>
  <c r="CC1367" i="23"/>
  <c r="CB1367" i="23"/>
  <c r="CA1367" i="23"/>
  <c r="BZ1367" i="23"/>
  <c r="BL1367" i="23"/>
  <c r="BF1367" i="23"/>
  <c r="AZ1367" i="23"/>
  <c r="AT1367" i="23"/>
  <c r="AN1367" i="23"/>
  <c r="AH1367" i="23"/>
  <c r="AB1367" i="23"/>
  <c r="R1367" i="23"/>
  <c r="L1367" i="23"/>
  <c r="CC1338" i="23"/>
  <c r="CB1338" i="23"/>
  <c r="CA1338" i="23"/>
  <c r="BZ1338" i="23"/>
  <c r="BL1338" i="23"/>
  <c r="BF1338" i="23"/>
  <c r="AZ1338" i="23"/>
  <c r="AT1338" i="23"/>
  <c r="AN1338" i="23"/>
  <c r="AH1338" i="23"/>
  <c r="AB1338" i="23"/>
  <c r="R1338" i="23"/>
  <c r="L1338" i="23"/>
  <c r="CC1337" i="23"/>
  <c r="CB1337" i="23"/>
  <c r="CA1337" i="23"/>
  <c r="BZ1337" i="23"/>
  <c r="BL1337" i="23"/>
  <c r="BF1337" i="23"/>
  <c r="AZ1337" i="23"/>
  <c r="AT1337" i="23"/>
  <c r="AN1337" i="23"/>
  <c r="AH1337" i="23"/>
  <c r="AB1337" i="23"/>
  <c r="R1337" i="23"/>
  <c r="L1337" i="23"/>
  <c r="CC1336" i="23"/>
  <c r="CB1336" i="23"/>
  <c r="CA1336" i="23"/>
  <c r="BZ1336" i="23"/>
  <c r="BL1336" i="23"/>
  <c r="BF1336" i="23"/>
  <c r="AZ1336" i="23"/>
  <c r="AT1336" i="23"/>
  <c r="AN1336" i="23"/>
  <c r="AH1336" i="23"/>
  <c r="AB1336" i="23"/>
  <c r="R1336" i="23"/>
  <c r="L1336" i="23"/>
  <c r="CC1335" i="23"/>
  <c r="CB1335" i="23"/>
  <c r="CA1335" i="23"/>
  <c r="BZ1335" i="23"/>
  <c r="BL1335" i="23"/>
  <c r="BF1335" i="23"/>
  <c r="AZ1335" i="23"/>
  <c r="AT1335" i="23"/>
  <c r="AN1335" i="23"/>
  <c r="AH1335" i="23"/>
  <c r="AB1335" i="23"/>
  <c r="R1335" i="23"/>
  <c r="L1335" i="23"/>
  <c r="CC1334" i="23"/>
  <c r="CB1334" i="23"/>
  <c r="CA1334" i="23"/>
  <c r="BZ1334" i="23"/>
  <c r="BL1334" i="23"/>
  <c r="BF1334" i="23"/>
  <c r="AZ1334" i="23"/>
  <c r="AT1334" i="23"/>
  <c r="AN1334" i="23"/>
  <c r="AH1334" i="23"/>
  <c r="AB1334" i="23"/>
  <c r="R1334" i="23"/>
  <c r="L1334" i="23"/>
  <c r="CC1333" i="23"/>
  <c r="CB1333" i="23"/>
  <c r="CA1333" i="23"/>
  <c r="BZ1333" i="23"/>
  <c r="BL1333" i="23"/>
  <c r="BF1333" i="23"/>
  <c r="AZ1333" i="23"/>
  <c r="AT1333" i="23"/>
  <c r="AN1333" i="23"/>
  <c r="AH1333" i="23"/>
  <c r="AB1333" i="23"/>
  <c r="R1333" i="23"/>
  <c r="L1333" i="23"/>
  <c r="CC1332" i="23"/>
  <c r="CB1332" i="23"/>
  <c r="CA1332" i="23"/>
  <c r="BZ1332" i="23"/>
  <c r="BL1332" i="23"/>
  <c r="BF1332" i="23"/>
  <c r="AZ1332" i="23"/>
  <c r="AT1332" i="23"/>
  <c r="AN1332" i="23"/>
  <c r="AH1332" i="23"/>
  <c r="AB1332" i="23"/>
  <c r="R1332" i="23"/>
  <c r="L1332" i="23"/>
  <c r="CC1331" i="23"/>
  <c r="CB1331" i="23"/>
  <c r="CA1331" i="23"/>
  <c r="BZ1331" i="23"/>
  <c r="BL1331" i="23"/>
  <c r="BF1331" i="23"/>
  <c r="AZ1331" i="23"/>
  <c r="AT1331" i="23"/>
  <c r="AN1331" i="23"/>
  <c r="AH1331" i="23"/>
  <c r="AB1331" i="23"/>
  <c r="R1331" i="23"/>
  <c r="L1331" i="23"/>
  <c r="CC1207" i="23"/>
  <c r="CB1207" i="23"/>
  <c r="CA1207" i="23"/>
  <c r="BZ1207" i="23"/>
  <c r="BL1207" i="23"/>
  <c r="BF1207" i="23"/>
  <c r="AZ1207" i="23"/>
  <c r="AT1207" i="23"/>
  <c r="AN1207" i="23"/>
  <c r="AH1207" i="23"/>
  <c r="AB1207" i="23"/>
  <c r="R1207" i="23"/>
  <c r="L1207" i="23"/>
  <c r="CC1206" i="23"/>
  <c r="CB1206" i="23"/>
  <c r="CA1206" i="23"/>
  <c r="BZ1206" i="23"/>
  <c r="BL1206" i="23"/>
  <c r="BF1206" i="23"/>
  <c r="AZ1206" i="23"/>
  <c r="AT1206" i="23"/>
  <c r="AN1206" i="23"/>
  <c r="AH1206" i="23"/>
  <c r="AB1206" i="23"/>
  <c r="R1206" i="23"/>
  <c r="L1206" i="23"/>
  <c r="CC1205" i="23"/>
  <c r="CB1205" i="23"/>
  <c r="CA1205" i="23"/>
  <c r="BZ1205" i="23"/>
  <c r="BL1205" i="23"/>
  <c r="BF1205" i="23"/>
  <c r="AZ1205" i="23"/>
  <c r="AT1205" i="23"/>
  <c r="AN1205" i="23"/>
  <c r="AH1205" i="23"/>
  <c r="AB1205" i="23"/>
  <c r="R1205" i="23"/>
  <c r="L1205" i="23"/>
  <c r="CC1204" i="23"/>
  <c r="CB1204" i="23"/>
  <c r="CA1204" i="23"/>
  <c r="BZ1204" i="23"/>
  <c r="BL1204" i="23"/>
  <c r="BF1204" i="23"/>
  <c r="AZ1204" i="23"/>
  <c r="AT1204" i="23"/>
  <c r="AN1204" i="23"/>
  <c r="AH1204" i="23"/>
  <c r="AB1204" i="23"/>
  <c r="R1204" i="23"/>
  <c r="L1204" i="23"/>
  <c r="CC1203" i="23"/>
  <c r="CB1203" i="23"/>
  <c r="CA1203" i="23"/>
  <c r="BZ1203" i="23"/>
  <c r="BL1203" i="23"/>
  <c r="BF1203" i="23"/>
  <c r="AZ1203" i="23"/>
  <c r="AT1203" i="23"/>
  <c r="AN1203" i="23"/>
  <c r="AH1203" i="23"/>
  <c r="AB1203" i="23"/>
  <c r="R1203" i="23"/>
  <c r="L1203" i="23"/>
  <c r="CC1202" i="23"/>
  <c r="CB1202" i="23"/>
  <c r="CA1202" i="23"/>
  <c r="BZ1202" i="23"/>
  <c r="BL1202" i="23"/>
  <c r="BF1202" i="23"/>
  <c r="AZ1202" i="23"/>
  <c r="AT1202" i="23"/>
  <c r="AN1202" i="23"/>
  <c r="AH1202" i="23"/>
  <c r="AB1202" i="23"/>
  <c r="R1202" i="23"/>
  <c r="L1202" i="23"/>
  <c r="CC1201" i="23"/>
  <c r="CB1201" i="23"/>
  <c r="CA1201" i="23"/>
  <c r="BZ1201" i="23"/>
  <c r="BL1201" i="23"/>
  <c r="BF1201" i="23"/>
  <c r="AZ1201" i="23"/>
  <c r="AT1201" i="23"/>
  <c r="AN1201" i="23"/>
  <c r="AH1201" i="23"/>
  <c r="AB1201" i="23"/>
  <c r="R1201" i="23"/>
  <c r="L1201" i="23"/>
  <c r="CC1200" i="23"/>
  <c r="CB1200" i="23"/>
  <c r="CA1200" i="23"/>
  <c r="BZ1200" i="23"/>
  <c r="BL1200" i="23"/>
  <c r="BF1200" i="23"/>
  <c r="AZ1200" i="23"/>
  <c r="AT1200" i="23"/>
  <c r="AN1200" i="23"/>
  <c r="AH1200" i="23"/>
  <c r="AB1200" i="23"/>
  <c r="R1200" i="23"/>
  <c r="L1200" i="23"/>
  <c r="CC1199" i="23"/>
  <c r="CB1199" i="23"/>
  <c r="CA1199" i="23"/>
  <c r="BZ1199" i="23"/>
  <c r="BL1199" i="23"/>
  <c r="BF1199" i="23"/>
  <c r="AZ1199" i="23"/>
  <c r="AT1199" i="23"/>
  <c r="AN1199" i="23"/>
  <c r="AH1199" i="23"/>
  <c r="AB1199" i="23"/>
  <c r="R1199" i="23"/>
  <c r="L1199" i="23"/>
  <c r="CC1198" i="23"/>
  <c r="CB1198" i="23"/>
  <c r="CA1198" i="23"/>
  <c r="BZ1198" i="23"/>
  <c r="BL1198" i="23"/>
  <c r="BF1198" i="23"/>
  <c r="AZ1198" i="23"/>
  <c r="AT1198" i="23"/>
  <c r="AN1198" i="23"/>
  <c r="AH1198" i="23"/>
  <c r="AB1198" i="23"/>
  <c r="R1198" i="23"/>
  <c r="L1198" i="23"/>
  <c r="CC1197" i="23"/>
  <c r="CB1197" i="23"/>
  <c r="CA1197" i="23"/>
  <c r="BZ1197" i="23"/>
  <c r="BL1197" i="23"/>
  <c r="BF1197" i="23"/>
  <c r="AZ1197" i="23"/>
  <c r="AT1197" i="23"/>
  <c r="AN1197" i="23"/>
  <c r="AH1197" i="23"/>
  <c r="AB1197" i="23"/>
  <c r="R1197" i="23"/>
  <c r="L1197" i="23"/>
  <c r="CC1196" i="23"/>
  <c r="CB1196" i="23"/>
  <c r="CA1196" i="23"/>
  <c r="BZ1196" i="23"/>
  <c r="BL1196" i="23"/>
  <c r="BF1196" i="23"/>
  <c r="AZ1196" i="23"/>
  <c r="AT1196" i="23"/>
  <c r="AN1196" i="23"/>
  <c r="AH1196" i="23"/>
  <c r="AB1196" i="23"/>
  <c r="R1196" i="23"/>
  <c r="L1196" i="23"/>
  <c r="CC1195" i="23"/>
  <c r="CB1195" i="23"/>
  <c r="CA1195" i="23"/>
  <c r="BZ1195" i="23"/>
  <c r="BL1195" i="23"/>
  <c r="BF1195" i="23"/>
  <c r="AZ1195" i="23"/>
  <c r="AT1195" i="23"/>
  <c r="AN1195" i="23"/>
  <c r="AH1195" i="23"/>
  <c r="AB1195" i="23"/>
  <c r="R1195" i="23"/>
  <c r="L1195" i="23"/>
  <c r="CC1194" i="23"/>
  <c r="CB1194" i="23"/>
  <c r="CA1194" i="23"/>
  <c r="BZ1194" i="23"/>
  <c r="BL1194" i="23"/>
  <c r="BF1194" i="23"/>
  <c r="AZ1194" i="23"/>
  <c r="AT1194" i="23"/>
  <c r="AN1194" i="23"/>
  <c r="AH1194" i="23"/>
  <c r="AB1194" i="23"/>
  <c r="R1194" i="23"/>
  <c r="L1194" i="23"/>
  <c r="CC1193" i="23"/>
  <c r="CB1193" i="23"/>
  <c r="CA1193" i="23"/>
  <c r="BZ1193" i="23"/>
  <c r="BL1193" i="23"/>
  <c r="BF1193" i="23"/>
  <c r="AZ1193" i="23"/>
  <c r="AT1193" i="23"/>
  <c r="AN1193" i="23"/>
  <c r="AH1193" i="23"/>
  <c r="AB1193" i="23"/>
  <c r="R1193" i="23"/>
  <c r="L1193" i="23"/>
  <c r="CC1192" i="23"/>
  <c r="CB1192" i="23"/>
  <c r="CA1192" i="23"/>
  <c r="BZ1192" i="23"/>
  <c r="BL1192" i="23"/>
  <c r="BF1192" i="23"/>
  <c r="AZ1192" i="23"/>
  <c r="AT1192" i="23"/>
  <c r="AN1192" i="23"/>
  <c r="AH1192" i="23"/>
  <c r="AB1192" i="23"/>
  <c r="R1192" i="23"/>
  <c r="L1192" i="23"/>
  <c r="CC1191" i="23"/>
  <c r="CB1191" i="23"/>
  <c r="CA1191" i="23"/>
  <c r="BZ1191" i="23"/>
  <c r="BL1191" i="23"/>
  <c r="BF1191" i="23"/>
  <c r="AZ1191" i="23"/>
  <c r="AT1191" i="23"/>
  <c r="AN1191" i="23"/>
  <c r="AH1191" i="23"/>
  <c r="AB1191" i="23"/>
  <c r="R1191" i="23"/>
  <c r="L1191" i="23"/>
  <c r="CC1190" i="23"/>
  <c r="CB1190" i="23"/>
  <c r="CA1190" i="23"/>
  <c r="BZ1190" i="23"/>
  <c r="BL1190" i="23"/>
  <c r="BF1190" i="23"/>
  <c r="AZ1190" i="23"/>
  <c r="AT1190" i="23"/>
  <c r="AN1190" i="23"/>
  <c r="AH1190" i="23"/>
  <c r="AB1190" i="23"/>
  <c r="R1190" i="23"/>
  <c r="L1190" i="23"/>
  <c r="CC1189" i="23"/>
  <c r="CB1189" i="23"/>
  <c r="CA1189" i="23"/>
  <c r="BZ1189" i="23"/>
  <c r="BL1189" i="23"/>
  <c r="BF1189" i="23"/>
  <c r="AZ1189" i="23"/>
  <c r="AT1189" i="23"/>
  <c r="AN1189" i="23"/>
  <c r="AH1189" i="23"/>
  <c r="AB1189" i="23"/>
  <c r="R1189" i="23"/>
  <c r="L1189" i="23"/>
  <c r="CC1188" i="23"/>
  <c r="CB1188" i="23"/>
  <c r="CA1188" i="23"/>
  <c r="BZ1188" i="23"/>
  <c r="BL1188" i="23"/>
  <c r="BF1188" i="23"/>
  <c r="AZ1188" i="23"/>
  <c r="AT1188" i="23"/>
  <c r="AN1188" i="23"/>
  <c r="AH1188" i="23"/>
  <c r="AB1188" i="23"/>
  <c r="R1188" i="23"/>
  <c r="L1188" i="23"/>
  <c r="CC1166" i="23"/>
  <c r="CB1166" i="23"/>
  <c r="CA1166" i="23"/>
  <c r="BZ1166" i="23"/>
  <c r="BL1166" i="23"/>
  <c r="BF1166" i="23"/>
  <c r="AZ1166" i="23"/>
  <c r="AT1166" i="23"/>
  <c r="AN1166" i="23"/>
  <c r="AH1166" i="23"/>
  <c r="AB1166" i="23"/>
  <c r="R1166" i="23"/>
  <c r="L1166" i="23"/>
  <c r="CC1165" i="23"/>
  <c r="CB1165" i="23"/>
  <c r="CA1165" i="23"/>
  <c r="BZ1165" i="23"/>
  <c r="BL1165" i="23"/>
  <c r="BF1165" i="23"/>
  <c r="AZ1165" i="23"/>
  <c r="AT1165" i="23"/>
  <c r="AN1165" i="23"/>
  <c r="AH1165" i="23"/>
  <c r="AB1165" i="23"/>
  <c r="R1165" i="23"/>
  <c r="L1165" i="23"/>
  <c r="CC1164" i="23"/>
  <c r="CB1164" i="23"/>
  <c r="CA1164" i="23"/>
  <c r="BZ1164" i="23"/>
  <c r="BL1164" i="23"/>
  <c r="BF1164" i="23"/>
  <c r="AZ1164" i="23"/>
  <c r="AT1164" i="23"/>
  <c r="AN1164" i="23"/>
  <c r="AH1164" i="23"/>
  <c r="AB1164" i="23"/>
  <c r="R1164" i="23"/>
  <c r="L1164" i="23"/>
  <c r="CC1163" i="23"/>
  <c r="CB1163" i="23"/>
  <c r="CA1163" i="23"/>
  <c r="BZ1163" i="23"/>
  <c r="BL1163" i="23"/>
  <c r="BF1163" i="23"/>
  <c r="AZ1163" i="23"/>
  <c r="AT1163" i="23"/>
  <c r="AN1163" i="23"/>
  <c r="AH1163" i="23"/>
  <c r="AB1163" i="23"/>
  <c r="R1163" i="23"/>
  <c r="L1163" i="23"/>
  <c r="CC1162" i="23"/>
  <c r="CB1162" i="23"/>
  <c r="CA1162" i="23"/>
  <c r="BZ1162" i="23"/>
  <c r="BL1162" i="23"/>
  <c r="BF1162" i="23"/>
  <c r="AZ1162" i="23"/>
  <c r="AT1162" i="23"/>
  <c r="AN1162" i="23"/>
  <c r="AH1162" i="23"/>
  <c r="AB1162" i="23"/>
  <c r="R1162" i="23"/>
  <c r="L1162" i="23"/>
  <c r="CC1131" i="23"/>
  <c r="CB1131" i="23"/>
  <c r="CA1131" i="23"/>
  <c r="BZ1131" i="23"/>
  <c r="BL1131" i="23"/>
  <c r="BF1131" i="23"/>
  <c r="AZ1131" i="23"/>
  <c r="AT1131" i="23"/>
  <c r="AN1131" i="23"/>
  <c r="AH1131" i="23"/>
  <c r="AB1131" i="23"/>
  <c r="R1131" i="23"/>
  <c r="L1131" i="23"/>
  <c r="CC1130" i="23"/>
  <c r="CB1130" i="23"/>
  <c r="CA1130" i="23"/>
  <c r="BZ1130" i="23"/>
  <c r="BL1130" i="23"/>
  <c r="BF1130" i="23"/>
  <c r="AZ1130" i="23"/>
  <c r="AT1130" i="23"/>
  <c r="AN1130" i="23"/>
  <c r="AH1130" i="23"/>
  <c r="AB1130" i="23"/>
  <c r="R1130" i="23"/>
  <c r="L1130" i="23"/>
  <c r="CC1129" i="23"/>
  <c r="CB1129" i="23"/>
  <c r="CA1129" i="23"/>
  <c r="BZ1129" i="23"/>
  <c r="BL1129" i="23"/>
  <c r="BF1129" i="23"/>
  <c r="AZ1129" i="23"/>
  <c r="AT1129" i="23"/>
  <c r="AN1129" i="23"/>
  <c r="AH1129" i="23"/>
  <c r="AB1129" i="23"/>
  <c r="R1129" i="23"/>
  <c r="L1129" i="23"/>
  <c r="CC1128" i="23"/>
  <c r="CB1128" i="23"/>
  <c r="CA1128" i="23"/>
  <c r="BZ1128" i="23"/>
  <c r="BL1128" i="23"/>
  <c r="BF1128" i="23"/>
  <c r="AZ1128" i="23"/>
  <c r="AT1128" i="23"/>
  <c r="AN1128" i="23"/>
  <c r="AH1128" i="23"/>
  <c r="AB1128" i="23"/>
  <c r="R1128" i="23"/>
  <c r="L1128" i="23"/>
  <c r="CC1127" i="23"/>
  <c r="CB1127" i="23"/>
  <c r="CA1127" i="23"/>
  <c r="BZ1127" i="23"/>
  <c r="BL1127" i="23"/>
  <c r="BF1127" i="23"/>
  <c r="AZ1127" i="23"/>
  <c r="AT1127" i="23"/>
  <c r="AN1127" i="23"/>
  <c r="AH1127" i="23"/>
  <c r="AB1127" i="23"/>
  <c r="R1127" i="23"/>
  <c r="L1127" i="23"/>
  <c r="CC1126" i="23"/>
  <c r="CB1126" i="23"/>
  <c r="CA1126" i="23"/>
  <c r="BZ1126" i="23"/>
  <c r="BL1126" i="23"/>
  <c r="BF1126" i="23"/>
  <c r="AZ1126" i="23"/>
  <c r="AT1126" i="23"/>
  <c r="AN1126" i="23"/>
  <c r="AH1126" i="23"/>
  <c r="AB1126" i="23"/>
  <c r="R1126" i="23"/>
  <c r="L1126" i="23"/>
  <c r="CC1125" i="23"/>
  <c r="CB1125" i="23"/>
  <c r="CA1125" i="23"/>
  <c r="BZ1125" i="23"/>
  <c r="BL1125" i="23"/>
  <c r="BF1125" i="23"/>
  <c r="AZ1125" i="23"/>
  <c r="AT1125" i="23"/>
  <c r="AN1125" i="23"/>
  <c r="AH1125" i="23"/>
  <c r="AB1125" i="23"/>
  <c r="R1125" i="23"/>
  <c r="L1125" i="23"/>
  <c r="CC1124" i="23"/>
  <c r="CB1124" i="23"/>
  <c r="CA1124" i="23"/>
  <c r="BZ1124" i="23"/>
  <c r="BL1124" i="23"/>
  <c r="BF1124" i="23"/>
  <c r="AZ1124" i="23"/>
  <c r="AT1124" i="23"/>
  <c r="AN1124" i="23"/>
  <c r="AH1124" i="23"/>
  <c r="AB1124" i="23"/>
  <c r="R1124" i="23"/>
  <c r="L1124" i="23"/>
  <c r="CC1123" i="23"/>
  <c r="CB1123" i="23"/>
  <c r="CA1123" i="23"/>
  <c r="BZ1123" i="23"/>
  <c r="BL1123" i="23"/>
  <c r="BF1123" i="23"/>
  <c r="AZ1123" i="23"/>
  <c r="AT1123" i="23"/>
  <c r="AN1123" i="23"/>
  <c r="AH1123" i="23"/>
  <c r="AB1123" i="23"/>
  <c r="R1123" i="23"/>
  <c r="L1123" i="23"/>
  <c r="CC1122" i="23"/>
  <c r="CB1122" i="23"/>
  <c r="CA1122" i="23"/>
  <c r="BZ1122" i="23"/>
  <c r="BL1122" i="23"/>
  <c r="BF1122" i="23"/>
  <c r="AZ1122" i="23"/>
  <c r="AT1122" i="23"/>
  <c r="AN1122" i="23"/>
  <c r="AH1122" i="23"/>
  <c r="AB1122" i="23"/>
  <c r="R1122" i="23"/>
  <c r="L1122" i="23"/>
  <c r="CC1121" i="23"/>
  <c r="CB1121" i="23"/>
  <c r="CA1121" i="23"/>
  <c r="BZ1121" i="23"/>
  <c r="BL1121" i="23"/>
  <c r="BF1121" i="23"/>
  <c r="AZ1121" i="23"/>
  <c r="AT1121" i="23"/>
  <c r="AN1121" i="23"/>
  <c r="AH1121" i="23"/>
  <c r="AB1121" i="23"/>
  <c r="R1121" i="23"/>
  <c r="L1121" i="23"/>
  <c r="CC1120" i="23"/>
  <c r="CB1120" i="23"/>
  <c r="CA1120" i="23"/>
  <c r="BZ1120" i="23"/>
  <c r="BL1120" i="23"/>
  <c r="BF1120" i="23"/>
  <c r="AZ1120" i="23"/>
  <c r="AT1120" i="23"/>
  <c r="AN1120" i="23"/>
  <c r="AH1120" i="23"/>
  <c r="AB1120" i="23"/>
  <c r="R1120" i="23"/>
  <c r="L1120" i="23"/>
  <c r="CC1119" i="23"/>
  <c r="CB1119" i="23"/>
  <c r="CA1119" i="23"/>
  <c r="BZ1119" i="23"/>
  <c r="BL1119" i="23"/>
  <c r="BF1119" i="23"/>
  <c r="AZ1119" i="23"/>
  <c r="AT1119" i="23"/>
  <c r="AN1119" i="23"/>
  <c r="AH1119" i="23"/>
  <c r="AB1119" i="23"/>
  <c r="R1119" i="23"/>
  <c r="L1119" i="23"/>
  <c r="CC1118" i="23"/>
  <c r="CB1118" i="23"/>
  <c r="CA1118" i="23"/>
  <c r="BZ1118" i="23"/>
  <c r="BL1118" i="23"/>
  <c r="BF1118" i="23"/>
  <c r="AZ1118" i="23"/>
  <c r="AT1118" i="23"/>
  <c r="AN1118" i="23"/>
  <c r="AH1118" i="23"/>
  <c r="AB1118" i="23"/>
  <c r="R1118" i="23"/>
  <c r="L1118" i="23"/>
  <c r="CC1117" i="23"/>
  <c r="CB1117" i="23"/>
  <c r="CA1117" i="23"/>
  <c r="BZ1117" i="23"/>
  <c r="BL1117" i="23"/>
  <c r="BF1117" i="23"/>
  <c r="AZ1117" i="23"/>
  <c r="AT1117" i="23"/>
  <c r="AN1117" i="23"/>
  <c r="AH1117" i="23"/>
  <c r="AB1117" i="23"/>
  <c r="R1117" i="23"/>
  <c r="L1117" i="23"/>
  <c r="CC1116" i="23"/>
  <c r="CB1116" i="23"/>
  <c r="CA1116" i="23"/>
  <c r="BZ1116" i="23"/>
  <c r="BL1116" i="23"/>
  <c r="BF1116" i="23"/>
  <c r="AZ1116" i="23"/>
  <c r="AT1116" i="23"/>
  <c r="AN1116" i="23"/>
  <c r="AH1116" i="23"/>
  <c r="AB1116" i="23"/>
  <c r="R1116" i="23"/>
  <c r="L1116" i="23"/>
  <c r="CC1115" i="23"/>
  <c r="CB1115" i="23"/>
  <c r="CA1115" i="23"/>
  <c r="BZ1115" i="23"/>
  <c r="BL1115" i="23"/>
  <c r="BF1115" i="23"/>
  <c r="AZ1115" i="23"/>
  <c r="AT1115" i="23"/>
  <c r="AN1115" i="23"/>
  <c r="AH1115" i="23"/>
  <c r="AB1115" i="23"/>
  <c r="R1115" i="23"/>
  <c r="L1115" i="23"/>
  <c r="CC1114" i="23"/>
  <c r="CB1114" i="23"/>
  <c r="CA1114" i="23"/>
  <c r="BZ1114" i="23"/>
  <c r="BL1114" i="23"/>
  <c r="BF1114" i="23"/>
  <c r="AZ1114" i="23"/>
  <c r="AT1114" i="23"/>
  <c r="AN1114" i="23"/>
  <c r="AH1114" i="23"/>
  <c r="AB1114" i="23"/>
  <c r="R1114" i="23"/>
  <c r="L1114" i="23"/>
  <c r="CC1113" i="23"/>
  <c r="CB1113" i="23"/>
  <c r="CA1113" i="23"/>
  <c r="BZ1113" i="23"/>
  <c r="BL1113" i="23"/>
  <c r="BF1113" i="23"/>
  <c r="AZ1113" i="23"/>
  <c r="AT1113" i="23"/>
  <c r="AN1113" i="23"/>
  <c r="AH1113" i="23"/>
  <c r="AB1113" i="23"/>
  <c r="R1113" i="23"/>
  <c r="L1113" i="23"/>
  <c r="CC1112" i="23"/>
  <c r="CB1112" i="23"/>
  <c r="CA1112" i="23"/>
  <c r="BZ1112" i="23"/>
  <c r="BL1112" i="23"/>
  <c r="BF1112" i="23"/>
  <c r="AZ1112" i="23"/>
  <c r="AT1112" i="23"/>
  <c r="AN1112" i="23"/>
  <c r="AH1112" i="23"/>
  <c r="AB1112" i="23"/>
  <c r="R1112" i="23"/>
  <c r="L1112" i="23"/>
  <c r="CC1111" i="23"/>
  <c r="CB1111" i="23"/>
  <c r="CA1111" i="23"/>
  <c r="BZ1111" i="23"/>
  <c r="BL1111" i="23"/>
  <c r="BF1111" i="23"/>
  <c r="AZ1111" i="23"/>
  <c r="AT1111" i="23"/>
  <c r="AN1111" i="23"/>
  <c r="AH1111" i="23"/>
  <c r="AB1111" i="23"/>
  <c r="R1111" i="23"/>
  <c r="L1111" i="23"/>
  <c r="CC1110" i="23"/>
  <c r="CB1110" i="23"/>
  <c r="CA1110" i="23"/>
  <c r="BZ1110" i="23"/>
  <c r="BL1110" i="23"/>
  <c r="BF1110" i="23"/>
  <c r="AZ1110" i="23"/>
  <c r="AT1110" i="23"/>
  <c r="AN1110" i="23"/>
  <c r="AH1110" i="23"/>
  <c r="AB1110" i="23"/>
  <c r="R1110" i="23"/>
  <c r="L1110" i="23"/>
  <c r="CC1109" i="23"/>
  <c r="CB1109" i="23"/>
  <c r="CA1109" i="23"/>
  <c r="BZ1109" i="23"/>
  <c r="BL1109" i="23"/>
  <c r="BF1109" i="23"/>
  <c r="AZ1109" i="23"/>
  <c r="AT1109" i="23"/>
  <c r="AN1109" i="23"/>
  <c r="AH1109" i="23"/>
  <c r="AB1109" i="23"/>
  <c r="R1109" i="23"/>
  <c r="L1109" i="23"/>
  <c r="CC1108" i="23"/>
  <c r="CB1108" i="23"/>
  <c r="CA1108" i="23"/>
  <c r="BZ1108" i="23"/>
  <c r="BL1108" i="23"/>
  <c r="BF1108" i="23"/>
  <c r="AZ1108" i="23"/>
  <c r="AT1108" i="23"/>
  <c r="AN1108" i="23"/>
  <c r="AH1108" i="23"/>
  <c r="AB1108" i="23"/>
  <c r="R1108" i="23"/>
  <c r="L1108" i="23"/>
  <c r="CC1107" i="23"/>
  <c r="CB1107" i="23"/>
  <c r="CA1107" i="23"/>
  <c r="BZ1107" i="23"/>
  <c r="BL1107" i="23"/>
  <c r="BF1107" i="23"/>
  <c r="AZ1107" i="23"/>
  <c r="AT1107" i="23"/>
  <c r="AN1107" i="23"/>
  <c r="AH1107" i="23"/>
  <c r="AB1107" i="23"/>
  <c r="R1107" i="23"/>
  <c r="L1107" i="23"/>
  <c r="CC1106" i="23"/>
  <c r="CB1106" i="23"/>
  <c r="CA1106" i="23"/>
  <c r="BZ1106" i="23"/>
  <c r="BL1106" i="23"/>
  <c r="BF1106" i="23"/>
  <c r="AZ1106" i="23"/>
  <c r="AT1106" i="23"/>
  <c r="AN1106" i="23"/>
  <c r="AH1106" i="23"/>
  <c r="AB1106" i="23"/>
  <c r="R1106" i="23"/>
  <c r="L1106" i="23"/>
  <c r="CC1105" i="23"/>
  <c r="CB1105" i="23"/>
  <c r="CA1105" i="23"/>
  <c r="BZ1105" i="23"/>
  <c r="BL1105" i="23"/>
  <c r="BF1105" i="23"/>
  <c r="AZ1105" i="23"/>
  <c r="AT1105" i="23"/>
  <c r="AN1105" i="23"/>
  <c r="AH1105" i="23"/>
  <c r="AB1105" i="23"/>
  <c r="R1105" i="23"/>
  <c r="L1105" i="23"/>
  <c r="CC1104" i="23"/>
  <c r="CB1104" i="23"/>
  <c r="CA1104" i="23"/>
  <c r="BZ1104" i="23"/>
  <c r="BL1104" i="23"/>
  <c r="BF1104" i="23"/>
  <c r="AZ1104" i="23"/>
  <c r="AT1104" i="23"/>
  <c r="AN1104" i="23"/>
  <c r="AH1104" i="23"/>
  <c r="AB1104" i="23"/>
  <c r="R1104" i="23"/>
  <c r="L1104" i="23"/>
  <c r="CC1103" i="23"/>
  <c r="CB1103" i="23"/>
  <c r="CA1103" i="23"/>
  <c r="BZ1103" i="23"/>
  <c r="BL1103" i="23"/>
  <c r="BF1103" i="23"/>
  <c r="AZ1103" i="23"/>
  <c r="AT1103" i="23"/>
  <c r="AN1103" i="23"/>
  <c r="AH1103" i="23"/>
  <c r="AB1103" i="23"/>
  <c r="R1103" i="23"/>
  <c r="L1103" i="23"/>
  <c r="CC1102" i="23"/>
  <c r="CB1102" i="23"/>
  <c r="CA1102" i="23"/>
  <c r="BZ1102" i="23"/>
  <c r="BL1102" i="23"/>
  <c r="BF1102" i="23"/>
  <c r="AZ1102" i="23"/>
  <c r="AT1102" i="23"/>
  <c r="AN1102" i="23"/>
  <c r="AH1102" i="23"/>
  <c r="AB1102" i="23"/>
  <c r="R1102" i="23"/>
  <c r="L1102" i="23"/>
  <c r="CC1101" i="23"/>
  <c r="CB1101" i="23"/>
  <c r="CA1101" i="23"/>
  <c r="BZ1101" i="23"/>
  <c r="BL1101" i="23"/>
  <c r="BF1101" i="23"/>
  <c r="AZ1101" i="23"/>
  <c r="AT1101" i="23"/>
  <c r="AN1101" i="23"/>
  <c r="AH1101" i="23"/>
  <c r="AB1101" i="23"/>
  <c r="R1101" i="23"/>
  <c r="L1101" i="23"/>
  <c r="CC1100" i="23"/>
  <c r="CB1100" i="23"/>
  <c r="CA1100" i="23"/>
  <c r="BZ1100" i="23"/>
  <c r="BL1100" i="23"/>
  <c r="BF1100" i="23"/>
  <c r="AZ1100" i="23"/>
  <c r="AT1100" i="23"/>
  <c r="AN1100" i="23"/>
  <c r="AH1100" i="23"/>
  <c r="AB1100" i="23"/>
  <c r="R1100" i="23"/>
  <c r="L1100" i="23"/>
  <c r="CC1099" i="23"/>
  <c r="CB1099" i="23"/>
  <c r="CA1099" i="23"/>
  <c r="BZ1099" i="23"/>
  <c r="BL1099" i="23"/>
  <c r="BF1099" i="23"/>
  <c r="AZ1099" i="23"/>
  <c r="AT1099" i="23"/>
  <c r="AN1099" i="23"/>
  <c r="AH1099" i="23"/>
  <c r="AB1099" i="23"/>
  <c r="R1099" i="23"/>
  <c r="L1099" i="23"/>
  <c r="CC1098" i="23"/>
  <c r="CB1098" i="23"/>
  <c r="CA1098" i="23"/>
  <c r="BZ1098" i="23"/>
  <c r="BL1098" i="23"/>
  <c r="BF1098" i="23"/>
  <c r="AZ1098" i="23"/>
  <c r="AT1098" i="23"/>
  <c r="AN1098" i="23"/>
  <c r="AH1098" i="23"/>
  <c r="AB1098" i="23"/>
  <c r="R1098" i="23"/>
  <c r="L1098" i="23"/>
  <c r="CC1097" i="23"/>
  <c r="CB1097" i="23"/>
  <c r="CA1097" i="23"/>
  <c r="BZ1097" i="23"/>
  <c r="BL1097" i="23"/>
  <c r="BF1097" i="23"/>
  <c r="AZ1097" i="23"/>
  <c r="AT1097" i="23"/>
  <c r="AN1097" i="23"/>
  <c r="AH1097" i="23"/>
  <c r="AB1097" i="23"/>
  <c r="R1097" i="23"/>
  <c r="L1097" i="23"/>
  <c r="CC1096" i="23"/>
  <c r="CB1096" i="23"/>
  <c r="CA1096" i="23"/>
  <c r="BZ1096" i="23"/>
  <c r="BL1096" i="23"/>
  <c r="BF1096" i="23"/>
  <c r="AZ1096" i="23"/>
  <c r="AT1096" i="23"/>
  <c r="AN1096" i="23"/>
  <c r="AH1096" i="23"/>
  <c r="AB1096" i="23"/>
  <c r="R1096" i="23"/>
  <c r="L1096" i="23"/>
  <c r="CC1095" i="23"/>
  <c r="CB1095" i="23"/>
  <c r="CA1095" i="23"/>
  <c r="BZ1095" i="23"/>
  <c r="BL1095" i="23"/>
  <c r="BF1095" i="23"/>
  <c r="AZ1095" i="23"/>
  <c r="AT1095" i="23"/>
  <c r="AN1095" i="23"/>
  <c r="AH1095" i="23"/>
  <c r="AB1095" i="23"/>
  <c r="R1095" i="23"/>
  <c r="L1095" i="23"/>
  <c r="CC1094" i="23"/>
  <c r="CB1094" i="23"/>
  <c r="CA1094" i="23"/>
  <c r="BZ1094" i="23"/>
  <c r="BL1094" i="23"/>
  <c r="BF1094" i="23"/>
  <c r="AZ1094" i="23"/>
  <c r="AT1094" i="23"/>
  <c r="AN1094" i="23"/>
  <c r="AH1094" i="23"/>
  <c r="AB1094" i="23"/>
  <c r="R1094" i="23"/>
  <c r="L1094" i="23"/>
  <c r="CC1093" i="23"/>
  <c r="CB1093" i="23"/>
  <c r="CA1093" i="23"/>
  <c r="BZ1093" i="23"/>
  <c r="BL1093" i="23"/>
  <c r="BF1093" i="23"/>
  <c r="AZ1093" i="23"/>
  <c r="AT1093" i="23"/>
  <c r="AN1093" i="23"/>
  <c r="AH1093" i="23"/>
  <c r="AB1093" i="23"/>
  <c r="R1093" i="23"/>
  <c r="L1093" i="23"/>
  <c r="CC1092" i="23"/>
  <c r="CB1092" i="23"/>
  <c r="CA1092" i="23"/>
  <c r="BZ1092" i="23"/>
  <c r="BL1092" i="23"/>
  <c r="BF1092" i="23"/>
  <c r="AZ1092" i="23"/>
  <c r="AT1092" i="23"/>
  <c r="AN1092" i="23"/>
  <c r="AH1092" i="23"/>
  <c r="AB1092" i="23"/>
  <c r="R1092" i="23"/>
  <c r="L1092" i="23"/>
  <c r="CC1091" i="23"/>
  <c r="CB1091" i="23"/>
  <c r="CA1091" i="23"/>
  <c r="BZ1091" i="23"/>
  <c r="BL1091" i="23"/>
  <c r="BF1091" i="23"/>
  <c r="AZ1091" i="23"/>
  <c r="AT1091" i="23"/>
  <c r="AN1091" i="23"/>
  <c r="AH1091" i="23"/>
  <c r="AB1091" i="23"/>
  <c r="R1091" i="23"/>
  <c r="L1091" i="23"/>
  <c r="CC1090" i="23"/>
  <c r="CB1090" i="23"/>
  <c r="CA1090" i="23"/>
  <c r="BZ1090" i="23"/>
  <c r="BL1090" i="23"/>
  <c r="BF1090" i="23"/>
  <c r="AZ1090" i="23"/>
  <c r="AT1090" i="23"/>
  <c r="AN1090" i="23"/>
  <c r="AH1090" i="23"/>
  <c r="AB1090" i="23"/>
  <c r="R1090" i="23"/>
  <c r="L1090" i="23"/>
  <c r="CC1089" i="23"/>
  <c r="CB1089" i="23"/>
  <c r="CA1089" i="23"/>
  <c r="BZ1089" i="23"/>
  <c r="BL1089" i="23"/>
  <c r="BF1089" i="23"/>
  <c r="AZ1089" i="23"/>
  <c r="AT1089" i="23"/>
  <c r="AN1089" i="23"/>
  <c r="AH1089" i="23"/>
  <c r="AB1089" i="23"/>
  <c r="R1089" i="23"/>
  <c r="L1089" i="23"/>
  <c r="CC1088" i="23"/>
  <c r="CB1088" i="23"/>
  <c r="CA1088" i="23"/>
  <c r="BZ1088" i="23"/>
  <c r="BL1088" i="23"/>
  <c r="BF1088" i="23"/>
  <c r="AZ1088" i="23"/>
  <c r="AT1088" i="23"/>
  <c r="AN1088" i="23"/>
  <c r="AH1088" i="23"/>
  <c r="AB1088" i="23"/>
  <c r="R1088" i="23"/>
  <c r="L1088" i="23"/>
  <c r="CC1087" i="23"/>
  <c r="CB1087" i="23"/>
  <c r="CA1087" i="23"/>
  <c r="BZ1087" i="23"/>
  <c r="BL1087" i="23"/>
  <c r="BF1087" i="23"/>
  <c r="AZ1087" i="23"/>
  <c r="AT1087" i="23"/>
  <c r="AN1087" i="23"/>
  <c r="AH1087" i="23"/>
  <c r="AB1087" i="23"/>
  <c r="R1087" i="23"/>
  <c r="L1087" i="23"/>
  <c r="CC1086" i="23"/>
  <c r="CB1086" i="23"/>
  <c r="CA1086" i="23"/>
  <c r="BZ1086" i="23"/>
  <c r="BL1086" i="23"/>
  <c r="BF1086" i="23"/>
  <c r="AZ1086" i="23"/>
  <c r="AT1086" i="23"/>
  <c r="AN1086" i="23"/>
  <c r="AH1086" i="23"/>
  <c r="AB1086" i="23"/>
  <c r="R1086" i="23"/>
  <c r="L1086" i="23"/>
  <c r="CC1085" i="23"/>
  <c r="CB1085" i="23"/>
  <c r="CA1085" i="23"/>
  <c r="BZ1085" i="23"/>
  <c r="BL1085" i="23"/>
  <c r="BF1085" i="23"/>
  <c r="AZ1085" i="23"/>
  <c r="AT1085" i="23"/>
  <c r="AN1085" i="23"/>
  <c r="AH1085" i="23"/>
  <c r="AB1085" i="23"/>
  <c r="R1085" i="23"/>
  <c r="L1085" i="23"/>
  <c r="CC1084" i="23"/>
  <c r="CB1084" i="23"/>
  <c r="CA1084" i="23"/>
  <c r="BZ1084" i="23"/>
  <c r="BL1084" i="23"/>
  <c r="BF1084" i="23"/>
  <c r="AZ1084" i="23"/>
  <c r="AT1084" i="23"/>
  <c r="AN1084" i="23"/>
  <c r="AH1084" i="23"/>
  <c r="AB1084" i="23"/>
  <c r="R1084" i="23"/>
  <c r="L1084" i="23"/>
  <c r="CC1083" i="23"/>
  <c r="CB1083" i="23"/>
  <c r="CA1083" i="23"/>
  <c r="BZ1083" i="23"/>
  <c r="BL1083" i="23"/>
  <c r="BF1083" i="23"/>
  <c r="AZ1083" i="23"/>
  <c r="AT1083" i="23"/>
  <c r="AN1083" i="23"/>
  <c r="AH1083" i="23"/>
  <c r="AB1083" i="23"/>
  <c r="R1083" i="23"/>
  <c r="L1083" i="23"/>
  <c r="CC1082" i="23"/>
  <c r="CB1082" i="23"/>
  <c r="CA1082" i="23"/>
  <c r="BZ1082" i="23"/>
  <c r="BL1082" i="23"/>
  <c r="BF1082" i="23"/>
  <c r="AZ1082" i="23"/>
  <c r="AT1082" i="23"/>
  <c r="AN1082" i="23"/>
  <c r="AH1082" i="23"/>
  <c r="AB1082" i="23"/>
  <c r="R1082" i="23"/>
  <c r="L1082" i="23"/>
  <c r="CC1081" i="23"/>
  <c r="CB1081" i="23"/>
  <c r="CA1081" i="23"/>
  <c r="BZ1081" i="23"/>
  <c r="BL1081" i="23"/>
  <c r="BF1081" i="23"/>
  <c r="AZ1081" i="23"/>
  <c r="AT1081" i="23"/>
  <c r="AN1081" i="23"/>
  <c r="AH1081" i="23"/>
  <c r="AB1081" i="23"/>
  <c r="R1081" i="23"/>
  <c r="L1081" i="23"/>
  <c r="CC1080" i="23"/>
  <c r="CB1080" i="23"/>
  <c r="CA1080" i="23"/>
  <c r="BZ1080" i="23"/>
  <c r="BL1080" i="23"/>
  <c r="BF1080" i="23"/>
  <c r="AZ1080" i="23"/>
  <c r="AT1080" i="23"/>
  <c r="AN1080" i="23"/>
  <c r="AH1080" i="23"/>
  <c r="AB1080" i="23"/>
  <c r="R1080" i="23"/>
  <c r="L1080" i="23"/>
  <c r="CC1079" i="23"/>
  <c r="CB1079" i="23"/>
  <c r="CA1079" i="23"/>
  <c r="BZ1079" i="23"/>
  <c r="BL1079" i="23"/>
  <c r="BF1079" i="23"/>
  <c r="AZ1079" i="23"/>
  <c r="AT1079" i="23"/>
  <c r="AN1079" i="23"/>
  <c r="AH1079" i="23"/>
  <c r="AB1079" i="23"/>
  <c r="R1079" i="23"/>
  <c r="L1079" i="23"/>
  <c r="CC1078" i="23"/>
  <c r="CB1078" i="23"/>
  <c r="CA1078" i="23"/>
  <c r="BZ1078" i="23"/>
  <c r="BL1078" i="23"/>
  <c r="BF1078" i="23"/>
  <c r="AZ1078" i="23"/>
  <c r="AT1078" i="23"/>
  <c r="AN1078" i="23"/>
  <c r="AH1078" i="23"/>
  <c r="AB1078" i="23"/>
  <c r="R1078" i="23"/>
  <c r="L1078" i="23"/>
  <c r="CC1077" i="23"/>
  <c r="CB1077" i="23"/>
  <c r="CA1077" i="23"/>
  <c r="BZ1077" i="23"/>
  <c r="BL1077" i="23"/>
  <c r="BF1077" i="23"/>
  <c r="AZ1077" i="23"/>
  <c r="AT1077" i="23"/>
  <c r="AN1077" i="23"/>
  <c r="AH1077" i="23"/>
  <c r="AB1077" i="23"/>
  <c r="R1077" i="23"/>
  <c r="L1077" i="23"/>
  <c r="CC1055" i="23"/>
  <c r="CB1055" i="23"/>
  <c r="CA1055" i="23"/>
  <c r="BZ1055" i="23"/>
  <c r="BL1055" i="23"/>
  <c r="BF1055" i="23"/>
  <c r="AZ1055" i="23"/>
  <c r="AT1055" i="23"/>
  <c r="AN1055" i="23"/>
  <c r="AH1055" i="23"/>
  <c r="AB1055" i="23"/>
  <c r="R1055" i="23"/>
  <c r="L1055" i="23"/>
  <c r="CC1054" i="23"/>
  <c r="CB1054" i="23"/>
  <c r="CA1054" i="23"/>
  <c r="BZ1054" i="23"/>
  <c r="BL1054" i="23"/>
  <c r="BF1054" i="23"/>
  <c r="AZ1054" i="23"/>
  <c r="AT1054" i="23"/>
  <c r="AN1054" i="23"/>
  <c r="AH1054" i="23"/>
  <c r="AB1054" i="23"/>
  <c r="R1054" i="23"/>
  <c r="L1054" i="23"/>
  <c r="CC1053" i="23"/>
  <c r="CB1053" i="23"/>
  <c r="CA1053" i="23"/>
  <c r="BZ1053" i="23"/>
  <c r="BL1053" i="23"/>
  <c r="BF1053" i="23"/>
  <c r="AZ1053" i="23"/>
  <c r="AT1053" i="23"/>
  <c r="AN1053" i="23"/>
  <c r="AH1053" i="23"/>
  <c r="AB1053" i="23"/>
  <c r="R1053" i="23"/>
  <c r="L1053" i="23"/>
  <c r="CC1052" i="23"/>
  <c r="CB1052" i="23"/>
  <c r="CA1052" i="23"/>
  <c r="BZ1052" i="23"/>
  <c r="BL1052" i="23"/>
  <c r="BF1052" i="23"/>
  <c r="AZ1052" i="23"/>
  <c r="AT1052" i="23"/>
  <c r="AN1052" i="23"/>
  <c r="AH1052" i="23"/>
  <c r="AB1052" i="23"/>
  <c r="R1052" i="23"/>
  <c r="L1052" i="23"/>
  <c r="CC1051" i="23"/>
  <c r="CB1051" i="23"/>
  <c r="CA1051" i="23"/>
  <c r="BZ1051" i="23"/>
  <c r="BL1051" i="23"/>
  <c r="BF1051" i="23"/>
  <c r="AZ1051" i="23"/>
  <c r="AT1051" i="23"/>
  <c r="AN1051" i="23"/>
  <c r="AH1051" i="23"/>
  <c r="AB1051" i="23"/>
  <c r="R1051" i="23"/>
  <c r="L1051" i="23"/>
  <c r="CC1037" i="23"/>
  <c r="CB1037" i="23"/>
  <c r="CA1037" i="23"/>
  <c r="BZ1037" i="23"/>
  <c r="BL1037" i="23"/>
  <c r="BF1037" i="23"/>
  <c r="AZ1037" i="23"/>
  <c r="AT1037" i="23"/>
  <c r="AN1037" i="23"/>
  <c r="AH1037" i="23"/>
  <c r="AB1037" i="23"/>
  <c r="R1037" i="23"/>
  <c r="L1037" i="23"/>
  <c r="CC1036" i="23"/>
  <c r="CB1036" i="23"/>
  <c r="CA1036" i="23"/>
  <c r="BZ1036" i="23"/>
  <c r="BL1036" i="23"/>
  <c r="BF1036" i="23"/>
  <c r="AZ1036" i="23"/>
  <c r="AT1036" i="23"/>
  <c r="AN1036" i="23"/>
  <c r="AH1036" i="23"/>
  <c r="AB1036" i="23"/>
  <c r="R1036" i="23"/>
  <c r="L1036" i="23"/>
  <c r="CC1035" i="23"/>
  <c r="CB1035" i="23"/>
  <c r="CA1035" i="23"/>
  <c r="BZ1035" i="23"/>
  <c r="BL1035" i="23"/>
  <c r="BF1035" i="23"/>
  <c r="AZ1035" i="23"/>
  <c r="AT1035" i="23"/>
  <c r="AN1035" i="23"/>
  <c r="AH1035" i="23"/>
  <c r="AB1035" i="23"/>
  <c r="R1035" i="23"/>
  <c r="L1035" i="23"/>
  <c r="CC1034" i="23"/>
  <c r="CB1034" i="23"/>
  <c r="CA1034" i="23"/>
  <c r="BZ1034" i="23"/>
  <c r="BL1034" i="23"/>
  <c r="BF1034" i="23"/>
  <c r="AZ1034" i="23"/>
  <c r="AT1034" i="23"/>
  <c r="AN1034" i="23"/>
  <c r="AH1034" i="23"/>
  <c r="AB1034" i="23"/>
  <c r="R1034" i="23"/>
  <c r="L1034" i="23"/>
  <c r="CC1033" i="23"/>
  <c r="CB1033" i="23"/>
  <c r="CA1033" i="23"/>
  <c r="BZ1033" i="23"/>
  <c r="BL1033" i="23"/>
  <c r="BF1033" i="23"/>
  <c r="AZ1033" i="23"/>
  <c r="AT1033" i="23"/>
  <c r="AN1033" i="23"/>
  <c r="AH1033" i="23"/>
  <c r="AB1033" i="23"/>
  <c r="R1033" i="23"/>
  <c r="L1033" i="23"/>
  <c r="CC990" i="23"/>
  <c r="CB990" i="23"/>
  <c r="CA990" i="23"/>
  <c r="BZ990" i="23"/>
  <c r="BL990" i="23"/>
  <c r="BF990" i="23"/>
  <c r="AZ990" i="23"/>
  <c r="AT990" i="23"/>
  <c r="AN990" i="23"/>
  <c r="AH990" i="23"/>
  <c r="AB990" i="23"/>
  <c r="R990" i="23"/>
  <c r="L990" i="23"/>
  <c r="CC989" i="23"/>
  <c r="CB989" i="23"/>
  <c r="CA989" i="23"/>
  <c r="BZ989" i="23"/>
  <c r="BL989" i="23"/>
  <c r="BF989" i="23"/>
  <c r="AZ989" i="23"/>
  <c r="AT989" i="23"/>
  <c r="AN989" i="23"/>
  <c r="AH989" i="23"/>
  <c r="AB989" i="23"/>
  <c r="R989" i="23"/>
  <c r="L989" i="23"/>
  <c r="CC988" i="23"/>
  <c r="CB988" i="23"/>
  <c r="CA988" i="23"/>
  <c r="BZ988" i="23"/>
  <c r="BL988" i="23"/>
  <c r="BF988" i="23"/>
  <c r="AZ988" i="23"/>
  <c r="AT988" i="23"/>
  <c r="AN988" i="23"/>
  <c r="AH988" i="23"/>
  <c r="AB988" i="23"/>
  <c r="R988" i="23"/>
  <c r="L988" i="23"/>
  <c r="CC987" i="23"/>
  <c r="CB987" i="23"/>
  <c r="CA987" i="23"/>
  <c r="BZ987" i="23"/>
  <c r="BL987" i="23"/>
  <c r="BF987" i="23"/>
  <c r="AZ987" i="23"/>
  <c r="AT987" i="23"/>
  <c r="AN987" i="23"/>
  <c r="AH987" i="23"/>
  <c r="AB987" i="23"/>
  <c r="R987" i="23"/>
  <c r="L987" i="23"/>
  <c r="CC986" i="23"/>
  <c r="CB986" i="23"/>
  <c r="CA986" i="23"/>
  <c r="BZ986" i="23"/>
  <c r="BL986" i="23"/>
  <c r="BF986" i="23"/>
  <c r="AZ986" i="23"/>
  <c r="AT986" i="23"/>
  <c r="AN986" i="23"/>
  <c r="AH986" i="23"/>
  <c r="AB986" i="23"/>
  <c r="R986" i="23"/>
  <c r="L986" i="23"/>
  <c r="CC983" i="23"/>
  <c r="CB983" i="23"/>
  <c r="CA983" i="23"/>
  <c r="BZ983" i="23"/>
  <c r="BL983" i="23"/>
  <c r="BF983" i="23"/>
  <c r="AZ983" i="23"/>
  <c r="AT983" i="23"/>
  <c r="AN983" i="23"/>
  <c r="AH983" i="23"/>
  <c r="AB983" i="23"/>
  <c r="R983" i="23"/>
  <c r="L983" i="23"/>
  <c r="CC982" i="23"/>
  <c r="CB982" i="23"/>
  <c r="CA982" i="23"/>
  <c r="BZ982" i="23"/>
  <c r="BL982" i="23"/>
  <c r="BF982" i="23"/>
  <c r="AZ982" i="23"/>
  <c r="AT982" i="23"/>
  <c r="AN982" i="23"/>
  <c r="AH982" i="23"/>
  <c r="AB982" i="23"/>
  <c r="R982" i="23"/>
  <c r="L982" i="23"/>
  <c r="CC981" i="23"/>
  <c r="CB981" i="23"/>
  <c r="CA981" i="23"/>
  <c r="BZ981" i="23"/>
  <c r="BL981" i="23"/>
  <c r="BF981" i="23"/>
  <c r="AZ981" i="23"/>
  <c r="AT981" i="23"/>
  <c r="AN981" i="23"/>
  <c r="AH981" i="23"/>
  <c r="AB981" i="23"/>
  <c r="R981" i="23"/>
  <c r="L981" i="23"/>
  <c r="CC980" i="23"/>
  <c r="CB980" i="23"/>
  <c r="CA980" i="23"/>
  <c r="BZ980" i="23"/>
  <c r="BL980" i="23"/>
  <c r="BF980" i="23"/>
  <c r="AZ980" i="23"/>
  <c r="AT980" i="23"/>
  <c r="AN980" i="23"/>
  <c r="AH980" i="23"/>
  <c r="AB980" i="23"/>
  <c r="R980" i="23"/>
  <c r="L980" i="23"/>
  <c r="CC979" i="23"/>
  <c r="CB979" i="23"/>
  <c r="CA979" i="23"/>
  <c r="BZ979" i="23"/>
  <c r="BL979" i="23"/>
  <c r="BF979" i="23"/>
  <c r="AZ979" i="23"/>
  <c r="AT979" i="23"/>
  <c r="AN979" i="23"/>
  <c r="AH979" i="23"/>
  <c r="AB979" i="23"/>
  <c r="R979" i="23"/>
  <c r="L979" i="23"/>
  <c r="CC978" i="23"/>
  <c r="CB978" i="23"/>
  <c r="CA978" i="23"/>
  <c r="BZ978" i="23"/>
  <c r="BL978" i="23"/>
  <c r="BF978" i="23"/>
  <c r="AZ978" i="23"/>
  <c r="AT978" i="23"/>
  <c r="AN978" i="23"/>
  <c r="AH978" i="23"/>
  <c r="AB978" i="23"/>
  <c r="R978" i="23"/>
  <c r="L978" i="23"/>
  <c r="CC977" i="23"/>
  <c r="CB977" i="23"/>
  <c r="CA977" i="23"/>
  <c r="BZ977" i="23"/>
  <c r="BL977" i="23"/>
  <c r="BF977" i="23"/>
  <c r="AZ977" i="23"/>
  <c r="AT977" i="23"/>
  <c r="AN977" i="23"/>
  <c r="AH977" i="23"/>
  <c r="AB977" i="23"/>
  <c r="R977" i="23"/>
  <c r="L977" i="23"/>
  <c r="CC976" i="23"/>
  <c r="CB976" i="23"/>
  <c r="CA976" i="23"/>
  <c r="BZ976" i="23"/>
  <c r="BL976" i="23"/>
  <c r="BF976" i="23"/>
  <c r="AZ976" i="23"/>
  <c r="AT976" i="23"/>
  <c r="AN976" i="23"/>
  <c r="AH976" i="23"/>
  <c r="AB976" i="23"/>
  <c r="R976" i="23"/>
  <c r="L976" i="23"/>
  <c r="CC975" i="23"/>
  <c r="CB975" i="23"/>
  <c r="CA975" i="23"/>
  <c r="BZ975" i="23"/>
  <c r="BL975" i="23"/>
  <c r="BF975" i="23"/>
  <c r="AZ975" i="23"/>
  <c r="AT975" i="23"/>
  <c r="AN975" i="23"/>
  <c r="AH975" i="23"/>
  <c r="AB975" i="23"/>
  <c r="R975" i="23"/>
  <c r="L975" i="23"/>
  <c r="CC974" i="23"/>
  <c r="CB974" i="23"/>
  <c r="CA974" i="23"/>
  <c r="BZ974" i="23"/>
  <c r="BL974" i="23"/>
  <c r="BF974" i="23"/>
  <c r="AZ974" i="23"/>
  <c r="AT974" i="23"/>
  <c r="AN974" i="23"/>
  <c r="AH974" i="23"/>
  <c r="AB974" i="23"/>
  <c r="R974" i="23"/>
  <c r="L974" i="23"/>
  <c r="CC973" i="23"/>
  <c r="CB973" i="23"/>
  <c r="CA973" i="23"/>
  <c r="BZ973" i="23"/>
  <c r="BL973" i="23"/>
  <c r="BF973" i="23"/>
  <c r="AZ973" i="23"/>
  <c r="AT973" i="23"/>
  <c r="AN973" i="23"/>
  <c r="AH973" i="23"/>
  <c r="AB973" i="23"/>
  <c r="R973" i="23"/>
  <c r="L973" i="23"/>
  <c r="CC972" i="23"/>
  <c r="CB972" i="23"/>
  <c r="CA972" i="23"/>
  <c r="BZ972" i="23"/>
  <c r="BL972" i="23"/>
  <c r="BF972" i="23"/>
  <c r="AZ972" i="23"/>
  <c r="AT972" i="23"/>
  <c r="AN972" i="23"/>
  <c r="AH972" i="23"/>
  <c r="AB972" i="23"/>
  <c r="R972" i="23"/>
  <c r="L972" i="23"/>
  <c r="CC971" i="23"/>
  <c r="CB971" i="23"/>
  <c r="CA971" i="23"/>
  <c r="BZ971" i="23"/>
  <c r="BL971" i="23"/>
  <c r="BF971" i="23"/>
  <c r="AZ971" i="23"/>
  <c r="AT971" i="23"/>
  <c r="AN971" i="23"/>
  <c r="AH971" i="23"/>
  <c r="AB971" i="23"/>
  <c r="R971" i="23"/>
  <c r="L971" i="23"/>
  <c r="CC970" i="23"/>
  <c r="CB970" i="23"/>
  <c r="CA970" i="23"/>
  <c r="BZ970" i="23"/>
  <c r="BL970" i="23"/>
  <c r="BF970" i="23"/>
  <c r="AZ970" i="23"/>
  <c r="AT970" i="23"/>
  <c r="AN970" i="23"/>
  <c r="AH970" i="23"/>
  <c r="AB970" i="23"/>
  <c r="R970" i="23"/>
  <c r="L970" i="23"/>
  <c r="CC969" i="23"/>
  <c r="CB969" i="23"/>
  <c r="CA969" i="23"/>
  <c r="BZ969" i="23"/>
  <c r="BL969" i="23"/>
  <c r="BF969" i="23"/>
  <c r="AZ969" i="23"/>
  <c r="AT969" i="23"/>
  <c r="AN969" i="23"/>
  <c r="AH969" i="23"/>
  <c r="AB969" i="23"/>
  <c r="R969" i="23"/>
  <c r="L969" i="23"/>
  <c r="CC958" i="23"/>
  <c r="CB958" i="23"/>
  <c r="CA958" i="23"/>
  <c r="BZ958" i="23"/>
  <c r="BL958" i="23"/>
  <c r="BF958" i="23"/>
  <c r="AZ958" i="23"/>
  <c r="AT958" i="23"/>
  <c r="AN958" i="23"/>
  <c r="AH958" i="23"/>
  <c r="AB958" i="23"/>
  <c r="R958" i="23"/>
  <c r="L958" i="23"/>
  <c r="CC957" i="23"/>
  <c r="CB957" i="23"/>
  <c r="CA957" i="23"/>
  <c r="BZ957" i="23"/>
  <c r="BL957" i="23"/>
  <c r="BF957" i="23"/>
  <c r="AZ957" i="23"/>
  <c r="AT957" i="23"/>
  <c r="AN957" i="23"/>
  <c r="AH957" i="23"/>
  <c r="AB957" i="23"/>
  <c r="R957" i="23"/>
  <c r="L957" i="23"/>
  <c r="CC956" i="23"/>
  <c r="CB956" i="23"/>
  <c r="CA956" i="23"/>
  <c r="BZ956" i="23"/>
  <c r="BL956" i="23"/>
  <c r="BF956" i="23"/>
  <c r="AZ956" i="23"/>
  <c r="AT956" i="23"/>
  <c r="AN956" i="23"/>
  <c r="AH956" i="23"/>
  <c r="AB956" i="23"/>
  <c r="R956" i="23"/>
  <c r="L956" i="23"/>
  <c r="CC955" i="23"/>
  <c r="CB955" i="23"/>
  <c r="CA955" i="23"/>
  <c r="BZ955" i="23"/>
  <c r="BL955" i="23"/>
  <c r="BF955" i="23"/>
  <c r="AZ955" i="23"/>
  <c r="AT955" i="23"/>
  <c r="AN955" i="23"/>
  <c r="AH955" i="23"/>
  <c r="AB955" i="23"/>
  <c r="R955" i="23"/>
  <c r="L955" i="23"/>
  <c r="CC954" i="23"/>
  <c r="CB954" i="23"/>
  <c r="CA954" i="23"/>
  <c r="BZ954" i="23"/>
  <c r="BL954" i="23"/>
  <c r="BF954" i="23"/>
  <c r="AZ954" i="23"/>
  <c r="AT954" i="23"/>
  <c r="AN954" i="23"/>
  <c r="AH954" i="23"/>
  <c r="AB954" i="23"/>
  <c r="R954" i="23"/>
  <c r="L954" i="23"/>
  <c r="CC948" i="23"/>
  <c r="CB948" i="23"/>
  <c r="CA948" i="23"/>
  <c r="BZ948" i="23"/>
  <c r="BL948" i="23"/>
  <c r="BF948" i="23"/>
  <c r="AZ948" i="23"/>
  <c r="AT948" i="23"/>
  <c r="AN948" i="23"/>
  <c r="AH948" i="23"/>
  <c r="AB948" i="23"/>
  <c r="R948" i="23"/>
  <c r="L948" i="23"/>
  <c r="CC947" i="23"/>
  <c r="CB947" i="23"/>
  <c r="CA947" i="23"/>
  <c r="BZ947" i="23"/>
  <c r="BL947" i="23"/>
  <c r="BF947" i="23"/>
  <c r="AZ947" i="23"/>
  <c r="AT947" i="23"/>
  <c r="AN947" i="23"/>
  <c r="AH947" i="23"/>
  <c r="AB947" i="23"/>
  <c r="R947" i="23"/>
  <c r="L947" i="23"/>
  <c r="CC946" i="23"/>
  <c r="CB946" i="23"/>
  <c r="CA946" i="23"/>
  <c r="BZ946" i="23"/>
  <c r="BL946" i="23"/>
  <c r="BF946" i="23"/>
  <c r="AZ946" i="23"/>
  <c r="AT946" i="23"/>
  <c r="AN946" i="23"/>
  <c r="AH946" i="23"/>
  <c r="AB946" i="23"/>
  <c r="R946" i="23"/>
  <c r="L946" i="23"/>
  <c r="CC945" i="23"/>
  <c r="CB945" i="23"/>
  <c r="CA945" i="23"/>
  <c r="BZ945" i="23"/>
  <c r="BL945" i="23"/>
  <c r="BF945" i="23"/>
  <c r="AZ945" i="23"/>
  <c r="AT945" i="23"/>
  <c r="AN945" i="23"/>
  <c r="AH945" i="23"/>
  <c r="AB945" i="23"/>
  <c r="R945" i="23"/>
  <c r="L945" i="23"/>
  <c r="CC944" i="23"/>
  <c r="CB944" i="23"/>
  <c r="CA944" i="23"/>
  <c r="BZ944" i="23"/>
  <c r="BL944" i="23"/>
  <c r="BF944" i="23"/>
  <c r="AZ944" i="23"/>
  <c r="AT944" i="23"/>
  <c r="AN944" i="23"/>
  <c r="AH944" i="23"/>
  <c r="AB944" i="23"/>
  <c r="R944" i="23"/>
  <c r="L944" i="23"/>
  <c r="CC943" i="23"/>
  <c r="CB943" i="23"/>
  <c r="CA943" i="23"/>
  <c r="BZ943" i="23"/>
  <c r="BL943" i="23"/>
  <c r="BF943" i="23"/>
  <c r="AZ943" i="23"/>
  <c r="AT943" i="23"/>
  <c r="AN943" i="23"/>
  <c r="AH943" i="23"/>
  <c r="AB943" i="23"/>
  <c r="R943" i="23"/>
  <c r="L943" i="23"/>
  <c r="CC942" i="23"/>
  <c r="CB942" i="23"/>
  <c r="CA942" i="23"/>
  <c r="BZ942" i="23"/>
  <c r="BL942" i="23"/>
  <c r="BF942" i="23"/>
  <c r="AZ942" i="23"/>
  <c r="AT942" i="23"/>
  <c r="AN942" i="23"/>
  <c r="AH942" i="23"/>
  <c r="AB942" i="23"/>
  <c r="R942" i="23"/>
  <c r="L942" i="23"/>
  <c r="CC941" i="23"/>
  <c r="CB941" i="23"/>
  <c r="CA941" i="23"/>
  <c r="BZ941" i="23"/>
  <c r="BL941" i="23"/>
  <c r="BF941" i="23"/>
  <c r="AZ941" i="23"/>
  <c r="AT941" i="23"/>
  <c r="AN941" i="23"/>
  <c r="AH941" i="23"/>
  <c r="AB941" i="23"/>
  <c r="R941" i="23"/>
  <c r="L941" i="23"/>
  <c r="CC940" i="23"/>
  <c r="CB940" i="23"/>
  <c r="CA940" i="23"/>
  <c r="BZ940" i="23"/>
  <c r="BL940" i="23"/>
  <c r="BF940" i="23"/>
  <c r="AZ940" i="23"/>
  <c r="AT940" i="23"/>
  <c r="AN940" i="23"/>
  <c r="AH940" i="23"/>
  <c r="AB940" i="23"/>
  <c r="R940" i="23"/>
  <c r="L940" i="23"/>
  <c r="CC939" i="23"/>
  <c r="CB939" i="23"/>
  <c r="CA939" i="23"/>
  <c r="BZ939" i="23"/>
  <c r="BL939" i="23"/>
  <c r="BF939" i="23"/>
  <c r="AZ939" i="23"/>
  <c r="AT939" i="23"/>
  <c r="AN939" i="23"/>
  <c r="AH939" i="23"/>
  <c r="AB939" i="23"/>
  <c r="R939" i="23"/>
  <c r="L939" i="23"/>
  <c r="CC938" i="23"/>
  <c r="CB938" i="23"/>
  <c r="CA938" i="23"/>
  <c r="BZ938" i="23"/>
  <c r="BL938" i="23"/>
  <c r="BF938" i="23"/>
  <c r="AZ938" i="23"/>
  <c r="AT938" i="23"/>
  <c r="AN938" i="23"/>
  <c r="AH938" i="23"/>
  <c r="AB938" i="23"/>
  <c r="R938" i="23"/>
  <c r="L938" i="23"/>
  <c r="CC937" i="23"/>
  <c r="CB937" i="23"/>
  <c r="CA937" i="23"/>
  <c r="BZ937" i="23"/>
  <c r="BL937" i="23"/>
  <c r="BF937" i="23"/>
  <c r="AZ937" i="23"/>
  <c r="AT937" i="23"/>
  <c r="AN937" i="23"/>
  <c r="AH937" i="23"/>
  <c r="AB937" i="23"/>
  <c r="R937" i="23"/>
  <c r="L937" i="23"/>
  <c r="CC936" i="23"/>
  <c r="CB936" i="23"/>
  <c r="CA936" i="23"/>
  <c r="BZ936" i="23"/>
  <c r="BL936" i="23"/>
  <c r="BF936" i="23"/>
  <c r="AZ936" i="23"/>
  <c r="AT936" i="23"/>
  <c r="AN936" i="23"/>
  <c r="AH936" i="23"/>
  <c r="AB936" i="23"/>
  <c r="R936" i="23"/>
  <c r="L936" i="23"/>
  <c r="CC935" i="23"/>
  <c r="CB935" i="23"/>
  <c r="CA935" i="23"/>
  <c r="BZ935" i="23"/>
  <c r="BL935" i="23"/>
  <c r="BF935" i="23"/>
  <c r="AZ935" i="23"/>
  <c r="AT935" i="23"/>
  <c r="AN935" i="23"/>
  <c r="AH935" i="23"/>
  <c r="AB935" i="23"/>
  <c r="R935" i="23"/>
  <c r="L935" i="23"/>
  <c r="CC934" i="23"/>
  <c r="CB934" i="23"/>
  <c r="CA934" i="23"/>
  <c r="BZ934" i="23"/>
  <c r="BL934" i="23"/>
  <c r="BF934" i="23"/>
  <c r="AZ934" i="23"/>
  <c r="AT934" i="23"/>
  <c r="AN934" i="23"/>
  <c r="AH934" i="23"/>
  <c r="AB934" i="23"/>
  <c r="R934" i="23"/>
  <c r="L934" i="23"/>
  <c r="CC933" i="23"/>
  <c r="CB933" i="23"/>
  <c r="CA933" i="23"/>
  <c r="BZ933" i="23"/>
  <c r="BL933" i="23"/>
  <c r="BF933" i="23"/>
  <c r="AZ933" i="23"/>
  <c r="AT933" i="23"/>
  <c r="AN933" i="23"/>
  <c r="AH933" i="23"/>
  <c r="AB933" i="23"/>
  <c r="R933" i="23"/>
  <c r="L933" i="23"/>
  <c r="CC932" i="23"/>
  <c r="CB932" i="23"/>
  <c r="CA932" i="23"/>
  <c r="BZ932" i="23"/>
  <c r="BL932" i="23"/>
  <c r="BF932" i="23"/>
  <c r="AZ932" i="23"/>
  <c r="AT932" i="23"/>
  <c r="AN932" i="23"/>
  <c r="AH932" i="23"/>
  <c r="AB932" i="23"/>
  <c r="R932" i="23"/>
  <c r="L932" i="23"/>
  <c r="CC931" i="23"/>
  <c r="CB931" i="23"/>
  <c r="CA931" i="23"/>
  <c r="BZ931" i="23"/>
  <c r="BL931" i="23"/>
  <c r="BF931" i="23"/>
  <c r="AZ931" i="23"/>
  <c r="AT931" i="23"/>
  <c r="AN931" i="23"/>
  <c r="AH931" i="23"/>
  <c r="AB931" i="23"/>
  <c r="R931" i="23"/>
  <c r="L931" i="23"/>
  <c r="CC930" i="23"/>
  <c r="CB930" i="23"/>
  <c r="CA930" i="23"/>
  <c r="BZ930" i="23"/>
  <c r="BL930" i="23"/>
  <c r="BF930" i="23"/>
  <c r="AZ930" i="23"/>
  <c r="AT930" i="23"/>
  <c r="AN930" i="23"/>
  <c r="AH930" i="23"/>
  <c r="AB930" i="23"/>
  <c r="R930" i="23"/>
  <c r="L930" i="23"/>
  <c r="CC929" i="23"/>
  <c r="CB929" i="23"/>
  <c r="CA929" i="23"/>
  <c r="BZ929" i="23"/>
  <c r="BL929" i="23"/>
  <c r="BF929" i="23"/>
  <c r="AZ929" i="23"/>
  <c r="AT929" i="23"/>
  <c r="AN929" i="23"/>
  <c r="AH929" i="23"/>
  <c r="AB929" i="23"/>
  <c r="R929" i="23"/>
  <c r="L929" i="23"/>
  <c r="CC928" i="23"/>
  <c r="CB928" i="23"/>
  <c r="CA928" i="23"/>
  <c r="BZ928" i="23"/>
  <c r="BL928" i="23"/>
  <c r="BF928" i="23"/>
  <c r="AZ928" i="23"/>
  <c r="AT928" i="23"/>
  <c r="AN928" i="23"/>
  <c r="AH928" i="23"/>
  <c r="AB928" i="23"/>
  <c r="R928" i="23"/>
  <c r="L928" i="23"/>
  <c r="CC927" i="23"/>
  <c r="CB927" i="23"/>
  <c r="CA927" i="23"/>
  <c r="BZ927" i="23"/>
  <c r="BL927" i="23"/>
  <c r="BF927" i="23"/>
  <c r="AZ927" i="23"/>
  <c r="AT927" i="23"/>
  <c r="AN927" i="23"/>
  <c r="AH927" i="23"/>
  <c r="AB927" i="23"/>
  <c r="R927" i="23"/>
  <c r="L927" i="23"/>
  <c r="CC926" i="23"/>
  <c r="CB926" i="23"/>
  <c r="CA926" i="23"/>
  <c r="BZ926" i="23"/>
  <c r="BL926" i="23"/>
  <c r="BF926" i="23"/>
  <c r="AZ926" i="23"/>
  <c r="AT926" i="23"/>
  <c r="AN926" i="23"/>
  <c r="AH926" i="23"/>
  <c r="AB926" i="23"/>
  <c r="R926" i="23"/>
  <c r="L926" i="23"/>
  <c r="CC925" i="23"/>
  <c r="CB925" i="23"/>
  <c r="CA925" i="23"/>
  <c r="BZ925" i="23"/>
  <c r="BL925" i="23"/>
  <c r="BF925" i="23"/>
  <c r="AZ925" i="23"/>
  <c r="AT925" i="23"/>
  <c r="AN925" i="23"/>
  <c r="AH925" i="23"/>
  <c r="AB925" i="23"/>
  <c r="R925" i="23"/>
  <c r="L925" i="23"/>
  <c r="CC924" i="23"/>
  <c r="CB924" i="23"/>
  <c r="CA924" i="23"/>
  <c r="BZ924" i="23"/>
  <c r="BL924" i="23"/>
  <c r="BF924" i="23"/>
  <c r="AZ924" i="23"/>
  <c r="AT924" i="23"/>
  <c r="AN924" i="23"/>
  <c r="AH924" i="23"/>
  <c r="AB924" i="23"/>
  <c r="R924" i="23"/>
  <c r="L924" i="23"/>
  <c r="CC923" i="23"/>
  <c r="CB923" i="23"/>
  <c r="CA923" i="23"/>
  <c r="BZ923" i="23"/>
  <c r="BL923" i="23"/>
  <c r="BF923" i="23"/>
  <c r="AZ923" i="23"/>
  <c r="AT923" i="23"/>
  <c r="AN923" i="23"/>
  <c r="AH923" i="23"/>
  <c r="AB923" i="23"/>
  <c r="R923" i="23"/>
  <c r="L923" i="23"/>
  <c r="CC922" i="23"/>
  <c r="CB922" i="23"/>
  <c r="CA922" i="23"/>
  <c r="BZ922" i="23"/>
  <c r="BL922" i="23"/>
  <c r="BF922" i="23"/>
  <c r="AZ922" i="23"/>
  <c r="AT922" i="23"/>
  <c r="AN922" i="23"/>
  <c r="AH922" i="23"/>
  <c r="AB922" i="23"/>
  <c r="R922" i="23"/>
  <c r="L922" i="23"/>
  <c r="CC921" i="23"/>
  <c r="CB921" i="23"/>
  <c r="CA921" i="23"/>
  <c r="BZ921" i="23"/>
  <c r="BL921" i="23"/>
  <c r="BF921" i="23"/>
  <c r="AZ921" i="23"/>
  <c r="AT921" i="23"/>
  <c r="AN921" i="23"/>
  <c r="AH921" i="23"/>
  <c r="AB921" i="23"/>
  <c r="R921" i="23"/>
  <c r="L921" i="23"/>
  <c r="CC920" i="23"/>
  <c r="CB920" i="23"/>
  <c r="CA920" i="23"/>
  <c r="BZ920" i="23"/>
  <c r="BL920" i="23"/>
  <c r="BF920" i="23"/>
  <c r="AZ920" i="23"/>
  <c r="AT920" i="23"/>
  <c r="AN920" i="23"/>
  <c r="AH920" i="23"/>
  <c r="AB920" i="23"/>
  <c r="R920" i="23"/>
  <c r="L920" i="23"/>
  <c r="CC919" i="23"/>
  <c r="CB919" i="23"/>
  <c r="CA919" i="23"/>
  <c r="BZ919" i="23"/>
  <c r="BL919" i="23"/>
  <c r="BF919" i="23"/>
  <c r="AZ919" i="23"/>
  <c r="AT919" i="23"/>
  <c r="AN919" i="23"/>
  <c r="AH919" i="23"/>
  <c r="AB919" i="23"/>
  <c r="R919" i="23"/>
  <c r="L919" i="23"/>
  <c r="CC918" i="23"/>
  <c r="CB918" i="23"/>
  <c r="CA918" i="23"/>
  <c r="BZ918" i="23"/>
  <c r="BL918" i="23"/>
  <c r="BF918" i="23"/>
  <c r="AZ918" i="23"/>
  <c r="AT918" i="23"/>
  <c r="AN918" i="23"/>
  <c r="AH918" i="23"/>
  <c r="AB918" i="23"/>
  <c r="R918" i="23"/>
  <c r="L918" i="23"/>
  <c r="CC917" i="23"/>
  <c r="CB917" i="23"/>
  <c r="CA917" i="23"/>
  <c r="BZ917" i="23"/>
  <c r="BL917" i="23"/>
  <c r="BF917" i="23"/>
  <c r="AZ917" i="23"/>
  <c r="AT917" i="23"/>
  <c r="AN917" i="23"/>
  <c r="AH917" i="23"/>
  <c r="AB917" i="23"/>
  <c r="R917" i="23"/>
  <c r="L917" i="23"/>
  <c r="CC916" i="23"/>
  <c r="CB916" i="23"/>
  <c r="CA916" i="23"/>
  <c r="BZ916" i="23"/>
  <c r="BL916" i="23"/>
  <c r="BF916" i="23"/>
  <c r="AZ916" i="23"/>
  <c r="AT916" i="23"/>
  <c r="AN916" i="23"/>
  <c r="AH916" i="23"/>
  <c r="AB916" i="23"/>
  <c r="R916" i="23"/>
  <c r="L916" i="23"/>
  <c r="CC915" i="23"/>
  <c r="CB915" i="23"/>
  <c r="CA915" i="23"/>
  <c r="BZ915" i="23"/>
  <c r="BL915" i="23"/>
  <c r="BF915" i="23"/>
  <c r="AZ915" i="23"/>
  <c r="AT915" i="23"/>
  <c r="AN915" i="23"/>
  <c r="AH915" i="23"/>
  <c r="AB915" i="23"/>
  <c r="R915" i="23"/>
  <c r="L915" i="23"/>
  <c r="CC914" i="23"/>
  <c r="CB914" i="23"/>
  <c r="CA914" i="23"/>
  <c r="BZ914" i="23"/>
  <c r="BL914" i="23"/>
  <c r="BF914" i="23"/>
  <c r="AZ914" i="23"/>
  <c r="AT914" i="23"/>
  <c r="AN914" i="23"/>
  <c r="AH914" i="23"/>
  <c r="AB914" i="23"/>
  <c r="R914" i="23"/>
  <c r="L914" i="23"/>
  <c r="CC913" i="23"/>
  <c r="CB913" i="23"/>
  <c r="CA913" i="23"/>
  <c r="BZ913" i="23"/>
  <c r="BL913" i="23"/>
  <c r="BF913" i="23"/>
  <c r="AZ913" i="23"/>
  <c r="AT913" i="23"/>
  <c r="AN913" i="23"/>
  <c r="AH913" i="23"/>
  <c r="AB913" i="23"/>
  <c r="R913" i="23"/>
  <c r="L913" i="23"/>
  <c r="CC912" i="23"/>
  <c r="CB912" i="23"/>
  <c r="CA912" i="23"/>
  <c r="BZ912" i="23"/>
  <c r="BL912" i="23"/>
  <c r="BF912" i="23"/>
  <c r="AZ912" i="23"/>
  <c r="AT912" i="23"/>
  <c r="AN912" i="23"/>
  <c r="AH912" i="23"/>
  <c r="AB912" i="23"/>
  <c r="R912" i="23"/>
  <c r="L912" i="23"/>
  <c r="CC911" i="23"/>
  <c r="CB911" i="23"/>
  <c r="CA911" i="23"/>
  <c r="BZ911" i="23"/>
  <c r="BL911" i="23"/>
  <c r="BF911" i="23"/>
  <c r="AZ911" i="23"/>
  <c r="AT911" i="23"/>
  <c r="AN911" i="23"/>
  <c r="AH911" i="23"/>
  <c r="AB911" i="23"/>
  <c r="R911" i="23"/>
  <c r="L911" i="23"/>
  <c r="CC910" i="23"/>
  <c r="CB910" i="23"/>
  <c r="CA910" i="23"/>
  <c r="BZ910" i="23"/>
  <c r="BL910" i="23"/>
  <c r="BF910" i="23"/>
  <c r="AZ910" i="23"/>
  <c r="AT910" i="23"/>
  <c r="AN910" i="23"/>
  <c r="AH910" i="23"/>
  <c r="AB910" i="23"/>
  <c r="R910" i="23"/>
  <c r="L910" i="23"/>
  <c r="CC909" i="23"/>
  <c r="CB909" i="23"/>
  <c r="CA909" i="23"/>
  <c r="BZ909" i="23"/>
  <c r="BL909" i="23"/>
  <c r="BF909" i="23"/>
  <c r="AZ909" i="23"/>
  <c r="AT909" i="23"/>
  <c r="AN909" i="23"/>
  <c r="AH909" i="23"/>
  <c r="AB909" i="23"/>
  <c r="R909" i="23"/>
  <c r="L909" i="23"/>
  <c r="CC908" i="23"/>
  <c r="CB908" i="23"/>
  <c r="CA908" i="23"/>
  <c r="BZ908" i="23"/>
  <c r="BL908" i="23"/>
  <c r="BF908" i="23"/>
  <c r="AZ908" i="23"/>
  <c r="AT908" i="23"/>
  <c r="AN908" i="23"/>
  <c r="AH908" i="23"/>
  <c r="AB908" i="23"/>
  <c r="R908" i="23"/>
  <c r="L908" i="23"/>
  <c r="CC907" i="23"/>
  <c r="CB907" i="23"/>
  <c r="CA907" i="23"/>
  <c r="BZ907" i="23"/>
  <c r="BL907" i="23"/>
  <c r="BF907" i="23"/>
  <c r="AZ907" i="23"/>
  <c r="AT907" i="23"/>
  <c r="AN907" i="23"/>
  <c r="AH907" i="23"/>
  <c r="AB907" i="23"/>
  <c r="R907" i="23"/>
  <c r="L907" i="23"/>
  <c r="CC906" i="23"/>
  <c r="CB906" i="23"/>
  <c r="CA906" i="23"/>
  <c r="BZ906" i="23"/>
  <c r="BL906" i="23"/>
  <c r="BF906" i="23"/>
  <c r="AZ906" i="23"/>
  <c r="AT906" i="23"/>
  <c r="AN906" i="23"/>
  <c r="AH906" i="23"/>
  <c r="AB906" i="23"/>
  <c r="R906" i="23"/>
  <c r="L906" i="23"/>
  <c r="CC861" i="23"/>
  <c r="CB861" i="23"/>
  <c r="CA861" i="23"/>
  <c r="BZ861" i="23"/>
  <c r="BL861" i="23"/>
  <c r="BF861" i="23"/>
  <c r="AZ861" i="23"/>
  <c r="AT861" i="23"/>
  <c r="AN861" i="23"/>
  <c r="AH861" i="23"/>
  <c r="AB861" i="23"/>
  <c r="R861" i="23"/>
  <c r="L861" i="23"/>
  <c r="CC860" i="23"/>
  <c r="CB860" i="23"/>
  <c r="CA860" i="23"/>
  <c r="BZ860" i="23"/>
  <c r="BL860" i="23"/>
  <c r="BF860" i="23"/>
  <c r="AZ860" i="23"/>
  <c r="AT860" i="23"/>
  <c r="AN860" i="23"/>
  <c r="AH860" i="23"/>
  <c r="AB860" i="23"/>
  <c r="R860" i="23"/>
  <c r="L860" i="23"/>
  <c r="CC859" i="23"/>
  <c r="CB859" i="23"/>
  <c r="CA859" i="23"/>
  <c r="BZ859" i="23"/>
  <c r="BL859" i="23"/>
  <c r="BF859" i="23"/>
  <c r="AZ859" i="23"/>
  <c r="AT859" i="23"/>
  <c r="AN859" i="23"/>
  <c r="AH859" i="23"/>
  <c r="AB859" i="23"/>
  <c r="R859" i="23"/>
  <c r="L859" i="23"/>
  <c r="CC858" i="23"/>
  <c r="CB858" i="23"/>
  <c r="CA858" i="23"/>
  <c r="BZ858" i="23"/>
  <c r="BL858" i="23"/>
  <c r="BF858" i="23"/>
  <c r="AZ858" i="23"/>
  <c r="AT858" i="23"/>
  <c r="AN858" i="23"/>
  <c r="AH858" i="23"/>
  <c r="AB858" i="23"/>
  <c r="R858" i="23"/>
  <c r="L858" i="23"/>
  <c r="CC857" i="23"/>
  <c r="CB857" i="23"/>
  <c r="CA857" i="23"/>
  <c r="BZ857" i="23"/>
  <c r="BL857" i="23"/>
  <c r="BF857" i="23"/>
  <c r="AZ857" i="23"/>
  <c r="AT857" i="23"/>
  <c r="AN857" i="23"/>
  <c r="AH857" i="23"/>
  <c r="AB857" i="23"/>
  <c r="R857" i="23"/>
  <c r="L857" i="23"/>
  <c r="CC856" i="23"/>
  <c r="CB856" i="23"/>
  <c r="CA856" i="23"/>
  <c r="BZ856" i="23"/>
  <c r="BL856" i="23"/>
  <c r="BF856" i="23"/>
  <c r="AZ856" i="23"/>
  <c r="AT856" i="23"/>
  <c r="AN856" i="23"/>
  <c r="AH856" i="23"/>
  <c r="AB856" i="23"/>
  <c r="R856" i="23"/>
  <c r="L856" i="23"/>
  <c r="CC855" i="23"/>
  <c r="CB855" i="23"/>
  <c r="CA855" i="23"/>
  <c r="BZ855" i="23"/>
  <c r="BL855" i="23"/>
  <c r="BF855" i="23"/>
  <c r="AZ855" i="23"/>
  <c r="AT855" i="23"/>
  <c r="AN855" i="23"/>
  <c r="AH855" i="23"/>
  <c r="AB855" i="23"/>
  <c r="R855" i="23"/>
  <c r="L855" i="23"/>
  <c r="CC854" i="23"/>
  <c r="CB854" i="23"/>
  <c r="CA854" i="23"/>
  <c r="BZ854" i="23"/>
  <c r="BL854" i="23"/>
  <c r="BF854" i="23"/>
  <c r="AZ854" i="23"/>
  <c r="AT854" i="23"/>
  <c r="AN854" i="23"/>
  <c r="AH854" i="23"/>
  <c r="AB854" i="23"/>
  <c r="R854" i="23"/>
  <c r="L854" i="23"/>
  <c r="CC853" i="23"/>
  <c r="CB853" i="23"/>
  <c r="CA853" i="23"/>
  <c r="BZ853" i="23"/>
  <c r="BL853" i="23"/>
  <c r="BF853" i="23"/>
  <c r="AZ853" i="23"/>
  <c r="AT853" i="23"/>
  <c r="AN853" i="23"/>
  <c r="AH853" i="23"/>
  <c r="AB853" i="23"/>
  <c r="R853" i="23"/>
  <c r="L853" i="23"/>
  <c r="CC852" i="23"/>
  <c r="CB852" i="23"/>
  <c r="CA852" i="23"/>
  <c r="BZ852" i="23"/>
  <c r="BL852" i="23"/>
  <c r="BF852" i="23"/>
  <c r="AZ852" i="23"/>
  <c r="AT852" i="23"/>
  <c r="AN852" i="23"/>
  <c r="AH852" i="23"/>
  <c r="AB852" i="23"/>
  <c r="R852" i="23"/>
  <c r="L852" i="23"/>
  <c r="CC785" i="23"/>
  <c r="CB785" i="23"/>
  <c r="CA785" i="23"/>
  <c r="BZ785" i="23"/>
  <c r="BL785" i="23"/>
  <c r="BF785" i="23"/>
  <c r="AZ785" i="23"/>
  <c r="AT785" i="23"/>
  <c r="AN785" i="23"/>
  <c r="AH785" i="23"/>
  <c r="AB785" i="23"/>
  <c r="R785" i="23"/>
  <c r="L785" i="23"/>
  <c r="CC784" i="23"/>
  <c r="CB784" i="23"/>
  <c r="CA784" i="23"/>
  <c r="BZ784" i="23"/>
  <c r="BL784" i="23"/>
  <c r="BF784" i="23"/>
  <c r="AZ784" i="23"/>
  <c r="AT784" i="23"/>
  <c r="AN784" i="23"/>
  <c r="AH784" i="23"/>
  <c r="AB784" i="23"/>
  <c r="R784" i="23"/>
  <c r="L784" i="23"/>
  <c r="CC783" i="23"/>
  <c r="CB783" i="23"/>
  <c r="CA783" i="23"/>
  <c r="BZ783" i="23"/>
  <c r="BL783" i="23"/>
  <c r="BF783" i="23"/>
  <c r="AZ783" i="23"/>
  <c r="AT783" i="23"/>
  <c r="AN783" i="23"/>
  <c r="AH783" i="23"/>
  <c r="AB783" i="23"/>
  <c r="R783" i="23"/>
  <c r="L783" i="23"/>
  <c r="CC782" i="23"/>
  <c r="CB782" i="23"/>
  <c r="CA782" i="23"/>
  <c r="BZ782" i="23"/>
  <c r="BL782" i="23"/>
  <c r="BF782" i="23"/>
  <c r="AZ782" i="23"/>
  <c r="AT782" i="23"/>
  <c r="AN782" i="23"/>
  <c r="AH782" i="23"/>
  <c r="AB782" i="23"/>
  <c r="R782" i="23"/>
  <c r="L782" i="23"/>
  <c r="CC781" i="23"/>
  <c r="CB781" i="23"/>
  <c r="CA781" i="23"/>
  <c r="BZ781" i="23"/>
  <c r="BL781" i="23"/>
  <c r="BF781" i="23"/>
  <c r="AZ781" i="23"/>
  <c r="AT781" i="23"/>
  <c r="AN781" i="23"/>
  <c r="AH781" i="23"/>
  <c r="AB781" i="23"/>
  <c r="R781" i="23"/>
  <c r="L781" i="23"/>
  <c r="CC780" i="23"/>
  <c r="CB780" i="23"/>
  <c r="CA780" i="23"/>
  <c r="BZ780" i="23"/>
  <c r="BL780" i="23"/>
  <c r="BF780" i="23"/>
  <c r="AZ780" i="23"/>
  <c r="AT780" i="23"/>
  <c r="AN780" i="23"/>
  <c r="AH780" i="23"/>
  <c r="AB780" i="23"/>
  <c r="R780" i="23"/>
  <c r="L780" i="23"/>
  <c r="CC779" i="23"/>
  <c r="CB779" i="23"/>
  <c r="CA779" i="23"/>
  <c r="BZ779" i="23"/>
  <c r="BL779" i="23"/>
  <c r="BF779" i="23"/>
  <c r="AZ779" i="23"/>
  <c r="AT779" i="23"/>
  <c r="AN779" i="23"/>
  <c r="AH779" i="23"/>
  <c r="AB779" i="23"/>
  <c r="R779" i="23"/>
  <c r="L779" i="23"/>
  <c r="CC778" i="23"/>
  <c r="CB778" i="23"/>
  <c r="CA778" i="23"/>
  <c r="BZ778" i="23"/>
  <c r="BL778" i="23"/>
  <c r="BF778" i="23"/>
  <c r="AZ778" i="23"/>
  <c r="AT778" i="23"/>
  <c r="AN778" i="23"/>
  <c r="AH778" i="23"/>
  <c r="AB778" i="23"/>
  <c r="R778" i="23"/>
  <c r="L778" i="23"/>
  <c r="CC777" i="23"/>
  <c r="CB777" i="23"/>
  <c r="CA777" i="23"/>
  <c r="BZ777" i="23"/>
  <c r="BL777" i="23"/>
  <c r="BF777" i="23"/>
  <c r="AZ777" i="23"/>
  <c r="AT777" i="23"/>
  <c r="AN777" i="23"/>
  <c r="AH777" i="23"/>
  <c r="AB777" i="23"/>
  <c r="R777" i="23"/>
  <c r="L777" i="23"/>
  <c r="CC776" i="23"/>
  <c r="CB776" i="23"/>
  <c r="CA776" i="23"/>
  <c r="BZ776" i="23"/>
  <c r="BL776" i="23"/>
  <c r="BF776" i="23"/>
  <c r="AZ776" i="23"/>
  <c r="AT776" i="23"/>
  <c r="AN776" i="23"/>
  <c r="AH776" i="23"/>
  <c r="AB776" i="23"/>
  <c r="R776" i="23"/>
  <c r="L776" i="23"/>
  <c r="CC775" i="23"/>
  <c r="CB775" i="23"/>
  <c r="CA775" i="23"/>
  <c r="BZ775" i="23"/>
  <c r="BL775" i="23"/>
  <c r="BF775" i="23"/>
  <c r="AZ775" i="23"/>
  <c r="AT775" i="23"/>
  <c r="AN775" i="23"/>
  <c r="AH775" i="23"/>
  <c r="AB775" i="23"/>
  <c r="R775" i="23"/>
  <c r="L775" i="23"/>
  <c r="CC774" i="23"/>
  <c r="CB774" i="23"/>
  <c r="CA774" i="23"/>
  <c r="BZ774" i="23"/>
  <c r="BL774" i="23"/>
  <c r="BF774" i="23"/>
  <c r="AZ774" i="23"/>
  <c r="AT774" i="23"/>
  <c r="AN774" i="23"/>
  <c r="AH774" i="23"/>
  <c r="AB774" i="23"/>
  <c r="R774" i="23"/>
  <c r="L774" i="23"/>
  <c r="CC681" i="23"/>
  <c r="CB681" i="23"/>
  <c r="CA681" i="23"/>
  <c r="BZ681" i="23"/>
  <c r="BL681" i="23"/>
  <c r="BF681" i="23"/>
  <c r="AZ681" i="23"/>
  <c r="AT681" i="23"/>
  <c r="AN681" i="23"/>
  <c r="AH681" i="23"/>
  <c r="AB681" i="23"/>
  <c r="R681" i="23"/>
  <c r="L681" i="23"/>
  <c r="CC680" i="23"/>
  <c r="CB680" i="23"/>
  <c r="CA680" i="23"/>
  <c r="BZ680" i="23"/>
  <c r="BL680" i="23"/>
  <c r="BF680" i="23"/>
  <c r="AZ680" i="23"/>
  <c r="AT680" i="23"/>
  <c r="AN680" i="23"/>
  <c r="AH680" i="23"/>
  <c r="AB680" i="23"/>
  <c r="R680" i="23"/>
  <c r="L680" i="23"/>
  <c r="CC679" i="23"/>
  <c r="CB679" i="23"/>
  <c r="CA679" i="23"/>
  <c r="BZ679" i="23"/>
  <c r="BL679" i="23"/>
  <c r="BF679" i="23"/>
  <c r="AZ679" i="23"/>
  <c r="AT679" i="23"/>
  <c r="AN679" i="23"/>
  <c r="AH679" i="23"/>
  <c r="AB679" i="23"/>
  <c r="R679" i="23"/>
  <c r="L679" i="23"/>
  <c r="CC678" i="23"/>
  <c r="CB678" i="23"/>
  <c r="CA678" i="23"/>
  <c r="BZ678" i="23"/>
  <c r="BL678" i="23"/>
  <c r="BF678" i="23"/>
  <c r="AZ678" i="23"/>
  <c r="AT678" i="23"/>
  <c r="AN678" i="23"/>
  <c r="AH678" i="23"/>
  <c r="AB678" i="23"/>
  <c r="R678" i="23"/>
  <c r="L678" i="23"/>
  <c r="CC677" i="23"/>
  <c r="CB677" i="23"/>
  <c r="CA677" i="23"/>
  <c r="BZ677" i="23"/>
  <c r="BL677" i="23"/>
  <c r="BF677" i="23"/>
  <c r="AZ677" i="23"/>
  <c r="AT677" i="23"/>
  <c r="AN677" i="23"/>
  <c r="AH677" i="23"/>
  <c r="AB677" i="23"/>
  <c r="R677" i="23"/>
  <c r="L677" i="23"/>
  <c r="CC676" i="23"/>
  <c r="CB676" i="23"/>
  <c r="CA676" i="23"/>
  <c r="BZ676" i="23"/>
  <c r="BL676" i="23"/>
  <c r="BF676" i="23"/>
  <c r="AZ676" i="23"/>
  <c r="AT676" i="23"/>
  <c r="AN676" i="23"/>
  <c r="AH676" i="23"/>
  <c r="AB676" i="23"/>
  <c r="R676" i="23"/>
  <c r="L676" i="23"/>
  <c r="CC675" i="23"/>
  <c r="CB675" i="23"/>
  <c r="CA675" i="23"/>
  <c r="BZ675" i="23"/>
  <c r="BL675" i="23"/>
  <c r="BF675" i="23"/>
  <c r="AZ675" i="23"/>
  <c r="AT675" i="23"/>
  <c r="AN675" i="23"/>
  <c r="AH675" i="23"/>
  <c r="AB675" i="23"/>
  <c r="R675" i="23"/>
  <c r="L675" i="23"/>
  <c r="CC674" i="23"/>
  <c r="CB674" i="23"/>
  <c r="CA674" i="23"/>
  <c r="BZ674" i="23"/>
  <c r="BL674" i="23"/>
  <c r="BF674" i="23"/>
  <c r="AZ674" i="23"/>
  <c r="AT674" i="23"/>
  <c r="AN674" i="23"/>
  <c r="AH674" i="23"/>
  <c r="AB674" i="23"/>
  <c r="R674" i="23"/>
  <c r="L674" i="23"/>
  <c r="CC673" i="23"/>
  <c r="CB673" i="23"/>
  <c r="CA673" i="23"/>
  <c r="BZ673" i="23"/>
  <c r="BL673" i="23"/>
  <c r="BF673" i="23"/>
  <c r="AZ673" i="23"/>
  <c r="AT673" i="23"/>
  <c r="AN673" i="23"/>
  <c r="AH673" i="23"/>
  <c r="AB673" i="23"/>
  <c r="R673" i="23"/>
  <c r="L673" i="23"/>
  <c r="CC636" i="23"/>
  <c r="CB636" i="23"/>
  <c r="CA636" i="23"/>
  <c r="BZ636" i="23"/>
  <c r="BL636" i="23"/>
  <c r="BF636" i="23"/>
  <c r="AZ636" i="23"/>
  <c r="AT636" i="23"/>
  <c r="AN636" i="23"/>
  <c r="AH636" i="23"/>
  <c r="AB636" i="23"/>
  <c r="R636" i="23"/>
  <c r="L636" i="23"/>
  <c r="CC635" i="23"/>
  <c r="CB635" i="23"/>
  <c r="CA635" i="23"/>
  <c r="BZ635" i="23"/>
  <c r="BL635" i="23"/>
  <c r="BF635" i="23"/>
  <c r="AZ635" i="23"/>
  <c r="AT635" i="23"/>
  <c r="AN635" i="23"/>
  <c r="AH635" i="23"/>
  <c r="AB635" i="23"/>
  <c r="R635" i="23"/>
  <c r="L635" i="23"/>
  <c r="CC634" i="23"/>
  <c r="CB634" i="23"/>
  <c r="CA634" i="23"/>
  <c r="BZ634" i="23"/>
  <c r="BL634" i="23"/>
  <c r="BF634" i="23"/>
  <c r="AZ634" i="23"/>
  <c r="AT634" i="23"/>
  <c r="AN634" i="23"/>
  <c r="AH634" i="23"/>
  <c r="AB634" i="23"/>
  <c r="R634" i="23"/>
  <c r="L634" i="23"/>
  <c r="CC633" i="23"/>
  <c r="CB633" i="23"/>
  <c r="CA633" i="23"/>
  <c r="BZ633" i="23"/>
  <c r="BL633" i="23"/>
  <c r="BF633" i="23"/>
  <c r="AZ633" i="23"/>
  <c r="AT633" i="23"/>
  <c r="AN633" i="23"/>
  <c r="AH633" i="23"/>
  <c r="AB633" i="23"/>
  <c r="R633" i="23"/>
  <c r="L633" i="23"/>
  <c r="CC632" i="23"/>
  <c r="CB632" i="23"/>
  <c r="CA632" i="23"/>
  <c r="BZ632" i="23"/>
  <c r="BL632" i="23"/>
  <c r="BF632" i="23"/>
  <c r="AZ632" i="23"/>
  <c r="AT632" i="23"/>
  <c r="AN632" i="23"/>
  <c r="AH632" i="23"/>
  <c r="AB632" i="23"/>
  <c r="R632" i="23"/>
  <c r="L632" i="23"/>
  <c r="CC631" i="23"/>
  <c r="CB631" i="23"/>
  <c r="CA631" i="23"/>
  <c r="BZ631" i="23"/>
  <c r="BL631" i="23"/>
  <c r="BF631" i="23"/>
  <c r="AZ631" i="23"/>
  <c r="AT631" i="23"/>
  <c r="AN631" i="23"/>
  <c r="AH631" i="23"/>
  <c r="AB631" i="23"/>
  <c r="R631" i="23"/>
  <c r="L631" i="23"/>
  <c r="CC534" i="23"/>
  <c r="CB534" i="23"/>
  <c r="CA534" i="23"/>
  <c r="BZ534" i="23"/>
  <c r="BL534" i="23"/>
  <c r="BF534" i="23"/>
  <c r="AZ534" i="23"/>
  <c r="AT534" i="23"/>
  <c r="AN534" i="23"/>
  <c r="AH534" i="23"/>
  <c r="AB534" i="23"/>
  <c r="R534" i="23"/>
  <c r="L534" i="23"/>
  <c r="CC533" i="23"/>
  <c r="CB533" i="23"/>
  <c r="CA533" i="23"/>
  <c r="BZ533" i="23"/>
  <c r="BL533" i="23"/>
  <c r="BF533" i="23"/>
  <c r="AZ533" i="23"/>
  <c r="AT533" i="23"/>
  <c r="AN533" i="23"/>
  <c r="AH533" i="23"/>
  <c r="AB533" i="23"/>
  <c r="R533" i="23"/>
  <c r="L533" i="23"/>
  <c r="CC532" i="23"/>
  <c r="CB532" i="23"/>
  <c r="CA532" i="23"/>
  <c r="BZ532" i="23"/>
  <c r="BL532" i="23"/>
  <c r="BF532" i="23"/>
  <c r="AZ532" i="23"/>
  <c r="AT532" i="23"/>
  <c r="AN532" i="23"/>
  <c r="AH532" i="23"/>
  <c r="AB532" i="23"/>
  <c r="R532" i="23"/>
  <c r="L532" i="23"/>
  <c r="CC531" i="23"/>
  <c r="CB531" i="23"/>
  <c r="CA531" i="23"/>
  <c r="BZ531" i="23"/>
  <c r="BL531" i="23"/>
  <c r="BF531" i="23"/>
  <c r="AZ531" i="23"/>
  <c r="AT531" i="23"/>
  <c r="AN531" i="23"/>
  <c r="AH531" i="23"/>
  <c r="AB531" i="23"/>
  <c r="R531" i="23"/>
  <c r="L531" i="23"/>
  <c r="CC530" i="23"/>
  <c r="CB530" i="23"/>
  <c r="CA530" i="23"/>
  <c r="BZ530" i="23"/>
  <c r="BL530" i="23"/>
  <c r="BF530" i="23"/>
  <c r="AZ530" i="23"/>
  <c r="AT530" i="23"/>
  <c r="AN530" i="23"/>
  <c r="AH530" i="23"/>
  <c r="AB530" i="23"/>
  <c r="R530" i="23"/>
  <c r="L530" i="23"/>
  <c r="CC529" i="23"/>
  <c r="CB529" i="23"/>
  <c r="CA529" i="23"/>
  <c r="BZ529" i="23"/>
  <c r="BL529" i="23"/>
  <c r="BF529" i="23"/>
  <c r="AZ529" i="23"/>
  <c r="AT529" i="23"/>
  <c r="AN529" i="23"/>
  <c r="AH529" i="23"/>
  <c r="AB529" i="23"/>
  <c r="R529" i="23"/>
  <c r="L529" i="23"/>
  <c r="CC528" i="23"/>
  <c r="CB528" i="23"/>
  <c r="CA528" i="23"/>
  <c r="BZ528" i="23"/>
  <c r="BL528" i="23"/>
  <c r="BF528" i="23"/>
  <c r="AZ528" i="23"/>
  <c r="AT528" i="23"/>
  <c r="AN528" i="23"/>
  <c r="AH528" i="23"/>
  <c r="AB528" i="23"/>
  <c r="R528" i="23"/>
  <c r="L528" i="23"/>
  <c r="CC527" i="23"/>
  <c r="CB527" i="23"/>
  <c r="CA527" i="23"/>
  <c r="BZ527" i="23"/>
  <c r="BL527" i="23"/>
  <c r="BF527" i="23"/>
  <c r="AZ527" i="23"/>
  <c r="AT527" i="23"/>
  <c r="AN527" i="23"/>
  <c r="AH527" i="23"/>
  <c r="AB527" i="23"/>
  <c r="R527" i="23"/>
  <c r="L527" i="23"/>
  <c r="CC526" i="23"/>
  <c r="CB526" i="23"/>
  <c r="CA526" i="23"/>
  <c r="BZ526" i="23"/>
  <c r="BL526" i="23"/>
  <c r="BF526" i="23"/>
  <c r="AZ526" i="23"/>
  <c r="AT526" i="23"/>
  <c r="AN526" i="23"/>
  <c r="AH526" i="23"/>
  <c r="AB526" i="23"/>
  <c r="R526" i="23"/>
  <c r="L526" i="23"/>
  <c r="CC525" i="23"/>
  <c r="CB525" i="23"/>
  <c r="CA525" i="23"/>
  <c r="BZ525" i="23"/>
  <c r="BL525" i="23"/>
  <c r="BF525" i="23"/>
  <c r="AZ525" i="23"/>
  <c r="AT525" i="23"/>
  <c r="AN525" i="23"/>
  <c r="AH525" i="23"/>
  <c r="AB525" i="23"/>
  <c r="R525" i="23"/>
  <c r="L525" i="23"/>
  <c r="CC524" i="23"/>
  <c r="CB524" i="23"/>
  <c r="CA524" i="23"/>
  <c r="BZ524" i="23"/>
  <c r="BL524" i="23"/>
  <c r="BF524" i="23"/>
  <c r="AZ524" i="23"/>
  <c r="AT524" i="23"/>
  <c r="AN524" i="23"/>
  <c r="AH524" i="23"/>
  <c r="AB524" i="23"/>
  <c r="R524" i="23"/>
  <c r="L524" i="23"/>
  <c r="CC523" i="23"/>
  <c r="CB523" i="23"/>
  <c r="CA523" i="23"/>
  <c r="BZ523" i="23"/>
  <c r="BL523" i="23"/>
  <c r="BF523" i="23"/>
  <c r="AZ523" i="23"/>
  <c r="AT523" i="23"/>
  <c r="AN523" i="23"/>
  <c r="AH523" i="23"/>
  <c r="AB523" i="23"/>
  <c r="R523" i="23"/>
  <c r="L523" i="23"/>
  <c r="CC522" i="23"/>
  <c r="CB522" i="23"/>
  <c r="CA522" i="23"/>
  <c r="BZ522" i="23"/>
  <c r="BL522" i="23"/>
  <c r="BF522" i="23"/>
  <c r="AZ522" i="23"/>
  <c r="AT522" i="23"/>
  <c r="AN522" i="23"/>
  <c r="AH522" i="23"/>
  <c r="AB522" i="23"/>
  <c r="R522" i="23"/>
  <c r="L522" i="23"/>
  <c r="CC521" i="23"/>
  <c r="CB521" i="23"/>
  <c r="CA521" i="23"/>
  <c r="BZ521" i="23"/>
  <c r="BL521" i="23"/>
  <c r="BF521" i="23"/>
  <c r="AZ521" i="23"/>
  <c r="AT521" i="23"/>
  <c r="AN521" i="23"/>
  <c r="AH521" i="23"/>
  <c r="AB521" i="23"/>
  <c r="R521" i="23"/>
  <c r="L521" i="23"/>
  <c r="CC381" i="23"/>
  <c r="CB381" i="23"/>
  <c r="CA381" i="23"/>
  <c r="BZ381" i="23"/>
  <c r="BL381" i="23"/>
  <c r="BF381" i="23"/>
  <c r="AZ381" i="23"/>
  <c r="AT381" i="23"/>
  <c r="AN381" i="23"/>
  <c r="AH381" i="23"/>
  <c r="AB381" i="23"/>
  <c r="R381" i="23"/>
  <c r="L381" i="23"/>
  <c r="CC380" i="23"/>
  <c r="CB380" i="23"/>
  <c r="CA380" i="23"/>
  <c r="BZ380" i="23"/>
  <c r="BL380" i="23"/>
  <c r="BF380" i="23"/>
  <c r="AZ380" i="23"/>
  <c r="AT380" i="23"/>
  <c r="AN380" i="23"/>
  <c r="AH380" i="23"/>
  <c r="AB380" i="23"/>
  <c r="R380" i="23"/>
  <c r="L380" i="23"/>
  <c r="CC379" i="23"/>
  <c r="CB379" i="23"/>
  <c r="CA379" i="23"/>
  <c r="BZ379" i="23"/>
  <c r="BL379" i="23"/>
  <c r="BF379" i="23"/>
  <c r="AZ379" i="23"/>
  <c r="AT379" i="23"/>
  <c r="AN379" i="23"/>
  <c r="AH379" i="23"/>
  <c r="AB379" i="23"/>
  <c r="R379" i="23"/>
  <c r="L379" i="23"/>
  <c r="CC378" i="23"/>
  <c r="CB378" i="23"/>
  <c r="CA378" i="23"/>
  <c r="BZ378" i="23"/>
  <c r="BL378" i="23"/>
  <c r="BF378" i="23"/>
  <c r="AZ378" i="23"/>
  <c r="AT378" i="23"/>
  <c r="AN378" i="23"/>
  <c r="AH378" i="23"/>
  <c r="AB378" i="23"/>
  <c r="R378" i="23"/>
  <c r="L378" i="23"/>
  <c r="CC377" i="23"/>
  <c r="CB377" i="23"/>
  <c r="CA377" i="23"/>
  <c r="BZ377" i="23"/>
  <c r="BL377" i="23"/>
  <c r="BF377" i="23"/>
  <c r="AZ377" i="23"/>
  <c r="AT377" i="23"/>
  <c r="AN377" i="23"/>
  <c r="AH377" i="23"/>
  <c r="AB377" i="23"/>
  <c r="R377" i="23"/>
  <c r="L377" i="23"/>
  <c r="CC376" i="23"/>
  <c r="CB376" i="23"/>
  <c r="CA376" i="23"/>
  <c r="BZ376" i="23"/>
  <c r="BL376" i="23"/>
  <c r="BF376" i="23"/>
  <c r="AZ376" i="23"/>
  <c r="AT376" i="23"/>
  <c r="AN376" i="23"/>
  <c r="AH376" i="23"/>
  <c r="AB376" i="23"/>
  <c r="R376" i="23"/>
  <c r="L376" i="23"/>
  <c r="CC375" i="23"/>
  <c r="CB375" i="23"/>
  <c r="CA375" i="23"/>
  <c r="BZ375" i="23"/>
  <c r="BL375" i="23"/>
  <c r="BF375" i="23"/>
  <c r="AZ375" i="23"/>
  <c r="AT375" i="23"/>
  <c r="AN375" i="23"/>
  <c r="AH375" i="23"/>
  <c r="AB375" i="23"/>
  <c r="R375" i="23"/>
  <c r="L375" i="23"/>
  <c r="CC374" i="23"/>
  <c r="CB374" i="23"/>
  <c r="CA374" i="23"/>
  <c r="BZ374" i="23"/>
  <c r="BL374" i="23"/>
  <c r="BF374" i="23"/>
  <c r="AZ374" i="23"/>
  <c r="AT374" i="23"/>
  <c r="AN374" i="23"/>
  <c r="AH374" i="23"/>
  <c r="AB374" i="23"/>
  <c r="R374" i="23"/>
  <c r="L374" i="23"/>
  <c r="CC373" i="23"/>
  <c r="CB373" i="23"/>
  <c r="CA373" i="23"/>
  <c r="BZ373" i="23"/>
  <c r="BL373" i="23"/>
  <c r="BF373" i="23"/>
  <c r="AZ373" i="23"/>
  <c r="AT373" i="23"/>
  <c r="AN373" i="23"/>
  <c r="AH373" i="23"/>
  <c r="AB373" i="23"/>
  <c r="R373" i="23"/>
  <c r="L373" i="23"/>
  <c r="CC372" i="23"/>
  <c r="CB372" i="23"/>
  <c r="CA372" i="23"/>
  <c r="BZ372" i="23"/>
  <c r="BL372" i="23"/>
  <c r="BF372" i="23"/>
  <c r="AZ372" i="23"/>
  <c r="AT372" i="23"/>
  <c r="AN372" i="23"/>
  <c r="AH372" i="23"/>
  <c r="AB372" i="23"/>
  <c r="R372" i="23"/>
  <c r="L372" i="23"/>
  <c r="CC326" i="23"/>
  <c r="CB326" i="23"/>
  <c r="CA326" i="23"/>
  <c r="BZ326" i="23"/>
  <c r="BL326" i="23"/>
  <c r="BF326" i="23"/>
  <c r="AZ326" i="23"/>
  <c r="AT326" i="23"/>
  <c r="AN326" i="23"/>
  <c r="AH326" i="23"/>
  <c r="AB326" i="23"/>
  <c r="R326" i="23"/>
  <c r="L326" i="23"/>
  <c r="CC325" i="23"/>
  <c r="CB325" i="23"/>
  <c r="CA325" i="23"/>
  <c r="BZ325" i="23"/>
  <c r="BL325" i="23"/>
  <c r="BF325" i="23"/>
  <c r="AZ325" i="23"/>
  <c r="AT325" i="23"/>
  <c r="AN325" i="23"/>
  <c r="AH325" i="23"/>
  <c r="AB325" i="23"/>
  <c r="R325" i="23"/>
  <c r="L325" i="23"/>
  <c r="CC324" i="23"/>
  <c r="CB324" i="23"/>
  <c r="CA324" i="23"/>
  <c r="BZ324" i="23"/>
  <c r="BL324" i="23"/>
  <c r="BF324" i="23"/>
  <c r="AZ324" i="23"/>
  <c r="AT324" i="23"/>
  <c r="AN324" i="23"/>
  <c r="AH324" i="23"/>
  <c r="AB324" i="23"/>
  <c r="R324" i="23"/>
  <c r="L324" i="23"/>
  <c r="CC323" i="23"/>
  <c r="CB323" i="23"/>
  <c r="CA323" i="23"/>
  <c r="BZ323" i="23"/>
  <c r="BL323" i="23"/>
  <c r="BF323" i="23"/>
  <c r="AZ323" i="23"/>
  <c r="AT323" i="23"/>
  <c r="AN323" i="23"/>
  <c r="AH323" i="23"/>
  <c r="AB323" i="23"/>
  <c r="R323" i="23"/>
  <c r="L323" i="23"/>
  <c r="CC322" i="23"/>
  <c r="CB322" i="23"/>
  <c r="CA322" i="23"/>
  <c r="BZ322" i="23"/>
  <c r="BL322" i="23"/>
  <c r="BF322" i="23"/>
  <c r="AZ322" i="23"/>
  <c r="AT322" i="23"/>
  <c r="AN322" i="23"/>
  <c r="AH322" i="23"/>
  <c r="AB322" i="23"/>
  <c r="R322" i="23"/>
  <c r="L322" i="23"/>
  <c r="CC321" i="23"/>
  <c r="CB321" i="23"/>
  <c r="CA321" i="23"/>
  <c r="BZ321" i="23"/>
  <c r="BL321" i="23"/>
  <c r="BF321" i="23"/>
  <c r="AZ321" i="23"/>
  <c r="AT321" i="23"/>
  <c r="AN321" i="23"/>
  <c r="AH321" i="23"/>
  <c r="AB321" i="23"/>
  <c r="R321" i="23"/>
  <c r="L321" i="23"/>
  <c r="CC290" i="23"/>
  <c r="CB290" i="23"/>
  <c r="CA290" i="23"/>
  <c r="BZ290" i="23"/>
  <c r="BL290" i="23"/>
  <c r="BF290" i="23"/>
  <c r="AZ290" i="23"/>
  <c r="AT290" i="23"/>
  <c r="AN290" i="23"/>
  <c r="AH290" i="23"/>
  <c r="AB290" i="23"/>
  <c r="R290" i="23"/>
  <c r="L290" i="23"/>
  <c r="CC289" i="23"/>
  <c r="CB289" i="23"/>
  <c r="CA289" i="23"/>
  <c r="BZ289" i="23"/>
  <c r="BL289" i="23"/>
  <c r="BF289" i="23"/>
  <c r="AZ289" i="23"/>
  <c r="AT289" i="23"/>
  <c r="AN289" i="23"/>
  <c r="AH289" i="23"/>
  <c r="AB289" i="23"/>
  <c r="R289" i="23"/>
  <c r="L289" i="23"/>
  <c r="CC288" i="23"/>
  <c r="CB288" i="23"/>
  <c r="CA288" i="23"/>
  <c r="BZ288" i="23"/>
  <c r="BL288" i="23"/>
  <c r="BF288" i="23"/>
  <c r="AZ288" i="23"/>
  <c r="AT288" i="23"/>
  <c r="AN288" i="23"/>
  <c r="AH288" i="23"/>
  <c r="AB288" i="23"/>
  <c r="R288" i="23"/>
  <c r="L288" i="23"/>
  <c r="CC287" i="23"/>
  <c r="CB287" i="23"/>
  <c r="CA287" i="23"/>
  <c r="BZ287" i="23"/>
  <c r="BL287" i="23"/>
  <c r="BF287" i="23"/>
  <c r="AZ287" i="23"/>
  <c r="AT287" i="23"/>
  <c r="AN287" i="23"/>
  <c r="AH287" i="23"/>
  <c r="AB287" i="23"/>
  <c r="R287" i="23"/>
  <c r="L287" i="23"/>
  <c r="CC286" i="23"/>
  <c r="CB286" i="23"/>
  <c r="CA286" i="23"/>
  <c r="BZ286" i="23"/>
  <c r="BL286" i="23"/>
  <c r="BF286" i="23"/>
  <c r="AZ286" i="23"/>
  <c r="AT286" i="23"/>
  <c r="AN286" i="23"/>
  <c r="AH286" i="23"/>
  <c r="AB286" i="23"/>
  <c r="R286" i="23"/>
  <c r="L286" i="23"/>
  <c r="CC285" i="23"/>
  <c r="CB285" i="23"/>
  <c r="CA285" i="23"/>
  <c r="BZ285" i="23"/>
  <c r="BL285" i="23"/>
  <c r="BF285" i="23"/>
  <c r="AZ285" i="23"/>
  <c r="AT285" i="23"/>
  <c r="AN285" i="23"/>
  <c r="AH285" i="23"/>
  <c r="AB285" i="23"/>
  <c r="R285" i="23"/>
  <c r="L285" i="23"/>
  <c r="CC245" i="23"/>
  <c r="CB245" i="23"/>
  <c r="CA245" i="23"/>
  <c r="BZ245" i="23"/>
  <c r="BL245" i="23"/>
  <c r="BF245" i="23"/>
  <c r="AZ245" i="23"/>
  <c r="AT245" i="23"/>
  <c r="AN245" i="23"/>
  <c r="AH245" i="23"/>
  <c r="AB245" i="23"/>
  <c r="R245" i="23"/>
  <c r="L245" i="23"/>
  <c r="CC244" i="23"/>
  <c r="CB244" i="23"/>
  <c r="CA244" i="23"/>
  <c r="BZ244" i="23"/>
  <c r="BL244" i="23"/>
  <c r="BF244" i="23"/>
  <c r="AZ244" i="23"/>
  <c r="AT244" i="23"/>
  <c r="AN244" i="23"/>
  <c r="AH244" i="23"/>
  <c r="AB244" i="23"/>
  <c r="R244" i="23"/>
  <c r="L244" i="23"/>
  <c r="CC243" i="23"/>
  <c r="CB243" i="23"/>
  <c r="CA243" i="23"/>
  <c r="BZ243" i="23"/>
  <c r="BL243" i="23"/>
  <c r="BF243" i="23"/>
  <c r="AZ243" i="23"/>
  <c r="AT243" i="23"/>
  <c r="AN243" i="23"/>
  <c r="AH243" i="23"/>
  <c r="AB243" i="23"/>
  <c r="R243" i="23"/>
  <c r="L243" i="23"/>
  <c r="CC242" i="23"/>
  <c r="CB242" i="23"/>
  <c r="CA242" i="23"/>
  <c r="BZ242" i="23"/>
  <c r="BL242" i="23"/>
  <c r="BF242" i="23"/>
  <c r="AZ242" i="23"/>
  <c r="AT242" i="23"/>
  <c r="AN242" i="23"/>
  <c r="AH242" i="23"/>
  <c r="AB242" i="23"/>
  <c r="R242" i="23"/>
  <c r="L242" i="23"/>
  <c r="CC241" i="23"/>
  <c r="CB241" i="23"/>
  <c r="CA241" i="23"/>
  <c r="BZ241" i="23"/>
  <c r="BL241" i="23"/>
  <c r="BF241" i="23"/>
  <c r="AZ241" i="23"/>
  <c r="AT241" i="23"/>
  <c r="AN241" i="23"/>
  <c r="AH241" i="23"/>
  <c r="AB241" i="23"/>
  <c r="R241" i="23"/>
  <c r="L241" i="23"/>
  <c r="CC240" i="23"/>
  <c r="CB240" i="23"/>
  <c r="CA240" i="23"/>
  <c r="BZ240" i="23"/>
  <c r="BL240" i="23"/>
  <c r="BF240" i="23"/>
  <c r="AZ240" i="23"/>
  <c r="AT240" i="23"/>
  <c r="AN240" i="23"/>
  <c r="AH240" i="23"/>
  <c r="AB240" i="23"/>
  <c r="R240" i="23"/>
  <c r="L240" i="23"/>
  <c r="CC239" i="23"/>
  <c r="CB239" i="23"/>
  <c r="CA239" i="23"/>
  <c r="BZ239" i="23"/>
  <c r="BL239" i="23"/>
  <c r="BF239" i="23"/>
  <c r="AZ239" i="23"/>
  <c r="AT239" i="23"/>
  <c r="AN239" i="23"/>
  <c r="AH239" i="23"/>
  <c r="AB239" i="23"/>
  <c r="R239" i="23"/>
  <c r="L239" i="23"/>
  <c r="CC128" i="23"/>
  <c r="CB128" i="23"/>
  <c r="CA128" i="23"/>
  <c r="BZ128" i="23"/>
  <c r="BL128" i="23"/>
  <c r="BF128" i="23"/>
  <c r="AZ128" i="23"/>
  <c r="AT128" i="23"/>
  <c r="AN128" i="23"/>
  <c r="AH128" i="23"/>
  <c r="AB128" i="23"/>
  <c r="R128" i="23"/>
  <c r="L128" i="23"/>
  <c r="CC127" i="23"/>
  <c r="CB127" i="23"/>
  <c r="CA127" i="23"/>
  <c r="BZ127" i="23"/>
  <c r="BL127" i="23"/>
  <c r="BF127" i="23"/>
  <c r="AZ127" i="23"/>
  <c r="AT127" i="23"/>
  <c r="AN127" i="23"/>
  <c r="AH127" i="23"/>
  <c r="AB127" i="23"/>
  <c r="R127" i="23"/>
  <c r="L127" i="23"/>
  <c r="CC126" i="23"/>
  <c r="CB126" i="23"/>
  <c r="CA126" i="23"/>
  <c r="BZ126" i="23"/>
  <c r="BL126" i="23"/>
  <c r="BF126" i="23"/>
  <c r="AZ126" i="23"/>
  <c r="AT126" i="23"/>
  <c r="AN126" i="23"/>
  <c r="AH126" i="23"/>
  <c r="AB126" i="23"/>
  <c r="R126" i="23"/>
  <c r="L126" i="23"/>
  <c r="CC125" i="23"/>
  <c r="CB125" i="23"/>
  <c r="CA125" i="23"/>
  <c r="BZ125" i="23"/>
  <c r="BL125" i="23"/>
  <c r="BF125" i="23"/>
  <c r="AZ125" i="23"/>
  <c r="AT125" i="23"/>
  <c r="AN125" i="23"/>
  <c r="AH125" i="23"/>
  <c r="AB125" i="23"/>
  <c r="R125" i="23"/>
  <c r="L125" i="23"/>
  <c r="CC124" i="23"/>
  <c r="CB124" i="23"/>
  <c r="CA124" i="23"/>
  <c r="BZ124" i="23"/>
  <c r="BL124" i="23"/>
  <c r="BF124" i="23"/>
  <c r="AZ124" i="23"/>
  <c r="AT124" i="23"/>
  <c r="AN124" i="23"/>
  <c r="AH124" i="23"/>
  <c r="AB124" i="23"/>
  <c r="R124" i="23"/>
  <c r="L124" i="23"/>
  <c r="CC123" i="23"/>
  <c r="CB123" i="23"/>
  <c r="CA123" i="23"/>
  <c r="BZ123" i="23"/>
  <c r="BL123" i="23"/>
  <c r="BF123" i="23"/>
  <c r="AZ123" i="23"/>
  <c r="AT123" i="23"/>
  <c r="AN123" i="23"/>
  <c r="AH123" i="23"/>
  <c r="AB123" i="23"/>
  <c r="R123" i="23"/>
  <c r="L123" i="23"/>
  <c r="CC122" i="23"/>
  <c r="CB122" i="23"/>
  <c r="CA122" i="23"/>
  <c r="BZ122" i="23"/>
  <c r="BL122" i="23"/>
  <c r="BF122" i="23"/>
  <c r="AZ122" i="23"/>
  <c r="AT122" i="23"/>
  <c r="AN122" i="23"/>
  <c r="AH122" i="23"/>
  <c r="AB122" i="23"/>
  <c r="R122" i="23"/>
  <c r="L122" i="23"/>
  <c r="CC94" i="23"/>
  <c r="CB94" i="23"/>
  <c r="CA94" i="23"/>
  <c r="BZ94" i="23"/>
  <c r="BL94" i="23"/>
  <c r="BF94" i="23"/>
  <c r="AZ94" i="23"/>
  <c r="AT94" i="23"/>
  <c r="AN94" i="23"/>
  <c r="AH94" i="23"/>
  <c r="AB94" i="23"/>
  <c r="R94" i="23"/>
  <c r="L94" i="23"/>
  <c r="CC93" i="23"/>
  <c r="CB93" i="23"/>
  <c r="CA93" i="23"/>
  <c r="BZ93" i="23"/>
  <c r="BL93" i="23"/>
  <c r="BF93" i="23"/>
  <c r="AZ93" i="23"/>
  <c r="AT93" i="23"/>
  <c r="AN93" i="23"/>
  <c r="AH93" i="23"/>
  <c r="AB93" i="23"/>
  <c r="R93" i="23"/>
  <c r="L93" i="23"/>
  <c r="CC92" i="23"/>
  <c r="CB92" i="23"/>
  <c r="CA92" i="23"/>
  <c r="BZ92" i="23"/>
  <c r="BL92" i="23"/>
  <c r="BF92" i="23"/>
  <c r="AZ92" i="23"/>
  <c r="AT92" i="23"/>
  <c r="AN92" i="23"/>
  <c r="AH92" i="23"/>
  <c r="AB92" i="23"/>
  <c r="R92" i="23"/>
  <c r="L92" i="23"/>
  <c r="CC91" i="23"/>
  <c r="CB91" i="23"/>
  <c r="CA91" i="23"/>
  <c r="BZ91" i="23"/>
  <c r="BL91" i="23"/>
  <c r="BF91" i="23"/>
  <c r="AZ91" i="23"/>
  <c r="AT91" i="23"/>
  <c r="AN91" i="23"/>
  <c r="AH91" i="23"/>
  <c r="AB91" i="23"/>
  <c r="R91" i="23"/>
  <c r="L91" i="23"/>
  <c r="CC90" i="23"/>
  <c r="CB90" i="23"/>
  <c r="CA90" i="23"/>
  <c r="BZ90" i="23"/>
  <c r="BL90" i="23"/>
  <c r="BF90" i="23"/>
  <c r="AZ90" i="23"/>
  <c r="AT90" i="23"/>
  <c r="AN90" i="23"/>
  <c r="AH90" i="23"/>
  <c r="AB90" i="23"/>
  <c r="R90" i="23"/>
  <c r="L90" i="23"/>
  <c r="CC89" i="23"/>
  <c r="CB89" i="23"/>
  <c r="CA89" i="23"/>
  <c r="BZ89" i="23"/>
  <c r="BL89" i="23"/>
  <c r="BF89" i="23"/>
  <c r="AZ89" i="23"/>
  <c r="AT89" i="23"/>
  <c r="AN89" i="23"/>
  <c r="AH89" i="23"/>
  <c r="AB89" i="23"/>
  <c r="R89" i="23"/>
  <c r="L89" i="23"/>
  <c r="CC88" i="23"/>
  <c r="CB88" i="23"/>
  <c r="CA88" i="23"/>
  <c r="BZ88" i="23"/>
  <c r="BL88" i="23"/>
  <c r="BF88" i="23"/>
  <c r="AZ88" i="23"/>
  <c r="AT88" i="23"/>
  <c r="AN88" i="23"/>
  <c r="AH88" i="23"/>
  <c r="AB88" i="23"/>
  <c r="R88" i="23"/>
  <c r="L88" i="23"/>
  <c r="CC87" i="23"/>
  <c r="CB87" i="23"/>
  <c r="CA87" i="23"/>
  <c r="BZ87" i="23"/>
  <c r="BL87" i="23"/>
  <c r="BF87" i="23"/>
  <c r="AZ87" i="23"/>
  <c r="AT87" i="23"/>
  <c r="AN87" i="23"/>
  <c r="AH87" i="23"/>
  <c r="AB87" i="23"/>
  <c r="R87" i="23"/>
  <c r="L87" i="23"/>
  <c r="CC86" i="23"/>
  <c r="CB86" i="23"/>
  <c r="CA86" i="23"/>
  <c r="BZ86" i="23"/>
  <c r="BL86" i="23"/>
  <c r="BF86" i="23"/>
  <c r="AZ86" i="23"/>
  <c r="AT86" i="23"/>
  <c r="AN86" i="23"/>
  <c r="AH86" i="23"/>
  <c r="AB86" i="23"/>
  <c r="R86" i="23"/>
  <c r="L86" i="23"/>
  <c r="CO1" i="23"/>
  <c r="BM1031" i="23" l="1"/>
  <c r="BM1032" i="23"/>
  <c r="BM370" i="23"/>
  <c r="BM369" i="23"/>
  <c r="BM366" i="23"/>
  <c r="BM368" i="23"/>
  <c r="BM672" i="23"/>
  <c r="BM361" i="23"/>
  <c r="BM360" i="23"/>
  <c r="BM359" i="23"/>
  <c r="BM358" i="23"/>
  <c r="BM357" i="23"/>
  <c r="BM356" i="23"/>
  <c r="BM355" i="23"/>
  <c r="BM364" i="23"/>
  <c r="BM363" i="23"/>
  <c r="BM237" i="23"/>
  <c r="BM236" i="23"/>
  <c r="BM238" i="23"/>
  <c r="BM668" i="23"/>
  <c r="BM667" i="23"/>
  <c r="BM669" i="23"/>
  <c r="BM671" i="23"/>
  <c r="BM670" i="23"/>
  <c r="BM630" i="23"/>
  <c r="BM629" i="23"/>
  <c r="BM232" i="23"/>
  <c r="BM230" i="23"/>
  <c r="BM235" i="23"/>
  <c r="BM231" i="23"/>
  <c r="BM229" i="23"/>
  <c r="BM233" i="23"/>
  <c r="BM234" i="23"/>
  <c r="BM1612" i="23"/>
  <c r="BM1611" i="23"/>
  <c r="BM1613" i="23"/>
  <c r="BM967" i="23"/>
  <c r="BM968" i="23"/>
  <c r="BM952" i="23"/>
  <c r="BM953" i="23"/>
  <c r="BM519" i="23"/>
  <c r="BM520" i="23"/>
  <c r="BM626" i="23"/>
  <c r="BM625" i="23"/>
  <c r="BM624" i="23"/>
  <c r="BM628" i="23"/>
  <c r="BM627" i="23"/>
  <c r="BM664" i="23"/>
  <c r="BM660" i="23"/>
  <c r="BM658" i="23"/>
  <c r="BM665" i="23"/>
  <c r="BM663" i="23"/>
  <c r="BM661" i="23"/>
  <c r="BM666" i="23"/>
  <c r="BM662" i="23"/>
  <c r="BM659" i="23"/>
  <c r="BM615" i="23"/>
  <c r="BM618" i="23"/>
  <c r="BM617" i="23"/>
  <c r="BM616" i="23"/>
  <c r="BM657" i="23"/>
  <c r="BM654" i="23"/>
  <c r="BM656" i="23"/>
  <c r="BM655" i="23"/>
  <c r="BM283" i="23"/>
  <c r="BM282" i="23"/>
  <c r="BM903" i="23"/>
  <c r="BM1179" i="23"/>
  <c r="BM1184" i="23"/>
  <c r="BM1182" i="23"/>
  <c r="BM1180" i="23"/>
  <c r="BM1183" i="23"/>
  <c r="BM1177" i="23"/>
  <c r="BM1185" i="23"/>
  <c r="BM1176" i="23"/>
  <c r="BM1187" i="23"/>
  <c r="BM1181" i="23"/>
  <c r="BM1174" i="23"/>
  <c r="BM1186" i="23"/>
  <c r="BM1175" i="23"/>
  <c r="BM1178" i="23"/>
  <c r="BM320" i="23"/>
  <c r="BM340" i="23"/>
  <c r="BM337" i="23"/>
  <c r="BM346" i="23"/>
  <c r="BM344" i="23"/>
  <c r="BM336" i="23"/>
  <c r="BM354" i="23"/>
  <c r="BM353" i="23"/>
  <c r="BM352" i="23"/>
  <c r="BM351" i="23"/>
  <c r="BM350" i="23"/>
  <c r="BM349" i="23"/>
  <c r="BM348" i="23"/>
  <c r="BM347" i="23"/>
  <c r="BM345" i="23"/>
  <c r="BM343" i="23"/>
  <c r="BM341" i="23"/>
  <c r="BM339" i="23"/>
  <c r="BM338" i="23"/>
  <c r="BM342" i="23"/>
  <c r="BM902" i="23"/>
  <c r="BM899" i="23"/>
  <c r="BM901" i="23"/>
  <c r="BM900" i="23"/>
  <c r="BM898" i="23"/>
  <c r="BM335" i="23"/>
  <c r="BM334" i="23"/>
  <c r="BM984" i="23"/>
  <c r="BM985" i="23"/>
  <c r="BM960" i="23"/>
  <c r="BM963" i="23"/>
  <c r="BM959" i="23"/>
  <c r="BM964" i="23"/>
  <c r="BM966" i="23"/>
  <c r="BM962" i="23"/>
  <c r="BM961" i="23"/>
  <c r="BM965" i="23"/>
  <c r="BM849" i="23"/>
  <c r="BM848" i="23"/>
  <c r="BM850" i="23"/>
  <c r="BM851" i="23"/>
  <c r="BM897" i="23"/>
  <c r="BM892" i="23"/>
  <c r="BM896" i="23"/>
  <c r="BM895" i="23"/>
  <c r="BM1348" i="23"/>
  <c r="BM847" i="23"/>
  <c r="BM846" i="23"/>
  <c r="BM1513" i="23"/>
  <c r="BM1512" i="23"/>
  <c r="BM1511" i="23"/>
  <c r="BM309" i="23"/>
  <c r="BM301" i="23"/>
  <c r="BM310" i="23"/>
  <c r="BM313" i="23"/>
  <c r="BM304" i="23"/>
  <c r="BM314" i="23"/>
  <c r="BM312" i="23"/>
  <c r="BM303" i="23"/>
  <c r="BM316" i="23"/>
  <c r="BM306" i="23"/>
  <c r="BM311" i="23"/>
  <c r="BM305" i="23"/>
  <c r="BM318" i="23"/>
  <c r="BM317" i="23"/>
  <c r="BM315" i="23"/>
  <c r="BM308" i="23"/>
  <c r="BM319" i="23"/>
  <c r="BM302" i="23"/>
  <c r="BM224" i="23"/>
  <c r="BM223" i="23"/>
  <c r="BM227" i="23"/>
  <c r="BM226" i="23"/>
  <c r="BM225" i="23"/>
  <c r="BM220" i="23"/>
  <c r="BM221" i="23"/>
  <c r="BM518" i="23"/>
  <c r="BM1609" i="23"/>
  <c r="BM1608" i="23"/>
  <c r="BM1610" i="23"/>
  <c r="BM219" i="23"/>
  <c r="BM218" i="23"/>
  <c r="BM217" i="23"/>
  <c r="BM214" i="23"/>
  <c r="BM215" i="23"/>
  <c r="BM844" i="23"/>
  <c r="BM845" i="23"/>
  <c r="BM1069" i="23"/>
  <c r="BM1072" i="23"/>
  <c r="BM1074" i="23"/>
  <c r="BM1076" i="23"/>
  <c r="BM1071" i="23"/>
  <c r="BM1075" i="23"/>
  <c r="BM1073" i="23"/>
  <c r="BM1070" i="23"/>
  <c r="BM119" i="23"/>
  <c r="BM120" i="23"/>
  <c r="BM197" i="23"/>
  <c r="BM196" i="23"/>
  <c r="BM195" i="23"/>
  <c r="BM194" i="23"/>
  <c r="BM193" i="23"/>
  <c r="BM192" i="23"/>
  <c r="BM191" i="23"/>
  <c r="BM190" i="23"/>
  <c r="BM213" i="23"/>
  <c r="BM210" i="23"/>
  <c r="BM209" i="23"/>
  <c r="BM208" i="23"/>
  <c r="BM207" i="23"/>
  <c r="BM211" i="23"/>
  <c r="BM212" i="23"/>
  <c r="BM181" i="23"/>
  <c r="BM177" i="23"/>
  <c r="BM203" i="23"/>
  <c r="BM189" i="23"/>
  <c r="BM178" i="23"/>
  <c r="BM199" i="23"/>
  <c r="BM188" i="23"/>
  <c r="BM186" i="23"/>
  <c r="BM202" i="23"/>
  <c r="BM184" i="23"/>
  <c r="BM187" i="23"/>
  <c r="BM200" i="23"/>
  <c r="BM182" i="23"/>
  <c r="BM179" i="23"/>
  <c r="BM201" i="23"/>
  <c r="BM183" i="23"/>
  <c r="BM204" i="23"/>
  <c r="BM205" i="23"/>
  <c r="BM180" i="23"/>
  <c r="BM277" i="23"/>
  <c r="BM278" i="23"/>
  <c r="BM279" i="23"/>
  <c r="BM280" i="23"/>
  <c r="BM329" i="23"/>
  <c r="BM330" i="23"/>
  <c r="BM333" i="23"/>
  <c r="BM332" i="23"/>
  <c r="BM331" i="23"/>
  <c r="BM328" i="23"/>
  <c r="BM836" i="23"/>
  <c r="BM835" i="23"/>
  <c r="BM841" i="23"/>
  <c r="BM840" i="23"/>
  <c r="BM839" i="23"/>
  <c r="BM838" i="23"/>
  <c r="BM837" i="23"/>
  <c r="BM842" i="23"/>
  <c r="BM885" i="23"/>
  <c r="BM888" i="23"/>
  <c r="BM889" i="23"/>
  <c r="BM884" i="23"/>
  <c r="BM1507" i="23"/>
  <c r="BM1510" i="23"/>
  <c r="BM1509" i="23"/>
  <c r="BM1508" i="23"/>
  <c r="BM1506" i="23"/>
  <c r="BM1505" i="23"/>
  <c r="BM176" i="23"/>
  <c r="BM171" i="23"/>
  <c r="BM168" i="23"/>
  <c r="BM166" i="23"/>
  <c r="BM164" i="23"/>
  <c r="BM161" i="23"/>
  <c r="BM150" i="23"/>
  <c r="BM148" i="23"/>
  <c r="BM175" i="23"/>
  <c r="BM159" i="23"/>
  <c r="BM147" i="23"/>
  <c r="BM174" i="23"/>
  <c r="BM170" i="23"/>
  <c r="BM163" i="23"/>
  <c r="BM162" i="23"/>
  <c r="BM160" i="23"/>
  <c r="BM158" i="23"/>
  <c r="BM157" i="23"/>
  <c r="BM155" i="23"/>
  <c r="BM153" i="23"/>
  <c r="BM151" i="23"/>
  <c r="BM149" i="23"/>
  <c r="BM173" i="23"/>
  <c r="BM172" i="23"/>
  <c r="BM169" i="23"/>
  <c r="BM167" i="23"/>
  <c r="BM165" i="23"/>
  <c r="BM156" i="23"/>
  <c r="BM154" i="23"/>
  <c r="BM152" i="23"/>
  <c r="BM1503" i="23"/>
  <c r="BM1502" i="23"/>
  <c r="BM652" i="23"/>
  <c r="BM1366" i="23"/>
  <c r="BM1365" i="23"/>
  <c r="BM602" i="23"/>
  <c r="BM608" i="23"/>
  <c r="BM612" i="23"/>
  <c r="BM605" i="23"/>
  <c r="BM610" i="23"/>
  <c r="BM609" i="23"/>
  <c r="BM603" i="23"/>
  <c r="BM606" i="23"/>
  <c r="BM604" i="23"/>
  <c r="BM601" i="23"/>
  <c r="BM599" i="23"/>
  <c r="BM607" i="23"/>
  <c r="BM600" i="23"/>
  <c r="BM613" i="23"/>
  <c r="BM611" i="23"/>
  <c r="BM597" i="23"/>
  <c r="BM146" i="23"/>
  <c r="BM143" i="23"/>
  <c r="BM142" i="23"/>
  <c r="BM144" i="23"/>
  <c r="BM145" i="23"/>
  <c r="BM141" i="23"/>
  <c r="BM1068" i="23"/>
  <c r="BM1065" i="23"/>
  <c r="BM1066" i="23"/>
  <c r="BM1064" i="23"/>
  <c r="BM1063" i="23"/>
  <c r="BM1067" i="23"/>
  <c r="BM1170" i="23"/>
  <c r="BM1171" i="23"/>
  <c r="BM951" i="23"/>
  <c r="BM950" i="23"/>
  <c r="BM998" i="23"/>
  <c r="BM999" i="23"/>
  <c r="BM996" i="23"/>
  <c r="BM994" i="23"/>
  <c r="BM997" i="23"/>
  <c r="BM995" i="23"/>
  <c r="BM25" i="23"/>
  <c r="BM24" i="23"/>
  <c r="BM23" i="23"/>
  <c r="BM22" i="23"/>
  <c r="BM18" i="23"/>
  <c r="BM21" i="23"/>
  <c r="BM20" i="23"/>
  <c r="BM19" i="23"/>
  <c r="BM17" i="23"/>
  <c r="BM16" i="23"/>
  <c r="BM12" i="23"/>
  <c r="BM14" i="23"/>
  <c r="BM1158" i="23"/>
  <c r="BM1159" i="23"/>
  <c r="BM1157" i="23"/>
  <c r="BM1161" i="23"/>
  <c r="BM1160" i="23"/>
  <c r="BM834" i="23"/>
  <c r="BM831" i="23"/>
  <c r="BM832" i="23"/>
  <c r="BM833" i="23"/>
  <c r="BM1656" i="23"/>
  <c r="BM1655" i="23"/>
  <c r="BM1657" i="23"/>
  <c r="BM1654" i="23"/>
  <c r="BM1651" i="23"/>
  <c r="BM1650" i="23"/>
  <c r="BM1649" i="23"/>
  <c r="BM1653" i="23"/>
  <c r="BM1652" i="23"/>
  <c r="BM1383" i="23"/>
  <c r="BM1389" i="23"/>
  <c r="BM1382" i="23"/>
  <c r="BM1393" i="23"/>
  <c r="BM1394" i="23"/>
  <c r="BM1384" i="23"/>
  <c r="BM1386" i="23"/>
  <c r="BM1388" i="23"/>
  <c r="BM1387" i="23"/>
  <c r="BM1385" i="23"/>
  <c r="BM1390" i="23"/>
  <c r="BM1392" i="23"/>
  <c r="BM1391" i="23"/>
  <c r="BM1326" i="23"/>
  <c r="BM1325" i="23"/>
  <c r="BM1328" i="23"/>
  <c r="BM1327" i="23"/>
  <c r="BM1329" i="23"/>
  <c r="BM1324" i="23"/>
  <c r="BM1061" i="23"/>
  <c r="BM1062" i="23"/>
  <c r="BM949" i="23"/>
  <c r="BM1047" i="23"/>
  <c r="BM1049" i="23"/>
  <c r="BM1050" i="23"/>
  <c r="BM1048" i="23"/>
  <c r="BM1046" i="23"/>
  <c r="BM327" i="23"/>
  <c r="BM516" i="23"/>
  <c r="BM517" i="23"/>
  <c r="C1701" i="23"/>
  <c r="B1701" i="23"/>
  <c r="A1701" i="23"/>
  <c r="BM1045" i="23"/>
  <c r="BM1028" i="23"/>
  <c r="BM1021" i="23"/>
  <c r="BM1029" i="23"/>
  <c r="BM1027" i="23"/>
  <c r="BM1025" i="23"/>
  <c r="BM1024" i="23"/>
  <c r="BM1023" i="23"/>
  <c r="BM1020" i="23"/>
  <c r="BM1030" i="23"/>
  <c r="BM1026" i="23"/>
  <c r="BM1022" i="23"/>
  <c r="BM883" i="23"/>
  <c r="BM881" i="23"/>
  <c r="BM773" i="23"/>
  <c r="BM772" i="23"/>
  <c r="BM877" i="23"/>
  <c r="BM874" i="23"/>
  <c r="BM876" i="23"/>
  <c r="BM873" i="23"/>
  <c r="BM875" i="23"/>
  <c r="BM879" i="23"/>
  <c r="BM880" i="23"/>
  <c r="BM829" i="23"/>
  <c r="BM828" i="23"/>
  <c r="BM827" i="23"/>
  <c r="BM755" i="23"/>
  <c r="BM762" i="23"/>
  <c r="BM761" i="23"/>
  <c r="BM768" i="23"/>
  <c r="BM757" i="23"/>
  <c r="BM759" i="23"/>
  <c r="BM766" i="23"/>
  <c r="BM765" i="23"/>
  <c r="BM753" i="23"/>
  <c r="BM763" i="23"/>
  <c r="BM770" i="23"/>
  <c r="BM769" i="23"/>
  <c r="BM754" i="23"/>
  <c r="BM767" i="23"/>
  <c r="BM756" i="23"/>
  <c r="BM760" i="23"/>
  <c r="BM764" i="23"/>
  <c r="BM771" i="23"/>
  <c r="BM758" i="23"/>
  <c r="BM512" i="23"/>
  <c r="BM515" i="23"/>
  <c r="BM513" i="23"/>
  <c r="BM510" i="23"/>
  <c r="BM514" i="23"/>
  <c r="BM511" i="23"/>
  <c r="BM507" i="23"/>
  <c r="BM508" i="23"/>
  <c r="BM651" i="23"/>
  <c r="BM647" i="23"/>
  <c r="BM649" i="23"/>
  <c r="BM648" i="23"/>
  <c r="BM646" i="23"/>
  <c r="BM650" i="23"/>
  <c r="BM300" i="23"/>
  <c r="BM595" i="23"/>
  <c r="BM592" i="23"/>
  <c r="BM587" i="23"/>
  <c r="BM594" i="23"/>
  <c r="BM593" i="23"/>
  <c r="BM591" i="23"/>
  <c r="BM589" i="23"/>
  <c r="BM584" i="23"/>
  <c r="BM596" i="23"/>
  <c r="BM590" i="23"/>
  <c r="BM585" i="23"/>
  <c r="BM598" i="23"/>
  <c r="BM588" i="23"/>
  <c r="BM586" i="23"/>
  <c r="BM505" i="23"/>
  <c r="BM506" i="23"/>
  <c r="BM492" i="23"/>
  <c r="BM495" i="23"/>
  <c r="BM501" i="23"/>
  <c r="BM502" i="23"/>
  <c r="BM497" i="23"/>
  <c r="BM500" i="23"/>
  <c r="BM499" i="23"/>
  <c r="BM503" i="23"/>
  <c r="BM494" i="23"/>
  <c r="BM498" i="23"/>
  <c r="BM1606" i="23"/>
  <c r="BM581" i="23"/>
  <c r="BM578" i="23"/>
  <c r="BM576" i="23"/>
  <c r="BM579" i="23"/>
  <c r="BM582" i="23"/>
  <c r="BM577" i="23"/>
  <c r="BM575" i="23"/>
  <c r="BM583" i="23"/>
  <c r="BM580" i="23"/>
  <c r="BM1379" i="23"/>
  <c r="BM1380" i="23"/>
  <c r="BM1381" i="23"/>
  <c r="BM1317" i="23"/>
  <c r="BM1314" i="23"/>
  <c r="BM1321" i="23"/>
  <c r="BM1320" i="23"/>
  <c r="BM1316" i="23"/>
  <c r="BM1313" i="23"/>
  <c r="BM1315" i="23"/>
  <c r="BM1322" i="23"/>
  <c r="BM1312" i="23"/>
  <c r="BM1319" i="23"/>
  <c r="BM1318" i="23"/>
  <c r="BM823" i="23"/>
  <c r="BM824" i="23"/>
  <c r="BM825" i="23"/>
  <c r="BM826" i="23"/>
  <c r="BM822" i="23"/>
  <c r="BM732" i="23"/>
  <c r="BM731" i="23"/>
  <c r="BM729" i="23"/>
  <c r="BM728" i="23"/>
  <c r="BM750" i="23"/>
  <c r="BM745" i="23"/>
  <c r="BM734" i="23"/>
  <c r="BM742" i="23"/>
  <c r="BM739" i="23"/>
  <c r="BM737" i="23"/>
  <c r="BM744" i="23"/>
  <c r="BM751" i="23"/>
  <c r="BM738" i="23"/>
  <c r="BM743" i="23"/>
  <c r="BM749" i="23"/>
  <c r="BM748" i="23"/>
  <c r="BM740" i="23"/>
  <c r="BM1168" i="23"/>
  <c r="BM1169" i="23"/>
  <c r="BM1167" i="23"/>
  <c r="BM1156" i="23"/>
  <c r="BM1155" i="23"/>
  <c r="BM1154" i="23"/>
  <c r="BM1058" i="23"/>
  <c r="BM1059" i="23"/>
  <c r="BM1060" i="23"/>
  <c r="BM1042" i="23"/>
  <c r="BM1044" i="23"/>
  <c r="BM1041" i="23"/>
  <c r="BM1043" i="23"/>
  <c r="BM118" i="23"/>
  <c r="BM1015" i="23"/>
  <c r="BM1017" i="23"/>
  <c r="BM1016" i="23"/>
  <c r="BM1019" i="23"/>
  <c r="BM1014" i="23"/>
  <c r="BM1018" i="23"/>
  <c r="BM872" i="23"/>
  <c r="BM871" i="23"/>
  <c r="BM870" i="23"/>
  <c r="BM869" i="23"/>
  <c r="BM868" i="23"/>
  <c r="BM867" i="23"/>
  <c r="BM866" i="23"/>
  <c r="BM865" i="23"/>
  <c r="BM864" i="23"/>
  <c r="BM863" i="23"/>
  <c r="BM862" i="23"/>
  <c r="BM821" i="23"/>
  <c r="BM820" i="23"/>
  <c r="BM819" i="23"/>
  <c r="BM818" i="23"/>
  <c r="BM817" i="23"/>
  <c r="BM816" i="23"/>
  <c r="BM815" i="23"/>
  <c r="BM814" i="23"/>
  <c r="BM813" i="23"/>
  <c r="BM812" i="23"/>
  <c r="BM811" i="23"/>
  <c r="BM810" i="23"/>
  <c r="BM809" i="23"/>
  <c r="BM808" i="23"/>
  <c r="BM807" i="23"/>
  <c r="BM806" i="23"/>
  <c r="BM805" i="23"/>
  <c r="BM804" i="23"/>
  <c r="BM803" i="23"/>
  <c r="BM802" i="23"/>
  <c r="BM801" i="23"/>
  <c r="BM800" i="23"/>
  <c r="BM799" i="23"/>
  <c r="BM798" i="23"/>
  <c r="BM797" i="23"/>
  <c r="BM796" i="23"/>
  <c r="BM795" i="23"/>
  <c r="BM794" i="23"/>
  <c r="BM793" i="23"/>
  <c r="BM792" i="23"/>
  <c r="BM791" i="23"/>
  <c r="BM790" i="23"/>
  <c r="BM789" i="23"/>
  <c r="BM691" i="23"/>
  <c r="BM695" i="23"/>
  <c r="BM699" i="23"/>
  <c r="BM703" i="23"/>
  <c r="BM707" i="23"/>
  <c r="BM711" i="23"/>
  <c r="BM715" i="23"/>
  <c r="BM719" i="23"/>
  <c r="BM723" i="23"/>
  <c r="BM727" i="23"/>
  <c r="BM690" i="23"/>
  <c r="BM694" i="23"/>
  <c r="BM698" i="23"/>
  <c r="BM702" i="23"/>
  <c r="BM706" i="23"/>
  <c r="BM710" i="23"/>
  <c r="BM714" i="23"/>
  <c r="BM718" i="23"/>
  <c r="BM722" i="23"/>
  <c r="BM726" i="23"/>
  <c r="BM693" i="23"/>
  <c r="BM697" i="23"/>
  <c r="BM701" i="23"/>
  <c r="BM705" i="23"/>
  <c r="BM709" i="23"/>
  <c r="BM713" i="23"/>
  <c r="BM717" i="23"/>
  <c r="BM721" i="23"/>
  <c r="BM725" i="23"/>
  <c r="BM689" i="23"/>
  <c r="BM692" i="23"/>
  <c r="BM696" i="23"/>
  <c r="BM700" i="23"/>
  <c r="BM704" i="23"/>
  <c r="BM708" i="23"/>
  <c r="BM712" i="23"/>
  <c r="BM716" i="23"/>
  <c r="BM720" i="23"/>
  <c r="BM724" i="23"/>
  <c r="BM572" i="23"/>
  <c r="BM574" i="23"/>
  <c r="BM570" i="23"/>
  <c r="BM571" i="23"/>
  <c r="BM569" i="23"/>
  <c r="BM573" i="23"/>
  <c r="BM643" i="23"/>
  <c r="BM644" i="23"/>
  <c r="BM489" i="23"/>
  <c r="BM488" i="23"/>
  <c r="BM482" i="23"/>
  <c r="BM486" i="23"/>
  <c r="BM478" i="23"/>
  <c r="BM473" i="23"/>
  <c r="BM490" i="23"/>
  <c r="BM468" i="23"/>
  <c r="BM467" i="23"/>
  <c r="BM469" i="23"/>
  <c r="BM463" i="23"/>
  <c r="BM476" i="23"/>
  <c r="BM466" i="23"/>
  <c r="BM475" i="23"/>
  <c r="BM477" i="23"/>
  <c r="BM471" i="23"/>
  <c r="BM484" i="23"/>
  <c r="BM481" i="23"/>
  <c r="BM483" i="23"/>
  <c r="BM485" i="23"/>
  <c r="BM479" i="23"/>
  <c r="BM465" i="23"/>
  <c r="BM464" i="23"/>
  <c r="BM487" i="23"/>
  <c r="BM472" i="23"/>
  <c r="BM480" i="23"/>
  <c r="BM474" i="23"/>
  <c r="BM470" i="23"/>
  <c r="BM458" i="23"/>
  <c r="BM457" i="23"/>
  <c r="BM454" i="23"/>
  <c r="BM455" i="23"/>
  <c r="BM456" i="23"/>
  <c r="BM460" i="23"/>
  <c r="BM461" i="23"/>
  <c r="BM462" i="23"/>
  <c r="BM459" i="23"/>
  <c r="BM437" i="23"/>
  <c r="BM441" i="23"/>
  <c r="BM443" i="23"/>
  <c r="BM448" i="23"/>
  <c r="BM442" i="23"/>
  <c r="BM436" i="23"/>
  <c r="BM447" i="23"/>
  <c r="BM439" i="23"/>
  <c r="BM435" i="23"/>
  <c r="BM432" i="23"/>
  <c r="BM445" i="23"/>
  <c r="BM449" i="23"/>
  <c r="BM446" i="23"/>
  <c r="BM444" i="23"/>
  <c r="BM440" i="23"/>
  <c r="BM438" i="23"/>
  <c r="BM434" i="23"/>
  <c r="BM453" i="23"/>
  <c r="BM452" i="23"/>
  <c r="BM451" i="23"/>
  <c r="BM567" i="23"/>
  <c r="BM566" i="23"/>
  <c r="BM565" i="23"/>
  <c r="BM564" i="23"/>
  <c r="BM563" i="23"/>
  <c r="BM562" i="23"/>
  <c r="BM557" i="23"/>
  <c r="BM560" i="23"/>
  <c r="BM559" i="23"/>
  <c r="BM555" i="23"/>
  <c r="BM556" i="23"/>
  <c r="BM558" i="23"/>
  <c r="BM641" i="23"/>
  <c r="BM640" i="23"/>
  <c r="BM642" i="23"/>
  <c r="BM1301" i="23"/>
  <c r="BM1310" i="23"/>
  <c r="BM1304" i="23"/>
  <c r="BM1305" i="23"/>
  <c r="BM1307" i="23"/>
  <c r="BM1306" i="23"/>
  <c r="BM1308" i="23"/>
  <c r="BM1309" i="23"/>
  <c r="BM1303" i="23"/>
  <c r="BM1302" i="23"/>
  <c r="BM84" i="23"/>
  <c r="BM1144" i="23"/>
  <c r="BM1143" i="23"/>
  <c r="BM1142" i="23"/>
  <c r="BM1139" i="23"/>
  <c r="BM1138" i="23"/>
  <c r="BM1137" i="23"/>
  <c r="BM1136" i="23"/>
  <c r="BM1135" i="23"/>
  <c r="BM1134" i="23"/>
  <c r="BM1133" i="23"/>
  <c r="BM1132" i="23"/>
  <c r="BM1146" i="23"/>
  <c r="BM1153" i="23"/>
  <c r="BM1147" i="23"/>
  <c r="BM1152" i="23"/>
  <c r="BM1151" i="23"/>
  <c r="BM1150" i="23"/>
  <c r="BM639" i="23"/>
  <c r="BM638" i="23"/>
  <c r="BM637" i="23"/>
  <c r="BM543" i="23"/>
  <c r="BM544" i="23"/>
  <c r="BM547" i="23"/>
  <c r="BM551" i="23"/>
  <c r="BM549" i="23"/>
  <c r="BM553" i="23"/>
  <c r="BM546" i="23"/>
  <c r="BM554" i="23"/>
  <c r="BM550" i="23"/>
  <c r="BM548" i="23"/>
  <c r="BM427" i="23"/>
  <c r="BM428" i="23"/>
  <c r="BM430" i="23"/>
  <c r="BM431" i="23"/>
  <c r="BM429" i="23"/>
  <c r="BM419" i="23"/>
  <c r="BM423" i="23"/>
  <c r="BM422" i="23"/>
  <c r="BM421" i="23"/>
  <c r="BM417" i="23"/>
  <c r="BM424" i="23"/>
  <c r="BM425" i="23"/>
  <c r="BM416" i="23"/>
  <c r="BM418" i="23"/>
  <c r="BM686" i="23"/>
  <c r="BM684" i="23"/>
  <c r="BM687" i="23"/>
  <c r="BM685" i="23"/>
  <c r="BM276" i="23"/>
  <c r="BM787" i="23"/>
  <c r="BM786" i="23"/>
  <c r="BM788" i="23"/>
  <c r="BM1277" i="23"/>
  <c r="BM1280" i="23"/>
  <c r="BM1275" i="23"/>
  <c r="BM1268" i="23"/>
  <c r="BM1298" i="23"/>
  <c r="BM1281" i="23"/>
  <c r="BM1284" i="23"/>
  <c r="BM1279" i="23"/>
  <c r="BM1270" i="23"/>
  <c r="BM1285" i="23"/>
  <c r="BM1288" i="23"/>
  <c r="BM1283" i="23"/>
  <c r="BM1274" i="23"/>
  <c r="BM1278" i="23"/>
  <c r="BM1296" i="23"/>
  <c r="BM1282" i="23"/>
  <c r="BM1297" i="23"/>
  <c r="BM1269" i="23"/>
  <c r="BM1271" i="23"/>
  <c r="BM1295" i="23"/>
  <c r="BM1290" i="23"/>
  <c r="BM1294" i="23"/>
  <c r="BM1289" i="23"/>
  <c r="BM1292" i="23"/>
  <c r="BM1287" i="23"/>
  <c r="BM1300" i="23"/>
  <c r="BM1272" i="23"/>
  <c r="BM1273" i="23"/>
  <c r="BM1293" i="23"/>
  <c r="BM1291" i="23"/>
  <c r="BM1286" i="23"/>
  <c r="BM1299" i="23"/>
  <c r="BM1276" i="23"/>
  <c r="BM274" i="23"/>
  <c r="BM1012" i="23"/>
  <c r="BM1013" i="23"/>
  <c r="BM1039" i="23"/>
  <c r="BM1038" i="23"/>
  <c r="BM1040" i="23"/>
  <c r="BM1008" i="23"/>
  <c r="BM1010" i="23"/>
  <c r="BM1011" i="23"/>
  <c r="BM1009" i="23"/>
  <c r="BM1633" i="23"/>
  <c r="BM1636" i="23"/>
  <c r="BM1638" i="23"/>
  <c r="BM1637" i="23"/>
  <c r="BM1635" i="23"/>
  <c r="BM1639" i="23"/>
  <c r="BM1644" i="23"/>
  <c r="BM1642" i="23"/>
  <c r="BM1643" i="23"/>
  <c r="BM1645" i="23"/>
  <c r="BM1640" i="23"/>
  <c r="BM1646" i="23"/>
  <c r="BM1647" i="23"/>
  <c r="BM1641" i="23"/>
  <c r="BM1497" i="23"/>
  <c r="BM1500" i="23"/>
  <c r="BM1499" i="23"/>
  <c r="BM1501" i="23"/>
  <c r="BM1498" i="23"/>
  <c r="BM1631" i="23"/>
  <c r="BM1630" i="23"/>
  <c r="BM1629" i="23"/>
  <c r="BM1628" i="23"/>
  <c r="BM1627" i="23"/>
  <c r="BM1605" i="23"/>
  <c r="BM1604" i="23"/>
  <c r="BM1603" i="23"/>
  <c r="BM1602" i="23"/>
  <c r="BM1601" i="23"/>
  <c r="BM1600" i="23"/>
  <c r="BM1599" i="23"/>
  <c r="BM1598" i="23"/>
  <c r="BM1597" i="23"/>
  <c r="BM1596" i="23"/>
  <c r="BM1595" i="23"/>
  <c r="BM1594" i="23"/>
  <c r="BM1593" i="23"/>
  <c r="BM1592" i="23"/>
  <c r="BM1591" i="23"/>
  <c r="BM1590" i="23"/>
  <c r="BM1589" i="23"/>
  <c r="BM1588" i="23"/>
  <c r="BM1587" i="23"/>
  <c r="BM1586" i="23"/>
  <c r="BM1585" i="23"/>
  <c r="BM1584" i="23"/>
  <c r="BM1583" i="23"/>
  <c r="BM1496" i="23"/>
  <c r="BM1495" i="23"/>
  <c r="BM1494" i="23"/>
  <c r="BM1493" i="23"/>
  <c r="BM1492" i="23"/>
  <c r="BM271" i="23"/>
  <c r="BM273" i="23"/>
  <c r="BM272" i="23"/>
  <c r="BM294" i="23"/>
  <c r="BM295" i="23"/>
  <c r="BM297" i="23"/>
  <c r="BM296" i="23"/>
  <c r="BM298" i="23"/>
  <c r="BM292" i="23"/>
  <c r="BM299" i="23"/>
  <c r="BM291" i="23"/>
  <c r="BM293" i="23"/>
  <c r="BM269" i="23"/>
  <c r="BM270" i="23"/>
  <c r="BM268" i="23"/>
  <c r="BM115" i="23"/>
  <c r="BM116" i="23"/>
  <c r="BM117" i="23"/>
  <c r="BM1480" i="23"/>
  <c r="BM1488" i="23"/>
  <c r="BM1484" i="23"/>
  <c r="BM1479" i="23"/>
  <c r="BM1486" i="23"/>
  <c r="BM1483" i="23"/>
  <c r="BM1481" i="23"/>
  <c r="BM1485" i="23"/>
  <c r="BM1491" i="23"/>
  <c r="BM1489" i="23"/>
  <c r="BM1487" i="23"/>
  <c r="BM1482" i="23"/>
  <c r="BM1490" i="23"/>
  <c r="BM1626" i="23"/>
  <c r="BM1625" i="23"/>
  <c r="BM1006" i="23"/>
  <c r="BM1004" i="23"/>
  <c r="BM1003" i="23"/>
  <c r="BM1002" i="23"/>
  <c r="BM1001" i="23"/>
  <c r="BM1007" i="23"/>
  <c r="BM1005" i="23"/>
  <c r="BM1000" i="23"/>
  <c r="BM1582" i="23"/>
  <c r="BM1581" i="23"/>
  <c r="BM1579" i="23"/>
  <c r="BM1580" i="23"/>
  <c r="BM1473" i="23"/>
  <c r="BM1476" i="23"/>
  <c r="BM1474" i="23"/>
  <c r="BM1475" i="23"/>
  <c r="BM265" i="23"/>
  <c r="BM267" i="23"/>
  <c r="BM266" i="23"/>
  <c r="BM80" i="23"/>
  <c r="BM82" i="23"/>
  <c r="BM81" i="23"/>
  <c r="BM79" i="23"/>
  <c r="BM410" i="23"/>
  <c r="BM414" i="23"/>
  <c r="BM411" i="23"/>
  <c r="BM415" i="23"/>
  <c r="BM65" i="23"/>
  <c r="BM55" i="23"/>
  <c r="BM64" i="23"/>
  <c r="BM61" i="23"/>
  <c r="BM58" i="23"/>
  <c r="BM56" i="23"/>
  <c r="BM53" i="23"/>
  <c r="BM67" i="23"/>
  <c r="BM63" i="23"/>
  <c r="BM60" i="23"/>
  <c r="BM57" i="23"/>
  <c r="BM66" i="23"/>
  <c r="BM62" i="23"/>
  <c r="BM59" i="23"/>
  <c r="BM54" i="23"/>
  <c r="BM52" i="23"/>
  <c r="BM71" i="23"/>
  <c r="BM68" i="23"/>
  <c r="BM70" i="23"/>
  <c r="BM74" i="23"/>
  <c r="BM72" i="23"/>
  <c r="BM75" i="23"/>
  <c r="BM69" i="23"/>
  <c r="BM76" i="23"/>
  <c r="BM77" i="23"/>
  <c r="BM73" i="23"/>
  <c r="BM78" i="23"/>
  <c r="BM264" i="23"/>
  <c r="BM1470" i="23"/>
  <c r="BM1472" i="23"/>
  <c r="BM1471" i="23"/>
  <c r="BM1469" i="23"/>
  <c r="BM1467" i="23"/>
  <c r="BM1468" i="23"/>
  <c r="BM683" i="23"/>
  <c r="BM682" i="23"/>
  <c r="BM993" i="23"/>
  <c r="BM991" i="23"/>
  <c r="BM992" i="23"/>
  <c r="BM1377" i="23"/>
  <c r="BM1266" i="23"/>
  <c r="BM1267" i="23"/>
  <c r="BM1578" i="23"/>
  <c r="BM1359" i="23"/>
  <c r="BM1353" i="23"/>
  <c r="BM1351" i="23"/>
  <c r="BM1355" i="23"/>
  <c r="BM1358" i="23"/>
  <c r="BM1352" i="23"/>
  <c r="BM1361" i="23"/>
  <c r="BM1357" i="23"/>
  <c r="BM1354" i="23"/>
  <c r="BM1350" i="23"/>
  <c r="BM1360" i="23"/>
  <c r="BM1349" i="23"/>
  <c r="BM1363" i="23"/>
  <c r="BM1364" i="23"/>
  <c r="BM1466" i="23"/>
  <c r="BM1465" i="23"/>
  <c r="BM1347" i="23"/>
  <c r="BM1346" i="23"/>
  <c r="BM1345" i="23"/>
  <c r="BM1253" i="23"/>
  <c r="BM1262" i="23"/>
  <c r="BM1260" i="23"/>
  <c r="BM1255" i="23"/>
  <c r="BM1264" i="23"/>
  <c r="BM1261" i="23"/>
  <c r="BM1259" i="23"/>
  <c r="BM1257" i="23"/>
  <c r="BM1265" i="23"/>
  <c r="BM1258" i="23"/>
  <c r="BM1256" i="23"/>
  <c r="BM1254" i="23"/>
  <c r="BM1462" i="23"/>
  <c r="BM1455" i="23"/>
  <c r="BM1459" i="23"/>
  <c r="BM1458" i="23"/>
  <c r="BM1460" i="23"/>
  <c r="BM1456" i="23"/>
  <c r="BM1463" i="23"/>
  <c r="BM1454" i="23"/>
  <c r="BM385" i="23"/>
  <c r="BM1416" i="23"/>
  <c r="BM1574" i="23"/>
  <c r="BM1576" i="23"/>
  <c r="BM1575" i="23"/>
  <c r="BM1577" i="23"/>
  <c r="BM1450" i="23"/>
  <c r="BM1452" i="23"/>
  <c r="BM1451" i="23"/>
  <c r="BM1453" i="23"/>
  <c r="BM1449" i="23"/>
  <c r="BM1245" i="23"/>
  <c r="BM1250" i="23"/>
  <c r="BM1244" i="23"/>
  <c r="BM1248" i="23"/>
  <c r="BM1252" i="23"/>
  <c r="BM1249" i="23"/>
  <c r="BM1247" i="23"/>
  <c r="BM1251" i="23"/>
  <c r="BM1246" i="23"/>
  <c r="BM1057" i="23"/>
  <c r="BM1056" i="23"/>
  <c r="BM1563" i="23"/>
  <c r="BM1569" i="23"/>
  <c r="BM1573" i="23"/>
  <c r="BM1571" i="23"/>
  <c r="BM1572" i="23"/>
  <c r="BM1570" i="23"/>
  <c r="BM1555" i="23"/>
  <c r="BM1559" i="23"/>
  <c r="BM1560" i="23"/>
  <c r="BM1564" i="23"/>
  <c r="BM1566" i="23"/>
  <c r="BM1567" i="23"/>
  <c r="BM1557" i="23"/>
  <c r="BM1554" i="23"/>
  <c r="BM1562" i="23"/>
  <c r="BM1556" i="23"/>
  <c r="BM1558" i="23"/>
  <c r="BM1445" i="23"/>
  <c r="BM1443" i="23"/>
  <c r="BM1441" i="23"/>
  <c r="BM1448" i="23"/>
  <c r="BM1447" i="23"/>
  <c r="BM1446" i="23"/>
  <c r="BM1444" i="23"/>
  <c r="BM1442" i="23"/>
  <c r="BM1436" i="23"/>
  <c r="BM1430" i="23"/>
  <c r="BM1434" i="23"/>
  <c r="BM1429" i="23"/>
  <c r="BM1432" i="23"/>
  <c r="BM1437" i="23"/>
  <c r="BM1433" i="23"/>
  <c r="BM1427" i="23"/>
  <c r="BM1435" i="23"/>
  <c r="BM1431" i="23"/>
  <c r="BM1428" i="23"/>
  <c r="BM1426" i="23"/>
  <c r="BM1440" i="23"/>
  <c r="BM1425" i="23"/>
  <c r="BM1439" i="23"/>
  <c r="BM1424" i="23"/>
  <c r="BM1624" i="23"/>
  <c r="BM1623" i="23"/>
  <c r="BM1552" i="23"/>
  <c r="BM1549" i="23"/>
  <c r="BM1546" i="23"/>
  <c r="BM1533" i="23"/>
  <c r="BM1536" i="23"/>
  <c r="BM1551" i="23"/>
  <c r="BM1548" i="23"/>
  <c r="BM1545" i="23"/>
  <c r="BM1544" i="23"/>
  <c r="BM1543" i="23"/>
  <c r="BM1539" i="23"/>
  <c r="BM1537" i="23"/>
  <c r="BM1535" i="23"/>
  <c r="BM1550" i="23"/>
  <c r="BM1542" i="23"/>
  <c r="BM1540" i="23"/>
  <c r="BM1534" i="23"/>
  <c r="BM1525" i="23"/>
  <c r="BM1526" i="23"/>
  <c r="BM1529" i="23"/>
  <c r="BM1530" i="23"/>
  <c r="BM1532" i="23"/>
  <c r="BM1524" i="23"/>
  <c r="BM1528" i="23"/>
  <c r="BM1523" i="23"/>
  <c r="BM1527" i="23"/>
  <c r="BM1531" i="23"/>
  <c r="BM1412" i="23"/>
  <c r="BM1410" i="23"/>
  <c r="BM1420" i="23"/>
  <c r="BM1411" i="23"/>
  <c r="BM1413" i="23"/>
  <c r="BM1415" i="23"/>
  <c r="BM1423" i="23"/>
  <c r="BM1417" i="23"/>
  <c r="BM1422" i="23"/>
  <c r="I1691" i="23"/>
  <c r="I1695" i="23"/>
  <c r="BM48" i="23"/>
  <c r="BM49" i="23"/>
  <c r="BM44" i="23"/>
  <c r="BM50" i="23"/>
  <c r="BM45" i="23"/>
  <c r="BM42" i="23"/>
  <c r="BM47" i="23"/>
  <c r="BM43" i="23"/>
  <c r="BM257" i="23"/>
  <c r="BM260" i="23"/>
  <c r="BM261" i="23"/>
  <c r="BM256" i="23"/>
  <c r="BM262" i="23"/>
  <c r="BM258" i="23"/>
  <c r="BM541" i="23"/>
  <c r="BM538" i="23"/>
  <c r="BM539" i="23"/>
  <c r="BM405" i="23"/>
  <c r="BM404" i="23"/>
  <c r="BM402" i="23"/>
  <c r="BM408" i="23"/>
  <c r="BM407" i="23"/>
  <c r="BM392" i="23"/>
  <c r="BM388" i="23"/>
  <c r="BM391" i="23"/>
  <c r="BM387" i="23"/>
  <c r="BM394" i="23"/>
  <c r="BM395" i="23"/>
  <c r="BM399" i="23"/>
  <c r="BM390" i="23"/>
  <c r="BM396" i="23"/>
  <c r="BM400" i="23"/>
  <c r="BM398" i="23"/>
  <c r="BM389" i="23"/>
  <c r="BM393" i="23"/>
  <c r="BM397" i="23"/>
  <c r="B1697" i="23"/>
  <c r="D1696" i="23"/>
  <c r="I1692" i="23"/>
  <c r="G1697" i="23"/>
  <c r="K1690" i="23"/>
  <c r="K1694" i="23"/>
  <c r="B1696" i="23"/>
  <c r="K1693" i="23"/>
  <c r="C1697" i="23"/>
  <c r="E1696" i="23"/>
  <c r="K1692" i="23"/>
  <c r="D1697" i="23"/>
  <c r="G1696" i="23"/>
  <c r="E1697" i="23"/>
  <c r="H1696" i="23"/>
  <c r="K1691" i="23"/>
  <c r="K1695" i="23"/>
  <c r="I1690" i="23"/>
  <c r="I1694" i="23"/>
  <c r="I1693" i="23"/>
  <c r="C1696" i="23"/>
  <c r="BM1344" i="23"/>
  <c r="BM1343" i="23"/>
  <c r="BM1342" i="23"/>
  <c r="BM1341" i="23"/>
  <c r="BM1340" i="23"/>
  <c r="BM1339" i="23"/>
  <c r="BM1243" i="23"/>
  <c r="BM1242" i="23"/>
  <c r="BM1241" i="23"/>
  <c r="BM1240" i="23"/>
  <c r="BM1239" i="23"/>
  <c r="BM1238" i="23"/>
  <c r="BM1237" i="23"/>
  <c r="BM1236" i="23"/>
  <c r="BM1235" i="23"/>
  <c r="BM1234" i="23"/>
  <c r="BM1233" i="23"/>
  <c r="BM1232" i="23"/>
  <c r="BM1230" i="23"/>
  <c r="BM1229" i="23"/>
  <c r="BM1227" i="23"/>
  <c r="BM1226" i="23"/>
  <c r="BM1225" i="23"/>
  <c r="BM1224" i="23"/>
  <c r="BM1223" i="23"/>
  <c r="BM1222" i="23"/>
  <c r="BM1221" i="23"/>
  <c r="BM1219" i="23"/>
  <c r="BM1217" i="23"/>
  <c r="BM1215" i="23"/>
  <c r="BM1213" i="23"/>
  <c r="BM1211" i="23"/>
  <c r="BM1209" i="23"/>
  <c r="BM1220" i="23"/>
  <c r="BM1218" i="23"/>
  <c r="BM1216" i="23"/>
  <c r="BM1214" i="23"/>
  <c r="BM1212" i="23"/>
  <c r="BM1210" i="23"/>
  <c r="BM1208" i="23"/>
  <c r="BM537" i="23"/>
  <c r="BM536" i="23"/>
  <c r="BM535" i="23"/>
  <c r="BM386" i="23"/>
  <c r="BM384" i="23"/>
  <c r="BM383" i="23"/>
  <c r="BM382" i="23"/>
  <c r="BM239" i="23"/>
  <c r="CD239" i="23"/>
  <c r="CE239" i="23" s="1"/>
  <c r="BM241" i="23"/>
  <c r="CD241" i="23"/>
  <c r="CE241" i="23" s="1"/>
  <c r="BM255" i="23"/>
  <c r="BM253" i="23"/>
  <c r="BM252" i="23"/>
  <c r="BM251" i="23"/>
  <c r="BM250" i="23"/>
  <c r="BM248" i="23"/>
  <c r="BM247" i="23"/>
  <c r="BM246" i="23"/>
  <c r="BM243" i="23"/>
  <c r="BM1374" i="23"/>
  <c r="BM1376" i="23"/>
  <c r="BM1396" i="23"/>
  <c r="BM1398" i="23"/>
  <c r="BM1400" i="23"/>
  <c r="BM1402" i="23"/>
  <c r="BM1663" i="23"/>
  <c r="BM1665" i="23"/>
  <c r="BM1667" i="23"/>
  <c r="BM1669" i="23"/>
  <c r="BM1671" i="23"/>
  <c r="BM1673" i="23"/>
  <c r="BM1675" i="23"/>
  <c r="BM140" i="23"/>
  <c r="BM139" i="23"/>
  <c r="BM137" i="23"/>
  <c r="BM136" i="23"/>
  <c r="BM135" i="23"/>
  <c r="BM134" i="23"/>
  <c r="BM133" i="23"/>
  <c r="BM132" i="23"/>
  <c r="BM131" i="23"/>
  <c r="BM130" i="23"/>
  <c r="BM129" i="23"/>
  <c r="B1680" i="23"/>
  <c r="BM122" i="23"/>
  <c r="CD122" i="23"/>
  <c r="CE122" i="23" s="1"/>
  <c r="BM124" i="23"/>
  <c r="CD124" i="23"/>
  <c r="CE124" i="23" s="1"/>
  <c r="BM126" i="23"/>
  <c r="CD126" i="23"/>
  <c r="CE126" i="23" s="1"/>
  <c r="BM128" i="23"/>
  <c r="CD128" i="23"/>
  <c r="CE128" i="23" s="1"/>
  <c r="BM1189" i="23"/>
  <c r="BM1191" i="23"/>
  <c r="BM1193" i="23"/>
  <c r="BM1195" i="23"/>
  <c r="BM1197" i="23"/>
  <c r="BM1199" i="23"/>
  <c r="BM1201" i="23"/>
  <c r="BM1203" i="23"/>
  <c r="BM1205" i="23"/>
  <c r="BM1207" i="23"/>
  <c r="BM1332" i="23"/>
  <c r="BM1333" i="23"/>
  <c r="BM1335" i="23"/>
  <c r="BM1337" i="23"/>
  <c r="BM1368" i="23"/>
  <c r="BM1370" i="23"/>
  <c r="BM1372" i="23"/>
  <c r="BM1403" i="23"/>
  <c r="BM1405" i="23"/>
  <c r="BM1407" i="23"/>
  <c r="BM1409" i="23"/>
  <c r="BM1515" i="23"/>
  <c r="BM1517" i="23"/>
  <c r="BM1519" i="23"/>
  <c r="BM1521" i="23"/>
  <c r="BM1614" i="23"/>
  <c r="BM1616" i="23"/>
  <c r="BM1618" i="23"/>
  <c r="BM1620" i="23"/>
  <c r="BM1622" i="23"/>
  <c r="BM1659" i="23"/>
  <c r="BM1661" i="23"/>
  <c r="BM110" i="23"/>
  <c r="BM109" i="23"/>
  <c r="BM108" i="23"/>
  <c r="BM107" i="23"/>
  <c r="BM106" i="23"/>
  <c r="BM105" i="23"/>
  <c r="BM114" i="23"/>
  <c r="BM113" i="23"/>
  <c r="BM112" i="23"/>
  <c r="BM103" i="23"/>
  <c r="BM102" i="23"/>
  <c r="BM101" i="23"/>
  <c r="BM99" i="23"/>
  <c r="BM98" i="23"/>
  <c r="BM96" i="23"/>
  <c r="BM95" i="23"/>
  <c r="BM88" i="23"/>
  <c r="CD88" i="23"/>
  <c r="CE88" i="23" s="1"/>
  <c r="BM90" i="23"/>
  <c r="CD90" i="23"/>
  <c r="CE90" i="23" s="1"/>
  <c r="BM92" i="23"/>
  <c r="CD92" i="23"/>
  <c r="CE92" i="23" s="1"/>
  <c r="BM94" i="23"/>
  <c r="CD94" i="23"/>
  <c r="CE94" i="23" s="1"/>
  <c r="BM244" i="23"/>
  <c r="CD244" i="23"/>
  <c r="CE244" i="23" s="1"/>
  <c r="BM286" i="23"/>
  <c r="CD286" i="23"/>
  <c r="CE286" i="23" s="1"/>
  <c r="BM288" i="23"/>
  <c r="CD288" i="23"/>
  <c r="CE288" i="23" s="1"/>
  <c r="BM289" i="23"/>
  <c r="CD289" i="23"/>
  <c r="CE289" i="23" s="1"/>
  <c r="BM322" i="23"/>
  <c r="CD322" i="23"/>
  <c r="CE322" i="23" s="1"/>
  <c r="BM324" i="23"/>
  <c r="CD324" i="23"/>
  <c r="CE324" i="23" s="1"/>
  <c r="BM372" i="23"/>
  <c r="CD372" i="23"/>
  <c r="CE372" i="23" s="1"/>
  <c r="BM375" i="23"/>
  <c r="CD375" i="23"/>
  <c r="CE375" i="23" s="1"/>
  <c r="BM377" i="23"/>
  <c r="CD377" i="23"/>
  <c r="CE377" i="23" s="1"/>
  <c r="BM379" i="23"/>
  <c r="CD379" i="23"/>
  <c r="CE379" i="23" s="1"/>
  <c r="BM381" i="23"/>
  <c r="CD381" i="23"/>
  <c r="CE381" i="23" s="1"/>
  <c r="BM521" i="23"/>
  <c r="CD521" i="23"/>
  <c r="CE521" i="23" s="1"/>
  <c r="BM523" i="23"/>
  <c r="CD523" i="23"/>
  <c r="CE523" i="23" s="1"/>
  <c r="BM525" i="23"/>
  <c r="CD525" i="23"/>
  <c r="CE525" i="23" s="1"/>
  <c r="BM527" i="23"/>
  <c r="CD527" i="23"/>
  <c r="CE527" i="23" s="1"/>
  <c r="BM529" i="23"/>
  <c r="CD529" i="23"/>
  <c r="CE529" i="23" s="1"/>
  <c r="BM531" i="23"/>
  <c r="CD531" i="23"/>
  <c r="CE531" i="23" s="1"/>
  <c r="BM533" i="23"/>
  <c r="CD533" i="23"/>
  <c r="CE533" i="23" s="1"/>
  <c r="BM632" i="23"/>
  <c r="CD632" i="23"/>
  <c r="CE632" i="23" s="1"/>
  <c r="BM634" i="23"/>
  <c r="CD634" i="23"/>
  <c r="CE634" i="23" s="1"/>
  <c r="BM636" i="23"/>
  <c r="CD636" i="23"/>
  <c r="CE636" i="23" s="1"/>
  <c r="BM674" i="23"/>
  <c r="CD674" i="23"/>
  <c r="CE674" i="23" s="1"/>
  <c r="BM676" i="23"/>
  <c r="CD676" i="23"/>
  <c r="CE676" i="23" s="1"/>
  <c r="BM678" i="23"/>
  <c r="CD678" i="23"/>
  <c r="CE678" i="23" s="1"/>
  <c r="BM680" i="23"/>
  <c r="CD680" i="23"/>
  <c r="CE680" i="23" s="1"/>
  <c r="BM774" i="23"/>
  <c r="CD774" i="23"/>
  <c r="CE774" i="23" s="1"/>
  <c r="BM776" i="23"/>
  <c r="CD776" i="23"/>
  <c r="CE776" i="23" s="1"/>
  <c r="BM778" i="23"/>
  <c r="CD778" i="23"/>
  <c r="CE778" i="23" s="1"/>
  <c r="BM780" i="23"/>
  <c r="CD780" i="23"/>
  <c r="CE780" i="23" s="1"/>
  <c r="BM782" i="23"/>
  <c r="CD782" i="23"/>
  <c r="CE782" i="23" s="1"/>
  <c r="BM784" i="23"/>
  <c r="CD784" i="23"/>
  <c r="CE784" i="23" s="1"/>
  <c r="BM852" i="23"/>
  <c r="CD852" i="23"/>
  <c r="CE852" i="23" s="1"/>
  <c r="BM854" i="23"/>
  <c r="CD854" i="23"/>
  <c r="CE854" i="23" s="1"/>
  <c r="BM856" i="23"/>
  <c r="CD856" i="23"/>
  <c r="CE856" i="23" s="1"/>
  <c r="BM858" i="23"/>
  <c r="CD858" i="23"/>
  <c r="CE858" i="23" s="1"/>
  <c r="BM860" i="23"/>
  <c r="CD860" i="23"/>
  <c r="CE860" i="23" s="1"/>
  <c r="BM907" i="23"/>
  <c r="CD907" i="23"/>
  <c r="CE907" i="23" s="1"/>
  <c r="BM909" i="23"/>
  <c r="CD909" i="23"/>
  <c r="CE909" i="23" s="1"/>
  <c r="BM911" i="23"/>
  <c r="CD911" i="23"/>
  <c r="CE911" i="23" s="1"/>
  <c r="BM913" i="23"/>
  <c r="CD913" i="23"/>
  <c r="CE913" i="23" s="1"/>
  <c r="BM915" i="23"/>
  <c r="CD915" i="23"/>
  <c r="CE915" i="23" s="1"/>
  <c r="BM917" i="23"/>
  <c r="CD917" i="23"/>
  <c r="CE917" i="23" s="1"/>
  <c r="BM919" i="23"/>
  <c r="CD919" i="23"/>
  <c r="CE919" i="23" s="1"/>
  <c r="BM921" i="23"/>
  <c r="CD921" i="23"/>
  <c r="CE921" i="23" s="1"/>
  <c r="BM923" i="23"/>
  <c r="BM1404" i="23"/>
  <c r="BM1406" i="23"/>
  <c r="BM1408" i="23"/>
  <c r="BM1514" i="23"/>
  <c r="BM1516" i="23"/>
  <c r="BM1518" i="23"/>
  <c r="BM1520" i="23"/>
  <c r="BM924" i="23"/>
  <c r="CD924" i="23"/>
  <c r="CE924" i="23" s="1"/>
  <c r="BM926" i="23"/>
  <c r="CD926" i="23"/>
  <c r="CE926" i="23" s="1"/>
  <c r="BM928" i="23"/>
  <c r="CD928" i="23"/>
  <c r="CE928" i="23" s="1"/>
  <c r="BM930" i="23"/>
  <c r="CD930" i="23"/>
  <c r="CE930" i="23" s="1"/>
  <c r="BM932" i="23"/>
  <c r="CD932" i="23"/>
  <c r="CE932" i="23" s="1"/>
  <c r="BM934" i="23"/>
  <c r="CD934" i="23"/>
  <c r="CE934" i="23" s="1"/>
  <c r="BM936" i="23"/>
  <c r="CD936" i="23"/>
  <c r="CE936" i="23" s="1"/>
  <c r="BM938" i="23"/>
  <c r="CD938" i="23"/>
  <c r="CE938" i="23" s="1"/>
  <c r="BM940" i="23"/>
  <c r="CD940" i="23"/>
  <c r="CE940" i="23" s="1"/>
  <c r="BM942" i="23"/>
  <c r="CD942" i="23"/>
  <c r="CE942" i="23" s="1"/>
  <c r="BM944" i="23"/>
  <c r="CD944" i="23"/>
  <c r="CE944" i="23" s="1"/>
  <c r="BM946" i="23"/>
  <c r="CD946" i="23"/>
  <c r="CE946" i="23" s="1"/>
  <c r="BM948" i="23"/>
  <c r="CD948" i="23"/>
  <c r="CE948" i="23" s="1"/>
  <c r="BM955" i="23"/>
  <c r="CD955" i="23"/>
  <c r="CE955" i="23" s="1"/>
  <c r="BM957" i="23"/>
  <c r="CD957" i="23"/>
  <c r="CE957" i="23" s="1"/>
  <c r="BM969" i="23"/>
  <c r="CD969" i="23"/>
  <c r="CE969" i="23" s="1"/>
  <c r="BM971" i="23"/>
  <c r="CD971" i="23"/>
  <c r="CE971" i="23" s="1"/>
  <c r="BM973" i="23"/>
  <c r="CD973" i="23"/>
  <c r="CE973" i="23" s="1"/>
  <c r="BM975" i="23"/>
  <c r="CD975" i="23"/>
  <c r="CE975" i="23" s="1"/>
  <c r="BM977" i="23"/>
  <c r="CD977" i="23"/>
  <c r="CE977" i="23" s="1"/>
  <c r="BM979" i="23"/>
  <c r="CD979" i="23"/>
  <c r="CE979" i="23" s="1"/>
  <c r="CD981" i="23"/>
  <c r="CE981" i="23" s="1"/>
  <c r="CD983" i="23"/>
  <c r="CE983" i="23" s="1"/>
  <c r="BM987" i="23"/>
  <c r="CD987" i="23"/>
  <c r="CE987" i="23" s="1"/>
  <c r="BM989" i="23"/>
  <c r="CD989" i="23"/>
  <c r="CE989" i="23" s="1"/>
  <c r="BM1033" i="23"/>
  <c r="CD1033" i="23"/>
  <c r="CE1033" i="23" s="1"/>
  <c r="BM1035" i="23"/>
  <c r="CD1035" i="23"/>
  <c r="CE1035" i="23" s="1"/>
  <c r="BM1037" i="23"/>
  <c r="CD1037" i="23"/>
  <c r="CE1037" i="23" s="1"/>
  <c r="BM1052" i="23"/>
  <c r="CD1052" i="23"/>
  <c r="CE1052" i="23" s="1"/>
  <c r="BM1054" i="23"/>
  <c r="CD1054" i="23"/>
  <c r="CE1054" i="23" s="1"/>
  <c r="BM1077" i="23"/>
  <c r="CD1077" i="23"/>
  <c r="CE1077" i="23" s="1"/>
  <c r="BM1079" i="23"/>
  <c r="CD1079" i="23"/>
  <c r="CE1079" i="23" s="1"/>
  <c r="BM1081" i="23"/>
  <c r="CD1081" i="23"/>
  <c r="CE1081" i="23" s="1"/>
  <c r="BM1083" i="23"/>
  <c r="CD1083" i="23"/>
  <c r="CE1083" i="23" s="1"/>
  <c r="BM1085" i="23"/>
  <c r="CD1085" i="23"/>
  <c r="CE1085" i="23" s="1"/>
  <c r="BM1087" i="23"/>
  <c r="CD1087" i="23"/>
  <c r="CE1087" i="23" s="1"/>
  <c r="BM1089" i="23"/>
  <c r="CD1089" i="23"/>
  <c r="CE1089" i="23" s="1"/>
  <c r="BM1091" i="23"/>
  <c r="CD1091" i="23"/>
  <c r="CE1091" i="23" s="1"/>
  <c r="BM1093" i="23"/>
  <c r="CD1093" i="23"/>
  <c r="CE1093" i="23" s="1"/>
  <c r="BM1095" i="23"/>
  <c r="CD1095" i="23"/>
  <c r="CE1095" i="23" s="1"/>
  <c r="BM1097" i="23"/>
  <c r="CD1097" i="23"/>
  <c r="CE1097" i="23" s="1"/>
  <c r="BM1099" i="23"/>
  <c r="CD1099" i="23"/>
  <c r="CE1099" i="23" s="1"/>
  <c r="BM1101" i="23"/>
  <c r="CD1101" i="23"/>
  <c r="CE1101" i="23" s="1"/>
  <c r="BM1103" i="23"/>
  <c r="CD1103" i="23"/>
  <c r="CE1103" i="23" s="1"/>
  <c r="BM1105" i="23"/>
  <c r="CD1105" i="23"/>
  <c r="CE1105" i="23" s="1"/>
  <c r="BM1107" i="23"/>
  <c r="CD1107" i="23"/>
  <c r="CE1107" i="23" s="1"/>
  <c r="BM1109" i="23"/>
  <c r="CD1109" i="23"/>
  <c r="CE1109" i="23" s="1"/>
  <c r="BM1111" i="23"/>
  <c r="CD1111" i="23"/>
  <c r="CE1111" i="23" s="1"/>
  <c r="BM1113" i="23"/>
  <c r="CD1113" i="23"/>
  <c r="CE1113" i="23" s="1"/>
  <c r="BM1115" i="23"/>
  <c r="CD1115" i="23"/>
  <c r="CE1115" i="23" s="1"/>
  <c r="BM1117" i="23"/>
  <c r="CD1117" i="23"/>
  <c r="CE1117" i="23" s="1"/>
  <c r="BM1119" i="23"/>
  <c r="CD1119" i="23"/>
  <c r="CE1119" i="23" s="1"/>
  <c r="BM1121" i="23"/>
  <c r="CD1121" i="23"/>
  <c r="CE1121" i="23" s="1"/>
  <c r="BM1123" i="23"/>
  <c r="CD1123" i="23"/>
  <c r="CE1123" i="23" s="1"/>
  <c r="BM1125" i="23"/>
  <c r="CD1125" i="23"/>
  <c r="CE1125" i="23" s="1"/>
  <c r="BM1127" i="23"/>
  <c r="CD1127" i="23"/>
  <c r="CE1127" i="23" s="1"/>
  <c r="BM1129" i="23"/>
  <c r="CD1129" i="23"/>
  <c r="CE1129" i="23" s="1"/>
  <c r="BM1131" i="23"/>
  <c r="CD1131" i="23"/>
  <c r="CE1131" i="23" s="1"/>
  <c r="CD1162" i="23"/>
  <c r="CE1162" i="23" s="1"/>
  <c r="BM1163" i="23"/>
  <c r="CD1164" i="23"/>
  <c r="CE1164" i="23" s="1"/>
  <c r="BM1165" i="23"/>
  <c r="BM1166" i="23"/>
  <c r="CD1166" i="23"/>
  <c r="CE1166" i="23" s="1"/>
  <c r="CD1403" i="23"/>
  <c r="CE1403" i="23" s="1"/>
  <c r="CD1404" i="23"/>
  <c r="CE1404" i="23" s="1"/>
  <c r="CD1405" i="23"/>
  <c r="CE1405" i="23" s="1"/>
  <c r="CD1406" i="23"/>
  <c r="CE1406" i="23" s="1"/>
  <c r="CD1407" i="23"/>
  <c r="CE1407" i="23" s="1"/>
  <c r="CD1408" i="23"/>
  <c r="CE1408" i="23" s="1"/>
  <c r="CD1409" i="23"/>
  <c r="CE1409" i="23" s="1"/>
  <c r="CD1514" i="23"/>
  <c r="CE1514" i="23" s="1"/>
  <c r="CD1515" i="23"/>
  <c r="CE1515" i="23" s="1"/>
  <c r="CD1516" i="23"/>
  <c r="CE1516" i="23" s="1"/>
  <c r="CD1517" i="23"/>
  <c r="CE1517" i="23" s="1"/>
  <c r="CD1518" i="23"/>
  <c r="CE1518" i="23" s="1"/>
  <c r="CD1519" i="23"/>
  <c r="CE1519" i="23" s="1"/>
  <c r="CD1520" i="23"/>
  <c r="CE1520" i="23" s="1"/>
  <c r="BM1522" i="23"/>
  <c r="BM1615" i="23"/>
  <c r="BM1617" i="23"/>
  <c r="BM1619" i="23"/>
  <c r="BM1621" i="23"/>
  <c r="BM1658" i="23"/>
  <c r="BM1660" i="23"/>
  <c r="BM1662" i="23"/>
  <c r="BM1664" i="23"/>
  <c r="BM1666" i="23"/>
  <c r="BM1668" i="23"/>
  <c r="BM1670" i="23"/>
  <c r="BM1672" i="23"/>
  <c r="BM1674" i="23"/>
  <c r="CD1521" i="23"/>
  <c r="CE1521" i="23" s="1"/>
  <c r="CD1522" i="23"/>
  <c r="CE1522" i="23" s="1"/>
  <c r="CD1614" i="23"/>
  <c r="CE1614" i="23" s="1"/>
  <c r="CD1615" i="23"/>
  <c r="CE1615" i="23" s="1"/>
  <c r="CD1616" i="23"/>
  <c r="CE1616" i="23" s="1"/>
  <c r="CD1617" i="23"/>
  <c r="CE1617" i="23" s="1"/>
  <c r="CD1618" i="23"/>
  <c r="CE1618" i="23" s="1"/>
  <c r="CD1619" i="23"/>
  <c r="CE1619" i="23" s="1"/>
  <c r="CD1620" i="23"/>
  <c r="CE1620" i="23" s="1"/>
  <c r="CD1621" i="23"/>
  <c r="CE1621" i="23" s="1"/>
  <c r="CD1622" i="23"/>
  <c r="CE1622" i="23" s="1"/>
  <c r="CD1658" i="23"/>
  <c r="CE1658" i="23" s="1"/>
  <c r="CD1659" i="23"/>
  <c r="CE1659" i="23" s="1"/>
  <c r="CD1660" i="23"/>
  <c r="CE1660" i="23" s="1"/>
  <c r="CD1661" i="23"/>
  <c r="CE1661" i="23" s="1"/>
  <c r="CD1662" i="23"/>
  <c r="CE1662" i="23" s="1"/>
  <c r="CD1663" i="23"/>
  <c r="CE1663" i="23" s="1"/>
  <c r="CD1664" i="23"/>
  <c r="CE1664" i="23" s="1"/>
  <c r="CD1665" i="23"/>
  <c r="CE1665" i="23" s="1"/>
  <c r="CD1666" i="23"/>
  <c r="CE1666" i="23" s="1"/>
  <c r="CD1667" i="23"/>
  <c r="CE1667" i="23" s="1"/>
  <c r="CD1668" i="23"/>
  <c r="CE1668" i="23" s="1"/>
  <c r="CD1669" i="23"/>
  <c r="CE1669" i="23" s="1"/>
  <c r="CD1670" i="23"/>
  <c r="CE1670" i="23" s="1"/>
  <c r="CD1671" i="23"/>
  <c r="CE1671" i="23" s="1"/>
  <c r="CD1672" i="23"/>
  <c r="CE1672" i="23" s="1"/>
  <c r="CD1673" i="23"/>
  <c r="CE1673" i="23" s="1"/>
  <c r="CD1674" i="23"/>
  <c r="CE1674" i="23" s="1"/>
  <c r="CD1675" i="23"/>
  <c r="CE1675" i="23" s="1"/>
  <c r="BM86" i="23"/>
  <c r="CD86" i="23"/>
  <c r="CE86" i="23" s="1"/>
  <c r="CD87" i="23"/>
  <c r="CE87" i="23" s="1"/>
  <c r="CD89" i="23"/>
  <c r="CE89" i="23" s="1"/>
  <c r="CD91" i="23"/>
  <c r="CE91" i="23" s="1"/>
  <c r="CD93" i="23"/>
  <c r="CE93" i="23" s="1"/>
  <c r="BM123" i="23"/>
  <c r="CD123" i="23"/>
  <c r="CE123" i="23" s="1"/>
  <c r="BM125" i="23"/>
  <c r="CD125" i="23"/>
  <c r="CE125" i="23" s="1"/>
  <c r="BM127" i="23"/>
  <c r="CD127" i="23"/>
  <c r="CE127" i="23" s="1"/>
  <c r="BM240" i="23"/>
  <c r="CD240" i="23"/>
  <c r="CE240" i="23" s="1"/>
  <c r="BM242" i="23"/>
  <c r="CD242" i="23"/>
  <c r="CE242" i="23" s="1"/>
  <c r="CD243" i="23"/>
  <c r="CE243" i="23" s="1"/>
  <c r="BM245" i="23"/>
  <c r="CD245" i="23"/>
  <c r="CE245" i="23" s="1"/>
  <c r="BM285" i="23"/>
  <c r="CD285" i="23"/>
  <c r="CE285" i="23" s="1"/>
  <c r="BM287" i="23"/>
  <c r="CD287" i="23"/>
  <c r="CE287" i="23" s="1"/>
  <c r="BM290" i="23"/>
  <c r="CD290" i="23"/>
  <c r="CE290" i="23" s="1"/>
  <c r="BM321" i="23"/>
  <c r="CD321" i="23"/>
  <c r="CE321" i="23" s="1"/>
  <c r="BM323" i="23"/>
  <c r="CD323" i="23"/>
  <c r="CE323" i="23" s="1"/>
  <c r="BM325" i="23"/>
  <c r="CD325" i="23"/>
  <c r="CE325" i="23" s="1"/>
  <c r="BM326" i="23"/>
  <c r="CD326" i="23"/>
  <c r="CE326" i="23" s="1"/>
  <c r="BM373" i="23"/>
  <c r="CD373" i="23"/>
  <c r="CE373" i="23" s="1"/>
  <c r="BM374" i="23"/>
  <c r="CD374" i="23"/>
  <c r="CE374" i="23" s="1"/>
  <c r="BM376" i="23"/>
  <c r="CD376" i="23"/>
  <c r="CE376" i="23" s="1"/>
  <c r="BM378" i="23"/>
  <c r="CD378" i="23"/>
  <c r="CE378" i="23" s="1"/>
  <c r="BM380" i="23"/>
  <c r="CD380" i="23"/>
  <c r="CE380" i="23" s="1"/>
  <c r="BM522" i="23"/>
  <c r="CD522" i="23"/>
  <c r="CE522" i="23" s="1"/>
  <c r="BM524" i="23"/>
  <c r="CD524" i="23"/>
  <c r="CE524" i="23" s="1"/>
  <c r="BM526" i="23"/>
  <c r="CD526" i="23"/>
  <c r="CE526" i="23" s="1"/>
  <c r="BM528" i="23"/>
  <c r="CD528" i="23"/>
  <c r="CE528" i="23" s="1"/>
  <c r="BM530" i="23"/>
  <c r="CD530" i="23"/>
  <c r="CE530" i="23" s="1"/>
  <c r="BM532" i="23"/>
  <c r="CD532" i="23"/>
  <c r="CE532" i="23" s="1"/>
  <c r="BM534" i="23"/>
  <c r="CD534" i="23"/>
  <c r="CE534" i="23" s="1"/>
  <c r="BM631" i="23"/>
  <c r="CD631" i="23"/>
  <c r="CE631" i="23" s="1"/>
  <c r="BM633" i="23"/>
  <c r="CD633" i="23"/>
  <c r="CE633" i="23" s="1"/>
  <c r="BM635" i="23"/>
  <c r="CD635" i="23"/>
  <c r="CE635" i="23" s="1"/>
  <c r="BM673" i="23"/>
  <c r="CD673" i="23"/>
  <c r="CE673" i="23" s="1"/>
  <c r="BM675" i="23"/>
  <c r="CD675" i="23"/>
  <c r="CE675" i="23" s="1"/>
  <c r="BM677" i="23"/>
  <c r="CD677" i="23"/>
  <c r="CE677" i="23" s="1"/>
  <c r="BM679" i="23"/>
  <c r="CD679" i="23"/>
  <c r="CE679" i="23" s="1"/>
  <c r="BM681" i="23"/>
  <c r="CD681" i="23"/>
  <c r="CE681" i="23" s="1"/>
  <c r="BM775" i="23"/>
  <c r="CD775" i="23"/>
  <c r="CE775" i="23" s="1"/>
  <c r="BM777" i="23"/>
  <c r="CD777" i="23"/>
  <c r="CE777" i="23" s="1"/>
  <c r="BM779" i="23"/>
  <c r="CD779" i="23"/>
  <c r="CE779" i="23" s="1"/>
  <c r="BM781" i="23"/>
  <c r="CD781" i="23"/>
  <c r="CE781" i="23" s="1"/>
  <c r="BM783" i="23"/>
  <c r="CD783" i="23"/>
  <c r="CE783" i="23" s="1"/>
  <c r="BM785" i="23"/>
  <c r="CD785" i="23"/>
  <c r="CE785" i="23" s="1"/>
  <c r="BM853" i="23"/>
  <c r="CD853" i="23"/>
  <c r="CE853" i="23" s="1"/>
  <c r="BM855" i="23"/>
  <c r="CD855" i="23"/>
  <c r="CE855" i="23" s="1"/>
  <c r="BM857" i="23"/>
  <c r="CD857" i="23"/>
  <c r="CE857" i="23" s="1"/>
  <c r="BM859" i="23"/>
  <c r="CD859" i="23"/>
  <c r="CE859" i="23" s="1"/>
  <c r="BM861" i="23"/>
  <c r="CD861" i="23"/>
  <c r="CE861" i="23" s="1"/>
  <c r="BM906" i="23"/>
  <c r="CD906" i="23"/>
  <c r="CE906" i="23" s="1"/>
  <c r="BM908" i="23"/>
  <c r="CD908" i="23"/>
  <c r="CE908" i="23" s="1"/>
  <c r="BM910" i="23"/>
  <c r="CD910" i="23"/>
  <c r="CE910" i="23" s="1"/>
  <c r="BM912" i="23"/>
  <c r="CD912" i="23"/>
  <c r="CE912" i="23" s="1"/>
  <c r="BM914" i="23"/>
  <c r="CD914" i="23"/>
  <c r="CE914" i="23" s="1"/>
  <c r="BM916" i="23"/>
  <c r="CD916" i="23"/>
  <c r="CE916" i="23" s="1"/>
  <c r="BM918" i="23"/>
  <c r="CD918" i="23"/>
  <c r="CE918" i="23" s="1"/>
  <c r="BM920" i="23"/>
  <c r="CD920" i="23"/>
  <c r="CE920" i="23" s="1"/>
  <c r="BM922" i="23"/>
  <c r="CD922" i="23"/>
  <c r="CE922" i="23" s="1"/>
  <c r="BM1190" i="23"/>
  <c r="BM1192" i="23"/>
  <c r="BM1194" i="23"/>
  <c r="BM1196" i="23"/>
  <c r="BM1198" i="23"/>
  <c r="BM1200" i="23"/>
  <c r="BM1202" i="23"/>
  <c r="CD923" i="23"/>
  <c r="CE923" i="23" s="1"/>
  <c r="BM925" i="23"/>
  <c r="CD925" i="23"/>
  <c r="CE925" i="23" s="1"/>
  <c r="BM927" i="23"/>
  <c r="CD927" i="23"/>
  <c r="CE927" i="23" s="1"/>
  <c r="BM929" i="23"/>
  <c r="CD929" i="23"/>
  <c r="CE929" i="23" s="1"/>
  <c r="BM931" i="23"/>
  <c r="CD931" i="23"/>
  <c r="CE931" i="23" s="1"/>
  <c r="BM933" i="23"/>
  <c r="CD933" i="23"/>
  <c r="CE933" i="23" s="1"/>
  <c r="BM935" i="23"/>
  <c r="CD935" i="23"/>
  <c r="CE935" i="23" s="1"/>
  <c r="BM937" i="23"/>
  <c r="CD937" i="23"/>
  <c r="CE937" i="23" s="1"/>
  <c r="BM939" i="23"/>
  <c r="CD939" i="23"/>
  <c r="CE939" i="23" s="1"/>
  <c r="BM941" i="23"/>
  <c r="CD941" i="23"/>
  <c r="CE941" i="23" s="1"/>
  <c r="BM943" i="23"/>
  <c r="CD943" i="23"/>
  <c r="CE943" i="23" s="1"/>
  <c r="BM945" i="23"/>
  <c r="CD945" i="23"/>
  <c r="CE945" i="23" s="1"/>
  <c r="BM947" i="23"/>
  <c r="CD947" i="23"/>
  <c r="CE947" i="23" s="1"/>
  <c r="BM954" i="23"/>
  <c r="CD954" i="23"/>
  <c r="CE954" i="23" s="1"/>
  <c r="BM956" i="23"/>
  <c r="CD956" i="23"/>
  <c r="CE956" i="23" s="1"/>
  <c r="BM958" i="23"/>
  <c r="CD958" i="23"/>
  <c r="CE958" i="23" s="1"/>
  <c r="BM970" i="23"/>
  <c r="CD970" i="23"/>
  <c r="CE970" i="23" s="1"/>
  <c r="BM972" i="23"/>
  <c r="CD972" i="23"/>
  <c r="CE972" i="23" s="1"/>
  <c r="BM974" i="23"/>
  <c r="CD974" i="23"/>
  <c r="CE974" i="23" s="1"/>
  <c r="BM976" i="23"/>
  <c r="CD976" i="23"/>
  <c r="CE976" i="23" s="1"/>
  <c r="BM978" i="23"/>
  <c r="CD978" i="23"/>
  <c r="CE978" i="23" s="1"/>
  <c r="BM980" i="23"/>
  <c r="CD980" i="23"/>
  <c r="CE980" i="23" s="1"/>
  <c r="CD982" i="23"/>
  <c r="CE982" i="23" s="1"/>
  <c r="CD986" i="23"/>
  <c r="CE986" i="23" s="1"/>
  <c r="BM988" i="23"/>
  <c r="CD988" i="23"/>
  <c r="CE988" i="23" s="1"/>
  <c r="BM990" i="23"/>
  <c r="CD990" i="23"/>
  <c r="CE990" i="23" s="1"/>
  <c r="BM1034" i="23"/>
  <c r="CD1034" i="23"/>
  <c r="CE1034" i="23" s="1"/>
  <c r="BM1036" i="23"/>
  <c r="CD1036" i="23"/>
  <c r="CE1036" i="23" s="1"/>
  <c r="BM1051" i="23"/>
  <c r="CD1051" i="23"/>
  <c r="CE1051" i="23" s="1"/>
  <c r="BM1053" i="23"/>
  <c r="CD1053" i="23"/>
  <c r="CE1053" i="23" s="1"/>
  <c r="BM1055" i="23"/>
  <c r="CD1055" i="23"/>
  <c r="CE1055" i="23" s="1"/>
  <c r="BM1078" i="23"/>
  <c r="CD1078" i="23"/>
  <c r="CE1078" i="23" s="1"/>
  <c r="BM1080" i="23"/>
  <c r="CD1080" i="23"/>
  <c r="CE1080" i="23" s="1"/>
  <c r="BM1082" i="23"/>
  <c r="CD1082" i="23"/>
  <c r="CE1082" i="23" s="1"/>
  <c r="BM1084" i="23"/>
  <c r="CD1084" i="23"/>
  <c r="CE1084" i="23" s="1"/>
  <c r="BM1086" i="23"/>
  <c r="CD1086" i="23"/>
  <c r="CE1086" i="23" s="1"/>
  <c r="BM1088" i="23"/>
  <c r="CD1088" i="23"/>
  <c r="CE1088" i="23" s="1"/>
  <c r="BM1090" i="23"/>
  <c r="CD1090" i="23"/>
  <c r="CE1090" i="23" s="1"/>
  <c r="BM1092" i="23"/>
  <c r="CD1092" i="23"/>
  <c r="CE1092" i="23" s="1"/>
  <c r="BM1094" i="23"/>
  <c r="CD1094" i="23"/>
  <c r="CE1094" i="23" s="1"/>
  <c r="BM1096" i="23"/>
  <c r="CD1096" i="23"/>
  <c r="CE1096" i="23" s="1"/>
  <c r="BM1098" i="23"/>
  <c r="CD1098" i="23"/>
  <c r="CE1098" i="23" s="1"/>
  <c r="BM1100" i="23"/>
  <c r="CD1100" i="23"/>
  <c r="CE1100" i="23" s="1"/>
  <c r="BM1102" i="23"/>
  <c r="CD1102" i="23"/>
  <c r="CE1102" i="23" s="1"/>
  <c r="BM1104" i="23"/>
  <c r="CD1104" i="23"/>
  <c r="CE1104" i="23" s="1"/>
  <c r="BM1106" i="23"/>
  <c r="CD1106" i="23"/>
  <c r="CE1106" i="23" s="1"/>
  <c r="BM1108" i="23"/>
  <c r="CD1108" i="23"/>
  <c r="CE1108" i="23" s="1"/>
  <c r="BM1110" i="23"/>
  <c r="CD1110" i="23"/>
  <c r="CE1110" i="23" s="1"/>
  <c r="BM1112" i="23"/>
  <c r="CD1112" i="23"/>
  <c r="CE1112" i="23" s="1"/>
  <c r="BM1114" i="23"/>
  <c r="CD1114" i="23"/>
  <c r="CE1114" i="23" s="1"/>
  <c r="BM1116" i="23"/>
  <c r="CD1116" i="23"/>
  <c r="CE1116" i="23" s="1"/>
  <c r="BM1118" i="23"/>
  <c r="CD1118" i="23"/>
  <c r="CE1118" i="23" s="1"/>
  <c r="BM1120" i="23"/>
  <c r="CD1120" i="23"/>
  <c r="CE1120" i="23" s="1"/>
  <c r="BM1122" i="23"/>
  <c r="CD1122" i="23"/>
  <c r="CE1122" i="23" s="1"/>
  <c r="BM1124" i="23"/>
  <c r="CD1124" i="23"/>
  <c r="CE1124" i="23" s="1"/>
  <c r="BM1126" i="23"/>
  <c r="CD1126" i="23"/>
  <c r="CE1126" i="23" s="1"/>
  <c r="BM1128" i="23"/>
  <c r="CD1128" i="23"/>
  <c r="CE1128" i="23" s="1"/>
  <c r="BM1130" i="23"/>
  <c r="CD1130" i="23"/>
  <c r="CE1130" i="23" s="1"/>
  <c r="BM1162" i="23"/>
  <c r="CD1163" i="23"/>
  <c r="CE1163" i="23" s="1"/>
  <c r="BM1164" i="23"/>
  <c r="CD1165" i="23"/>
  <c r="CE1165" i="23" s="1"/>
  <c r="BM1188" i="23"/>
  <c r="CD1188" i="23"/>
  <c r="CE1188" i="23" s="1"/>
  <c r="CD1189" i="23"/>
  <c r="CE1189" i="23" s="1"/>
  <c r="CD1190" i="23"/>
  <c r="CE1190" i="23" s="1"/>
  <c r="CD1191" i="23"/>
  <c r="CE1191" i="23" s="1"/>
  <c r="CD1192" i="23"/>
  <c r="CE1192" i="23" s="1"/>
  <c r="CD1193" i="23"/>
  <c r="CE1193" i="23" s="1"/>
  <c r="CD1194" i="23"/>
  <c r="CE1194" i="23" s="1"/>
  <c r="CD1195" i="23"/>
  <c r="CE1195" i="23" s="1"/>
  <c r="CD1196" i="23"/>
  <c r="CE1196" i="23" s="1"/>
  <c r="CD1197" i="23"/>
  <c r="CE1197" i="23" s="1"/>
  <c r="CD1198" i="23"/>
  <c r="CE1198" i="23" s="1"/>
  <c r="CD1199" i="23"/>
  <c r="CE1199" i="23" s="1"/>
  <c r="CD1200" i="23"/>
  <c r="CE1200" i="23" s="1"/>
  <c r="CD1201" i="23"/>
  <c r="CE1201" i="23" s="1"/>
  <c r="CD1202" i="23"/>
  <c r="CE1202" i="23" s="1"/>
  <c r="CD1203" i="23"/>
  <c r="CE1203" i="23" s="1"/>
  <c r="BM1204" i="23"/>
  <c r="BM1206" i="23"/>
  <c r="BM1331" i="23"/>
  <c r="BM1334" i="23"/>
  <c r="BM1336" i="23"/>
  <c r="BM1338" i="23"/>
  <c r="BM1367" i="23"/>
  <c r="BM1369" i="23"/>
  <c r="BM1371" i="23"/>
  <c r="BM1373" i="23"/>
  <c r="BM1375" i="23"/>
  <c r="BM1395" i="23"/>
  <c r="BM1397" i="23"/>
  <c r="BM1399" i="23"/>
  <c r="BM1401" i="23"/>
  <c r="CD1204" i="23"/>
  <c r="CE1204" i="23" s="1"/>
  <c r="CD1205" i="23"/>
  <c r="CE1205" i="23" s="1"/>
  <c r="CD1206" i="23"/>
  <c r="CE1206" i="23" s="1"/>
  <c r="CD1207" i="23"/>
  <c r="CE1207" i="23" s="1"/>
  <c r="CD1331" i="23"/>
  <c r="CE1331" i="23" s="1"/>
  <c r="CD1332" i="23"/>
  <c r="CE1332" i="23" s="1"/>
  <c r="CD1333" i="23"/>
  <c r="CE1333" i="23" s="1"/>
  <c r="CD1334" i="23"/>
  <c r="CE1334" i="23" s="1"/>
  <c r="CD1335" i="23"/>
  <c r="CE1335" i="23" s="1"/>
  <c r="CD1336" i="23"/>
  <c r="CE1336" i="23" s="1"/>
  <c r="CD1337" i="23"/>
  <c r="CE1337" i="23" s="1"/>
  <c r="CD1338" i="23"/>
  <c r="CE1338" i="23" s="1"/>
  <c r="CD1367" i="23"/>
  <c r="CE1367" i="23" s="1"/>
  <c r="CD1368" i="23"/>
  <c r="CE1368" i="23" s="1"/>
  <c r="CD1369" i="23"/>
  <c r="CE1369" i="23" s="1"/>
  <c r="CD1370" i="23"/>
  <c r="CE1370" i="23" s="1"/>
  <c r="CD1371" i="23"/>
  <c r="CE1371" i="23" s="1"/>
  <c r="CD1372" i="23"/>
  <c r="CE1372" i="23" s="1"/>
  <c r="CD1373" i="23"/>
  <c r="CE1373" i="23" s="1"/>
  <c r="CD1374" i="23"/>
  <c r="CE1374" i="23" s="1"/>
  <c r="CD1375" i="23"/>
  <c r="CE1375" i="23" s="1"/>
  <c r="CD1376" i="23"/>
  <c r="CE1376" i="23" s="1"/>
  <c r="CD1395" i="23"/>
  <c r="CE1395" i="23" s="1"/>
  <c r="CD1396" i="23"/>
  <c r="CE1396" i="23" s="1"/>
  <c r="CD1397" i="23"/>
  <c r="CE1397" i="23" s="1"/>
  <c r="CD1398" i="23"/>
  <c r="CE1398" i="23" s="1"/>
  <c r="CD1399" i="23"/>
  <c r="CE1399" i="23" s="1"/>
  <c r="CD1400" i="23"/>
  <c r="CE1400" i="23" s="1"/>
  <c r="CD1401" i="23"/>
  <c r="CE1401" i="23" s="1"/>
  <c r="CD1402" i="23"/>
  <c r="CE1402" i="23" s="1"/>
  <c r="BM41" i="23"/>
  <c r="BM40" i="23"/>
  <c r="BM39" i="23"/>
  <c r="BM38" i="23"/>
  <c r="BM37" i="23"/>
  <c r="BM36" i="23"/>
  <c r="BM28" i="23"/>
  <c r="BM27" i="23"/>
  <c r="BM26" i="23"/>
  <c r="BM30" i="23"/>
  <c r="BM34" i="23"/>
  <c r="BM10" i="23"/>
  <c r="BM33" i="23"/>
  <c r="BM9" i="23"/>
  <c r="BM32" i="23"/>
  <c r="BM8" i="23"/>
  <c r="BM31" i="23"/>
  <c r="BM87" i="23"/>
  <c r="BM89" i="23"/>
  <c r="BM91" i="23"/>
  <c r="BM93" i="23"/>
  <c r="BM981" i="23"/>
  <c r="BM982" i="23"/>
  <c r="BM983" i="23"/>
  <c r="BM986" i="23"/>
  <c r="I1688" i="23"/>
  <c r="D1701" i="23" s="1"/>
  <c r="I1689" i="23"/>
  <c r="K1688" i="23"/>
  <c r="K1689" i="23"/>
  <c r="H1697" i="23"/>
  <c r="B1758" i="23" l="1"/>
  <c r="K1696" i="23"/>
  <c r="I1696" i="23"/>
  <c r="B1766" i="23"/>
  <c r="B1762" i="23"/>
  <c r="B1754" i="23"/>
  <c r="CY2" i="23"/>
  <c r="D120" i="2" s="1"/>
  <c r="B1764" i="23"/>
  <c r="B1760" i="23"/>
  <c r="B1756" i="23"/>
  <c r="B1752" i="23"/>
  <c r="B1765" i="23"/>
  <c r="DG2" i="23"/>
  <c r="G120" i="2" s="1"/>
  <c r="B1681" i="23"/>
  <c r="B1757" i="23"/>
  <c r="EP6" i="23"/>
  <c r="EL6" i="23"/>
  <c r="H134" i="2" s="1"/>
  <c r="EH6" i="23"/>
  <c r="ED6" i="23"/>
  <c r="E134" i="2" s="1"/>
  <c r="DZ6" i="23"/>
  <c r="DV6" i="23"/>
  <c r="B134" i="2" s="1"/>
  <c r="DR6" i="23"/>
  <c r="H129" i="2" s="1"/>
  <c r="DN6" i="23"/>
  <c r="H124" i="2" s="1"/>
  <c r="DJ6" i="23"/>
  <c r="E129" i="2" s="1"/>
  <c r="DF6" i="23"/>
  <c r="E124" i="2" s="1"/>
  <c r="DB6" i="23"/>
  <c r="B129" i="2" s="1"/>
  <c r="CX6" i="23"/>
  <c r="B124" i="2" s="1"/>
  <c r="EP5" i="23"/>
  <c r="EL5" i="23"/>
  <c r="H133" i="2" s="1"/>
  <c r="EH5" i="23"/>
  <c r="ED5" i="23"/>
  <c r="E133" i="2" s="1"/>
  <c r="DZ5" i="23"/>
  <c r="DV5" i="23"/>
  <c r="B133" i="2" s="1"/>
  <c r="EQ6" i="23"/>
  <c r="EM6" i="23"/>
  <c r="J134" i="2" s="1"/>
  <c r="EI6" i="23"/>
  <c r="EE6" i="23"/>
  <c r="G134" i="2" s="1"/>
  <c r="EA6" i="23"/>
  <c r="DW6" i="23"/>
  <c r="D134" i="2" s="1"/>
  <c r="DS6" i="23"/>
  <c r="J129" i="2" s="1"/>
  <c r="DO6" i="23"/>
  <c r="J124" i="2" s="1"/>
  <c r="DK6" i="23"/>
  <c r="G129" i="2" s="1"/>
  <c r="DG6" i="23"/>
  <c r="G124" i="2" s="1"/>
  <c r="DC6" i="23"/>
  <c r="D129" i="2" s="1"/>
  <c r="CY6" i="23"/>
  <c r="D124" i="2" s="1"/>
  <c r="EQ5" i="23"/>
  <c r="EM5" i="23"/>
  <c r="J133" i="2" s="1"/>
  <c r="EI5" i="23"/>
  <c r="EE5" i="23"/>
  <c r="G133" i="2" s="1"/>
  <c r="EA5" i="23"/>
  <c r="DW5" i="23"/>
  <c r="D133" i="2" s="1"/>
  <c r="DS5" i="23"/>
  <c r="J128" i="2" s="1"/>
  <c r="DO5" i="23"/>
  <c r="J123" i="2" s="1"/>
  <c r="DK5" i="23"/>
  <c r="G128" i="2" s="1"/>
  <c r="DG5" i="23"/>
  <c r="G123" i="2" s="1"/>
  <c r="DC5" i="23"/>
  <c r="D128" i="2" s="1"/>
  <c r="CY5" i="23"/>
  <c r="D123" i="2" s="1"/>
  <c r="EQ4" i="23"/>
  <c r="EM4" i="23"/>
  <c r="J132" i="2" s="1"/>
  <c r="EI4" i="23"/>
  <c r="EE4" i="23"/>
  <c r="G132" i="2" s="1"/>
  <c r="EA4" i="23"/>
  <c r="DW4" i="23"/>
  <c r="D132" i="2" s="1"/>
  <c r="DS4" i="23"/>
  <c r="J127" i="2" s="1"/>
  <c r="DO4" i="23"/>
  <c r="J122" i="2" s="1"/>
  <c r="DK4" i="23"/>
  <c r="G127" i="2" s="1"/>
  <c r="DG4" i="23"/>
  <c r="G122" i="2" s="1"/>
  <c r="DC4" i="23"/>
  <c r="D127" i="2" s="1"/>
  <c r="CY4" i="23"/>
  <c r="D122" i="2" s="1"/>
  <c r="EQ3" i="23"/>
  <c r="EM3" i="23"/>
  <c r="J131" i="2" s="1"/>
  <c r="EI3" i="23"/>
  <c r="EE3" i="23"/>
  <c r="G131" i="2" s="1"/>
  <c r="EA3" i="23"/>
  <c r="DW3" i="23"/>
  <c r="D131" i="2" s="1"/>
  <c r="DS3" i="23"/>
  <c r="J126" i="2" s="1"/>
  <c r="DO3" i="23"/>
  <c r="J121" i="2" s="1"/>
  <c r="DK3" i="23"/>
  <c r="G126" i="2" s="1"/>
  <c r="DG3" i="23"/>
  <c r="G121" i="2" s="1"/>
  <c r="DC3" i="23"/>
  <c r="D126" i="2" s="1"/>
  <c r="CY3" i="23"/>
  <c r="D121" i="2" s="1"/>
  <c r="EQ2" i="23"/>
  <c r="J135" i="2" s="1"/>
  <c r="EM2" i="23"/>
  <c r="J130" i="2" s="1"/>
  <c r="EI2" i="23"/>
  <c r="G135" i="2" s="1"/>
  <c r="EE2" i="23"/>
  <c r="G130" i="2" s="1"/>
  <c r="EA2" i="23"/>
  <c r="D135" i="2" s="1"/>
  <c r="DW2" i="23"/>
  <c r="D130" i="2" s="1"/>
  <c r="DS2" i="23"/>
  <c r="J125" i="2" s="1"/>
  <c r="DO2" i="23"/>
  <c r="J120" i="2" s="1"/>
  <c r="DK2" i="23"/>
  <c r="G125" i="2" s="1"/>
  <c r="DF2" i="23"/>
  <c r="E120" i="2" s="1"/>
  <c r="DB2" i="23"/>
  <c r="B125" i="2" s="1"/>
  <c r="DR5" i="23"/>
  <c r="H128" i="2" s="1"/>
  <c r="DN5" i="23"/>
  <c r="H123" i="2" s="1"/>
  <c r="DJ5" i="23"/>
  <c r="E128" i="2" s="1"/>
  <c r="DF5" i="23"/>
  <c r="E123" i="2" s="1"/>
  <c r="DB5" i="23"/>
  <c r="B128" i="2" s="1"/>
  <c r="CX5" i="23"/>
  <c r="B123" i="2" s="1"/>
  <c r="EP4" i="23"/>
  <c r="EL4" i="23"/>
  <c r="H132" i="2" s="1"/>
  <c r="EH4" i="23"/>
  <c r="ED4" i="23"/>
  <c r="E132" i="2" s="1"/>
  <c r="DZ4" i="23"/>
  <c r="DV4" i="23"/>
  <c r="B132" i="2" s="1"/>
  <c r="DR4" i="23"/>
  <c r="H127" i="2" s="1"/>
  <c r="DJ4" i="23"/>
  <c r="E127" i="2" s="1"/>
  <c r="DB4" i="23"/>
  <c r="B127" i="2" s="1"/>
  <c r="EP3" i="23"/>
  <c r="EH3" i="23"/>
  <c r="DZ3" i="23"/>
  <c r="EP2" i="23"/>
  <c r="H135" i="2" s="1"/>
  <c r="DZ2" i="23"/>
  <c r="B135" i="2" s="1"/>
  <c r="DJ2" i="23"/>
  <c r="E125" i="2" s="1"/>
  <c r="DN4" i="23"/>
  <c r="H122" i="2" s="1"/>
  <c r="DF4" i="23"/>
  <c r="E122" i="2" s="1"/>
  <c r="CX4" i="23"/>
  <c r="B122" i="2" s="1"/>
  <c r="EL3" i="23"/>
  <c r="H131" i="2" s="1"/>
  <c r="ED3" i="23"/>
  <c r="E131" i="2" s="1"/>
  <c r="DV3" i="23"/>
  <c r="B131" i="2" s="1"/>
  <c r="DN3" i="23"/>
  <c r="H121" i="2" s="1"/>
  <c r="DF3" i="23"/>
  <c r="E121" i="2" s="1"/>
  <c r="CX3" i="23"/>
  <c r="B121" i="2" s="1"/>
  <c r="EL2" i="23"/>
  <c r="H130" i="2" s="1"/>
  <c r="I130" i="2" s="1"/>
  <c r="ED2" i="23"/>
  <c r="E130" i="2" s="1"/>
  <c r="DV2" i="23"/>
  <c r="B130" i="2" s="1"/>
  <c r="DN2" i="23"/>
  <c r="H120" i="2" s="1"/>
  <c r="DC2" i="23"/>
  <c r="D125" i="2" s="1"/>
  <c r="DR3" i="23"/>
  <c r="H126" i="2" s="1"/>
  <c r="DJ3" i="23"/>
  <c r="E126" i="2" s="1"/>
  <c r="DB3" i="23"/>
  <c r="B126" i="2" s="1"/>
  <c r="EH2" i="23"/>
  <c r="E135" i="2" s="1"/>
  <c r="DR2" i="23"/>
  <c r="H125" i="2" s="1"/>
  <c r="CX2" i="23"/>
  <c r="B120" i="2" s="1"/>
  <c r="B1761" i="23"/>
  <c r="B1753" i="23"/>
  <c r="K1697" i="23"/>
  <c r="B1763" i="23"/>
  <c r="B1759" i="23"/>
  <c r="B1755" i="23"/>
  <c r="I1697" i="23"/>
  <c r="F127" i="2" l="1"/>
  <c r="F120" i="2"/>
  <c r="F134" i="2"/>
  <c r="F130" i="2"/>
  <c r="I121" i="2"/>
  <c r="C122" i="2"/>
  <c r="I123" i="2"/>
  <c r="C132" i="2"/>
  <c r="F123" i="2"/>
  <c r="M134" i="2"/>
  <c r="I131" i="2"/>
  <c r="F121" i="2"/>
  <c r="I126" i="2"/>
  <c r="M129" i="2"/>
  <c r="I125" i="2"/>
  <c r="I127" i="2"/>
  <c r="M130" i="2"/>
  <c r="M135" i="2"/>
  <c r="F131" i="2"/>
  <c r="M128" i="2"/>
  <c r="K126" i="2"/>
  <c r="C126" i="2"/>
  <c r="K122" i="2"/>
  <c r="I122" i="2"/>
  <c r="C123" i="2"/>
  <c r="K123" i="2"/>
  <c r="F126" i="2"/>
  <c r="F125" i="2"/>
  <c r="K128" i="2"/>
  <c r="C128" i="2"/>
  <c r="J136" i="2"/>
  <c r="M121" i="2"/>
  <c r="M122" i="2"/>
  <c r="M123" i="2"/>
  <c r="K133" i="2"/>
  <c r="C133" i="2"/>
  <c r="F124" i="2"/>
  <c r="I134" i="2"/>
  <c r="K135" i="2"/>
  <c r="C135" i="2"/>
  <c r="M126" i="2"/>
  <c r="F129" i="2"/>
  <c r="M125" i="2"/>
  <c r="K131" i="2"/>
  <c r="C131" i="2"/>
  <c r="I135" i="2"/>
  <c r="F128" i="2"/>
  <c r="F133" i="2"/>
  <c r="I124" i="2"/>
  <c r="M120" i="2"/>
  <c r="D136" i="2"/>
  <c r="I120" i="2"/>
  <c r="H136" i="2"/>
  <c r="I129" i="2"/>
  <c r="K120" i="2"/>
  <c r="C120" i="2"/>
  <c r="B136" i="2"/>
  <c r="C130" i="2"/>
  <c r="K130" i="2"/>
  <c r="I128" i="2"/>
  <c r="F132" i="2"/>
  <c r="I133" i="2"/>
  <c r="K134" i="2"/>
  <c r="C134" i="2"/>
  <c r="K132" i="2"/>
  <c r="I132" i="2"/>
  <c r="C125" i="2"/>
  <c r="K125" i="2"/>
  <c r="M127" i="2"/>
  <c r="F135" i="2"/>
  <c r="E136" i="2"/>
  <c r="F122" i="2"/>
  <c r="K127" i="2"/>
  <c r="C127" i="2"/>
  <c r="M131" i="2"/>
  <c r="G136" i="2"/>
  <c r="M132" i="2"/>
  <c r="M133" i="2"/>
  <c r="M124" i="2"/>
  <c r="K124" i="2"/>
  <c r="C124" i="2"/>
  <c r="K121" i="2"/>
  <c r="C121" i="2"/>
  <c r="C129" i="2"/>
  <c r="K129" i="2"/>
  <c r="L130" i="2" l="1"/>
  <c r="L123" i="2"/>
  <c r="L121" i="2"/>
  <c r="L122" i="2"/>
  <c r="L127" i="2"/>
  <c r="L131" i="2"/>
  <c r="L125" i="2"/>
  <c r="L132" i="2"/>
  <c r="L134" i="2"/>
  <c r="M136" i="2"/>
  <c r="L133" i="2"/>
  <c r="L120" i="2"/>
  <c r="C136" i="2"/>
  <c r="K136" i="2"/>
  <c r="L135" i="2"/>
  <c r="I136" i="2"/>
  <c r="L129" i="2"/>
  <c r="L128" i="2"/>
  <c r="L126" i="2"/>
  <c r="F136" i="2"/>
  <c r="L124" i="2"/>
  <c r="L136" i="2" l="1"/>
  <c r="BW343" i="19"/>
  <c r="BY343" i="19"/>
  <c r="BW337" i="19"/>
  <c r="BY339" i="19"/>
  <c r="BW339" i="19"/>
  <c r="BW345" i="19" l="1"/>
  <c r="BU783" i="19"/>
  <c r="BU723" i="19"/>
  <c r="BW661" i="19"/>
  <c r="BW662" i="19"/>
  <c r="BU68" i="19"/>
  <c r="AW788" i="19" l="1"/>
  <c r="AS788" i="19"/>
  <c r="AW347" i="19"/>
  <c r="AW371" i="19"/>
  <c r="AS371" i="19"/>
  <c r="Z343" i="19"/>
  <c r="AA343" i="19"/>
  <c r="Z337" i="19"/>
  <c r="Z661" i="19" l="1"/>
  <c r="Y661" i="19"/>
  <c r="Z662" i="19"/>
  <c r="Y662" i="19"/>
  <c r="BU792" i="19" l="1"/>
  <c r="AW359" i="19" l="1"/>
  <c r="AQ359" i="19"/>
  <c r="AS336" i="19"/>
  <c r="AW336" i="19"/>
  <c r="AE1117" i="19"/>
  <c r="AW662" i="19"/>
  <c r="AQ662" i="19"/>
  <c r="AW661" i="19"/>
  <c r="AQ661" i="19"/>
  <c r="AM1081" i="19"/>
  <c r="BY50" i="19" l="1"/>
  <c r="BY374" i="19"/>
  <c r="BW1094" i="19"/>
  <c r="BW1099" i="19"/>
  <c r="BU343" i="19"/>
  <c r="BU797" i="19"/>
  <c r="BU89" i="19"/>
  <c r="BU225" i="19"/>
  <c r="BU98" i="19"/>
  <c r="CC1086" i="19"/>
  <c r="CB1086" i="19"/>
  <c r="CA1086" i="19"/>
  <c r="BZ1086" i="19"/>
  <c r="BL1086" i="19"/>
  <c r="BF1086" i="19"/>
  <c r="AZ1086" i="19"/>
  <c r="AT1086" i="19"/>
  <c r="AN1086" i="19"/>
  <c r="AH1086" i="19"/>
  <c r="AB1086" i="19"/>
  <c r="R1086" i="19"/>
  <c r="L1086" i="19"/>
  <c r="BU372" i="19"/>
  <c r="BU337" i="19"/>
  <c r="BU369" i="19"/>
  <c r="BU1084" i="19"/>
  <c r="CD1086" i="19" l="1"/>
  <c r="CE1086" i="19" s="1"/>
  <c r="I1053" i="19"/>
  <c r="I1051" i="19"/>
  <c r="Y106" i="19" l="1"/>
  <c r="Y136" i="19"/>
  <c r="AG191" i="19" l="1"/>
  <c r="AK1098" i="19"/>
  <c r="AQ336" i="19" l="1"/>
  <c r="AQ371" i="19"/>
  <c r="AY348" i="19"/>
  <c r="AS68" i="19" l="1"/>
  <c r="AS339" i="19"/>
  <c r="AY339" i="19"/>
  <c r="AG137" i="19"/>
  <c r="Y336" i="19" l="1"/>
  <c r="AA339" i="19"/>
  <c r="Z339" i="19"/>
  <c r="Y42" i="19"/>
  <c r="AK1046" i="19" l="1"/>
  <c r="BU1035" i="19" l="1"/>
  <c r="BU514" i="19"/>
  <c r="BW346" i="19"/>
  <c r="BY1053" i="19"/>
  <c r="BU925" i="19"/>
  <c r="BU816" i="19"/>
  <c r="AY343" i="19" l="1"/>
  <c r="AY370" i="19"/>
  <c r="Z371" i="19" l="1"/>
  <c r="Y371" i="19"/>
  <c r="Y581" i="19"/>
  <c r="AY349" i="19" l="1"/>
  <c r="AY337" i="19"/>
  <c r="AY338" i="19"/>
  <c r="Y514" i="19"/>
  <c r="AW339" i="19"/>
  <c r="AQ339" i="19"/>
  <c r="AW343" i="19"/>
  <c r="AS343" i="19"/>
  <c r="AW348" i="19"/>
  <c r="AS348" i="19"/>
  <c r="BU389" i="19" l="1"/>
  <c r="BW486" i="19"/>
  <c r="BU471" i="19"/>
  <c r="BU1044" i="19"/>
  <c r="BU843" i="19"/>
  <c r="BU724" i="19"/>
  <c r="BU798" i="19"/>
  <c r="BU96" i="19"/>
  <c r="BU1002" i="19"/>
  <c r="BU719" i="19"/>
  <c r="AE137" i="19" l="1"/>
  <c r="Y471" i="19"/>
  <c r="AQ68" i="19"/>
  <c r="AW337" i="19"/>
  <c r="AS337" i="19"/>
  <c r="AW338" i="19"/>
  <c r="AS338" i="19"/>
  <c r="AS1051" i="19"/>
  <c r="Z328" i="19" l="1"/>
  <c r="Y271" i="19"/>
  <c r="Y723" i="19"/>
  <c r="Y137" i="19"/>
  <c r="Y1117" i="19"/>
  <c r="AY1084" i="19" l="1"/>
  <c r="AS1084" i="19"/>
  <c r="AM1084" i="19"/>
  <c r="AY345" i="19"/>
  <c r="AW1084" i="19" l="1"/>
  <c r="AG1035" i="19"/>
  <c r="AS370" i="19"/>
  <c r="AW370" i="19"/>
  <c r="AW345" i="19"/>
  <c r="AW349" i="19"/>
  <c r="AS349" i="19"/>
  <c r="BU1032" i="19"/>
  <c r="BU17" i="19"/>
  <c r="BU292" i="19"/>
  <c r="BY1051" i="19"/>
  <c r="BY337" i="19"/>
  <c r="BU189" i="19"/>
  <c r="BU238" i="19"/>
  <c r="BU67" i="19"/>
  <c r="BW33" i="19"/>
  <c r="BU1088" i="19"/>
  <c r="BU357" i="19"/>
  <c r="Z486" i="19" l="1"/>
  <c r="Y292" i="19"/>
  <c r="Y1044" i="19"/>
  <c r="Y339" i="19"/>
  <c r="Y377" i="19" l="1"/>
  <c r="Y68" i="19"/>
  <c r="AM1117" i="19" l="1"/>
  <c r="AY814" i="19"/>
  <c r="AW814" i="19"/>
  <c r="AS814" i="19"/>
  <c r="AG1032" i="19"/>
  <c r="AA337" i="19"/>
  <c r="AK1117" i="19"/>
  <c r="BU19" i="19" l="1"/>
  <c r="BU450" i="19"/>
  <c r="BY412" i="19"/>
  <c r="BW299" i="19"/>
  <c r="BU828" i="19"/>
  <c r="BU328" i="19"/>
  <c r="BU952" i="19"/>
  <c r="BU953" i="19"/>
  <c r="BW98" i="19"/>
  <c r="BU415" i="19"/>
  <c r="BU1068" i="19"/>
  <c r="BU1069" i="19"/>
  <c r="AQ337" i="19" l="1"/>
  <c r="AG19" i="19"/>
  <c r="AG17" i="19"/>
  <c r="AQ348" i="19"/>
  <c r="AE19" i="19"/>
  <c r="AQ1084" i="19"/>
  <c r="AK1084" i="19"/>
  <c r="AA1100" i="19" l="1"/>
  <c r="Z1100" i="19"/>
  <c r="Y1084" i="19" l="1"/>
  <c r="Y14" i="19"/>
  <c r="Y1063" i="19"/>
  <c r="AQ1051" i="19" l="1"/>
  <c r="AQ343" i="19"/>
  <c r="AQ14" i="19"/>
  <c r="AQ12" i="19"/>
  <c r="AQ338" i="19"/>
  <c r="AQ349" i="19"/>
  <c r="AQ80" i="19"/>
  <c r="AY788" i="19"/>
  <c r="AG96" i="19"/>
  <c r="AG450" i="19"/>
  <c r="AA412" i="19"/>
  <c r="Y1051" i="19"/>
  <c r="Z299" i="19"/>
  <c r="AE1032" i="19" l="1"/>
  <c r="BU931" i="19"/>
  <c r="AY1059" i="19" l="1"/>
  <c r="AY415" i="19"/>
  <c r="AS415" i="19"/>
  <c r="AQ415" i="19"/>
  <c r="AY328" i="19"/>
  <c r="AS328" i="19"/>
  <c r="Y299" i="19"/>
  <c r="Y343" i="19"/>
  <c r="Y348" i="19"/>
  <c r="Y337" i="19"/>
  <c r="BU299" i="19" l="1"/>
  <c r="BU552" i="19"/>
  <c r="BU955" i="19"/>
  <c r="BU1045" i="19"/>
  <c r="BU192" i="19"/>
  <c r="BU242" i="19"/>
  <c r="BU466" i="19"/>
  <c r="BU12" i="19"/>
  <c r="AW415" i="19" l="1"/>
  <c r="AS1069" i="19" l="1"/>
  <c r="AM1032" i="19"/>
  <c r="Y552" i="19"/>
  <c r="Y952" i="19" l="1"/>
  <c r="Y948" i="19"/>
  <c r="Y450" i="19"/>
  <c r="Y415" i="19"/>
  <c r="AE450" i="19" l="1"/>
  <c r="AQ1069" i="19" l="1"/>
  <c r="AY368" i="19"/>
  <c r="AY331" i="19"/>
  <c r="AW1059" i="19"/>
  <c r="AQ370" i="19"/>
  <c r="AW328" i="19"/>
  <c r="AQ328" i="19"/>
  <c r="AY1093" i="19"/>
  <c r="AS1093" i="19"/>
  <c r="AY19" i="19"/>
  <c r="AS19" i="19"/>
  <c r="BU1028" i="19"/>
  <c r="BU1047" i="19"/>
  <c r="BY1066" i="19"/>
  <c r="BW1091" i="19"/>
  <c r="BY1091" i="19"/>
  <c r="BU70" i="19"/>
  <c r="BU899" i="19"/>
  <c r="BU582" i="19"/>
  <c r="BU993" i="19"/>
  <c r="BU375" i="19"/>
  <c r="BU992" i="19"/>
  <c r="BU722" i="19"/>
  <c r="BU379" i="19"/>
  <c r="AW368" i="19" l="1"/>
  <c r="AE1097" i="19"/>
  <c r="AK1032" i="19"/>
  <c r="AS368" i="19" l="1"/>
  <c r="AW331" i="19"/>
  <c r="AS331" i="19"/>
  <c r="Y953" i="19" l="1"/>
  <c r="Y947" i="19"/>
  <c r="Y1093" i="19"/>
  <c r="Y993" i="19"/>
  <c r="AW1093" i="19" l="1"/>
  <c r="AQ1093" i="19"/>
  <c r="Z349" i="19" l="1"/>
  <c r="Y349" i="19"/>
  <c r="AW19" i="19"/>
  <c r="AQ19" i="19"/>
  <c r="AY332" i="19" l="1"/>
  <c r="Y1045" i="19"/>
  <c r="Z338" i="19"/>
  <c r="Y338" i="19"/>
  <c r="Y45" i="19"/>
  <c r="Y1097" i="19"/>
  <c r="Z1091" i="19"/>
  <c r="AA1091" i="19"/>
  <c r="AA1066" i="19"/>
  <c r="AM1036" i="19"/>
  <c r="AS1036" i="19"/>
  <c r="W42" i="19"/>
  <c r="AA50" i="19"/>
  <c r="Y1032" i="19"/>
  <c r="W1094" i="19"/>
  <c r="AG1047" i="19" l="1"/>
  <c r="BU153" i="19" l="1"/>
  <c r="BU223" i="19"/>
  <c r="BU155" i="19"/>
  <c r="BU100" i="19"/>
  <c r="BU152" i="19"/>
  <c r="BY618" i="19" l="1"/>
  <c r="BU618" i="19"/>
  <c r="BW327" i="19"/>
  <c r="BU612" i="19"/>
  <c r="BU377" i="19"/>
  <c r="BU239" i="19"/>
  <c r="BU498" i="19"/>
  <c r="AA618" i="19" l="1"/>
  <c r="Y618" i="19"/>
  <c r="Y414" i="19"/>
  <c r="W414" i="19"/>
  <c r="AQ331" i="19"/>
  <c r="AQ368" i="19"/>
  <c r="Y992" i="19" l="1"/>
  <c r="Y789" i="19"/>
  <c r="Z370" i="19"/>
  <c r="Y370" i="19"/>
  <c r="Y379" i="19"/>
  <c r="AY369" i="19" l="1"/>
  <c r="Y392" i="19"/>
  <c r="Y389" i="19"/>
  <c r="AW332" i="19"/>
  <c r="AS332" i="19"/>
  <c r="AW369" i="19"/>
  <c r="AS369" i="19"/>
  <c r="BU91" i="19"/>
  <c r="BU15" i="19"/>
  <c r="BY1059" i="19" l="1"/>
  <c r="BW326" i="19"/>
  <c r="BY328" i="19"/>
  <c r="BW328" i="19"/>
  <c r="BU987" i="19"/>
  <c r="BU808" i="19"/>
  <c r="BU1054" i="19"/>
  <c r="BU1046" i="19"/>
  <c r="BU241" i="19"/>
  <c r="BU452" i="19"/>
  <c r="BU453" i="19"/>
  <c r="AG12" i="19" l="1"/>
  <c r="Y375" i="19" l="1"/>
  <c r="Y828" i="19"/>
  <c r="Z331" i="19"/>
  <c r="Y331" i="19"/>
  <c r="Z368" i="19"/>
  <c r="Y368" i="19"/>
  <c r="Y417" i="19"/>
  <c r="AY1051" i="19" l="1"/>
  <c r="AA1059" i="19"/>
  <c r="Z326" i="19" l="1"/>
  <c r="AA328" i="19"/>
  <c r="BU1091" i="19" l="1"/>
  <c r="BU1066" i="19"/>
  <c r="BU699" i="19"/>
  <c r="BU1052" i="19"/>
  <c r="BW344" i="19"/>
  <c r="BU497" i="19"/>
  <c r="BU519" i="19"/>
  <c r="BU786" i="19"/>
  <c r="BU826" i="19"/>
  <c r="BU326" i="19"/>
  <c r="BU21" i="19"/>
  <c r="BU425" i="19"/>
  <c r="BU431" i="19"/>
  <c r="BU164" i="19"/>
  <c r="BU163" i="19"/>
  <c r="BU502" i="19"/>
  <c r="Y453" i="19" l="1"/>
  <c r="AS164" i="19" l="1"/>
  <c r="AS163" i="19"/>
  <c r="AY1053" i="19" l="1"/>
  <c r="AS1053" i="19"/>
  <c r="AQ163" i="19"/>
  <c r="AM164" i="19"/>
  <c r="AQ164" i="19"/>
  <c r="Y1066" i="19"/>
  <c r="Y1091" i="19"/>
  <c r="Y541" i="19"/>
  <c r="AM163" i="19"/>
  <c r="BU1026" i="19" l="1"/>
  <c r="BU541" i="19"/>
  <c r="BU549" i="19"/>
  <c r="BU11" i="19"/>
  <c r="BU908" i="19"/>
  <c r="BU166" i="19"/>
  <c r="BW726" i="19"/>
  <c r="BU1043" i="19"/>
  <c r="BU813" i="19"/>
  <c r="Y612" i="19" l="1"/>
  <c r="AQ332" i="19"/>
  <c r="AQ369" i="19"/>
  <c r="Y502" i="19" l="1"/>
  <c r="Z332" i="19" l="1"/>
  <c r="Y332" i="19"/>
  <c r="AA371" i="19"/>
  <c r="Y431" i="19"/>
  <c r="Y519" i="19"/>
  <c r="Y425" i="19"/>
  <c r="Y11" i="19"/>
  <c r="BY1028" i="19" l="1"/>
  <c r="AK163" i="19" l="1"/>
  <c r="AK164" i="19"/>
  <c r="AW1053" i="19"/>
  <c r="AQ1053" i="19"/>
  <c r="AW1051" i="19"/>
  <c r="AY372" i="19" l="1"/>
  <c r="AS166" i="19"/>
  <c r="AM166" i="19"/>
  <c r="BK1051" i="19" l="1"/>
  <c r="Y341" i="19"/>
  <c r="Y549" i="19"/>
  <c r="AY23" i="19"/>
  <c r="AY21" i="19"/>
  <c r="AA227" i="19"/>
  <c r="BU429" i="19" l="1"/>
  <c r="BU427" i="19"/>
  <c r="BU177" i="19"/>
  <c r="BU165" i="19"/>
  <c r="BU327" i="19"/>
  <c r="BU873" i="19"/>
  <c r="BW341" i="19"/>
  <c r="AW23" i="19" l="1"/>
  <c r="AW21" i="19"/>
  <c r="AS345" i="19"/>
  <c r="W76" i="19" l="1"/>
  <c r="AK1036" i="19" l="1"/>
  <c r="AQ166" i="19"/>
  <c r="AK166" i="19"/>
  <c r="AA1053" i="19"/>
  <c r="Y1053" i="19"/>
  <c r="AA1051" i="19"/>
  <c r="AW372" i="19"/>
  <c r="AS372" i="19"/>
  <c r="Z369" i="19" l="1"/>
  <c r="Y369" i="19"/>
  <c r="Y1043" i="19"/>
  <c r="AE17" i="19" l="1"/>
  <c r="AY813" i="19" l="1"/>
  <c r="AY326" i="19"/>
  <c r="AS326" i="19"/>
  <c r="BU1102" i="19" l="1"/>
  <c r="BU1105" i="19"/>
  <c r="BU891" i="19" l="1"/>
  <c r="BU344" i="19" l="1"/>
  <c r="BU296" i="19"/>
  <c r="BU31" i="19"/>
  <c r="BU903" i="19" l="1"/>
  <c r="I1100" i="19" l="1"/>
  <c r="AK600" i="19" l="1"/>
  <c r="Z341" i="19"/>
  <c r="BU395" i="19" l="1"/>
  <c r="Y600" i="19" l="1"/>
  <c r="Y513" i="19"/>
  <c r="AW1046" i="19" l="1"/>
  <c r="AY1046" i="19"/>
  <c r="AS1046" i="19"/>
  <c r="AY17" i="19" l="1"/>
  <c r="AS17" i="19"/>
  <c r="AG1105" i="19"/>
  <c r="AG1102" i="19"/>
  <c r="Z33" i="19"/>
  <c r="W292" i="19" l="1"/>
  <c r="BU1093" i="19"/>
  <c r="BR896" i="19"/>
  <c r="BU1030" i="19"/>
  <c r="BU543" i="19"/>
  <c r="BU515" i="19"/>
  <c r="BU901" i="19"/>
  <c r="BU898" i="19"/>
  <c r="BU896" i="19"/>
  <c r="BU927" i="19"/>
  <c r="BU521" i="19"/>
  <c r="BU23" i="19"/>
  <c r="BU793" i="19"/>
  <c r="BU911" i="19"/>
  <c r="BU710" i="19"/>
  <c r="BU709" i="19"/>
  <c r="BW695" i="19"/>
  <c r="W339" i="19" l="1"/>
  <c r="BU26" i="19"/>
  <c r="Y17" i="19" l="1"/>
  <c r="AW326" i="19" l="1"/>
  <c r="AQ326" i="19"/>
  <c r="BI1051" i="19"/>
  <c r="AW813" i="19" l="1"/>
  <c r="AS813" i="19"/>
  <c r="AS334" i="19"/>
  <c r="AW334" i="19"/>
  <c r="W1059" i="19"/>
  <c r="AG21" i="19"/>
  <c r="AG90" i="19"/>
  <c r="AW17" i="19"/>
  <c r="AQ17" i="19"/>
  <c r="AY812" i="19"/>
  <c r="AY787" i="19"/>
  <c r="Y326" i="19"/>
  <c r="BU1029" i="19"/>
  <c r="BW1050" i="19"/>
  <c r="BY1050" i="19"/>
  <c r="BU1064" i="19"/>
  <c r="BU956" i="19"/>
  <c r="BU695" i="19"/>
  <c r="BU203" i="19" l="1"/>
  <c r="BU1024" i="19"/>
  <c r="BY922" i="19"/>
  <c r="BU341" i="19"/>
  <c r="BU944" i="19"/>
  <c r="W240" i="19" l="1"/>
  <c r="W239" i="19"/>
  <c r="W189" i="19"/>
  <c r="W190" i="19"/>
  <c r="W238" i="19"/>
  <c r="BK1053" i="19" l="1"/>
  <c r="BK1030" i="19"/>
  <c r="AB189" i="19"/>
  <c r="AG891" i="19" l="1"/>
  <c r="AQ372" i="19" l="1"/>
  <c r="Y1064" i="19" l="1"/>
  <c r="W299" i="19"/>
  <c r="I453" i="19" l="1"/>
  <c r="I452" i="19"/>
  <c r="Y903" i="19"/>
  <c r="Y709" i="19"/>
  <c r="Y710" i="19"/>
  <c r="Y931" i="19"/>
  <c r="Z372" i="19"/>
  <c r="Y372" i="19"/>
  <c r="I850" i="19" l="1"/>
  <c r="I848" i="19"/>
  <c r="I847" i="19"/>
  <c r="I846" i="19"/>
  <c r="Y19" i="19" l="1"/>
  <c r="AW812" i="19"/>
  <c r="AS812" i="19"/>
  <c r="AW787" i="19"/>
  <c r="AS787" i="19"/>
  <c r="AG395" i="19"/>
  <c r="AG1029" i="19"/>
  <c r="K80" i="2" l="1"/>
  <c r="BU25" i="19"/>
  <c r="BY38" i="19"/>
  <c r="BU193" i="19"/>
  <c r="BY326" i="19"/>
  <c r="BU919" i="19"/>
  <c r="BU916" i="19"/>
  <c r="BU491" i="19"/>
  <c r="BU922" i="19"/>
  <c r="BU907" i="19"/>
  <c r="BU353" i="19"/>
  <c r="BU160" i="19"/>
  <c r="AM1028" i="19" l="1"/>
  <c r="J845" i="19"/>
  <c r="I845" i="19"/>
  <c r="J844" i="19"/>
  <c r="I844" i="19"/>
  <c r="J843" i="19"/>
  <c r="I843" i="19"/>
  <c r="J842" i="19"/>
  <c r="I842" i="19"/>
  <c r="J841" i="19"/>
  <c r="I841" i="19"/>
  <c r="J840" i="19"/>
  <c r="I840" i="19"/>
  <c r="J839" i="19"/>
  <c r="I839" i="19"/>
  <c r="J838" i="19"/>
  <c r="I838" i="19"/>
  <c r="J837" i="19"/>
  <c r="I837" i="19"/>
  <c r="J836" i="19"/>
  <c r="I836" i="19"/>
  <c r="J835" i="19"/>
  <c r="I835" i="19"/>
  <c r="J834" i="19"/>
  <c r="I834" i="19"/>
  <c r="J833" i="19"/>
  <c r="I833" i="19"/>
  <c r="J832" i="19"/>
  <c r="I832" i="19"/>
  <c r="J831" i="19"/>
  <c r="I831" i="19"/>
  <c r="J830" i="19"/>
  <c r="I830" i="19"/>
  <c r="J828" i="19"/>
  <c r="I828" i="19"/>
  <c r="J827" i="19"/>
  <c r="I827" i="19"/>
  <c r="J826" i="19"/>
  <c r="I826" i="19"/>
  <c r="J825" i="19"/>
  <c r="I825" i="19"/>
  <c r="J824" i="19"/>
  <c r="I824" i="19"/>
  <c r="BK1093" i="19" l="1"/>
  <c r="Y964" i="19"/>
  <c r="Y69" i="19"/>
  <c r="W609" i="19"/>
  <c r="AY811" i="19" l="1"/>
  <c r="AY786" i="19"/>
  <c r="AA326" i="19"/>
  <c r="Y59" i="19"/>
  <c r="AG38" i="19"/>
  <c r="AG193" i="19"/>
  <c r="Y919" i="19"/>
  <c r="Y916" i="19"/>
  <c r="W916" i="19"/>
  <c r="W241" i="19"/>
  <c r="BK956" i="19" l="1"/>
  <c r="W534" i="19"/>
  <c r="W540" i="19"/>
  <c r="AE21" i="19"/>
  <c r="Y223" i="19"/>
  <c r="BW1056" i="19" l="1"/>
  <c r="BU935" i="19"/>
  <c r="BU937" i="19"/>
  <c r="BU1033" i="19" l="1"/>
  <c r="AQ345" i="19" l="1"/>
  <c r="W1066" i="19"/>
  <c r="AW811" i="19"/>
  <c r="AS811" i="19"/>
  <c r="AW786" i="19"/>
  <c r="AS786" i="19"/>
  <c r="AG25" i="19"/>
  <c r="AQ1046" i="19" l="1"/>
  <c r="AK1028" i="19" l="1"/>
  <c r="Z345" i="19" l="1"/>
  <c r="Y345" i="19"/>
  <c r="Y508" i="19"/>
  <c r="Y1056" i="19"/>
  <c r="Z1056" i="19"/>
  <c r="Y328" i="19"/>
  <c r="Y1028" i="19"/>
  <c r="BK481" i="19"/>
  <c r="BK937" i="19"/>
  <c r="W142" i="19"/>
  <c r="W79" i="19"/>
  <c r="W95" i="19"/>
  <c r="W72" i="19"/>
  <c r="W66" i="19"/>
  <c r="AG424" i="19" l="1"/>
  <c r="BU708" i="19"/>
  <c r="BY1035" i="19"/>
  <c r="BW342" i="19"/>
  <c r="BU961" i="19"/>
  <c r="BW26" i="19"/>
  <c r="AM1024" i="19" l="1"/>
  <c r="BI1030" i="19"/>
  <c r="BI1053" i="19"/>
  <c r="BI1093" i="19"/>
  <c r="AE1105" i="19"/>
  <c r="BW24" i="19" l="1"/>
  <c r="CC380" i="19" l="1"/>
  <c r="CB380" i="19"/>
  <c r="CA380" i="19"/>
  <c r="BZ380" i="19"/>
  <c r="BL380" i="19"/>
  <c r="BF380" i="19"/>
  <c r="AZ380" i="19"/>
  <c r="AT380" i="19"/>
  <c r="AN380" i="19"/>
  <c r="AH380" i="19"/>
  <c r="AB380" i="19"/>
  <c r="R380" i="19"/>
  <c r="L380" i="19"/>
  <c r="CC379" i="19"/>
  <c r="CB379" i="19"/>
  <c r="CA379" i="19"/>
  <c r="BZ379" i="19"/>
  <c r="BL379" i="19"/>
  <c r="BF379" i="19"/>
  <c r="AZ379" i="19"/>
  <c r="AT379" i="19"/>
  <c r="AN379" i="19"/>
  <c r="AH379" i="19"/>
  <c r="AB379" i="19"/>
  <c r="R379" i="19"/>
  <c r="L379" i="19"/>
  <c r="CC378" i="19"/>
  <c r="CB378" i="19"/>
  <c r="CA378" i="19"/>
  <c r="BZ378" i="19"/>
  <c r="BL378" i="19"/>
  <c r="BF378" i="19"/>
  <c r="AZ378" i="19"/>
  <c r="AT378" i="19"/>
  <c r="AN378" i="19"/>
  <c r="AH378" i="19"/>
  <c r="AB378" i="19"/>
  <c r="R378" i="19"/>
  <c r="L378" i="19"/>
  <c r="CC377" i="19"/>
  <c r="CB377" i="19"/>
  <c r="CA377" i="19"/>
  <c r="BZ377" i="19"/>
  <c r="BL377" i="19"/>
  <c r="BF377" i="19"/>
  <c r="AZ377" i="19"/>
  <c r="AT377" i="19"/>
  <c r="AN377" i="19"/>
  <c r="AH377" i="19"/>
  <c r="AB377" i="19"/>
  <c r="R377" i="19"/>
  <c r="L377" i="19"/>
  <c r="CC376" i="19"/>
  <c r="CB376" i="19"/>
  <c r="CA376" i="19"/>
  <c r="BZ376" i="19"/>
  <c r="BL376" i="19"/>
  <c r="BF376" i="19"/>
  <c r="AZ376" i="19"/>
  <c r="AT376" i="19"/>
  <c r="AN376" i="19"/>
  <c r="AH376" i="19"/>
  <c r="AB376" i="19"/>
  <c r="R376" i="19"/>
  <c r="L376" i="19"/>
  <c r="CC375" i="19"/>
  <c r="CB375" i="19"/>
  <c r="CA375" i="19"/>
  <c r="BZ375" i="19"/>
  <c r="BL375" i="19"/>
  <c r="BF375" i="19"/>
  <c r="AZ375" i="19"/>
  <c r="AT375" i="19"/>
  <c r="AN375" i="19"/>
  <c r="AH375" i="19"/>
  <c r="AB375" i="19"/>
  <c r="R375" i="19"/>
  <c r="L375" i="19"/>
  <c r="CD380" i="19" l="1"/>
  <c r="CE380" i="19" s="1"/>
  <c r="CE377" i="19"/>
  <c r="CD379" i="19"/>
  <c r="CE379" i="19" s="1"/>
  <c r="CD376" i="19"/>
  <c r="CD378" i="19"/>
  <c r="CE378" i="19" s="1"/>
  <c r="BK814" i="19"/>
  <c r="BK349" i="19"/>
  <c r="BK338" i="19"/>
  <c r="BK567" i="19"/>
  <c r="W583" i="19"/>
  <c r="W582" i="19"/>
  <c r="AM1046" i="19"/>
  <c r="CE376" i="19" l="1"/>
  <c r="CE375" i="19"/>
  <c r="W271" i="19" l="1"/>
  <c r="W71" i="19"/>
  <c r="W70" i="19"/>
  <c r="W1060" i="19"/>
  <c r="AY344" i="19" l="1"/>
  <c r="AQ1068" i="19"/>
  <c r="AS1068" i="19"/>
  <c r="AM1033" i="19"/>
  <c r="I1043" i="19" l="1"/>
  <c r="BU424" i="19" l="1"/>
  <c r="BU82" i="19"/>
  <c r="BU587" i="19"/>
  <c r="BU954" i="19"/>
  <c r="BU317" i="19"/>
  <c r="BU24" i="19"/>
  <c r="BU1056" i="19"/>
  <c r="BU1101" i="19"/>
  <c r="BU260" i="19"/>
  <c r="AM1068" i="19" l="1"/>
  <c r="AM1069" i="19"/>
  <c r="B113" i="2" l="1"/>
  <c r="H115" i="2"/>
  <c r="H109" i="2"/>
  <c r="E108" i="2"/>
  <c r="E105" i="2"/>
  <c r="H106" i="2"/>
  <c r="H108" i="2"/>
  <c r="H105" i="2"/>
  <c r="H102" i="2"/>
  <c r="E110" i="2"/>
  <c r="E109" i="2"/>
  <c r="H103" i="2"/>
  <c r="H104" i="2"/>
  <c r="B105" i="2"/>
  <c r="B104" i="2"/>
  <c r="E104" i="2"/>
  <c r="E102" i="2"/>
  <c r="H107" i="2"/>
  <c r="E101" i="2"/>
  <c r="B102" i="2"/>
  <c r="E115" i="2"/>
  <c r="B115" i="2"/>
  <c r="H101" i="2"/>
  <c r="B101" i="2"/>
  <c r="H114" i="2"/>
  <c r="E103" i="2"/>
  <c r="B109" i="2"/>
  <c r="B114" i="2"/>
  <c r="B107" i="2"/>
  <c r="B106" i="2"/>
  <c r="E114" i="2"/>
  <c r="E113" i="2"/>
  <c r="E106" i="2"/>
  <c r="H112" i="2"/>
  <c r="H111" i="2"/>
  <c r="E112" i="2"/>
  <c r="E116" i="2"/>
  <c r="H113" i="2"/>
  <c r="B108" i="2"/>
  <c r="B116" i="2"/>
  <c r="B112" i="2"/>
  <c r="B111" i="2"/>
  <c r="H110" i="2"/>
  <c r="E111" i="2"/>
  <c r="H116" i="2"/>
  <c r="E107" i="2"/>
  <c r="B110" i="2"/>
  <c r="B103" i="2"/>
  <c r="D105" i="2"/>
  <c r="J101" i="2"/>
  <c r="D104" i="2"/>
  <c r="D103" i="2"/>
  <c r="D114" i="2"/>
  <c r="G112" i="2"/>
  <c r="G103" i="2"/>
  <c r="J104" i="2"/>
  <c r="G102" i="2"/>
  <c r="G107" i="2"/>
  <c r="J110" i="2"/>
  <c r="D108" i="2"/>
  <c r="J105" i="2"/>
  <c r="J111" i="2"/>
  <c r="G110" i="2"/>
  <c r="G114" i="2"/>
  <c r="D109" i="2"/>
  <c r="J107" i="2"/>
  <c r="D110" i="2"/>
  <c r="D116" i="2"/>
  <c r="J102" i="2"/>
  <c r="G104" i="2"/>
  <c r="G101" i="2"/>
  <c r="J112" i="2"/>
  <c r="D107" i="2"/>
  <c r="G116" i="2"/>
  <c r="G106" i="2"/>
  <c r="D112" i="2"/>
  <c r="G113" i="2"/>
  <c r="J108" i="2"/>
  <c r="G109" i="2"/>
  <c r="J114" i="2"/>
  <c r="J115" i="2"/>
  <c r="I115" i="2" s="1"/>
  <c r="D102" i="2"/>
  <c r="J103" i="2"/>
  <c r="D101" i="2"/>
  <c r="D106" i="2"/>
  <c r="J113" i="2"/>
  <c r="J106" i="2"/>
  <c r="G115" i="2"/>
  <c r="D115" i="2"/>
  <c r="G105" i="2"/>
  <c r="D113" i="2"/>
  <c r="C113" i="2" s="1"/>
  <c r="G111" i="2"/>
  <c r="J116" i="2"/>
  <c r="J109" i="2"/>
  <c r="D111" i="2"/>
  <c r="G108" i="2"/>
  <c r="M110" i="2" l="1"/>
  <c r="M112" i="2"/>
  <c r="M114" i="2"/>
  <c r="M102" i="2"/>
  <c r="M106" i="2"/>
  <c r="M107" i="2"/>
  <c r="M115" i="2"/>
  <c r="M116" i="2"/>
  <c r="M108" i="2"/>
  <c r="M104" i="2"/>
  <c r="F116" i="2"/>
  <c r="F106" i="2"/>
  <c r="H117" i="2"/>
  <c r="I101" i="2"/>
  <c r="K104" i="2"/>
  <c r="C104" i="2"/>
  <c r="I108" i="2"/>
  <c r="J117" i="2"/>
  <c r="F112" i="2"/>
  <c r="C115" i="2"/>
  <c r="K115" i="2"/>
  <c r="C105" i="2"/>
  <c r="K105" i="2"/>
  <c r="I106" i="2"/>
  <c r="M105" i="2"/>
  <c r="F113" i="2"/>
  <c r="C107" i="2"/>
  <c r="K107" i="2"/>
  <c r="F115" i="2"/>
  <c r="I104" i="2"/>
  <c r="F105" i="2"/>
  <c r="K103" i="2"/>
  <c r="C103" i="2"/>
  <c r="F111" i="2"/>
  <c r="F114" i="2"/>
  <c r="K114" i="2"/>
  <c r="C114" i="2"/>
  <c r="C102" i="2"/>
  <c r="K102" i="2"/>
  <c r="I103" i="2"/>
  <c r="F108" i="2"/>
  <c r="G117" i="2"/>
  <c r="K109" i="2"/>
  <c r="C109" i="2"/>
  <c r="E117" i="2"/>
  <c r="F101" i="2"/>
  <c r="F109" i="2"/>
  <c r="I109" i="2"/>
  <c r="I110" i="2"/>
  <c r="M109" i="2"/>
  <c r="F107" i="2"/>
  <c r="C111" i="2"/>
  <c r="K111" i="2"/>
  <c r="K106" i="2"/>
  <c r="C106" i="2"/>
  <c r="F103" i="2"/>
  <c r="I107" i="2"/>
  <c r="F110" i="2"/>
  <c r="M101" i="2"/>
  <c r="D117" i="2"/>
  <c r="K110" i="2"/>
  <c r="C110" i="2"/>
  <c r="M111" i="2"/>
  <c r="M103" i="2"/>
  <c r="I116" i="2"/>
  <c r="C112" i="2"/>
  <c r="K112" i="2"/>
  <c r="C108" i="2"/>
  <c r="K108" i="2"/>
  <c r="I111" i="2"/>
  <c r="I114" i="2"/>
  <c r="F102" i="2"/>
  <c r="I102" i="2"/>
  <c r="M113" i="2"/>
  <c r="K116" i="2"/>
  <c r="C116" i="2"/>
  <c r="I113" i="2"/>
  <c r="I112" i="2"/>
  <c r="C101" i="2"/>
  <c r="K101" i="2"/>
  <c r="B117" i="2"/>
  <c r="F104" i="2"/>
  <c r="I105" i="2"/>
  <c r="K113" i="2"/>
  <c r="L108" i="2" l="1"/>
  <c r="L109" i="2"/>
  <c r="L113" i="2"/>
  <c r="L116" i="2"/>
  <c r="L112" i="2"/>
  <c r="L110" i="2"/>
  <c r="F117" i="2"/>
  <c r="L102" i="2"/>
  <c r="L105" i="2"/>
  <c r="L111" i="2"/>
  <c r="L115" i="2"/>
  <c r="M117" i="2"/>
  <c r="L107" i="2"/>
  <c r="L103" i="2"/>
  <c r="I117" i="2"/>
  <c r="L104" i="2"/>
  <c r="L101" i="2"/>
  <c r="C117" i="2"/>
  <c r="L114" i="2"/>
  <c r="L106" i="2"/>
  <c r="K117" i="2"/>
  <c r="E156" i="2" s="1"/>
  <c r="Y956" i="19"/>
  <c r="Y1033" i="19"/>
  <c r="Y596" i="19"/>
  <c r="N117" i="2" l="1"/>
  <c r="N156" i="2" s="1"/>
  <c r="K156" i="2"/>
  <c r="L117" i="2"/>
  <c r="H156" i="2" s="1"/>
  <c r="AK1033" i="19"/>
  <c r="Y141" i="19" l="1"/>
  <c r="Y82" i="19"/>
  <c r="Y294" i="19"/>
  <c r="Y47" i="19"/>
  <c r="AK1069" i="19"/>
  <c r="AK1068" i="19"/>
  <c r="W1045" i="19"/>
  <c r="W1044" i="19"/>
  <c r="W357" i="19"/>
  <c r="W358" i="19"/>
  <c r="W337" i="19"/>
  <c r="W347" i="19"/>
  <c r="W348" i="19"/>
  <c r="Y157" i="19" l="1"/>
  <c r="AY165" i="19"/>
  <c r="AS165" i="19"/>
  <c r="AM165" i="19"/>
  <c r="BI956" i="19"/>
  <c r="BI567" i="19"/>
  <c r="AW165" i="19"/>
  <c r="BU1080" i="19" l="1"/>
  <c r="BU561" i="19"/>
  <c r="BU562" i="19"/>
  <c r="BU906" i="19"/>
  <c r="BU904" i="19" l="1"/>
  <c r="BU897" i="19"/>
  <c r="BU1023" i="19"/>
  <c r="AW344" i="19" l="1"/>
  <c r="AS344" i="19"/>
  <c r="Y954" i="19" l="1"/>
  <c r="AE1102" i="19"/>
  <c r="AE1035" i="19"/>
  <c r="BI349" i="19"/>
  <c r="BI338" i="19"/>
  <c r="BI937" i="19"/>
  <c r="BI814" i="19"/>
  <c r="BI481" i="19"/>
  <c r="Y1102" i="19" l="1"/>
  <c r="AA349" i="19"/>
  <c r="Y937" i="19"/>
  <c r="Y901" i="19"/>
  <c r="Y1069" i="19"/>
  <c r="Y1068" i="19"/>
  <c r="Y290" i="19"/>
  <c r="Y1101" i="19" l="1"/>
  <c r="W1105" i="19"/>
  <c r="Y1105" i="19"/>
  <c r="AA26" i="19"/>
  <c r="Z26" i="19"/>
  <c r="Y562" i="19"/>
  <c r="W417" i="19"/>
  <c r="BU428" i="19"/>
  <c r="BU310" i="19"/>
  <c r="BY982" i="19"/>
  <c r="BU982" i="19"/>
  <c r="BU566" i="19"/>
  <c r="Y906" i="19" l="1"/>
  <c r="Y561" i="19"/>
  <c r="Y161" i="19"/>
  <c r="Y927" i="19" l="1"/>
  <c r="Z344" i="19"/>
  <c r="Y344" i="19"/>
  <c r="Y897" i="19"/>
  <c r="AQ344" i="19" l="1"/>
  <c r="CC1123" i="19"/>
  <c r="CB1123" i="19"/>
  <c r="CA1123" i="19"/>
  <c r="BZ1123" i="19"/>
  <c r="BL1123" i="19"/>
  <c r="BF1123" i="19"/>
  <c r="AZ1123" i="19"/>
  <c r="AT1123" i="19"/>
  <c r="AN1123" i="19"/>
  <c r="AH1123" i="19"/>
  <c r="AB1123" i="19"/>
  <c r="R1123" i="19"/>
  <c r="L1123" i="19"/>
  <c r="CC301" i="19"/>
  <c r="CB301" i="19"/>
  <c r="CA301" i="19"/>
  <c r="BZ301" i="19"/>
  <c r="BL301" i="19"/>
  <c r="BF301" i="19"/>
  <c r="AZ301" i="19"/>
  <c r="AT301" i="19"/>
  <c r="AN301" i="19"/>
  <c r="AH301" i="19"/>
  <c r="AB301" i="19"/>
  <c r="R301" i="19"/>
  <c r="L301" i="19"/>
  <c r="CD301" i="19" l="1"/>
  <c r="CD1123" i="19"/>
  <c r="CE1123" i="19" s="1"/>
  <c r="AY341" i="19"/>
  <c r="Y133" i="19"/>
  <c r="CE301" i="19" l="1"/>
  <c r="BU912" i="19" l="1"/>
  <c r="BU330" i="19"/>
  <c r="BU256" i="19"/>
  <c r="BW391" i="19"/>
  <c r="BU962" i="19"/>
  <c r="BU1042" i="19"/>
  <c r="BU586" i="19" l="1"/>
  <c r="BY319" i="19"/>
  <c r="BW319" i="19"/>
  <c r="BU319" i="19"/>
  <c r="BU619" i="19"/>
  <c r="AS31" i="19" l="1"/>
  <c r="W373" i="19"/>
  <c r="W374" i="19"/>
  <c r="W343" i="19"/>
  <c r="Y912" i="19"/>
  <c r="AW341" i="19"/>
  <c r="AS341" i="19"/>
  <c r="Z671" i="19" l="1"/>
  <c r="Y671" i="19"/>
  <c r="CC688" i="19" l="1"/>
  <c r="CB688" i="19"/>
  <c r="CA688" i="19"/>
  <c r="BZ688" i="19"/>
  <c r="BL688" i="19"/>
  <c r="BF688" i="19"/>
  <c r="AZ688" i="19"/>
  <c r="AT688" i="19"/>
  <c r="AN688" i="19"/>
  <c r="AH688" i="19"/>
  <c r="AB688" i="19"/>
  <c r="R688" i="19"/>
  <c r="L688" i="19"/>
  <c r="CD688" i="19" l="1"/>
  <c r="BM688" i="19"/>
  <c r="CE688" i="19" l="1"/>
  <c r="AY1056" i="19" l="1"/>
  <c r="Y256" i="19"/>
  <c r="BU351" i="19" l="1"/>
  <c r="BU173" i="19"/>
  <c r="BU946" i="19"/>
  <c r="BU73" i="19"/>
  <c r="W618" i="19" l="1"/>
  <c r="AQ165" i="19"/>
  <c r="AK165" i="19"/>
  <c r="AS1056" i="19" l="1"/>
  <c r="AW1056" i="19"/>
  <c r="W1064" i="19"/>
  <c r="W1091" i="19"/>
  <c r="CC1122" i="19" l="1"/>
  <c r="CB1122" i="19"/>
  <c r="CA1122" i="19"/>
  <c r="BZ1122" i="19"/>
  <c r="BL1122" i="19"/>
  <c r="BF1122" i="19"/>
  <c r="AZ1122" i="19"/>
  <c r="AT1122" i="19"/>
  <c r="AN1122" i="19"/>
  <c r="AH1122" i="19"/>
  <c r="AB1122" i="19"/>
  <c r="R1122" i="19"/>
  <c r="L1122" i="19"/>
  <c r="CC726" i="19"/>
  <c r="CB726" i="19"/>
  <c r="CA726" i="19"/>
  <c r="BZ726" i="19"/>
  <c r="BL726" i="19"/>
  <c r="BF726" i="19"/>
  <c r="AZ726" i="19"/>
  <c r="AT726" i="19"/>
  <c r="AN726" i="19"/>
  <c r="AH726" i="19"/>
  <c r="AB726" i="19"/>
  <c r="R726" i="19"/>
  <c r="L726" i="19"/>
  <c r="CC725" i="19"/>
  <c r="CB725" i="19"/>
  <c r="CA725" i="19"/>
  <c r="BZ725" i="19"/>
  <c r="BL725" i="19"/>
  <c r="BF725" i="19"/>
  <c r="AZ725" i="19"/>
  <c r="AT725" i="19"/>
  <c r="AN725" i="19"/>
  <c r="AH725" i="19"/>
  <c r="AB725" i="19"/>
  <c r="R725" i="19"/>
  <c r="L725" i="19"/>
  <c r="CD726" i="19" l="1"/>
  <c r="CD1122" i="19"/>
  <c r="CE1122" i="19" s="1"/>
  <c r="CD725" i="19"/>
  <c r="CE725" i="19" l="1"/>
  <c r="CE726" i="19"/>
  <c r="AA319" i="19"/>
  <c r="Z319" i="19"/>
  <c r="Y319" i="19"/>
  <c r="Y786" i="19"/>
  <c r="Y330" i="19" l="1"/>
  <c r="Y944" i="19" l="1"/>
  <c r="Y351" i="19"/>
  <c r="W187" i="19" l="1"/>
  <c r="W158" i="19"/>
  <c r="W146" i="19"/>
  <c r="W893" i="19"/>
  <c r="AQ341" i="19" l="1"/>
  <c r="W532" i="19"/>
  <c r="W471" i="19"/>
  <c r="W503" i="19"/>
  <c r="W595" i="19"/>
  <c r="AM1030" i="19" l="1"/>
  <c r="AM1035" i="19"/>
  <c r="AK1024" i="19"/>
  <c r="Y196" i="19" l="1"/>
  <c r="Y165" i="19"/>
  <c r="BU10" i="19" l="1"/>
  <c r="BW310" i="19"/>
  <c r="BU940" i="19"/>
  <c r="BU701" i="19"/>
  <c r="W552" i="19" l="1"/>
  <c r="W508" i="19"/>
  <c r="W506" i="19"/>
  <c r="W505" i="19"/>
  <c r="W415" i="19" l="1"/>
  <c r="W178" i="19"/>
  <c r="W297" i="19"/>
  <c r="W59" i="19"/>
  <c r="W57" i="19"/>
  <c r="W208" i="19"/>
  <c r="W612" i="19"/>
  <c r="W253" i="19"/>
  <c r="W251" i="19"/>
  <c r="Y896" i="19" l="1"/>
  <c r="Y1024" i="19"/>
  <c r="Y587" i="19" l="1"/>
  <c r="AE891" i="19" l="1"/>
  <c r="BU480" i="19" l="1"/>
  <c r="AQ1056" i="19" l="1"/>
  <c r="AG10" i="19"/>
  <c r="BU45" i="19" l="1"/>
  <c r="BU1063" i="19"/>
  <c r="BU967" i="19"/>
  <c r="Z310" i="19" l="1"/>
  <c r="Y310" i="19"/>
  <c r="W327" i="19" l="1"/>
  <c r="W336" i="19"/>
  <c r="W328" i="19"/>
  <c r="W326" i="19"/>
  <c r="AK1030" i="19"/>
  <c r="AK1035" i="19"/>
  <c r="CC1005" i="19"/>
  <c r="CB1005" i="19"/>
  <c r="CA1005" i="19"/>
  <c r="BZ1005" i="19"/>
  <c r="BL1005" i="19"/>
  <c r="BF1005" i="19"/>
  <c r="AZ1005" i="19"/>
  <c r="AT1005" i="19"/>
  <c r="AN1005" i="19"/>
  <c r="AH1005" i="19"/>
  <c r="AB1005" i="19"/>
  <c r="R1005" i="19"/>
  <c r="L1005" i="19"/>
  <c r="CC1004" i="19"/>
  <c r="CB1004" i="19"/>
  <c r="CA1004" i="19"/>
  <c r="BZ1004" i="19"/>
  <c r="BL1004" i="19"/>
  <c r="BF1004" i="19"/>
  <c r="AZ1004" i="19"/>
  <c r="AT1004" i="19"/>
  <c r="AN1004" i="19"/>
  <c r="AH1004" i="19"/>
  <c r="AB1004" i="19"/>
  <c r="R1004" i="19"/>
  <c r="L1004" i="19"/>
  <c r="CC1003" i="19"/>
  <c r="CB1003" i="19"/>
  <c r="CA1003" i="19"/>
  <c r="BZ1003" i="19"/>
  <c r="BL1003" i="19"/>
  <c r="BF1003" i="19"/>
  <c r="AZ1003" i="19"/>
  <c r="AT1003" i="19"/>
  <c r="AN1003" i="19"/>
  <c r="AH1003" i="19"/>
  <c r="AB1003" i="19"/>
  <c r="R1003" i="19"/>
  <c r="L1003" i="19"/>
  <c r="CC1002" i="19"/>
  <c r="CB1002" i="19"/>
  <c r="CA1002" i="19"/>
  <c r="BZ1002" i="19"/>
  <c r="BL1002" i="19"/>
  <c r="BF1002" i="19"/>
  <c r="AZ1002" i="19"/>
  <c r="AT1002" i="19"/>
  <c r="AN1002" i="19"/>
  <c r="AH1002" i="19"/>
  <c r="AB1002" i="19"/>
  <c r="R1002" i="19"/>
  <c r="L1002" i="19"/>
  <c r="CC1001" i="19"/>
  <c r="CB1001" i="19"/>
  <c r="CA1001" i="19"/>
  <c r="BZ1001" i="19"/>
  <c r="BL1001" i="19"/>
  <c r="BF1001" i="19"/>
  <c r="AZ1001" i="19"/>
  <c r="AT1001" i="19"/>
  <c r="AN1001" i="19"/>
  <c r="AH1001" i="19"/>
  <c r="AB1001" i="19"/>
  <c r="R1001" i="19"/>
  <c r="L1001" i="19"/>
  <c r="CC1000" i="19"/>
  <c r="CB1000" i="19"/>
  <c r="CA1000" i="19"/>
  <c r="BZ1000" i="19"/>
  <c r="BL1000" i="19"/>
  <c r="BF1000" i="19"/>
  <c r="AZ1000" i="19"/>
  <c r="AT1000" i="19"/>
  <c r="AN1000" i="19"/>
  <c r="AH1000" i="19"/>
  <c r="AB1000" i="19"/>
  <c r="R1000" i="19"/>
  <c r="L1000" i="19"/>
  <c r="CC999" i="19"/>
  <c r="CB999" i="19"/>
  <c r="CA999" i="19"/>
  <c r="BZ999" i="19"/>
  <c r="BL999" i="19"/>
  <c r="BF999" i="19"/>
  <c r="AZ999" i="19"/>
  <c r="AT999" i="19"/>
  <c r="AN999" i="19"/>
  <c r="AH999" i="19"/>
  <c r="AB999" i="19"/>
  <c r="R999" i="19"/>
  <c r="L999" i="19"/>
  <c r="CC998" i="19"/>
  <c r="CB998" i="19"/>
  <c r="CA998" i="19"/>
  <c r="BZ998" i="19"/>
  <c r="BL998" i="19"/>
  <c r="BF998" i="19"/>
  <c r="AZ998" i="19"/>
  <c r="AT998" i="19"/>
  <c r="AN998" i="19"/>
  <c r="AH998" i="19"/>
  <c r="AB998" i="19"/>
  <c r="R998" i="19"/>
  <c r="L998" i="19"/>
  <c r="CC997" i="19"/>
  <c r="CB997" i="19"/>
  <c r="CA997" i="19"/>
  <c r="BZ997" i="19"/>
  <c r="BL997" i="19"/>
  <c r="BF997" i="19"/>
  <c r="AZ997" i="19"/>
  <c r="AT997" i="19"/>
  <c r="AN997" i="19"/>
  <c r="AH997" i="19"/>
  <c r="AB997" i="19"/>
  <c r="R997" i="19"/>
  <c r="L997" i="19"/>
  <c r="CE1005" i="19" l="1"/>
  <c r="CD997" i="19"/>
  <c r="CD1001" i="19"/>
  <c r="CE1001" i="19" s="1"/>
  <c r="CD1004" i="19"/>
  <c r="CD1002" i="19"/>
  <c r="CE1002" i="19" s="1"/>
  <c r="CD998" i="19"/>
  <c r="BM1003" i="19"/>
  <c r="CD1003" i="19"/>
  <c r="CE1003" i="19" s="1"/>
  <c r="CD1000" i="19"/>
  <c r="CE1000" i="19" s="1"/>
  <c r="CD999" i="19"/>
  <c r="CE999" i="19" s="1"/>
  <c r="CE998" i="19" l="1"/>
  <c r="CE997" i="19"/>
  <c r="CE1004" i="19"/>
  <c r="W318" i="19"/>
  <c r="W316" i="19"/>
  <c r="W346" i="19"/>
  <c r="W341" i="19"/>
  <c r="J662" i="19" l="1"/>
  <c r="I662" i="19"/>
  <c r="J661" i="19"/>
  <c r="I661" i="19"/>
  <c r="BU396" i="19"/>
  <c r="CC996" i="19" l="1"/>
  <c r="CB996" i="19"/>
  <c r="CA996" i="19"/>
  <c r="BZ996" i="19"/>
  <c r="BL996" i="19"/>
  <c r="BF996" i="19"/>
  <c r="AZ996" i="19"/>
  <c r="AT996" i="19"/>
  <c r="AN996" i="19"/>
  <c r="AH996" i="19"/>
  <c r="AB996" i="19"/>
  <c r="R996" i="19"/>
  <c r="L996" i="19"/>
  <c r="CC995" i="19"/>
  <c r="CB995" i="19"/>
  <c r="CA995" i="19"/>
  <c r="BZ995" i="19"/>
  <c r="BL995" i="19"/>
  <c r="BF995" i="19"/>
  <c r="AZ995" i="19"/>
  <c r="AT995" i="19"/>
  <c r="AN995" i="19"/>
  <c r="AH995" i="19"/>
  <c r="AB995" i="19"/>
  <c r="R995" i="19"/>
  <c r="L995" i="19"/>
  <c r="CC994" i="19"/>
  <c r="CB994" i="19"/>
  <c r="CA994" i="19"/>
  <c r="BZ994" i="19"/>
  <c r="BL994" i="19"/>
  <c r="BF994" i="19"/>
  <c r="AZ994" i="19"/>
  <c r="AT994" i="19"/>
  <c r="AN994" i="19"/>
  <c r="AH994" i="19"/>
  <c r="AB994" i="19"/>
  <c r="R994" i="19"/>
  <c r="L994" i="19"/>
  <c r="CD994" i="19" l="1"/>
  <c r="CD995" i="19"/>
  <c r="CE995" i="19" s="1"/>
  <c r="CD996" i="19"/>
  <c r="CE994" i="19" l="1"/>
  <c r="CE996" i="19"/>
  <c r="Y1035" i="19" l="1"/>
  <c r="Y1030" i="19"/>
  <c r="Y898" i="19"/>
  <c r="Y174" i="19"/>
  <c r="CC553" i="19" l="1"/>
  <c r="CB553" i="19"/>
  <c r="CA553" i="19"/>
  <c r="BZ553" i="19"/>
  <c r="BL553" i="19"/>
  <c r="BF553" i="19"/>
  <c r="AZ553" i="19"/>
  <c r="AT553" i="19"/>
  <c r="AN553" i="19"/>
  <c r="AH553" i="19"/>
  <c r="AB553" i="19"/>
  <c r="R553" i="19"/>
  <c r="L553" i="19"/>
  <c r="CC552" i="19"/>
  <c r="CB552" i="19"/>
  <c r="BZ552" i="19"/>
  <c r="BL552" i="19"/>
  <c r="BF552" i="19"/>
  <c r="AZ552" i="19"/>
  <c r="AT552" i="19"/>
  <c r="AN552" i="19"/>
  <c r="AH552" i="19"/>
  <c r="AB552" i="19"/>
  <c r="R552" i="19"/>
  <c r="L552" i="19"/>
  <c r="CD553" i="19" l="1"/>
  <c r="CA552" i="19"/>
  <c r="Y396" i="19"/>
  <c r="CE553" i="19" l="1"/>
  <c r="CE552" i="19"/>
  <c r="W475" i="19"/>
  <c r="W1097" i="19"/>
  <c r="W488" i="19"/>
  <c r="W487" i="19"/>
  <c r="W486" i="19"/>
  <c r="I924" i="19" l="1"/>
  <c r="I923" i="19"/>
  <c r="AE1029" i="19" l="1"/>
  <c r="CC300" i="19" l="1"/>
  <c r="CB300" i="19"/>
  <c r="CA300" i="19"/>
  <c r="BZ300" i="19"/>
  <c r="BL300" i="19"/>
  <c r="BF300" i="19"/>
  <c r="AZ300" i="19"/>
  <c r="AT300" i="19"/>
  <c r="AN300" i="19"/>
  <c r="AH300" i="19"/>
  <c r="AB300" i="19"/>
  <c r="R300" i="19"/>
  <c r="L300" i="19"/>
  <c r="CC724" i="19"/>
  <c r="CB724" i="19"/>
  <c r="CA724" i="19"/>
  <c r="BZ724" i="19"/>
  <c r="BL724" i="19"/>
  <c r="BF724" i="19"/>
  <c r="AZ724" i="19"/>
  <c r="AT724" i="19"/>
  <c r="AN724" i="19"/>
  <c r="AH724" i="19"/>
  <c r="AB724" i="19"/>
  <c r="R724" i="19"/>
  <c r="L724" i="19"/>
  <c r="CC723" i="19"/>
  <c r="CB723" i="19"/>
  <c r="CA723" i="19"/>
  <c r="BZ723" i="19"/>
  <c r="BL723" i="19"/>
  <c r="BF723" i="19"/>
  <c r="AZ723" i="19"/>
  <c r="AT723" i="19"/>
  <c r="AN723" i="19"/>
  <c r="AH723" i="19"/>
  <c r="AB723" i="19"/>
  <c r="R723" i="19"/>
  <c r="L723" i="19"/>
  <c r="CC722" i="19"/>
  <c r="CB722" i="19"/>
  <c r="CA722" i="19"/>
  <c r="BZ722" i="19"/>
  <c r="BL722" i="19"/>
  <c r="BF722" i="19"/>
  <c r="AZ722" i="19"/>
  <c r="AT722" i="19"/>
  <c r="AN722" i="19"/>
  <c r="AH722" i="19"/>
  <c r="AB722" i="19"/>
  <c r="R722" i="19"/>
  <c r="L722" i="19"/>
  <c r="CC721" i="19"/>
  <c r="CB721" i="19"/>
  <c r="CA721" i="19"/>
  <c r="BZ721" i="19"/>
  <c r="BL721" i="19"/>
  <c r="BF721" i="19"/>
  <c r="AZ721" i="19"/>
  <c r="AT721" i="19"/>
  <c r="AN721" i="19"/>
  <c r="AH721" i="19"/>
  <c r="AB721" i="19"/>
  <c r="R721" i="19"/>
  <c r="L721" i="19"/>
  <c r="CD722" i="19" l="1"/>
  <c r="CE722" i="19" s="1"/>
  <c r="CE723" i="19"/>
  <c r="CE724" i="19"/>
  <c r="CD721" i="19"/>
  <c r="CE721" i="19" l="1"/>
  <c r="CE300" i="19"/>
  <c r="BK1050" i="19"/>
  <c r="BU921" i="19"/>
  <c r="BU945" i="19"/>
  <c r="BU939" i="19"/>
  <c r="CC1120" i="19" l="1"/>
  <c r="CB1120" i="19"/>
  <c r="CA1120" i="19"/>
  <c r="BZ1120" i="19"/>
  <c r="BL1120" i="19"/>
  <c r="BF1120" i="19"/>
  <c r="AZ1120" i="19"/>
  <c r="AT1120" i="19"/>
  <c r="AN1120" i="19"/>
  <c r="AH1120" i="19"/>
  <c r="AB1120" i="19"/>
  <c r="R1120" i="19"/>
  <c r="L1120" i="19"/>
  <c r="CC1119" i="19"/>
  <c r="CB1119" i="19"/>
  <c r="CA1119" i="19"/>
  <c r="BZ1119" i="19"/>
  <c r="BL1119" i="19"/>
  <c r="BF1119" i="19"/>
  <c r="AZ1119" i="19"/>
  <c r="AT1119" i="19"/>
  <c r="AN1119" i="19"/>
  <c r="AH1119" i="19"/>
  <c r="AB1119" i="19"/>
  <c r="R1119" i="19"/>
  <c r="L1119" i="19"/>
  <c r="CD1120" i="19" l="1"/>
  <c r="CE1120" i="19" s="1"/>
  <c r="CD1119" i="19"/>
  <c r="CE1119" i="19" l="1"/>
  <c r="CC993" i="19" l="1"/>
  <c r="CB993" i="19"/>
  <c r="CA993" i="19"/>
  <c r="BZ993" i="19"/>
  <c r="BL993" i="19"/>
  <c r="BF993" i="19"/>
  <c r="AZ993" i="19"/>
  <c r="AT993" i="19"/>
  <c r="AN993" i="19"/>
  <c r="AH993" i="19"/>
  <c r="AB993" i="19"/>
  <c r="R993" i="19"/>
  <c r="L993" i="19"/>
  <c r="CC992" i="19"/>
  <c r="CB992" i="19"/>
  <c r="CA992" i="19"/>
  <c r="BZ992" i="19"/>
  <c r="BL992" i="19"/>
  <c r="BF992" i="19"/>
  <c r="AZ992" i="19"/>
  <c r="AT992" i="19"/>
  <c r="AN992" i="19"/>
  <c r="AH992" i="19"/>
  <c r="AB992" i="19"/>
  <c r="R992" i="19"/>
  <c r="L992" i="19"/>
  <c r="CC991" i="19"/>
  <c r="CB991" i="19"/>
  <c r="CA991" i="19"/>
  <c r="BZ991" i="19"/>
  <c r="BL991" i="19"/>
  <c r="BF991" i="19"/>
  <c r="AZ991" i="19"/>
  <c r="AT991" i="19"/>
  <c r="AN991" i="19"/>
  <c r="AH991" i="19"/>
  <c r="AB991" i="19"/>
  <c r="R991" i="19"/>
  <c r="L991" i="19"/>
  <c r="CC990" i="19"/>
  <c r="CB990" i="19"/>
  <c r="CA990" i="19"/>
  <c r="BZ990" i="19"/>
  <c r="BL990" i="19"/>
  <c r="BF990" i="19"/>
  <c r="AZ990" i="19"/>
  <c r="AT990" i="19"/>
  <c r="AN990" i="19"/>
  <c r="AH990" i="19"/>
  <c r="AB990" i="19"/>
  <c r="R990" i="19"/>
  <c r="L990" i="19"/>
  <c r="CC989" i="19"/>
  <c r="CB989" i="19"/>
  <c r="CA989" i="19"/>
  <c r="BZ989" i="19"/>
  <c r="BL989" i="19"/>
  <c r="BF989" i="19"/>
  <c r="AZ989" i="19"/>
  <c r="AT989" i="19"/>
  <c r="AN989" i="19"/>
  <c r="AH989" i="19"/>
  <c r="AB989" i="19"/>
  <c r="R989" i="19"/>
  <c r="L989" i="19"/>
  <c r="CC988" i="19"/>
  <c r="CB988" i="19"/>
  <c r="CA988" i="19"/>
  <c r="BZ988" i="19"/>
  <c r="BL988" i="19"/>
  <c r="BF988" i="19"/>
  <c r="AZ988" i="19"/>
  <c r="AT988" i="19"/>
  <c r="AN988" i="19"/>
  <c r="AH988" i="19"/>
  <c r="AB988" i="19"/>
  <c r="R988" i="19"/>
  <c r="L988" i="19"/>
  <c r="CC987" i="19"/>
  <c r="CB987" i="19"/>
  <c r="CA987" i="19"/>
  <c r="BZ987" i="19"/>
  <c r="BL987" i="19"/>
  <c r="BF987" i="19"/>
  <c r="AZ987" i="19"/>
  <c r="AT987" i="19"/>
  <c r="AN987" i="19"/>
  <c r="AH987" i="19"/>
  <c r="AB987" i="19"/>
  <c r="R987" i="19"/>
  <c r="L987" i="19"/>
  <c r="CC852" i="19"/>
  <c r="CB852" i="19"/>
  <c r="CA852" i="19"/>
  <c r="BZ852" i="19"/>
  <c r="BL852" i="19"/>
  <c r="BF852" i="19"/>
  <c r="AZ852" i="19"/>
  <c r="AT852" i="19"/>
  <c r="AN852" i="19"/>
  <c r="AH852" i="19"/>
  <c r="AB852" i="19"/>
  <c r="R852" i="19"/>
  <c r="L852" i="19"/>
  <c r="CC851" i="19"/>
  <c r="CB851" i="19"/>
  <c r="CA851" i="19"/>
  <c r="BZ851" i="19"/>
  <c r="BL851" i="19"/>
  <c r="BF851" i="19"/>
  <c r="AZ851" i="19"/>
  <c r="AT851" i="19"/>
  <c r="AN851" i="19"/>
  <c r="AH851" i="19"/>
  <c r="AB851" i="19"/>
  <c r="R851" i="19"/>
  <c r="L851" i="19"/>
  <c r="CC850" i="19"/>
  <c r="CB850" i="19"/>
  <c r="CA850" i="19"/>
  <c r="BZ850" i="19"/>
  <c r="BL850" i="19"/>
  <c r="BF850" i="19"/>
  <c r="AZ850" i="19"/>
  <c r="AT850" i="19"/>
  <c r="AN850" i="19"/>
  <c r="AH850" i="19"/>
  <c r="AB850" i="19"/>
  <c r="R850" i="19"/>
  <c r="L850" i="19"/>
  <c r="CC849" i="19"/>
  <c r="CB849" i="19"/>
  <c r="CA849" i="19"/>
  <c r="BZ849" i="19"/>
  <c r="BL849" i="19"/>
  <c r="BF849" i="19"/>
  <c r="AZ849" i="19"/>
  <c r="AT849" i="19"/>
  <c r="AN849" i="19"/>
  <c r="AH849" i="19"/>
  <c r="AB849" i="19"/>
  <c r="R849" i="19"/>
  <c r="L849" i="19"/>
  <c r="CC848" i="19"/>
  <c r="CB848" i="19"/>
  <c r="CA848" i="19"/>
  <c r="BZ848" i="19"/>
  <c r="BL848" i="19"/>
  <c r="BF848" i="19"/>
  <c r="AZ848" i="19"/>
  <c r="AT848" i="19"/>
  <c r="AN848" i="19"/>
  <c r="AH848" i="19"/>
  <c r="AB848" i="19"/>
  <c r="R848" i="19"/>
  <c r="L848" i="19"/>
  <c r="CC847" i="19"/>
  <c r="CB847" i="19"/>
  <c r="CA847" i="19"/>
  <c r="BZ847" i="19"/>
  <c r="BL847" i="19"/>
  <c r="BF847" i="19"/>
  <c r="AZ847" i="19"/>
  <c r="AT847" i="19"/>
  <c r="AN847" i="19"/>
  <c r="AH847" i="19"/>
  <c r="AB847" i="19"/>
  <c r="R847" i="19"/>
  <c r="L847" i="19"/>
  <c r="CC846" i="19"/>
  <c r="CB846" i="19"/>
  <c r="CA846" i="19"/>
  <c r="BZ846" i="19"/>
  <c r="BL846" i="19"/>
  <c r="BF846" i="19"/>
  <c r="AZ846" i="19"/>
  <c r="AT846" i="19"/>
  <c r="AN846" i="19"/>
  <c r="AH846" i="19"/>
  <c r="AB846" i="19"/>
  <c r="R846" i="19"/>
  <c r="L846" i="19"/>
  <c r="CC845" i="19"/>
  <c r="CB845" i="19"/>
  <c r="CA845" i="19"/>
  <c r="BZ845" i="19"/>
  <c r="BL845" i="19"/>
  <c r="BF845" i="19"/>
  <c r="AZ845" i="19"/>
  <c r="AT845" i="19"/>
  <c r="AN845" i="19"/>
  <c r="AH845" i="19"/>
  <c r="AB845" i="19"/>
  <c r="R845" i="19"/>
  <c r="L845" i="19"/>
  <c r="CC844" i="19"/>
  <c r="CB844" i="19"/>
  <c r="CA844" i="19"/>
  <c r="BZ844" i="19"/>
  <c r="BL844" i="19"/>
  <c r="BF844" i="19"/>
  <c r="AZ844" i="19"/>
  <c r="AT844" i="19"/>
  <c r="AN844" i="19"/>
  <c r="AH844" i="19"/>
  <c r="AB844" i="19"/>
  <c r="R844" i="19"/>
  <c r="L844" i="19"/>
  <c r="CC843" i="19"/>
  <c r="CB843" i="19"/>
  <c r="CA843" i="19"/>
  <c r="BZ843" i="19"/>
  <c r="BL843" i="19"/>
  <c r="BF843" i="19"/>
  <c r="AZ843" i="19"/>
  <c r="AT843" i="19"/>
  <c r="AN843" i="19"/>
  <c r="AH843" i="19"/>
  <c r="AB843" i="19"/>
  <c r="R843" i="19"/>
  <c r="L843" i="19"/>
  <c r="CC842" i="19"/>
  <c r="CB842" i="19"/>
  <c r="CA842" i="19"/>
  <c r="BZ842" i="19"/>
  <c r="BL842" i="19"/>
  <c r="BF842" i="19"/>
  <c r="AZ842" i="19"/>
  <c r="AT842" i="19"/>
  <c r="AN842" i="19"/>
  <c r="AH842" i="19"/>
  <c r="AB842" i="19"/>
  <c r="R842" i="19"/>
  <c r="L842" i="19"/>
  <c r="CC841" i="19"/>
  <c r="CB841" i="19"/>
  <c r="CA841" i="19"/>
  <c r="BZ841" i="19"/>
  <c r="BL841" i="19"/>
  <c r="BF841" i="19"/>
  <c r="AZ841" i="19"/>
  <c r="AT841" i="19"/>
  <c r="AN841" i="19"/>
  <c r="AH841" i="19"/>
  <c r="AB841" i="19"/>
  <c r="R841" i="19"/>
  <c r="L841" i="19"/>
  <c r="CC840" i="19"/>
  <c r="CB840" i="19"/>
  <c r="CA840" i="19"/>
  <c r="BZ840" i="19"/>
  <c r="BL840" i="19"/>
  <c r="BF840" i="19"/>
  <c r="AZ840" i="19"/>
  <c r="AT840" i="19"/>
  <c r="AN840" i="19"/>
  <c r="AH840" i="19"/>
  <c r="AB840" i="19"/>
  <c r="R840" i="19"/>
  <c r="L840" i="19"/>
  <c r="CC839" i="19"/>
  <c r="CB839" i="19"/>
  <c r="CA839" i="19"/>
  <c r="BZ839" i="19"/>
  <c r="BL839" i="19"/>
  <c r="BF839" i="19"/>
  <c r="AZ839" i="19"/>
  <c r="AT839" i="19"/>
  <c r="AN839" i="19"/>
  <c r="AH839" i="19"/>
  <c r="AB839" i="19"/>
  <c r="R839" i="19"/>
  <c r="L839" i="19"/>
  <c r="CC838" i="19"/>
  <c r="CB838" i="19"/>
  <c r="CA838" i="19"/>
  <c r="BZ838" i="19"/>
  <c r="BL838" i="19"/>
  <c r="BF838" i="19"/>
  <c r="AZ838" i="19"/>
  <c r="AT838" i="19"/>
  <c r="AN838" i="19"/>
  <c r="AH838" i="19"/>
  <c r="AB838" i="19"/>
  <c r="R838" i="19"/>
  <c r="L838" i="19"/>
  <c r="CD993" i="19" l="1"/>
  <c r="CE993" i="19" s="1"/>
  <c r="CD988" i="19"/>
  <c r="CD992" i="19"/>
  <c r="CD989" i="19"/>
  <c r="CD846" i="19"/>
  <c r="CD842" i="19"/>
  <c r="CE842" i="19" s="1"/>
  <c r="CD840" i="19"/>
  <c r="CE840" i="19" s="1"/>
  <c r="CD845" i="19"/>
  <c r="CE845" i="19" s="1"/>
  <c r="CD838" i="19"/>
  <c r="CD841" i="19"/>
  <c r="CE841" i="19" s="1"/>
  <c r="CD850" i="19"/>
  <c r="CE850" i="19" s="1"/>
  <c r="CD852" i="19"/>
  <c r="CE852" i="19" s="1"/>
  <c r="CD851" i="19"/>
  <c r="CE851" i="19" s="1"/>
  <c r="CD991" i="19"/>
  <c r="CE991" i="19" s="1"/>
  <c r="CD839" i="19"/>
  <c r="CE839" i="19" s="1"/>
  <c r="CD844" i="19"/>
  <c r="CE844" i="19" s="1"/>
  <c r="CD990" i="19"/>
  <c r="CD987" i="19"/>
  <c r="CD847" i="19"/>
  <c r="CE847" i="19" s="1"/>
  <c r="CD849" i="19"/>
  <c r="CE849" i="19" s="1"/>
  <c r="CE843" i="19"/>
  <c r="CD848" i="19"/>
  <c r="CE848" i="19" s="1"/>
  <c r="CE987" i="19" l="1"/>
  <c r="CE846" i="19"/>
  <c r="CE989" i="19"/>
  <c r="CE988" i="19"/>
  <c r="CE992" i="19"/>
  <c r="CE990" i="19"/>
  <c r="CE838" i="19"/>
  <c r="AM1029" i="19"/>
  <c r="I1045" i="19"/>
  <c r="I1044" i="19"/>
  <c r="BY1055" i="19" l="1"/>
  <c r="BU1055" i="19"/>
  <c r="I1058" i="19" l="1"/>
  <c r="I1059" i="19"/>
  <c r="I1057" i="19"/>
  <c r="W484" i="19" l="1"/>
  <c r="Y939" i="19" l="1"/>
  <c r="Y940" i="19" l="1"/>
  <c r="Y563" i="19"/>
  <c r="Y1026" i="19"/>
  <c r="AK1026" i="19" l="1"/>
  <c r="AK1029" i="19"/>
  <c r="AB933" i="19" l="1"/>
  <c r="AB934" i="19"/>
  <c r="AB935" i="19"/>
  <c r="AB936" i="19"/>
  <c r="AB938" i="19"/>
  <c r="AH935" i="19"/>
  <c r="AH936" i="19"/>
  <c r="AH937" i="19"/>
  <c r="AH938" i="19"/>
  <c r="AN935" i="19"/>
  <c r="AN936" i="19"/>
  <c r="AN937" i="19"/>
  <c r="AN938" i="19"/>
  <c r="AT935" i="19"/>
  <c r="AT936" i="19"/>
  <c r="AT937" i="19"/>
  <c r="AZ935" i="19"/>
  <c r="AZ936" i="19"/>
  <c r="AZ937" i="19"/>
  <c r="BF935" i="19"/>
  <c r="BF936" i="19"/>
  <c r="BF937" i="19"/>
  <c r="BL935" i="19"/>
  <c r="BL936" i="19"/>
  <c r="BL937" i="19"/>
  <c r="BL938" i="19"/>
  <c r="W1049" i="19"/>
  <c r="CC1118" i="19" l="1"/>
  <c r="CB1118" i="19"/>
  <c r="BZ1118" i="19"/>
  <c r="BL1118" i="19"/>
  <c r="BF1118" i="19"/>
  <c r="AZ1118" i="19"/>
  <c r="AT1118" i="19"/>
  <c r="AN1118" i="19"/>
  <c r="AH1118" i="19"/>
  <c r="AB1118" i="19"/>
  <c r="R1118" i="19"/>
  <c r="I1118" i="19"/>
  <c r="CA1118" i="19" s="1"/>
  <c r="CC1117" i="19"/>
  <c r="CB1117" i="19"/>
  <c r="BZ1117" i="19"/>
  <c r="BL1117" i="19"/>
  <c r="BF1117" i="19"/>
  <c r="AZ1117" i="19"/>
  <c r="AT1117" i="19"/>
  <c r="AN1117" i="19"/>
  <c r="AH1117" i="19"/>
  <c r="AB1117" i="19"/>
  <c r="W1117" i="19"/>
  <c r="R1117" i="19"/>
  <c r="I1117" i="19"/>
  <c r="L1117" i="19" s="1"/>
  <c r="CD1118" i="19" l="1"/>
  <c r="L1118" i="19"/>
  <c r="CA1117" i="19"/>
  <c r="CC837" i="19"/>
  <c r="CB837" i="19"/>
  <c r="CA837" i="19"/>
  <c r="BZ837" i="19"/>
  <c r="BL837" i="19"/>
  <c r="BF837" i="19"/>
  <c r="AZ837" i="19"/>
  <c r="AT837" i="19"/>
  <c r="AN837" i="19"/>
  <c r="AH837" i="19"/>
  <c r="AB837" i="19"/>
  <c r="R837" i="19"/>
  <c r="L837" i="19"/>
  <c r="CC836" i="19"/>
  <c r="CB836" i="19"/>
  <c r="CA836" i="19"/>
  <c r="BZ836" i="19"/>
  <c r="BL836" i="19"/>
  <c r="BF836" i="19"/>
  <c r="AZ836" i="19"/>
  <c r="AT836" i="19"/>
  <c r="AN836" i="19"/>
  <c r="AH836" i="19"/>
  <c r="AB836" i="19"/>
  <c r="R836" i="19"/>
  <c r="L836" i="19"/>
  <c r="CC835" i="19"/>
  <c r="CB835" i="19"/>
  <c r="CA835" i="19"/>
  <c r="BZ835" i="19"/>
  <c r="BL835" i="19"/>
  <c r="BF835" i="19"/>
  <c r="AZ835" i="19"/>
  <c r="AT835" i="19"/>
  <c r="AN835" i="19"/>
  <c r="AH835" i="19"/>
  <c r="AB835" i="19"/>
  <c r="R835" i="19"/>
  <c r="L835" i="19"/>
  <c r="CC834" i="19"/>
  <c r="CB834" i="19"/>
  <c r="CA834" i="19"/>
  <c r="BZ834" i="19"/>
  <c r="BL834" i="19"/>
  <c r="BF834" i="19"/>
  <c r="AZ834" i="19"/>
  <c r="AT834" i="19"/>
  <c r="AN834" i="19"/>
  <c r="AH834" i="19"/>
  <c r="AB834" i="19"/>
  <c r="R834" i="19"/>
  <c r="L834" i="19"/>
  <c r="CC833" i="19"/>
  <c r="CB833" i="19"/>
  <c r="CA833" i="19"/>
  <c r="BZ833" i="19"/>
  <c r="BL833" i="19"/>
  <c r="BF833" i="19"/>
  <c r="AZ833" i="19"/>
  <c r="AT833" i="19"/>
  <c r="AN833" i="19"/>
  <c r="AH833" i="19"/>
  <c r="AB833" i="19"/>
  <c r="R833" i="19"/>
  <c r="L833" i="19"/>
  <c r="CC832" i="19"/>
  <c r="CB832" i="19"/>
  <c r="CA832" i="19"/>
  <c r="BZ832" i="19"/>
  <c r="BL832" i="19"/>
  <c r="BF832" i="19"/>
  <c r="AZ832" i="19"/>
  <c r="AT832" i="19"/>
  <c r="AN832" i="19"/>
  <c r="AH832" i="19"/>
  <c r="AB832" i="19"/>
  <c r="R832" i="19"/>
  <c r="L832" i="19"/>
  <c r="CC831" i="19"/>
  <c r="CB831" i="19"/>
  <c r="CA831" i="19"/>
  <c r="BZ831" i="19"/>
  <c r="BL831" i="19"/>
  <c r="BF831" i="19"/>
  <c r="AZ831" i="19"/>
  <c r="AT831" i="19"/>
  <c r="AN831" i="19"/>
  <c r="AH831" i="19"/>
  <c r="AB831" i="19"/>
  <c r="R831" i="19"/>
  <c r="L831" i="19"/>
  <c r="CC830" i="19"/>
  <c r="CB830" i="19"/>
  <c r="CA830" i="19"/>
  <c r="BZ830" i="19"/>
  <c r="BL830" i="19"/>
  <c r="BF830" i="19"/>
  <c r="AZ830" i="19"/>
  <c r="AT830" i="19"/>
  <c r="AN830" i="19"/>
  <c r="AH830" i="19"/>
  <c r="AB830" i="19"/>
  <c r="R830" i="19"/>
  <c r="L830" i="19"/>
  <c r="CC829" i="19"/>
  <c r="CB829" i="19"/>
  <c r="CA829" i="19"/>
  <c r="BZ829" i="19"/>
  <c r="BL829" i="19"/>
  <c r="BF829" i="19"/>
  <c r="AZ829" i="19"/>
  <c r="AT829" i="19"/>
  <c r="AN829" i="19"/>
  <c r="AH829" i="19"/>
  <c r="AB829" i="19"/>
  <c r="R829" i="19"/>
  <c r="L829" i="19"/>
  <c r="CC828" i="19"/>
  <c r="CB828" i="19"/>
  <c r="CA828" i="19"/>
  <c r="BZ828" i="19"/>
  <c r="BL828" i="19"/>
  <c r="BF828" i="19"/>
  <c r="AZ828" i="19"/>
  <c r="AT828" i="19"/>
  <c r="AN828" i="19"/>
  <c r="AH828" i="19"/>
  <c r="AB828" i="19"/>
  <c r="R828" i="19"/>
  <c r="L828" i="19"/>
  <c r="CC827" i="19"/>
  <c r="CB827" i="19"/>
  <c r="CA827" i="19"/>
  <c r="BZ827" i="19"/>
  <c r="BL827" i="19"/>
  <c r="BF827" i="19"/>
  <c r="AZ827" i="19"/>
  <c r="AT827" i="19"/>
  <c r="AN827" i="19"/>
  <c r="AH827" i="19"/>
  <c r="AB827" i="19"/>
  <c r="R827" i="19"/>
  <c r="L827" i="19"/>
  <c r="CC826" i="19"/>
  <c r="CB826" i="19"/>
  <c r="CA826" i="19"/>
  <c r="BZ826" i="19"/>
  <c r="BL826" i="19"/>
  <c r="BF826" i="19"/>
  <c r="AZ826" i="19"/>
  <c r="AT826" i="19"/>
  <c r="AN826" i="19"/>
  <c r="AH826" i="19"/>
  <c r="AB826" i="19"/>
  <c r="R826" i="19"/>
  <c r="L826" i="19"/>
  <c r="CC825" i="19"/>
  <c r="CB825" i="19"/>
  <c r="CA825" i="19"/>
  <c r="BZ825" i="19"/>
  <c r="BL825" i="19"/>
  <c r="BF825" i="19"/>
  <c r="AZ825" i="19"/>
  <c r="AT825" i="19"/>
  <c r="AN825" i="19"/>
  <c r="AH825" i="19"/>
  <c r="AB825" i="19"/>
  <c r="R825" i="19"/>
  <c r="L825" i="19"/>
  <c r="CC824" i="19"/>
  <c r="CB824" i="19"/>
  <c r="CA824" i="19"/>
  <c r="BZ824" i="19"/>
  <c r="BL824" i="19"/>
  <c r="BF824" i="19"/>
  <c r="AZ824" i="19"/>
  <c r="AT824" i="19"/>
  <c r="AN824" i="19"/>
  <c r="AH824" i="19"/>
  <c r="AB824" i="19"/>
  <c r="R824" i="19"/>
  <c r="L824" i="19"/>
  <c r="CE1117" i="19" l="1"/>
  <c r="CE1118" i="19"/>
  <c r="CE826" i="19"/>
  <c r="CD837" i="19"/>
  <c r="CE837" i="19" s="1"/>
  <c r="CD834" i="19"/>
  <c r="CE834" i="19" s="1"/>
  <c r="CE835" i="19"/>
  <c r="CE828" i="19"/>
  <c r="CD836" i="19"/>
  <c r="CE836" i="19" s="1"/>
  <c r="CE830" i="19"/>
  <c r="CD825" i="19"/>
  <c r="CE825" i="19" s="1"/>
  <c r="CE829" i="19"/>
  <c r="CE832" i="19"/>
  <c r="CD831" i="19"/>
  <c r="CE831" i="19" s="1"/>
  <c r="CD827" i="19"/>
  <c r="CE827" i="19" s="1"/>
  <c r="CD824" i="19"/>
  <c r="CE833" i="19"/>
  <c r="CE824" i="19" l="1"/>
  <c r="Y1029" i="19"/>
  <c r="AB939" i="19"/>
  <c r="I720" i="19" l="1"/>
  <c r="I719" i="19"/>
  <c r="BW472" i="19" l="1"/>
  <c r="W100" i="19" l="1"/>
  <c r="W298" i="19"/>
  <c r="CC672" i="19" l="1"/>
  <c r="BZ672" i="19"/>
  <c r="BL672" i="19"/>
  <c r="BF672" i="19"/>
  <c r="AZ672" i="19"/>
  <c r="AT672" i="19"/>
  <c r="AN672" i="19"/>
  <c r="AH672" i="19"/>
  <c r="AB672" i="19"/>
  <c r="R672" i="19"/>
  <c r="CC671" i="19"/>
  <c r="BZ671" i="19"/>
  <c r="BL671" i="19"/>
  <c r="BF671" i="19"/>
  <c r="AZ671" i="19"/>
  <c r="AT671" i="19"/>
  <c r="AN671" i="19"/>
  <c r="AH671" i="19"/>
  <c r="AB671" i="19"/>
  <c r="R671" i="19"/>
  <c r="CD672" i="19" l="1"/>
  <c r="CE672" i="19" s="1"/>
  <c r="CD671" i="19"/>
  <c r="CE671" i="19" l="1"/>
  <c r="AB937" i="19" l="1"/>
  <c r="CC967" i="19" l="1"/>
  <c r="CB967" i="19"/>
  <c r="CA967" i="19"/>
  <c r="BZ967" i="19"/>
  <c r="BL967" i="19"/>
  <c r="BF967" i="19"/>
  <c r="AZ967" i="19"/>
  <c r="AT967" i="19"/>
  <c r="AN967" i="19"/>
  <c r="AH967" i="19"/>
  <c r="AB967" i="19"/>
  <c r="R967" i="19"/>
  <c r="L967" i="19"/>
  <c r="CC966" i="19"/>
  <c r="CB966" i="19"/>
  <c r="CA966" i="19"/>
  <c r="BZ966" i="19"/>
  <c r="BL966" i="19"/>
  <c r="BF966" i="19"/>
  <c r="AZ966" i="19"/>
  <c r="AT966" i="19"/>
  <c r="AN966" i="19"/>
  <c r="AH966" i="19"/>
  <c r="AB966" i="19"/>
  <c r="R966" i="19"/>
  <c r="L966" i="19"/>
  <c r="CD966" i="19" l="1"/>
  <c r="CD967" i="19"/>
  <c r="CE967" i="19" s="1"/>
  <c r="CE966" i="19" l="1"/>
  <c r="W401" i="19"/>
  <c r="W1051" i="19"/>
  <c r="CC986" i="19" l="1"/>
  <c r="CB986" i="19"/>
  <c r="CA986" i="19"/>
  <c r="BZ986" i="19"/>
  <c r="BL986" i="19"/>
  <c r="BF986" i="19"/>
  <c r="AZ986" i="19"/>
  <c r="AT986" i="19"/>
  <c r="AN986" i="19"/>
  <c r="AH986" i="19"/>
  <c r="AB986" i="19"/>
  <c r="R986" i="19"/>
  <c r="L986" i="19"/>
  <c r="CC985" i="19"/>
  <c r="CB985" i="19"/>
  <c r="CA985" i="19"/>
  <c r="BZ985" i="19"/>
  <c r="BL985" i="19"/>
  <c r="BF985" i="19"/>
  <c r="AZ985" i="19"/>
  <c r="AT985" i="19"/>
  <c r="AN985" i="19"/>
  <c r="AH985" i="19"/>
  <c r="AB985" i="19"/>
  <c r="R985" i="19"/>
  <c r="L985" i="19"/>
  <c r="CD985" i="19" l="1"/>
  <c r="CD986" i="19"/>
  <c r="CE986" i="19" s="1"/>
  <c r="CC262" i="19"/>
  <c r="CB262" i="19"/>
  <c r="BZ262" i="19"/>
  <c r="BL262" i="19"/>
  <c r="BF262" i="19"/>
  <c r="AZ262" i="19"/>
  <c r="AT262" i="19"/>
  <c r="AN262" i="19"/>
  <c r="AH262" i="19"/>
  <c r="AB262" i="19"/>
  <c r="R262" i="19"/>
  <c r="CC261" i="19"/>
  <c r="CB261" i="19"/>
  <c r="CA261" i="19"/>
  <c r="BZ261" i="19"/>
  <c r="BL261" i="19"/>
  <c r="BF261" i="19"/>
  <c r="AZ261" i="19"/>
  <c r="AT261" i="19"/>
  <c r="AN261" i="19"/>
  <c r="AH261" i="19"/>
  <c r="AB261" i="19"/>
  <c r="R261" i="19"/>
  <c r="L261" i="19"/>
  <c r="CE985" i="19" l="1"/>
  <c r="CD262" i="19"/>
  <c r="CE262" i="19" s="1"/>
  <c r="CD261" i="19"/>
  <c r="W317" i="19"/>
  <c r="W334" i="19"/>
  <c r="CE261" i="19" l="1"/>
  <c r="H785" i="19"/>
  <c r="H784" i="19"/>
  <c r="J779" i="19"/>
  <c r="I779" i="19"/>
  <c r="K61" i="2" l="1"/>
  <c r="CC720" i="19" l="1"/>
  <c r="CB720" i="19"/>
  <c r="CA720" i="19"/>
  <c r="BZ720" i="19"/>
  <c r="BL720" i="19"/>
  <c r="BF720" i="19"/>
  <c r="AZ720" i="19"/>
  <c r="AT720" i="19"/>
  <c r="AN720" i="19"/>
  <c r="AH720" i="19"/>
  <c r="AB720" i="19"/>
  <c r="R720" i="19"/>
  <c r="L720" i="19"/>
  <c r="CC719" i="19"/>
  <c r="CB719" i="19"/>
  <c r="CA719" i="19"/>
  <c r="BZ719" i="19"/>
  <c r="BL719" i="19"/>
  <c r="BF719" i="19"/>
  <c r="AZ719" i="19"/>
  <c r="AT719" i="19"/>
  <c r="AN719" i="19"/>
  <c r="AH719" i="19"/>
  <c r="AB719" i="19"/>
  <c r="R719" i="19"/>
  <c r="L719" i="19"/>
  <c r="CC718" i="19"/>
  <c r="CB718" i="19"/>
  <c r="CA718" i="19"/>
  <c r="BZ718" i="19"/>
  <c r="BL718" i="19"/>
  <c r="BF718" i="19"/>
  <c r="AZ718" i="19"/>
  <c r="AT718" i="19"/>
  <c r="AN718" i="19"/>
  <c r="AH718" i="19"/>
  <c r="AB718" i="19"/>
  <c r="R718" i="19"/>
  <c r="L718" i="19"/>
  <c r="CC717" i="19"/>
  <c r="CB717" i="19"/>
  <c r="CA717" i="19"/>
  <c r="BZ717" i="19"/>
  <c r="BL717" i="19"/>
  <c r="BF717" i="19"/>
  <c r="AZ717" i="19"/>
  <c r="AT717" i="19"/>
  <c r="AN717" i="19"/>
  <c r="AH717" i="19"/>
  <c r="AB717" i="19"/>
  <c r="R717" i="19"/>
  <c r="L717" i="19"/>
  <c r="CC662" i="19"/>
  <c r="CB662" i="19"/>
  <c r="CA662" i="19"/>
  <c r="BZ662" i="19"/>
  <c r="BL662" i="19"/>
  <c r="BF662" i="19"/>
  <c r="AZ662" i="19"/>
  <c r="AT662" i="19"/>
  <c r="AN662" i="19"/>
  <c r="AH662" i="19"/>
  <c r="AB662" i="19"/>
  <c r="R662" i="19"/>
  <c r="L662" i="19"/>
  <c r="CC661" i="19"/>
  <c r="CB661" i="19"/>
  <c r="CA661" i="19"/>
  <c r="BZ661" i="19"/>
  <c r="BL661" i="19"/>
  <c r="BF661" i="19"/>
  <c r="AZ661" i="19"/>
  <c r="AT661" i="19"/>
  <c r="AN661" i="19"/>
  <c r="AH661" i="19"/>
  <c r="AB661" i="19"/>
  <c r="R661" i="19"/>
  <c r="L661" i="19"/>
  <c r="CE662" i="19" l="1"/>
  <c r="CD661" i="19"/>
  <c r="CD718" i="19"/>
  <c r="CE718" i="19" s="1"/>
  <c r="CE720" i="19"/>
  <c r="CD717" i="19"/>
  <c r="W580" i="19"/>
  <c r="W412" i="19"/>
  <c r="W1056" i="19"/>
  <c r="W138" i="19"/>
  <c r="W55" i="19"/>
  <c r="W179" i="19"/>
  <c r="W47" i="19"/>
  <c r="W409" i="19"/>
  <c r="W1053" i="19"/>
  <c r="W594" i="19"/>
  <c r="CE717" i="19" l="1"/>
  <c r="CE719" i="19"/>
  <c r="CE661" i="19"/>
  <c r="AM1055" i="19"/>
  <c r="AS1055" i="19"/>
  <c r="W459" i="19"/>
  <c r="W51" i="19"/>
  <c r="W50" i="19"/>
  <c r="W53" i="19"/>
  <c r="W41" i="19"/>
  <c r="BK1055" i="19"/>
  <c r="AM1026" i="19" l="1"/>
  <c r="AA1035" i="19"/>
  <c r="BU472" i="19" l="1"/>
  <c r="I1035" i="19" l="1"/>
  <c r="I1033" i="19"/>
  <c r="R1034" i="19"/>
  <c r="I1024" i="19"/>
  <c r="I1029" i="19"/>
  <c r="I1028" i="19"/>
  <c r="CC1108" i="19"/>
  <c r="CB1108" i="19"/>
  <c r="CA1108" i="19"/>
  <c r="BZ1108" i="19"/>
  <c r="BL1108" i="19"/>
  <c r="BF1108" i="19"/>
  <c r="AZ1108" i="19"/>
  <c r="AT1108" i="19"/>
  <c r="AN1108" i="19"/>
  <c r="AH1108" i="19"/>
  <c r="AB1108" i="19"/>
  <c r="R1108" i="19"/>
  <c r="L1108" i="19"/>
  <c r="CC1107" i="19"/>
  <c r="CB1107" i="19"/>
  <c r="CA1107" i="19"/>
  <c r="BZ1107" i="19"/>
  <c r="BL1107" i="19"/>
  <c r="BF1107" i="19"/>
  <c r="AZ1107" i="19"/>
  <c r="AT1107" i="19"/>
  <c r="AN1107" i="19"/>
  <c r="AH1107" i="19"/>
  <c r="AB1107" i="19"/>
  <c r="R1107" i="19"/>
  <c r="L1107" i="19"/>
  <c r="CC1106" i="19"/>
  <c r="CB1106" i="19"/>
  <c r="CA1106" i="19"/>
  <c r="BZ1106" i="19"/>
  <c r="BL1106" i="19"/>
  <c r="BF1106" i="19"/>
  <c r="AZ1106" i="19"/>
  <c r="AT1106" i="19"/>
  <c r="AN1106" i="19"/>
  <c r="AH1106" i="19"/>
  <c r="AB1106" i="19"/>
  <c r="R1106" i="19"/>
  <c r="L1106" i="19"/>
  <c r="CC1105" i="19"/>
  <c r="CB1105" i="19"/>
  <c r="BZ1105" i="19"/>
  <c r="BL1105" i="19"/>
  <c r="BF1105" i="19"/>
  <c r="AZ1105" i="19"/>
  <c r="AT1105" i="19"/>
  <c r="AN1105" i="19"/>
  <c r="AH1105" i="19"/>
  <c r="AB1105" i="19"/>
  <c r="R1105" i="19"/>
  <c r="I1105" i="19"/>
  <c r="CA1105" i="19" s="1"/>
  <c r="CC1104" i="19"/>
  <c r="CB1104" i="19"/>
  <c r="CA1104" i="19"/>
  <c r="BZ1104" i="19"/>
  <c r="BL1104" i="19"/>
  <c r="BF1104" i="19"/>
  <c r="AZ1104" i="19"/>
  <c r="AT1104" i="19"/>
  <c r="AN1104" i="19"/>
  <c r="AH1104" i="19"/>
  <c r="AB1104" i="19"/>
  <c r="R1104" i="19"/>
  <c r="L1104" i="19"/>
  <c r="CC1103" i="19"/>
  <c r="CB1103" i="19"/>
  <c r="CA1103" i="19"/>
  <c r="BZ1103" i="19"/>
  <c r="BL1103" i="19"/>
  <c r="BF1103" i="19"/>
  <c r="AZ1103" i="19"/>
  <c r="AT1103" i="19"/>
  <c r="AN1103" i="19"/>
  <c r="AH1103" i="19"/>
  <c r="AB1103" i="19"/>
  <c r="R1103" i="19"/>
  <c r="L1103" i="19"/>
  <c r="CC1102" i="19"/>
  <c r="CB1102" i="19"/>
  <c r="CA1102" i="19"/>
  <c r="BZ1102" i="19"/>
  <c r="BL1102" i="19"/>
  <c r="BF1102" i="19"/>
  <c r="AZ1102" i="19"/>
  <c r="AT1102" i="19"/>
  <c r="AN1102" i="19"/>
  <c r="AH1102" i="19"/>
  <c r="AB1102" i="19"/>
  <c r="W1102" i="19"/>
  <c r="R1102" i="19"/>
  <c r="L1102" i="19"/>
  <c r="CC1101" i="19"/>
  <c r="CB1101" i="19"/>
  <c r="BZ1101" i="19"/>
  <c r="BL1101" i="19"/>
  <c r="BF1101" i="19"/>
  <c r="AZ1101" i="19"/>
  <c r="AT1101" i="19"/>
  <c r="AN1101" i="19"/>
  <c r="AH1101" i="19"/>
  <c r="AB1101" i="19"/>
  <c r="W1101" i="19"/>
  <c r="R1101" i="19"/>
  <c r="I1101" i="19"/>
  <c r="L1101" i="19" s="1"/>
  <c r="BM1103" i="19" l="1"/>
  <c r="CD1106" i="19"/>
  <c r="CD1103" i="19"/>
  <c r="CD1107" i="19"/>
  <c r="CE1107" i="19" s="1"/>
  <c r="CE1102" i="19"/>
  <c r="CD1108" i="19"/>
  <c r="CE1108" i="19" s="1"/>
  <c r="BM1104" i="19"/>
  <c r="BM1108" i="19"/>
  <c r="CD1104" i="19"/>
  <c r="CE1104" i="19" s="1"/>
  <c r="BM1107" i="19"/>
  <c r="L1105" i="19"/>
  <c r="CA1101" i="19"/>
  <c r="BL374" i="19"/>
  <c r="BF374" i="19"/>
  <c r="AZ374" i="19"/>
  <c r="AT374" i="19"/>
  <c r="AN374" i="19"/>
  <c r="AH374" i="19"/>
  <c r="AB374" i="19"/>
  <c r="R374" i="19"/>
  <c r="BL361" i="19"/>
  <c r="BF361" i="19"/>
  <c r="AZ361" i="19"/>
  <c r="AT361" i="19"/>
  <c r="AN361" i="19"/>
  <c r="AH361" i="19"/>
  <c r="AB361" i="19"/>
  <c r="R361" i="19"/>
  <c r="BL360" i="19"/>
  <c r="BF360" i="19"/>
  <c r="AZ360" i="19"/>
  <c r="AT360" i="19"/>
  <c r="AN360" i="19"/>
  <c r="AH360" i="19"/>
  <c r="AB360" i="19"/>
  <c r="R360" i="19"/>
  <c r="CC366" i="19"/>
  <c r="CB366" i="19"/>
  <c r="CA366" i="19"/>
  <c r="BZ366" i="19"/>
  <c r="BL366" i="19"/>
  <c r="BF366" i="19"/>
  <c r="AZ366" i="19"/>
  <c r="AT366" i="19"/>
  <c r="AN366" i="19"/>
  <c r="AH366" i="19"/>
  <c r="AB366" i="19"/>
  <c r="R366" i="19"/>
  <c r="L366" i="19"/>
  <c r="CC365" i="19"/>
  <c r="CB365" i="19"/>
  <c r="CA365" i="19"/>
  <c r="BZ365" i="19"/>
  <c r="BL365" i="19"/>
  <c r="BF365" i="19"/>
  <c r="AZ365" i="19"/>
  <c r="AT365" i="19"/>
  <c r="AN365" i="19"/>
  <c r="AH365" i="19"/>
  <c r="AB365" i="19"/>
  <c r="R365" i="19"/>
  <c r="L365" i="19"/>
  <c r="CC364" i="19"/>
  <c r="CB364" i="19"/>
  <c r="CA364" i="19"/>
  <c r="BZ364" i="19"/>
  <c r="BL364" i="19"/>
  <c r="BF364" i="19"/>
  <c r="AZ364" i="19"/>
  <c r="AT364" i="19"/>
  <c r="AN364" i="19"/>
  <c r="AH364" i="19"/>
  <c r="AB364" i="19"/>
  <c r="R364" i="19"/>
  <c r="L364" i="19"/>
  <c r="CC363" i="19"/>
  <c r="CB363" i="19"/>
  <c r="CA363" i="19"/>
  <c r="BZ363" i="19"/>
  <c r="BL363" i="19"/>
  <c r="BF363" i="19"/>
  <c r="AZ363" i="19"/>
  <c r="AT363" i="19"/>
  <c r="AN363" i="19"/>
  <c r="AH363" i="19"/>
  <c r="AB363" i="19"/>
  <c r="R363" i="19"/>
  <c r="L363" i="19"/>
  <c r="CE1103" i="19" l="1"/>
  <c r="CE1106" i="19"/>
  <c r="CE1101" i="19"/>
  <c r="CD366" i="19"/>
  <c r="CE366" i="19" s="1"/>
  <c r="CD364" i="19"/>
  <c r="CE364" i="19" s="1"/>
  <c r="BM365" i="19"/>
  <c r="BM364" i="19"/>
  <c r="CD365" i="19"/>
  <c r="CE365" i="19" s="1"/>
  <c r="CE1105" i="19"/>
  <c r="BM366" i="19"/>
  <c r="BM363" i="19"/>
  <c r="CD363" i="19"/>
  <c r="CE363" i="19" s="1"/>
  <c r="BL358" i="19"/>
  <c r="BF358" i="19"/>
  <c r="AZ358" i="19"/>
  <c r="AT358" i="19"/>
  <c r="AN358" i="19"/>
  <c r="AH358" i="19"/>
  <c r="AB358" i="19"/>
  <c r="R358" i="19"/>
  <c r="CC359" i="19"/>
  <c r="CB359" i="19"/>
  <c r="CA359" i="19"/>
  <c r="BZ359" i="19"/>
  <c r="BL359" i="19"/>
  <c r="BF359" i="19"/>
  <c r="AZ359" i="19"/>
  <c r="AT359" i="19"/>
  <c r="AN359" i="19"/>
  <c r="AH359" i="19"/>
  <c r="AB359" i="19"/>
  <c r="R359" i="19"/>
  <c r="L359" i="19"/>
  <c r="CC358" i="19"/>
  <c r="CB358" i="19"/>
  <c r="CA358" i="19"/>
  <c r="BZ358" i="19"/>
  <c r="L358" i="19"/>
  <c r="CC357" i="19"/>
  <c r="CB357" i="19"/>
  <c r="CA357" i="19"/>
  <c r="BZ357" i="19"/>
  <c r="BL357" i="19"/>
  <c r="BF357" i="19"/>
  <c r="AZ357" i="19"/>
  <c r="AT357" i="19"/>
  <c r="AN357" i="19"/>
  <c r="AH357" i="19"/>
  <c r="AB357" i="19"/>
  <c r="R357" i="19"/>
  <c r="L357" i="19"/>
  <c r="BL525" i="19"/>
  <c r="BF525" i="19"/>
  <c r="AZ525" i="19"/>
  <c r="AT525" i="19"/>
  <c r="AN525" i="19"/>
  <c r="AH525" i="19"/>
  <c r="AB525" i="19"/>
  <c r="R525" i="19"/>
  <c r="BL524" i="19"/>
  <c r="BF524" i="19"/>
  <c r="AZ524" i="19"/>
  <c r="AT524" i="19"/>
  <c r="AN524" i="19"/>
  <c r="AH524" i="19"/>
  <c r="AB524" i="19"/>
  <c r="R524" i="19"/>
  <c r="BL523" i="19"/>
  <c r="BF523" i="19"/>
  <c r="AZ523" i="19"/>
  <c r="AT523" i="19"/>
  <c r="AN523" i="19"/>
  <c r="AH523" i="19"/>
  <c r="AB523" i="19"/>
  <c r="R523" i="19"/>
  <c r="BL522" i="19"/>
  <c r="BF522" i="19"/>
  <c r="AZ522" i="19"/>
  <c r="AT522" i="19"/>
  <c r="AN522" i="19"/>
  <c r="AH522" i="19"/>
  <c r="AB522" i="19"/>
  <c r="R522" i="19"/>
  <c r="BL521" i="19"/>
  <c r="BF521" i="19"/>
  <c r="AZ521" i="19"/>
  <c r="AT521" i="19"/>
  <c r="AN521" i="19"/>
  <c r="AH521" i="19"/>
  <c r="AB521" i="19"/>
  <c r="R521" i="19"/>
  <c r="CC529" i="19"/>
  <c r="CB529" i="19"/>
  <c r="CA529" i="19"/>
  <c r="BZ529" i="19"/>
  <c r="BL529" i="19"/>
  <c r="BF529" i="19"/>
  <c r="AZ529" i="19"/>
  <c r="AT529" i="19"/>
  <c r="AN529" i="19"/>
  <c r="AH529" i="19"/>
  <c r="AB529" i="19"/>
  <c r="R529" i="19"/>
  <c r="L529" i="19"/>
  <c r="CC528" i="19"/>
  <c r="CB528" i="19"/>
  <c r="CA528" i="19"/>
  <c r="BZ528" i="19"/>
  <c r="BL528" i="19"/>
  <c r="BF528" i="19"/>
  <c r="AZ528" i="19"/>
  <c r="AT528" i="19"/>
  <c r="AN528" i="19"/>
  <c r="AH528" i="19"/>
  <c r="AB528" i="19"/>
  <c r="R528" i="19"/>
  <c r="L528" i="19"/>
  <c r="CC527" i="19"/>
  <c r="CB527" i="19"/>
  <c r="CA527" i="19"/>
  <c r="BZ527" i="19"/>
  <c r="BL527" i="19"/>
  <c r="BF527" i="19"/>
  <c r="AZ527" i="19"/>
  <c r="AT527" i="19"/>
  <c r="AN527" i="19"/>
  <c r="AH527" i="19"/>
  <c r="AB527" i="19"/>
  <c r="R527" i="19"/>
  <c r="L527" i="19"/>
  <c r="CC526" i="19"/>
  <c r="CB526" i="19"/>
  <c r="CA526" i="19"/>
  <c r="BZ526" i="19"/>
  <c r="BL526" i="19"/>
  <c r="BF526" i="19"/>
  <c r="AZ526" i="19"/>
  <c r="AT526" i="19"/>
  <c r="AN526" i="19"/>
  <c r="AH526" i="19"/>
  <c r="AB526" i="19"/>
  <c r="R526" i="19"/>
  <c r="L526" i="19"/>
  <c r="CC525" i="19"/>
  <c r="CB525" i="19"/>
  <c r="CA525" i="19"/>
  <c r="BZ525" i="19"/>
  <c r="L525" i="19"/>
  <c r="BL519" i="19"/>
  <c r="BF519" i="19"/>
  <c r="AZ519" i="19"/>
  <c r="AT519" i="19"/>
  <c r="AN519" i="19"/>
  <c r="AH519" i="19"/>
  <c r="AB519" i="19"/>
  <c r="R519" i="19"/>
  <c r="BL517" i="19"/>
  <c r="BF517" i="19"/>
  <c r="AZ517" i="19"/>
  <c r="AT517" i="19"/>
  <c r="AN517" i="19"/>
  <c r="AH517" i="19"/>
  <c r="AB517" i="19"/>
  <c r="R517" i="19"/>
  <c r="BL516" i="19"/>
  <c r="BF516" i="19"/>
  <c r="AZ516" i="19"/>
  <c r="AT516" i="19"/>
  <c r="AN516" i="19"/>
  <c r="AH516" i="19"/>
  <c r="AB516" i="19"/>
  <c r="R516" i="19"/>
  <c r="BL515" i="19"/>
  <c r="BF515" i="19"/>
  <c r="AZ515" i="19"/>
  <c r="AT515" i="19"/>
  <c r="AN515" i="19"/>
  <c r="AH515" i="19"/>
  <c r="AB515" i="19"/>
  <c r="R515" i="19"/>
  <c r="CC530" i="19"/>
  <c r="CB530" i="19"/>
  <c r="CA530" i="19"/>
  <c r="BZ530" i="19"/>
  <c r="BL530" i="19"/>
  <c r="BF530" i="19"/>
  <c r="AZ530" i="19"/>
  <c r="AT530" i="19"/>
  <c r="AN530" i="19"/>
  <c r="AH530" i="19"/>
  <c r="AB530" i="19"/>
  <c r="R530" i="19"/>
  <c r="L530" i="19"/>
  <c r="CC524" i="19"/>
  <c r="CB524" i="19"/>
  <c r="CA524" i="19"/>
  <c r="BZ524" i="19"/>
  <c r="L524" i="19"/>
  <c r="CC523" i="19"/>
  <c r="CB523" i="19"/>
  <c r="CA523" i="19"/>
  <c r="BZ523" i="19"/>
  <c r="L523" i="19"/>
  <c r="CC522" i="19"/>
  <c r="CB522" i="19"/>
  <c r="CA522" i="19"/>
  <c r="BZ522" i="19"/>
  <c r="L522" i="19"/>
  <c r="CC521" i="19"/>
  <c r="CB521" i="19"/>
  <c r="CA521" i="19"/>
  <c r="BZ521" i="19"/>
  <c r="L521" i="19"/>
  <c r="CC520" i="19"/>
  <c r="CB520" i="19"/>
  <c r="CA520" i="19"/>
  <c r="BZ520" i="19"/>
  <c r="BL520" i="19"/>
  <c r="BF520" i="19"/>
  <c r="AZ520" i="19"/>
  <c r="AT520" i="19"/>
  <c r="AN520" i="19"/>
  <c r="AH520" i="19"/>
  <c r="AB520" i="19"/>
  <c r="R520" i="19"/>
  <c r="L520" i="19"/>
  <c r="CD523" i="19" l="1"/>
  <c r="CE523" i="19" s="1"/>
  <c r="BM526" i="19"/>
  <c r="BM528" i="19"/>
  <c r="CD358" i="19"/>
  <c r="CD521" i="19"/>
  <c r="CE521" i="19" s="1"/>
  <c r="CD526" i="19"/>
  <c r="CE526" i="19" s="1"/>
  <c r="CD520" i="19"/>
  <c r="CD530" i="19"/>
  <c r="CE530" i="19" s="1"/>
  <c r="CD528" i="19"/>
  <c r="CE528" i="19" s="1"/>
  <c r="BM529" i="19"/>
  <c r="CD529" i="19"/>
  <c r="CE529" i="19" s="1"/>
  <c r="BM530" i="19"/>
  <c r="BM527" i="19"/>
  <c r="CD527" i="19"/>
  <c r="CE527" i="19" s="1"/>
  <c r="CD525" i="19"/>
  <c r="CE525" i="19" s="1"/>
  <c r="CD522" i="19"/>
  <c r="CE522" i="19" s="1"/>
  <c r="CD524" i="19"/>
  <c r="CE524" i="19" s="1"/>
  <c r="CE358" i="19" l="1"/>
  <c r="CE359" i="19"/>
  <c r="CE357" i="19"/>
  <c r="CE520" i="19"/>
  <c r="BL298" i="19"/>
  <c r="BF298" i="19"/>
  <c r="AZ298" i="19"/>
  <c r="AT298" i="19"/>
  <c r="AN298" i="19"/>
  <c r="AH298" i="19"/>
  <c r="AB298" i="19"/>
  <c r="R298" i="19"/>
  <c r="BL297" i="19"/>
  <c r="BF297" i="19"/>
  <c r="AZ297" i="19"/>
  <c r="AT297" i="19"/>
  <c r="AN297" i="19"/>
  <c r="AH297" i="19"/>
  <c r="AB297" i="19"/>
  <c r="R297" i="19"/>
  <c r="BL296" i="19"/>
  <c r="BF296" i="19"/>
  <c r="AZ296" i="19"/>
  <c r="AT296" i="19"/>
  <c r="AN296" i="19"/>
  <c r="AH296" i="19"/>
  <c r="AB296" i="19"/>
  <c r="R296" i="19"/>
  <c r="BL293" i="19"/>
  <c r="BF293" i="19"/>
  <c r="AZ293" i="19"/>
  <c r="AT293" i="19"/>
  <c r="AN293" i="19"/>
  <c r="AH293" i="19"/>
  <c r="AB293" i="19"/>
  <c r="R293" i="19"/>
  <c r="CC303" i="19"/>
  <c r="CB303" i="19"/>
  <c r="CA303" i="19"/>
  <c r="BZ303" i="19"/>
  <c r="BL303" i="19"/>
  <c r="BF303" i="19"/>
  <c r="AZ303" i="19"/>
  <c r="AT303" i="19"/>
  <c r="AN303" i="19"/>
  <c r="AH303" i="19"/>
  <c r="AB303" i="19"/>
  <c r="R303" i="19"/>
  <c r="L303" i="19"/>
  <c r="CC302" i="19"/>
  <c r="CB302" i="19"/>
  <c r="CA302" i="19"/>
  <c r="BZ302" i="19"/>
  <c r="BL302" i="19"/>
  <c r="BF302" i="19"/>
  <c r="AZ302" i="19"/>
  <c r="AT302" i="19"/>
  <c r="AN302" i="19"/>
  <c r="AH302" i="19"/>
  <c r="AB302" i="19"/>
  <c r="R302" i="19"/>
  <c r="L302" i="19"/>
  <c r="CC299" i="19"/>
  <c r="CB299" i="19"/>
  <c r="CA299" i="19"/>
  <c r="BZ299" i="19"/>
  <c r="BL299" i="19"/>
  <c r="BF299" i="19"/>
  <c r="AZ299" i="19"/>
  <c r="AT299" i="19"/>
  <c r="AN299" i="19"/>
  <c r="AH299" i="19"/>
  <c r="AB299" i="19"/>
  <c r="R299" i="19"/>
  <c r="L299" i="19"/>
  <c r="CC298" i="19"/>
  <c r="CB298" i="19"/>
  <c r="CA298" i="19"/>
  <c r="BZ298" i="19"/>
  <c r="L298" i="19"/>
  <c r="CC297" i="19"/>
  <c r="CB297" i="19"/>
  <c r="CA297" i="19"/>
  <c r="BZ297" i="19"/>
  <c r="L297" i="19"/>
  <c r="CD297" i="19" l="1"/>
  <c r="CE297" i="19" s="1"/>
  <c r="CD302" i="19"/>
  <c r="CE302" i="19" s="1"/>
  <c r="BM303" i="19"/>
  <c r="CD303" i="19"/>
  <c r="CE303" i="19" s="1"/>
  <c r="BM302" i="19"/>
  <c r="CD298" i="19"/>
  <c r="CE298" i="19" s="1"/>
  <c r="CE299" i="19" l="1"/>
  <c r="J319" i="19" l="1"/>
  <c r="I319" i="19"/>
  <c r="Y472" i="19" l="1"/>
  <c r="CC1070" i="19" l="1"/>
  <c r="CB1070" i="19"/>
  <c r="CA1070" i="19"/>
  <c r="BZ1070" i="19"/>
  <c r="BF1070" i="19"/>
  <c r="AZ1070" i="19"/>
  <c r="AT1070" i="19"/>
  <c r="AH1070" i="19"/>
  <c r="AB1070" i="19"/>
  <c r="R1070" i="19"/>
  <c r="L1070" i="19"/>
  <c r="BL356" i="19"/>
  <c r="BF356" i="19"/>
  <c r="AZ356" i="19"/>
  <c r="AT356" i="19"/>
  <c r="AN356" i="19"/>
  <c r="AH356" i="19"/>
  <c r="AB356" i="19"/>
  <c r="R356" i="19"/>
  <c r="BL355" i="19"/>
  <c r="BF355" i="19"/>
  <c r="AZ355" i="19"/>
  <c r="AT355" i="19"/>
  <c r="AN355" i="19"/>
  <c r="AH355" i="19"/>
  <c r="AB355" i="19"/>
  <c r="R355" i="19"/>
  <c r="BL354" i="19"/>
  <c r="BF354" i="19"/>
  <c r="AZ354" i="19"/>
  <c r="AT354" i="19"/>
  <c r="AN354" i="19"/>
  <c r="AH354" i="19"/>
  <c r="AB354" i="19"/>
  <c r="R354" i="19"/>
  <c r="BL353" i="19"/>
  <c r="BF353" i="19"/>
  <c r="AZ353" i="19"/>
  <c r="AT353" i="19"/>
  <c r="AN353" i="19"/>
  <c r="AH353" i="19"/>
  <c r="AB353" i="19"/>
  <c r="R353" i="19"/>
  <c r="BL352" i="19"/>
  <c r="BF352" i="19"/>
  <c r="AZ352" i="19"/>
  <c r="AT352" i="19"/>
  <c r="AN352" i="19"/>
  <c r="AH352" i="19"/>
  <c r="AB352" i="19"/>
  <c r="R352" i="19"/>
  <c r="AN1070" i="19" l="1"/>
  <c r="BL1070" i="19"/>
  <c r="CD1070" i="19"/>
  <c r="CE1070" i="19" l="1"/>
  <c r="CC1048" i="19"/>
  <c r="CB1048" i="19"/>
  <c r="CA1048" i="19"/>
  <c r="BZ1048" i="19"/>
  <c r="BL1048" i="19"/>
  <c r="BF1048" i="19"/>
  <c r="AZ1048" i="19"/>
  <c r="AT1048" i="19"/>
  <c r="AN1048" i="19"/>
  <c r="AH1048" i="19"/>
  <c r="AB1048" i="19"/>
  <c r="R1048" i="19"/>
  <c r="L1048" i="19"/>
  <c r="CD1048" i="19" l="1"/>
  <c r="CE1048" i="19" s="1"/>
  <c r="BL513" i="19" l="1"/>
  <c r="BF513" i="19"/>
  <c r="AZ513" i="19"/>
  <c r="AT513" i="19"/>
  <c r="AN513" i="19"/>
  <c r="AH513" i="19"/>
  <c r="AB513" i="19"/>
  <c r="R513" i="19"/>
  <c r="BL512" i="19"/>
  <c r="BF512" i="19"/>
  <c r="AZ512" i="19"/>
  <c r="AT512" i="19"/>
  <c r="AN512" i="19"/>
  <c r="AH512" i="19"/>
  <c r="AB512" i="19"/>
  <c r="R512" i="19"/>
  <c r="BL511" i="19"/>
  <c r="BF511" i="19"/>
  <c r="AZ511" i="19"/>
  <c r="AT511" i="19"/>
  <c r="AN511" i="19"/>
  <c r="AH511" i="19"/>
  <c r="AB511" i="19"/>
  <c r="R511" i="19"/>
  <c r="BL510" i="19"/>
  <c r="BF510" i="19"/>
  <c r="AZ510" i="19"/>
  <c r="AT510" i="19"/>
  <c r="AN510" i="19"/>
  <c r="AH510" i="19"/>
  <c r="AB510" i="19"/>
  <c r="R510" i="19"/>
  <c r="CC518" i="19"/>
  <c r="CB518" i="19"/>
  <c r="CA518" i="19"/>
  <c r="BZ518" i="19"/>
  <c r="BL518" i="19"/>
  <c r="BF518" i="19"/>
  <c r="AZ518" i="19"/>
  <c r="AT518" i="19"/>
  <c r="AN518" i="19"/>
  <c r="AH518" i="19"/>
  <c r="AB518" i="19"/>
  <c r="R518" i="19"/>
  <c r="L518" i="19"/>
  <c r="CC517" i="19"/>
  <c r="CB517" i="19"/>
  <c r="CA517" i="19"/>
  <c r="BZ517" i="19"/>
  <c r="L517" i="19"/>
  <c r="CC516" i="19"/>
  <c r="CB516" i="19"/>
  <c r="CA516" i="19"/>
  <c r="BZ516" i="19"/>
  <c r="L516" i="19"/>
  <c r="CC515" i="19"/>
  <c r="CB515" i="19"/>
  <c r="CA515" i="19"/>
  <c r="BZ515" i="19"/>
  <c r="L515" i="19"/>
  <c r="CC514" i="19"/>
  <c r="CB514" i="19"/>
  <c r="CA514" i="19"/>
  <c r="BZ514" i="19"/>
  <c r="BL514" i="19"/>
  <c r="BF514" i="19"/>
  <c r="AZ514" i="19"/>
  <c r="AT514" i="19"/>
  <c r="AN514" i="19"/>
  <c r="AH514" i="19"/>
  <c r="AB514" i="19"/>
  <c r="R514" i="19"/>
  <c r="L514" i="19"/>
  <c r="H508" i="19"/>
  <c r="BL508" i="19"/>
  <c r="BF508" i="19"/>
  <c r="AZ508" i="19"/>
  <c r="AT508" i="19"/>
  <c r="AN508" i="19"/>
  <c r="AH508" i="19"/>
  <c r="AB508" i="19"/>
  <c r="R508" i="19"/>
  <c r="BL507" i="19"/>
  <c r="BF507" i="19"/>
  <c r="AZ507" i="19"/>
  <c r="AT507" i="19"/>
  <c r="AN507" i="19"/>
  <c r="AH507" i="19"/>
  <c r="AB507" i="19"/>
  <c r="R507" i="19"/>
  <c r="CD518" i="19" l="1"/>
  <c r="CD515" i="19"/>
  <c r="CD516" i="19"/>
  <c r="CE516" i="19" s="1"/>
  <c r="CD517" i="19"/>
  <c r="CE517" i="19" s="1"/>
  <c r="BL505" i="19"/>
  <c r="BF505" i="19"/>
  <c r="AZ505" i="19"/>
  <c r="AT505" i="19"/>
  <c r="AN505" i="19"/>
  <c r="AH505" i="19"/>
  <c r="AB505" i="19"/>
  <c r="R505" i="19"/>
  <c r="BL504" i="19"/>
  <c r="BF504" i="19"/>
  <c r="AZ504" i="19"/>
  <c r="AT504" i="19"/>
  <c r="AN504" i="19"/>
  <c r="AH504" i="19"/>
  <c r="AB504" i="19"/>
  <c r="R504" i="19"/>
  <c r="CC519" i="19"/>
  <c r="CB519" i="19"/>
  <c r="CA519" i="19"/>
  <c r="BZ519" i="19"/>
  <c r="L519" i="19"/>
  <c r="CC513" i="19"/>
  <c r="CB513" i="19"/>
  <c r="CA513" i="19"/>
  <c r="BZ513" i="19"/>
  <c r="L513" i="19"/>
  <c r="CC512" i="19"/>
  <c r="CB512" i="19"/>
  <c r="CA512" i="19"/>
  <c r="BZ512" i="19"/>
  <c r="L512" i="19"/>
  <c r="CC511" i="19"/>
  <c r="CB511" i="19"/>
  <c r="CA511" i="19"/>
  <c r="BZ511" i="19"/>
  <c r="L511" i="19"/>
  <c r="CC510" i="19"/>
  <c r="CB510" i="19"/>
  <c r="CA510" i="19"/>
  <c r="BZ510" i="19"/>
  <c r="L510" i="19"/>
  <c r="CC509" i="19"/>
  <c r="CB509" i="19"/>
  <c r="CA509" i="19"/>
  <c r="BZ509" i="19"/>
  <c r="BL509" i="19"/>
  <c r="BF509" i="19"/>
  <c r="AZ509" i="19"/>
  <c r="AT509" i="19"/>
  <c r="AN509" i="19"/>
  <c r="AH509" i="19"/>
  <c r="AB509" i="19"/>
  <c r="R509" i="19"/>
  <c r="L509" i="19"/>
  <c r="BL551" i="19"/>
  <c r="BF551" i="19"/>
  <c r="AZ551" i="19"/>
  <c r="AT551" i="19"/>
  <c r="AN551" i="19"/>
  <c r="AH551" i="19"/>
  <c r="AB551" i="19"/>
  <c r="R551" i="19"/>
  <c r="CC508" i="19"/>
  <c r="CB508" i="19"/>
  <c r="CA508" i="19"/>
  <c r="BZ508" i="19"/>
  <c r="L508" i="19"/>
  <c r="CC507" i="19"/>
  <c r="CB507" i="19"/>
  <c r="CA507" i="19"/>
  <c r="BZ507" i="19"/>
  <c r="L507" i="19"/>
  <c r="CC506" i="19"/>
  <c r="CB506" i="19"/>
  <c r="CA506" i="19"/>
  <c r="BZ506" i="19"/>
  <c r="BL506" i="19"/>
  <c r="BF506" i="19"/>
  <c r="AZ506" i="19"/>
  <c r="AT506" i="19"/>
  <c r="AN506" i="19"/>
  <c r="AH506" i="19"/>
  <c r="AB506" i="19"/>
  <c r="R506" i="19"/>
  <c r="L506" i="19"/>
  <c r="CC505" i="19"/>
  <c r="CB505" i="19"/>
  <c r="CA505" i="19"/>
  <c r="BZ505" i="19"/>
  <c r="L505" i="19"/>
  <c r="BL502" i="19"/>
  <c r="BF502" i="19"/>
  <c r="AZ502" i="19"/>
  <c r="AT502" i="19"/>
  <c r="AN502" i="19"/>
  <c r="AH502" i="19"/>
  <c r="AB502" i="19"/>
  <c r="R502" i="19"/>
  <c r="BL500" i="19"/>
  <c r="BF500" i="19"/>
  <c r="AZ500" i="19"/>
  <c r="AT500" i="19"/>
  <c r="AN500" i="19"/>
  <c r="AH500" i="19"/>
  <c r="AB500" i="19"/>
  <c r="R500" i="19"/>
  <c r="CE515" i="19" l="1"/>
  <c r="CE514" i="19"/>
  <c r="CE518" i="19"/>
  <c r="BM508" i="19"/>
  <c r="CD508" i="19"/>
  <c r="CE508" i="19" s="1"/>
  <c r="CD510" i="19"/>
  <c r="CE510" i="19" s="1"/>
  <c r="BM505" i="19"/>
  <c r="CD505" i="19"/>
  <c r="CE505" i="19" s="1"/>
  <c r="CD506" i="19"/>
  <c r="CD507" i="19"/>
  <c r="CE507" i="19" s="1"/>
  <c r="CD511" i="19"/>
  <c r="CE511" i="19" s="1"/>
  <c r="BM513" i="19"/>
  <c r="CD513" i="19"/>
  <c r="CE513" i="19" s="1"/>
  <c r="CD519" i="19"/>
  <c r="CE519" i="19" s="1"/>
  <c r="CD509" i="19"/>
  <c r="CD512" i="19"/>
  <c r="CE512" i="19" s="1"/>
  <c r="CE506" i="19" l="1"/>
  <c r="CE509" i="19"/>
  <c r="BL965" i="19" l="1"/>
  <c r="BF965" i="19"/>
  <c r="AZ965" i="19"/>
  <c r="AT965" i="19"/>
  <c r="AN965" i="19"/>
  <c r="AH965" i="19"/>
  <c r="AB965" i="19"/>
  <c r="R965" i="19"/>
  <c r="L317" i="19" l="1"/>
  <c r="BL318" i="19"/>
  <c r="BF318" i="19"/>
  <c r="AZ318" i="19"/>
  <c r="AT318" i="19"/>
  <c r="AN318" i="19"/>
  <c r="AH318" i="19"/>
  <c r="AB318" i="19"/>
  <c r="R318" i="19"/>
  <c r="BL317" i="19"/>
  <c r="BF317" i="19"/>
  <c r="AZ317" i="19"/>
  <c r="AT317" i="19"/>
  <c r="AN317" i="19"/>
  <c r="AH317" i="19"/>
  <c r="AB317" i="19"/>
  <c r="R317" i="19"/>
  <c r="J91" i="2" l="1"/>
  <c r="CC1042" i="19"/>
  <c r="CB1042" i="19"/>
  <c r="CA1042" i="19"/>
  <c r="BL1042" i="19"/>
  <c r="BF1042" i="19"/>
  <c r="AZ1042" i="19"/>
  <c r="AT1042" i="19"/>
  <c r="AN1042" i="19"/>
  <c r="AH1042" i="19"/>
  <c r="AB1042" i="19"/>
  <c r="R1042" i="19"/>
  <c r="L1042" i="19"/>
  <c r="CC1041" i="19"/>
  <c r="CB1041" i="19"/>
  <c r="CA1041" i="19"/>
  <c r="BZ1041" i="19"/>
  <c r="BL1041" i="19"/>
  <c r="BF1041" i="19"/>
  <c r="AZ1041" i="19"/>
  <c r="AT1041" i="19"/>
  <c r="AN1041" i="19"/>
  <c r="AH1041" i="19"/>
  <c r="AB1041" i="19"/>
  <c r="R1041" i="19"/>
  <c r="L1041" i="19"/>
  <c r="CC1040" i="19"/>
  <c r="CB1040" i="19"/>
  <c r="CA1040" i="19"/>
  <c r="BZ1040" i="19"/>
  <c r="BL1040" i="19"/>
  <c r="BF1040" i="19"/>
  <c r="AZ1040" i="19"/>
  <c r="AT1040" i="19"/>
  <c r="AN1040" i="19"/>
  <c r="AH1040" i="19"/>
  <c r="AB1040" i="19"/>
  <c r="R1040" i="19"/>
  <c r="L1040" i="19"/>
  <c r="CC1039" i="19"/>
  <c r="CB1039" i="19"/>
  <c r="CA1039" i="19"/>
  <c r="BZ1039" i="19"/>
  <c r="BL1039" i="19"/>
  <c r="BF1039" i="19"/>
  <c r="AZ1039" i="19"/>
  <c r="AT1039" i="19"/>
  <c r="AN1039" i="19"/>
  <c r="AH1039" i="19"/>
  <c r="AB1039" i="19"/>
  <c r="R1039" i="19"/>
  <c r="L1039" i="19"/>
  <c r="CC1038" i="19"/>
  <c r="CB1038" i="19"/>
  <c r="CA1038" i="19"/>
  <c r="BZ1038" i="19"/>
  <c r="BL1038" i="19"/>
  <c r="BF1038" i="19"/>
  <c r="AZ1038" i="19"/>
  <c r="AT1038" i="19"/>
  <c r="AN1038" i="19"/>
  <c r="AH1038" i="19"/>
  <c r="AB1038" i="19"/>
  <c r="R1038" i="19"/>
  <c r="L1038" i="19"/>
  <c r="CC1037" i="19"/>
  <c r="CB1037" i="19"/>
  <c r="CA1037" i="19"/>
  <c r="BZ1037" i="19"/>
  <c r="BL1037" i="19"/>
  <c r="BF1037" i="19"/>
  <c r="AZ1037" i="19"/>
  <c r="AT1037" i="19"/>
  <c r="AN1037" i="19"/>
  <c r="AH1037" i="19"/>
  <c r="AB1037" i="19"/>
  <c r="R1037" i="19"/>
  <c r="L1037" i="19"/>
  <c r="CC1036" i="19"/>
  <c r="CB1036" i="19"/>
  <c r="CA1036" i="19"/>
  <c r="BZ1036" i="19"/>
  <c r="BL1036" i="19"/>
  <c r="BF1036" i="19"/>
  <c r="AZ1036" i="19"/>
  <c r="AT1036" i="19"/>
  <c r="AN1036" i="19"/>
  <c r="AH1036" i="19"/>
  <c r="AB1036" i="19"/>
  <c r="R1036" i="19"/>
  <c r="L1036" i="19"/>
  <c r="CC1035" i="19"/>
  <c r="CB1035" i="19"/>
  <c r="CA1035" i="19"/>
  <c r="BZ1035" i="19"/>
  <c r="BL1035" i="19"/>
  <c r="BF1035" i="19"/>
  <c r="AZ1035" i="19"/>
  <c r="AT1035" i="19"/>
  <c r="AH1035" i="19"/>
  <c r="W1035" i="19"/>
  <c r="R1035" i="19"/>
  <c r="L1035" i="19"/>
  <c r="CC1034" i="19"/>
  <c r="CB1034" i="19"/>
  <c r="CA1034" i="19"/>
  <c r="BZ1034" i="19"/>
  <c r="BL1034" i="19"/>
  <c r="BF1034" i="19"/>
  <c r="AZ1034" i="19"/>
  <c r="AT1034" i="19"/>
  <c r="AN1034" i="19"/>
  <c r="AH1034" i="19"/>
  <c r="AB1034" i="19"/>
  <c r="L1034" i="19"/>
  <c r="CC1033" i="19"/>
  <c r="CB1033" i="19"/>
  <c r="CA1033" i="19"/>
  <c r="BZ1033" i="19"/>
  <c r="BL1033" i="19"/>
  <c r="BF1033" i="19"/>
  <c r="AZ1033" i="19"/>
  <c r="AT1033" i="19"/>
  <c r="AN1033" i="19"/>
  <c r="AH1033" i="19"/>
  <c r="AB1033" i="19"/>
  <c r="R1033" i="19"/>
  <c r="L1033" i="19"/>
  <c r="CC1032" i="19"/>
  <c r="CB1032" i="19"/>
  <c r="CA1032" i="19"/>
  <c r="BZ1032" i="19"/>
  <c r="BL1032" i="19"/>
  <c r="BF1032" i="19"/>
  <c r="AZ1032" i="19"/>
  <c r="AT1032" i="19"/>
  <c r="AN1032" i="19"/>
  <c r="AH1032" i="19"/>
  <c r="AB1032" i="19"/>
  <c r="W1032" i="19"/>
  <c r="R1032" i="19"/>
  <c r="L1032" i="19"/>
  <c r="CC1031" i="19"/>
  <c r="CB1031" i="19"/>
  <c r="CA1031" i="19"/>
  <c r="BZ1031" i="19"/>
  <c r="BL1031" i="19"/>
  <c r="BF1031" i="19"/>
  <c r="AZ1031" i="19"/>
  <c r="AT1031" i="19"/>
  <c r="AN1031" i="19"/>
  <c r="AH1031" i="19"/>
  <c r="AB1031" i="19"/>
  <c r="R1031" i="19"/>
  <c r="L1031" i="19"/>
  <c r="CC1030" i="19"/>
  <c r="CB1030" i="19"/>
  <c r="CA1030" i="19"/>
  <c r="BZ1030" i="19"/>
  <c r="BL1030" i="19"/>
  <c r="BF1030" i="19"/>
  <c r="AZ1030" i="19"/>
  <c r="AT1030" i="19"/>
  <c r="AN1030" i="19"/>
  <c r="AH1030" i="19"/>
  <c r="AB1030" i="19"/>
  <c r="R1030" i="19"/>
  <c r="L1030" i="19"/>
  <c r="CC1029" i="19"/>
  <c r="CB1029" i="19"/>
  <c r="CA1029" i="19"/>
  <c r="BZ1029" i="19"/>
  <c r="BL1029" i="19"/>
  <c r="BF1029" i="19"/>
  <c r="AZ1029" i="19"/>
  <c r="AT1029" i="19"/>
  <c r="AN1029" i="19"/>
  <c r="AH1029" i="19"/>
  <c r="AB1029" i="19"/>
  <c r="R1029" i="19"/>
  <c r="L1029" i="19"/>
  <c r="CC1028" i="19"/>
  <c r="CB1028" i="19"/>
  <c r="CA1028" i="19"/>
  <c r="BZ1028" i="19"/>
  <c r="BL1028" i="19"/>
  <c r="BF1028" i="19"/>
  <c r="AZ1028" i="19"/>
  <c r="AT1028" i="19"/>
  <c r="AN1028" i="19"/>
  <c r="AH1028" i="19"/>
  <c r="AB1028" i="19"/>
  <c r="W1028" i="19"/>
  <c r="R1028" i="19"/>
  <c r="L1028" i="19"/>
  <c r="CC1027" i="19"/>
  <c r="CB1027" i="19"/>
  <c r="CA1027" i="19"/>
  <c r="BZ1027" i="19"/>
  <c r="BL1027" i="19"/>
  <c r="BF1027" i="19"/>
  <c r="AZ1027" i="19"/>
  <c r="AT1027" i="19"/>
  <c r="AN1027" i="19"/>
  <c r="AH1027" i="19"/>
  <c r="AB1027" i="19"/>
  <c r="R1027" i="19"/>
  <c r="L1027" i="19"/>
  <c r="CC1026" i="19"/>
  <c r="CB1026" i="19"/>
  <c r="CA1026" i="19"/>
  <c r="BZ1026" i="19"/>
  <c r="BL1026" i="19"/>
  <c r="BF1026" i="19"/>
  <c r="AZ1026" i="19"/>
  <c r="AT1026" i="19"/>
  <c r="AN1026" i="19"/>
  <c r="AH1026" i="19"/>
  <c r="AB1026" i="19"/>
  <c r="R1026" i="19"/>
  <c r="L1026" i="19"/>
  <c r="CC1025" i="19"/>
  <c r="CB1025" i="19"/>
  <c r="CA1025" i="19"/>
  <c r="BZ1025" i="19"/>
  <c r="BL1025" i="19"/>
  <c r="BF1025" i="19"/>
  <c r="AZ1025" i="19"/>
  <c r="AT1025" i="19"/>
  <c r="AN1025" i="19"/>
  <c r="AH1025" i="19"/>
  <c r="AB1025" i="19"/>
  <c r="R1025" i="19"/>
  <c r="L1025" i="19"/>
  <c r="CC1024" i="19"/>
  <c r="CB1024" i="19"/>
  <c r="CA1024" i="19"/>
  <c r="BK1024" i="19"/>
  <c r="BI1024" i="19"/>
  <c r="BF1024" i="19"/>
  <c r="AZ1024" i="19"/>
  <c r="AT1024" i="19"/>
  <c r="AH1024" i="19"/>
  <c r="AB1024" i="19"/>
  <c r="R1024" i="19"/>
  <c r="L1024" i="19"/>
  <c r="CC451" i="19"/>
  <c r="CB451" i="19"/>
  <c r="CA451" i="19"/>
  <c r="BZ451" i="19"/>
  <c r="BL451" i="19"/>
  <c r="BF451" i="19"/>
  <c r="AZ451" i="19"/>
  <c r="AT451" i="19"/>
  <c r="AN451" i="19"/>
  <c r="AH451" i="19"/>
  <c r="AB451" i="19"/>
  <c r="R451" i="19"/>
  <c r="L451" i="19"/>
  <c r="CC450" i="19"/>
  <c r="CB450" i="19"/>
  <c r="CA450" i="19"/>
  <c r="BZ450" i="19"/>
  <c r="BL450" i="19"/>
  <c r="BF450" i="19"/>
  <c r="AZ450" i="19"/>
  <c r="AT450" i="19"/>
  <c r="AN450" i="19"/>
  <c r="AH450" i="19"/>
  <c r="AB450" i="19"/>
  <c r="R450" i="19"/>
  <c r="L450" i="19"/>
  <c r="CC395" i="19"/>
  <c r="CB395" i="19"/>
  <c r="BZ395" i="19"/>
  <c r="BL395" i="19"/>
  <c r="BF395" i="19"/>
  <c r="AZ395" i="19"/>
  <c r="AT395" i="19"/>
  <c r="AN395" i="19"/>
  <c r="AH395" i="19"/>
  <c r="AB395" i="19"/>
  <c r="R395" i="19"/>
  <c r="I395" i="19"/>
  <c r="CA395" i="19" s="1"/>
  <c r="CC394" i="19"/>
  <c r="CB394" i="19"/>
  <c r="CA394" i="19"/>
  <c r="BZ394" i="19"/>
  <c r="BL394" i="19"/>
  <c r="BF394" i="19"/>
  <c r="AZ394" i="19"/>
  <c r="AT394" i="19"/>
  <c r="AN394" i="19"/>
  <c r="AH394" i="19"/>
  <c r="AB394" i="19"/>
  <c r="R394" i="19"/>
  <c r="L394" i="19"/>
  <c r="CC192" i="19"/>
  <c r="CB192" i="19"/>
  <c r="CA192" i="19"/>
  <c r="BZ192" i="19"/>
  <c r="BL192" i="19"/>
  <c r="BF192" i="19"/>
  <c r="AZ192" i="19"/>
  <c r="AT192" i="19"/>
  <c r="AN192" i="19"/>
  <c r="AH192" i="19"/>
  <c r="AB192" i="19"/>
  <c r="R192" i="19"/>
  <c r="L192" i="19"/>
  <c r="CC191" i="19"/>
  <c r="CB191" i="19"/>
  <c r="CA191" i="19"/>
  <c r="BZ191" i="19"/>
  <c r="BL191" i="19"/>
  <c r="BF191" i="19"/>
  <c r="AZ191" i="19"/>
  <c r="AT191" i="19"/>
  <c r="AN191" i="19"/>
  <c r="AH191" i="19"/>
  <c r="AB191" i="19"/>
  <c r="R191" i="19"/>
  <c r="L191" i="19"/>
  <c r="CC206" i="19"/>
  <c r="CB206" i="19"/>
  <c r="CA206" i="19"/>
  <c r="BZ206" i="19"/>
  <c r="BL206" i="19"/>
  <c r="BF206" i="19"/>
  <c r="AZ206" i="19"/>
  <c r="AT206" i="19"/>
  <c r="AN206" i="19"/>
  <c r="AH206" i="19"/>
  <c r="AB206" i="19"/>
  <c r="R206" i="19"/>
  <c r="L206" i="19"/>
  <c r="CC205" i="19"/>
  <c r="CB205" i="19"/>
  <c r="CA205" i="19"/>
  <c r="BZ205" i="19"/>
  <c r="BL205" i="19"/>
  <c r="BF205" i="19"/>
  <c r="AZ205" i="19"/>
  <c r="AT205" i="19"/>
  <c r="AN205" i="19"/>
  <c r="AH205" i="19"/>
  <c r="AB205" i="19"/>
  <c r="R205" i="19"/>
  <c r="L205" i="19"/>
  <c r="CC204" i="19"/>
  <c r="CB204" i="19"/>
  <c r="CA204" i="19"/>
  <c r="BZ204" i="19"/>
  <c r="BL204" i="19"/>
  <c r="BF204" i="19"/>
  <c r="AZ204" i="19"/>
  <c r="AT204" i="19"/>
  <c r="AN204" i="19"/>
  <c r="AH204" i="19"/>
  <c r="AB204" i="19"/>
  <c r="R204" i="19"/>
  <c r="L204" i="19"/>
  <c r="CC203" i="19"/>
  <c r="CB203" i="19"/>
  <c r="CA203" i="19"/>
  <c r="BZ203" i="19"/>
  <c r="BL203" i="19"/>
  <c r="BF203" i="19"/>
  <c r="AZ203" i="19"/>
  <c r="AT203" i="19"/>
  <c r="AN203" i="19"/>
  <c r="AH203" i="19"/>
  <c r="AB203" i="19"/>
  <c r="R203" i="19"/>
  <c r="L203" i="19"/>
  <c r="CC202" i="19"/>
  <c r="CB202" i="19"/>
  <c r="CA202" i="19"/>
  <c r="BZ202" i="19"/>
  <c r="BL202" i="19"/>
  <c r="BF202" i="19"/>
  <c r="AZ202" i="19"/>
  <c r="AT202" i="19"/>
  <c r="AN202" i="19"/>
  <c r="AH202" i="19"/>
  <c r="AB202" i="19"/>
  <c r="R202" i="19"/>
  <c r="L202" i="19"/>
  <c r="CC193" i="19"/>
  <c r="CB193" i="19"/>
  <c r="CA193" i="19"/>
  <c r="BZ193" i="19"/>
  <c r="BL193" i="19"/>
  <c r="BF193" i="19"/>
  <c r="AZ193" i="19"/>
  <c r="AT193" i="19"/>
  <c r="AN193" i="19"/>
  <c r="AH193" i="19"/>
  <c r="AB193" i="19"/>
  <c r="R193" i="19"/>
  <c r="L193" i="19"/>
  <c r="CC201" i="19"/>
  <c r="CB201" i="19"/>
  <c r="CA201" i="19"/>
  <c r="BZ201" i="19"/>
  <c r="BL201" i="19"/>
  <c r="BF201" i="19"/>
  <c r="AZ201" i="19"/>
  <c r="AT201" i="19"/>
  <c r="AN201" i="19"/>
  <c r="AH201" i="19"/>
  <c r="AB201" i="19"/>
  <c r="W201" i="19"/>
  <c r="R201" i="19"/>
  <c r="L201" i="19"/>
  <c r="CC200" i="19"/>
  <c r="CB200" i="19"/>
  <c r="CA200" i="19"/>
  <c r="BZ200" i="19"/>
  <c r="BL200" i="19"/>
  <c r="BF200" i="19"/>
  <c r="AZ200" i="19"/>
  <c r="AT200" i="19"/>
  <c r="AN200" i="19"/>
  <c r="AH200" i="19"/>
  <c r="AB200" i="19"/>
  <c r="W200" i="19"/>
  <c r="R200" i="19"/>
  <c r="L200" i="19"/>
  <c r="CC199" i="19"/>
  <c r="CB199" i="19"/>
  <c r="CA199" i="19"/>
  <c r="BZ199" i="19"/>
  <c r="BL199" i="19"/>
  <c r="BF199" i="19"/>
  <c r="AZ199" i="19"/>
  <c r="AT199" i="19"/>
  <c r="AN199" i="19"/>
  <c r="AH199" i="19"/>
  <c r="AB199" i="19"/>
  <c r="W199" i="19"/>
  <c r="R199" i="19"/>
  <c r="L199" i="19"/>
  <c r="CC198" i="19"/>
  <c r="CB198" i="19"/>
  <c r="CA198" i="19"/>
  <c r="BZ198" i="19"/>
  <c r="BL198" i="19"/>
  <c r="BF198" i="19"/>
  <c r="AZ198" i="19"/>
  <c r="AT198" i="19"/>
  <c r="AN198" i="19"/>
  <c r="AH198" i="19"/>
  <c r="AB198" i="19"/>
  <c r="W198" i="19"/>
  <c r="R198" i="19"/>
  <c r="L198" i="19"/>
  <c r="CC197" i="19"/>
  <c r="CB197" i="19"/>
  <c r="CA197" i="19"/>
  <c r="BZ197" i="19"/>
  <c r="BL197" i="19"/>
  <c r="BF197" i="19"/>
  <c r="AZ197" i="19"/>
  <c r="AT197" i="19"/>
  <c r="AN197" i="19"/>
  <c r="AH197" i="19"/>
  <c r="AB197" i="19"/>
  <c r="W197" i="19"/>
  <c r="R197" i="19"/>
  <c r="L197" i="19"/>
  <c r="CC196" i="19"/>
  <c r="CB196" i="19"/>
  <c r="CA196" i="19"/>
  <c r="BZ196" i="19"/>
  <c r="BL196" i="19"/>
  <c r="BF196" i="19"/>
  <c r="AZ196" i="19"/>
  <c r="AT196" i="19"/>
  <c r="AN196" i="19"/>
  <c r="AH196" i="19"/>
  <c r="AB196" i="19"/>
  <c r="W196" i="19"/>
  <c r="R196" i="19"/>
  <c r="L196" i="19"/>
  <c r="CC195" i="19"/>
  <c r="CB195" i="19"/>
  <c r="CA195" i="19"/>
  <c r="BZ195" i="19"/>
  <c r="BL195" i="19"/>
  <c r="BF195" i="19"/>
  <c r="AZ195" i="19"/>
  <c r="AT195" i="19"/>
  <c r="AN195" i="19"/>
  <c r="AH195" i="19"/>
  <c r="AB195" i="19"/>
  <c r="W195" i="19"/>
  <c r="R195" i="19"/>
  <c r="L195" i="19"/>
  <c r="CC194" i="19"/>
  <c r="CB194" i="19"/>
  <c r="CA194" i="19"/>
  <c r="BZ194" i="19"/>
  <c r="BL194" i="19"/>
  <c r="BF194" i="19"/>
  <c r="AZ194" i="19"/>
  <c r="AT194" i="19"/>
  <c r="AN194" i="19"/>
  <c r="AH194" i="19"/>
  <c r="AB194" i="19"/>
  <c r="W194" i="19"/>
  <c r="R194" i="19"/>
  <c r="L194" i="19"/>
  <c r="CC39" i="19"/>
  <c r="CB39" i="19"/>
  <c r="CA39" i="19"/>
  <c r="BZ39" i="19"/>
  <c r="BL39" i="19"/>
  <c r="BF39" i="19"/>
  <c r="AZ39" i="19"/>
  <c r="AT39" i="19"/>
  <c r="AN39" i="19"/>
  <c r="AH39" i="19"/>
  <c r="AB39" i="19"/>
  <c r="R39" i="19"/>
  <c r="L39" i="19"/>
  <c r="CC38" i="19"/>
  <c r="CB38" i="19"/>
  <c r="CA38" i="19"/>
  <c r="BZ38" i="19"/>
  <c r="BL38" i="19"/>
  <c r="BF38" i="19"/>
  <c r="AZ38" i="19"/>
  <c r="AT38" i="19"/>
  <c r="AN38" i="19"/>
  <c r="AH38" i="19"/>
  <c r="AB38" i="19"/>
  <c r="R38" i="19"/>
  <c r="L38" i="19"/>
  <c r="CC37" i="19"/>
  <c r="CB37" i="19"/>
  <c r="CA37" i="19"/>
  <c r="BZ37" i="19"/>
  <c r="BL37" i="19"/>
  <c r="BF37" i="19"/>
  <c r="AZ37" i="19"/>
  <c r="AT37" i="19"/>
  <c r="AN37" i="19"/>
  <c r="AH37" i="19"/>
  <c r="AB37" i="19"/>
  <c r="R37" i="19"/>
  <c r="L37" i="19"/>
  <c r="CC36" i="19"/>
  <c r="CB36" i="19"/>
  <c r="CA36" i="19"/>
  <c r="BZ36" i="19"/>
  <c r="BL36" i="19"/>
  <c r="BF36" i="19"/>
  <c r="AZ36" i="19"/>
  <c r="AT36" i="19"/>
  <c r="AN36" i="19"/>
  <c r="AH36" i="19"/>
  <c r="AB36" i="19"/>
  <c r="R36" i="19"/>
  <c r="L36" i="19"/>
  <c r="CC35" i="19"/>
  <c r="CB35" i="19"/>
  <c r="CA35" i="19"/>
  <c r="BZ35" i="19"/>
  <c r="BL35" i="19"/>
  <c r="BF35" i="19"/>
  <c r="AZ35" i="19"/>
  <c r="AT35" i="19"/>
  <c r="AN35" i="19"/>
  <c r="AH35" i="19"/>
  <c r="AB35" i="19"/>
  <c r="R35" i="19"/>
  <c r="L35" i="19"/>
  <c r="CC34" i="19"/>
  <c r="CB34" i="19"/>
  <c r="CA34" i="19"/>
  <c r="BZ34" i="19"/>
  <c r="BL34" i="19"/>
  <c r="BF34" i="19"/>
  <c r="AZ34" i="19"/>
  <c r="AT34" i="19"/>
  <c r="AN34" i="19"/>
  <c r="AH34" i="19"/>
  <c r="AB34" i="19"/>
  <c r="W34" i="19"/>
  <c r="R34" i="19"/>
  <c r="L34" i="19"/>
  <c r="CC33" i="19"/>
  <c r="CB33" i="19"/>
  <c r="CA33" i="19"/>
  <c r="BZ33" i="19"/>
  <c r="BL33" i="19"/>
  <c r="BF33" i="19"/>
  <c r="AZ33" i="19"/>
  <c r="AT33" i="19"/>
  <c r="AN33" i="19"/>
  <c r="AH33" i="19"/>
  <c r="AB33" i="19"/>
  <c r="W33" i="19"/>
  <c r="R33" i="19"/>
  <c r="L33" i="19"/>
  <c r="CC32" i="19"/>
  <c r="CB32" i="19"/>
  <c r="CA32" i="19"/>
  <c r="BZ32" i="19"/>
  <c r="BL32" i="19"/>
  <c r="BF32" i="19"/>
  <c r="AZ32" i="19"/>
  <c r="AT32" i="19"/>
  <c r="AN32" i="19"/>
  <c r="AH32" i="19"/>
  <c r="AB32" i="19"/>
  <c r="W32" i="19"/>
  <c r="R32" i="19"/>
  <c r="L32" i="19"/>
  <c r="CC31" i="19"/>
  <c r="CB31" i="19"/>
  <c r="CA31" i="19"/>
  <c r="BZ31" i="19"/>
  <c r="BL31" i="19"/>
  <c r="BF31" i="19"/>
  <c r="AZ31" i="19"/>
  <c r="AT31" i="19"/>
  <c r="AN31" i="19"/>
  <c r="AH31" i="19"/>
  <c r="AB31" i="19"/>
  <c r="W31" i="19"/>
  <c r="R31" i="19"/>
  <c r="L31" i="19"/>
  <c r="CC30" i="19"/>
  <c r="CB30" i="19"/>
  <c r="CA30" i="19"/>
  <c r="BZ30" i="19"/>
  <c r="BL30" i="19"/>
  <c r="BF30" i="19"/>
  <c r="AZ30" i="19"/>
  <c r="AT30" i="19"/>
  <c r="AN30" i="19"/>
  <c r="AH30" i="19"/>
  <c r="AB30" i="19"/>
  <c r="R30" i="19"/>
  <c r="L30" i="19"/>
  <c r="CC29" i="19"/>
  <c r="CB29" i="19"/>
  <c r="CA29" i="19"/>
  <c r="BZ29" i="19"/>
  <c r="BL29" i="19"/>
  <c r="BF29" i="19"/>
  <c r="AZ29" i="19"/>
  <c r="AT29" i="19"/>
  <c r="AN29" i="19"/>
  <c r="AH29" i="19"/>
  <c r="AB29" i="19"/>
  <c r="R29" i="19"/>
  <c r="L29" i="19"/>
  <c r="CC28" i="19"/>
  <c r="CB28" i="19"/>
  <c r="CA28" i="19"/>
  <c r="BZ28" i="19"/>
  <c r="BL28" i="19"/>
  <c r="BF28" i="19"/>
  <c r="AZ28" i="19"/>
  <c r="AT28" i="19"/>
  <c r="AN28" i="19"/>
  <c r="AH28" i="19"/>
  <c r="AB28" i="19"/>
  <c r="W28" i="19"/>
  <c r="R28" i="19"/>
  <c r="L28" i="19"/>
  <c r="CC27" i="19"/>
  <c r="CB27" i="19"/>
  <c r="CA27" i="19"/>
  <c r="BZ27" i="19"/>
  <c r="BL27" i="19"/>
  <c r="BF27" i="19"/>
  <c r="AZ27" i="19"/>
  <c r="AT27" i="19"/>
  <c r="AN27" i="19"/>
  <c r="AH27" i="19"/>
  <c r="AB27" i="19"/>
  <c r="R27" i="19"/>
  <c r="L27" i="19"/>
  <c r="CC26" i="19"/>
  <c r="CB26" i="19"/>
  <c r="CA26" i="19"/>
  <c r="BZ26" i="19"/>
  <c r="BL26" i="19"/>
  <c r="BF26" i="19"/>
  <c r="AZ26" i="19"/>
  <c r="AT26" i="19"/>
  <c r="AN26" i="19"/>
  <c r="AH26" i="19"/>
  <c r="AB26" i="19"/>
  <c r="W26" i="19"/>
  <c r="R26" i="19"/>
  <c r="L26" i="19"/>
  <c r="CC25" i="19"/>
  <c r="CB25" i="19"/>
  <c r="CA25" i="19"/>
  <c r="BZ25" i="19"/>
  <c r="BL25" i="19"/>
  <c r="BF25" i="19"/>
  <c r="AZ25" i="19"/>
  <c r="AT25" i="19"/>
  <c r="AN25" i="19"/>
  <c r="AH25" i="19"/>
  <c r="AB25" i="19"/>
  <c r="W25" i="19"/>
  <c r="R25" i="19"/>
  <c r="L25" i="19"/>
  <c r="CC24" i="19"/>
  <c r="CB24" i="19"/>
  <c r="CA24" i="19"/>
  <c r="BZ24" i="19"/>
  <c r="BL24" i="19"/>
  <c r="BF24" i="19"/>
  <c r="AZ24" i="19"/>
  <c r="AT24" i="19"/>
  <c r="AN24" i="19"/>
  <c r="AH24" i="19"/>
  <c r="AB24" i="19"/>
  <c r="R24" i="19"/>
  <c r="L24" i="19"/>
  <c r="CC23" i="19"/>
  <c r="CB23" i="19"/>
  <c r="CA23" i="19"/>
  <c r="BZ23" i="19"/>
  <c r="BL23" i="19"/>
  <c r="BF23" i="19"/>
  <c r="AZ23" i="19"/>
  <c r="AT23" i="19"/>
  <c r="AN23" i="19"/>
  <c r="AH23" i="19"/>
  <c r="AB23" i="19"/>
  <c r="W23" i="19"/>
  <c r="R23" i="19"/>
  <c r="L23" i="19"/>
  <c r="CC22" i="19"/>
  <c r="CB22" i="19"/>
  <c r="CA22" i="19"/>
  <c r="BZ22" i="19"/>
  <c r="BL22" i="19"/>
  <c r="BF22" i="19"/>
  <c r="AZ22" i="19"/>
  <c r="AT22" i="19"/>
  <c r="AN22" i="19"/>
  <c r="AH22" i="19"/>
  <c r="AB22" i="19"/>
  <c r="R22" i="19"/>
  <c r="L22" i="19"/>
  <c r="CC21" i="19"/>
  <c r="CB21" i="19"/>
  <c r="CA21" i="19"/>
  <c r="BZ21" i="19"/>
  <c r="BL21" i="19"/>
  <c r="BF21" i="19"/>
  <c r="AZ21" i="19"/>
  <c r="AT21" i="19"/>
  <c r="AN21" i="19"/>
  <c r="AH21" i="19"/>
  <c r="AB21" i="19"/>
  <c r="W21" i="19"/>
  <c r="R21" i="19"/>
  <c r="L21" i="19"/>
  <c r="CC20" i="19"/>
  <c r="CB20" i="19"/>
  <c r="CA20" i="19"/>
  <c r="BZ20" i="19"/>
  <c r="BL20" i="19"/>
  <c r="BF20" i="19"/>
  <c r="AZ20" i="19"/>
  <c r="AT20" i="19"/>
  <c r="AN20" i="19"/>
  <c r="AH20" i="19"/>
  <c r="AB20" i="19"/>
  <c r="W20" i="19"/>
  <c r="R20" i="19"/>
  <c r="L20" i="19"/>
  <c r="CC19" i="19"/>
  <c r="CB19" i="19"/>
  <c r="CA19" i="19"/>
  <c r="BZ19" i="19"/>
  <c r="BL19" i="19"/>
  <c r="BF19" i="19"/>
  <c r="AZ19" i="19"/>
  <c r="AT19" i="19"/>
  <c r="AN19" i="19"/>
  <c r="AH19" i="19"/>
  <c r="AB19" i="19"/>
  <c r="W19" i="19"/>
  <c r="R19" i="19"/>
  <c r="L19" i="19"/>
  <c r="CC18" i="19"/>
  <c r="CB18" i="19"/>
  <c r="CA18" i="19"/>
  <c r="BZ18" i="19"/>
  <c r="BL18" i="19"/>
  <c r="BF18" i="19"/>
  <c r="AZ18" i="19"/>
  <c r="AT18" i="19"/>
  <c r="AN18" i="19"/>
  <c r="AH18" i="19"/>
  <c r="AB18" i="19"/>
  <c r="W18" i="19"/>
  <c r="R18" i="19"/>
  <c r="L18" i="19"/>
  <c r="CC17" i="19"/>
  <c r="CB17" i="19"/>
  <c r="CA17" i="19"/>
  <c r="BZ17" i="19"/>
  <c r="BL17" i="19"/>
  <c r="BF17" i="19"/>
  <c r="AZ17" i="19"/>
  <c r="AT17" i="19"/>
  <c r="AN17" i="19"/>
  <c r="AH17" i="19"/>
  <c r="AB17" i="19"/>
  <c r="W17" i="19"/>
  <c r="R17" i="19"/>
  <c r="L17" i="19"/>
  <c r="CC16" i="19"/>
  <c r="CB16" i="19"/>
  <c r="CA16" i="19"/>
  <c r="BZ16" i="19"/>
  <c r="BL16" i="19"/>
  <c r="BF16" i="19"/>
  <c r="AZ16" i="19"/>
  <c r="AT16" i="19"/>
  <c r="AN16" i="19"/>
  <c r="AH16" i="19"/>
  <c r="AB16" i="19"/>
  <c r="R16" i="19"/>
  <c r="L16" i="19"/>
  <c r="CC15" i="19"/>
  <c r="CB15" i="19"/>
  <c r="CA15" i="19"/>
  <c r="BZ15" i="19"/>
  <c r="BL15" i="19"/>
  <c r="BF15" i="19"/>
  <c r="AZ15" i="19"/>
  <c r="AT15" i="19"/>
  <c r="AN15" i="19"/>
  <c r="AH15" i="19"/>
  <c r="AB15" i="19"/>
  <c r="W15" i="19"/>
  <c r="R15" i="19"/>
  <c r="L15" i="19"/>
  <c r="CC14" i="19"/>
  <c r="CB14" i="19"/>
  <c r="CA14" i="19"/>
  <c r="BZ14" i="19"/>
  <c r="BL14" i="19"/>
  <c r="BF14" i="19"/>
  <c r="AZ14" i="19"/>
  <c r="AT14" i="19"/>
  <c r="AN14" i="19"/>
  <c r="AH14" i="19"/>
  <c r="AB14" i="19"/>
  <c r="R14" i="19"/>
  <c r="L14" i="19"/>
  <c r="CC13" i="19"/>
  <c r="CB13" i="19"/>
  <c r="CA13" i="19"/>
  <c r="BZ13" i="19"/>
  <c r="BL13" i="19"/>
  <c r="BF13" i="19"/>
  <c r="AZ13" i="19"/>
  <c r="AT13" i="19"/>
  <c r="AN13" i="19"/>
  <c r="AH13" i="19"/>
  <c r="AB13" i="19"/>
  <c r="W13" i="19"/>
  <c r="R13" i="19"/>
  <c r="L13" i="19"/>
  <c r="CC12" i="19"/>
  <c r="CB12" i="19"/>
  <c r="CA12" i="19"/>
  <c r="BZ12" i="19"/>
  <c r="BL12" i="19"/>
  <c r="BF12" i="19"/>
  <c r="AZ12" i="19"/>
  <c r="AT12" i="19"/>
  <c r="AN12" i="19"/>
  <c r="AH12" i="19"/>
  <c r="AB12" i="19"/>
  <c r="R12" i="19"/>
  <c r="L12" i="19"/>
  <c r="CC11" i="19"/>
  <c r="CB11" i="19"/>
  <c r="CA11" i="19"/>
  <c r="BZ11" i="19"/>
  <c r="BL11" i="19"/>
  <c r="BF11" i="19"/>
  <c r="AZ11" i="19"/>
  <c r="AT11" i="19"/>
  <c r="AN11" i="19"/>
  <c r="AH11" i="19"/>
  <c r="AB11" i="19"/>
  <c r="R11" i="19"/>
  <c r="L11" i="19"/>
  <c r="CC10" i="19"/>
  <c r="CB10" i="19"/>
  <c r="CA10" i="19"/>
  <c r="BZ10" i="19"/>
  <c r="BL10" i="19"/>
  <c r="BF10" i="19"/>
  <c r="AZ10" i="19"/>
  <c r="AT10" i="19"/>
  <c r="AN10" i="19"/>
  <c r="AH10" i="19"/>
  <c r="AB10" i="19"/>
  <c r="R10" i="19"/>
  <c r="L10" i="19"/>
  <c r="BL1024" i="19" l="1"/>
  <c r="BZ1042" i="19"/>
  <c r="L395" i="19"/>
  <c r="AN1024" i="19"/>
  <c r="BZ1024" i="19"/>
  <c r="AB1035" i="19"/>
  <c r="AN1035" i="19"/>
  <c r="CD198" i="19"/>
  <c r="CD202" i="19"/>
  <c r="CD1038" i="19"/>
  <c r="CE1038" i="19" s="1"/>
  <c r="CD1040" i="19"/>
  <c r="CD1042" i="19"/>
  <c r="CE1042" i="19" s="1"/>
  <c r="CE1035" i="19"/>
  <c r="BM1034" i="19"/>
  <c r="CD1034" i="19"/>
  <c r="CD1037" i="19"/>
  <c r="CE1039" i="19"/>
  <c r="CD1041" i="19"/>
  <c r="CD204" i="19"/>
  <c r="CE204" i="19" s="1"/>
  <c r="CD11" i="19"/>
  <c r="CE11" i="19" s="1"/>
  <c r="CE13" i="19"/>
  <c r="CE15" i="19"/>
  <c r="CE17" i="19"/>
  <c r="CE19" i="19"/>
  <c r="CD21" i="19"/>
  <c r="CE21" i="19" s="1"/>
  <c r="CD23" i="19"/>
  <c r="CE23" i="19" s="1"/>
  <c r="CD25" i="19"/>
  <c r="CD26" i="19"/>
  <c r="CD35" i="19"/>
  <c r="CD197" i="19"/>
  <c r="CE1029" i="19"/>
  <c r="BM36" i="19"/>
  <c r="CD37" i="19"/>
  <c r="CE195" i="19"/>
  <c r="CD205" i="19"/>
  <c r="CE205" i="19" s="1"/>
  <c r="CD450" i="19"/>
  <c r="CE1026" i="19"/>
  <c r="CD1027" i="19"/>
  <c r="CE1027" i="19" s="1"/>
  <c r="CD1030" i="19"/>
  <c r="CD1031" i="19"/>
  <c r="CE1031" i="19" s="1"/>
  <c r="CE1032" i="19"/>
  <c r="BM27" i="19"/>
  <c r="CD28" i="19"/>
  <c r="CD30" i="19"/>
  <c r="CE32" i="19"/>
  <c r="CD34" i="19"/>
  <c r="CE34" i="19" s="1"/>
  <c r="CD36" i="19"/>
  <c r="CE36" i="19" s="1"/>
  <c r="CD38" i="19"/>
  <c r="BM39" i="19"/>
  <c r="CD39" i="19"/>
  <c r="CE39" i="19" s="1"/>
  <c r="CD201" i="19"/>
  <c r="CD206" i="19"/>
  <c r="CE206" i="19" s="1"/>
  <c r="CD192" i="19"/>
  <c r="CD451" i="19"/>
  <c r="CE451" i="19" s="1"/>
  <c r="CD1025" i="19"/>
  <c r="CE1025" i="19" s="1"/>
  <c r="CD1028" i="19"/>
  <c r="CD27" i="19"/>
  <c r="CE27" i="19" s="1"/>
  <c r="CD31" i="19"/>
  <c r="CE31" i="19" s="1"/>
  <c r="CD33" i="19"/>
  <c r="CD1024" i="19"/>
  <c r="CD10" i="19"/>
  <c r="CD12" i="19"/>
  <c r="CD16" i="19"/>
  <c r="CD18" i="19"/>
  <c r="CE18" i="19" s="1"/>
  <c r="CD20" i="19"/>
  <c r="CD22" i="19"/>
  <c r="CE22" i="19" s="1"/>
  <c r="CE192" i="19" l="1"/>
  <c r="CE1037" i="19"/>
  <c r="CE197" i="19"/>
  <c r="CE1034" i="19"/>
  <c r="CE25" i="19"/>
  <c r="CE1041" i="19"/>
  <c r="CE450" i="19"/>
  <c r="CE1036" i="19"/>
  <c r="CE395" i="19"/>
  <c r="CE202" i="19"/>
  <c r="CE1033" i="19"/>
  <c r="CE37" i="19"/>
  <c r="CE28" i="19"/>
  <c r="CE193" i="19"/>
  <c r="CE200" i="19"/>
  <c r="CE26" i="19"/>
  <c r="CE198" i="19"/>
  <c r="CE1040" i="19"/>
  <c r="CE24" i="19"/>
  <c r="CE20" i="19"/>
  <c r="CE16" i="19"/>
  <c r="CE14" i="19"/>
  <c r="CE12" i="19"/>
  <c r="CE10" i="19"/>
  <c r="CE1024" i="19"/>
  <c r="CE33" i="19"/>
  <c r="CE29" i="19"/>
  <c r="CE1028" i="19"/>
  <c r="CE203" i="19"/>
  <c r="CE201" i="19"/>
  <c r="CE199" i="19"/>
  <c r="CE196" i="19"/>
  <c r="CE38" i="19"/>
  <c r="CE30" i="19"/>
  <c r="CE1030" i="19"/>
  <c r="CE394" i="19"/>
  <c r="CE191" i="19"/>
  <c r="CE194" i="19"/>
  <c r="CE35" i="19"/>
  <c r="BZ1100" i="19" l="1"/>
  <c r="BL1100" i="19"/>
  <c r="BF1100" i="19"/>
  <c r="AZ1100" i="19"/>
  <c r="AT1100" i="19"/>
  <c r="AN1100" i="19"/>
  <c r="AH1100" i="19"/>
  <c r="AB1100" i="19"/>
  <c r="R1100" i="19"/>
  <c r="K1100" i="19"/>
  <c r="CC1100" i="19" s="1"/>
  <c r="J1100" i="19"/>
  <c r="CB1100" i="19" s="1"/>
  <c r="CA1100" i="19"/>
  <c r="CC1099" i="19"/>
  <c r="BZ1099" i="19"/>
  <c r="BL1099" i="19"/>
  <c r="BF1099" i="19"/>
  <c r="AZ1099" i="19"/>
  <c r="AT1099" i="19"/>
  <c r="AN1099" i="19"/>
  <c r="AH1099" i="19"/>
  <c r="AB1099" i="19"/>
  <c r="R1099" i="19"/>
  <c r="J1099" i="19"/>
  <c r="I1099" i="19"/>
  <c r="CA1099" i="19" s="1"/>
  <c r="CC1098" i="19"/>
  <c r="BZ1098" i="19"/>
  <c r="BL1098" i="19"/>
  <c r="BF1098" i="19"/>
  <c r="AZ1098" i="19"/>
  <c r="AT1098" i="19"/>
  <c r="AN1098" i="19"/>
  <c r="AH1098" i="19"/>
  <c r="AB1098" i="19"/>
  <c r="R1098" i="19"/>
  <c r="J1098" i="19"/>
  <c r="CB1098" i="19" s="1"/>
  <c r="I1098" i="19"/>
  <c r="CA1098" i="19" s="1"/>
  <c r="CC1097" i="19"/>
  <c r="BZ1097" i="19"/>
  <c r="BL1097" i="19"/>
  <c r="BF1097" i="19"/>
  <c r="AZ1097" i="19"/>
  <c r="AT1097" i="19"/>
  <c r="AN1097" i="19"/>
  <c r="AH1097" i="19"/>
  <c r="AB1097" i="19"/>
  <c r="R1097" i="19"/>
  <c r="J1097" i="19"/>
  <c r="CB1097" i="19" s="1"/>
  <c r="I1097" i="19"/>
  <c r="CA1097" i="19" s="1"/>
  <c r="CC1096" i="19"/>
  <c r="CB1096" i="19"/>
  <c r="CA1096" i="19"/>
  <c r="BZ1096" i="19"/>
  <c r="BL1096" i="19"/>
  <c r="BF1096" i="19"/>
  <c r="AZ1096" i="19"/>
  <c r="AT1096" i="19"/>
  <c r="AN1096" i="19"/>
  <c r="AH1096" i="19"/>
  <c r="AB1096" i="19"/>
  <c r="R1096" i="19"/>
  <c r="L1096" i="19"/>
  <c r="CC1095" i="19"/>
  <c r="CB1095" i="19"/>
  <c r="CA1095" i="19"/>
  <c r="BZ1095" i="19"/>
  <c r="BL1095" i="19"/>
  <c r="BF1095" i="19"/>
  <c r="AZ1095" i="19"/>
  <c r="AT1095" i="19"/>
  <c r="AN1095" i="19"/>
  <c r="AH1095" i="19"/>
  <c r="AB1095" i="19"/>
  <c r="R1095" i="19"/>
  <c r="L1095" i="19"/>
  <c r="CC1094" i="19"/>
  <c r="BZ1094" i="19"/>
  <c r="BL1094" i="19"/>
  <c r="BF1094" i="19"/>
  <c r="AZ1094" i="19"/>
  <c r="AT1094" i="19"/>
  <c r="AN1094" i="19"/>
  <c r="AH1094" i="19"/>
  <c r="AB1094" i="19"/>
  <c r="R1094" i="19"/>
  <c r="J1094" i="19"/>
  <c r="CB1094" i="19" s="1"/>
  <c r="I1094" i="19"/>
  <c r="L1094" i="19" l="1"/>
  <c r="CD1096" i="19"/>
  <c r="CE1096" i="19" s="1"/>
  <c r="CD1098" i="19"/>
  <c r="L1100" i="19"/>
  <c r="CD1100" i="19"/>
  <c r="CA1094" i="19"/>
  <c r="L1099" i="19"/>
  <c r="L1098" i="19"/>
  <c r="CD1095" i="19"/>
  <c r="CB1099" i="19"/>
  <c r="L1097" i="19"/>
  <c r="CE1095" i="19" l="1"/>
  <c r="CE1094" i="19"/>
  <c r="CE1097" i="19"/>
  <c r="CE1100" i="19"/>
  <c r="CE1099" i="19"/>
  <c r="CE1098" i="19"/>
  <c r="BU1050" i="19" l="1"/>
  <c r="BU1021" i="19"/>
  <c r="BU1022" i="19"/>
  <c r="CC1093" i="19" l="1"/>
  <c r="CB1093" i="19"/>
  <c r="CA1093" i="19"/>
  <c r="BZ1093" i="19"/>
  <c r="BL1093" i="19"/>
  <c r="BF1093" i="19"/>
  <c r="AZ1093" i="19"/>
  <c r="AT1093" i="19"/>
  <c r="AN1093" i="19"/>
  <c r="AH1093" i="19"/>
  <c r="AB1093" i="19"/>
  <c r="R1093" i="19"/>
  <c r="L1093" i="19"/>
  <c r="CC818" i="19" l="1"/>
  <c r="CB818" i="19"/>
  <c r="CA818" i="19"/>
  <c r="BZ818" i="19"/>
  <c r="BL818" i="19"/>
  <c r="BF818" i="19"/>
  <c r="AZ818" i="19"/>
  <c r="AT818" i="19"/>
  <c r="AN818" i="19"/>
  <c r="AH818" i="19"/>
  <c r="AB818" i="19"/>
  <c r="R818" i="19"/>
  <c r="L818" i="19"/>
  <c r="CC817" i="19"/>
  <c r="CB817" i="19"/>
  <c r="CA817" i="19"/>
  <c r="BZ817" i="19"/>
  <c r="BL817" i="19"/>
  <c r="BF817" i="19"/>
  <c r="AZ817" i="19"/>
  <c r="AT817" i="19"/>
  <c r="AN817" i="19"/>
  <c r="AH817" i="19"/>
  <c r="AB817" i="19"/>
  <c r="R817" i="19"/>
  <c r="L817" i="19"/>
  <c r="H817" i="19"/>
  <c r="CC816" i="19"/>
  <c r="CB816" i="19"/>
  <c r="CA816" i="19"/>
  <c r="BZ816" i="19"/>
  <c r="BL816" i="19"/>
  <c r="BF816" i="19"/>
  <c r="AZ816" i="19"/>
  <c r="AT816" i="19"/>
  <c r="AN816" i="19"/>
  <c r="AH816" i="19"/>
  <c r="AB816" i="19"/>
  <c r="R816" i="19"/>
  <c r="L816" i="19"/>
  <c r="CC815" i="19"/>
  <c r="CB815" i="19"/>
  <c r="CA815" i="19"/>
  <c r="BZ815" i="19"/>
  <c r="BL815" i="19"/>
  <c r="BF815" i="19"/>
  <c r="AZ815" i="19"/>
  <c r="AT815" i="19"/>
  <c r="AN815" i="19"/>
  <c r="AH815" i="19"/>
  <c r="AB815" i="19"/>
  <c r="R815" i="19"/>
  <c r="L815" i="19"/>
  <c r="CC498" i="19"/>
  <c r="CB498" i="19"/>
  <c r="CA498" i="19"/>
  <c r="BZ498" i="19"/>
  <c r="BL498" i="19"/>
  <c r="BF498" i="19"/>
  <c r="AZ498" i="19"/>
  <c r="AT498" i="19"/>
  <c r="AN498" i="19"/>
  <c r="AH498" i="19"/>
  <c r="AB498" i="19"/>
  <c r="R498" i="19"/>
  <c r="L498" i="19"/>
  <c r="CC497" i="19"/>
  <c r="CB497" i="19"/>
  <c r="CA497" i="19"/>
  <c r="BZ497" i="19"/>
  <c r="BL497" i="19"/>
  <c r="BF497" i="19"/>
  <c r="AZ497" i="19"/>
  <c r="AT497" i="19"/>
  <c r="AN497" i="19"/>
  <c r="AH497" i="19"/>
  <c r="AB497" i="19"/>
  <c r="R497" i="19"/>
  <c r="L497" i="19"/>
  <c r="CE1093" i="19" l="1"/>
  <c r="CD816" i="19"/>
  <c r="CE816" i="19" s="1"/>
  <c r="CD498" i="19"/>
  <c r="CE498" i="19" s="1"/>
  <c r="CD817" i="19"/>
  <c r="CE817" i="19" s="1"/>
  <c r="CD815" i="19"/>
  <c r="CD497" i="19"/>
  <c r="BM817" i="19"/>
  <c r="BM818" i="19"/>
  <c r="CD818" i="19"/>
  <c r="CE818" i="19" s="1"/>
  <c r="CE497" i="19" l="1"/>
  <c r="CE815" i="19"/>
  <c r="H790" i="19" l="1"/>
  <c r="H789" i="19"/>
  <c r="CC789" i="19"/>
  <c r="CB789" i="19"/>
  <c r="CA789" i="19"/>
  <c r="BZ789" i="19"/>
  <c r="BL789" i="19"/>
  <c r="BF789" i="19"/>
  <c r="AZ789" i="19"/>
  <c r="AT789" i="19"/>
  <c r="AN789" i="19"/>
  <c r="AH789" i="19"/>
  <c r="AB789" i="19"/>
  <c r="R789" i="19"/>
  <c r="L789" i="19"/>
  <c r="CC788" i="19"/>
  <c r="CB788" i="19"/>
  <c r="CA788" i="19"/>
  <c r="BZ788" i="19"/>
  <c r="BL788" i="19"/>
  <c r="BF788" i="19"/>
  <c r="AZ788" i="19"/>
  <c r="AT788" i="19"/>
  <c r="AN788" i="19"/>
  <c r="AH788" i="19"/>
  <c r="AB788" i="19"/>
  <c r="R788" i="19"/>
  <c r="L788" i="19"/>
  <c r="BM789" i="19" l="1"/>
  <c r="CD789" i="19"/>
  <c r="CE789" i="19" s="1"/>
  <c r="CD788" i="19"/>
  <c r="CE788" i="19" l="1"/>
  <c r="CC350" i="19" l="1"/>
  <c r="CB350" i="19"/>
  <c r="CA350" i="19"/>
  <c r="BZ350" i="19"/>
  <c r="BL350" i="19"/>
  <c r="BF350" i="19"/>
  <c r="AZ350" i="19"/>
  <c r="AT350" i="19"/>
  <c r="AN350" i="19"/>
  <c r="AH350" i="19"/>
  <c r="AB350" i="19"/>
  <c r="R350" i="19"/>
  <c r="L350" i="19"/>
  <c r="CC349" i="19"/>
  <c r="CB349" i="19"/>
  <c r="CA349" i="19"/>
  <c r="BZ349" i="19"/>
  <c r="BL349" i="19"/>
  <c r="BF349" i="19"/>
  <c r="AZ349" i="19"/>
  <c r="AT349" i="19"/>
  <c r="AN349" i="19"/>
  <c r="AH349" i="19"/>
  <c r="AB349" i="19"/>
  <c r="R349" i="19"/>
  <c r="L349" i="19"/>
  <c r="CC348" i="19"/>
  <c r="CB348" i="19"/>
  <c r="CA348" i="19"/>
  <c r="BZ348" i="19"/>
  <c r="BL348" i="19"/>
  <c r="BF348" i="19"/>
  <c r="AZ348" i="19"/>
  <c r="AT348" i="19"/>
  <c r="AN348" i="19"/>
  <c r="AH348" i="19"/>
  <c r="AB348" i="19"/>
  <c r="R348" i="19"/>
  <c r="L348" i="19"/>
  <c r="CC347" i="19"/>
  <c r="CB347" i="19"/>
  <c r="CA347" i="19"/>
  <c r="BZ347" i="19"/>
  <c r="BL347" i="19"/>
  <c r="BF347" i="19"/>
  <c r="AZ347" i="19"/>
  <c r="AT347" i="19"/>
  <c r="AN347" i="19"/>
  <c r="AH347" i="19"/>
  <c r="AB347" i="19"/>
  <c r="R347" i="19"/>
  <c r="L347" i="19"/>
  <c r="CC346" i="19"/>
  <c r="CB346" i="19"/>
  <c r="CA346" i="19"/>
  <c r="BZ346" i="19"/>
  <c r="BL346" i="19"/>
  <c r="BF346" i="19"/>
  <c r="AZ346" i="19"/>
  <c r="AT346" i="19"/>
  <c r="AN346" i="19"/>
  <c r="AH346" i="19"/>
  <c r="AB346" i="19"/>
  <c r="R346" i="19"/>
  <c r="L346" i="19"/>
  <c r="CC345" i="19"/>
  <c r="CB345" i="19"/>
  <c r="CA345" i="19"/>
  <c r="BZ345" i="19"/>
  <c r="BL345" i="19"/>
  <c r="BF345" i="19"/>
  <c r="AZ345" i="19"/>
  <c r="AT345" i="19"/>
  <c r="AN345" i="19"/>
  <c r="AH345" i="19"/>
  <c r="AB345" i="19"/>
  <c r="R345" i="19"/>
  <c r="L345" i="19"/>
  <c r="CC344" i="19"/>
  <c r="CB344" i="19"/>
  <c r="CA344" i="19"/>
  <c r="BZ344" i="19"/>
  <c r="BL344" i="19"/>
  <c r="BF344" i="19"/>
  <c r="AZ344" i="19"/>
  <c r="AT344" i="19"/>
  <c r="AN344" i="19"/>
  <c r="AH344" i="19"/>
  <c r="AB344" i="19"/>
  <c r="R344" i="19"/>
  <c r="L344" i="19"/>
  <c r="CC343" i="19"/>
  <c r="CB343" i="19"/>
  <c r="CA343" i="19"/>
  <c r="BZ343" i="19"/>
  <c r="BL343" i="19"/>
  <c r="BF343" i="19"/>
  <c r="AZ343" i="19"/>
  <c r="AT343" i="19"/>
  <c r="AN343" i="19"/>
  <c r="AH343" i="19"/>
  <c r="AB343" i="19"/>
  <c r="R343" i="19"/>
  <c r="L343" i="19"/>
  <c r="CC342" i="19"/>
  <c r="CB342" i="19"/>
  <c r="CA342" i="19"/>
  <c r="BZ342" i="19"/>
  <c r="BL342" i="19"/>
  <c r="BF342" i="19"/>
  <c r="AZ342" i="19"/>
  <c r="AT342" i="19"/>
  <c r="AN342" i="19"/>
  <c r="AH342" i="19"/>
  <c r="AB342" i="19"/>
  <c r="R342" i="19"/>
  <c r="L342" i="19"/>
  <c r="CC341" i="19"/>
  <c r="CB341" i="19"/>
  <c r="CA341" i="19"/>
  <c r="BZ341" i="19"/>
  <c r="BL341" i="19"/>
  <c r="BF341" i="19"/>
  <c r="AZ341" i="19"/>
  <c r="AT341" i="19"/>
  <c r="AN341" i="19"/>
  <c r="AH341" i="19"/>
  <c r="AB341" i="19"/>
  <c r="R341" i="19"/>
  <c r="L341" i="19"/>
  <c r="CC340" i="19"/>
  <c r="CB340" i="19"/>
  <c r="CA340" i="19"/>
  <c r="BZ340" i="19"/>
  <c r="BL340" i="19"/>
  <c r="BF340" i="19"/>
  <c r="AZ340" i="19"/>
  <c r="AT340" i="19"/>
  <c r="AN340" i="19"/>
  <c r="AH340" i="19"/>
  <c r="AB340" i="19"/>
  <c r="R340" i="19"/>
  <c r="L340" i="19"/>
  <c r="CC339" i="19"/>
  <c r="CB339" i="19"/>
  <c r="CA339" i="19"/>
  <c r="BZ339" i="19"/>
  <c r="BL339" i="19"/>
  <c r="BF339" i="19"/>
  <c r="AZ339" i="19"/>
  <c r="AT339" i="19"/>
  <c r="AN339" i="19"/>
  <c r="AH339" i="19"/>
  <c r="AB339" i="19"/>
  <c r="R339" i="19"/>
  <c r="L339" i="19"/>
  <c r="CC338" i="19"/>
  <c r="CB338" i="19"/>
  <c r="CA338" i="19"/>
  <c r="BZ338" i="19"/>
  <c r="BL338" i="19"/>
  <c r="BF338" i="19"/>
  <c r="AZ338" i="19"/>
  <c r="AT338" i="19"/>
  <c r="AN338" i="19"/>
  <c r="AH338" i="19"/>
  <c r="AB338" i="19"/>
  <c r="R338" i="19"/>
  <c r="L338" i="19"/>
  <c r="CC337" i="19"/>
  <c r="CB337" i="19"/>
  <c r="CA337" i="19"/>
  <c r="BZ337" i="19"/>
  <c r="BL337" i="19"/>
  <c r="BF337" i="19"/>
  <c r="AZ337" i="19"/>
  <c r="AT337" i="19"/>
  <c r="AN337" i="19"/>
  <c r="AH337" i="19"/>
  <c r="AB337" i="19"/>
  <c r="R337" i="19"/>
  <c r="L337" i="19"/>
  <c r="CC336" i="19"/>
  <c r="CB336" i="19"/>
  <c r="CA336" i="19"/>
  <c r="BZ336" i="19"/>
  <c r="BL336" i="19"/>
  <c r="BF336" i="19"/>
  <c r="AZ336" i="19"/>
  <c r="AT336" i="19"/>
  <c r="AN336" i="19"/>
  <c r="AH336" i="19"/>
  <c r="AB336" i="19"/>
  <c r="R336" i="19"/>
  <c r="L336" i="19"/>
  <c r="CC335" i="19"/>
  <c r="CB335" i="19"/>
  <c r="CA335" i="19"/>
  <c r="BZ335" i="19"/>
  <c r="BL335" i="19"/>
  <c r="BF335" i="19"/>
  <c r="AZ335" i="19"/>
  <c r="AT335" i="19"/>
  <c r="AN335" i="19"/>
  <c r="AH335" i="19"/>
  <c r="AB335" i="19"/>
  <c r="R335" i="19"/>
  <c r="L335" i="19"/>
  <c r="CC334" i="19"/>
  <c r="CB334" i="19"/>
  <c r="CA334" i="19"/>
  <c r="BZ334" i="19"/>
  <c r="BL334" i="19"/>
  <c r="BF334" i="19"/>
  <c r="AZ334" i="19"/>
  <c r="AT334" i="19"/>
  <c r="AN334" i="19"/>
  <c r="AH334" i="19"/>
  <c r="AB334" i="19"/>
  <c r="R334" i="19"/>
  <c r="L334" i="19"/>
  <c r="CE338" i="19" l="1"/>
  <c r="CD334" i="19"/>
  <c r="CE339" i="19"/>
  <c r="CD350" i="19"/>
  <c r="CE350" i="19" s="1"/>
  <c r="CD341" i="19"/>
  <c r="CD343" i="19"/>
  <c r="CE346" i="19"/>
  <c r="BM335" i="19"/>
  <c r="CD335" i="19"/>
  <c r="CE335" i="19" s="1"/>
  <c r="CD345" i="19"/>
  <c r="CE345" i="19" s="1"/>
  <c r="CD349" i="19"/>
  <c r="CE349" i="19" s="1"/>
  <c r="CE337" i="19"/>
  <c r="BM340" i="19"/>
  <c r="CD340" i="19"/>
  <c r="CE342" i="19"/>
  <c r="CD344" i="19"/>
  <c r="CE344" i="19" s="1"/>
  <c r="CD348" i="19"/>
  <c r="Y1022" i="19"/>
  <c r="CE340" i="19" l="1"/>
  <c r="CE348" i="19"/>
  <c r="CE334" i="19"/>
  <c r="CE343" i="19"/>
  <c r="CE336" i="19"/>
  <c r="CE347" i="19"/>
  <c r="CE341" i="19"/>
  <c r="CC333" i="19" l="1"/>
  <c r="CB333" i="19"/>
  <c r="CA333" i="19"/>
  <c r="BZ333" i="19"/>
  <c r="BL333" i="19"/>
  <c r="BF333" i="19"/>
  <c r="AZ333" i="19"/>
  <c r="AT333" i="19"/>
  <c r="AN333" i="19"/>
  <c r="AH333" i="19"/>
  <c r="AB333" i="19"/>
  <c r="R333" i="19"/>
  <c r="L333" i="19"/>
  <c r="CC332" i="19"/>
  <c r="CB332" i="19"/>
  <c r="CA332" i="19"/>
  <c r="BZ332" i="19"/>
  <c r="BL332" i="19"/>
  <c r="BF332" i="19"/>
  <c r="AZ332" i="19"/>
  <c r="AT332" i="19"/>
  <c r="AN332" i="19"/>
  <c r="AH332" i="19"/>
  <c r="AB332" i="19"/>
  <c r="R332" i="19"/>
  <c r="L332" i="19"/>
  <c r="CC331" i="19"/>
  <c r="CB331" i="19"/>
  <c r="CA331" i="19"/>
  <c r="BZ331" i="19"/>
  <c r="BL331" i="19"/>
  <c r="BF331" i="19"/>
  <c r="AZ331" i="19"/>
  <c r="AT331" i="19"/>
  <c r="AN331" i="19"/>
  <c r="AH331" i="19"/>
  <c r="AB331" i="19"/>
  <c r="R331" i="19"/>
  <c r="L331" i="19"/>
  <c r="CC330" i="19"/>
  <c r="CB330" i="19"/>
  <c r="CA330" i="19"/>
  <c r="BZ330" i="19"/>
  <c r="BL330" i="19"/>
  <c r="BF330" i="19"/>
  <c r="AZ330" i="19"/>
  <c r="AT330" i="19"/>
  <c r="AN330" i="19"/>
  <c r="AH330" i="19"/>
  <c r="AB330" i="19"/>
  <c r="R330" i="19"/>
  <c r="L330" i="19"/>
  <c r="CC329" i="19"/>
  <c r="CB329" i="19"/>
  <c r="CA329" i="19"/>
  <c r="BZ329" i="19"/>
  <c r="BL329" i="19"/>
  <c r="BF329" i="19"/>
  <c r="AZ329" i="19"/>
  <c r="AT329" i="19"/>
  <c r="AN329" i="19"/>
  <c r="AH329" i="19"/>
  <c r="AB329" i="19"/>
  <c r="R329" i="19"/>
  <c r="L329" i="19"/>
  <c r="CC328" i="19"/>
  <c r="CB328" i="19"/>
  <c r="CA328" i="19"/>
  <c r="BZ328" i="19"/>
  <c r="BL328" i="19"/>
  <c r="BF328" i="19"/>
  <c r="AZ328" i="19"/>
  <c r="AT328" i="19"/>
  <c r="AN328" i="19"/>
  <c r="AH328" i="19"/>
  <c r="AB328" i="19"/>
  <c r="R328" i="19"/>
  <c r="L328" i="19"/>
  <c r="CC327" i="19"/>
  <c r="CB327" i="19"/>
  <c r="CA327" i="19"/>
  <c r="BZ327" i="19"/>
  <c r="BL327" i="19"/>
  <c r="BF327" i="19"/>
  <c r="AZ327" i="19"/>
  <c r="AT327" i="19"/>
  <c r="AN327" i="19"/>
  <c r="AH327" i="19"/>
  <c r="AB327" i="19"/>
  <c r="R327" i="19"/>
  <c r="L327" i="19"/>
  <c r="CC326" i="19"/>
  <c r="CB326" i="19"/>
  <c r="CA326" i="19"/>
  <c r="BZ326" i="19"/>
  <c r="BL326" i="19"/>
  <c r="BF326" i="19"/>
  <c r="AZ326" i="19"/>
  <c r="AT326" i="19"/>
  <c r="AN326" i="19"/>
  <c r="AH326" i="19"/>
  <c r="AB326" i="19"/>
  <c r="R326" i="19"/>
  <c r="L326" i="19"/>
  <c r="CC372" i="19"/>
  <c r="CB372" i="19"/>
  <c r="CA372" i="19"/>
  <c r="BZ372" i="19"/>
  <c r="BL372" i="19"/>
  <c r="BF372" i="19"/>
  <c r="AZ372" i="19"/>
  <c r="AT372" i="19"/>
  <c r="AN372" i="19"/>
  <c r="AH372" i="19"/>
  <c r="AB372" i="19"/>
  <c r="R372" i="19"/>
  <c r="L372" i="19"/>
  <c r="CC371" i="19"/>
  <c r="CB371" i="19"/>
  <c r="CA371" i="19"/>
  <c r="BZ371" i="19"/>
  <c r="BL371" i="19"/>
  <c r="BF371" i="19"/>
  <c r="AZ371" i="19"/>
  <c r="AT371" i="19"/>
  <c r="AN371" i="19"/>
  <c r="AH371" i="19"/>
  <c r="AB371" i="19"/>
  <c r="R371" i="19"/>
  <c r="L371" i="19"/>
  <c r="CC370" i="19"/>
  <c r="CB370" i="19"/>
  <c r="CA370" i="19"/>
  <c r="BZ370" i="19"/>
  <c r="BL370" i="19"/>
  <c r="BF370" i="19"/>
  <c r="AZ370" i="19"/>
  <c r="AT370" i="19"/>
  <c r="AN370" i="19"/>
  <c r="AH370" i="19"/>
  <c r="AB370" i="19"/>
  <c r="R370" i="19"/>
  <c r="L370" i="19"/>
  <c r="CC369" i="19"/>
  <c r="CB369" i="19"/>
  <c r="CA369" i="19"/>
  <c r="BZ369" i="19"/>
  <c r="BL369" i="19"/>
  <c r="BF369" i="19"/>
  <c r="AZ369" i="19"/>
  <c r="AT369" i="19"/>
  <c r="AN369" i="19"/>
  <c r="AH369" i="19"/>
  <c r="AB369" i="19"/>
  <c r="R369" i="19"/>
  <c r="L369" i="19"/>
  <c r="CC368" i="19"/>
  <c r="CB368" i="19"/>
  <c r="CA368" i="19"/>
  <c r="BZ368" i="19"/>
  <c r="BL368" i="19"/>
  <c r="BF368" i="19"/>
  <c r="AZ368" i="19"/>
  <c r="AT368" i="19"/>
  <c r="AN368" i="19"/>
  <c r="AH368" i="19"/>
  <c r="AB368" i="19"/>
  <c r="R368" i="19"/>
  <c r="L368" i="19"/>
  <c r="CE330" i="19" l="1"/>
  <c r="CD333" i="19"/>
  <c r="CE333" i="19" s="1"/>
  <c r="CE328" i="19"/>
  <c r="CD331" i="19"/>
  <c r="CD326" i="19"/>
  <c r="CD329" i="19"/>
  <c r="CD332" i="19"/>
  <c r="CE332" i="19" s="1"/>
  <c r="CD369" i="19"/>
  <c r="CE327" i="19"/>
  <c r="CD371" i="19"/>
  <c r="CE371" i="19" s="1"/>
  <c r="BM333" i="19"/>
  <c r="CD370" i="19"/>
  <c r="CE370" i="19" s="1"/>
  <c r="W227" i="19"/>
  <c r="CE369" i="19" l="1"/>
  <c r="CE372" i="19"/>
  <c r="CE329" i="19"/>
  <c r="CE331" i="19"/>
  <c r="CE368" i="19"/>
  <c r="CE326" i="19"/>
  <c r="CC260" i="19"/>
  <c r="CB260" i="19"/>
  <c r="CA260" i="19"/>
  <c r="BZ260" i="19"/>
  <c r="BL260" i="19"/>
  <c r="BF260" i="19"/>
  <c r="AZ260" i="19"/>
  <c r="AT260" i="19"/>
  <c r="AN260" i="19"/>
  <c r="AH260" i="19"/>
  <c r="AB260" i="19"/>
  <c r="R260" i="19"/>
  <c r="L260" i="19"/>
  <c r="CC259" i="19"/>
  <c r="CB259" i="19"/>
  <c r="CA259" i="19"/>
  <c r="BZ259" i="19"/>
  <c r="BL259" i="19"/>
  <c r="BF259" i="19"/>
  <c r="AZ259" i="19"/>
  <c r="AT259" i="19"/>
  <c r="AN259" i="19"/>
  <c r="AH259" i="19"/>
  <c r="AB259" i="19"/>
  <c r="R259" i="19"/>
  <c r="L259" i="19"/>
  <c r="CC258" i="19"/>
  <c r="CB258" i="19"/>
  <c r="CA258" i="19"/>
  <c r="BZ258" i="19"/>
  <c r="BL258" i="19"/>
  <c r="BF258" i="19"/>
  <c r="AZ258" i="19"/>
  <c r="AT258" i="19"/>
  <c r="AN258" i="19"/>
  <c r="AH258" i="19"/>
  <c r="AB258" i="19"/>
  <c r="R258" i="19"/>
  <c r="L258" i="19"/>
  <c r="CC257" i="19"/>
  <c r="CB257" i="19"/>
  <c r="CA257" i="19"/>
  <c r="BZ257" i="19"/>
  <c r="BL257" i="19"/>
  <c r="BF257" i="19"/>
  <c r="AZ257" i="19"/>
  <c r="AT257" i="19"/>
  <c r="AN257" i="19"/>
  <c r="AH257" i="19"/>
  <c r="AB257" i="19"/>
  <c r="R257" i="19"/>
  <c r="L257" i="19"/>
  <c r="CC256" i="19"/>
  <c r="CB256" i="19"/>
  <c r="CA256" i="19"/>
  <c r="BZ256" i="19"/>
  <c r="BL256" i="19"/>
  <c r="BF256" i="19"/>
  <c r="AZ256" i="19"/>
  <c r="AT256" i="19"/>
  <c r="AN256" i="19"/>
  <c r="AH256" i="19"/>
  <c r="AB256" i="19"/>
  <c r="R256" i="19"/>
  <c r="L256" i="19"/>
  <c r="CD260" i="19" l="1"/>
  <c r="CE260" i="19" s="1"/>
  <c r="CD259" i="19"/>
  <c r="CE259" i="19" s="1"/>
  <c r="CD258" i="19"/>
  <c r="CE256" i="19" l="1"/>
  <c r="CE258" i="19"/>
  <c r="CE257" i="19"/>
  <c r="Y1021" i="19" l="1"/>
  <c r="CC567" i="19"/>
  <c r="CB567" i="19"/>
  <c r="CA567" i="19"/>
  <c r="BZ567" i="19"/>
  <c r="BL567" i="19"/>
  <c r="BF567" i="19"/>
  <c r="AZ567" i="19"/>
  <c r="AT567" i="19"/>
  <c r="AN567" i="19"/>
  <c r="AH567" i="19"/>
  <c r="AB567" i="19"/>
  <c r="R567" i="19"/>
  <c r="L567" i="19"/>
  <c r="CC566" i="19"/>
  <c r="CB566" i="19"/>
  <c r="CA566" i="19"/>
  <c r="BZ566" i="19"/>
  <c r="BL566" i="19"/>
  <c r="BF566" i="19"/>
  <c r="AZ566" i="19"/>
  <c r="AT566" i="19"/>
  <c r="AN566" i="19"/>
  <c r="AH566" i="19"/>
  <c r="AB566" i="19"/>
  <c r="R566" i="19"/>
  <c r="L566" i="19"/>
  <c r="CC565" i="19"/>
  <c r="CB565" i="19"/>
  <c r="CA565" i="19"/>
  <c r="BZ565" i="19"/>
  <c r="BL565" i="19"/>
  <c r="BF565" i="19"/>
  <c r="AZ565" i="19"/>
  <c r="AT565" i="19"/>
  <c r="AN565" i="19"/>
  <c r="AH565" i="19"/>
  <c r="AB565" i="19"/>
  <c r="R565" i="19"/>
  <c r="L565" i="19"/>
  <c r="CE566" i="19" l="1"/>
  <c r="CE567" i="19"/>
  <c r="CD565" i="19"/>
  <c r="CE565" i="19" l="1"/>
  <c r="CC711" i="19" l="1"/>
  <c r="CB711" i="19"/>
  <c r="CA711" i="19"/>
  <c r="BZ711" i="19"/>
  <c r="BL711" i="19"/>
  <c r="BF711" i="19"/>
  <c r="AZ711" i="19"/>
  <c r="AT711" i="19"/>
  <c r="AN711" i="19"/>
  <c r="AH711" i="19"/>
  <c r="AB711" i="19"/>
  <c r="R711" i="19"/>
  <c r="L711" i="19"/>
  <c r="CC710" i="19"/>
  <c r="CB710" i="19"/>
  <c r="CA710" i="19"/>
  <c r="BZ710" i="19"/>
  <c r="BL710" i="19"/>
  <c r="BF710" i="19"/>
  <c r="AZ710" i="19"/>
  <c r="AT710" i="19"/>
  <c r="AN710" i="19"/>
  <c r="AH710" i="19"/>
  <c r="AB710" i="19"/>
  <c r="R710" i="19"/>
  <c r="L710" i="19"/>
  <c r="CC709" i="19"/>
  <c r="CB709" i="19"/>
  <c r="CA709" i="19"/>
  <c r="BZ709" i="19"/>
  <c r="BL709" i="19"/>
  <c r="BF709" i="19"/>
  <c r="AZ709" i="19"/>
  <c r="AT709" i="19"/>
  <c r="AN709" i="19"/>
  <c r="AH709" i="19"/>
  <c r="AB709" i="19"/>
  <c r="R709" i="19"/>
  <c r="L709" i="19"/>
  <c r="CD711" i="19" l="1"/>
  <c r="CE710" i="19"/>
  <c r="CE711" i="19" l="1"/>
  <c r="CE709" i="19"/>
  <c r="BI1050" i="19" l="1"/>
  <c r="CC549" i="19" l="1"/>
  <c r="CB549" i="19"/>
  <c r="CA549" i="19"/>
  <c r="BZ549" i="19"/>
  <c r="BL549" i="19"/>
  <c r="BF549" i="19"/>
  <c r="AZ549" i="19"/>
  <c r="AT549" i="19"/>
  <c r="AN549" i="19"/>
  <c r="AH549" i="19"/>
  <c r="AB549" i="19"/>
  <c r="R549" i="19"/>
  <c r="L549" i="19"/>
  <c r="CC548" i="19"/>
  <c r="CB548" i="19"/>
  <c r="CA548" i="19"/>
  <c r="BZ548" i="19"/>
  <c r="BL548" i="19"/>
  <c r="BF548" i="19"/>
  <c r="AZ548" i="19"/>
  <c r="AT548" i="19"/>
  <c r="AN548" i="19"/>
  <c r="AH548" i="19"/>
  <c r="AB548" i="19"/>
  <c r="R548" i="19"/>
  <c r="L548" i="19"/>
  <c r="CC547" i="19"/>
  <c r="CB547" i="19"/>
  <c r="CA547" i="19"/>
  <c r="BZ547" i="19"/>
  <c r="BL547" i="19"/>
  <c r="BF547" i="19"/>
  <c r="AZ547" i="19"/>
  <c r="AT547" i="19"/>
  <c r="AN547" i="19"/>
  <c r="AH547" i="19"/>
  <c r="AB547" i="19"/>
  <c r="R547" i="19"/>
  <c r="L547" i="19"/>
  <c r="CC546" i="19"/>
  <c r="CB546" i="19"/>
  <c r="CA546" i="19"/>
  <c r="BZ546" i="19"/>
  <c r="BL546" i="19"/>
  <c r="BF546" i="19"/>
  <c r="AZ546" i="19"/>
  <c r="AT546" i="19"/>
  <c r="AN546" i="19"/>
  <c r="AH546" i="19"/>
  <c r="AB546" i="19"/>
  <c r="R546" i="19"/>
  <c r="L546" i="19"/>
  <c r="CC545" i="19"/>
  <c r="CB545" i="19"/>
  <c r="CA545" i="19"/>
  <c r="BZ545" i="19"/>
  <c r="BL545" i="19"/>
  <c r="BF545" i="19"/>
  <c r="AZ545" i="19"/>
  <c r="AT545" i="19"/>
  <c r="AN545" i="19"/>
  <c r="AH545" i="19"/>
  <c r="AB545" i="19"/>
  <c r="R545" i="19"/>
  <c r="L545" i="19"/>
  <c r="CC544" i="19"/>
  <c r="CB544" i="19"/>
  <c r="CA544" i="19"/>
  <c r="BZ544" i="19"/>
  <c r="BL544" i="19"/>
  <c r="BF544" i="19"/>
  <c r="AZ544" i="19"/>
  <c r="AT544" i="19"/>
  <c r="AN544" i="19"/>
  <c r="AH544" i="19"/>
  <c r="AB544" i="19"/>
  <c r="R544" i="19"/>
  <c r="L544" i="19"/>
  <c r="CC543" i="19"/>
  <c r="CB543" i="19"/>
  <c r="CA543" i="19"/>
  <c r="BZ543" i="19"/>
  <c r="BL543" i="19"/>
  <c r="BF543" i="19"/>
  <c r="AZ543" i="19"/>
  <c r="AT543" i="19"/>
  <c r="AN543" i="19"/>
  <c r="AH543" i="19"/>
  <c r="AB543" i="19"/>
  <c r="R543" i="19"/>
  <c r="L543" i="19"/>
  <c r="CC542" i="19"/>
  <c r="CB542" i="19"/>
  <c r="CA542" i="19"/>
  <c r="BZ542" i="19"/>
  <c r="BL542" i="19"/>
  <c r="BF542" i="19"/>
  <c r="AZ542" i="19"/>
  <c r="AT542" i="19"/>
  <c r="AN542" i="19"/>
  <c r="AH542" i="19"/>
  <c r="AB542" i="19"/>
  <c r="R542" i="19"/>
  <c r="L542" i="19"/>
  <c r="CC541" i="19"/>
  <c r="CB541" i="19"/>
  <c r="CA541" i="19"/>
  <c r="BZ541" i="19"/>
  <c r="BL541" i="19"/>
  <c r="BF541" i="19"/>
  <c r="AZ541" i="19"/>
  <c r="AT541" i="19"/>
  <c r="AN541" i="19"/>
  <c r="AH541" i="19"/>
  <c r="AB541" i="19"/>
  <c r="R541" i="19"/>
  <c r="L541" i="19"/>
  <c r="CC496" i="19"/>
  <c r="CB496" i="19"/>
  <c r="CA496" i="19"/>
  <c r="BZ496" i="19"/>
  <c r="BL496" i="19"/>
  <c r="BF496" i="19"/>
  <c r="AZ496" i="19"/>
  <c r="AT496" i="19"/>
  <c r="AN496" i="19"/>
  <c r="AH496" i="19"/>
  <c r="AB496" i="19"/>
  <c r="R496" i="19"/>
  <c r="L496" i="19"/>
  <c r="CC495" i="19"/>
  <c r="CB495" i="19"/>
  <c r="CA495" i="19"/>
  <c r="BZ495" i="19"/>
  <c r="BL495" i="19"/>
  <c r="BF495" i="19"/>
  <c r="AZ495" i="19"/>
  <c r="AT495" i="19"/>
  <c r="AN495" i="19"/>
  <c r="AH495" i="19"/>
  <c r="AB495" i="19"/>
  <c r="R495" i="19"/>
  <c r="L495" i="19"/>
  <c r="CC494" i="19"/>
  <c r="CB494" i="19"/>
  <c r="CA494" i="19"/>
  <c r="BZ494" i="19"/>
  <c r="BL494" i="19"/>
  <c r="BF494" i="19"/>
  <c r="AZ494" i="19"/>
  <c r="AT494" i="19"/>
  <c r="AN494" i="19"/>
  <c r="AH494" i="19"/>
  <c r="AB494" i="19"/>
  <c r="R494" i="19"/>
  <c r="L494" i="19"/>
  <c r="CC493" i="19"/>
  <c r="CB493" i="19"/>
  <c r="CA493" i="19"/>
  <c r="BZ493" i="19"/>
  <c r="BL493" i="19"/>
  <c r="BF493" i="19"/>
  <c r="AZ493" i="19"/>
  <c r="AT493" i="19"/>
  <c r="AN493" i="19"/>
  <c r="AH493" i="19"/>
  <c r="AB493" i="19"/>
  <c r="R493" i="19"/>
  <c r="L493" i="19"/>
  <c r="CC492" i="19"/>
  <c r="CB492" i="19"/>
  <c r="CA492" i="19"/>
  <c r="BZ492" i="19"/>
  <c r="BL492" i="19"/>
  <c r="BF492" i="19"/>
  <c r="AZ492" i="19"/>
  <c r="AT492" i="19"/>
  <c r="AN492" i="19"/>
  <c r="AH492" i="19"/>
  <c r="AB492" i="19"/>
  <c r="R492" i="19"/>
  <c r="L492" i="19"/>
  <c r="CC491" i="19"/>
  <c r="CB491" i="19"/>
  <c r="CA491" i="19"/>
  <c r="BZ491" i="19"/>
  <c r="BL491" i="19"/>
  <c r="BF491" i="19"/>
  <c r="AZ491" i="19"/>
  <c r="AT491" i="19"/>
  <c r="AN491" i="19"/>
  <c r="AH491" i="19"/>
  <c r="AB491" i="19"/>
  <c r="R491" i="19"/>
  <c r="L491" i="19"/>
  <c r="CC490" i="19"/>
  <c r="CB490" i="19"/>
  <c r="CA490" i="19"/>
  <c r="BZ490" i="19"/>
  <c r="BL490" i="19"/>
  <c r="BF490" i="19"/>
  <c r="AZ490" i="19"/>
  <c r="AT490" i="19"/>
  <c r="AN490" i="19"/>
  <c r="AH490" i="19"/>
  <c r="AB490" i="19"/>
  <c r="R490" i="19"/>
  <c r="L490" i="19"/>
  <c r="CC489" i="19"/>
  <c r="CB489" i="19"/>
  <c r="CA489" i="19"/>
  <c r="BZ489" i="19"/>
  <c r="BL489" i="19"/>
  <c r="BF489" i="19"/>
  <c r="AZ489" i="19"/>
  <c r="AT489" i="19"/>
  <c r="AN489" i="19"/>
  <c r="AH489" i="19"/>
  <c r="AB489" i="19"/>
  <c r="R489" i="19"/>
  <c r="L489" i="19"/>
  <c r="CC488" i="19"/>
  <c r="CB488" i="19"/>
  <c r="CA488" i="19"/>
  <c r="BZ488" i="19"/>
  <c r="BL488" i="19"/>
  <c r="BF488" i="19"/>
  <c r="AZ488" i="19"/>
  <c r="AT488" i="19"/>
  <c r="AN488" i="19"/>
  <c r="AH488" i="19"/>
  <c r="AB488" i="19"/>
  <c r="R488" i="19"/>
  <c r="L488" i="19"/>
  <c r="H488" i="19"/>
  <c r="CC487" i="19"/>
  <c r="CB487" i="19"/>
  <c r="CA487" i="19"/>
  <c r="BZ487" i="19"/>
  <c r="BL487" i="19"/>
  <c r="BF487" i="19"/>
  <c r="AZ487" i="19"/>
  <c r="AT487" i="19"/>
  <c r="AN487" i="19"/>
  <c r="AH487" i="19"/>
  <c r="AB487" i="19"/>
  <c r="R487" i="19"/>
  <c r="L487" i="19"/>
  <c r="H487" i="19"/>
  <c r="CC486" i="19"/>
  <c r="CB486" i="19"/>
  <c r="CA486" i="19"/>
  <c r="BZ486" i="19"/>
  <c r="BL486" i="19"/>
  <c r="BF486" i="19"/>
  <c r="AZ486" i="19"/>
  <c r="AT486" i="19"/>
  <c r="AN486" i="19"/>
  <c r="AH486" i="19"/>
  <c r="AB486" i="19"/>
  <c r="R486" i="19"/>
  <c r="L486" i="19"/>
  <c r="CC485" i="19"/>
  <c r="CB485" i="19"/>
  <c r="CA485" i="19"/>
  <c r="BZ485" i="19"/>
  <c r="BL485" i="19"/>
  <c r="BF485" i="19"/>
  <c r="AZ485" i="19"/>
  <c r="AT485" i="19"/>
  <c r="AN485" i="19"/>
  <c r="AH485" i="19"/>
  <c r="AB485" i="19"/>
  <c r="R485" i="19"/>
  <c r="L485" i="19"/>
  <c r="CC484" i="19"/>
  <c r="CB484" i="19"/>
  <c r="CA484" i="19"/>
  <c r="BZ484" i="19"/>
  <c r="BL484" i="19"/>
  <c r="BF484" i="19"/>
  <c r="AZ484" i="19"/>
  <c r="AT484" i="19"/>
  <c r="AN484" i="19"/>
  <c r="AH484" i="19"/>
  <c r="AB484" i="19"/>
  <c r="R484" i="19"/>
  <c r="L484" i="19"/>
  <c r="CD493" i="19" l="1"/>
  <c r="CE493" i="19" s="1"/>
  <c r="CD541" i="19"/>
  <c r="CD496" i="19"/>
  <c r="CE496" i="19" s="1"/>
  <c r="CD544" i="19"/>
  <c r="CE544" i="19" s="1"/>
  <c r="CD549" i="19"/>
  <c r="CE549" i="19" s="1"/>
  <c r="CD492" i="19"/>
  <c r="CE492" i="19" s="1"/>
  <c r="CD494" i="19"/>
  <c r="CE494" i="19" s="1"/>
  <c r="CE486" i="19"/>
  <c r="CD542" i="19"/>
  <c r="CE542" i="19" s="1"/>
  <c r="CD489" i="19"/>
  <c r="CD547" i="19"/>
  <c r="CE547" i="19" s="1"/>
  <c r="BM487" i="19"/>
  <c r="CD488" i="19"/>
  <c r="CE488" i="19" s="1"/>
  <c r="CD491" i="19"/>
  <c r="CE491" i="19" s="1"/>
  <c r="CD487" i="19"/>
  <c r="CE487" i="19" s="1"/>
  <c r="CD495" i="19"/>
  <c r="CE495" i="19" s="1"/>
  <c r="CD545" i="19"/>
  <c r="CE545" i="19" s="1"/>
  <c r="CD485" i="19"/>
  <c r="CE485" i="19" s="1"/>
  <c r="CD548" i="19"/>
  <c r="CE548" i="19" s="1"/>
  <c r="CD484" i="19"/>
  <c r="CD490" i="19"/>
  <c r="CE490" i="19" s="1"/>
  <c r="CD543" i="19"/>
  <c r="CE543" i="19" s="1"/>
  <c r="BM488" i="19"/>
  <c r="CD546" i="19"/>
  <c r="CE546" i="19" s="1"/>
  <c r="CC433" i="19"/>
  <c r="CB433" i="19"/>
  <c r="CA433" i="19"/>
  <c r="BZ433" i="19"/>
  <c r="BL433" i="19"/>
  <c r="BF433" i="19"/>
  <c r="AZ433" i="19"/>
  <c r="AT433" i="19"/>
  <c r="AN433" i="19"/>
  <c r="AH433" i="19"/>
  <c r="AB433" i="19"/>
  <c r="R433" i="19"/>
  <c r="L433" i="19"/>
  <c r="CC432" i="19"/>
  <c r="CB432" i="19"/>
  <c r="CA432" i="19"/>
  <c r="BZ432" i="19"/>
  <c r="BL432" i="19"/>
  <c r="BF432" i="19"/>
  <c r="AZ432" i="19"/>
  <c r="AT432" i="19"/>
  <c r="AN432" i="19"/>
  <c r="AH432" i="19"/>
  <c r="AB432" i="19"/>
  <c r="R432" i="19"/>
  <c r="L432" i="19"/>
  <c r="CC483" i="19"/>
  <c r="CB483" i="19"/>
  <c r="CA483" i="19"/>
  <c r="BZ483" i="19"/>
  <c r="BL483" i="19"/>
  <c r="BF483" i="19"/>
  <c r="AZ483" i="19"/>
  <c r="AT483" i="19"/>
  <c r="AN483" i="19"/>
  <c r="AH483" i="19"/>
  <c r="AB483" i="19"/>
  <c r="R483" i="19"/>
  <c r="L483" i="19"/>
  <c r="CC482" i="19"/>
  <c r="CB482" i="19"/>
  <c r="CA482" i="19"/>
  <c r="BZ482" i="19"/>
  <c r="BL482" i="19"/>
  <c r="BF482" i="19"/>
  <c r="AZ482" i="19"/>
  <c r="AT482" i="19"/>
  <c r="AN482" i="19"/>
  <c r="AH482" i="19"/>
  <c r="AB482" i="19"/>
  <c r="R482" i="19"/>
  <c r="L482" i="19"/>
  <c r="CC481" i="19"/>
  <c r="CB481" i="19"/>
  <c r="CA481" i="19"/>
  <c r="BZ481" i="19"/>
  <c r="BL481" i="19"/>
  <c r="BF481" i="19"/>
  <c r="AZ481" i="19"/>
  <c r="AT481" i="19"/>
  <c r="AN481" i="19"/>
  <c r="AH481" i="19"/>
  <c r="AB481" i="19"/>
  <c r="R481" i="19"/>
  <c r="L481" i="19"/>
  <c r="CC540" i="19"/>
  <c r="CB540" i="19"/>
  <c r="CA540" i="19"/>
  <c r="BZ540" i="19"/>
  <c r="BL540" i="19"/>
  <c r="BF540" i="19"/>
  <c r="AZ540" i="19"/>
  <c r="AT540" i="19"/>
  <c r="AN540" i="19"/>
  <c r="AH540" i="19"/>
  <c r="AB540" i="19"/>
  <c r="R540" i="19"/>
  <c r="L540" i="19"/>
  <c r="H540" i="19"/>
  <c r="CC539" i="19"/>
  <c r="CB539" i="19"/>
  <c r="CA539" i="19"/>
  <c r="BZ539" i="19"/>
  <c r="BL539" i="19"/>
  <c r="BF539" i="19"/>
  <c r="AZ539" i="19"/>
  <c r="AT539" i="19"/>
  <c r="AN539" i="19"/>
  <c r="AH539" i="19"/>
  <c r="AB539" i="19"/>
  <c r="R539" i="19"/>
  <c r="L539" i="19"/>
  <c r="CC538" i="19"/>
  <c r="CB538" i="19"/>
  <c r="CA538" i="19"/>
  <c r="BZ538" i="19"/>
  <c r="BL538" i="19"/>
  <c r="BF538" i="19"/>
  <c r="AZ538" i="19"/>
  <c r="AT538" i="19"/>
  <c r="AN538" i="19"/>
  <c r="AH538" i="19"/>
  <c r="AB538" i="19"/>
  <c r="R538" i="19"/>
  <c r="L538" i="19"/>
  <c r="CC537" i="19"/>
  <c r="CB537" i="19"/>
  <c r="CA537" i="19"/>
  <c r="BZ537" i="19"/>
  <c r="BL537" i="19"/>
  <c r="BF537" i="19"/>
  <c r="AZ537" i="19"/>
  <c r="AT537" i="19"/>
  <c r="AN537" i="19"/>
  <c r="AH537" i="19"/>
  <c r="AB537" i="19"/>
  <c r="R537" i="19"/>
  <c r="L537" i="19"/>
  <c r="CC536" i="19"/>
  <c r="CB536" i="19"/>
  <c r="CA536" i="19"/>
  <c r="BZ536" i="19"/>
  <c r="BL536" i="19"/>
  <c r="BF536" i="19"/>
  <c r="AZ536" i="19"/>
  <c r="AT536" i="19"/>
  <c r="AN536" i="19"/>
  <c r="AH536" i="19"/>
  <c r="AB536" i="19"/>
  <c r="R536" i="19"/>
  <c r="L536" i="19"/>
  <c r="CC535" i="19"/>
  <c r="CB535" i="19"/>
  <c r="CA535" i="19"/>
  <c r="BZ535" i="19"/>
  <c r="BL535" i="19"/>
  <c r="BF535" i="19"/>
  <c r="AZ535" i="19"/>
  <c r="AT535" i="19"/>
  <c r="AN535" i="19"/>
  <c r="AH535" i="19"/>
  <c r="AB535" i="19"/>
  <c r="R535" i="19"/>
  <c r="L535" i="19"/>
  <c r="CC534" i="19"/>
  <c r="CB534" i="19"/>
  <c r="CA534" i="19"/>
  <c r="BZ534" i="19"/>
  <c r="BL534" i="19"/>
  <c r="BF534" i="19"/>
  <c r="AZ534" i="19"/>
  <c r="AT534" i="19"/>
  <c r="AN534" i="19"/>
  <c r="AH534" i="19"/>
  <c r="AB534" i="19"/>
  <c r="R534" i="19"/>
  <c r="L534" i="19"/>
  <c r="CC600" i="19"/>
  <c r="CB600" i="19"/>
  <c r="CA600" i="19"/>
  <c r="BZ600" i="19"/>
  <c r="BL600" i="19"/>
  <c r="BF600" i="19"/>
  <c r="AZ600" i="19"/>
  <c r="AT600" i="19"/>
  <c r="AN600" i="19"/>
  <c r="AH600" i="19"/>
  <c r="AB600" i="19"/>
  <c r="R600" i="19"/>
  <c r="L600" i="19"/>
  <c r="CE489" i="19" l="1"/>
  <c r="CE541" i="19"/>
  <c r="CE484" i="19"/>
  <c r="CD483" i="19"/>
  <c r="CE483" i="19" s="1"/>
  <c r="BM433" i="19"/>
  <c r="CD534" i="19"/>
  <c r="CD536" i="19"/>
  <c r="CE536" i="19" s="1"/>
  <c r="CD537" i="19"/>
  <c r="CE537" i="19" s="1"/>
  <c r="CD540" i="19"/>
  <c r="CE540" i="19" s="1"/>
  <c r="CD535" i="19"/>
  <c r="CE535" i="19" s="1"/>
  <c r="CD538" i="19"/>
  <c r="CE538" i="19" s="1"/>
  <c r="BM540" i="19"/>
  <c r="CD539" i="19"/>
  <c r="CE539" i="19" s="1"/>
  <c r="CD482" i="19"/>
  <c r="CD433" i="19"/>
  <c r="CE433" i="19" s="1"/>
  <c r="CD481" i="19"/>
  <c r="CD432" i="19"/>
  <c r="CE432" i="19" l="1"/>
  <c r="CE481" i="19"/>
  <c r="CE482" i="19"/>
  <c r="CE600" i="19"/>
  <c r="CE534" i="19"/>
  <c r="W49" i="19" l="1"/>
  <c r="W46" i="19"/>
  <c r="W83" i="19"/>
  <c r="W82" i="19"/>
  <c r="W45" i="19"/>
  <c r="W58" i="19"/>
  <c r="W56" i="19"/>
  <c r="W44" i="19"/>
  <c r="W43" i="19"/>
  <c r="W48" i="19"/>
  <c r="BI1055" i="19" l="1"/>
  <c r="CC984" i="19" l="1"/>
  <c r="CB984" i="19"/>
  <c r="CA984" i="19"/>
  <c r="BZ984" i="19"/>
  <c r="BL984" i="19"/>
  <c r="BF984" i="19"/>
  <c r="AZ984" i="19"/>
  <c r="AT984" i="19"/>
  <c r="AN984" i="19"/>
  <c r="AH984" i="19"/>
  <c r="AB984" i="19"/>
  <c r="R984" i="19"/>
  <c r="L984" i="19"/>
  <c r="CC983" i="19"/>
  <c r="CB983" i="19"/>
  <c r="CA983" i="19"/>
  <c r="BZ983" i="19"/>
  <c r="BL983" i="19"/>
  <c r="BF983" i="19"/>
  <c r="AZ983" i="19"/>
  <c r="AT983" i="19"/>
  <c r="AN983" i="19"/>
  <c r="AH983" i="19"/>
  <c r="AB983" i="19"/>
  <c r="R983" i="19"/>
  <c r="L983" i="19"/>
  <c r="CC982" i="19"/>
  <c r="CB982" i="19"/>
  <c r="CA982" i="19"/>
  <c r="BZ982" i="19"/>
  <c r="BL982" i="19"/>
  <c r="BF982" i="19"/>
  <c r="AZ982" i="19"/>
  <c r="AT982" i="19"/>
  <c r="AN982" i="19"/>
  <c r="AH982" i="19"/>
  <c r="AB982" i="19"/>
  <c r="R982" i="19"/>
  <c r="L982" i="19"/>
  <c r="CC981" i="19"/>
  <c r="CB981" i="19"/>
  <c r="CA981" i="19"/>
  <c r="BZ981" i="19"/>
  <c r="BL981" i="19"/>
  <c r="BF981" i="19"/>
  <c r="AZ981" i="19"/>
  <c r="AT981" i="19"/>
  <c r="AN981" i="19"/>
  <c r="AH981" i="19"/>
  <c r="AB981" i="19"/>
  <c r="R981" i="19"/>
  <c r="L981" i="19"/>
  <c r="CC980" i="19"/>
  <c r="CB980" i="19"/>
  <c r="CA980" i="19"/>
  <c r="BZ980" i="19"/>
  <c r="BL980" i="19"/>
  <c r="BF980" i="19"/>
  <c r="AZ980" i="19"/>
  <c r="AT980" i="19"/>
  <c r="AN980" i="19"/>
  <c r="AH980" i="19"/>
  <c r="AB980" i="19"/>
  <c r="R980" i="19"/>
  <c r="L980" i="19"/>
  <c r="CC979" i="19"/>
  <c r="CB979" i="19"/>
  <c r="CA979" i="19"/>
  <c r="BZ979" i="19"/>
  <c r="BL979" i="19"/>
  <c r="BF979" i="19"/>
  <c r="AZ979" i="19"/>
  <c r="AT979" i="19"/>
  <c r="AN979" i="19"/>
  <c r="AH979" i="19"/>
  <c r="AB979" i="19"/>
  <c r="R979" i="19"/>
  <c r="L979" i="19"/>
  <c r="CC962" i="19"/>
  <c r="CB962" i="19"/>
  <c r="CA962" i="19"/>
  <c r="BZ962" i="19"/>
  <c r="BL962" i="19"/>
  <c r="BF962" i="19"/>
  <c r="AZ962" i="19"/>
  <c r="AT962" i="19"/>
  <c r="AN962" i="19"/>
  <c r="AH962" i="19"/>
  <c r="AB962" i="19"/>
  <c r="R962" i="19"/>
  <c r="L962" i="19"/>
  <c r="CC961" i="19"/>
  <c r="CB961" i="19"/>
  <c r="CA961" i="19"/>
  <c r="BZ961" i="19"/>
  <c r="BL961" i="19"/>
  <c r="BF961" i="19"/>
  <c r="AZ961" i="19"/>
  <c r="AT961" i="19"/>
  <c r="AN961" i="19"/>
  <c r="AH961" i="19"/>
  <c r="AB961" i="19"/>
  <c r="R961" i="19"/>
  <c r="L961" i="19"/>
  <c r="CC960" i="19"/>
  <c r="CB960" i="19"/>
  <c r="CA960" i="19"/>
  <c r="BZ960" i="19"/>
  <c r="BL960" i="19"/>
  <c r="BF960" i="19"/>
  <c r="AZ960" i="19"/>
  <c r="AT960" i="19"/>
  <c r="AN960" i="19"/>
  <c r="AH960" i="19"/>
  <c r="AB960" i="19"/>
  <c r="R960" i="19"/>
  <c r="L960" i="19"/>
  <c r="CC959" i="19"/>
  <c r="CB959" i="19"/>
  <c r="CA959" i="19"/>
  <c r="BZ959" i="19"/>
  <c r="BL959" i="19"/>
  <c r="BF959" i="19"/>
  <c r="AZ959" i="19"/>
  <c r="AT959" i="19"/>
  <c r="AN959" i="19"/>
  <c r="AH959" i="19"/>
  <c r="AB959" i="19"/>
  <c r="R959" i="19"/>
  <c r="L959" i="19"/>
  <c r="CC958" i="19"/>
  <c r="CB958" i="19"/>
  <c r="CA958" i="19"/>
  <c r="BZ958" i="19"/>
  <c r="BL958" i="19"/>
  <c r="BF958" i="19"/>
  <c r="AZ958" i="19"/>
  <c r="AT958" i="19"/>
  <c r="AN958" i="19"/>
  <c r="AH958" i="19"/>
  <c r="AB958" i="19"/>
  <c r="R958" i="19"/>
  <c r="L958" i="19"/>
  <c r="CC957" i="19"/>
  <c r="CB957" i="19"/>
  <c r="CA957" i="19"/>
  <c r="BZ957" i="19"/>
  <c r="BL957" i="19"/>
  <c r="BF957" i="19"/>
  <c r="AZ957" i="19"/>
  <c r="AT957" i="19"/>
  <c r="AN957" i="19"/>
  <c r="AH957" i="19"/>
  <c r="AB957" i="19"/>
  <c r="R957" i="19"/>
  <c r="L957" i="19"/>
  <c r="CC956" i="19"/>
  <c r="CB956" i="19"/>
  <c r="CA956" i="19"/>
  <c r="BZ956" i="19"/>
  <c r="BL956" i="19"/>
  <c r="BF956" i="19"/>
  <c r="AZ956" i="19"/>
  <c r="AT956" i="19"/>
  <c r="AN956" i="19"/>
  <c r="AH956" i="19"/>
  <c r="AB956" i="19"/>
  <c r="R956" i="19"/>
  <c r="L956" i="19"/>
  <c r="CC955" i="19"/>
  <c r="CB955" i="19"/>
  <c r="CA955" i="19"/>
  <c r="BZ955" i="19"/>
  <c r="BL955" i="19"/>
  <c r="BF955" i="19"/>
  <c r="AZ955" i="19"/>
  <c r="AT955" i="19"/>
  <c r="AN955" i="19"/>
  <c r="AH955" i="19"/>
  <c r="AB955" i="19"/>
  <c r="R955" i="19"/>
  <c r="L955" i="19"/>
  <c r="CC954" i="19"/>
  <c r="CB954" i="19"/>
  <c r="CA954" i="19"/>
  <c r="BZ954" i="19"/>
  <c r="BL954" i="19"/>
  <c r="BF954" i="19"/>
  <c r="AZ954" i="19"/>
  <c r="AT954" i="19"/>
  <c r="AN954" i="19"/>
  <c r="AH954" i="19"/>
  <c r="AB954" i="19"/>
  <c r="R954" i="19"/>
  <c r="L954" i="19"/>
  <c r="CC953" i="19"/>
  <c r="CB953" i="19"/>
  <c r="CA953" i="19"/>
  <c r="BZ953" i="19"/>
  <c r="BL953" i="19"/>
  <c r="BF953" i="19"/>
  <c r="AZ953" i="19"/>
  <c r="AT953" i="19"/>
  <c r="AN953" i="19"/>
  <c r="AH953" i="19"/>
  <c r="AB953" i="19"/>
  <c r="R953" i="19"/>
  <c r="L953" i="19"/>
  <c r="CC952" i="19"/>
  <c r="CB952" i="19"/>
  <c r="CA952" i="19"/>
  <c r="BZ952" i="19"/>
  <c r="BL952" i="19"/>
  <c r="BF952" i="19"/>
  <c r="AZ952" i="19"/>
  <c r="AT952" i="19"/>
  <c r="AN952" i="19"/>
  <c r="AH952" i="19"/>
  <c r="AB952" i="19"/>
  <c r="R952" i="19"/>
  <c r="L952" i="19"/>
  <c r="CC951" i="19"/>
  <c r="CB951" i="19"/>
  <c r="CA951" i="19"/>
  <c r="BZ951" i="19"/>
  <c r="BL951" i="19"/>
  <c r="BF951" i="19"/>
  <c r="AZ951" i="19"/>
  <c r="AT951" i="19"/>
  <c r="AN951" i="19"/>
  <c r="AH951" i="19"/>
  <c r="AB951" i="19"/>
  <c r="R951" i="19"/>
  <c r="L951" i="19"/>
  <c r="CC950" i="19"/>
  <c r="CB950" i="19"/>
  <c r="CA950" i="19"/>
  <c r="BZ950" i="19"/>
  <c r="BL950" i="19"/>
  <c r="BF950" i="19"/>
  <c r="AZ950" i="19"/>
  <c r="AT950" i="19"/>
  <c r="AN950" i="19"/>
  <c r="AH950" i="19"/>
  <c r="AB950" i="19"/>
  <c r="R950" i="19"/>
  <c r="L950" i="19"/>
  <c r="CC949" i="19"/>
  <c r="CB949" i="19"/>
  <c r="CA949" i="19"/>
  <c r="BZ949" i="19"/>
  <c r="BL949" i="19"/>
  <c r="BF949" i="19"/>
  <c r="AZ949" i="19"/>
  <c r="AT949" i="19"/>
  <c r="AN949" i="19"/>
  <c r="AH949" i="19"/>
  <c r="AB949" i="19"/>
  <c r="R949" i="19"/>
  <c r="L949" i="19"/>
  <c r="CC948" i="19"/>
  <c r="CB948" i="19"/>
  <c r="CA948" i="19"/>
  <c r="BZ948" i="19"/>
  <c r="BL948" i="19"/>
  <c r="BF948" i="19"/>
  <c r="AZ948" i="19"/>
  <c r="AT948" i="19"/>
  <c r="AN948" i="19"/>
  <c r="AH948" i="19"/>
  <c r="AB948" i="19"/>
  <c r="R948" i="19"/>
  <c r="L948" i="19"/>
  <c r="CC947" i="19"/>
  <c r="CB947" i="19"/>
  <c r="CA947" i="19"/>
  <c r="BZ947" i="19"/>
  <c r="BL947" i="19"/>
  <c r="BF947" i="19"/>
  <c r="AZ947" i="19"/>
  <c r="AT947" i="19"/>
  <c r="AN947" i="19"/>
  <c r="AH947" i="19"/>
  <c r="AB947" i="19"/>
  <c r="R947" i="19"/>
  <c r="L947" i="19"/>
  <c r="CC946" i="19"/>
  <c r="CB946" i="19"/>
  <c r="CA946" i="19"/>
  <c r="BZ946" i="19"/>
  <c r="BL946" i="19"/>
  <c r="BF946" i="19"/>
  <c r="AZ946" i="19"/>
  <c r="AT946" i="19"/>
  <c r="AN946" i="19"/>
  <c r="AH946" i="19"/>
  <c r="AB946" i="19"/>
  <c r="R946" i="19"/>
  <c r="L946" i="19"/>
  <c r="CC945" i="19"/>
  <c r="CB945" i="19"/>
  <c r="CA945" i="19"/>
  <c r="BZ945" i="19"/>
  <c r="BL945" i="19"/>
  <c r="BF945" i="19"/>
  <c r="AZ945" i="19"/>
  <c r="AT945" i="19"/>
  <c r="AN945" i="19"/>
  <c r="AH945" i="19"/>
  <c r="AB945" i="19"/>
  <c r="R945" i="19"/>
  <c r="L945" i="19"/>
  <c r="CC944" i="19"/>
  <c r="CB944" i="19"/>
  <c r="CA944" i="19"/>
  <c r="BZ944" i="19"/>
  <c r="BL944" i="19"/>
  <c r="BF944" i="19"/>
  <c r="AZ944" i="19"/>
  <c r="AT944" i="19"/>
  <c r="AN944" i="19"/>
  <c r="AH944" i="19"/>
  <c r="AB944" i="19"/>
  <c r="R944" i="19"/>
  <c r="L944" i="19"/>
  <c r="CC943" i="19"/>
  <c r="CB943" i="19"/>
  <c r="CA943" i="19"/>
  <c r="BZ943" i="19"/>
  <c r="BL943" i="19"/>
  <c r="BF943" i="19"/>
  <c r="AZ943" i="19"/>
  <c r="AT943" i="19"/>
  <c r="AN943" i="19"/>
  <c r="AH943" i="19"/>
  <c r="AB943" i="19"/>
  <c r="R943" i="19"/>
  <c r="L943" i="19"/>
  <c r="CC942" i="19"/>
  <c r="CB942" i="19"/>
  <c r="CA942" i="19"/>
  <c r="BZ942" i="19"/>
  <c r="BL942" i="19"/>
  <c r="BF942" i="19"/>
  <c r="AZ942" i="19"/>
  <c r="AT942" i="19"/>
  <c r="AN942" i="19"/>
  <c r="AH942" i="19"/>
  <c r="AB942" i="19"/>
  <c r="R942" i="19"/>
  <c r="L942" i="19"/>
  <c r="CC941" i="19"/>
  <c r="CB941" i="19"/>
  <c r="CA941" i="19"/>
  <c r="BZ941" i="19"/>
  <c r="BL941" i="19"/>
  <c r="BF941" i="19"/>
  <c r="AZ941" i="19"/>
  <c r="AT941" i="19"/>
  <c r="AN941" i="19"/>
  <c r="AH941" i="19"/>
  <c r="AB941" i="19"/>
  <c r="R941" i="19"/>
  <c r="L941" i="19"/>
  <c r="CC940" i="19"/>
  <c r="CB940" i="19"/>
  <c r="CA940" i="19"/>
  <c r="BZ940" i="19"/>
  <c r="BL940" i="19"/>
  <c r="BF940" i="19"/>
  <c r="AZ940" i="19"/>
  <c r="AT940" i="19"/>
  <c r="AN940" i="19"/>
  <c r="AH940" i="19"/>
  <c r="AB940" i="19"/>
  <c r="R940" i="19"/>
  <c r="L940" i="19"/>
  <c r="CC939" i="19"/>
  <c r="CB939" i="19"/>
  <c r="CA939" i="19"/>
  <c r="BZ939" i="19"/>
  <c r="BL939" i="19"/>
  <c r="BF939" i="19"/>
  <c r="AZ939" i="19"/>
  <c r="AT939" i="19"/>
  <c r="AN939" i="19"/>
  <c r="AH939" i="19"/>
  <c r="R939" i="19"/>
  <c r="L939" i="19"/>
  <c r="CC938" i="19"/>
  <c r="CB938" i="19"/>
  <c r="CA938" i="19"/>
  <c r="BZ938" i="19"/>
  <c r="BF938" i="19"/>
  <c r="AZ938" i="19"/>
  <c r="AT938" i="19"/>
  <c r="R938" i="19"/>
  <c r="L938" i="19"/>
  <c r="CC937" i="19"/>
  <c r="CB937" i="19"/>
  <c r="CA937" i="19"/>
  <c r="BZ937" i="19"/>
  <c r="L937" i="19"/>
  <c r="CC936" i="19"/>
  <c r="CB936" i="19"/>
  <c r="CA936" i="19"/>
  <c r="BZ936" i="19"/>
  <c r="L936" i="19"/>
  <c r="CC935" i="19"/>
  <c r="CB935" i="19"/>
  <c r="CA935" i="19"/>
  <c r="BZ935" i="19"/>
  <c r="L935" i="19"/>
  <c r="CC934" i="19"/>
  <c r="CB934" i="19"/>
  <c r="CA934" i="19"/>
  <c r="BZ934" i="19"/>
  <c r="BL934" i="19"/>
  <c r="BF934" i="19"/>
  <c r="AZ934" i="19"/>
  <c r="AT934" i="19"/>
  <c r="AN934" i="19"/>
  <c r="AH934" i="19"/>
  <c r="R934" i="19"/>
  <c r="L934" i="19"/>
  <c r="CC933" i="19"/>
  <c r="CB933" i="19"/>
  <c r="CA933" i="19"/>
  <c r="BZ933" i="19"/>
  <c r="BL933" i="19"/>
  <c r="BF933" i="19"/>
  <c r="AZ933" i="19"/>
  <c r="AT933" i="19"/>
  <c r="AN933" i="19"/>
  <c r="AH933" i="19"/>
  <c r="R933" i="19"/>
  <c r="L933" i="19"/>
  <c r="CC932" i="19"/>
  <c r="CB932" i="19"/>
  <c r="CA932" i="19"/>
  <c r="BZ932" i="19"/>
  <c r="BL932" i="19"/>
  <c r="BF932" i="19"/>
  <c r="AZ932" i="19"/>
  <c r="AT932" i="19"/>
  <c r="AN932" i="19"/>
  <c r="AH932" i="19"/>
  <c r="AB932" i="19"/>
  <c r="R932" i="19"/>
  <c r="L932" i="19"/>
  <c r="CC931" i="19"/>
  <c r="CB931" i="19"/>
  <c r="CA931" i="19"/>
  <c r="BZ931" i="19"/>
  <c r="BL931" i="19"/>
  <c r="BF931" i="19"/>
  <c r="AZ931" i="19"/>
  <c r="AT931" i="19"/>
  <c r="AN931" i="19"/>
  <c r="AH931" i="19"/>
  <c r="AB931" i="19"/>
  <c r="R931" i="19"/>
  <c r="L931" i="19"/>
  <c r="CC930" i="19"/>
  <c r="CB930" i="19"/>
  <c r="CA930" i="19"/>
  <c r="BZ930" i="19"/>
  <c r="BL930" i="19"/>
  <c r="BF930" i="19"/>
  <c r="AZ930" i="19"/>
  <c r="AT930" i="19"/>
  <c r="AN930" i="19"/>
  <c r="AH930" i="19"/>
  <c r="AB930" i="19"/>
  <c r="R930" i="19"/>
  <c r="L930" i="19"/>
  <c r="CC929" i="19"/>
  <c r="CB929" i="19"/>
  <c r="CA929" i="19"/>
  <c r="BZ929" i="19"/>
  <c r="BL929" i="19"/>
  <c r="BF929" i="19"/>
  <c r="AZ929" i="19"/>
  <c r="AT929" i="19"/>
  <c r="AN929" i="19"/>
  <c r="AH929" i="19"/>
  <c r="AB929" i="19"/>
  <c r="R929" i="19"/>
  <c r="L929" i="19"/>
  <c r="CC928" i="19"/>
  <c r="CB928" i="19"/>
  <c r="CA928" i="19"/>
  <c r="BZ928" i="19"/>
  <c r="BL928" i="19"/>
  <c r="BF928" i="19"/>
  <c r="AZ928" i="19"/>
  <c r="AT928" i="19"/>
  <c r="AN928" i="19"/>
  <c r="AH928" i="19"/>
  <c r="AB928" i="19"/>
  <c r="R928" i="19"/>
  <c r="L928" i="19"/>
  <c r="CC927" i="19"/>
  <c r="CB927" i="19"/>
  <c r="CA927" i="19"/>
  <c r="BZ927" i="19"/>
  <c r="BL927" i="19"/>
  <c r="BF927" i="19"/>
  <c r="AZ927" i="19"/>
  <c r="AT927" i="19"/>
  <c r="AN927" i="19"/>
  <c r="AH927" i="19"/>
  <c r="AB927" i="19"/>
  <c r="R927" i="19"/>
  <c r="L927" i="19"/>
  <c r="CC926" i="19"/>
  <c r="CB926" i="19"/>
  <c r="CA926" i="19"/>
  <c r="BZ926" i="19"/>
  <c r="BL926" i="19"/>
  <c r="BF926" i="19"/>
  <c r="AZ926" i="19"/>
  <c r="AT926" i="19"/>
  <c r="AN926" i="19"/>
  <c r="AH926" i="19"/>
  <c r="AB926" i="19"/>
  <c r="R926" i="19"/>
  <c r="L926" i="19"/>
  <c r="CC925" i="19"/>
  <c r="CB925" i="19"/>
  <c r="CA925" i="19"/>
  <c r="BZ925" i="19"/>
  <c r="BL925" i="19"/>
  <c r="BF925" i="19"/>
  <c r="AZ925" i="19"/>
  <c r="AT925" i="19"/>
  <c r="AN925" i="19"/>
  <c r="AH925" i="19"/>
  <c r="AB925" i="19"/>
  <c r="R925" i="19"/>
  <c r="L925" i="19"/>
  <c r="CC924" i="19"/>
  <c r="CB924" i="19"/>
  <c r="CA924" i="19"/>
  <c r="BZ924" i="19"/>
  <c r="BL924" i="19"/>
  <c r="BF924" i="19"/>
  <c r="AZ924" i="19"/>
  <c r="AT924" i="19"/>
  <c r="AN924" i="19"/>
  <c r="AH924" i="19"/>
  <c r="AB924" i="19"/>
  <c r="R924" i="19"/>
  <c r="L924" i="19"/>
  <c r="CC923" i="19"/>
  <c r="CB923" i="19"/>
  <c r="CA923" i="19"/>
  <c r="BZ923" i="19"/>
  <c r="BL923" i="19"/>
  <c r="BF923" i="19"/>
  <c r="AZ923" i="19"/>
  <c r="AT923" i="19"/>
  <c r="AN923" i="19"/>
  <c r="AH923" i="19"/>
  <c r="AB923" i="19"/>
  <c r="R923" i="19"/>
  <c r="L923" i="19"/>
  <c r="CC922" i="19"/>
  <c r="CB922" i="19"/>
  <c r="CA922" i="19"/>
  <c r="BZ922" i="19"/>
  <c r="BL922" i="19"/>
  <c r="BF922" i="19"/>
  <c r="AZ922" i="19"/>
  <c r="AT922" i="19"/>
  <c r="AN922" i="19"/>
  <c r="AH922" i="19"/>
  <c r="AB922" i="19"/>
  <c r="R922" i="19"/>
  <c r="L922" i="19"/>
  <c r="CC921" i="19"/>
  <c r="CB921" i="19"/>
  <c r="CA921" i="19"/>
  <c r="BZ921" i="19"/>
  <c r="BL921" i="19"/>
  <c r="BF921" i="19"/>
  <c r="AZ921" i="19"/>
  <c r="AT921" i="19"/>
  <c r="AN921" i="19"/>
  <c r="AH921" i="19"/>
  <c r="AB921" i="19"/>
  <c r="R921" i="19"/>
  <c r="L921" i="19"/>
  <c r="CC920" i="19"/>
  <c r="CB920" i="19"/>
  <c r="CA920" i="19"/>
  <c r="BZ920" i="19"/>
  <c r="BL920" i="19"/>
  <c r="BF920" i="19"/>
  <c r="AZ920" i="19"/>
  <c r="AT920" i="19"/>
  <c r="AN920" i="19"/>
  <c r="AH920" i="19"/>
  <c r="AB920" i="19"/>
  <c r="R920" i="19"/>
  <c r="L920" i="19"/>
  <c r="CC919" i="19"/>
  <c r="CB919" i="19"/>
  <c r="CA919" i="19"/>
  <c r="BZ919" i="19"/>
  <c r="BL919" i="19"/>
  <c r="BF919" i="19"/>
  <c r="AZ919" i="19"/>
  <c r="AT919" i="19"/>
  <c r="AN919" i="19"/>
  <c r="AH919" i="19"/>
  <c r="AB919" i="19"/>
  <c r="R919" i="19"/>
  <c r="L919" i="19"/>
  <c r="CC918" i="19"/>
  <c r="CB918" i="19"/>
  <c r="CA918" i="19"/>
  <c r="BZ918" i="19"/>
  <c r="BL918" i="19"/>
  <c r="BF918" i="19"/>
  <c r="AZ918" i="19"/>
  <c r="AT918" i="19"/>
  <c r="AN918" i="19"/>
  <c r="AH918" i="19"/>
  <c r="AB918" i="19"/>
  <c r="R918" i="19"/>
  <c r="L918" i="19"/>
  <c r="CC917" i="19"/>
  <c r="CB917" i="19"/>
  <c r="CA917" i="19"/>
  <c r="BZ917" i="19"/>
  <c r="BL917" i="19"/>
  <c r="BF917" i="19"/>
  <c r="AZ917" i="19"/>
  <c r="AT917" i="19"/>
  <c r="AN917" i="19"/>
  <c r="AH917" i="19"/>
  <c r="AB917" i="19"/>
  <c r="R917" i="19"/>
  <c r="L917" i="19"/>
  <c r="CC916" i="19"/>
  <c r="CB916" i="19"/>
  <c r="CA916" i="19"/>
  <c r="BZ916" i="19"/>
  <c r="BL916" i="19"/>
  <c r="BF916" i="19"/>
  <c r="AZ916" i="19"/>
  <c r="AT916" i="19"/>
  <c r="AN916" i="19"/>
  <c r="AH916" i="19"/>
  <c r="AB916" i="19"/>
  <c r="R916" i="19"/>
  <c r="L916" i="19"/>
  <c r="CC915" i="19"/>
  <c r="CB915" i="19"/>
  <c r="CA915" i="19"/>
  <c r="BZ915" i="19"/>
  <c r="BL915" i="19"/>
  <c r="BF915" i="19"/>
  <c r="AZ915" i="19"/>
  <c r="AT915" i="19"/>
  <c r="AN915" i="19"/>
  <c r="AH915" i="19"/>
  <c r="AB915" i="19"/>
  <c r="R915" i="19"/>
  <c r="L915" i="19"/>
  <c r="CC914" i="19"/>
  <c r="CB914" i="19"/>
  <c r="CA914" i="19"/>
  <c r="BZ914" i="19"/>
  <c r="BL914" i="19"/>
  <c r="BF914" i="19"/>
  <c r="AZ914" i="19"/>
  <c r="AT914" i="19"/>
  <c r="AN914" i="19"/>
  <c r="AH914" i="19"/>
  <c r="AB914" i="19"/>
  <c r="R914" i="19"/>
  <c r="L914" i="19"/>
  <c r="CC913" i="19"/>
  <c r="CB913" i="19"/>
  <c r="CA913" i="19"/>
  <c r="BZ913" i="19"/>
  <c r="BL913" i="19"/>
  <c r="BF913" i="19"/>
  <c r="AZ913" i="19"/>
  <c r="AT913" i="19"/>
  <c r="AN913" i="19"/>
  <c r="AH913" i="19"/>
  <c r="AB913" i="19"/>
  <c r="R913" i="19"/>
  <c r="L913" i="19"/>
  <c r="CC912" i="19"/>
  <c r="CB912" i="19"/>
  <c r="CA912" i="19"/>
  <c r="BZ912" i="19"/>
  <c r="BL912" i="19"/>
  <c r="BF912" i="19"/>
  <c r="AZ912" i="19"/>
  <c r="AT912" i="19"/>
  <c r="AN912" i="19"/>
  <c r="AH912" i="19"/>
  <c r="AB912" i="19"/>
  <c r="R912" i="19"/>
  <c r="L912" i="19"/>
  <c r="CD960" i="19" l="1"/>
  <c r="CE960" i="19" s="1"/>
  <c r="CE984" i="19"/>
  <c r="CD940" i="19"/>
  <c r="CE940" i="19" s="1"/>
  <c r="CE951" i="19"/>
  <c r="CD959" i="19"/>
  <c r="CE959" i="19" s="1"/>
  <c r="CD983" i="19"/>
  <c r="CE983" i="19" s="1"/>
  <c r="CD958" i="19"/>
  <c r="CE958" i="19" s="1"/>
  <c r="CE982" i="19"/>
  <c r="CD962" i="19"/>
  <c r="CE962" i="19" s="1"/>
  <c r="CD956" i="19"/>
  <c r="CE956" i="19" s="1"/>
  <c r="CE980" i="19"/>
  <c r="CE953" i="19"/>
  <c r="CD961" i="19"/>
  <c r="CE961" i="19" s="1"/>
  <c r="CD939" i="19"/>
  <c r="CE939" i="19" s="1"/>
  <c r="CD947" i="19"/>
  <c r="CE947" i="19" s="1"/>
  <c r="CE955" i="19"/>
  <c r="CD979" i="19"/>
  <c r="CD949" i="19"/>
  <c r="CE949" i="19" s="1"/>
  <c r="CD957" i="19"/>
  <c r="CE957" i="19" s="1"/>
  <c r="CD981" i="19"/>
  <c r="CE981" i="19" s="1"/>
  <c r="CD913" i="19"/>
  <c r="CD915" i="19"/>
  <c r="CE915" i="19" s="1"/>
  <c r="CD917" i="19"/>
  <c r="CE917" i="19" s="1"/>
  <c r="CD919" i="19"/>
  <c r="CE919" i="19" s="1"/>
  <c r="CD921" i="19"/>
  <c r="CE921" i="19" s="1"/>
  <c r="CD923" i="19"/>
  <c r="CD929" i="19"/>
  <c r="CE929" i="19" s="1"/>
  <c r="CD931" i="19"/>
  <c r="CE933" i="19"/>
  <c r="CD938" i="19"/>
  <c r="CD942" i="19"/>
  <c r="CE942" i="19" s="1"/>
  <c r="CD946" i="19"/>
  <c r="CD948" i="19"/>
  <c r="CE948" i="19" s="1"/>
  <c r="CD950" i="19"/>
  <c r="CE950" i="19" s="1"/>
  <c r="CD952" i="19"/>
  <c r="CE952" i="19" s="1"/>
  <c r="CD954" i="19"/>
  <c r="CD912" i="19"/>
  <c r="CD914" i="19"/>
  <c r="CD916" i="19"/>
  <c r="CD918" i="19"/>
  <c r="CE918" i="19" s="1"/>
  <c r="CD920" i="19"/>
  <c r="CD922" i="19"/>
  <c r="CE924" i="19"/>
  <c r="CD926" i="19"/>
  <c r="CD928" i="19"/>
  <c r="CD930" i="19"/>
  <c r="CE930" i="19" s="1"/>
  <c r="CE932" i="19"/>
  <c r="CD934" i="19"/>
  <c r="CE934" i="19" s="1"/>
  <c r="CD935" i="19"/>
  <c r="CD936" i="19"/>
  <c r="CE936" i="19" s="1"/>
  <c r="CD937" i="19"/>
  <c r="CE937" i="19" s="1"/>
  <c r="CD941" i="19"/>
  <c r="CE941" i="19" s="1"/>
  <c r="CD943" i="19"/>
  <c r="CE943" i="19" s="1"/>
  <c r="CD945" i="19"/>
  <c r="CE945" i="19" l="1"/>
  <c r="CE935" i="19"/>
  <c r="CE920" i="19"/>
  <c r="CE927" i="19"/>
  <c r="CE922" i="19"/>
  <c r="CE925" i="19"/>
  <c r="CE913" i="19"/>
  <c r="CE946" i="19"/>
  <c r="CE916" i="19"/>
  <c r="CE944" i="19"/>
  <c r="CE923" i="19"/>
  <c r="CE914" i="19"/>
  <c r="CE928" i="19"/>
  <c r="CE912" i="19"/>
  <c r="CE938" i="19"/>
  <c r="CE979" i="19"/>
  <c r="CE926" i="19"/>
  <c r="CE954" i="19"/>
  <c r="CE931" i="19"/>
  <c r="CC911" i="19" l="1"/>
  <c r="CB911" i="19"/>
  <c r="CA911" i="19"/>
  <c r="BZ911" i="19"/>
  <c r="BL911" i="19"/>
  <c r="BF911" i="19"/>
  <c r="AZ911" i="19"/>
  <c r="AT911" i="19"/>
  <c r="AN911" i="19"/>
  <c r="AH911" i="19"/>
  <c r="AB911" i="19"/>
  <c r="R911" i="19"/>
  <c r="L911" i="19"/>
  <c r="CD911" i="19" l="1"/>
  <c r="CE911" i="19" l="1"/>
  <c r="CC431" i="19" l="1"/>
  <c r="CB431" i="19"/>
  <c r="CA431" i="19"/>
  <c r="BZ431" i="19"/>
  <c r="BL431" i="19"/>
  <c r="BF431" i="19"/>
  <c r="AZ431" i="19"/>
  <c r="AT431" i="19"/>
  <c r="AN431" i="19"/>
  <c r="AH431" i="19"/>
  <c r="AB431" i="19"/>
  <c r="R431" i="19"/>
  <c r="L431" i="19"/>
  <c r="CC430" i="19"/>
  <c r="CB430" i="19"/>
  <c r="CA430" i="19"/>
  <c r="BZ430" i="19"/>
  <c r="BL430" i="19"/>
  <c r="BF430" i="19"/>
  <c r="AZ430" i="19"/>
  <c r="AT430" i="19"/>
  <c r="AN430" i="19"/>
  <c r="AH430" i="19"/>
  <c r="AB430" i="19"/>
  <c r="R430" i="19"/>
  <c r="L430" i="19"/>
  <c r="CC429" i="19"/>
  <c r="CB429" i="19"/>
  <c r="CA429" i="19"/>
  <c r="BZ429" i="19"/>
  <c r="BL429" i="19"/>
  <c r="BF429" i="19"/>
  <c r="AZ429" i="19"/>
  <c r="AT429" i="19"/>
  <c r="AN429" i="19"/>
  <c r="AH429" i="19"/>
  <c r="AB429" i="19"/>
  <c r="R429" i="19"/>
  <c r="L429" i="19"/>
  <c r="CC428" i="19"/>
  <c r="CB428" i="19"/>
  <c r="CA428" i="19"/>
  <c r="BZ428" i="19"/>
  <c r="BL428" i="19"/>
  <c r="BF428" i="19"/>
  <c r="AZ428" i="19"/>
  <c r="AT428" i="19"/>
  <c r="AN428" i="19"/>
  <c r="AH428" i="19"/>
  <c r="AB428" i="19"/>
  <c r="R428" i="19"/>
  <c r="L428" i="19"/>
  <c r="CC427" i="19"/>
  <c r="CB427" i="19"/>
  <c r="CA427" i="19"/>
  <c r="BZ427" i="19"/>
  <c r="BL427" i="19"/>
  <c r="BF427" i="19"/>
  <c r="AZ427" i="19"/>
  <c r="AT427" i="19"/>
  <c r="AN427" i="19"/>
  <c r="AH427" i="19"/>
  <c r="AB427" i="19"/>
  <c r="R427" i="19"/>
  <c r="L427" i="19"/>
  <c r="CC426" i="19"/>
  <c r="CB426" i="19"/>
  <c r="CA426" i="19"/>
  <c r="BZ426" i="19"/>
  <c r="BL426" i="19"/>
  <c r="BF426" i="19"/>
  <c r="AZ426" i="19"/>
  <c r="AT426" i="19"/>
  <c r="AN426" i="19"/>
  <c r="AH426" i="19"/>
  <c r="AB426" i="19"/>
  <c r="R426" i="19"/>
  <c r="L426" i="19"/>
  <c r="CC425" i="19"/>
  <c r="CB425" i="19"/>
  <c r="CA425" i="19"/>
  <c r="BZ425" i="19"/>
  <c r="BL425" i="19"/>
  <c r="BF425" i="19"/>
  <c r="AZ425" i="19"/>
  <c r="AT425" i="19"/>
  <c r="AN425" i="19"/>
  <c r="AH425" i="19"/>
  <c r="AB425" i="19"/>
  <c r="R425" i="19"/>
  <c r="L425" i="19"/>
  <c r="CC424" i="19"/>
  <c r="CB424" i="19"/>
  <c r="CA424" i="19"/>
  <c r="BZ424" i="19"/>
  <c r="BL424" i="19"/>
  <c r="BF424" i="19"/>
  <c r="AZ424" i="19"/>
  <c r="AT424" i="19"/>
  <c r="AN424" i="19"/>
  <c r="AH424" i="19"/>
  <c r="AB424" i="19"/>
  <c r="R424" i="19"/>
  <c r="L424" i="19"/>
  <c r="CC480" i="19"/>
  <c r="CB480" i="19"/>
  <c r="CA480" i="19"/>
  <c r="BZ480" i="19"/>
  <c r="BL480" i="19"/>
  <c r="BF480" i="19"/>
  <c r="AZ480" i="19"/>
  <c r="AT480" i="19"/>
  <c r="AN480" i="19"/>
  <c r="AH480" i="19"/>
  <c r="AB480" i="19"/>
  <c r="R480" i="19"/>
  <c r="L480" i="19"/>
  <c r="CC479" i="19"/>
  <c r="CB479" i="19"/>
  <c r="CA479" i="19"/>
  <c r="BZ479" i="19"/>
  <c r="BL479" i="19"/>
  <c r="BF479" i="19"/>
  <c r="AZ479" i="19"/>
  <c r="AT479" i="19"/>
  <c r="AN479" i="19"/>
  <c r="AH479" i="19"/>
  <c r="AB479" i="19"/>
  <c r="R479" i="19"/>
  <c r="L479" i="19"/>
  <c r="CC478" i="19"/>
  <c r="CB478" i="19"/>
  <c r="CA478" i="19"/>
  <c r="BZ478" i="19"/>
  <c r="BL478" i="19"/>
  <c r="BF478" i="19"/>
  <c r="AZ478" i="19"/>
  <c r="AT478" i="19"/>
  <c r="AN478" i="19"/>
  <c r="AH478" i="19"/>
  <c r="AB478" i="19"/>
  <c r="R478" i="19"/>
  <c r="L478" i="19"/>
  <c r="CC477" i="19"/>
  <c r="CB477" i="19"/>
  <c r="CA477" i="19"/>
  <c r="BZ477" i="19"/>
  <c r="BL477" i="19"/>
  <c r="BF477" i="19"/>
  <c r="AZ477" i="19"/>
  <c r="AT477" i="19"/>
  <c r="AN477" i="19"/>
  <c r="AH477" i="19"/>
  <c r="AB477" i="19"/>
  <c r="R477" i="19"/>
  <c r="L477" i="19"/>
  <c r="CC564" i="19"/>
  <c r="CB564" i="19"/>
  <c r="CA564" i="19"/>
  <c r="BZ564" i="19"/>
  <c r="BL564" i="19"/>
  <c r="BF564" i="19"/>
  <c r="AZ564" i="19"/>
  <c r="AT564" i="19"/>
  <c r="AN564" i="19"/>
  <c r="AH564" i="19"/>
  <c r="AB564" i="19"/>
  <c r="R564" i="19"/>
  <c r="L564" i="19"/>
  <c r="CC599" i="19"/>
  <c r="CB599" i="19"/>
  <c r="CA599" i="19"/>
  <c r="BZ599" i="19"/>
  <c r="BL599" i="19"/>
  <c r="BF599" i="19"/>
  <c r="AZ599" i="19"/>
  <c r="AT599" i="19"/>
  <c r="AN599" i="19"/>
  <c r="AH599" i="19"/>
  <c r="AB599" i="19"/>
  <c r="R599" i="19"/>
  <c r="L599" i="19"/>
  <c r="CC598" i="19"/>
  <c r="CB598" i="19"/>
  <c r="CA598" i="19"/>
  <c r="BZ598" i="19"/>
  <c r="BL598" i="19"/>
  <c r="BF598" i="19"/>
  <c r="AZ598" i="19"/>
  <c r="AT598" i="19"/>
  <c r="AN598" i="19"/>
  <c r="AH598" i="19"/>
  <c r="AB598" i="19"/>
  <c r="R598" i="19"/>
  <c r="L598" i="19"/>
  <c r="CC910" i="19"/>
  <c r="CB910" i="19"/>
  <c r="CA910" i="19"/>
  <c r="BZ910" i="19"/>
  <c r="BL910" i="19"/>
  <c r="BF910" i="19"/>
  <c r="AZ910" i="19"/>
  <c r="AT910" i="19"/>
  <c r="AN910" i="19"/>
  <c r="AH910" i="19"/>
  <c r="AB910" i="19"/>
  <c r="R910" i="19"/>
  <c r="L910" i="19"/>
  <c r="CC909" i="19"/>
  <c r="CB909" i="19"/>
  <c r="CA909" i="19"/>
  <c r="BZ909" i="19"/>
  <c r="BL909" i="19"/>
  <c r="BF909" i="19"/>
  <c r="AZ909" i="19"/>
  <c r="AT909" i="19"/>
  <c r="AN909" i="19"/>
  <c r="AH909" i="19"/>
  <c r="AB909" i="19"/>
  <c r="R909" i="19"/>
  <c r="L909" i="19"/>
  <c r="CC908" i="19"/>
  <c r="CB908" i="19"/>
  <c r="CA908" i="19"/>
  <c r="BZ908" i="19"/>
  <c r="BL908" i="19"/>
  <c r="BF908" i="19"/>
  <c r="AZ908" i="19"/>
  <c r="AT908" i="19"/>
  <c r="AN908" i="19"/>
  <c r="AH908" i="19"/>
  <c r="AB908" i="19"/>
  <c r="R908" i="19"/>
  <c r="L908" i="19"/>
  <c r="CC907" i="19"/>
  <c r="CB907" i="19"/>
  <c r="CA907" i="19"/>
  <c r="BZ907" i="19"/>
  <c r="BL907" i="19"/>
  <c r="BF907" i="19"/>
  <c r="AZ907" i="19"/>
  <c r="AT907" i="19"/>
  <c r="AN907" i="19"/>
  <c r="AH907" i="19"/>
  <c r="AB907" i="19"/>
  <c r="R907" i="19"/>
  <c r="L907" i="19"/>
  <c r="CC906" i="19"/>
  <c r="CB906" i="19"/>
  <c r="CA906" i="19"/>
  <c r="BZ906" i="19"/>
  <c r="BL906" i="19"/>
  <c r="BF906" i="19"/>
  <c r="AZ906" i="19"/>
  <c r="AT906" i="19"/>
  <c r="AN906" i="19"/>
  <c r="AH906" i="19"/>
  <c r="AB906" i="19"/>
  <c r="R906" i="19"/>
  <c r="L906" i="19"/>
  <c r="CC905" i="19"/>
  <c r="CB905" i="19"/>
  <c r="CA905" i="19"/>
  <c r="BZ905" i="19"/>
  <c r="BL905" i="19"/>
  <c r="BF905" i="19"/>
  <c r="AZ905" i="19"/>
  <c r="AT905" i="19"/>
  <c r="AN905" i="19"/>
  <c r="AH905" i="19"/>
  <c r="AB905" i="19"/>
  <c r="R905" i="19"/>
  <c r="L905" i="19"/>
  <c r="CC904" i="19"/>
  <c r="CB904" i="19"/>
  <c r="CA904" i="19"/>
  <c r="BZ904" i="19"/>
  <c r="BL904" i="19"/>
  <c r="BF904" i="19"/>
  <c r="AZ904" i="19"/>
  <c r="AT904" i="19"/>
  <c r="AN904" i="19"/>
  <c r="AH904" i="19"/>
  <c r="AB904" i="19"/>
  <c r="R904" i="19"/>
  <c r="L904" i="19"/>
  <c r="CC903" i="19"/>
  <c r="CB903" i="19"/>
  <c r="CA903" i="19"/>
  <c r="BZ903" i="19"/>
  <c r="BL903" i="19"/>
  <c r="BF903" i="19"/>
  <c r="AZ903" i="19"/>
  <c r="AT903" i="19"/>
  <c r="AN903" i="19"/>
  <c r="AH903" i="19"/>
  <c r="AB903" i="19"/>
  <c r="R903" i="19"/>
  <c r="L903" i="19"/>
  <c r="CC902" i="19"/>
  <c r="CB902" i="19"/>
  <c r="CA902" i="19"/>
  <c r="BZ902" i="19"/>
  <c r="BL902" i="19"/>
  <c r="BF902" i="19"/>
  <c r="AZ902" i="19"/>
  <c r="AT902" i="19"/>
  <c r="AN902" i="19"/>
  <c r="AH902" i="19"/>
  <c r="AB902" i="19"/>
  <c r="R902" i="19"/>
  <c r="L902" i="19"/>
  <c r="CC901" i="19"/>
  <c r="CB901" i="19"/>
  <c r="CA901" i="19"/>
  <c r="BZ901" i="19"/>
  <c r="BL901" i="19"/>
  <c r="BF901" i="19"/>
  <c r="AZ901" i="19"/>
  <c r="AT901" i="19"/>
  <c r="AN901" i="19"/>
  <c r="AH901" i="19"/>
  <c r="AB901" i="19"/>
  <c r="R901" i="19"/>
  <c r="L901" i="19"/>
  <c r="CC900" i="19"/>
  <c r="CB900" i="19"/>
  <c r="CA900" i="19"/>
  <c r="BZ900" i="19"/>
  <c r="BL900" i="19"/>
  <c r="BF900" i="19"/>
  <c r="AZ900" i="19"/>
  <c r="AT900" i="19"/>
  <c r="AN900" i="19"/>
  <c r="AH900" i="19"/>
  <c r="AB900" i="19"/>
  <c r="R900" i="19"/>
  <c r="L900" i="19"/>
  <c r="CC899" i="19"/>
  <c r="CB899" i="19"/>
  <c r="CA899" i="19"/>
  <c r="BZ899" i="19"/>
  <c r="BL899" i="19"/>
  <c r="BF899" i="19"/>
  <c r="AZ899" i="19"/>
  <c r="AT899" i="19"/>
  <c r="AN899" i="19"/>
  <c r="AH899" i="19"/>
  <c r="AB899" i="19"/>
  <c r="R899" i="19"/>
  <c r="L899" i="19"/>
  <c r="CC898" i="19"/>
  <c r="CB898" i="19"/>
  <c r="CA898" i="19"/>
  <c r="BZ898" i="19"/>
  <c r="BL898" i="19"/>
  <c r="BF898" i="19"/>
  <c r="AZ898" i="19"/>
  <c r="AT898" i="19"/>
  <c r="AN898" i="19"/>
  <c r="AH898" i="19"/>
  <c r="AB898" i="19"/>
  <c r="R898" i="19"/>
  <c r="L898" i="19"/>
  <c r="CC897" i="19"/>
  <c r="CB897" i="19"/>
  <c r="CA897" i="19"/>
  <c r="BZ897" i="19"/>
  <c r="BL897" i="19"/>
  <c r="BF897" i="19"/>
  <c r="AZ897" i="19"/>
  <c r="AT897" i="19"/>
  <c r="AN897" i="19"/>
  <c r="AH897" i="19"/>
  <c r="AB897" i="19"/>
  <c r="R897" i="19"/>
  <c r="L897" i="19"/>
  <c r="CC896" i="19"/>
  <c r="CB896" i="19"/>
  <c r="CA896" i="19"/>
  <c r="BZ896" i="19"/>
  <c r="BL896" i="19"/>
  <c r="BF896" i="19"/>
  <c r="AZ896" i="19"/>
  <c r="AT896" i="19"/>
  <c r="AN896" i="19"/>
  <c r="AH896" i="19"/>
  <c r="AB896" i="19"/>
  <c r="R896" i="19"/>
  <c r="L896" i="19"/>
  <c r="CC895" i="19"/>
  <c r="CB895" i="19"/>
  <c r="CA895" i="19"/>
  <c r="BZ895" i="19"/>
  <c r="BL895" i="19"/>
  <c r="BF895" i="19"/>
  <c r="AZ895" i="19"/>
  <c r="AT895" i="19"/>
  <c r="AN895" i="19"/>
  <c r="AH895" i="19"/>
  <c r="AB895" i="19"/>
  <c r="R895" i="19"/>
  <c r="L895" i="19"/>
  <c r="CC894" i="19"/>
  <c r="CB894" i="19"/>
  <c r="CA894" i="19"/>
  <c r="BZ894" i="19"/>
  <c r="BL894" i="19"/>
  <c r="BF894" i="19"/>
  <c r="AZ894" i="19"/>
  <c r="AT894" i="19"/>
  <c r="AN894" i="19"/>
  <c r="AH894" i="19"/>
  <c r="AB894" i="19"/>
  <c r="R894" i="19"/>
  <c r="L894" i="19"/>
  <c r="CC893" i="19"/>
  <c r="CB893" i="19"/>
  <c r="CA893" i="19"/>
  <c r="BZ893" i="19"/>
  <c r="BL893" i="19"/>
  <c r="BF893" i="19"/>
  <c r="AZ893" i="19"/>
  <c r="AT893" i="19"/>
  <c r="AN893" i="19"/>
  <c r="AH893" i="19"/>
  <c r="AB893" i="19"/>
  <c r="R893" i="19"/>
  <c r="L893" i="19"/>
  <c r="CC892" i="19"/>
  <c r="CB892" i="19"/>
  <c r="CA892" i="19"/>
  <c r="BZ892" i="19"/>
  <c r="BL892" i="19"/>
  <c r="BF892" i="19"/>
  <c r="AZ892" i="19"/>
  <c r="AT892" i="19"/>
  <c r="AN892" i="19"/>
  <c r="AH892" i="19"/>
  <c r="AB892" i="19"/>
  <c r="R892" i="19"/>
  <c r="L892" i="19"/>
  <c r="CC891" i="19"/>
  <c r="CB891" i="19"/>
  <c r="CA891" i="19"/>
  <c r="BZ891" i="19"/>
  <c r="BL891" i="19"/>
  <c r="BF891" i="19"/>
  <c r="AZ891" i="19"/>
  <c r="AT891" i="19"/>
  <c r="AN891" i="19"/>
  <c r="AH891" i="19"/>
  <c r="AB891" i="19"/>
  <c r="R891" i="19"/>
  <c r="L891" i="19"/>
  <c r="CC890" i="19"/>
  <c r="CB890" i="19"/>
  <c r="CA890" i="19"/>
  <c r="BZ890" i="19"/>
  <c r="BL890" i="19"/>
  <c r="BF890" i="19"/>
  <c r="AZ890" i="19"/>
  <c r="AT890" i="19"/>
  <c r="AN890" i="19"/>
  <c r="AH890" i="19"/>
  <c r="AB890" i="19"/>
  <c r="R890" i="19"/>
  <c r="L890" i="19"/>
  <c r="CD891" i="19" l="1"/>
  <c r="CD893" i="19"/>
  <c r="CD896" i="19"/>
  <c r="CD898" i="19"/>
  <c r="CE898" i="19" s="1"/>
  <c r="CD564" i="19"/>
  <c r="CD478" i="19"/>
  <c r="CE478" i="19" s="1"/>
  <c r="CD480" i="19"/>
  <c r="CE480" i="19" s="1"/>
  <c r="CD425" i="19"/>
  <c r="CE425" i="19" s="1"/>
  <c r="CD892" i="19"/>
  <c r="CD894" i="19"/>
  <c r="BM895" i="19"/>
  <c r="CD895" i="19"/>
  <c r="CE895" i="19" s="1"/>
  <c r="CD897" i="19"/>
  <c r="CE897" i="19" s="1"/>
  <c r="CD899" i="19"/>
  <c r="CE899" i="19" s="1"/>
  <c r="CD901" i="19"/>
  <c r="CE901" i="19" s="1"/>
  <c r="CD903" i="19"/>
  <c r="CD905" i="19"/>
  <c r="CE905" i="19" s="1"/>
  <c r="CD909" i="19"/>
  <c r="CD598" i="19"/>
  <c r="CD431" i="19"/>
  <c r="CE431" i="19" s="1"/>
  <c r="CD890" i="19"/>
  <c r="CD477" i="19"/>
  <c r="CD479" i="19"/>
  <c r="CD424" i="19"/>
  <c r="CD599" i="19"/>
  <c r="CD900" i="19"/>
  <c r="CD902" i="19"/>
  <c r="CD904" i="19"/>
  <c r="CE904" i="19" s="1"/>
  <c r="CD906" i="19"/>
  <c r="CE908" i="19"/>
  <c r="CD910" i="19"/>
  <c r="CE910" i="19" s="1"/>
  <c r="CD426" i="19"/>
  <c r="CE426" i="19" s="1"/>
  <c r="CD428" i="19"/>
  <c r="CD430" i="19"/>
  <c r="CE428" i="19" l="1"/>
  <c r="CE430" i="19"/>
  <c r="CE896" i="19"/>
  <c r="CE894" i="19"/>
  <c r="CE892" i="19"/>
  <c r="CE893" i="19"/>
  <c r="CE477" i="19"/>
  <c r="CE906" i="19"/>
  <c r="CE907" i="19"/>
  <c r="CE424" i="19"/>
  <c r="CE890" i="19"/>
  <c r="CE479" i="19"/>
  <c r="CE429" i="19"/>
  <c r="CE427" i="19"/>
  <c r="CE564" i="19"/>
  <c r="CE598" i="19"/>
  <c r="CE902" i="19"/>
  <c r="CE909" i="19"/>
  <c r="CE900" i="19"/>
  <c r="CE903" i="19"/>
  <c r="CE599" i="19"/>
  <c r="CE891" i="19"/>
  <c r="CC617" i="19" l="1"/>
  <c r="CB617" i="19"/>
  <c r="CA617" i="19"/>
  <c r="BZ617" i="19"/>
  <c r="BL617" i="19"/>
  <c r="BF617" i="19"/>
  <c r="AZ617" i="19"/>
  <c r="AT617" i="19"/>
  <c r="AN617" i="19"/>
  <c r="AH617" i="19"/>
  <c r="AB617" i="19"/>
  <c r="R617" i="19"/>
  <c r="L617" i="19"/>
  <c r="CC616" i="19"/>
  <c r="CB616" i="19"/>
  <c r="CA616" i="19"/>
  <c r="BZ616" i="19"/>
  <c r="BL616" i="19"/>
  <c r="BF616" i="19"/>
  <c r="AZ616" i="19"/>
  <c r="AT616" i="19"/>
  <c r="AN616" i="19"/>
  <c r="AH616" i="19"/>
  <c r="AB616" i="19"/>
  <c r="R616" i="19"/>
  <c r="L616" i="19"/>
  <c r="CC615" i="19"/>
  <c r="CB615" i="19"/>
  <c r="CA615" i="19"/>
  <c r="BZ615" i="19"/>
  <c r="BL615" i="19"/>
  <c r="BF615" i="19"/>
  <c r="AZ615" i="19"/>
  <c r="AT615" i="19"/>
  <c r="AN615" i="19"/>
  <c r="AH615" i="19"/>
  <c r="AB615" i="19"/>
  <c r="R615" i="19"/>
  <c r="L615" i="19"/>
  <c r="CC614" i="19"/>
  <c r="CB614" i="19"/>
  <c r="CA614" i="19"/>
  <c r="BZ614" i="19"/>
  <c r="BL614" i="19"/>
  <c r="BF614" i="19"/>
  <c r="AZ614" i="19"/>
  <c r="AT614" i="19"/>
  <c r="AN614" i="19"/>
  <c r="AH614" i="19"/>
  <c r="AB614" i="19"/>
  <c r="R614" i="19"/>
  <c r="L614" i="19"/>
  <c r="CC613" i="19"/>
  <c r="CB613" i="19"/>
  <c r="CA613" i="19"/>
  <c r="BZ613" i="19"/>
  <c r="BL613" i="19"/>
  <c r="BF613" i="19"/>
  <c r="AZ613" i="19"/>
  <c r="AT613" i="19"/>
  <c r="AN613" i="19"/>
  <c r="AH613" i="19"/>
  <c r="AB613" i="19"/>
  <c r="R613" i="19"/>
  <c r="L613" i="19"/>
  <c r="H613" i="19"/>
  <c r="CC612" i="19"/>
  <c r="CB612" i="19"/>
  <c r="CA612" i="19"/>
  <c r="BZ612" i="19"/>
  <c r="BL612" i="19"/>
  <c r="BF612" i="19"/>
  <c r="AZ612" i="19"/>
  <c r="AT612" i="19"/>
  <c r="AN612" i="19"/>
  <c r="AH612" i="19"/>
  <c r="AB612" i="19"/>
  <c r="R612" i="19"/>
  <c r="L612" i="19"/>
  <c r="CC611" i="19"/>
  <c r="CB611" i="19"/>
  <c r="CA611" i="19"/>
  <c r="BZ611" i="19"/>
  <c r="BL611" i="19"/>
  <c r="BF611" i="19"/>
  <c r="AZ611" i="19"/>
  <c r="AT611" i="19"/>
  <c r="AN611" i="19"/>
  <c r="AH611" i="19"/>
  <c r="AB611" i="19"/>
  <c r="R611" i="19"/>
  <c r="L611" i="19"/>
  <c r="CC610" i="19"/>
  <c r="CB610" i="19"/>
  <c r="CA610" i="19"/>
  <c r="BZ610" i="19"/>
  <c r="BL610" i="19"/>
  <c r="BF610" i="19"/>
  <c r="AZ610" i="19"/>
  <c r="AT610" i="19"/>
  <c r="AN610" i="19"/>
  <c r="AH610" i="19"/>
  <c r="AB610" i="19"/>
  <c r="R610" i="19"/>
  <c r="L610" i="19"/>
  <c r="CC609" i="19"/>
  <c r="CB609" i="19"/>
  <c r="CA609" i="19"/>
  <c r="BZ609" i="19"/>
  <c r="BL609" i="19"/>
  <c r="BF609" i="19"/>
  <c r="AZ609" i="19"/>
  <c r="AT609" i="19"/>
  <c r="AN609" i="19"/>
  <c r="AH609" i="19"/>
  <c r="AB609" i="19"/>
  <c r="R609" i="19"/>
  <c r="L609" i="19"/>
  <c r="CC604" i="19"/>
  <c r="CB604" i="19"/>
  <c r="CA604" i="19"/>
  <c r="BZ604" i="19"/>
  <c r="BL604" i="19"/>
  <c r="BF604" i="19"/>
  <c r="AZ604" i="19"/>
  <c r="AT604" i="19"/>
  <c r="AN604" i="19"/>
  <c r="AH604" i="19"/>
  <c r="AB604" i="19"/>
  <c r="R604" i="19"/>
  <c r="L604" i="19"/>
  <c r="CC603" i="19"/>
  <c r="CB603" i="19"/>
  <c r="CA603" i="19"/>
  <c r="BZ603" i="19"/>
  <c r="BL603" i="19"/>
  <c r="BF603" i="19"/>
  <c r="AZ603" i="19"/>
  <c r="AT603" i="19"/>
  <c r="AN603" i="19"/>
  <c r="AH603" i="19"/>
  <c r="AB603" i="19"/>
  <c r="R603" i="19"/>
  <c r="L603" i="19"/>
  <c r="CC602" i="19"/>
  <c r="CB602" i="19"/>
  <c r="CA602" i="19"/>
  <c r="BZ602" i="19"/>
  <c r="BL602" i="19"/>
  <c r="BF602" i="19"/>
  <c r="AZ602" i="19"/>
  <c r="AT602" i="19"/>
  <c r="AN602" i="19"/>
  <c r="AH602" i="19"/>
  <c r="AB602" i="19"/>
  <c r="R602" i="19"/>
  <c r="L602" i="19"/>
  <c r="CC601" i="19"/>
  <c r="CB601" i="19"/>
  <c r="CA601" i="19"/>
  <c r="BZ601" i="19"/>
  <c r="BL601" i="19"/>
  <c r="BF601" i="19"/>
  <c r="AZ601" i="19"/>
  <c r="AT601" i="19"/>
  <c r="AN601" i="19"/>
  <c r="AH601" i="19"/>
  <c r="AB601" i="19"/>
  <c r="R601" i="19"/>
  <c r="L601" i="19"/>
  <c r="CC606" i="19"/>
  <c r="CB606" i="19"/>
  <c r="CA606" i="19"/>
  <c r="BZ606" i="19"/>
  <c r="BL606" i="19"/>
  <c r="BF606" i="19"/>
  <c r="AZ606" i="19"/>
  <c r="AT606" i="19"/>
  <c r="AN606" i="19"/>
  <c r="AH606" i="19"/>
  <c r="AB606" i="19"/>
  <c r="R606" i="19"/>
  <c r="L606" i="19"/>
  <c r="CC605" i="19"/>
  <c r="CB605" i="19"/>
  <c r="CA605" i="19"/>
  <c r="BZ605" i="19"/>
  <c r="BL605" i="19"/>
  <c r="BF605" i="19"/>
  <c r="AZ605" i="19"/>
  <c r="AT605" i="19"/>
  <c r="AN605" i="19"/>
  <c r="AH605" i="19"/>
  <c r="AB605" i="19"/>
  <c r="R605" i="19"/>
  <c r="L605" i="19"/>
  <c r="CC597" i="19"/>
  <c r="CB597" i="19"/>
  <c r="CA597" i="19"/>
  <c r="BZ597" i="19"/>
  <c r="BL597" i="19"/>
  <c r="BF597" i="19"/>
  <c r="AZ597" i="19"/>
  <c r="AT597" i="19"/>
  <c r="AN597" i="19"/>
  <c r="AH597" i="19"/>
  <c r="AB597" i="19"/>
  <c r="R597" i="19"/>
  <c r="L597" i="19"/>
  <c r="CC596" i="19"/>
  <c r="CB596" i="19"/>
  <c r="CA596" i="19"/>
  <c r="BZ596" i="19"/>
  <c r="BL596" i="19"/>
  <c r="BF596" i="19"/>
  <c r="AZ596" i="19"/>
  <c r="AT596" i="19"/>
  <c r="AN596" i="19"/>
  <c r="AH596" i="19"/>
  <c r="AB596" i="19"/>
  <c r="R596" i="19"/>
  <c r="L596" i="19"/>
  <c r="CC595" i="19"/>
  <c r="CB595" i="19"/>
  <c r="CA595" i="19"/>
  <c r="BZ595" i="19"/>
  <c r="BL595" i="19"/>
  <c r="BF595" i="19"/>
  <c r="AZ595" i="19"/>
  <c r="AT595" i="19"/>
  <c r="AN595" i="19"/>
  <c r="AH595" i="19"/>
  <c r="AB595" i="19"/>
  <c r="R595" i="19"/>
  <c r="L595" i="19"/>
  <c r="CC594" i="19"/>
  <c r="CB594" i="19"/>
  <c r="CA594" i="19"/>
  <c r="BZ594" i="19"/>
  <c r="BL594" i="19"/>
  <c r="BF594" i="19"/>
  <c r="AZ594" i="19"/>
  <c r="AT594" i="19"/>
  <c r="AN594" i="19"/>
  <c r="AH594" i="19"/>
  <c r="AB594" i="19"/>
  <c r="R594" i="19"/>
  <c r="L594" i="19"/>
  <c r="CC593" i="19"/>
  <c r="CB593" i="19"/>
  <c r="CA593" i="19"/>
  <c r="BZ593" i="19"/>
  <c r="BL593" i="19"/>
  <c r="BF593" i="19"/>
  <c r="AZ593" i="19"/>
  <c r="AT593" i="19"/>
  <c r="AN593" i="19"/>
  <c r="AH593" i="19"/>
  <c r="AB593" i="19"/>
  <c r="R593" i="19"/>
  <c r="L593" i="19"/>
  <c r="CC592" i="19"/>
  <c r="CB592" i="19"/>
  <c r="CA592" i="19"/>
  <c r="BZ592" i="19"/>
  <c r="BL592" i="19"/>
  <c r="BF592" i="19"/>
  <c r="AZ592" i="19"/>
  <c r="AT592" i="19"/>
  <c r="AN592" i="19"/>
  <c r="AH592" i="19"/>
  <c r="AB592" i="19"/>
  <c r="R592" i="19"/>
  <c r="L592" i="19"/>
  <c r="CC591" i="19"/>
  <c r="CB591" i="19"/>
  <c r="CA591" i="19"/>
  <c r="BZ591" i="19"/>
  <c r="BL591" i="19"/>
  <c r="BF591" i="19"/>
  <c r="AZ591" i="19"/>
  <c r="AT591" i="19"/>
  <c r="AN591" i="19"/>
  <c r="AH591" i="19"/>
  <c r="AB591" i="19"/>
  <c r="R591" i="19"/>
  <c r="L591" i="19"/>
  <c r="CC590" i="19"/>
  <c r="CB590" i="19"/>
  <c r="CA590" i="19"/>
  <c r="BZ590" i="19"/>
  <c r="BL590" i="19"/>
  <c r="BF590" i="19"/>
  <c r="AZ590" i="19"/>
  <c r="AT590" i="19"/>
  <c r="AN590" i="19"/>
  <c r="AH590" i="19"/>
  <c r="AB590" i="19"/>
  <c r="R590" i="19"/>
  <c r="L590" i="19"/>
  <c r="CC589" i="19"/>
  <c r="CB589" i="19"/>
  <c r="CA589" i="19"/>
  <c r="BZ589" i="19"/>
  <c r="BL589" i="19"/>
  <c r="BF589" i="19"/>
  <c r="AZ589" i="19"/>
  <c r="AT589" i="19"/>
  <c r="AN589" i="19"/>
  <c r="AH589" i="19"/>
  <c r="AB589" i="19"/>
  <c r="R589" i="19"/>
  <c r="L589" i="19"/>
  <c r="CC588" i="19"/>
  <c r="CB588" i="19"/>
  <c r="CA588" i="19"/>
  <c r="BZ588" i="19"/>
  <c r="BL588" i="19"/>
  <c r="BF588" i="19"/>
  <c r="AZ588" i="19"/>
  <c r="AT588" i="19"/>
  <c r="AN588" i="19"/>
  <c r="AH588" i="19"/>
  <c r="AB588" i="19"/>
  <c r="R588" i="19"/>
  <c r="L588" i="19"/>
  <c r="CC179" i="19"/>
  <c r="CB179" i="19"/>
  <c r="CA179" i="19"/>
  <c r="BZ179" i="19"/>
  <c r="BL179" i="19"/>
  <c r="BF179" i="19"/>
  <c r="AZ179" i="19"/>
  <c r="AT179" i="19"/>
  <c r="AN179" i="19"/>
  <c r="AH179" i="19"/>
  <c r="AB179" i="19"/>
  <c r="R179" i="19"/>
  <c r="L179" i="19"/>
  <c r="CC178" i="19"/>
  <c r="CB178" i="19"/>
  <c r="CA178" i="19"/>
  <c r="BZ178" i="19"/>
  <c r="BL178" i="19"/>
  <c r="BF178" i="19"/>
  <c r="AZ178" i="19"/>
  <c r="AT178" i="19"/>
  <c r="AN178" i="19"/>
  <c r="AH178" i="19"/>
  <c r="AB178" i="19"/>
  <c r="R178" i="19"/>
  <c r="L178" i="19"/>
  <c r="CC177" i="19"/>
  <c r="CB177" i="19"/>
  <c r="CA177" i="19"/>
  <c r="BZ177" i="19"/>
  <c r="BL177" i="19"/>
  <c r="BF177" i="19"/>
  <c r="AZ177" i="19"/>
  <c r="AT177" i="19"/>
  <c r="AN177" i="19"/>
  <c r="AH177" i="19"/>
  <c r="AB177" i="19"/>
  <c r="R177" i="19"/>
  <c r="L177" i="19"/>
  <c r="CC176" i="19"/>
  <c r="CB176" i="19"/>
  <c r="CA176" i="19"/>
  <c r="BZ176" i="19"/>
  <c r="BL176" i="19"/>
  <c r="BF176" i="19"/>
  <c r="AZ176" i="19"/>
  <c r="AT176" i="19"/>
  <c r="AN176" i="19"/>
  <c r="AH176" i="19"/>
  <c r="AB176" i="19"/>
  <c r="R176" i="19"/>
  <c r="L176" i="19"/>
  <c r="CC255" i="19"/>
  <c r="CB255" i="19"/>
  <c r="CA255" i="19"/>
  <c r="BZ255" i="19"/>
  <c r="BL255" i="19"/>
  <c r="BF255" i="19"/>
  <c r="AZ255" i="19"/>
  <c r="AT255" i="19"/>
  <c r="AN255" i="19"/>
  <c r="AH255" i="19"/>
  <c r="AB255" i="19"/>
  <c r="R255" i="19"/>
  <c r="L255" i="19"/>
  <c r="CC315" i="19"/>
  <c r="CB315" i="19"/>
  <c r="CA315" i="19"/>
  <c r="BZ315" i="19"/>
  <c r="BL315" i="19"/>
  <c r="BF315" i="19"/>
  <c r="AZ315" i="19"/>
  <c r="AT315" i="19"/>
  <c r="AN315" i="19"/>
  <c r="AH315" i="19"/>
  <c r="AB315" i="19"/>
  <c r="R315" i="19"/>
  <c r="L315" i="19"/>
  <c r="CC314" i="19"/>
  <c r="BZ314" i="19"/>
  <c r="BL314" i="19"/>
  <c r="BF314" i="19"/>
  <c r="AZ314" i="19"/>
  <c r="AT314" i="19"/>
  <c r="AN314" i="19"/>
  <c r="AH314" i="19"/>
  <c r="AB314" i="19"/>
  <c r="R314" i="19"/>
  <c r="L314" i="19"/>
  <c r="CC313" i="19"/>
  <c r="CB313" i="19"/>
  <c r="CA313" i="19"/>
  <c r="BZ313" i="19"/>
  <c r="BL313" i="19"/>
  <c r="BF313" i="19"/>
  <c r="AZ313" i="19"/>
  <c r="AT313" i="19"/>
  <c r="AN313" i="19"/>
  <c r="AH313" i="19"/>
  <c r="AB313" i="19"/>
  <c r="R313" i="19"/>
  <c r="L313" i="19"/>
  <c r="CC312" i="19"/>
  <c r="CB312" i="19"/>
  <c r="CA312" i="19"/>
  <c r="BZ312" i="19"/>
  <c r="BL312" i="19"/>
  <c r="BF312" i="19"/>
  <c r="AZ312" i="19"/>
  <c r="AT312" i="19"/>
  <c r="AN312" i="19"/>
  <c r="AH312" i="19"/>
  <c r="AB312" i="19"/>
  <c r="R312" i="19"/>
  <c r="L312" i="19"/>
  <c r="CC311" i="19"/>
  <c r="CB311" i="19"/>
  <c r="CA311" i="19"/>
  <c r="BZ311" i="19"/>
  <c r="BL311" i="19"/>
  <c r="BF311" i="19"/>
  <c r="AZ311" i="19"/>
  <c r="AT311" i="19"/>
  <c r="AN311" i="19"/>
  <c r="AH311" i="19"/>
  <c r="AB311" i="19"/>
  <c r="R311" i="19"/>
  <c r="L311" i="19"/>
  <c r="CD177" i="19" l="1"/>
  <c r="CE177" i="19" s="1"/>
  <c r="CD178" i="19"/>
  <c r="CE178" i="19" s="1"/>
  <c r="CD179" i="19"/>
  <c r="CE179" i="19" s="1"/>
  <c r="BM602" i="19"/>
  <c r="BM313" i="19"/>
  <c r="CD592" i="19"/>
  <c r="BM606" i="19"/>
  <c r="BM601" i="19"/>
  <c r="CD601" i="19"/>
  <c r="CE601" i="19" s="1"/>
  <c r="CD602" i="19"/>
  <c r="CE602" i="19" s="1"/>
  <c r="BM603" i="19"/>
  <c r="CD610" i="19"/>
  <c r="CE610" i="19" s="1"/>
  <c r="CD613" i="19"/>
  <c r="CE613" i="19" s="1"/>
  <c r="BM617" i="19"/>
  <c r="CD617" i="19"/>
  <c r="CE617" i="19" s="1"/>
  <c r="CD311" i="19"/>
  <c r="BM312" i="19"/>
  <c r="CD312" i="19"/>
  <c r="BM605" i="19"/>
  <c r="CD605" i="19"/>
  <c r="CE605" i="19" s="1"/>
  <c r="BM604" i="19"/>
  <c r="CD604" i="19"/>
  <c r="CE604" i="19" s="1"/>
  <c r="CD255" i="19"/>
  <c r="BM593" i="19"/>
  <c r="BM597" i="19"/>
  <c r="CD313" i="19"/>
  <c r="CE313" i="19" s="1"/>
  <c r="BM311" i="19"/>
  <c r="CD314" i="19"/>
  <c r="CE314" i="19" s="1"/>
  <c r="CD315" i="19"/>
  <c r="CE315" i="19" s="1"/>
  <c r="CD176" i="19"/>
  <c r="CD589" i="19"/>
  <c r="CE589" i="19" s="1"/>
  <c r="CD595" i="19"/>
  <c r="BM596" i="19"/>
  <c r="CD606" i="19"/>
  <c r="CE606" i="19" s="1"/>
  <c r="CD603" i="19"/>
  <c r="CE603" i="19" s="1"/>
  <c r="BM610" i="19"/>
  <c r="CD616" i="19"/>
  <c r="CE616" i="19" s="1"/>
  <c r="CD588" i="19"/>
  <c r="CD591" i="19"/>
  <c r="CE591" i="19" s="1"/>
  <c r="CD594" i="19"/>
  <c r="CD615" i="19"/>
  <c r="CD597" i="19"/>
  <c r="CE597" i="19" s="1"/>
  <c r="CD609" i="19"/>
  <c r="CD612" i="19"/>
  <c r="CE612" i="19" s="1"/>
  <c r="CD590" i="19"/>
  <c r="CD593" i="19"/>
  <c r="CE593" i="19" s="1"/>
  <c r="CD596" i="19"/>
  <c r="CD611" i="19"/>
  <c r="BM613" i="19"/>
  <c r="I1069" i="19"/>
  <c r="CA1069" i="19" s="1"/>
  <c r="I1068" i="19"/>
  <c r="L1068" i="19" s="1"/>
  <c r="CC1069" i="19"/>
  <c r="CB1069" i="19"/>
  <c r="BZ1069" i="19"/>
  <c r="BL1069" i="19"/>
  <c r="BF1069" i="19"/>
  <c r="AZ1069" i="19"/>
  <c r="AT1069" i="19"/>
  <c r="AN1069" i="19"/>
  <c r="AH1069" i="19"/>
  <c r="AB1069" i="19"/>
  <c r="R1069" i="19"/>
  <c r="CC1068" i="19"/>
  <c r="CB1068" i="19"/>
  <c r="BZ1068" i="19"/>
  <c r="BL1068" i="19"/>
  <c r="BF1068" i="19"/>
  <c r="AZ1068" i="19"/>
  <c r="AT1068" i="19"/>
  <c r="AN1068" i="19"/>
  <c r="AH1068" i="19"/>
  <c r="AB1068" i="19"/>
  <c r="R1068" i="19"/>
  <c r="K1059" i="19"/>
  <c r="J1056" i="19"/>
  <c r="I1056" i="19"/>
  <c r="CE615" i="19" l="1"/>
  <c r="CA1068" i="19"/>
  <c r="CD1068" i="19" s="1"/>
  <c r="B1205" i="19"/>
  <c r="CE588" i="19"/>
  <c r="CE176" i="19"/>
  <c r="CE609" i="19"/>
  <c r="CE611" i="19"/>
  <c r="CE312" i="19"/>
  <c r="CE614" i="19"/>
  <c r="CE594" i="19"/>
  <c r="CE595" i="19"/>
  <c r="CE590" i="19"/>
  <c r="CE592" i="19"/>
  <c r="CE596" i="19"/>
  <c r="CE255" i="19"/>
  <c r="CE311" i="19"/>
  <c r="CD1069" i="19"/>
  <c r="L1069" i="19"/>
  <c r="CE1068" i="19" l="1"/>
  <c r="CE1069" i="19"/>
  <c r="CC703" i="19" l="1"/>
  <c r="CB703" i="19"/>
  <c r="CA703" i="19"/>
  <c r="BZ703" i="19"/>
  <c r="BL703" i="19"/>
  <c r="BF703" i="19"/>
  <c r="AZ703" i="19"/>
  <c r="AT703" i="19"/>
  <c r="AN703" i="19"/>
  <c r="AH703" i="19"/>
  <c r="AB703" i="19"/>
  <c r="R703" i="19"/>
  <c r="L703" i="19"/>
  <c r="CD703" i="19" l="1"/>
  <c r="AS1050" i="19"/>
  <c r="AM1050" i="19"/>
  <c r="CE703" i="19" l="1"/>
  <c r="W392" i="19" l="1"/>
  <c r="W389" i="19"/>
  <c r="W245" i="19"/>
  <c r="BL587" i="19" l="1"/>
  <c r="BF587" i="19"/>
  <c r="AZ587" i="19"/>
  <c r="AT587" i="19"/>
  <c r="AN587" i="19"/>
  <c r="AH587" i="19"/>
  <c r="AB587" i="19"/>
  <c r="R587" i="19"/>
  <c r="CC533" i="19" l="1"/>
  <c r="CB533" i="19"/>
  <c r="CA533" i="19"/>
  <c r="BZ533" i="19"/>
  <c r="BL533" i="19"/>
  <c r="BF533" i="19"/>
  <c r="AZ533" i="19"/>
  <c r="AT533" i="19"/>
  <c r="AN533" i="19"/>
  <c r="AH533" i="19"/>
  <c r="AB533" i="19"/>
  <c r="R533" i="19"/>
  <c r="L533" i="19"/>
  <c r="CC532" i="19"/>
  <c r="CB532" i="19"/>
  <c r="CA532" i="19"/>
  <c r="BZ532" i="19"/>
  <c r="BL532" i="19"/>
  <c r="BF532" i="19"/>
  <c r="AZ532" i="19"/>
  <c r="AT532" i="19"/>
  <c r="AN532" i="19"/>
  <c r="AH532" i="19"/>
  <c r="AB532" i="19"/>
  <c r="R532" i="19"/>
  <c r="L532" i="19"/>
  <c r="CC476" i="19"/>
  <c r="CB476" i="19"/>
  <c r="CA476" i="19"/>
  <c r="BZ476" i="19"/>
  <c r="BL476" i="19"/>
  <c r="BF476" i="19"/>
  <c r="AZ476" i="19"/>
  <c r="AT476" i="19"/>
  <c r="AN476" i="19"/>
  <c r="AH476" i="19"/>
  <c r="AB476" i="19"/>
  <c r="R476" i="19"/>
  <c r="L476" i="19"/>
  <c r="H476" i="19"/>
  <c r="CC475" i="19"/>
  <c r="CB475" i="19"/>
  <c r="CA475" i="19"/>
  <c r="BZ475" i="19"/>
  <c r="BL475" i="19"/>
  <c r="BF475" i="19"/>
  <c r="AZ475" i="19"/>
  <c r="AT475" i="19"/>
  <c r="AN475" i="19"/>
  <c r="AH475" i="19"/>
  <c r="AB475" i="19"/>
  <c r="R475" i="19"/>
  <c r="L475" i="19"/>
  <c r="CC474" i="19"/>
  <c r="CB474" i="19"/>
  <c r="CA474" i="19"/>
  <c r="BZ474" i="19"/>
  <c r="BL474" i="19"/>
  <c r="BF474" i="19"/>
  <c r="AZ474" i="19"/>
  <c r="AT474" i="19"/>
  <c r="AN474" i="19"/>
  <c r="AH474" i="19"/>
  <c r="AB474" i="19"/>
  <c r="R474" i="19"/>
  <c r="L474" i="19"/>
  <c r="CC473" i="19"/>
  <c r="CB473" i="19"/>
  <c r="CA473" i="19"/>
  <c r="BZ473" i="19"/>
  <c r="BL473" i="19"/>
  <c r="BF473" i="19"/>
  <c r="AZ473" i="19"/>
  <c r="AT473" i="19"/>
  <c r="AN473" i="19"/>
  <c r="AH473" i="19"/>
  <c r="AB473" i="19"/>
  <c r="R473" i="19"/>
  <c r="L473" i="19"/>
  <c r="CC472" i="19"/>
  <c r="CB472" i="19"/>
  <c r="CA472" i="19"/>
  <c r="BZ472" i="19"/>
  <c r="BL472" i="19"/>
  <c r="BF472" i="19"/>
  <c r="AZ472" i="19"/>
  <c r="AT472" i="19"/>
  <c r="AN472" i="19"/>
  <c r="AH472" i="19"/>
  <c r="AB472" i="19"/>
  <c r="R472" i="19"/>
  <c r="L472" i="19"/>
  <c r="CC471" i="19"/>
  <c r="CB471" i="19"/>
  <c r="CA471" i="19"/>
  <c r="BZ471" i="19"/>
  <c r="BL471" i="19"/>
  <c r="BF471" i="19"/>
  <c r="AZ471" i="19"/>
  <c r="AT471" i="19"/>
  <c r="AN471" i="19"/>
  <c r="AH471" i="19"/>
  <c r="AB471" i="19"/>
  <c r="R471" i="19"/>
  <c r="L471" i="19"/>
  <c r="CD476" i="19" l="1"/>
  <c r="CE476" i="19" s="1"/>
  <c r="CD533" i="19"/>
  <c r="CD475" i="19"/>
  <c r="CE475" i="19" s="1"/>
  <c r="BM476" i="19"/>
  <c r="CD472" i="19"/>
  <c r="CD473" i="19"/>
  <c r="CE473" i="19" s="1"/>
  <c r="CD474" i="19"/>
  <c r="CE474" i="19" s="1"/>
  <c r="CE472" i="19" l="1"/>
  <c r="CE533" i="19"/>
  <c r="CE471" i="19"/>
  <c r="CE532" i="19"/>
  <c r="AQ1055" i="19" l="1"/>
  <c r="AK1055" i="19"/>
  <c r="E93" i="2" l="1"/>
  <c r="H82" i="2"/>
  <c r="B88" i="2"/>
  <c r="J92" i="2"/>
  <c r="B89" i="2"/>
  <c r="J87" i="2"/>
  <c r="J95" i="2"/>
  <c r="E91" i="2"/>
  <c r="E90" i="2"/>
  <c r="B86" i="2"/>
  <c r="H94" i="2"/>
  <c r="D96" i="2"/>
  <c r="J89" i="2"/>
  <c r="E95" i="2"/>
  <c r="D93" i="2"/>
  <c r="B90" i="2"/>
  <c r="B91" i="2"/>
  <c r="B93" i="2"/>
  <c r="G97" i="2"/>
  <c r="J93" i="2"/>
  <c r="B92" i="2"/>
  <c r="J90" i="2"/>
  <c r="G82" i="2"/>
  <c r="B83" i="2"/>
  <c r="J88" i="2"/>
  <c r="J86" i="2"/>
  <c r="E94" i="2"/>
  <c r="D89" i="2"/>
  <c r="D84" i="2"/>
  <c r="H84" i="2"/>
  <c r="E85" i="2"/>
  <c r="J97" i="2"/>
  <c r="G88" i="2"/>
  <c r="B84" i="2"/>
  <c r="B82" i="2"/>
  <c r="D83" i="2"/>
  <c r="H83" i="2"/>
  <c r="E88" i="2"/>
  <c r="H93" i="2"/>
  <c r="D95" i="2"/>
  <c r="G94" i="2"/>
  <c r="G96" i="2"/>
  <c r="E92" i="2"/>
  <c r="D86" i="2"/>
  <c r="H89" i="2"/>
  <c r="D82" i="2"/>
  <c r="G86" i="2"/>
  <c r="D88" i="2"/>
  <c r="B96" i="2"/>
  <c r="H88" i="2"/>
  <c r="B87" i="2"/>
  <c r="H91" i="2"/>
  <c r="I91" i="2" s="1"/>
  <c r="E83" i="2"/>
  <c r="E87" i="2"/>
  <c r="H95" i="2"/>
  <c r="J82" i="2"/>
  <c r="G87" i="2"/>
  <c r="D85" i="2"/>
  <c r="H85" i="2"/>
  <c r="H90" i="2"/>
  <c r="B94" i="2"/>
  <c r="E89" i="2"/>
  <c r="E96" i="2"/>
  <c r="E97" i="2"/>
  <c r="D91" i="2"/>
  <c r="H92" i="2"/>
  <c r="B95" i="2"/>
  <c r="G83" i="2"/>
  <c r="D87" i="2"/>
  <c r="H86" i="2"/>
  <c r="D90" i="2"/>
  <c r="G89" i="2"/>
  <c r="J94" i="2"/>
  <c r="I94" i="2" s="1"/>
  <c r="G91" i="2"/>
  <c r="G93" i="2"/>
  <c r="F93" i="2" s="1"/>
  <c r="E84" i="2"/>
  <c r="G92" i="2"/>
  <c r="H96" i="2"/>
  <c r="J83" i="2"/>
  <c r="B85" i="2"/>
  <c r="E86" i="2"/>
  <c r="E82" i="2"/>
  <c r="G90" i="2"/>
  <c r="F90" i="2" s="1"/>
  <c r="D94" i="2"/>
  <c r="H87" i="2"/>
  <c r="J84" i="2"/>
  <c r="G85" i="2"/>
  <c r="B97" i="2"/>
  <c r="G95" i="2"/>
  <c r="F95" i="2" s="1"/>
  <c r="D97" i="2"/>
  <c r="H97" i="2"/>
  <c r="J96" i="2"/>
  <c r="D92" i="2"/>
  <c r="J85" i="2"/>
  <c r="G84" i="2"/>
  <c r="I82" i="2" l="1"/>
  <c r="C88" i="2"/>
  <c r="I87" i="2"/>
  <c r="C92" i="2"/>
  <c r="C90" i="2"/>
  <c r="C83" i="2"/>
  <c r="I92" i="2"/>
  <c r="I84" i="2"/>
  <c r="K82" i="2"/>
  <c r="C89" i="2"/>
  <c r="C91" i="2"/>
  <c r="K93" i="2"/>
  <c r="F85" i="2"/>
  <c r="K83" i="2"/>
  <c r="M96" i="2"/>
  <c r="C82" i="2"/>
  <c r="I83" i="2"/>
  <c r="I89" i="2"/>
  <c r="M89" i="2"/>
  <c r="K90" i="2"/>
  <c r="C86" i="2"/>
  <c r="C93" i="2"/>
  <c r="F88" i="2"/>
  <c r="C84" i="2"/>
  <c r="K94" i="2"/>
  <c r="F97" i="2"/>
  <c r="M97" i="2"/>
  <c r="K84" i="2"/>
  <c r="C96" i="2"/>
  <c r="C95" i="2"/>
  <c r="I88" i="2"/>
  <c r="I97" i="2"/>
  <c r="I93" i="2"/>
  <c r="F94" i="2"/>
  <c r="F96" i="2"/>
  <c r="K87" i="2"/>
  <c r="I85" i="2"/>
  <c r="M91" i="2"/>
  <c r="M83" i="2"/>
  <c r="F86" i="2"/>
  <c r="K85" i="2"/>
  <c r="M86" i="2"/>
  <c r="M94" i="2"/>
  <c r="C87" i="2"/>
  <c r="K95" i="2"/>
  <c r="K92" i="2"/>
  <c r="M84" i="2"/>
  <c r="C85" i="2"/>
  <c r="M92" i="2"/>
  <c r="K86" i="2"/>
  <c r="I96" i="2"/>
  <c r="I90" i="2"/>
  <c r="B98" i="2"/>
  <c r="K97" i="2"/>
  <c r="I95" i="2"/>
  <c r="F82" i="2"/>
  <c r="F87" i="2"/>
  <c r="E98" i="2"/>
  <c r="F89" i="2"/>
  <c r="F91" i="2"/>
  <c r="M88" i="2"/>
  <c r="F83" i="2"/>
  <c r="M82" i="2"/>
  <c r="J98" i="2"/>
  <c r="D98" i="2"/>
  <c r="M90" i="2"/>
  <c r="M87" i="2"/>
  <c r="K88" i="2"/>
  <c r="K96" i="2"/>
  <c r="K89" i="2"/>
  <c r="M85" i="2"/>
  <c r="F92" i="2"/>
  <c r="K91" i="2"/>
  <c r="M95" i="2"/>
  <c r="G98" i="2"/>
  <c r="H98" i="2"/>
  <c r="I86" i="2"/>
  <c r="C97" i="2"/>
  <c r="M93" i="2"/>
  <c r="F84" i="2"/>
  <c r="C94" i="2"/>
  <c r="CC814" i="19"/>
  <c r="CB814" i="19"/>
  <c r="CA814" i="19"/>
  <c r="BZ814" i="19"/>
  <c r="BL814" i="19"/>
  <c r="BF814" i="19"/>
  <c r="AZ814" i="19"/>
  <c r="AT814" i="19"/>
  <c r="AN814" i="19"/>
  <c r="AH814" i="19"/>
  <c r="AB814" i="19"/>
  <c r="R814" i="19"/>
  <c r="L814" i="19"/>
  <c r="CC813" i="19"/>
  <c r="CB813" i="19"/>
  <c r="CA813" i="19"/>
  <c r="BZ813" i="19"/>
  <c r="BL813" i="19"/>
  <c r="BF813" i="19"/>
  <c r="AZ813" i="19"/>
  <c r="AT813" i="19"/>
  <c r="AN813" i="19"/>
  <c r="AH813" i="19"/>
  <c r="AB813" i="19"/>
  <c r="R813" i="19"/>
  <c r="L813" i="19"/>
  <c r="CC812" i="19"/>
  <c r="CB812" i="19"/>
  <c r="CA812" i="19"/>
  <c r="BZ812" i="19"/>
  <c r="BL812" i="19"/>
  <c r="BF812" i="19"/>
  <c r="AZ812" i="19"/>
  <c r="AT812" i="19"/>
  <c r="AN812" i="19"/>
  <c r="AH812" i="19"/>
  <c r="AB812" i="19"/>
  <c r="R812" i="19"/>
  <c r="L812" i="19"/>
  <c r="CC811" i="19"/>
  <c r="CB811" i="19"/>
  <c r="CA811" i="19"/>
  <c r="BZ811" i="19"/>
  <c r="BL811" i="19"/>
  <c r="BF811" i="19"/>
  <c r="AZ811" i="19"/>
  <c r="AT811" i="19"/>
  <c r="AN811" i="19"/>
  <c r="AH811" i="19"/>
  <c r="AB811" i="19"/>
  <c r="R811" i="19"/>
  <c r="L811" i="19"/>
  <c r="CC810" i="19"/>
  <c r="CB810" i="19"/>
  <c r="CA810" i="19"/>
  <c r="BZ810" i="19"/>
  <c r="BL810" i="19"/>
  <c r="BF810" i="19"/>
  <c r="AZ810" i="19"/>
  <c r="AT810" i="19"/>
  <c r="AN810" i="19"/>
  <c r="AH810" i="19"/>
  <c r="AB810" i="19"/>
  <c r="R810" i="19"/>
  <c r="L810" i="19"/>
  <c r="CC809" i="19"/>
  <c r="CB809" i="19"/>
  <c r="CA809" i="19"/>
  <c r="BZ809" i="19"/>
  <c r="BL809" i="19"/>
  <c r="BF809" i="19"/>
  <c r="AZ809" i="19"/>
  <c r="AT809" i="19"/>
  <c r="AN809" i="19"/>
  <c r="AH809" i="19"/>
  <c r="AB809" i="19"/>
  <c r="R809" i="19"/>
  <c r="L809" i="19"/>
  <c r="H809" i="19"/>
  <c r="CC808" i="19"/>
  <c r="CB808" i="19"/>
  <c r="CA808" i="19"/>
  <c r="BZ808" i="19"/>
  <c r="BL808" i="19"/>
  <c r="BF808" i="19"/>
  <c r="AZ808" i="19"/>
  <c r="AT808" i="19"/>
  <c r="AN808" i="19"/>
  <c r="AH808" i="19"/>
  <c r="AB808" i="19"/>
  <c r="R808" i="19"/>
  <c r="L808" i="19"/>
  <c r="CC802" i="19"/>
  <c r="CB802" i="19"/>
  <c r="CA802" i="19"/>
  <c r="BZ802" i="19"/>
  <c r="BL802" i="19"/>
  <c r="BF802" i="19"/>
  <c r="AZ802" i="19"/>
  <c r="AT802" i="19"/>
  <c r="AN802" i="19"/>
  <c r="AH802" i="19"/>
  <c r="AB802" i="19"/>
  <c r="R802" i="19"/>
  <c r="L802" i="19"/>
  <c r="CC801" i="19"/>
  <c r="CB801" i="19"/>
  <c r="CA801" i="19"/>
  <c r="BZ801" i="19"/>
  <c r="BL801" i="19"/>
  <c r="BF801" i="19"/>
  <c r="AZ801" i="19"/>
  <c r="AT801" i="19"/>
  <c r="AN801" i="19"/>
  <c r="AH801" i="19"/>
  <c r="AB801" i="19"/>
  <c r="R801" i="19"/>
  <c r="L801" i="19"/>
  <c r="CC800" i="19"/>
  <c r="CB800" i="19"/>
  <c r="CA800" i="19"/>
  <c r="BZ800" i="19"/>
  <c r="BL800" i="19"/>
  <c r="BF800" i="19"/>
  <c r="AZ800" i="19"/>
  <c r="AT800" i="19"/>
  <c r="AN800" i="19"/>
  <c r="AH800" i="19"/>
  <c r="AB800" i="19"/>
  <c r="R800" i="19"/>
  <c r="L800" i="19"/>
  <c r="CC799" i="19"/>
  <c r="CB799" i="19"/>
  <c r="CA799" i="19"/>
  <c r="BZ799" i="19"/>
  <c r="BL799" i="19"/>
  <c r="BF799" i="19"/>
  <c r="AZ799" i="19"/>
  <c r="AT799" i="19"/>
  <c r="AN799" i="19"/>
  <c r="AH799" i="19"/>
  <c r="AB799" i="19"/>
  <c r="R799" i="19"/>
  <c r="L799" i="19"/>
  <c r="CC798" i="19"/>
  <c r="CB798" i="19"/>
  <c r="CA798" i="19"/>
  <c r="BZ798" i="19"/>
  <c r="BL798" i="19"/>
  <c r="BF798" i="19"/>
  <c r="AZ798" i="19"/>
  <c r="AT798" i="19"/>
  <c r="AN798" i="19"/>
  <c r="AH798" i="19"/>
  <c r="AB798" i="19"/>
  <c r="R798" i="19"/>
  <c r="L798" i="19"/>
  <c r="CC797" i="19"/>
  <c r="CB797" i="19"/>
  <c r="CA797" i="19"/>
  <c r="BZ797" i="19"/>
  <c r="BL797" i="19"/>
  <c r="BF797" i="19"/>
  <c r="AZ797" i="19"/>
  <c r="AT797" i="19"/>
  <c r="AN797" i="19"/>
  <c r="AH797" i="19"/>
  <c r="AB797" i="19"/>
  <c r="R797" i="19"/>
  <c r="L797" i="19"/>
  <c r="CC796" i="19"/>
  <c r="CB796" i="19"/>
  <c r="CA796" i="19"/>
  <c r="BZ796" i="19"/>
  <c r="BL796" i="19"/>
  <c r="BF796" i="19"/>
  <c r="AZ796" i="19"/>
  <c r="AT796" i="19"/>
  <c r="AN796" i="19"/>
  <c r="AH796" i="19"/>
  <c r="AB796" i="19"/>
  <c r="R796" i="19"/>
  <c r="L796" i="19"/>
  <c r="CC795" i="19"/>
  <c r="CB795" i="19"/>
  <c r="CA795" i="19"/>
  <c r="BZ795" i="19"/>
  <c r="BL795" i="19"/>
  <c r="BF795" i="19"/>
  <c r="AZ795" i="19"/>
  <c r="AT795" i="19"/>
  <c r="AN795" i="19"/>
  <c r="AH795" i="19"/>
  <c r="AB795" i="19"/>
  <c r="R795" i="19"/>
  <c r="L795" i="19"/>
  <c r="CC794" i="19"/>
  <c r="CB794" i="19"/>
  <c r="CA794" i="19"/>
  <c r="BZ794" i="19"/>
  <c r="BL794" i="19"/>
  <c r="BF794" i="19"/>
  <c r="AZ794" i="19"/>
  <c r="AT794" i="19"/>
  <c r="AN794" i="19"/>
  <c r="AH794" i="19"/>
  <c r="AB794" i="19"/>
  <c r="R794" i="19"/>
  <c r="L794" i="19"/>
  <c r="CC793" i="19"/>
  <c r="CB793" i="19"/>
  <c r="CA793" i="19"/>
  <c r="BZ793" i="19"/>
  <c r="BL793" i="19"/>
  <c r="BF793" i="19"/>
  <c r="AZ793" i="19"/>
  <c r="AT793" i="19"/>
  <c r="AN793" i="19"/>
  <c r="AH793" i="19"/>
  <c r="AB793" i="19"/>
  <c r="R793" i="19"/>
  <c r="L793" i="19"/>
  <c r="CC792" i="19"/>
  <c r="CB792" i="19"/>
  <c r="CA792" i="19"/>
  <c r="BZ792" i="19"/>
  <c r="BL792" i="19"/>
  <c r="BF792" i="19"/>
  <c r="AZ792" i="19"/>
  <c r="AT792" i="19"/>
  <c r="AN792" i="19"/>
  <c r="AH792" i="19"/>
  <c r="AB792" i="19"/>
  <c r="R792" i="19"/>
  <c r="L792" i="19"/>
  <c r="CC791" i="19"/>
  <c r="CB791" i="19"/>
  <c r="CA791" i="19"/>
  <c r="BZ791" i="19"/>
  <c r="BL791" i="19"/>
  <c r="BF791" i="19"/>
  <c r="AZ791" i="19"/>
  <c r="AT791" i="19"/>
  <c r="AN791" i="19"/>
  <c r="AH791" i="19"/>
  <c r="AB791" i="19"/>
  <c r="R791" i="19"/>
  <c r="L791" i="19"/>
  <c r="CC790" i="19"/>
  <c r="CB790" i="19"/>
  <c r="CA790" i="19"/>
  <c r="BZ790" i="19"/>
  <c r="BL790" i="19"/>
  <c r="BF790" i="19"/>
  <c r="AZ790" i="19"/>
  <c r="AT790" i="19"/>
  <c r="AN790" i="19"/>
  <c r="AH790" i="19"/>
  <c r="AB790" i="19"/>
  <c r="R790" i="19"/>
  <c r="L790" i="19"/>
  <c r="CC787" i="19"/>
  <c r="CB787" i="19"/>
  <c r="CA787" i="19"/>
  <c r="BZ787" i="19"/>
  <c r="BL787" i="19"/>
  <c r="BF787" i="19"/>
  <c r="AZ787" i="19"/>
  <c r="AT787" i="19"/>
  <c r="AN787" i="19"/>
  <c r="AH787" i="19"/>
  <c r="AB787" i="19"/>
  <c r="R787" i="19"/>
  <c r="L787" i="19"/>
  <c r="CC786" i="19"/>
  <c r="CB786" i="19"/>
  <c r="CA786" i="19"/>
  <c r="BZ786" i="19"/>
  <c r="BL786" i="19"/>
  <c r="BF786" i="19"/>
  <c r="AZ786" i="19"/>
  <c r="AT786" i="19"/>
  <c r="AN786" i="19"/>
  <c r="AH786" i="19"/>
  <c r="AB786" i="19"/>
  <c r="R786" i="19"/>
  <c r="L786" i="19"/>
  <c r="CC175" i="19"/>
  <c r="CB175" i="19"/>
  <c r="CA175" i="19"/>
  <c r="BZ175" i="19"/>
  <c r="BL175" i="19"/>
  <c r="BF175" i="19"/>
  <c r="AZ175" i="19"/>
  <c r="AT175" i="19"/>
  <c r="AN175" i="19"/>
  <c r="AH175" i="19"/>
  <c r="AB175" i="19"/>
  <c r="R175" i="19"/>
  <c r="L175" i="19"/>
  <c r="CC174" i="19"/>
  <c r="CB174" i="19"/>
  <c r="CA174" i="19"/>
  <c r="BZ174" i="19"/>
  <c r="BL174" i="19"/>
  <c r="BF174" i="19"/>
  <c r="AZ174" i="19"/>
  <c r="AT174" i="19"/>
  <c r="AN174" i="19"/>
  <c r="AH174" i="19"/>
  <c r="AB174" i="19"/>
  <c r="R174" i="19"/>
  <c r="L174" i="19"/>
  <c r="H174" i="19"/>
  <c r="CC173" i="19"/>
  <c r="CB173" i="19"/>
  <c r="CA173" i="19"/>
  <c r="BZ173" i="19"/>
  <c r="BL173" i="19"/>
  <c r="BF173" i="19"/>
  <c r="AZ173" i="19"/>
  <c r="AT173" i="19"/>
  <c r="AN173" i="19"/>
  <c r="AH173" i="19"/>
  <c r="AB173" i="19"/>
  <c r="R173" i="19"/>
  <c r="L173" i="19"/>
  <c r="CC172" i="19"/>
  <c r="CB172" i="19"/>
  <c r="CA172" i="19"/>
  <c r="BZ172" i="19"/>
  <c r="BL172" i="19"/>
  <c r="BF172" i="19"/>
  <c r="AZ172" i="19"/>
  <c r="AT172" i="19"/>
  <c r="AN172" i="19"/>
  <c r="AH172" i="19"/>
  <c r="AB172" i="19"/>
  <c r="R172" i="19"/>
  <c r="L172" i="19"/>
  <c r="CC290" i="19"/>
  <c r="CB290" i="19"/>
  <c r="CA290" i="19"/>
  <c r="BZ290" i="19"/>
  <c r="BL290" i="19"/>
  <c r="BF290" i="19"/>
  <c r="AZ290" i="19"/>
  <c r="AT290" i="19"/>
  <c r="AN290" i="19"/>
  <c r="AH290" i="19"/>
  <c r="AB290" i="19"/>
  <c r="R290" i="19"/>
  <c r="L290" i="19"/>
  <c r="H290" i="19"/>
  <c r="CC289" i="19"/>
  <c r="CB289" i="19"/>
  <c r="CA289" i="19"/>
  <c r="BZ289" i="19"/>
  <c r="BL289" i="19"/>
  <c r="BF289" i="19"/>
  <c r="AZ289" i="19"/>
  <c r="AT289" i="19"/>
  <c r="AN289" i="19"/>
  <c r="AH289" i="19"/>
  <c r="AB289" i="19"/>
  <c r="R289" i="19"/>
  <c r="L289" i="19"/>
  <c r="CC708" i="19"/>
  <c r="CB708" i="19"/>
  <c r="CA708" i="19"/>
  <c r="BZ708" i="19"/>
  <c r="BL708" i="19"/>
  <c r="BF708" i="19"/>
  <c r="AZ708" i="19"/>
  <c r="AT708" i="19"/>
  <c r="AN708" i="19"/>
  <c r="AH708" i="19"/>
  <c r="AB708" i="19"/>
  <c r="R708" i="19"/>
  <c r="L708" i="19"/>
  <c r="CC753" i="19"/>
  <c r="CB753" i="19"/>
  <c r="CA753" i="19"/>
  <c r="BZ753" i="19"/>
  <c r="BL753" i="19"/>
  <c r="BF753" i="19"/>
  <c r="AZ753" i="19"/>
  <c r="AT753" i="19"/>
  <c r="AN753" i="19"/>
  <c r="AH753" i="19"/>
  <c r="AB753" i="19"/>
  <c r="R753" i="19"/>
  <c r="L753" i="19"/>
  <c r="CC752" i="19"/>
  <c r="CB752" i="19"/>
  <c r="CA752" i="19"/>
  <c r="BZ752" i="19"/>
  <c r="BL752" i="19"/>
  <c r="BF752" i="19"/>
  <c r="AZ752" i="19"/>
  <c r="AT752" i="19"/>
  <c r="AN752" i="19"/>
  <c r="AH752" i="19"/>
  <c r="AB752" i="19"/>
  <c r="R752" i="19"/>
  <c r="L752" i="19"/>
  <c r="CC751" i="19"/>
  <c r="CB751" i="19"/>
  <c r="CA751" i="19"/>
  <c r="BZ751" i="19"/>
  <c r="BL751" i="19"/>
  <c r="BF751" i="19"/>
  <c r="AZ751" i="19"/>
  <c r="AT751" i="19"/>
  <c r="AN751" i="19"/>
  <c r="AH751" i="19"/>
  <c r="AB751" i="19"/>
  <c r="R751" i="19"/>
  <c r="L751" i="19"/>
  <c r="L82" i="2" l="1"/>
  <c r="L83" i="2"/>
  <c r="L91" i="2"/>
  <c r="L90" i="2"/>
  <c r="L92" i="2"/>
  <c r="L89" i="2"/>
  <c r="L93" i="2"/>
  <c r="L94" i="2"/>
  <c r="L95" i="2"/>
  <c r="L88" i="2"/>
  <c r="L97" i="2"/>
  <c r="L84" i="2"/>
  <c r="L86" i="2"/>
  <c r="L96" i="2"/>
  <c r="L85" i="2"/>
  <c r="K98" i="2"/>
  <c r="I98" i="2"/>
  <c r="M98" i="2"/>
  <c r="E137" i="2" s="1"/>
  <c r="L87" i="2"/>
  <c r="F98" i="2"/>
  <c r="C98" i="2"/>
  <c r="CD175" i="19"/>
  <c r="CD795" i="19"/>
  <c r="CE795" i="19" s="1"/>
  <c r="CD751" i="19"/>
  <c r="BM174" i="19"/>
  <c r="BM810" i="19"/>
  <c r="CD813" i="19"/>
  <c r="CE813" i="19" s="1"/>
  <c r="CD289" i="19"/>
  <c r="CE173" i="19"/>
  <c r="CD796" i="19"/>
  <c r="CE796" i="19" s="1"/>
  <c r="CD814" i="19"/>
  <c r="CE814" i="19" s="1"/>
  <c r="CE797" i="19"/>
  <c r="CD811" i="19"/>
  <c r="CD290" i="19"/>
  <c r="CE290" i="19" s="1"/>
  <c r="CD174" i="19"/>
  <c r="CE174" i="19" s="1"/>
  <c r="CD794" i="19"/>
  <c r="CD799" i="19"/>
  <c r="CD752" i="19"/>
  <c r="CE801" i="19"/>
  <c r="CD809" i="19"/>
  <c r="CE809" i="19" s="1"/>
  <c r="CD812" i="19"/>
  <c r="CE812" i="19" s="1"/>
  <c r="CD708" i="19"/>
  <c r="CD790" i="19"/>
  <c r="CD793" i="19"/>
  <c r="CD800" i="19"/>
  <c r="CE800" i="19" s="1"/>
  <c r="CD802" i="19"/>
  <c r="CE802" i="19" s="1"/>
  <c r="CD172" i="19"/>
  <c r="BM809" i="19"/>
  <c r="CD810" i="19"/>
  <c r="CE810" i="19" s="1"/>
  <c r="CD753" i="19"/>
  <c r="CE753" i="19" s="1"/>
  <c r="BM290" i="19"/>
  <c r="CE792" i="19"/>
  <c r="CD808" i="19"/>
  <c r="AA1055" i="19"/>
  <c r="Y1055" i="19"/>
  <c r="N98" i="2" l="1"/>
  <c r="CE799" i="19"/>
  <c r="CE793" i="19"/>
  <c r="CE790" i="19"/>
  <c r="L98" i="2"/>
  <c r="CE787" i="19"/>
  <c r="CE172" i="19"/>
  <c r="CE794" i="19"/>
  <c r="CE175" i="19"/>
  <c r="CE798" i="19"/>
  <c r="CE289" i="19"/>
  <c r="CE708" i="19"/>
  <c r="CE791" i="19"/>
  <c r="CE811" i="19"/>
  <c r="CE808" i="19"/>
  <c r="CE786" i="19"/>
  <c r="CE752" i="19"/>
  <c r="CE751" i="19"/>
  <c r="BL585" i="19" l="1"/>
  <c r="BF585" i="19"/>
  <c r="AZ585" i="19"/>
  <c r="AT585" i="19"/>
  <c r="AN585" i="19"/>
  <c r="AH585" i="19"/>
  <c r="AB585" i="19"/>
  <c r="R585" i="19"/>
  <c r="BL584" i="19"/>
  <c r="BF584" i="19"/>
  <c r="AZ584" i="19"/>
  <c r="AT584" i="19"/>
  <c r="AN584" i="19"/>
  <c r="AH584" i="19"/>
  <c r="AB584" i="19"/>
  <c r="R584" i="19"/>
  <c r="BL583" i="19"/>
  <c r="BF583" i="19"/>
  <c r="AZ583" i="19"/>
  <c r="AT583" i="19"/>
  <c r="AN583" i="19"/>
  <c r="AH583" i="19"/>
  <c r="AB583" i="19"/>
  <c r="R583" i="19"/>
  <c r="BL581" i="19"/>
  <c r="BF581" i="19"/>
  <c r="AZ581" i="19"/>
  <c r="AT581" i="19"/>
  <c r="AN581" i="19"/>
  <c r="AH581" i="19"/>
  <c r="AB581" i="19"/>
  <c r="R581" i="19"/>
  <c r="BL660" i="19"/>
  <c r="BF660" i="19"/>
  <c r="AZ660" i="19"/>
  <c r="AT660" i="19"/>
  <c r="AN660" i="19"/>
  <c r="AH660" i="19"/>
  <c r="AB660" i="19"/>
  <c r="R660" i="19"/>
  <c r="CC185" i="19"/>
  <c r="CB185" i="19"/>
  <c r="CA185" i="19"/>
  <c r="BZ185" i="19"/>
  <c r="BL185" i="19"/>
  <c r="BF185" i="19"/>
  <c r="AZ185" i="19"/>
  <c r="AT185" i="19"/>
  <c r="AN185" i="19"/>
  <c r="AH185" i="19"/>
  <c r="AB185" i="19"/>
  <c r="R185" i="19"/>
  <c r="L185" i="19"/>
  <c r="CC184" i="19"/>
  <c r="CB184" i="19"/>
  <c r="CA184" i="19"/>
  <c r="BZ184" i="19"/>
  <c r="BL184" i="19"/>
  <c r="BF184" i="19"/>
  <c r="AZ184" i="19"/>
  <c r="AT184" i="19"/>
  <c r="AN184" i="19"/>
  <c r="AH184" i="19"/>
  <c r="AB184" i="19"/>
  <c r="R184" i="19"/>
  <c r="L184" i="19"/>
  <c r="CC183" i="19"/>
  <c r="CB183" i="19"/>
  <c r="CA183" i="19"/>
  <c r="BZ183" i="19"/>
  <c r="BL183" i="19"/>
  <c r="BF183" i="19"/>
  <c r="AZ183" i="19"/>
  <c r="AT183" i="19"/>
  <c r="AN183" i="19"/>
  <c r="AH183" i="19"/>
  <c r="AB183" i="19"/>
  <c r="R183" i="19"/>
  <c r="L183" i="19"/>
  <c r="CC182" i="19"/>
  <c r="CB182" i="19"/>
  <c r="CA182" i="19"/>
  <c r="BZ182" i="19"/>
  <c r="BL182" i="19"/>
  <c r="BF182" i="19"/>
  <c r="AZ182" i="19"/>
  <c r="AT182" i="19"/>
  <c r="AN182" i="19"/>
  <c r="AH182" i="19"/>
  <c r="AB182" i="19"/>
  <c r="R182" i="19"/>
  <c r="L182" i="19"/>
  <c r="BL171" i="19"/>
  <c r="BF171" i="19"/>
  <c r="AZ171" i="19"/>
  <c r="AT171" i="19"/>
  <c r="AN171" i="19"/>
  <c r="AH171" i="19"/>
  <c r="AB171" i="19"/>
  <c r="R171" i="19"/>
  <c r="CC254" i="19"/>
  <c r="CB254" i="19"/>
  <c r="CA254" i="19"/>
  <c r="BZ254" i="19"/>
  <c r="BL254" i="19"/>
  <c r="BF254" i="19"/>
  <c r="AZ254" i="19"/>
  <c r="AT254" i="19"/>
  <c r="AN254" i="19"/>
  <c r="AH254" i="19"/>
  <c r="AB254" i="19"/>
  <c r="R254" i="19"/>
  <c r="L254" i="19"/>
  <c r="CC253" i="19"/>
  <c r="CB253" i="19"/>
  <c r="CA253" i="19"/>
  <c r="BZ253" i="19"/>
  <c r="BL253" i="19"/>
  <c r="BF253" i="19"/>
  <c r="AZ253" i="19"/>
  <c r="AT253" i="19"/>
  <c r="AN253" i="19"/>
  <c r="AH253" i="19"/>
  <c r="AB253" i="19"/>
  <c r="R253" i="19"/>
  <c r="L253" i="19"/>
  <c r="BL252" i="19"/>
  <c r="BF252" i="19"/>
  <c r="AZ252" i="19"/>
  <c r="AT252" i="19"/>
  <c r="AN252" i="19"/>
  <c r="AH252" i="19"/>
  <c r="AB252" i="19"/>
  <c r="R252" i="19"/>
  <c r="CD254" i="19" l="1"/>
  <c r="CE254" i="19" s="1"/>
  <c r="CD185" i="19"/>
  <c r="CE185" i="19" s="1"/>
  <c r="CD184" i="19"/>
  <c r="CE184" i="19" s="1"/>
  <c r="BM182" i="19"/>
  <c r="BM185" i="19"/>
  <c r="CD182" i="19"/>
  <c r="CE182" i="19" s="1"/>
  <c r="CD183" i="19"/>
  <c r="CE183" i="19" s="1"/>
  <c r="BM183" i="19"/>
  <c r="BM184" i="19"/>
  <c r="CD253" i="19"/>
  <c r="CE253" i="19" l="1"/>
  <c r="CC169" i="19" l="1"/>
  <c r="CB169" i="19"/>
  <c r="CA169" i="19"/>
  <c r="BZ169" i="19"/>
  <c r="BL169" i="19"/>
  <c r="BF169" i="19"/>
  <c r="AZ169" i="19"/>
  <c r="AT169" i="19"/>
  <c r="AN169" i="19"/>
  <c r="AH169" i="19"/>
  <c r="AB169" i="19"/>
  <c r="R169" i="19"/>
  <c r="L169" i="19"/>
  <c r="CC168" i="19"/>
  <c r="CB168" i="19"/>
  <c r="CA168" i="19"/>
  <c r="BZ168" i="19"/>
  <c r="BL168" i="19"/>
  <c r="BF168" i="19"/>
  <c r="AZ168" i="19"/>
  <c r="AT168" i="19"/>
  <c r="AN168" i="19"/>
  <c r="AH168" i="19"/>
  <c r="AB168" i="19"/>
  <c r="R168" i="19"/>
  <c r="L168" i="19"/>
  <c r="CC167" i="19"/>
  <c r="CB167" i="19"/>
  <c r="CA167" i="19"/>
  <c r="BZ167" i="19"/>
  <c r="BL167" i="19"/>
  <c r="BF167" i="19"/>
  <c r="AZ167" i="19"/>
  <c r="AT167" i="19"/>
  <c r="AN167" i="19"/>
  <c r="AH167" i="19"/>
  <c r="AB167" i="19"/>
  <c r="R167" i="19"/>
  <c r="L167" i="19"/>
  <c r="CC166" i="19"/>
  <c r="CB166" i="19"/>
  <c r="CA166" i="19"/>
  <c r="BZ166" i="19"/>
  <c r="BL166" i="19"/>
  <c r="BF166" i="19"/>
  <c r="AZ166" i="19"/>
  <c r="AT166" i="19"/>
  <c r="AN166" i="19"/>
  <c r="AH166" i="19"/>
  <c r="AB166" i="19"/>
  <c r="R166" i="19"/>
  <c r="L166" i="19"/>
  <c r="CC165" i="19"/>
  <c r="CB165" i="19"/>
  <c r="CA165" i="19"/>
  <c r="BZ165" i="19"/>
  <c r="BL165" i="19"/>
  <c r="BF165" i="19"/>
  <c r="AZ165" i="19"/>
  <c r="AT165" i="19"/>
  <c r="AN165" i="19"/>
  <c r="AH165" i="19"/>
  <c r="AB165" i="19"/>
  <c r="R165" i="19"/>
  <c r="L165" i="19"/>
  <c r="CC164" i="19"/>
  <c r="CB164" i="19"/>
  <c r="CA164" i="19"/>
  <c r="BZ164" i="19"/>
  <c r="BL164" i="19"/>
  <c r="BF164" i="19"/>
  <c r="AZ164" i="19"/>
  <c r="AT164" i="19"/>
  <c r="AN164" i="19"/>
  <c r="AH164" i="19"/>
  <c r="AB164" i="19"/>
  <c r="R164" i="19"/>
  <c r="L164" i="19"/>
  <c r="CC163" i="19"/>
  <c r="CB163" i="19"/>
  <c r="CA163" i="19"/>
  <c r="BZ163" i="19"/>
  <c r="BL163" i="19"/>
  <c r="BF163" i="19"/>
  <c r="AZ163" i="19"/>
  <c r="AT163" i="19"/>
  <c r="AN163" i="19"/>
  <c r="AH163" i="19"/>
  <c r="AB163" i="19"/>
  <c r="R163" i="19"/>
  <c r="L163" i="19"/>
  <c r="CC162" i="19"/>
  <c r="CB162" i="19"/>
  <c r="CA162" i="19"/>
  <c r="BZ162" i="19"/>
  <c r="BL162" i="19"/>
  <c r="BF162" i="19"/>
  <c r="AZ162" i="19"/>
  <c r="AT162" i="19"/>
  <c r="AN162" i="19"/>
  <c r="AH162" i="19"/>
  <c r="AB162" i="19"/>
  <c r="R162" i="19"/>
  <c r="L162" i="19"/>
  <c r="CC161" i="19"/>
  <c r="CB161" i="19"/>
  <c r="CA161" i="19"/>
  <c r="BZ161" i="19"/>
  <c r="BL161" i="19"/>
  <c r="BF161" i="19"/>
  <c r="AZ161" i="19"/>
  <c r="AT161" i="19"/>
  <c r="AN161" i="19"/>
  <c r="AH161" i="19"/>
  <c r="AB161" i="19"/>
  <c r="R161" i="19"/>
  <c r="L161" i="19"/>
  <c r="CC160" i="19"/>
  <c r="CB160" i="19"/>
  <c r="CA160" i="19"/>
  <c r="BZ160" i="19"/>
  <c r="BL160" i="19"/>
  <c r="BF160" i="19"/>
  <c r="AZ160" i="19"/>
  <c r="AT160" i="19"/>
  <c r="AN160" i="19"/>
  <c r="AH160" i="19"/>
  <c r="AB160" i="19"/>
  <c r="R160" i="19"/>
  <c r="L160" i="19"/>
  <c r="CC310" i="19"/>
  <c r="CB310" i="19"/>
  <c r="CA310" i="19"/>
  <c r="BZ310" i="19"/>
  <c r="BL310" i="19"/>
  <c r="BF310" i="19"/>
  <c r="AZ310" i="19"/>
  <c r="AT310" i="19"/>
  <c r="AN310" i="19"/>
  <c r="AH310" i="19"/>
  <c r="AB310" i="19"/>
  <c r="R310" i="19"/>
  <c r="L310" i="19"/>
  <c r="CD168" i="19" l="1"/>
  <c r="CE168" i="19" s="1"/>
  <c r="CD162" i="19"/>
  <c r="CE162" i="19" s="1"/>
  <c r="CD310" i="19"/>
  <c r="CD166" i="19"/>
  <c r="CE166" i="19" s="1"/>
  <c r="CD167" i="19"/>
  <c r="CD169" i="19"/>
  <c r="BM168" i="19"/>
  <c r="CD165" i="19"/>
  <c r="CE165" i="19" s="1"/>
  <c r="CD164" i="19"/>
  <c r="CE164" i="19" s="1"/>
  <c r="CD161" i="19"/>
  <c r="CE161" i="19" s="1"/>
  <c r="CD160" i="19"/>
  <c r="CD163" i="19"/>
  <c r="CE163" i="19" s="1"/>
  <c r="CE310" i="19" l="1"/>
  <c r="CE167" i="19"/>
  <c r="CE169" i="19"/>
  <c r="CE160" i="19"/>
  <c r="CC1064" i="19"/>
  <c r="CB1064" i="19"/>
  <c r="CA1064" i="19"/>
  <c r="BZ1064" i="19"/>
  <c r="BL1064" i="19"/>
  <c r="BF1064" i="19"/>
  <c r="AZ1064" i="19"/>
  <c r="AT1064" i="19"/>
  <c r="AN1064" i="19"/>
  <c r="AH1064" i="19"/>
  <c r="AB1064" i="19"/>
  <c r="R1064" i="19"/>
  <c r="L1064" i="19"/>
  <c r="CD1064" i="19" l="1"/>
  <c r="CC1092" i="19"/>
  <c r="CB1092" i="19"/>
  <c r="CA1092" i="19"/>
  <c r="BZ1092" i="19"/>
  <c r="BL1092" i="19"/>
  <c r="BF1092" i="19"/>
  <c r="AZ1092" i="19"/>
  <c r="AT1092" i="19"/>
  <c r="AN1092" i="19"/>
  <c r="AH1092" i="19"/>
  <c r="AB1092" i="19"/>
  <c r="R1092" i="19"/>
  <c r="L1092" i="19"/>
  <c r="CC1091" i="19"/>
  <c r="CB1091" i="19"/>
  <c r="CA1091" i="19"/>
  <c r="BZ1091" i="19"/>
  <c r="BL1091" i="19"/>
  <c r="BF1091" i="19"/>
  <c r="AZ1091" i="19"/>
  <c r="AT1091" i="19"/>
  <c r="AN1091" i="19"/>
  <c r="AH1091" i="19"/>
  <c r="AB1091" i="19"/>
  <c r="R1091" i="19"/>
  <c r="L1091" i="19"/>
  <c r="CC1090" i="19"/>
  <c r="CB1090" i="19"/>
  <c r="CA1090" i="19"/>
  <c r="BZ1090" i="19"/>
  <c r="BL1090" i="19"/>
  <c r="BF1090" i="19"/>
  <c r="AZ1090" i="19"/>
  <c r="AT1090" i="19"/>
  <c r="AN1090" i="19"/>
  <c r="AH1090" i="19"/>
  <c r="AB1090" i="19"/>
  <c r="R1090" i="19"/>
  <c r="L1090" i="19"/>
  <c r="CC1089" i="19"/>
  <c r="CB1089" i="19"/>
  <c r="CA1089" i="19"/>
  <c r="BZ1089" i="19"/>
  <c r="BL1089" i="19"/>
  <c r="BF1089" i="19"/>
  <c r="AZ1089" i="19"/>
  <c r="AT1089" i="19"/>
  <c r="AN1089" i="19"/>
  <c r="AH1089" i="19"/>
  <c r="AB1089" i="19"/>
  <c r="R1089" i="19"/>
  <c r="L1089" i="19"/>
  <c r="CC1088" i="19"/>
  <c r="CB1088" i="19"/>
  <c r="CA1088" i="19"/>
  <c r="BZ1088" i="19"/>
  <c r="BL1088" i="19"/>
  <c r="BF1088" i="19"/>
  <c r="AZ1088" i="19"/>
  <c r="AT1088" i="19"/>
  <c r="AN1088" i="19"/>
  <c r="AH1088" i="19"/>
  <c r="AB1088" i="19"/>
  <c r="R1088" i="19"/>
  <c r="L1088" i="19"/>
  <c r="CC1067" i="19"/>
  <c r="CB1067" i="19"/>
  <c r="CA1067" i="19"/>
  <c r="BZ1067" i="19"/>
  <c r="BL1067" i="19"/>
  <c r="BF1067" i="19"/>
  <c r="AZ1067" i="19"/>
  <c r="AT1067" i="19"/>
  <c r="AN1067" i="19"/>
  <c r="AH1067" i="19"/>
  <c r="AB1067" i="19"/>
  <c r="R1067" i="19"/>
  <c r="L1067" i="19"/>
  <c r="CC1066" i="19"/>
  <c r="CB1066" i="19"/>
  <c r="CA1066" i="19"/>
  <c r="BZ1066" i="19"/>
  <c r="BL1066" i="19"/>
  <c r="BF1066" i="19"/>
  <c r="AZ1066" i="19"/>
  <c r="AT1066" i="19"/>
  <c r="AN1066" i="19"/>
  <c r="AH1066" i="19"/>
  <c r="AB1066" i="19"/>
  <c r="R1066" i="19"/>
  <c r="L1066" i="19"/>
  <c r="CC1065" i="19"/>
  <c r="CB1065" i="19"/>
  <c r="CA1065" i="19"/>
  <c r="BZ1065" i="19"/>
  <c r="BL1065" i="19"/>
  <c r="BF1065" i="19"/>
  <c r="AZ1065" i="19"/>
  <c r="AT1065" i="19"/>
  <c r="AN1065" i="19"/>
  <c r="AH1065" i="19"/>
  <c r="AB1065" i="19"/>
  <c r="R1065" i="19"/>
  <c r="L1065" i="19"/>
  <c r="CE1064" i="19" l="1"/>
  <c r="CD1066" i="19"/>
  <c r="CD1091" i="19"/>
  <c r="CD1090" i="19"/>
  <c r="CE1090" i="19" s="1"/>
  <c r="CD1067" i="19"/>
  <c r="CE1067" i="19" s="1"/>
  <c r="BM1090" i="19"/>
  <c r="CD1092" i="19"/>
  <c r="CE1092" i="19" s="1"/>
  <c r="CD1089" i="19"/>
  <c r="CD1065" i="19"/>
  <c r="CE1065" i="19" s="1"/>
  <c r="CE1089" i="19" l="1"/>
  <c r="CE1091" i="19"/>
  <c r="CE1088" i="19"/>
  <c r="CE1066" i="19"/>
  <c r="J220" i="19" l="1"/>
  <c r="I226" i="19"/>
  <c r="I225" i="19"/>
  <c r="AK1050" i="19" l="1"/>
  <c r="AQ1050" i="19"/>
  <c r="CC423" i="19" l="1"/>
  <c r="CB423" i="19"/>
  <c r="CA423" i="19"/>
  <c r="BZ423" i="19"/>
  <c r="BL423" i="19"/>
  <c r="BF423" i="19"/>
  <c r="AZ423" i="19"/>
  <c r="AT423" i="19"/>
  <c r="AN423" i="19"/>
  <c r="AH423" i="19"/>
  <c r="AB423" i="19"/>
  <c r="R423" i="19"/>
  <c r="L423" i="19"/>
  <c r="CC422" i="19"/>
  <c r="CB422" i="19"/>
  <c r="CA422" i="19"/>
  <c r="BZ422" i="19"/>
  <c r="BL422" i="19"/>
  <c r="BF422" i="19"/>
  <c r="AZ422" i="19"/>
  <c r="AT422" i="19"/>
  <c r="AN422" i="19"/>
  <c r="AH422" i="19"/>
  <c r="AB422" i="19"/>
  <c r="R422" i="19"/>
  <c r="L422" i="19"/>
  <c r="CC421" i="19"/>
  <c r="CB421" i="19"/>
  <c r="CA421" i="19"/>
  <c r="BZ421" i="19"/>
  <c r="BL421" i="19"/>
  <c r="BF421" i="19"/>
  <c r="AZ421" i="19"/>
  <c r="AT421" i="19"/>
  <c r="AN421" i="19"/>
  <c r="AH421" i="19"/>
  <c r="AB421" i="19"/>
  <c r="R421" i="19"/>
  <c r="L421" i="19"/>
  <c r="CC420" i="19"/>
  <c r="CB420" i="19"/>
  <c r="CA420" i="19"/>
  <c r="BZ420" i="19"/>
  <c r="BL420" i="19"/>
  <c r="BF420" i="19"/>
  <c r="AZ420" i="19"/>
  <c r="AT420" i="19"/>
  <c r="AN420" i="19"/>
  <c r="AH420" i="19"/>
  <c r="AB420" i="19"/>
  <c r="R420" i="19"/>
  <c r="L420" i="19"/>
  <c r="CC419" i="19"/>
  <c r="CB419" i="19"/>
  <c r="CA419" i="19"/>
  <c r="BZ419" i="19"/>
  <c r="BL419" i="19"/>
  <c r="BF419" i="19"/>
  <c r="AZ419" i="19"/>
  <c r="AT419" i="19"/>
  <c r="AN419" i="19"/>
  <c r="AH419" i="19"/>
  <c r="AB419" i="19"/>
  <c r="R419" i="19"/>
  <c r="L419" i="19"/>
  <c r="CC418" i="19"/>
  <c r="CB418" i="19"/>
  <c r="CA418" i="19"/>
  <c r="BZ418" i="19"/>
  <c r="BL418" i="19"/>
  <c r="BF418" i="19"/>
  <c r="AZ418" i="19"/>
  <c r="AT418" i="19"/>
  <c r="AN418" i="19"/>
  <c r="AH418" i="19"/>
  <c r="AB418" i="19"/>
  <c r="R418" i="19"/>
  <c r="L418" i="19"/>
  <c r="CC417" i="19"/>
  <c r="CB417" i="19"/>
  <c r="CA417" i="19"/>
  <c r="BZ417" i="19"/>
  <c r="BL417" i="19"/>
  <c r="BF417" i="19"/>
  <c r="AZ417" i="19"/>
  <c r="AT417" i="19"/>
  <c r="AN417" i="19"/>
  <c r="AH417" i="19"/>
  <c r="AB417" i="19"/>
  <c r="R417" i="19"/>
  <c r="L417" i="19"/>
  <c r="H417" i="19"/>
  <c r="CC416" i="19"/>
  <c r="CB416" i="19"/>
  <c r="CA416" i="19"/>
  <c r="BZ416" i="19"/>
  <c r="BL416" i="19"/>
  <c r="BF416" i="19"/>
  <c r="AZ416" i="19"/>
  <c r="AT416" i="19"/>
  <c r="AN416" i="19"/>
  <c r="AH416" i="19"/>
  <c r="AB416" i="19"/>
  <c r="R416" i="19"/>
  <c r="L416" i="19"/>
  <c r="CC415" i="19"/>
  <c r="CB415" i="19"/>
  <c r="CA415" i="19"/>
  <c r="BZ415" i="19"/>
  <c r="BL415" i="19"/>
  <c r="BF415" i="19"/>
  <c r="AZ415" i="19"/>
  <c r="AT415" i="19"/>
  <c r="AN415" i="19"/>
  <c r="AH415" i="19"/>
  <c r="AB415" i="19"/>
  <c r="R415" i="19"/>
  <c r="L415" i="19"/>
  <c r="CD422" i="19" l="1"/>
  <c r="CE422" i="19" s="1"/>
  <c r="BM417" i="19"/>
  <c r="CD418" i="19"/>
  <c r="CD420" i="19"/>
  <c r="CE420" i="19" s="1"/>
  <c r="CD415" i="19"/>
  <c r="CD419" i="19"/>
  <c r="CE419" i="19" s="1"/>
  <c r="CD421" i="19"/>
  <c r="CD423" i="19"/>
  <c r="CE423" i="19" s="1"/>
  <c r="CD416" i="19"/>
  <c r="CE416" i="19" s="1"/>
  <c r="CD417" i="19"/>
  <c r="CE417" i="19" s="1"/>
  <c r="CE421" i="19" l="1"/>
  <c r="CE415" i="19"/>
  <c r="CE418" i="19"/>
  <c r="CC414" i="19" l="1"/>
  <c r="CB414" i="19"/>
  <c r="CA414" i="19"/>
  <c r="BZ414" i="19"/>
  <c r="BL414" i="19"/>
  <c r="BF414" i="19"/>
  <c r="AZ414" i="19"/>
  <c r="AT414" i="19"/>
  <c r="AN414" i="19"/>
  <c r="AH414" i="19"/>
  <c r="AB414" i="19"/>
  <c r="R414" i="19"/>
  <c r="L414" i="19"/>
  <c r="CC413" i="19"/>
  <c r="CB413" i="19"/>
  <c r="CA413" i="19"/>
  <c r="BZ413" i="19"/>
  <c r="BL413" i="19"/>
  <c r="BF413" i="19"/>
  <c r="AZ413" i="19"/>
  <c r="AT413" i="19"/>
  <c r="AN413" i="19"/>
  <c r="AH413" i="19"/>
  <c r="AB413" i="19"/>
  <c r="R413" i="19"/>
  <c r="L413" i="19"/>
  <c r="CC412" i="19"/>
  <c r="CB412" i="19"/>
  <c r="CA412" i="19"/>
  <c r="BZ412" i="19"/>
  <c r="BL412" i="19"/>
  <c r="BF412" i="19"/>
  <c r="AZ412" i="19"/>
  <c r="AT412" i="19"/>
  <c r="AN412" i="19"/>
  <c r="AH412" i="19"/>
  <c r="AB412" i="19"/>
  <c r="R412" i="19"/>
  <c r="L412" i="19"/>
  <c r="CD414" i="19" l="1"/>
  <c r="CE414" i="19" s="1"/>
  <c r="BM414" i="19"/>
  <c r="BM413" i="19"/>
  <c r="CD413" i="19"/>
  <c r="CE413" i="19" l="1"/>
  <c r="CE412" i="19"/>
  <c r="AA1050" i="19" l="1"/>
  <c r="Z1050" i="19"/>
  <c r="Y1050" i="19"/>
  <c r="CC785" i="19" l="1"/>
  <c r="CB785" i="19"/>
  <c r="CA785" i="19"/>
  <c r="BZ785" i="19"/>
  <c r="BL785" i="19"/>
  <c r="BF785" i="19"/>
  <c r="AZ785" i="19"/>
  <c r="AT785" i="19"/>
  <c r="AN785" i="19"/>
  <c r="AH785" i="19"/>
  <c r="AB785" i="19"/>
  <c r="R785" i="19"/>
  <c r="L785" i="19"/>
  <c r="CC784" i="19"/>
  <c r="CB784" i="19"/>
  <c r="CA784" i="19"/>
  <c r="BZ784" i="19"/>
  <c r="BL784" i="19"/>
  <c r="BF784" i="19"/>
  <c r="AZ784" i="19"/>
  <c r="AT784" i="19"/>
  <c r="AN784" i="19"/>
  <c r="AH784" i="19"/>
  <c r="AB784" i="19"/>
  <c r="R784" i="19"/>
  <c r="L784" i="19"/>
  <c r="CC783" i="19"/>
  <c r="CB783" i="19"/>
  <c r="CA783" i="19"/>
  <c r="BZ783" i="19"/>
  <c r="BL783" i="19"/>
  <c r="BF783" i="19"/>
  <c r="AZ783" i="19"/>
  <c r="AT783" i="19"/>
  <c r="AN783" i="19"/>
  <c r="AH783" i="19"/>
  <c r="AB783" i="19"/>
  <c r="R783" i="19"/>
  <c r="L783" i="19"/>
  <c r="CC782" i="19"/>
  <c r="CB782" i="19"/>
  <c r="CA782" i="19"/>
  <c r="BZ782" i="19"/>
  <c r="BL782" i="19"/>
  <c r="BF782" i="19"/>
  <c r="AZ782" i="19"/>
  <c r="AT782" i="19"/>
  <c r="AN782" i="19"/>
  <c r="AH782" i="19"/>
  <c r="AB782" i="19"/>
  <c r="R782" i="19"/>
  <c r="L782" i="19"/>
  <c r="CC781" i="19"/>
  <c r="CB781" i="19"/>
  <c r="CA781" i="19"/>
  <c r="BZ781" i="19"/>
  <c r="BL781" i="19"/>
  <c r="BF781" i="19"/>
  <c r="AZ781" i="19"/>
  <c r="AT781" i="19"/>
  <c r="AN781" i="19"/>
  <c r="AH781" i="19"/>
  <c r="AB781" i="19"/>
  <c r="R781" i="19"/>
  <c r="L781" i="19"/>
  <c r="CC780" i="19"/>
  <c r="CB780" i="19"/>
  <c r="CA780" i="19"/>
  <c r="BZ780" i="19"/>
  <c r="BL780" i="19"/>
  <c r="BF780" i="19"/>
  <c r="AZ780" i="19"/>
  <c r="AT780" i="19"/>
  <c r="AN780" i="19"/>
  <c r="AH780" i="19"/>
  <c r="AB780" i="19"/>
  <c r="R780" i="19"/>
  <c r="L780" i="19"/>
  <c r="CC779" i="19"/>
  <c r="CB779" i="19"/>
  <c r="CA779" i="19"/>
  <c r="BZ779" i="19"/>
  <c r="BL779" i="19"/>
  <c r="BF779" i="19"/>
  <c r="AZ779" i="19"/>
  <c r="AT779" i="19"/>
  <c r="AN779" i="19"/>
  <c r="AH779" i="19"/>
  <c r="AB779" i="19"/>
  <c r="R779" i="19"/>
  <c r="L779" i="19"/>
  <c r="BM784" i="19" l="1"/>
  <c r="CD781" i="19"/>
  <c r="CE781" i="19" s="1"/>
  <c r="CD783" i="19"/>
  <c r="CE783" i="19" s="1"/>
  <c r="CD784" i="19"/>
  <c r="CE784" i="19" s="1"/>
  <c r="BM785" i="19"/>
  <c r="CD785" i="19"/>
  <c r="CE785" i="19" s="1"/>
  <c r="CE780" i="19"/>
  <c r="CD782" i="19"/>
  <c r="CE782" i="19" s="1"/>
  <c r="CD779" i="19"/>
  <c r="CE779" i="19" l="1"/>
  <c r="CC702" i="19" l="1"/>
  <c r="CB702" i="19"/>
  <c r="CA702" i="19"/>
  <c r="BZ702" i="19"/>
  <c r="BL702" i="19"/>
  <c r="BF702" i="19"/>
  <c r="AZ702" i="19"/>
  <c r="AT702" i="19"/>
  <c r="AN702" i="19"/>
  <c r="AH702" i="19"/>
  <c r="AB702" i="19"/>
  <c r="R702" i="19"/>
  <c r="L702" i="19"/>
  <c r="CC701" i="19"/>
  <c r="CB701" i="19"/>
  <c r="CA701" i="19"/>
  <c r="BZ701" i="19"/>
  <c r="BL701" i="19"/>
  <c r="BF701" i="19"/>
  <c r="AZ701" i="19"/>
  <c r="AT701" i="19"/>
  <c r="AN701" i="19"/>
  <c r="AH701" i="19"/>
  <c r="AB701" i="19"/>
  <c r="R701" i="19"/>
  <c r="L701" i="19"/>
  <c r="CC700" i="19"/>
  <c r="CB700" i="19"/>
  <c r="CA700" i="19"/>
  <c r="BZ700" i="19"/>
  <c r="BL700" i="19"/>
  <c r="BF700" i="19"/>
  <c r="AZ700" i="19"/>
  <c r="AT700" i="19"/>
  <c r="AN700" i="19"/>
  <c r="AH700" i="19"/>
  <c r="AB700" i="19"/>
  <c r="R700" i="19"/>
  <c r="L700" i="19"/>
  <c r="CD702" i="19" l="1"/>
  <c r="CE702" i="19" s="1"/>
  <c r="CD700" i="19"/>
  <c r="CD701" i="19"/>
  <c r="CE700" i="19" l="1"/>
  <c r="CE701" i="19"/>
  <c r="CC309" i="19" l="1"/>
  <c r="CB309" i="19"/>
  <c r="CA309" i="19"/>
  <c r="BZ309" i="19"/>
  <c r="BL309" i="19"/>
  <c r="BF309" i="19"/>
  <c r="AZ309" i="19"/>
  <c r="AT309" i="19"/>
  <c r="AN309" i="19"/>
  <c r="AH309" i="19"/>
  <c r="AB309" i="19"/>
  <c r="R309" i="19"/>
  <c r="L309" i="19"/>
  <c r="CC308" i="19"/>
  <c r="CB308" i="19"/>
  <c r="CA308" i="19"/>
  <c r="BZ308" i="19"/>
  <c r="BL308" i="19"/>
  <c r="BF308" i="19"/>
  <c r="AZ308" i="19"/>
  <c r="AT308" i="19"/>
  <c r="AN308" i="19"/>
  <c r="AH308" i="19"/>
  <c r="AB308" i="19"/>
  <c r="R308" i="19"/>
  <c r="L308" i="19"/>
  <c r="CC307" i="19"/>
  <c r="CB307" i="19"/>
  <c r="CA307" i="19"/>
  <c r="BZ307" i="19"/>
  <c r="BL307" i="19"/>
  <c r="BF307" i="19"/>
  <c r="AZ307" i="19"/>
  <c r="AT307" i="19"/>
  <c r="AN307" i="19"/>
  <c r="AH307" i="19"/>
  <c r="AB307" i="19"/>
  <c r="R307" i="19"/>
  <c r="L307" i="19"/>
  <c r="CC306" i="19"/>
  <c r="CB306" i="19"/>
  <c r="CA306" i="19"/>
  <c r="BZ306" i="19"/>
  <c r="BL306" i="19"/>
  <c r="BF306" i="19"/>
  <c r="AZ306" i="19"/>
  <c r="AT306" i="19"/>
  <c r="AN306" i="19"/>
  <c r="AH306" i="19"/>
  <c r="AB306" i="19"/>
  <c r="R306" i="19"/>
  <c r="L306" i="19"/>
  <c r="CD309" i="19" l="1"/>
  <c r="CE309" i="19" s="1"/>
  <c r="CD307" i="19"/>
  <c r="CE307" i="19" s="1"/>
  <c r="CD308" i="19"/>
  <c r="CE308" i="19" s="1"/>
  <c r="CD306" i="19"/>
  <c r="CE306" i="19" l="1"/>
  <c r="CC288" i="19" l="1"/>
  <c r="CB288" i="19"/>
  <c r="CA288" i="19"/>
  <c r="BZ288" i="19"/>
  <c r="BL288" i="19"/>
  <c r="BF288" i="19"/>
  <c r="AZ288" i="19"/>
  <c r="AT288" i="19"/>
  <c r="AN288" i="19"/>
  <c r="AH288" i="19"/>
  <c r="AB288" i="19"/>
  <c r="R288" i="19"/>
  <c r="L288" i="19"/>
  <c r="CC287" i="19"/>
  <c r="CB287" i="19"/>
  <c r="CA287" i="19"/>
  <c r="BZ287" i="19"/>
  <c r="BL287" i="19"/>
  <c r="BF287" i="19"/>
  <c r="AZ287" i="19"/>
  <c r="AT287" i="19"/>
  <c r="AN287" i="19"/>
  <c r="AH287" i="19"/>
  <c r="AB287" i="19"/>
  <c r="R287" i="19"/>
  <c r="L287" i="19"/>
  <c r="CC286" i="19"/>
  <c r="CB286" i="19"/>
  <c r="CA286" i="19"/>
  <c r="BZ286" i="19"/>
  <c r="BL286" i="19"/>
  <c r="BF286" i="19"/>
  <c r="AZ286" i="19"/>
  <c r="AT286" i="19"/>
  <c r="AN286" i="19"/>
  <c r="AH286" i="19"/>
  <c r="AB286" i="19"/>
  <c r="R286" i="19"/>
  <c r="L286" i="19"/>
  <c r="CC250" i="19"/>
  <c r="CB250" i="19"/>
  <c r="CA250" i="19"/>
  <c r="BZ250" i="19"/>
  <c r="BL250" i="19"/>
  <c r="BF250" i="19"/>
  <c r="AZ250" i="19"/>
  <c r="AT250" i="19"/>
  <c r="AN250" i="19"/>
  <c r="AH250" i="19"/>
  <c r="AB250" i="19"/>
  <c r="R250" i="19"/>
  <c r="L250" i="19"/>
  <c r="CC249" i="19"/>
  <c r="CB249" i="19"/>
  <c r="CA249" i="19"/>
  <c r="BZ249" i="19"/>
  <c r="BL249" i="19"/>
  <c r="BF249" i="19"/>
  <c r="AZ249" i="19"/>
  <c r="AT249" i="19"/>
  <c r="AN249" i="19"/>
  <c r="AH249" i="19"/>
  <c r="AB249" i="19"/>
  <c r="R249" i="19"/>
  <c r="L249" i="19"/>
  <c r="CC248" i="19"/>
  <c r="CB248" i="19"/>
  <c r="CA248" i="19"/>
  <c r="BZ248" i="19"/>
  <c r="BL248" i="19"/>
  <c r="BF248" i="19"/>
  <c r="AZ248" i="19"/>
  <c r="AT248" i="19"/>
  <c r="AN248" i="19"/>
  <c r="AH248" i="19"/>
  <c r="AB248" i="19"/>
  <c r="R248" i="19"/>
  <c r="L248" i="19"/>
  <c r="CC247" i="19"/>
  <c r="CB247" i="19"/>
  <c r="CA247" i="19"/>
  <c r="BZ247" i="19"/>
  <c r="BL247" i="19"/>
  <c r="BF247" i="19"/>
  <c r="AZ247" i="19"/>
  <c r="AT247" i="19"/>
  <c r="AN247" i="19"/>
  <c r="AH247" i="19"/>
  <c r="AB247" i="19"/>
  <c r="R247" i="19"/>
  <c r="L247" i="19"/>
  <c r="CC246" i="19"/>
  <c r="CB246" i="19"/>
  <c r="CA246" i="19"/>
  <c r="BZ246" i="19"/>
  <c r="BL246" i="19"/>
  <c r="BF246" i="19"/>
  <c r="AZ246" i="19"/>
  <c r="AT246" i="19"/>
  <c r="AN246" i="19"/>
  <c r="AH246" i="19"/>
  <c r="AB246" i="19"/>
  <c r="R246" i="19"/>
  <c r="L246" i="19"/>
  <c r="CC245" i="19"/>
  <c r="CB245" i="19"/>
  <c r="CA245" i="19"/>
  <c r="BZ245" i="19"/>
  <c r="BL245" i="19"/>
  <c r="BF245" i="19"/>
  <c r="AZ245" i="19"/>
  <c r="AT245" i="19"/>
  <c r="AN245" i="19"/>
  <c r="AH245" i="19"/>
  <c r="AB245" i="19"/>
  <c r="R245" i="19"/>
  <c r="L245" i="19"/>
  <c r="CC244" i="19"/>
  <c r="CB244" i="19"/>
  <c r="CA244" i="19"/>
  <c r="BZ244" i="19"/>
  <c r="BL244" i="19"/>
  <c r="BF244" i="19"/>
  <c r="AZ244" i="19"/>
  <c r="AT244" i="19"/>
  <c r="AN244" i="19"/>
  <c r="AH244" i="19"/>
  <c r="AB244" i="19"/>
  <c r="R244" i="19"/>
  <c r="L244" i="19"/>
  <c r="CC243" i="19"/>
  <c r="CB243" i="19"/>
  <c r="CA243" i="19"/>
  <c r="BZ243" i="19"/>
  <c r="BL243" i="19"/>
  <c r="BF243" i="19"/>
  <c r="AZ243" i="19"/>
  <c r="AT243" i="19"/>
  <c r="AN243" i="19"/>
  <c r="AH243" i="19"/>
  <c r="AB243" i="19"/>
  <c r="R243" i="19"/>
  <c r="L243" i="19"/>
  <c r="CC242" i="19"/>
  <c r="CB242" i="19"/>
  <c r="CA242" i="19"/>
  <c r="BZ242" i="19"/>
  <c r="BL242" i="19"/>
  <c r="BF242" i="19"/>
  <c r="AZ242" i="19"/>
  <c r="AT242" i="19"/>
  <c r="AN242" i="19"/>
  <c r="AH242" i="19"/>
  <c r="AB242" i="19"/>
  <c r="R242" i="19"/>
  <c r="L242" i="19"/>
  <c r="CC241" i="19"/>
  <c r="CB241" i="19"/>
  <c r="CA241" i="19"/>
  <c r="BZ241" i="19"/>
  <c r="BL241" i="19"/>
  <c r="BF241" i="19"/>
  <c r="AZ241" i="19"/>
  <c r="AT241" i="19"/>
  <c r="AN241" i="19"/>
  <c r="AH241" i="19"/>
  <c r="AB241" i="19"/>
  <c r="R241" i="19"/>
  <c r="L241" i="19"/>
  <c r="CC240" i="19"/>
  <c r="CB240" i="19"/>
  <c r="CA240" i="19"/>
  <c r="BZ240" i="19"/>
  <c r="BL240" i="19"/>
  <c r="BF240" i="19"/>
  <c r="AZ240" i="19"/>
  <c r="AT240" i="19"/>
  <c r="AN240" i="19"/>
  <c r="AH240" i="19"/>
  <c r="AB240" i="19"/>
  <c r="R240" i="19"/>
  <c r="L240" i="19"/>
  <c r="CC239" i="19"/>
  <c r="CB239" i="19"/>
  <c r="CA239" i="19"/>
  <c r="BZ239" i="19"/>
  <c r="BL239" i="19"/>
  <c r="BF239" i="19"/>
  <c r="AZ239" i="19"/>
  <c r="AT239" i="19"/>
  <c r="AN239" i="19"/>
  <c r="AH239" i="19"/>
  <c r="AB239" i="19"/>
  <c r="R239" i="19"/>
  <c r="L239" i="19"/>
  <c r="CC238" i="19"/>
  <c r="CB238" i="19"/>
  <c r="CA238" i="19"/>
  <c r="BZ238" i="19"/>
  <c r="BL238" i="19"/>
  <c r="BF238" i="19"/>
  <c r="AZ238" i="19"/>
  <c r="AT238" i="19"/>
  <c r="AN238" i="19"/>
  <c r="AH238" i="19"/>
  <c r="AB238" i="19"/>
  <c r="R238" i="19"/>
  <c r="L238" i="19"/>
  <c r="CC237" i="19"/>
  <c r="CB237" i="19"/>
  <c r="CA237" i="19"/>
  <c r="BZ237" i="19"/>
  <c r="BL237" i="19"/>
  <c r="BF237" i="19"/>
  <c r="AZ237" i="19"/>
  <c r="AT237" i="19"/>
  <c r="AN237" i="19"/>
  <c r="AH237" i="19"/>
  <c r="AB237" i="19"/>
  <c r="R237" i="19"/>
  <c r="L237" i="19"/>
  <c r="CC236" i="19"/>
  <c r="CB236" i="19"/>
  <c r="CA236" i="19"/>
  <c r="BZ236" i="19"/>
  <c r="BL236" i="19"/>
  <c r="BF236" i="19"/>
  <c r="AZ236" i="19"/>
  <c r="AT236" i="19"/>
  <c r="AN236" i="19"/>
  <c r="AH236" i="19"/>
  <c r="AB236" i="19"/>
  <c r="R236" i="19"/>
  <c r="L236" i="19"/>
  <c r="CC235" i="19"/>
  <c r="CB235" i="19"/>
  <c r="CA235" i="19"/>
  <c r="BZ235" i="19"/>
  <c r="BL235" i="19"/>
  <c r="BF235" i="19"/>
  <c r="AZ235" i="19"/>
  <c r="AT235" i="19"/>
  <c r="AN235" i="19"/>
  <c r="AH235" i="19"/>
  <c r="AB235" i="19"/>
  <c r="R235" i="19"/>
  <c r="L235" i="19"/>
  <c r="CC159" i="19"/>
  <c r="CB159" i="19"/>
  <c r="CA159" i="19"/>
  <c r="BZ159" i="19"/>
  <c r="BL159" i="19"/>
  <c r="BF159" i="19"/>
  <c r="AZ159" i="19"/>
  <c r="AT159" i="19"/>
  <c r="AN159" i="19"/>
  <c r="AH159" i="19"/>
  <c r="AB159" i="19"/>
  <c r="R159" i="19"/>
  <c r="L159" i="19"/>
  <c r="CC158" i="19"/>
  <c r="CB158" i="19"/>
  <c r="CA158" i="19"/>
  <c r="BZ158" i="19"/>
  <c r="BL158" i="19"/>
  <c r="BF158" i="19"/>
  <c r="AZ158" i="19"/>
  <c r="AT158" i="19"/>
  <c r="AN158" i="19"/>
  <c r="AH158" i="19"/>
  <c r="AB158" i="19"/>
  <c r="R158" i="19"/>
  <c r="L158" i="19"/>
  <c r="CC157" i="19"/>
  <c r="CB157" i="19"/>
  <c r="CA157" i="19"/>
  <c r="BZ157" i="19"/>
  <c r="BL157" i="19"/>
  <c r="BF157" i="19"/>
  <c r="AZ157" i="19"/>
  <c r="AT157" i="19"/>
  <c r="AN157" i="19"/>
  <c r="AH157" i="19"/>
  <c r="AB157" i="19"/>
  <c r="R157" i="19"/>
  <c r="L157" i="19"/>
  <c r="CC156" i="19"/>
  <c r="CB156" i="19"/>
  <c r="CA156" i="19"/>
  <c r="BZ156" i="19"/>
  <c r="BL156" i="19"/>
  <c r="BF156" i="19"/>
  <c r="AZ156" i="19"/>
  <c r="AT156" i="19"/>
  <c r="AN156" i="19"/>
  <c r="AH156" i="19"/>
  <c r="AB156" i="19"/>
  <c r="R156" i="19"/>
  <c r="L156" i="19"/>
  <c r="CC155" i="19"/>
  <c r="CB155" i="19"/>
  <c r="CA155" i="19"/>
  <c r="BZ155" i="19"/>
  <c r="BL155" i="19"/>
  <c r="BF155" i="19"/>
  <c r="AZ155" i="19"/>
  <c r="AT155" i="19"/>
  <c r="AN155" i="19"/>
  <c r="AH155" i="19"/>
  <c r="AB155" i="19"/>
  <c r="R155" i="19"/>
  <c r="L155" i="19"/>
  <c r="CC154" i="19"/>
  <c r="CB154" i="19"/>
  <c r="CA154" i="19"/>
  <c r="BZ154" i="19"/>
  <c r="BL154" i="19"/>
  <c r="BF154" i="19"/>
  <c r="AZ154" i="19"/>
  <c r="AT154" i="19"/>
  <c r="AN154" i="19"/>
  <c r="AH154" i="19"/>
  <c r="AB154" i="19"/>
  <c r="R154" i="19"/>
  <c r="L154" i="19"/>
  <c r="CC153" i="19"/>
  <c r="CB153" i="19"/>
  <c r="CA153" i="19"/>
  <c r="BZ153" i="19"/>
  <c r="BL153" i="19"/>
  <c r="BF153" i="19"/>
  <c r="AZ153" i="19"/>
  <c r="AT153" i="19"/>
  <c r="AN153" i="19"/>
  <c r="AH153" i="19"/>
  <c r="AB153" i="19"/>
  <c r="R153" i="19"/>
  <c r="L153" i="19"/>
  <c r="CC152" i="19"/>
  <c r="CB152" i="19"/>
  <c r="CA152" i="19"/>
  <c r="BZ152" i="19"/>
  <c r="BL152" i="19"/>
  <c r="BF152" i="19"/>
  <c r="AZ152" i="19"/>
  <c r="AT152" i="19"/>
  <c r="AN152" i="19"/>
  <c r="AH152" i="19"/>
  <c r="AB152" i="19"/>
  <c r="R152" i="19"/>
  <c r="L152" i="19"/>
  <c r="CC151" i="19"/>
  <c r="CB151" i="19"/>
  <c r="CA151" i="19"/>
  <c r="BZ151" i="19"/>
  <c r="BL151" i="19"/>
  <c r="BF151" i="19"/>
  <c r="AZ151" i="19"/>
  <c r="AT151" i="19"/>
  <c r="AN151" i="19"/>
  <c r="AH151" i="19"/>
  <c r="AB151" i="19"/>
  <c r="R151" i="19"/>
  <c r="L151" i="19"/>
  <c r="CC150" i="19"/>
  <c r="CB150" i="19"/>
  <c r="CA150" i="19"/>
  <c r="BZ150" i="19"/>
  <c r="BL150" i="19"/>
  <c r="BF150" i="19"/>
  <c r="AZ150" i="19"/>
  <c r="AT150" i="19"/>
  <c r="AN150" i="19"/>
  <c r="AH150" i="19"/>
  <c r="AB150" i="19"/>
  <c r="R150" i="19"/>
  <c r="L150" i="19"/>
  <c r="CC149" i="19"/>
  <c r="CB149" i="19"/>
  <c r="CA149" i="19"/>
  <c r="BZ149" i="19"/>
  <c r="BL149" i="19"/>
  <c r="BF149" i="19"/>
  <c r="AZ149" i="19"/>
  <c r="AT149" i="19"/>
  <c r="AN149" i="19"/>
  <c r="AH149" i="19"/>
  <c r="AB149" i="19"/>
  <c r="R149" i="19"/>
  <c r="L149" i="19"/>
  <c r="CC148" i="19"/>
  <c r="CB148" i="19"/>
  <c r="CA148" i="19"/>
  <c r="BZ148" i="19"/>
  <c r="BL148" i="19"/>
  <c r="BF148" i="19"/>
  <c r="AZ148" i="19"/>
  <c r="AT148" i="19"/>
  <c r="AN148" i="19"/>
  <c r="AH148" i="19"/>
  <c r="AB148" i="19"/>
  <c r="R148" i="19"/>
  <c r="L148" i="19"/>
  <c r="CC147" i="19"/>
  <c r="CB147" i="19"/>
  <c r="CA147" i="19"/>
  <c r="BZ147" i="19"/>
  <c r="BL147" i="19"/>
  <c r="BF147" i="19"/>
  <c r="AZ147" i="19"/>
  <c r="AT147" i="19"/>
  <c r="AN147" i="19"/>
  <c r="AH147" i="19"/>
  <c r="AB147" i="19"/>
  <c r="R147" i="19"/>
  <c r="L147" i="19"/>
  <c r="CC146" i="19"/>
  <c r="CB146" i="19"/>
  <c r="CA146" i="19"/>
  <c r="BZ146" i="19"/>
  <c r="BL146" i="19"/>
  <c r="BF146" i="19"/>
  <c r="AZ146" i="19"/>
  <c r="AT146" i="19"/>
  <c r="AN146" i="19"/>
  <c r="AH146" i="19"/>
  <c r="AB146" i="19"/>
  <c r="R146" i="19"/>
  <c r="L146" i="19"/>
  <c r="CC145" i="19"/>
  <c r="CB145" i="19"/>
  <c r="CA145" i="19"/>
  <c r="BZ145" i="19"/>
  <c r="BL145" i="19"/>
  <c r="BF145" i="19"/>
  <c r="AZ145" i="19"/>
  <c r="AT145" i="19"/>
  <c r="AN145" i="19"/>
  <c r="AH145" i="19"/>
  <c r="AB145" i="19"/>
  <c r="R145" i="19"/>
  <c r="L145" i="19"/>
  <c r="CC144" i="19"/>
  <c r="CB144" i="19"/>
  <c r="CA144" i="19"/>
  <c r="BZ144" i="19"/>
  <c r="BL144" i="19"/>
  <c r="BF144" i="19"/>
  <c r="AZ144" i="19"/>
  <c r="AT144" i="19"/>
  <c r="AN144" i="19"/>
  <c r="AH144" i="19"/>
  <c r="AB144" i="19"/>
  <c r="R144" i="19"/>
  <c r="L144" i="19"/>
  <c r="CC143" i="19"/>
  <c r="CB143" i="19"/>
  <c r="CA143" i="19"/>
  <c r="BZ143" i="19"/>
  <c r="BL143" i="19"/>
  <c r="BF143" i="19"/>
  <c r="AZ143" i="19"/>
  <c r="AT143" i="19"/>
  <c r="AN143" i="19"/>
  <c r="AH143" i="19"/>
  <c r="AB143" i="19"/>
  <c r="R143" i="19"/>
  <c r="L143" i="19"/>
  <c r="CC142" i="19"/>
  <c r="CB142" i="19"/>
  <c r="CA142" i="19"/>
  <c r="BZ142" i="19"/>
  <c r="BL142" i="19"/>
  <c r="BF142" i="19"/>
  <c r="AZ142" i="19"/>
  <c r="AT142" i="19"/>
  <c r="AN142" i="19"/>
  <c r="AH142" i="19"/>
  <c r="AB142" i="19"/>
  <c r="R142" i="19"/>
  <c r="L142" i="19"/>
  <c r="CC141" i="19"/>
  <c r="CB141" i="19"/>
  <c r="CA141" i="19"/>
  <c r="BZ141" i="19"/>
  <c r="BL141" i="19"/>
  <c r="BF141" i="19"/>
  <c r="AZ141" i="19"/>
  <c r="AT141" i="19"/>
  <c r="AN141" i="19"/>
  <c r="AH141" i="19"/>
  <c r="AB141" i="19"/>
  <c r="R141" i="19"/>
  <c r="L141" i="19"/>
  <c r="CC140" i="19"/>
  <c r="CB140" i="19"/>
  <c r="CA140" i="19"/>
  <c r="BZ140" i="19"/>
  <c r="BL140" i="19"/>
  <c r="BF140" i="19"/>
  <c r="AZ140" i="19"/>
  <c r="AT140" i="19"/>
  <c r="AN140" i="19"/>
  <c r="AH140" i="19"/>
  <c r="AB140" i="19"/>
  <c r="R140" i="19"/>
  <c r="L140" i="19"/>
  <c r="CC139" i="19"/>
  <c r="CB139" i="19"/>
  <c r="CA139" i="19"/>
  <c r="BZ139" i="19"/>
  <c r="BL139" i="19"/>
  <c r="BF139" i="19"/>
  <c r="AZ139" i="19"/>
  <c r="AT139" i="19"/>
  <c r="AN139" i="19"/>
  <c r="AH139" i="19"/>
  <c r="AB139" i="19"/>
  <c r="R139" i="19"/>
  <c r="L139" i="19"/>
  <c r="CC138" i="19"/>
  <c r="CB138" i="19"/>
  <c r="CA138" i="19"/>
  <c r="BZ138" i="19"/>
  <c r="BL138" i="19"/>
  <c r="BF138" i="19"/>
  <c r="AZ138" i="19"/>
  <c r="AT138" i="19"/>
  <c r="AN138" i="19"/>
  <c r="AH138" i="19"/>
  <c r="AB138" i="19"/>
  <c r="R138" i="19"/>
  <c r="L138" i="19"/>
  <c r="CC137" i="19"/>
  <c r="CB137" i="19"/>
  <c r="CA137" i="19"/>
  <c r="BZ137" i="19"/>
  <c r="BL137" i="19"/>
  <c r="BF137" i="19"/>
  <c r="AZ137" i="19"/>
  <c r="AT137" i="19"/>
  <c r="AN137" i="19"/>
  <c r="AH137" i="19"/>
  <c r="AB137" i="19"/>
  <c r="R137" i="19"/>
  <c r="L137" i="19"/>
  <c r="CC136" i="19"/>
  <c r="CB136" i="19"/>
  <c r="CA136" i="19"/>
  <c r="BZ136" i="19"/>
  <c r="BL136" i="19"/>
  <c r="BF136" i="19"/>
  <c r="AZ136" i="19"/>
  <c r="AT136" i="19"/>
  <c r="AN136" i="19"/>
  <c r="AH136" i="19"/>
  <c r="AB136" i="19"/>
  <c r="R136" i="19"/>
  <c r="L136" i="19"/>
  <c r="H136" i="19"/>
  <c r="CC135" i="19"/>
  <c r="CB135" i="19"/>
  <c r="CA135" i="19"/>
  <c r="BZ135" i="19"/>
  <c r="BL135" i="19"/>
  <c r="BF135" i="19"/>
  <c r="AZ135" i="19"/>
  <c r="AT135" i="19"/>
  <c r="AN135" i="19"/>
  <c r="AH135" i="19"/>
  <c r="AB135" i="19"/>
  <c r="R135" i="19"/>
  <c r="L135" i="19"/>
  <c r="CC134" i="19"/>
  <c r="CB134" i="19"/>
  <c r="CA134" i="19"/>
  <c r="BZ134" i="19"/>
  <c r="BL134" i="19"/>
  <c r="BF134" i="19"/>
  <c r="AZ134" i="19"/>
  <c r="AT134" i="19"/>
  <c r="AN134" i="19"/>
  <c r="AH134" i="19"/>
  <c r="AB134" i="19"/>
  <c r="R134" i="19"/>
  <c r="L134" i="19"/>
  <c r="CC133" i="19"/>
  <c r="CB133" i="19"/>
  <c r="CA133" i="19"/>
  <c r="BZ133" i="19"/>
  <c r="BL133" i="19"/>
  <c r="BF133" i="19"/>
  <c r="AZ133" i="19"/>
  <c r="AT133" i="19"/>
  <c r="AN133" i="19"/>
  <c r="AH133" i="19"/>
  <c r="AB133" i="19"/>
  <c r="R133" i="19"/>
  <c r="L133" i="19"/>
  <c r="CC132" i="19"/>
  <c r="CB132" i="19"/>
  <c r="CA132" i="19"/>
  <c r="BZ132" i="19"/>
  <c r="BL132" i="19"/>
  <c r="BF132" i="19"/>
  <c r="AZ132" i="19"/>
  <c r="AT132" i="19"/>
  <c r="AN132" i="19"/>
  <c r="AH132" i="19"/>
  <c r="AB132" i="19"/>
  <c r="R132" i="19"/>
  <c r="L132" i="19"/>
  <c r="CC131" i="19"/>
  <c r="CB131" i="19"/>
  <c r="CA131" i="19"/>
  <c r="BZ131" i="19"/>
  <c r="BL131" i="19"/>
  <c r="BF131" i="19"/>
  <c r="AZ131" i="19"/>
  <c r="AT131" i="19"/>
  <c r="AN131" i="19"/>
  <c r="AH131" i="19"/>
  <c r="AB131" i="19"/>
  <c r="R131" i="19"/>
  <c r="L131" i="19"/>
  <c r="CC130" i="19"/>
  <c r="CB130" i="19"/>
  <c r="CA130" i="19"/>
  <c r="BZ130" i="19"/>
  <c r="BL130" i="19"/>
  <c r="BF130" i="19"/>
  <c r="AZ130" i="19"/>
  <c r="AT130" i="19"/>
  <c r="AN130" i="19"/>
  <c r="AH130" i="19"/>
  <c r="AB130" i="19"/>
  <c r="R130" i="19"/>
  <c r="L130" i="19"/>
  <c r="CC129" i="19"/>
  <c r="CB129" i="19"/>
  <c r="CA129" i="19"/>
  <c r="BZ129" i="19"/>
  <c r="BL129" i="19"/>
  <c r="BF129" i="19"/>
  <c r="AZ129" i="19"/>
  <c r="AT129" i="19"/>
  <c r="AN129" i="19"/>
  <c r="AH129" i="19"/>
  <c r="AB129" i="19"/>
  <c r="R129" i="19"/>
  <c r="L129" i="19"/>
  <c r="CC128" i="19"/>
  <c r="CB128" i="19"/>
  <c r="CA128" i="19"/>
  <c r="BZ128" i="19"/>
  <c r="BL128" i="19"/>
  <c r="BF128" i="19"/>
  <c r="AZ128" i="19"/>
  <c r="AT128" i="19"/>
  <c r="AN128" i="19"/>
  <c r="AH128" i="19"/>
  <c r="AB128" i="19"/>
  <c r="R128" i="19"/>
  <c r="L128" i="19"/>
  <c r="CC127" i="19"/>
  <c r="CB127" i="19"/>
  <c r="CA127" i="19"/>
  <c r="BZ127" i="19"/>
  <c r="BL127" i="19"/>
  <c r="BF127" i="19"/>
  <c r="AZ127" i="19"/>
  <c r="AT127" i="19"/>
  <c r="AN127" i="19"/>
  <c r="AH127" i="19"/>
  <c r="AB127" i="19"/>
  <c r="R127" i="19"/>
  <c r="L127" i="19"/>
  <c r="CC126" i="19"/>
  <c r="CB126" i="19"/>
  <c r="CA126" i="19"/>
  <c r="BZ126" i="19"/>
  <c r="BL126" i="19"/>
  <c r="BF126" i="19"/>
  <c r="AZ126" i="19"/>
  <c r="AT126" i="19"/>
  <c r="AN126" i="19"/>
  <c r="AH126" i="19"/>
  <c r="AB126" i="19"/>
  <c r="R126" i="19"/>
  <c r="L126" i="19"/>
  <c r="CC125" i="19"/>
  <c r="CB125" i="19"/>
  <c r="CA125" i="19"/>
  <c r="BZ125" i="19"/>
  <c r="BL125" i="19"/>
  <c r="BF125" i="19"/>
  <c r="AZ125" i="19"/>
  <c r="AT125" i="19"/>
  <c r="AN125" i="19"/>
  <c r="AH125" i="19"/>
  <c r="AB125" i="19"/>
  <c r="R125" i="19"/>
  <c r="L125" i="19"/>
  <c r="CC124" i="19"/>
  <c r="CB124" i="19"/>
  <c r="CA124" i="19"/>
  <c r="BZ124" i="19"/>
  <c r="BL124" i="19"/>
  <c r="BF124" i="19"/>
  <c r="AZ124" i="19"/>
  <c r="AT124" i="19"/>
  <c r="AN124" i="19"/>
  <c r="AH124" i="19"/>
  <c r="AB124" i="19"/>
  <c r="R124" i="19"/>
  <c r="L124" i="19"/>
  <c r="CC123" i="19"/>
  <c r="CB123" i="19"/>
  <c r="CA123" i="19"/>
  <c r="BZ123" i="19"/>
  <c r="BL123" i="19"/>
  <c r="BF123" i="19"/>
  <c r="AZ123" i="19"/>
  <c r="AT123" i="19"/>
  <c r="AN123" i="19"/>
  <c r="AH123" i="19"/>
  <c r="AB123" i="19"/>
  <c r="R123" i="19"/>
  <c r="L123" i="19"/>
  <c r="H123" i="19"/>
  <c r="CC122" i="19"/>
  <c r="CB122" i="19"/>
  <c r="CA122" i="19"/>
  <c r="BZ122" i="19"/>
  <c r="BL122" i="19"/>
  <c r="BF122" i="19"/>
  <c r="AZ122" i="19"/>
  <c r="AT122" i="19"/>
  <c r="AN122" i="19"/>
  <c r="AH122" i="19"/>
  <c r="AB122" i="19"/>
  <c r="R122" i="19"/>
  <c r="L122" i="19"/>
  <c r="CC121" i="19"/>
  <c r="CB121" i="19"/>
  <c r="CA121" i="19"/>
  <c r="BZ121" i="19"/>
  <c r="BL121" i="19"/>
  <c r="BF121" i="19"/>
  <c r="AZ121" i="19"/>
  <c r="AT121" i="19"/>
  <c r="AN121" i="19"/>
  <c r="AH121" i="19"/>
  <c r="AB121" i="19"/>
  <c r="R121" i="19"/>
  <c r="L121" i="19"/>
  <c r="CC120" i="19"/>
  <c r="CB120" i="19"/>
  <c r="CA120" i="19"/>
  <c r="BZ120" i="19"/>
  <c r="BL120" i="19"/>
  <c r="BF120" i="19"/>
  <c r="AZ120" i="19"/>
  <c r="AT120" i="19"/>
  <c r="AN120" i="19"/>
  <c r="AH120" i="19"/>
  <c r="AB120" i="19"/>
  <c r="R120" i="19"/>
  <c r="L120" i="19"/>
  <c r="CC119" i="19"/>
  <c r="CB119" i="19"/>
  <c r="CA119" i="19"/>
  <c r="BZ119" i="19"/>
  <c r="BL119" i="19"/>
  <c r="BF119" i="19"/>
  <c r="AZ119" i="19"/>
  <c r="AT119" i="19"/>
  <c r="AN119" i="19"/>
  <c r="AH119" i="19"/>
  <c r="AB119" i="19"/>
  <c r="R119" i="19"/>
  <c r="L119" i="19"/>
  <c r="CC118" i="19"/>
  <c r="CB118" i="19"/>
  <c r="CA118" i="19"/>
  <c r="BZ118" i="19"/>
  <c r="BL118" i="19"/>
  <c r="BF118" i="19"/>
  <c r="AZ118" i="19"/>
  <c r="AT118" i="19"/>
  <c r="AN118" i="19"/>
  <c r="AH118" i="19"/>
  <c r="AB118" i="19"/>
  <c r="R118" i="19"/>
  <c r="L118" i="19"/>
  <c r="CC117" i="19"/>
  <c r="CB117" i="19"/>
  <c r="CA117" i="19"/>
  <c r="BZ117" i="19"/>
  <c r="BL117" i="19"/>
  <c r="BF117" i="19"/>
  <c r="AZ117" i="19"/>
  <c r="AT117" i="19"/>
  <c r="AN117" i="19"/>
  <c r="AH117" i="19"/>
  <c r="AB117" i="19"/>
  <c r="R117" i="19"/>
  <c r="L117" i="19"/>
  <c r="CC116" i="19"/>
  <c r="CB116" i="19"/>
  <c r="CA116" i="19"/>
  <c r="BZ116" i="19"/>
  <c r="BL116" i="19"/>
  <c r="BF116" i="19"/>
  <c r="AZ116" i="19"/>
  <c r="AT116" i="19"/>
  <c r="AN116" i="19"/>
  <c r="AH116" i="19"/>
  <c r="AB116" i="19"/>
  <c r="R116" i="19"/>
  <c r="L116" i="19"/>
  <c r="CC115" i="19"/>
  <c r="CB115" i="19"/>
  <c r="CA115" i="19"/>
  <c r="BZ115" i="19"/>
  <c r="BL115" i="19"/>
  <c r="BF115" i="19"/>
  <c r="AZ115" i="19"/>
  <c r="AT115" i="19"/>
  <c r="AN115" i="19"/>
  <c r="AH115" i="19"/>
  <c r="AB115" i="19"/>
  <c r="R115" i="19"/>
  <c r="L115" i="19"/>
  <c r="H115" i="19"/>
  <c r="CC114" i="19"/>
  <c r="CB114" i="19"/>
  <c r="CA114" i="19"/>
  <c r="BZ114" i="19"/>
  <c r="BL114" i="19"/>
  <c r="BF114" i="19"/>
  <c r="AZ114" i="19"/>
  <c r="AT114" i="19"/>
  <c r="AN114" i="19"/>
  <c r="AH114" i="19"/>
  <c r="AB114" i="19"/>
  <c r="R114" i="19"/>
  <c r="L114" i="19"/>
  <c r="CC113" i="19"/>
  <c r="CB113" i="19"/>
  <c r="CA113" i="19"/>
  <c r="BZ113" i="19"/>
  <c r="BL113" i="19"/>
  <c r="BF113" i="19"/>
  <c r="AZ113" i="19"/>
  <c r="AT113" i="19"/>
  <c r="AN113" i="19"/>
  <c r="AH113" i="19"/>
  <c r="AB113" i="19"/>
  <c r="R113" i="19"/>
  <c r="L113" i="19"/>
  <c r="CC112" i="19"/>
  <c r="CB112" i="19"/>
  <c r="CA112" i="19"/>
  <c r="BZ112" i="19"/>
  <c r="BL112" i="19"/>
  <c r="BF112" i="19"/>
  <c r="AZ112" i="19"/>
  <c r="AT112" i="19"/>
  <c r="AN112" i="19"/>
  <c r="AH112" i="19"/>
  <c r="AB112" i="19"/>
  <c r="R112" i="19"/>
  <c r="L112" i="19"/>
  <c r="CC111" i="19"/>
  <c r="CB111" i="19"/>
  <c r="CA111" i="19"/>
  <c r="BZ111" i="19"/>
  <c r="BL111" i="19"/>
  <c r="BF111" i="19"/>
  <c r="AZ111" i="19"/>
  <c r="AT111" i="19"/>
  <c r="AN111" i="19"/>
  <c r="AH111" i="19"/>
  <c r="AB111" i="19"/>
  <c r="R111" i="19"/>
  <c r="L111" i="19"/>
  <c r="CC110" i="19"/>
  <c r="CB110" i="19"/>
  <c r="CA110" i="19"/>
  <c r="BZ110" i="19"/>
  <c r="BL110" i="19"/>
  <c r="BF110" i="19"/>
  <c r="AZ110" i="19"/>
  <c r="AT110" i="19"/>
  <c r="AN110" i="19"/>
  <c r="AH110" i="19"/>
  <c r="AB110" i="19"/>
  <c r="R110" i="19"/>
  <c r="L110" i="19"/>
  <c r="CC109" i="19"/>
  <c r="CB109" i="19"/>
  <c r="CA109" i="19"/>
  <c r="BZ109" i="19"/>
  <c r="BL109" i="19"/>
  <c r="BF109" i="19"/>
  <c r="AZ109" i="19"/>
  <c r="AT109" i="19"/>
  <c r="AN109" i="19"/>
  <c r="AH109" i="19"/>
  <c r="AB109" i="19"/>
  <c r="R109" i="19"/>
  <c r="L109" i="19"/>
  <c r="CC108" i="19"/>
  <c r="CB108" i="19"/>
  <c r="CA108" i="19"/>
  <c r="BZ108" i="19"/>
  <c r="BL108" i="19"/>
  <c r="BF108" i="19"/>
  <c r="AZ108" i="19"/>
  <c r="AT108" i="19"/>
  <c r="AN108" i="19"/>
  <c r="AH108" i="19"/>
  <c r="AB108" i="19"/>
  <c r="R108" i="19"/>
  <c r="L108" i="19"/>
  <c r="CC107" i="19"/>
  <c r="CB107" i="19"/>
  <c r="CA107" i="19"/>
  <c r="BZ107" i="19"/>
  <c r="BL107" i="19"/>
  <c r="BF107" i="19"/>
  <c r="AZ107" i="19"/>
  <c r="AT107" i="19"/>
  <c r="AN107" i="19"/>
  <c r="AH107" i="19"/>
  <c r="AB107" i="19"/>
  <c r="R107" i="19"/>
  <c r="L107" i="19"/>
  <c r="CC106" i="19"/>
  <c r="CB106" i="19"/>
  <c r="CA106" i="19"/>
  <c r="BZ106" i="19"/>
  <c r="BL106" i="19"/>
  <c r="BF106" i="19"/>
  <c r="AZ106" i="19"/>
  <c r="AT106" i="19"/>
  <c r="AN106" i="19"/>
  <c r="AH106" i="19"/>
  <c r="AB106" i="19"/>
  <c r="R106" i="19"/>
  <c r="L106" i="19"/>
  <c r="H106" i="19"/>
  <c r="CC105" i="19"/>
  <c r="CB105" i="19"/>
  <c r="CA105" i="19"/>
  <c r="BZ105" i="19"/>
  <c r="BL105" i="19"/>
  <c r="BF105" i="19"/>
  <c r="AZ105" i="19"/>
  <c r="AT105" i="19"/>
  <c r="AN105" i="19"/>
  <c r="AH105" i="19"/>
  <c r="AB105" i="19"/>
  <c r="R105" i="19"/>
  <c r="L105" i="19"/>
  <c r="CC104" i="19"/>
  <c r="CB104" i="19"/>
  <c r="CA104" i="19"/>
  <c r="BZ104" i="19"/>
  <c r="BL104" i="19"/>
  <c r="BF104" i="19"/>
  <c r="AZ104" i="19"/>
  <c r="AT104" i="19"/>
  <c r="AN104" i="19"/>
  <c r="AH104" i="19"/>
  <c r="AB104" i="19"/>
  <c r="R104" i="19"/>
  <c r="L104" i="19"/>
  <c r="CC103" i="19"/>
  <c r="CB103" i="19"/>
  <c r="CA103" i="19"/>
  <c r="BZ103" i="19"/>
  <c r="BL103" i="19"/>
  <c r="BF103" i="19"/>
  <c r="AZ103" i="19"/>
  <c r="AT103" i="19"/>
  <c r="AN103" i="19"/>
  <c r="AH103" i="19"/>
  <c r="AB103" i="19"/>
  <c r="R103" i="19"/>
  <c r="L103" i="19"/>
  <c r="CC102" i="19"/>
  <c r="CB102" i="19"/>
  <c r="BZ102" i="19"/>
  <c r="BM102" i="19" s="1"/>
  <c r="BL102" i="19"/>
  <c r="BF102" i="19"/>
  <c r="AZ102" i="19"/>
  <c r="AT102" i="19"/>
  <c r="AN102" i="19"/>
  <c r="AH102" i="19"/>
  <c r="AB102" i="19"/>
  <c r="R102" i="19"/>
  <c r="CD248" i="19" l="1"/>
  <c r="CD157" i="19"/>
  <c r="CE157" i="19" s="1"/>
  <c r="CD236" i="19"/>
  <c r="CE236" i="19" s="1"/>
  <c r="CD244" i="19"/>
  <c r="CE244" i="19" s="1"/>
  <c r="CD288" i="19"/>
  <c r="CE288" i="19" s="1"/>
  <c r="CD140" i="19"/>
  <c r="BM149" i="19"/>
  <c r="CD235" i="19"/>
  <c r="CD239" i="19"/>
  <c r="CD243" i="19"/>
  <c r="CD247" i="19"/>
  <c r="CE247" i="19" s="1"/>
  <c r="CD250" i="19"/>
  <c r="CE250" i="19" s="1"/>
  <c r="CD286" i="19"/>
  <c r="BM104" i="19"/>
  <c r="CD151" i="19"/>
  <c r="CE151" i="19" s="1"/>
  <c r="CD159" i="19"/>
  <c r="CE159" i="19" s="1"/>
  <c r="CD246" i="19"/>
  <c r="CE246" i="19" s="1"/>
  <c r="CD249" i="19"/>
  <c r="CE249" i="19" s="1"/>
  <c r="BM136" i="19"/>
  <c r="BM111" i="19"/>
  <c r="BM113" i="19"/>
  <c r="BM116" i="19"/>
  <c r="CD130" i="19"/>
  <c r="CE130" i="19" s="1"/>
  <c r="CD147" i="19"/>
  <c r="CE147" i="19" s="1"/>
  <c r="CD102" i="19"/>
  <c r="BM123" i="19"/>
  <c r="CD124" i="19"/>
  <c r="CD145" i="19"/>
  <c r="CE145" i="19" s="1"/>
  <c r="BM106" i="19"/>
  <c r="CD142" i="19"/>
  <c r="CD139" i="19"/>
  <c r="BM108" i="19"/>
  <c r="CD136" i="19"/>
  <c r="CE136" i="19" s="1"/>
  <c r="CD127" i="19"/>
  <c r="CE127" i="19" s="1"/>
  <c r="CD144" i="19"/>
  <c r="CD146" i="19"/>
  <c r="BM109" i="19"/>
  <c r="CD115" i="19"/>
  <c r="CE115" i="19" s="1"/>
  <c r="CD132" i="19"/>
  <c r="CD150" i="19"/>
  <c r="CD158" i="19"/>
  <c r="CE241" i="19"/>
  <c r="CD245" i="19"/>
  <c r="CD103" i="19"/>
  <c r="CE103" i="19" s="1"/>
  <c r="CD112" i="19"/>
  <c r="CE112" i="19" s="1"/>
  <c r="CD120" i="19"/>
  <c r="CE120" i="19" s="1"/>
  <c r="CD129" i="19"/>
  <c r="CE138" i="19"/>
  <c r="CD141" i="19"/>
  <c r="CE155" i="19"/>
  <c r="BM247" i="19"/>
  <c r="CD108" i="19"/>
  <c r="CD128" i="19"/>
  <c r="CD143" i="19"/>
  <c r="CE143" i="19" s="1"/>
  <c r="CD149" i="19"/>
  <c r="CE149" i="19" s="1"/>
  <c r="BM107" i="19"/>
  <c r="CD119" i="19"/>
  <c r="CE119" i="19" s="1"/>
  <c r="CD137" i="19"/>
  <c r="CD237" i="19"/>
  <c r="CE237" i="19" s="1"/>
  <c r="BM249" i="19"/>
  <c r="CD287" i="19"/>
  <c r="CE287" i="19" s="1"/>
  <c r="CD104" i="19"/>
  <c r="CD113" i="19"/>
  <c r="CE113" i="19" s="1"/>
  <c r="BM147" i="19"/>
  <c r="CD148" i="19"/>
  <c r="CD156" i="19"/>
  <c r="BM250" i="19"/>
  <c r="BM117" i="19"/>
  <c r="BM246" i="19"/>
  <c r="CD117" i="19"/>
  <c r="CD126" i="19"/>
  <c r="CD134" i="19"/>
  <c r="CE134" i="19" s="1"/>
  <c r="CD107" i="19"/>
  <c r="CD111" i="19"/>
  <c r="CE111" i="19" s="1"/>
  <c r="CD114" i="19"/>
  <c r="CE114" i="19" s="1"/>
  <c r="BM119" i="19"/>
  <c r="CD122" i="19"/>
  <c r="CE122" i="19" s="1"/>
  <c r="CD123" i="19"/>
  <c r="CE123" i="19" s="1"/>
  <c r="BM237" i="19"/>
  <c r="BM105" i="19"/>
  <c r="CD106" i="19"/>
  <c r="CE106" i="19" s="1"/>
  <c r="CD110" i="19"/>
  <c r="CE110" i="19" s="1"/>
  <c r="CD116" i="19"/>
  <c r="BM121" i="19"/>
  <c r="CD125" i="19"/>
  <c r="CE125" i="19" s="1"/>
  <c r="CD133" i="19"/>
  <c r="CD105" i="19"/>
  <c r="CE105" i="19" s="1"/>
  <c r="CD121" i="19"/>
  <c r="CE121" i="19" s="1"/>
  <c r="CD109" i="19"/>
  <c r="BM115" i="19"/>
  <c r="CD118" i="19"/>
  <c r="CE118" i="19" s="1"/>
  <c r="CD135" i="19"/>
  <c r="CE239" i="19" l="1"/>
  <c r="CE153" i="19"/>
  <c r="CE132" i="19"/>
  <c r="CE248" i="19"/>
  <c r="CE104" i="19"/>
  <c r="CE124" i="19"/>
  <c r="CE135" i="19"/>
  <c r="CE141" i="19"/>
  <c r="CE158" i="19"/>
  <c r="CE150" i="19"/>
  <c r="CE102" i="19"/>
  <c r="CE243" i="19"/>
  <c r="CE129" i="19"/>
  <c r="CE242" i="19"/>
  <c r="CE116" i="19"/>
  <c r="CE128" i="19"/>
  <c r="CE139" i="19"/>
  <c r="CE109" i="19"/>
  <c r="CE107" i="19"/>
  <c r="CE156" i="19"/>
  <c r="CE108" i="19"/>
  <c r="CE142" i="19"/>
  <c r="CE240" i="19"/>
  <c r="CE148" i="19"/>
  <c r="CE131" i="19"/>
  <c r="CE235" i="19"/>
  <c r="CE126" i="19"/>
  <c r="CE137" i="19"/>
  <c r="CE146" i="19"/>
  <c r="CE152" i="19"/>
  <c r="CE133" i="19"/>
  <c r="CE117" i="19"/>
  <c r="CE238" i="19"/>
  <c r="CE245" i="19"/>
  <c r="CE144" i="19"/>
  <c r="CE286" i="19"/>
  <c r="CE154" i="19"/>
  <c r="CE140" i="19"/>
  <c r="CC411" i="19" l="1"/>
  <c r="CB411" i="19"/>
  <c r="CA411" i="19"/>
  <c r="BZ411" i="19"/>
  <c r="BL411" i="19"/>
  <c r="BF411" i="19"/>
  <c r="AZ411" i="19"/>
  <c r="AT411" i="19"/>
  <c r="AN411" i="19"/>
  <c r="AH411" i="19"/>
  <c r="AB411" i="19"/>
  <c r="R411" i="19"/>
  <c r="L411" i="19"/>
  <c r="CC410" i="19"/>
  <c r="CB410" i="19"/>
  <c r="CA410" i="19"/>
  <c r="BZ410" i="19"/>
  <c r="BL410" i="19"/>
  <c r="BF410" i="19"/>
  <c r="AZ410" i="19"/>
  <c r="AT410" i="19"/>
  <c r="AN410" i="19"/>
  <c r="AH410" i="19"/>
  <c r="AB410" i="19"/>
  <c r="R410" i="19"/>
  <c r="L410" i="19"/>
  <c r="CC470" i="19"/>
  <c r="CB470" i="19"/>
  <c r="CA470" i="19"/>
  <c r="BZ470" i="19"/>
  <c r="BL470" i="19"/>
  <c r="BF470" i="19"/>
  <c r="AZ470" i="19"/>
  <c r="AT470" i="19"/>
  <c r="AN470" i="19"/>
  <c r="AH470" i="19"/>
  <c r="AB470" i="19"/>
  <c r="R470" i="19"/>
  <c r="L470" i="19"/>
  <c r="CC469" i="19"/>
  <c r="CB469" i="19"/>
  <c r="CA469" i="19"/>
  <c r="BZ469" i="19"/>
  <c r="BL469" i="19"/>
  <c r="BF469" i="19"/>
  <c r="AZ469" i="19"/>
  <c r="AT469" i="19"/>
  <c r="AN469" i="19"/>
  <c r="AH469" i="19"/>
  <c r="AB469" i="19"/>
  <c r="R469" i="19"/>
  <c r="L469" i="19"/>
  <c r="CC468" i="19"/>
  <c r="CB468" i="19"/>
  <c r="CA468" i="19"/>
  <c r="BZ468" i="19"/>
  <c r="BL468" i="19"/>
  <c r="BF468" i="19"/>
  <c r="AZ468" i="19"/>
  <c r="AT468" i="19"/>
  <c r="AN468" i="19"/>
  <c r="AH468" i="19"/>
  <c r="AB468" i="19"/>
  <c r="R468" i="19"/>
  <c r="L468" i="19"/>
  <c r="CC467" i="19"/>
  <c r="CB467" i="19"/>
  <c r="CA467" i="19"/>
  <c r="BZ467" i="19"/>
  <c r="BL467" i="19"/>
  <c r="BF467" i="19"/>
  <c r="AZ467" i="19"/>
  <c r="AT467" i="19"/>
  <c r="AN467" i="19"/>
  <c r="AH467" i="19"/>
  <c r="AB467" i="19"/>
  <c r="R467" i="19"/>
  <c r="L467" i="19"/>
  <c r="CC466" i="19"/>
  <c r="CB466" i="19"/>
  <c r="CA466" i="19"/>
  <c r="BZ466" i="19"/>
  <c r="BL466" i="19"/>
  <c r="BF466" i="19"/>
  <c r="AZ466" i="19"/>
  <c r="AT466" i="19"/>
  <c r="AN466" i="19"/>
  <c r="AH466" i="19"/>
  <c r="AB466" i="19"/>
  <c r="R466" i="19"/>
  <c r="L466" i="19"/>
  <c r="CC465" i="19"/>
  <c r="CB465" i="19"/>
  <c r="CA465" i="19"/>
  <c r="BZ465" i="19"/>
  <c r="BL465" i="19"/>
  <c r="BF465" i="19"/>
  <c r="AZ465" i="19"/>
  <c r="AT465" i="19"/>
  <c r="AN465" i="19"/>
  <c r="AH465" i="19"/>
  <c r="AB465" i="19"/>
  <c r="R465" i="19"/>
  <c r="L465" i="19"/>
  <c r="CD465" i="19" l="1"/>
  <c r="CD410" i="19"/>
  <c r="CD467" i="19"/>
  <c r="CD470" i="19"/>
  <c r="CE470" i="19" s="1"/>
  <c r="CE411" i="19"/>
  <c r="CD468" i="19"/>
  <c r="CE468" i="19" s="1"/>
  <c r="CD466" i="19"/>
  <c r="CE466" i="19" s="1"/>
  <c r="CD469" i="19"/>
  <c r="CE465" i="19" l="1"/>
  <c r="CE467" i="19"/>
  <c r="CE410" i="19"/>
  <c r="CE469" i="19"/>
  <c r="CC285" i="19" l="1"/>
  <c r="CB285" i="19"/>
  <c r="CA285" i="19"/>
  <c r="BZ285" i="19"/>
  <c r="BL285" i="19"/>
  <c r="BF285" i="19"/>
  <c r="AZ285" i="19"/>
  <c r="AT285" i="19"/>
  <c r="AN285" i="19"/>
  <c r="AH285" i="19"/>
  <c r="AB285" i="19"/>
  <c r="R285" i="19"/>
  <c r="L285" i="19"/>
  <c r="CC284" i="19"/>
  <c r="CB284" i="19"/>
  <c r="CA284" i="19"/>
  <c r="BZ284" i="19"/>
  <c r="BL284" i="19"/>
  <c r="BF284" i="19"/>
  <c r="AZ284" i="19"/>
  <c r="AT284" i="19"/>
  <c r="AN284" i="19"/>
  <c r="AH284" i="19"/>
  <c r="AB284" i="19"/>
  <c r="R284" i="19"/>
  <c r="L284" i="19"/>
  <c r="CC283" i="19"/>
  <c r="CB283" i="19"/>
  <c r="CA283" i="19"/>
  <c r="BZ283" i="19"/>
  <c r="BL283" i="19"/>
  <c r="BF283" i="19"/>
  <c r="AZ283" i="19"/>
  <c r="AT283" i="19"/>
  <c r="AN283" i="19"/>
  <c r="AH283" i="19"/>
  <c r="AB283" i="19"/>
  <c r="R283" i="19"/>
  <c r="L283" i="19"/>
  <c r="CC282" i="19"/>
  <c r="CB282" i="19"/>
  <c r="BZ282" i="19"/>
  <c r="BM282" i="19" s="1"/>
  <c r="BL282" i="19"/>
  <c r="BF282" i="19"/>
  <c r="AZ282" i="19"/>
  <c r="AT282" i="19"/>
  <c r="AN282" i="19"/>
  <c r="AH282" i="19"/>
  <c r="AB282" i="19"/>
  <c r="R282" i="19"/>
  <c r="CC281" i="19"/>
  <c r="CB281" i="19"/>
  <c r="CA281" i="19"/>
  <c r="BZ281" i="19"/>
  <c r="BL281" i="19"/>
  <c r="BF281" i="19"/>
  <c r="AZ281" i="19"/>
  <c r="AT281" i="19"/>
  <c r="AN281" i="19"/>
  <c r="AH281" i="19"/>
  <c r="AB281" i="19"/>
  <c r="R281" i="19"/>
  <c r="L281" i="19"/>
  <c r="H281" i="19"/>
  <c r="CC280" i="19"/>
  <c r="CB280" i="19"/>
  <c r="CA280" i="19"/>
  <c r="BZ280" i="19"/>
  <c r="BL280" i="19"/>
  <c r="BF280" i="19"/>
  <c r="AZ280" i="19"/>
  <c r="AT280" i="19"/>
  <c r="AN280" i="19"/>
  <c r="AH280" i="19"/>
  <c r="AB280" i="19"/>
  <c r="R280" i="19"/>
  <c r="L280" i="19"/>
  <c r="CC279" i="19"/>
  <c r="CB279" i="19"/>
  <c r="BZ279" i="19"/>
  <c r="BM279" i="19" s="1"/>
  <c r="BL279" i="19"/>
  <c r="BF279" i="19"/>
  <c r="AZ279" i="19"/>
  <c r="AT279" i="19"/>
  <c r="AN279" i="19"/>
  <c r="AH279" i="19"/>
  <c r="AB279" i="19"/>
  <c r="R279" i="19"/>
  <c r="CC278" i="19"/>
  <c r="CB278" i="19"/>
  <c r="CA278" i="19"/>
  <c r="BZ278" i="19"/>
  <c r="BL278" i="19"/>
  <c r="BF278" i="19"/>
  <c r="AZ278" i="19"/>
  <c r="AT278" i="19"/>
  <c r="AN278" i="19"/>
  <c r="AH278" i="19"/>
  <c r="AB278" i="19"/>
  <c r="R278" i="19"/>
  <c r="L278" i="19"/>
  <c r="CC277" i="19"/>
  <c r="CB277" i="19"/>
  <c r="BZ277" i="19"/>
  <c r="BM277" i="19" s="1"/>
  <c r="BL277" i="19"/>
  <c r="BF277" i="19"/>
  <c r="AZ277" i="19"/>
  <c r="AT277" i="19"/>
  <c r="AN277" i="19"/>
  <c r="AH277" i="19"/>
  <c r="AB277" i="19"/>
  <c r="R277" i="19"/>
  <c r="CC276" i="19"/>
  <c r="CB276" i="19"/>
  <c r="CA276" i="19"/>
  <c r="BZ276" i="19"/>
  <c r="BL276" i="19"/>
  <c r="BF276" i="19"/>
  <c r="AZ276" i="19"/>
  <c r="AT276" i="19"/>
  <c r="AN276" i="19"/>
  <c r="AH276" i="19"/>
  <c r="AB276" i="19"/>
  <c r="R276" i="19"/>
  <c r="L276" i="19"/>
  <c r="CC275" i="19"/>
  <c r="CB275" i="19"/>
  <c r="BZ275" i="19"/>
  <c r="BM275" i="19" s="1"/>
  <c r="BL275" i="19"/>
  <c r="BF275" i="19"/>
  <c r="AZ275" i="19"/>
  <c r="AT275" i="19"/>
  <c r="AN275" i="19"/>
  <c r="AH275" i="19"/>
  <c r="AB275" i="19"/>
  <c r="R275" i="19"/>
  <c r="CC274" i="19"/>
  <c r="CB274" i="19"/>
  <c r="CA274" i="19"/>
  <c r="BZ274" i="19"/>
  <c r="BL274" i="19"/>
  <c r="BF274" i="19"/>
  <c r="AZ274" i="19"/>
  <c r="AT274" i="19"/>
  <c r="AN274" i="19"/>
  <c r="AH274" i="19"/>
  <c r="AB274" i="19"/>
  <c r="R274" i="19"/>
  <c r="L274" i="19"/>
  <c r="CC273" i="19"/>
  <c r="CB273" i="19"/>
  <c r="CA273" i="19"/>
  <c r="BZ273" i="19"/>
  <c r="BL273" i="19"/>
  <c r="BF273" i="19"/>
  <c r="AZ273" i="19"/>
  <c r="AT273" i="19"/>
  <c r="AN273" i="19"/>
  <c r="AH273" i="19"/>
  <c r="AB273" i="19"/>
  <c r="R273" i="19"/>
  <c r="L273" i="19"/>
  <c r="CC272" i="19"/>
  <c r="CB272" i="19"/>
  <c r="CA272" i="19"/>
  <c r="BZ272" i="19"/>
  <c r="BL272" i="19"/>
  <c r="BF272" i="19"/>
  <c r="AZ272" i="19"/>
  <c r="AT272" i="19"/>
  <c r="AN272" i="19"/>
  <c r="AH272" i="19"/>
  <c r="AB272" i="19"/>
  <c r="R272" i="19"/>
  <c r="L272" i="19"/>
  <c r="CC234" i="19"/>
  <c r="CB234" i="19"/>
  <c r="CA234" i="19"/>
  <c r="BZ234" i="19"/>
  <c r="BL234" i="19"/>
  <c r="BF234" i="19"/>
  <c r="AZ234" i="19"/>
  <c r="AT234" i="19"/>
  <c r="AN234" i="19"/>
  <c r="AH234" i="19"/>
  <c r="AB234" i="19"/>
  <c r="R234" i="19"/>
  <c r="L234" i="19"/>
  <c r="H234" i="19"/>
  <c r="CC233" i="19"/>
  <c r="CB233" i="19"/>
  <c r="CA233" i="19"/>
  <c r="BZ233" i="19"/>
  <c r="BL233" i="19"/>
  <c r="BF233" i="19"/>
  <c r="AZ233" i="19"/>
  <c r="AT233" i="19"/>
  <c r="AN233" i="19"/>
  <c r="AH233" i="19"/>
  <c r="AB233" i="19"/>
  <c r="R233" i="19"/>
  <c r="L233" i="19"/>
  <c r="H233" i="19"/>
  <c r="CC232" i="19"/>
  <c r="CB232" i="19"/>
  <c r="CA232" i="19"/>
  <c r="BZ232" i="19"/>
  <c r="BL232" i="19"/>
  <c r="BF232" i="19"/>
  <c r="AZ232" i="19"/>
  <c r="AT232" i="19"/>
  <c r="AN232" i="19"/>
  <c r="AH232" i="19"/>
  <c r="AB232" i="19"/>
  <c r="R232" i="19"/>
  <c r="L232" i="19"/>
  <c r="CC231" i="19"/>
  <c r="CB231" i="19"/>
  <c r="CA231" i="19"/>
  <c r="BZ231" i="19"/>
  <c r="BL231" i="19"/>
  <c r="BF231" i="19"/>
  <c r="AZ231" i="19"/>
  <c r="AT231" i="19"/>
  <c r="AN231" i="19"/>
  <c r="AH231" i="19"/>
  <c r="AB231" i="19"/>
  <c r="R231" i="19"/>
  <c r="L231" i="19"/>
  <c r="CC230" i="19"/>
  <c r="CB230" i="19"/>
  <c r="CA230" i="19"/>
  <c r="BZ230" i="19"/>
  <c r="BL230" i="19"/>
  <c r="BF230" i="19"/>
  <c r="AZ230" i="19"/>
  <c r="AT230" i="19"/>
  <c r="AN230" i="19"/>
  <c r="AH230" i="19"/>
  <c r="AB230" i="19"/>
  <c r="R230" i="19"/>
  <c r="L230" i="19"/>
  <c r="H230" i="19"/>
  <c r="CC229" i="19"/>
  <c r="CB229" i="19"/>
  <c r="CA229" i="19"/>
  <c r="BZ229" i="19"/>
  <c r="BL229" i="19"/>
  <c r="BF229" i="19"/>
  <c r="AZ229" i="19"/>
  <c r="AT229" i="19"/>
  <c r="AN229" i="19"/>
  <c r="AH229" i="19"/>
  <c r="AB229" i="19"/>
  <c r="R229" i="19"/>
  <c r="L229" i="19"/>
  <c r="H229" i="19"/>
  <c r="CC228" i="19"/>
  <c r="CB228" i="19"/>
  <c r="CA228" i="19"/>
  <c r="BZ228" i="19"/>
  <c r="BL228" i="19"/>
  <c r="BF228" i="19"/>
  <c r="AZ228" i="19"/>
  <c r="AT228" i="19"/>
  <c r="AN228" i="19"/>
  <c r="AH228" i="19"/>
  <c r="AB228" i="19"/>
  <c r="R228" i="19"/>
  <c r="L228" i="19"/>
  <c r="CC227" i="19"/>
  <c r="CB227" i="19"/>
  <c r="CA227" i="19"/>
  <c r="BZ227" i="19"/>
  <c r="BL227" i="19"/>
  <c r="BF227" i="19"/>
  <c r="AZ227" i="19"/>
  <c r="AT227" i="19"/>
  <c r="AN227" i="19"/>
  <c r="AH227" i="19"/>
  <c r="AB227" i="19"/>
  <c r="R227" i="19"/>
  <c r="L227" i="19"/>
  <c r="CC226" i="19"/>
  <c r="CB226" i="19"/>
  <c r="CA226" i="19"/>
  <c r="BZ226" i="19"/>
  <c r="BL226" i="19"/>
  <c r="BF226" i="19"/>
  <c r="AZ226" i="19"/>
  <c r="AT226" i="19"/>
  <c r="AN226" i="19"/>
  <c r="AH226" i="19"/>
  <c r="AB226" i="19"/>
  <c r="R226" i="19"/>
  <c r="L226" i="19"/>
  <c r="CC225" i="19"/>
  <c r="CB225" i="19"/>
  <c r="CA225" i="19"/>
  <c r="BZ225" i="19"/>
  <c r="BL225" i="19"/>
  <c r="BF225" i="19"/>
  <c r="AZ225" i="19"/>
  <c r="AT225" i="19"/>
  <c r="AN225" i="19"/>
  <c r="AH225" i="19"/>
  <c r="AB225" i="19"/>
  <c r="R225" i="19"/>
  <c r="L225" i="19"/>
  <c r="CC224" i="19"/>
  <c r="CB224" i="19"/>
  <c r="CA224" i="19"/>
  <c r="BZ224" i="19"/>
  <c r="BL224" i="19"/>
  <c r="BF224" i="19"/>
  <c r="AZ224" i="19"/>
  <c r="AT224" i="19"/>
  <c r="AN224" i="19"/>
  <c r="AH224" i="19"/>
  <c r="AB224" i="19"/>
  <c r="R224" i="19"/>
  <c r="L224" i="19"/>
  <c r="CC223" i="19"/>
  <c r="CB223" i="19"/>
  <c r="CA223" i="19"/>
  <c r="BZ223" i="19"/>
  <c r="BL223" i="19"/>
  <c r="BF223" i="19"/>
  <c r="AZ223" i="19"/>
  <c r="AT223" i="19"/>
  <c r="AN223" i="19"/>
  <c r="AH223" i="19"/>
  <c r="AB223" i="19"/>
  <c r="R223" i="19"/>
  <c r="L223" i="19"/>
  <c r="CC222" i="19"/>
  <c r="CB222" i="19"/>
  <c r="CA222" i="19"/>
  <c r="BZ222" i="19"/>
  <c r="BL222" i="19"/>
  <c r="BF222" i="19"/>
  <c r="AZ222" i="19"/>
  <c r="AT222" i="19"/>
  <c r="AN222" i="19"/>
  <c r="AH222" i="19"/>
  <c r="AB222" i="19"/>
  <c r="R222" i="19"/>
  <c r="L222" i="19"/>
  <c r="CC221" i="19"/>
  <c r="CB221" i="19"/>
  <c r="CA221" i="19"/>
  <c r="BZ221" i="19"/>
  <c r="BL221" i="19"/>
  <c r="BF221" i="19"/>
  <c r="AZ221" i="19"/>
  <c r="AT221" i="19"/>
  <c r="AN221" i="19"/>
  <c r="AH221" i="19"/>
  <c r="AB221" i="19"/>
  <c r="R221" i="19"/>
  <c r="L221" i="19"/>
  <c r="CC220" i="19"/>
  <c r="CB220" i="19"/>
  <c r="CA220" i="19"/>
  <c r="BZ220" i="19"/>
  <c r="BL220" i="19"/>
  <c r="BF220" i="19"/>
  <c r="AZ220" i="19"/>
  <c r="AT220" i="19"/>
  <c r="AN220" i="19"/>
  <c r="AH220" i="19"/>
  <c r="AB220" i="19"/>
  <c r="R220" i="19"/>
  <c r="L220" i="19"/>
  <c r="CC219" i="19"/>
  <c r="CB219" i="19"/>
  <c r="CA219" i="19"/>
  <c r="BZ219" i="19"/>
  <c r="BL219" i="19"/>
  <c r="BF219" i="19"/>
  <c r="AZ219" i="19"/>
  <c r="AT219" i="19"/>
  <c r="AN219" i="19"/>
  <c r="AH219" i="19"/>
  <c r="AB219" i="19"/>
  <c r="R219" i="19"/>
  <c r="L219" i="19"/>
  <c r="CC218" i="19"/>
  <c r="CB218" i="19"/>
  <c r="CA218" i="19"/>
  <c r="BZ218" i="19"/>
  <c r="BL218" i="19"/>
  <c r="BF218" i="19"/>
  <c r="AZ218" i="19"/>
  <c r="AT218" i="19"/>
  <c r="AN218" i="19"/>
  <c r="AH218" i="19"/>
  <c r="AB218" i="19"/>
  <c r="R218" i="19"/>
  <c r="L218" i="19"/>
  <c r="H218" i="19"/>
  <c r="CC217" i="19"/>
  <c r="CB217" i="19"/>
  <c r="CA217" i="19"/>
  <c r="BZ217" i="19"/>
  <c r="BL217" i="19"/>
  <c r="BF217" i="19"/>
  <c r="AZ217" i="19"/>
  <c r="AT217" i="19"/>
  <c r="AN217" i="19"/>
  <c r="AH217" i="19"/>
  <c r="AB217" i="19"/>
  <c r="R217" i="19"/>
  <c r="L217" i="19"/>
  <c r="CC216" i="19"/>
  <c r="CB216" i="19"/>
  <c r="BZ216" i="19"/>
  <c r="CC215" i="19"/>
  <c r="CB215" i="19"/>
  <c r="CA215" i="19"/>
  <c r="BZ215" i="19"/>
  <c r="BL215" i="19"/>
  <c r="BF215" i="19"/>
  <c r="AZ215" i="19"/>
  <c r="AT215" i="19"/>
  <c r="AN215" i="19"/>
  <c r="AH215" i="19"/>
  <c r="AB215" i="19"/>
  <c r="R215" i="19"/>
  <c r="L215" i="19"/>
  <c r="CC214" i="19"/>
  <c r="CB214" i="19"/>
  <c r="BZ214" i="19"/>
  <c r="BM214" i="19" s="1"/>
  <c r="BL214" i="19"/>
  <c r="BF214" i="19"/>
  <c r="AZ214" i="19"/>
  <c r="AT214" i="19"/>
  <c r="AN214" i="19"/>
  <c r="AH214" i="19"/>
  <c r="AB214" i="19"/>
  <c r="CC213" i="19"/>
  <c r="CB213" i="19"/>
  <c r="CA213" i="19"/>
  <c r="BZ213" i="19"/>
  <c r="BL213" i="19"/>
  <c r="BF213" i="19"/>
  <c r="AZ213" i="19"/>
  <c r="AT213" i="19"/>
  <c r="AN213" i="19"/>
  <c r="AH213" i="19"/>
  <c r="AB213" i="19"/>
  <c r="R213" i="19"/>
  <c r="L213" i="19"/>
  <c r="CC212" i="19"/>
  <c r="CB212" i="19"/>
  <c r="BZ212" i="19"/>
  <c r="BM212" i="19" s="1"/>
  <c r="BL212" i="19"/>
  <c r="BF212" i="19"/>
  <c r="AZ212" i="19"/>
  <c r="AT212" i="19"/>
  <c r="AN212" i="19"/>
  <c r="AH212" i="19"/>
  <c r="AB212" i="19"/>
  <c r="R212" i="19"/>
  <c r="CC211" i="19"/>
  <c r="CB211" i="19"/>
  <c r="CA211" i="19"/>
  <c r="BZ211" i="19"/>
  <c r="BL211" i="19"/>
  <c r="BF211" i="19"/>
  <c r="AZ211" i="19"/>
  <c r="AT211" i="19"/>
  <c r="AN211" i="19"/>
  <c r="AH211" i="19"/>
  <c r="AB211" i="19"/>
  <c r="R211" i="19"/>
  <c r="L211" i="19"/>
  <c r="CC210" i="19"/>
  <c r="CB210" i="19"/>
  <c r="BZ210" i="19"/>
  <c r="BM210" i="19" s="1"/>
  <c r="BL210" i="19"/>
  <c r="BF210" i="19"/>
  <c r="AZ210" i="19"/>
  <c r="AT210" i="19"/>
  <c r="AN210" i="19"/>
  <c r="AH210" i="19"/>
  <c r="AB210" i="19"/>
  <c r="R210" i="19"/>
  <c r="CC101" i="19"/>
  <c r="CB101" i="19"/>
  <c r="CA101" i="19"/>
  <c r="BZ101" i="19"/>
  <c r="BL101" i="19"/>
  <c r="BF101" i="19"/>
  <c r="AZ101" i="19"/>
  <c r="AT101" i="19"/>
  <c r="AN101" i="19"/>
  <c r="AH101" i="19"/>
  <c r="AB101" i="19"/>
  <c r="R101" i="19"/>
  <c r="L101" i="19"/>
  <c r="CC100" i="19"/>
  <c r="CB100" i="19"/>
  <c r="CA100" i="19"/>
  <c r="BZ100" i="19"/>
  <c r="BL100" i="19"/>
  <c r="BF100" i="19"/>
  <c r="AZ100" i="19"/>
  <c r="AT100" i="19"/>
  <c r="AN100" i="19"/>
  <c r="AH100" i="19"/>
  <c r="AB100" i="19"/>
  <c r="R100" i="19"/>
  <c r="L100" i="19"/>
  <c r="CC99" i="19"/>
  <c r="CB99" i="19"/>
  <c r="CA99" i="19"/>
  <c r="BZ99" i="19"/>
  <c r="BL99" i="19"/>
  <c r="BF99" i="19"/>
  <c r="AZ99" i="19"/>
  <c r="AT99" i="19"/>
  <c r="AN99" i="19"/>
  <c r="AH99" i="19"/>
  <c r="AB99" i="19"/>
  <c r="R99" i="19"/>
  <c r="L99" i="19"/>
  <c r="H99" i="19"/>
  <c r="CC98" i="19"/>
  <c r="CB98" i="19"/>
  <c r="CA98" i="19"/>
  <c r="BZ98" i="19"/>
  <c r="BL98" i="19"/>
  <c r="BF98" i="19"/>
  <c r="AZ98" i="19"/>
  <c r="AT98" i="19"/>
  <c r="AN98" i="19"/>
  <c r="AH98" i="19"/>
  <c r="AB98" i="19"/>
  <c r="R98" i="19"/>
  <c r="L98" i="19"/>
  <c r="CC97" i="19"/>
  <c r="CB97" i="19"/>
  <c r="CA97" i="19"/>
  <c r="BZ97" i="19"/>
  <c r="BL97" i="19"/>
  <c r="BF97" i="19"/>
  <c r="AZ97" i="19"/>
  <c r="AT97" i="19"/>
  <c r="AN97" i="19"/>
  <c r="AH97" i="19"/>
  <c r="AB97" i="19"/>
  <c r="R97" i="19"/>
  <c r="L97" i="19"/>
  <c r="CC96" i="19"/>
  <c r="CB96" i="19"/>
  <c r="CA96" i="19"/>
  <c r="BZ96" i="19"/>
  <c r="BL96" i="19"/>
  <c r="BF96" i="19"/>
  <c r="AZ96" i="19"/>
  <c r="AT96" i="19"/>
  <c r="AN96" i="19"/>
  <c r="AH96" i="19"/>
  <c r="AB96" i="19"/>
  <c r="R96" i="19"/>
  <c r="L96" i="19"/>
  <c r="CC95" i="19"/>
  <c r="CB95" i="19"/>
  <c r="CA95" i="19"/>
  <c r="BZ95" i="19"/>
  <c r="BL95" i="19"/>
  <c r="BF95" i="19"/>
  <c r="AZ95" i="19"/>
  <c r="AT95" i="19"/>
  <c r="AN95" i="19"/>
  <c r="AH95" i="19"/>
  <c r="AB95" i="19"/>
  <c r="R95" i="19"/>
  <c r="L95" i="19"/>
  <c r="CC94" i="19"/>
  <c r="CB94" i="19"/>
  <c r="CA94" i="19"/>
  <c r="BZ94" i="19"/>
  <c r="BL94" i="19"/>
  <c r="BF94" i="19"/>
  <c r="AZ94" i="19"/>
  <c r="AT94" i="19"/>
  <c r="AN94" i="19"/>
  <c r="AH94" i="19"/>
  <c r="AB94" i="19"/>
  <c r="R94" i="19"/>
  <c r="L94" i="19"/>
  <c r="CC93" i="19"/>
  <c r="CB93" i="19"/>
  <c r="CA93" i="19"/>
  <c r="BZ93" i="19"/>
  <c r="BL93" i="19"/>
  <c r="BF93" i="19"/>
  <c r="AZ93" i="19"/>
  <c r="AT93" i="19"/>
  <c r="AN93" i="19"/>
  <c r="AH93" i="19"/>
  <c r="AB93" i="19"/>
  <c r="R93" i="19"/>
  <c r="L93" i="19"/>
  <c r="CC92" i="19"/>
  <c r="CB92" i="19"/>
  <c r="CA92" i="19"/>
  <c r="BZ92" i="19"/>
  <c r="BL92" i="19"/>
  <c r="BF92" i="19"/>
  <c r="AZ92" i="19"/>
  <c r="AT92" i="19"/>
  <c r="AN92" i="19"/>
  <c r="AH92" i="19"/>
  <c r="AB92" i="19"/>
  <c r="R92" i="19"/>
  <c r="L92" i="19"/>
  <c r="CC91" i="19"/>
  <c r="CB91" i="19"/>
  <c r="CA91" i="19"/>
  <c r="BZ91" i="19"/>
  <c r="BL91" i="19"/>
  <c r="BF91" i="19"/>
  <c r="AZ91" i="19"/>
  <c r="AT91" i="19"/>
  <c r="AN91" i="19"/>
  <c r="AH91" i="19"/>
  <c r="AB91" i="19"/>
  <c r="R91" i="19"/>
  <c r="L91" i="19"/>
  <c r="CC90" i="19"/>
  <c r="CB90" i="19"/>
  <c r="CA90" i="19"/>
  <c r="BZ90" i="19"/>
  <c r="BL90" i="19"/>
  <c r="BF90" i="19"/>
  <c r="AZ90" i="19"/>
  <c r="AT90" i="19"/>
  <c r="AN90" i="19"/>
  <c r="AH90" i="19"/>
  <c r="AB90" i="19"/>
  <c r="R90" i="19"/>
  <c r="L90" i="19"/>
  <c r="CC89" i="19"/>
  <c r="CB89" i="19"/>
  <c r="CA89" i="19"/>
  <c r="BZ89" i="19"/>
  <c r="BL89" i="19"/>
  <c r="BF89" i="19"/>
  <c r="AZ89" i="19"/>
  <c r="AT89" i="19"/>
  <c r="AN89" i="19"/>
  <c r="AH89" i="19"/>
  <c r="AB89" i="19"/>
  <c r="R89" i="19"/>
  <c r="L89" i="19"/>
  <c r="CC88" i="19"/>
  <c r="CB88" i="19"/>
  <c r="CA88" i="19"/>
  <c r="BZ88" i="19"/>
  <c r="BL88" i="19"/>
  <c r="BF88" i="19"/>
  <c r="AZ88" i="19"/>
  <c r="AT88" i="19"/>
  <c r="AN88" i="19"/>
  <c r="AH88" i="19"/>
  <c r="AB88" i="19"/>
  <c r="R88" i="19"/>
  <c r="L88" i="19"/>
  <c r="H88" i="19"/>
  <c r="CC87" i="19"/>
  <c r="CB87" i="19"/>
  <c r="CA87" i="19"/>
  <c r="BZ87" i="19"/>
  <c r="BL87" i="19"/>
  <c r="BF87" i="19"/>
  <c r="AZ87" i="19"/>
  <c r="AT87" i="19"/>
  <c r="AN87" i="19"/>
  <c r="AH87" i="19"/>
  <c r="AB87" i="19"/>
  <c r="R87" i="19"/>
  <c r="L87" i="19"/>
  <c r="CC86" i="19"/>
  <c r="CB86" i="19"/>
  <c r="CA86" i="19"/>
  <c r="BZ86" i="19"/>
  <c r="BL86" i="19"/>
  <c r="BF86" i="19"/>
  <c r="AZ86" i="19"/>
  <c r="AT86" i="19"/>
  <c r="AN86" i="19"/>
  <c r="AH86" i="19"/>
  <c r="AB86" i="19"/>
  <c r="R86" i="19"/>
  <c r="L86" i="19"/>
  <c r="CC85" i="19"/>
  <c r="CB85" i="19"/>
  <c r="CA85" i="19"/>
  <c r="BZ85" i="19"/>
  <c r="BL85" i="19"/>
  <c r="BF85" i="19"/>
  <c r="AZ85" i="19"/>
  <c r="AT85" i="19"/>
  <c r="AN85" i="19"/>
  <c r="AH85" i="19"/>
  <c r="AB85" i="19"/>
  <c r="R85" i="19"/>
  <c r="L85" i="19"/>
  <c r="CC84" i="19"/>
  <c r="CB84" i="19"/>
  <c r="CA84" i="19"/>
  <c r="BZ84" i="19"/>
  <c r="BL84" i="19"/>
  <c r="BF84" i="19"/>
  <c r="AZ84" i="19"/>
  <c r="AT84" i="19"/>
  <c r="AN84" i="19"/>
  <c r="AH84" i="19"/>
  <c r="AB84" i="19"/>
  <c r="R84" i="19"/>
  <c r="L84" i="19"/>
  <c r="CC83" i="19"/>
  <c r="CB83" i="19"/>
  <c r="CA83" i="19"/>
  <c r="BZ83" i="19"/>
  <c r="BL83" i="19"/>
  <c r="BF83" i="19"/>
  <c r="AZ83" i="19"/>
  <c r="AT83" i="19"/>
  <c r="AN83" i="19"/>
  <c r="AH83" i="19"/>
  <c r="AB83" i="19"/>
  <c r="R83" i="19"/>
  <c r="L83" i="19"/>
  <c r="CC82" i="19"/>
  <c r="CB82" i="19"/>
  <c r="CA82" i="19"/>
  <c r="BZ82" i="19"/>
  <c r="BL82" i="19"/>
  <c r="BF82" i="19"/>
  <c r="AZ82" i="19"/>
  <c r="AT82" i="19"/>
  <c r="AN82" i="19"/>
  <c r="AH82" i="19"/>
  <c r="AB82" i="19"/>
  <c r="R82" i="19"/>
  <c r="L82" i="19"/>
  <c r="CC81" i="19"/>
  <c r="CB81" i="19"/>
  <c r="CA81" i="19"/>
  <c r="BZ81" i="19"/>
  <c r="BL81" i="19"/>
  <c r="BF81" i="19"/>
  <c r="AZ81" i="19"/>
  <c r="AT81" i="19"/>
  <c r="AN81" i="19"/>
  <c r="AH81" i="19"/>
  <c r="AB81" i="19"/>
  <c r="R81" i="19"/>
  <c r="L81" i="19"/>
  <c r="BM284" i="19" l="1"/>
  <c r="CD99" i="19"/>
  <c r="CE99" i="19" s="1"/>
  <c r="CD281" i="19"/>
  <c r="CE281" i="19" s="1"/>
  <c r="CD283" i="19"/>
  <c r="CE283" i="19" s="1"/>
  <c r="CD214" i="19"/>
  <c r="CE214" i="19" s="1"/>
  <c r="CD224" i="19"/>
  <c r="BM229" i="19"/>
  <c r="CD230" i="19"/>
  <c r="CE230" i="19" s="1"/>
  <c r="CD233" i="19"/>
  <c r="CE233" i="19" s="1"/>
  <c r="CD210" i="19"/>
  <c r="BM273" i="19"/>
  <c r="CD97" i="19"/>
  <c r="CD282" i="19"/>
  <c r="CD218" i="19"/>
  <c r="CE218" i="19" s="1"/>
  <c r="CE226" i="19"/>
  <c r="CD229" i="19"/>
  <c r="CE229" i="19" s="1"/>
  <c r="CD279" i="19"/>
  <c r="CE279" i="19" s="1"/>
  <c r="BM281" i="19"/>
  <c r="CD284" i="19"/>
  <c r="CE284" i="19" s="1"/>
  <c r="CD93" i="19"/>
  <c r="BM234" i="19"/>
  <c r="CD95" i="19"/>
  <c r="CD231" i="19"/>
  <c r="CD285" i="19"/>
  <c r="CE285" i="19" s="1"/>
  <c r="CD87" i="19"/>
  <c r="CE87" i="19" s="1"/>
  <c r="CD98" i="19"/>
  <c r="CE98" i="19" s="1"/>
  <c r="CE101" i="19"/>
  <c r="CD217" i="19"/>
  <c r="CE217" i="19" s="1"/>
  <c r="CD220" i="19"/>
  <c r="CD228" i="19"/>
  <c r="CE228" i="19" s="1"/>
  <c r="CD272" i="19"/>
  <c r="CD275" i="19"/>
  <c r="CD277" i="19"/>
  <c r="CE277" i="19" s="1"/>
  <c r="CD81" i="19"/>
  <c r="BM88" i="19"/>
  <c r="CD225" i="19"/>
  <c r="BM233" i="19"/>
  <c r="CD276" i="19"/>
  <c r="CE276" i="19" s="1"/>
  <c r="CD82" i="19"/>
  <c r="BM99" i="19"/>
  <c r="CD212" i="19"/>
  <c r="CE212" i="19" s="1"/>
  <c r="CD278" i="19"/>
  <c r="CE278" i="19" s="1"/>
  <c r="CD216" i="19"/>
  <c r="CE216" i="19" s="1"/>
  <c r="BM218" i="19"/>
  <c r="CD219" i="19"/>
  <c r="CD227" i="19"/>
  <c r="CD274" i="19"/>
  <c r="CD83" i="19"/>
  <c r="CE92" i="19"/>
  <c r="CE94" i="19"/>
  <c r="CD211" i="19"/>
  <c r="CE211" i="19" s="1"/>
  <c r="CD221" i="19"/>
  <c r="CD232" i="19"/>
  <c r="CE232" i="19" s="1"/>
  <c r="BM272" i="19"/>
  <c r="CD273" i="19"/>
  <c r="CD280" i="19"/>
  <c r="CE280" i="19" s="1"/>
  <c r="CD85" i="19"/>
  <c r="CE85" i="19" s="1"/>
  <c r="CD91" i="19"/>
  <c r="CD84" i="19"/>
  <c r="CD88" i="19"/>
  <c r="CE88" i="19" s="1"/>
  <c r="CD213" i="19"/>
  <c r="CE213" i="19" s="1"/>
  <c r="CE90" i="19"/>
  <c r="CD215" i="19"/>
  <c r="CE215" i="19" s="1"/>
  <c r="CD222" i="19"/>
  <c r="CE222" i="19" s="1"/>
  <c r="BM230" i="19"/>
  <c r="BM274" i="19"/>
  <c r="CD86" i="19"/>
  <c r="CE86" i="19" s="1"/>
  <c r="CD234" i="19"/>
  <c r="CE234" i="19" s="1"/>
  <c r="CE224" i="19" l="1"/>
  <c r="CE84" i="19"/>
  <c r="CE100" i="19"/>
  <c r="CE91" i="19"/>
  <c r="CE81" i="19"/>
  <c r="CE93" i="19"/>
  <c r="CE282" i="19"/>
  <c r="CE83" i="19"/>
  <c r="CE275" i="19"/>
  <c r="CE97" i="19"/>
  <c r="CE273" i="19"/>
  <c r="CE274" i="19"/>
  <c r="CE82" i="19"/>
  <c r="CE89" i="19"/>
  <c r="CE96" i="19"/>
  <c r="CE210" i="19"/>
  <c r="CE223" i="19"/>
  <c r="CE227" i="19"/>
  <c r="CE272" i="19"/>
  <c r="CE219" i="19"/>
  <c r="CE231" i="19"/>
  <c r="CE221" i="19"/>
  <c r="CE225" i="19"/>
  <c r="CE220" i="19"/>
  <c r="CE95" i="19"/>
  <c r="CC80" i="19"/>
  <c r="CB80" i="19"/>
  <c r="CA80" i="19"/>
  <c r="BZ80" i="19"/>
  <c r="BL80" i="19"/>
  <c r="BF80" i="19"/>
  <c r="AZ80" i="19"/>
  <c r="AT80" i="19"/>
  <c r="AN80" i="19"/>
  <c r="AH80" i="19"/>
  <c r="AB80" i="19"/>
  <c r="R80" i="19"/>
  <c r="L80" i="19"/>
  <c r="CC79" i="19"/>
  <c r="CB79" i="19"/>
  <c r="CA79" i="19"/>
  <c r="BZ79" i="19"/>
  <c r="BL79" i="19"/>
  <c r="BF79" i="19"/>
  <c r="AZ79" i="19"/>
  <c r="AT79" i="19"/>
  <c r="AN79" i="19"/>
  <c r="AH79" i="19"/>
  <c r="AB79" i="19"/>
  <c r="R79" i="19"/>
  <c r="L79" i="19"/>
  <c r="CC78" i="19"/>
  <c r="CB78" i="19"/>
  <c r="CA78" i="19"/>
  <c r="BZ78" i="19"/>
  <c r="BL78" i="19"/>
  <c r="BF78" i="19"/>
  <c r="AZ78" i="19"/>
  <c r="AT78" i="19"/>
  <c r="AN78" i="19"/>
  <c r="AH78" i="19"/>
  <c r="AB78" i="19"/>
  <c r="R78" i="19"/>
  <c r="L78" i="19"/>
  <c r="H78" i="19"/>
  <c r="CC77" i="19"/>
  <c r="CB77" i="19"/>
  <c r="CA77" i="19"/>
  <c r="BZ77" i="19"/>
  <c r="BL77" i="19"/>
  <c r="BF77" i="19"/>
  <c r="AZ77" i="19"/>
  <c r="AT77" i="19"/>
  <c r="AN77" i="19"/>
  <c r="AH77" i="19"/>
  <c r="AB77" i="19"/>
  <c r="R77" i="19"/>
  <c r="L77" i="19"/>
  <c r="CC76" i="19"/>
  <c r="CB76" i="19"/>
  <c r="CA76" i="19"/>
  <c r="BZ76" i="19"/>
  <c r="BL76" i="19"/>
  <c r="BF76" i="19"/>
  <c r="AZ76" i="19"/>
  <c r="AT76" i="19"/>
  <c r="AN76" i="19"/>
  <c r="AH76" i="19"/>
  <c r="AB76" i="19"/>
  <c r="R76" i="19"/>
  <c r="L76" i="19"/>
  <c r="CC209" i="19"/>
  <c r="CB209" i="19"/>
  <c r="CA209" i="19"/>
  <c r="BZ209" i="19"/>
  <c r="BL209" i="19"/>
  <c r="BF209" i="19"/>
  <c r="AZ209" i="19"/>
  <c r="AT209" i="19"/>
  <c r="AN209" i="19"/>
  <c r="AH209" i="19"/>
  <c r="AB209" i="19"/>
  <c r="R209" i="19"/>
  <c r="L209" i="19"/>
  <c r="CC208" i="19"/>
  <c r="CB208" i="19"/>
  <c r="CA208" i="19"/>
  <c r="BZ208" i="19"/>
  <c r="BL208" i="19"/>
  <c r="BF208" i="19"/>
  <c r="AZ208" i="19"/>
  <c r="AT208" i="19"/>
  <c r="AN208" i="19"/>
  <c r="AH208" i="19"/>
  <c r="AB208" i="19"/>
  <c r="R208" i="19"/>
  <c r="L208" i="19"/>
  <c r="CC207" i="19"/>
  <c r="CB207" i="19"/>
  <c r="CA207" i="19"/>
  <c r="BZ207" i="19"/>
  <c r="BL207" i="19"/>
  <c r="BF207" i="19"/>
  <c r="AZ207" i="19"/>
  <c r="AT207" i="19"/>
  <c r="AN207" i="19"/>
  <c r="AH207" i="19"/>
  <c r="AB207" i="19"/>
  <c r="R207" i="19"/>
  <c r="L207" i="19"/>
  <c r="CC271" i="19"/>
  <c r="CB271" i="19"/>
  <c r="CA271" i="19"/>
  <c r="BZ271" i="19"/>
  <c r="BL271" i="19"/>
  <c r="BF271" i="19"/>
  <c r="AZ271" i="19"/>
  <c r="AT271" i="19"/>
  <c r="AN271" i="19"/>
  <c r="AH271" i="19"/>
  <c r="AB271" i="19"/>
  <c r="R271" i="19"/>
  <c r="L271" i="19"/>
  <c r="H271" i="19"/>
  <c r="CC270" i="19"/>
  <c r="CB270" i="19"/>
  <c r="CA270" i="19"/>
  <c r="BZ270" i="19"/>
  <c r="BL270" i="19"/>
  <c r="BF270" i="19"/>
  <c r="AZ270" i="19"/>
  <c r="AT270" i="19"/>
  <c r="AN270" i="19"/>
  <c r="AH270" i="19"/>
  <c r="AB270" i="19"/>
  <c r="R270" i="19"/>
  <c r="L270" i="19"/>
  <c r="CC269" i="19"/>
  <c r="CB269" i="19"/>
  <c r="CA269" i="19"/>
  <c r="BZ269" i="19"/>
  <c r="BL269" i="19"/>
  <c r="BF269" i="19"/>
  <c r="AZ269" i="19"/>
  <c r="AT269" i="19"/>
  <c r="AN269" i="19"/>
  <c r="AH269" i="19"/>
  <c r="AB269" i="19"/>
  <c r="R269" i="19"/>
  <c r="L269" i="19"/>
  <c r="CD77" i="19" l="1"/>
  <c r="CE77" i="19" s="1"/>
  <c r="CD209" i="19"/>
  <c r="CE209" i="19" s="1"/>
  <c r="CD78" i="19"/>
  <c r="CE78" i="19" s="1"/>
  <c r="CD271" i="19"/>
  <c r="CE271" i="19" s="1"/>
  <c r="BM271" i="19"/>
  <c r="CE80" i="19"/>
  <c r="CD76" i="19"/>
  <c r="CD270" i="19"/>
  <c r="CE270" i="19" s="1"/>
  <c r="CD269" i="19"/>
  <c r="CD208" i="19"/>
  <c r="CD79" i="19"/>
  <c r="CD207" i="19"/>
  <c r="BM78" i="19"/>
  <c r="CE76" i="19" l="1"/>
  <c r="CE207" i="19"/>
  <c r="CE79" i="19"/>
  <c r="CE208" i="19"/>
  <c r="CE269" i="19"/>
  <c r="CC1047" i="19" l="1"/>
  <c r="CB1047" i="19"/>
  <c r="CA1047" i="19"/>
  <c r="BZ1047" i="19"/>
  <c r="BL1047" i="19"/>
  <c r="BF1047" i="19"/>
  <c r="AZ1047" i="19"/>
  <c r="AT1047" i="19"/>
  <c r="AN1047" i="19"/>
  <c r="AH1047" i="19"/>
  <c r="AB1047" i="19"/>
  <c r="R1047" i="19"/>
  <c r="L1047" i="19"/>
  <c r="CD1047" i="19" l="1"/>
  <c r="CE1047" i="19" s="1"/>
  <c r="CC1063" i="19" l="1"/>
  <c r="CB1063" i="19"/>
  <c r="CA1063" i="19"/>
  <c r="BZ1063" i="19"/>
  <c r="BL1063" i="19"/>
  <c r="BF1063" i="19"/>
  <c r="AZ1063" i="19"/>
  <c r="AT1063" i="19"/>
  <c r="AN1063" i="19"/>
  <c r="AH1063" i="19"/>
  <c r="AB1063" i="19"/>
  <c r="R1063" i="19"/>
  <c r="L1063" i="19"/>
  <c r="CC1062" i="19"/>
  <c r="CB1062" i="19"/>
  <c r="CA1062" i="19"/>
  <c r="BZ1062" i="19"/>
  <c r="BL1062" i="19"/>
  <c r="BF1062" i="19"/>
  <c r="AZ1062" i="19"/>
  <c r="AT1062" i="19"/>
  <c r="AN1062" i="19"/>
  <c r="AH1062" i="19"/>
  <c r="AB1062" i="19"/>
  <c r="R1062" i="19"/>
  <c r="L1062" i="19"/>
  <c r="CC1061" i="19"/>
  <c r="CB1061" i="19"/>
  <c r="CA1061" i="19"/>
  <c r="BZ1061" i="19"/>
  <c r="BL1061" i="19"/>
  <c r="BF1061" i="19"/>
  <c r="AZ1061" i="19"/>
  <c r="AT1061" i="19"/>
  <c r="AN1061" i="19"/>
  <c r="AH1061" i="19"/>
  <c r="AB1061" i="19"/>
  <c r="R1061" i="19"/>
  <c r="L1061" i="19"/>
  <c r="CC1060" i="19"/>
  <c r="CB1060" i="19"/>
  <c r="CA1060" i="19"/>
  <c r="BZ1060" i="19"/>
  <c r="BL1060" i="19"/>
  <c r="BF1060" i="19"/>
  <c r="AZ1060" i="19"/>
  <c r="AT1060" i="19"/>
  <c r="AN1060" i="19"/>
  <c r="AH1060" i="19"/>
  <c r="AB1060" i="19"/>
  <c r="R1060" i="19"/>
  <c r="L1060" i="19"/>
  <c r="CC563" i="19"/>
  <c r="CB563" i="19"/>
  <c r="CA563" i="19"/>
  <c r="BZ563" i="19"/>
  <c r="BL563" i="19"/>
  <c r="BF563" i="19"/>
  <c r="AZ563" i="19"/>
  <c r="AT563" i="19"/>
  <c r="AN563" i="19"/>
  <c r="AH563" i="19"/>
  <c r="AB563" i="19"/>
  <c r="R563" i="19"/>
  <c r="L563" i="19"/>
  <c r="CD1062" i="19" l="1"/>
  <c r="CE1062" i="19" s="1"/>
  <c r="BM1062" i="19"/>
  <c r="CD1060" i="19"/>
  <c r="CE1061" i="19"/>
  <c r="CD1063" i="19"/>
  <c r="CE1060" i="19" l="1"/>
  <c r="CE1063" i="19"/>
  <c r="CE563" i="19"/>
  <c r="K42" i="2" l="1"/>
  <c r="CC1087" i="19" l="1"/>
  <c r="CB1087" i="19"/>
  <c r="CA1087" i="19"/>
  <c r="BZ1087" i="19"/>
  <c r="BL1087" i="19"/>
  <c r="BF1087" i="19"/>
  <c r="AZ1087" i="19"/>
  <c r="AT1087" i="19"/>
  <c r="AN1087" i="19"/>
  <c r="AH1087" i="19"/>
  <c r="AB1087" i="19"/>
  <c r="R1087" i="19"/>
  <c r="L1087" i="19"/>
  <c r="CC1085" i="19"/>
  <c r="CB1085" i="19"/>
  <c r="CA1085" i="19"/>
  <c r="BZ1085" i="19"/>
  <c r="BL1085" i="19"/>
  <c r="BF1085" i="19"/>
  <c r="AZ1085" i="19"/>
  <c r="AT1085" i="19"/>
  <c r="AN1085" i="19"/>
  <c r="AH1085" i="19"/>
  <c r="AB1085" i="19"/>
  <c r="R1085" i="19"/>
  <c r="L1085" i="19"/>
  <c r="CC1084" i="19"/>
  <c r="CB1084" i="19"/>
  <c r="CA1084" i="19"/>
  <c r="BZ1084" i="19"/>
  <c r="BL1084" i="19"/>
  <c r="BF1084" i="19"/>
  <c r="AZ1084" i="19"/>
  <c r="AT1084" i="19"/>
  <c r="AN1084" i="19"/>
  <c r="AH1084" i="19"/>
  <c r="AB1084" i="19"/>
  <c r="R1084" i="19"/>
  <c r="L1084" i="19"/>
  <c r="CC1083" i="19"/>
  <c r="CB1083" i="19"/>
  <c r="CA1083" i="19"/>
  <c r="BZ1083" i="19"/>
  <c r="BL1083" i="19"/>
  <c r="BF1083" i="19"/>
  <c r="AZ1083" i="19"/>
  <c r="AT1083" i="19"/>
  <c r="AN1083" i="19"/>
  <c r="AH1083" i="19"/>
  <c r="AB1083" i="19"/>
  <c r="R1083" i="19"/>
  <c r="L1083" i="19"/>
  <c r="CC1082" i="19"/>
  <c r="CB1082" i="19"/>
  <c r="CA1082" i="19"/>
  <c r="BZ1082" i="19"/>
  <c r="BL1082" i="19"/>
  <c r="BF1082" i="19"/>
  <c r="AZ1082" i="19"/>
  <c r="AT1082" i="19"/>
  <c r="AN1082" i="19"/>
  <c r="AH1082" i="19"/>
  <c r="AB1082" i="19"/>
  <c r="R1082" i="19"/>
  <c r="L1082" i="19"/>
  <c r="CC1081" i="19"/>
  <c r="CB1081" i="19"/>
  <c r="CA1081" i="19"/>
  <c r="BZ1081" i="19"/>
  <c r="BL1081" i="19"/>
  <c r="BF1081" i="19"/>
  <c r="AZ1081" i="19"/>
  <c r="AT1081" i="19"/>
  <c r="AN1081" i="19"/>
  <c r="AH1081" i="19"/>
  <c r="AB1081" i="19"/>
  <c r="R1081" i="19"/>
  <c r="L1081" i="19"/>
  <c r="CC1059" i="19"/>
  <c r="CB1059" i="19"/>
  <c r="CA1059" i="19"/>
  <c r="BZ1059" i="19"/>
  <c r="BL1059" i="19"/>
  <c r="BF1059" i="19"/>
  <c r="AZ1059" i="19"/>
  <c r="AT1059" i="19"/>
  <c r="AN1059" i="19"/>
  <c r="AH1059" i="19"/>
  <c r="AB1059" i="19"/>
  <c r="R1059" i="19"/>
  <c r="L1059" i="19"/>
  <c r="CC1058" i="19"/>
  <c r="CB1058" i="19"/>
  <c r="CA1058" i="19"/>
  <c r="BZ1058" i="19"/>
  <c r="BL1058" i="19"/>
  <c r="BF1058" i="19"/>
  <c r="AZ1058" i="19"/>
  <c r="AT1058" i="19"/>
  <c r="AN1058" i="19"/>
  <c r="AH1058" i="19"/>
  <c r="AB1058" i="19"/>
  <c r="R1058" i="19"/>
  <c r="L1058" i="19"/>
  <c r="CC1057" i="19"/>
  <c r="CB1057" i="19"/>
  <c r="CA1057" i="19"/>
  <c r="BZ1057" i="19"/>
  <c r="BL1057" i="19"/>
  <c r="BF1057" i="19"/>
  <c r="AZ1057" i="19"/>
  <c r="AT1057" i="19"/>
  <c r="AN1057" i="19"/>
  <c r="AH1057" i="19"/>
  <c r="AB1057" i="19"/>
  <c r="R1057" i="19"/>
  <c r="L1057" i="19"/>
  <c r="CC1056" i="19"/>
  <c r="CB1056" i="19"/>
  <c r="CA1056" i="19"/>
  <c r="BZ1056" i="19"/>
  <c r="BL1056" i="19"/>
  <c r="BF1056" i="19"/>
  <c r="AZ1056" i="19"/>
  <c r="AT1056" i="19"/>
  <c r="AN1056" i="19"/>
  <c r="AH1056" i="19"/>
  <c r="AB1056" i="19"/>
  <c r="R1056" i="19"/>
  <c r="L1056" i="19"/>
  <c r="CC1055" i="19"/>
  <c r="CB1055" i="19"/>
  <c r="CA1055" i="19"/>
  <c r="BZ1055" i="19"/>
  <c r="BL1055" i="19"/>
  <c r="BF1055" i="19"/>
  <c r="AZ1055" i="19"/>
  <c r="AT1055" i="19"/>
  <c r="AN1055" i="19"/>
  <c r="AH1055" i="19"/>
  <c r="AB1055" i="19"/>
  <c r="R1055" i="19"/>
  <c r="L1055" i="19"/>
  <c r="CC1054" i="19"/>
  <c r="CB1054" i="19"/>
  <c r="CA1054" i="19"/>
  <c r="BZ1054" i="19"/>
  <c r="BL1054" i="19"/>
  <c r="BF1054" i="19"/>
  <c r="AZ1054" i="19"/>
  <c r="AT1054" i="19"/>
  <c r="AN1054" i="19"/>
  <c r="AH1054" i="19"/>
  <c r="AB1054" i="19"/>
  <c r="R1054" i="19"/>
  <c r="L1054" i="19"/>
  <c r="CC1053" i="19"/>
  <c r="CB1053" i="19"/>
  <c r="CA1053" i="19"/>
  <c r="BZ1053" i="19"/>
  <c r="BL1053" i="19"/>
  <c r="BF1053" i="19"/>
  <c r="AZ1053" i="19"/>
  <c r="AT1053" i="19"/>
  <c r="AN1053" i="19"/>
  <c r="AH1053" i="19"/>
  <c r="AB1053" i="19"/>
  <c r="R1053" i="19"/>
  <c r="L1053" i="19"/>
  <c r="CC1052" i="19"/>
  <c r="CB1052" i="19"/>
  <c r="CA1052" i="19"/>
  <c r="BZ1052" i="19"/>
  <c r="BL1052" i="19"/>
  <c r="BF1052" i="19"/>
  <c r="AZ1052" i="19"/>
  <c r="AT1052" i="19"/>
  <c r="AN1052" i="19"/>
  <c r="AH1052" i="19"/>
  <c r="AB1052" i="19"/>
  <c r="R1052" i="19"/>
  <c r="L1052" i="19"/>
  <c r="CC1051" i="19"/>
  <c r="CB1051" i="19"/>
  <c r="CA1051" i="19"/>
  <c r="BZ1051" i="19"/>
  <c r="BL1051" i="19"/>
  <c r="BF1051" i="19"/>
  <c r="AZ1051" i="19"/>
  <c r="AT1051" i="19"/>
  <c r="AN1051" i="19"/>
  <c r="AH1051" i="19"/>
  <c r="AB1051" i="19"/>
  <c r="R1051" i="19"/>
  <c r="L1051" i="19"/>
  <c r="CE1052" i="19" l="1"/>
  <c r="CD1087" i="19"/>
  <c r="CE1087" i="19" s="1"/>
  <c r="CD1084" i="19"/>
  <c r="CD1082" i="19"/>
  <c r="CE1082" i="19" s="1"/>
  <c r="CD1083" i="19"/>
  <c r="CE1083" i="19" s="1"/>
  <c r="CD1085" i="19"/>
  <c r="CE1085" i="19" s="1"/>
  <c r="CD1081" i="19"/>
  <c r="CD1055" i="19"/>
  <c r="CE1059" i="19"/>
  <c r="CD1057" i="19"/>
  <c r="CE1053" i="19"/>
  <c r="CD1058" i="19"/>
  <c r="CE1058" i="19" s="1"/>
  <c r="CD1054" i="19"/>
  <c r="CE1057" i="19" l="1"/>
  <c r="CE1054" i="19"/>
  <c r="CE1081" i="19"/>
  <c r="CE1051" i="19"/>
  <c r="CE1056" i="19"/>
  <c r="CE1084" i="19"/>
  <c r="CE1055" i="19"/>
  <c r="CC464" i="19"/>
  <c r="CB464" i="19"/>
  <c r="CA464" i="19"/>
  <c r="BZ464" i="19"/>
  <c r="BL464" i="19"/>
  <c r="BF464" i="19"/>
  <c r="AZ464" i="19"/>
  <c r="AT464" i="19"/>
  <c r="AN464" i="19"/>
  <c r="AH464" i="19"/>
  <c r="AB464" i="19"/>
  <c r="R464" i="19"/>
  <c r="L464" i="19"/>
  <c r="CC463" i="19"/>
  <c r="CB463" i="19"/>
  <c r="CA463" i="19"/>
  <c r="BZ463" i="19"/>
  <c r="BL463" i="19"/>
  <c r="BF463" i="19"/>
  <c r="AZ463" i="19"/>
  <c r="AT463" i="19"/>
  <c r="AN463" i="19"/>
  <c r="AH463" i="19"/>
  <c r="AB463" i="19"/>
  <c r="R463" i="19"/>
  <c r="L463" i="19"/>
  <c r="CC462" i="19"/>
  <c r="CB462" i="19"/>
  <c r="CA462" i="19"/>
  <c r="BZ462" i="19"/>
  <c r="BL462" i="19"/>
  <c r="BF462" i="19"/>
  <c r="AZ462" i="19"/>
  <c r="AT462" i="19"/>
  <c r="AN462" i="19"/>
  <c r="AH462" i="19"/>
  <c r="AB462" i="19"/>
  <c r="R462" i="19"/>
  <c r="L462" i="19"/>
  <c r="CC461" i="19"/>
  <c r="CB461" i="19"/>
  <c r="CA461" i="19"/>
  <c r="BZ461" i="19"/>
  <c r="BL461" i="19"/>
  <c r="BF461" i="19"/>
  <c r="AZ461" i="19"/>
  <c r="AT461" i="19"/>
  <c r="AN461" i="19"/>
  <c r="AH461" i="19"/>
  <c r="AB461" i="19"/>
  <c r="R461" i="19"/>
  <c r="L461" i="19"/>
  <c r="CC460" i="19"/>
  <c r="CB460" i="19"/>
  <c r="CA460" i="19"/>
  <c r="BZ460" i="19"/>
  <c r="BL460" i="19"/>
  <c r="BF460" i="19"/>
  <c r="AZ460" i="19"/>
  <c r="AT460" i="19"/>
  <c r="AN460" i="19"/>
  <c r="AH460" i="19"/>
  <c r="AB460" i="19"/>
  <c r="R460" i="19"/>
  <c r="L460" i="19"/>
  <c r="CC459" i="19"/>
  <c r="CB459" i="19"/>
  <c r="CA459" i="19"/>
  <c r="BZ459" i="19"/>
  <c r="BL459" i="19"/>
  <c r="BF459" i="19"/>
  <c r="AZ459" i="19"/>
  <c r="AT459" i="19"/>
  <c r="AN459" i="19"/>
  <c r="AH459" i="19"/>
  <c r="AB459" i="19"/>
  <c r="R459" i="19"/>
  <c r="L459" i="19"/>
  <c r="CC458" i="19"/>
  <c r="CB458" i="19"/>
  <c r="CA458" i="19"/>
  <c r="BZ458" i="19"/>
  <c r="BL458" i="19"/>
  <c r="BF458" i="19"/>
  <c r="AZ458" i="19"/>
  <c r="AT458" i="19"/>
  <c r="AN458" i="19"/>
  <c r="AH458" i="19"/>
  <c r="AB458" i="19"/>
  <c r="R458" i="19"/>
  <c r="L458" i="19"/>
  <c r="CC457" i="19"/>
  <c r="CB457" i="19"/>
  <c r="CA457" i="19"/>
  <c r="BZ457" i="19"/>
  <c r="BL457" i="19"/>
  <c r="BF457" i="19"/>
  <c r="AZ457" i="19"/>
  <c r="AT457" i="19"/>
  <c r="AN457" i="19"/>
  <c r="AH457" i="19"/>
  <c r="AB457" i="19"/>
  <c r="R457" i="19"/>
  <c r="L457" i="19"/>
  <c r="CC409" i="19"/>
  <c r="CB409" i="19"/>
  <c r="CA409" i="19"/>
  <c r="BZ409" i="19"/>
  <c r="BL409" i="19"/>
  <c r="BF409" i="19"/>
  <c r="AZ409" i="19"/>
  <c r="AT409" i="19"/>
  <c r="AN409" i="19"/>
  <c r="AH409" i="19"/>
  <c r="AB409" i="19"/>
  <c r="R409" i="19"/>
  <c r="L409" i="19"/>
  <c r="CC408" i="19"/>
  <c r="CB408" i="19"/>
  <c r="CA408" i="19"/>
  <c r="BZ408" i="19"/>
  <c r="BL408" i="19"/>
  <c r="BF408" i="19"/>
  <c r="AZ408" i="19"/>
  <c r="AT408" i="19"/>
  <c r="AN408" i="19"/>
  <c r="AH408" i="19"/>
  <c r="AB408" i="19"/>
  <c r="R408" i="19"/>
  <c r="L408" i="19"/>
  <c r="CC190" i="19"/>
  <c r="CB190" i="19"/>
  <c r="CA190" i="19"/>
  <c r="BZ190" i="19"/>
  <c r="BL190" i="19"/>
  <c r="BF190" i="19"/>
  <c r="AZ190" i="19"/>
  <c r="AT190" i="19"/>
  <c r="AN190" i="19"/>
  <c r="AH190" i="19"/>
  <c r="AB190" i="19"/>
  <c r="R190" i="19"/>
  <c r="L190" i="19"/>
  <c r="CC189" i="19"/>
  <c r="CB189" i="19"/>
  <c r="CA189" i="19"/>
  <c r="BZ189" i="19"/>
  <c r="BL189" i="19"/>
  <c r="BF189" i="19"/>
  <c r="AZ189" i="19"/>
  <c r="AT189" i="19"/>
  <c r="AN189" i="19"/>
  <c r="AH189" i="19"/>
  <c r="R189" i="19"/>
  <c r="L189" i="19"/>
  <c r="CC188" i="19"/>
  <c r="CB188" i="19"/>
  <c r="CA188" i="19"/>
  <c r="BZ188" i="19"/>
  <c r="BL188" i="19"/>
  <c r="BF188" i="19"/>
  <c r="AZ188" i="19"/>
  <c r="AT188" i="19"/>
  <c r="AN188" i="19"/>
  <c r="AH188" i="19"/>
  <c r="AB188" i="19"/>
  <c r="R188" i="19"/>
  <c r="L188" i="19"/>
  <c r="CC75" i="19"/>
  <c r="CB75" i="19"/>
  <c r="CA75" i="19"/>
  <c r="BZ75" i="19"/>
  <c r="BL75" i="19"/>
  <c r="BF75" i="19"/>
  <c r="AZ75" i="19"/>
  <c r="AT75" i="19"/>
  <c r="AN75" i="19"/>
  <c r="AH75" i="19"/>
  <c r="AB75" i="19"/>
  <c r="R75" i="19"/>
  <c r="L75" i="19"/>
  <c r="CC74" i="19"/>
  <c r="CB74" i="19"/>
  <c r="CA74" i="19"/>
  <c r="BZ74" i="19"/>
  <c r="BL74" i="19"/>
  <c r="BF74" i="19"/>
  <c r="AZ74" i="19"/>
  <c r="AT74" i="19"/>
  <c r="AN74" i="19"/>
  <c r="AH74" i="19"/>
  <c r="AB74" i="19"/>
  <c r="R74" i="19"/>
  <c r="L74" i="19"/>
  <c r="CC73" i="19"/>
  <c r="CB73" i="19"/>
  <c r="CA73" i="19"/>
  <c r="BZ73" i="19"/>
  <c r="BL73" i="19"/>
  <c r="BF73" i="19"/>
  <c r="AZ73" i="19"/>
  <c r="AT73" i="19"/>
  <c r="AN73" i="19"/>
  <c r="AH73" i="19"/>
  <c r="AB73" i="19"/>
  <c r="R73" i="19"/>
  <c r="L73" i="19"/>
  <c r="CC72" i="19"/>
  <c r="CB72" i="19"/>
  <c r="CA72" i="19"/>
  <c r="BZ72" i="19"/>
  <c r="BL72" i="19"/>
  <c r="BF72" i="19"/>
  <c r="AZ72" i="19"/>
  <c r="AT72" i="19"/>
  <c r="AN72" i="19"/>
  <c r="AH72" i="19"/>
  <c r="AB72" i="19"/>
  <c r="R72" i="19"/>
  <c r="L72" i="19"/>
  <c r="CC71" i="19"/>
  <c r="CB71" i="19"/>
  <c r="CA71" i="19"/>
  <c r="BZ71" i="19"/>
  <c r="BL71" i="19"/>
  <c r="BF71" i="19"/>
  <c r="AZ71" i="19"/>
  <c r="AT71" i="19"/>
  <c r="AN71" i="19"/>
  <c r="AH71" i="19"/>
  <c r="AB71" i="19"/>
  <c r="R71" i="19"/>
  <c r="L71" i="19"/>
  <c r="CC70" i="19"/>
  <c r="CB70" i="19"/>
  <c r="CA70" i="19"/>
  <c r="BZ70" i="19"/>
  <c r="BL70" i="19"/>
  <c r="BF70" i="19"/>
  <c r="AZ70" i="19"/>
  <c r="AT70" i="19"/>
  <c r="AN70" i="19"/>
  <c r="AH70" i="19"/>
  <c r="AB70" i="19"/>
  <c r="R70" i="19"/>
  <c r="L70" i="19"/>
  <c r="CC69" i="19"/>
  <c r="CB69" i="19"/>
  <c r="CA69" i="19"/>
  <c r="BZ69" i="19"/>
  <c r="BL69" i="19"/>
  <c r="BF69" i="19"/>
  <c r="AZ69" i="19"/>
  <c r="AT69" i="19"/>
  <c r="AN69" i="19"/>
  <c r="AH69" i="19"/>
  <c r="AB69" i="19"/>
  <c r="R69" i="19"/>
  <c r="L69" i="19"/>
  <c r="H69" i="19"/>
  <c r="CC68" i="19"/>
  <c r="CB68" i="19"/>
  <c r="CA68" i="19"/>
  <c r="BZ68" i="19"/>
  <c r="BL68" i="19"/>
  <c r="BF68" i="19"/>
  <c r="AZ68" i="19"/>
  <c r="AT68" i="19"/>
  <c r="AN68" i="19"/>
  <c r="AH68" i="19"/>
  <c r="AB68" i="19"/>
  <c r="R68" i="19"/>
  <c r="L68" i="19"/>
  <c r="CC67" i="19"/>
  <c r="CB67" i="19"/>
  <c r="CA67" i="19"/>
  <c r="BZ67" i="19"/>
  <c r="BL67" i="19"/>
  <c r="BF67" i="19"/>
  <c r="AZ67" i="19"/>
  <c r="AT67" i="19"/>
  <c r="AN67" i="19"/>
  <c r="AH67" i="19"/>
  <c r="AB67" i="19"/>
  <c r="R67" i="19"/>
  <c r="L67" i="19"/>
  <c r="CC66" i="19"/>
  <c r="CB66" i="19"/>
  <c r="CA66" i="19"/>
  <c r="BZ66" i="19"/>
  <c r="BL66" i="19"/>
  <c r="BF66" i="19"/>
  <c r="AZ66" i="19"/>
  <c r="AT66" i="19"/>
  <c r="AN66" i="19"/>
  <c r="AH66" i="19"/>
  <c r="AB66" i="19"/>
  <c r="R66" i="19"/>
  <c r="L66" i="19"/>
  <c r="CC65" i="19"/>
  <c r="CB65" i="19"/>
  <c r="CA65" i="19"/>
  <c r="BZ65" i="19"/>
  <c r="BL65" i="19"/>
  <c r="BF65" i="19"/>
  <c r="AZ65" i="19"/>
  <c r="AT65" i="19"/>
  <c r="AN65" i="19"/>
  <c r="AH65" i="19"/>
  <c r="AB65" i="19"/>
  <c r="R65" i="19"/>
  <c r="L65" i="19"/>
  <c r="CC64" i="19"/>
  <c r="CB64" i="19"/>
  <c r="CA64" i="19"/>
  <c r="BZ64" i="19"/>
  <c r="BL64" i="19"/>
  <c r="BF64" i="19"/>
  <c r="AZ64" i="19"/>
  <c r="AT64" i="19"/>
  <c r="AN64" i="19"/>
  <c r="AH64" i="19"/>
  <c r="AB64" i="19"/>
  <c r="R64" i="19"/>
  <c r="L64" i="19"/>
  <c r="CC63" i="19"/>
  <c r="CB63" i="19"/>
  <c r="CA63" i="19"/>
  <c r="BZ63" i="19"/>
  <c r="BL63" i="19"/>
  <c r="BF63" i="19"/>
  <c r="AZ63" i="19"/>
  <c r="AT63" i="19"/>
  <c r="AN63" i="19"/>
  <c r="AH63" i="19"/>
  <c r="AB63" i="19"/>
  <c r="R63" i="19"/>
  <c r="L63" i="19"/>
  <c r="CD75" i="19" l="1"/>
  <c r="CE75" i="19" s="1"/>
  <c r="CD70" i="19"/>
  <c r="CD69" i="19"/>
  <c r="CE69" i="19" s="1"/>
  <c r="CD457" i="19"/>
  <c r="CD409" i="19"/>
  <c r="CE409" i="19" s="1"/>
  <c r="CD459" i="19"/>
  <c r="CD464" i="19"/>
  <c r="CD189" i="19"/>
  <c r="CD63" i="19"/>
  <c r="CD463" i="19"/>
  <c r="CD188" i="19"/>
  <c r="CD460" i="19"/>
  <c r="CD462" i="19"/>
  <c r="CE462" i="19" s="1"/>
  <c r="CD74" i="19"/>
  <c r="CD461" i="19"/>
  <c r="CE461" i="19" s="1"/>
  <c r="CD65" i="19"/>
  <c r="CD71" i="19"/>
  <c r="CE71" i="19" s="1"/>
  <c r="CE190" i="19"/>
  <c r="BM69" i="19"/>
  <c r="BM75" i="19"/>
  <c r="CD408" i="19"/>
  <c r="CD458" i="19"/>
  <c r="CE458" i="19" s="1"/>
  <c r="CD72" i="19"/>
  <c r="CD68" i="19"/>
  <c r="CE68" i="19" s="1"/>
  <c r="CD67" i="19"/>
  <c r="CE64" i="19"/>
  <c r="CD73" i="19"/>
  <c r="CE73" i="19" s="1"/>
  <c r="CD66" i="19"/>
  <c r="CE66" i="19" s="1"/>
  <c r="CE67" i="19" l="1"/>
  <c r="CE463" i="19"/>
  <c r="CE63" i="19"/>
  <c r="CE72" i="19"/>
  <c r="CE189" i="19"/>
  <c r="CE65" i="19"/>
  <c r="CE70" i="19"/>
  <c r="CE74" i="19"/>
  <c r="CE464" i="19"/>
  <c r="CE408" i="19"/>
  <c r="CE459" i="19"/>
  <c r="CE460" i="19"/>
  <c r="CE457" i="19"/>
  <c r="CE188" i="19"/>
  <c r="CC1080" i="19" l="1"/>
  <c r="CB1080" i="19"/>
  <c r="CA1080" i="19"/>
  <c r="BZ1080" i="19"/>
  <c r="BL1080" i="19"/>
  <c r="BF1080" i="19"/>
  <c r="AZ1080" i="19"/>
  <c r="AT1080" i="19"/>
  <c r="AN1080" i="19"/>
  <c r="AH1080" i="19"/>
  <c r="AB1080" i="19"/>
  <c r="R1080" i="19"/>
  <c r="L1080" i="19"/>
  <c r="CC1079" i="19"/>
  <c r="CB1079" i="19"/>
  <c r="CA1079" i="19"/>
  <c r="BZ1079" i="19"/>
  <c r="BL1079" i="19"/>
  <c r="BF1079" i="19"/>
  <c r="AZ1079" i="19"/>
  <c r="AT1079" i="19"/>
  <c r="AN1079" i="19"/>
  <c r="AH1079" i="19"/>
  <c r="AB1079" i="19"/>
  <c r="R1079" i="19"/>
  <c r="L1079" i="19"/>
  <c r="CC407" i="19"/>
  <c r="CB407" i="19"/>
  <c r="CA407" i="19"/>
  <c r="BZ407" i="19"/>
  <c r="BL407" i="19"/>
  <c r="BF407" i="19"/>
  <c r="AZ407" i="19"/>
  <c r="AT407" i="19"/>
  <c r="AN407" i="19"/>
  <c r="AH407" i="19"/>
  <c r="AB407" i="19"/>
  <c r="R407" i="19"/>
  <c r="L407" i="19"/>
  <c r="CC406" i="19"/>
  <c r="CB406" i="19"/>
  <c r="CA406" i="19"/>
  <c r="BZ406" i="19"/>
  <c r="BL406" i="19"/>
  <c r="BF406" i="19"/>
  <c r="AZ406" i="19"/>
  <c r="AT406" i="19"/>
  <c r="AN406" i="19"/>
  <c r="AH406" i="19"/>
  <c r="AB406" i="19"/>
  <c r="R406" i="19"/>
  <c r="L406" i="19"/>
  <c r="CC405" i="19"/>
  <c r="CB405" i="19"/>
  <c r="CA405" i="19"/>
  <c r="BZ405" i="19"/>
  <c r="BL405" i="19"/>
  <c r="BF405" i="19"/>
  <c r="AZ405" i="19"/>
  <c r="AT405" i="19"/>
  <c r="AN405" i="19"/>
  <c r="AH405" i="19"/>
  <c r="AB405" i="19"/>
  <c r="R405" i="19"/>
  <c r="L405" i="19"/>
  <c r="CC404" i="19"/>
  <c r="CB404" i="19"/>
  <c r="CA404" i="19"/>
  <c r="BZ404" i="19"/>
  <c r="BL404" i="19"/>
  <c r="BF404" i="19"/>
  <c r="AZ404" i="19"/>
  <c r="AT404" i="19"/>
  <c r="AN404" i="19"/>
  <c r="AH404" i="19"/>
  <c r="AB404" i="19"/>
  <c r="R404" i="19"/>
  <c r="L404" i="19"/>
  <c r="CC403" i="19"/>
  <c r="CB403" i="19"/>
  <c r="CA403" i="19"/>
  <c r="BZ403" i="19"/>
  <c r="BL403" i="19"/>
  <c r="BF403" i="19"/>
  <c r="AZ403" i="19"/>
  <c r="AT403" i="19"/>
  <c r="AN403" i="19"/>
  <c r="AH403" i="19"/>
  <c r="AB403" i="19"/>
  <c r="R403" i="19"/>
  <c r="L403" i="19"/>
  <c r="CC402" i="19"/>
  <c r="CB402" i="19"/>
  <c r="CA402" i="19"/>
  <c r="BZ402" i="19"/>
  <c r="BL402" i="19"/>
  <c r="BF402" i="19"/>
  <c r="AZ402" i="19"/>
  <c r="AT402" i="19"/>
  <c r="AN402" i="19"/>
  <c r="AH402" i="19"/>
  <c r="AB402" i="19"/>
  <c r="R402" i="19"/>
  <c r="L402" i="19"/>
  <c r="CC401" i="19"/>
  <c r="CB401" i="19"/>
  <c r="CA401" i="19"/>
  <c r="BZ401" i="19"/>
  <c r="BL401" i="19"/>
  <c r="BF401" i="19"/>
  <c r="AZ401" i="19"/>
  <c r="AT401" i="19"/>
  <c r="AN401" i="19"/>
  <c r="AH401" i="19"/>
  <c r="AB401" i="19"/>
  <c r="R401" i="19"/>
  <c r="L401" i="19"/>
  <c r="CC187" i="19"/>
  <c r="CB187" i="19"/>
  <c r="CA187" i="19"/>
  <c r="BZ187" i="19"/>
  <c r="BL187" i="19"/>
  <c r="BF187" i="19"/>
  <c r="AZ187" i="19"/>
  <c r="AT187" i="19"/>
  <c r="AN187" i="19"/>
  <c r="AH187" i="19"/>
  <c r="AB187" i="19"/>
  <c r="R187" i="19"/>
  <c r="L187" i="19"/>
  <c r="CC62" i="19"/>
  <c r="CB62" i="19"/>
  <c r="CA62" i="19"/>
  <c r="BZ62" i="19"/>
  <c r="BL62" i="19"/>
  <c r="BF62" i="19"/>
  <c r="AZ62" i="19"/>
  <c r="AT62" i="19"/>
  <c r="AN62" i="19"/>
  <c r="AH62" i="19"/>
  <c r="AB62" i="19"/>
  <c r="R62" i="19"/>
  <c r="L62" i="19"/>
  <c r="CC61" i="19"/>
  <c r="CB61" i="19"/>
  <c r="CA61" i="19"/>
  <c r="BZ61" i="19"/>
  <c r="BL61" i="19"/>
  <c r="BF61" i="19"/>
  <c r="AZ61" i="19"/>
  <c r="AT61" i="19"/>
  <c r="AN61" i="19"/>
  <c r="AH61" i="19"/>
  <c r="AB61" i="19"/>
  <c r="R61" i="19"/>
  <c r="L61" i="19"/>
  <c r="CC60" i="19"/>
  <c r="CB60" i="19"/>
  <c r="CA60" i="19"/>
  <c r="BZ60" i="19"/>
  <c r="BL60" i="19"/>
  <c r="BF60" i="19"/>
  <c r="AZ60" i="19"/>
  <c r="AT60" i="19"/>
  <c r="AN60" i="19"/>
  <c r="AH60" i="19"/>
  <c r="AB60" i="19"/>
  <c r="R60" i="19"/>
  <c r="L60" i="19"/>
  <c r="CC59" i="19"/>
  <c r="CB59" i="19"/>
  <c r="CA59" i="19"/>
  <c r="BZ59" i="19"/>
  <c r="BL59" i="19"/>
  <c r="BF59" i="19"/>
  <c r="AZ59" i="19"/>
  <c r="AT59" i="19"/>
  <c r="AN59" i="19"/>
  <c r="AH59" i="19"/>
  <c r="AB59" i="19"/>
  <c r="R59" i="19"/>
  <c r="L59" i="19"/>
  <c r="H59" i="19"/>
  <c r="CC58" i="19"/>
  <c r="CB58" i="19"/>
  <c r="CA58" i="19"/>
  <c r="BZ58" i="19"/>
  <c r="BL58" i="19"/>
  <c r="BF58" i="19"/>
  <c r="AZ58" i="19"/>
  <c r="AT58" i="19"/>
  <c r="AN58" i="19"/>
  <c r="AH58" i="19"/>
  <c r="AB58" i="19"/>
  <c r="R58" i="19"/>
  <c r="L58" i="19"/>
  <c r="CC57" i="19"/>
  <c r="CB57" i="19"/>
  <c r="CA57" i="19"/>
  <c r="BZ57" i="19"/>
  <c r="BL57" i="19"/>
  <c r="BF57" i="19"/>
  <c r="AZ57" i="19"/>
  <c r="AT57" i="19"/>
  <c r="AN57" i="19"/>
  <c r="AH57" i="19"/>
  <c r="AB57" i="19"/>
  <c r="R57" i="19"/>
  <c r="L57" i="19"/>
  <c r="CC56" i="19"/>
  <c r="CB56" i="19"/>
  <c r="CA56" i="19"/>
  <c r="BZ56" i="19"/>
  <c r="BL56" i="19"/>
  <c r="BF56" i="19"/>
  <c r="AZ56" i="19"/>
  <c r="AT56" i="19"/>
  <c r="AN56" i="19"/>
  <c r="AH56" i="19"/>
  <c r="AB56" i="19"/>
  <c r="R56" i="19"/>
  <c r="L56" i="19"/>
  <c r="CC55" i="19"/>
  <c r="CB55" i="19"/>
  <c r="CA55" i="19"/>
  <c r="BZ55" i="19"/>
  <c r="BL55" i="19"/>
  <c r="BF55" i="19"/>
  <c r="AZ55" i="19"/>
  <c r="AT55" i="19"/>
  <c r="AN55" i="19"/>
  <c r="AH55" i="19"/>
  <c r="AB55" i="19"/>
  <c r="R55" i="19"/>
  <c r="L55" i="19"/>
  <c r="CC54" i="19"/>
  <c r="CB54" i="19"/>
  <c r="CA54" i="19"/>
  <c r="BZ54" i="19"/>
  <c r="BL54" i="19"/>
  <c r="BF54" i="19"/>
  <c r="AZ54" i="19"/>
  <c r="AT54" i="19"/>
  <c r="AN54" i="19"/>
  <c r="AH54" i="19"/>
  <c r="AB54" i="19"/>
  <c r="R54" i="19"/>
  <c r="L54" i="19"/>
  <c r="CC53" i="19"/>
  <c r="CB53" i="19"/>
  <c r="CA53" i="19"/>
  <c r="BZ53" i="19"/>
  <c r="BL53" i="19"/>
  <c r="BF53" i="19"/>
  <c r="AZ53" i="19"/>
  <c r="AT53" i="19"/>
  <c r="AN53" i="19"/>
  <c r="AH53" i="19"/>
  <c r="AB53" i="19"/>
  <c r="R53" i="19"/>
  <c r="L53" i="19"/>
  <c r="CC52" i="19"/>
  <c r="CB52" i="19"/>
  <c r="CA52" i="19"/>
  <c r="BZ52" i="19"/>
  <c r="BL52" i="19"/>
  <c r="BF52" i="19"/>
  <c r="AZ52" i="19"/>
  <c r="AT52" i="19"/>
  <c r="AN52" i="19"/>
  <c r="AH52" i="19"/>
  <c r="AB52" i="19"/>
  <c r="R52" i="19"/>
  <c r="L52" i="19"/>
  <c r="CC51" i="19"/>
  <c r="CB51" i="19"/>
  <c r="CA51" i="19"/>
  <c r="BZ51" i="19"/>
  <c r="BL51" i="19"/>
  <c r="BF51" i="19"/>
  <c r="AZ51" i="19"/>
  <c r="AT51" i="19"/>
  <c r="AN51" i="19"/>
  <c r="AH51" i="19"/>
  <c r="AB51" i="19"/>
  <c r="R51" i="19"/>
  <c r="L51" i="19"/>
  <c r="CC50" i="19"/>
  <c r="CB50" i="19"/>
  <c r="CA50" i="19"/>
  <c r="BZ50" i="19"/>
  <c r="BL50" i="19"/>
  <c r="BF50" i="19"/>
  <c r="AZ50" i="19"/>
  <c r="AT50" i="19"/>
  <c r="AN50" i="19"/>
  <c r="AH50" i="19"/>
  <c r="AB50" i="19"/>
  <c r="R50" i="19"/>
  <c r="L50" i="19"/>
  <c r="CC49" i="19"/>
  <c r="CB49" i="19"/>
  <c r="CA49" i="19"/>
  <c r="BZ49" i="19"/>
  <c r="BL49" i="19"/>
  <c r="BF49" i="19"/>
  <c r="AZ49" i="19"/>
  <c r="AT49" i="19"/>
  <c r="AN49" i="19"/>
  <c r="AH49" i="19"/>
  <c r="AB49" i="19"/>
  <c r="R49" i="19"/>
  <c r="L49" i="19"/>
  <c r="CC48" i="19"/>
  <c r="CB48" i="19"/>
  <c r="CA48" i="19"/>
  <c r="BZ48" i="19"/>
  <c r="BL48" i="19"/>
  <c r="BF48" i="19"/>
  <c r="AZ48" i="19"/>
  <c r="AT48" i="19"/>
  <c r="AN48" i="19"/>
  <c r="AH48" i="19"/>
  <c r="AB48" i="19"/>
  <c r="R48" i="19"/>
  <c r="L48" i="19"/>
  <c r="CC47" i="19"/>
  <c r="CB47" i="19"/>
  <c r="CA47" i="19"/>
  <c r="BZ47" i="19"/>
  <c r="BL47" i="19"/>
  <c r="BF47" i="19"/>
  <c r="AZ47" i="19"/>
  <c r="AT47" i="19"/>
  <c r="AN47" i="19"/>
  <c r="AH47" i="19"/>
  <c r="AB47" i="19"/>
  <c r="R47" i="19"/>
  <c r="L47" i="19"/>
  <c r="CC46" i="19"/>
  <c r="CB46" i="19"/>
  <c r="CA46" i="19"/>
  <c r="BZ46" i="19"/>
  <c r="BL46" i="19"/>
  <c r="BF46" i="19"/>
  <c r="AZ46" i="19"/>
  <c r="AT46" i="19"/>
  <c r="AN46" i="19"/>
  <c r="AH46" i="19"/>
  <c r="AB46" i="19"/>
  <c r="R46" i="19"/>
  <c r="L46" i="19"/>
  <c r="CC45" i="19"/>
  <c r="CB45" i="19"/>
  <c r="CA45" i="19"/>
  <c r="BZ45" i="19"/>
  <c r="BL45" i="19"/>
  <c r="BF45" i="19"/>
  <c r="AZ45" i="19"/>
  <c r="AT45" i="19"/>
  <c r="AN45" i="19"/>
  <c r="AH45" i="19"/>
  <c r="AB45" i="19"/>
  <c r="R45" i="19"/>
  <c r="L45" i="19"/>
  <c r="CC44" i="19"/>
  <c r="CB44" i="19"/>
  <c r="CA44" i="19"/>
  <c r="BZ44" i="19"/>
  <c r="BL44" i="19"/>
  <c r="BF44" i="19"/>
  <c r="AZ44" i="19"/>
  <c r="AT44" i="19"/>
  <c r="AN44" i="19"/>
  <c r="AH44" i="19"/>
  <c r="AB44" i="19"/>
  <c r="R44" i="19"/>
  <c r="L44" i="19"/>
  <c r="CC43" i="19"/>
  <c r="CB43" i="19"/>
  <c r="CA43" i="19"/>
  <c r="BZ43" i="19"/>
  <c r="BL43" i="19"/>
  <c r="BF43" i="19"/>
  <c r="AZ43" i="19"/>
  <c r="AT43" i="19"/>
  <c r="AN43" i="19"/>
  <c r="AH43" i="19"/>
  <c r="AB43" i="19"/>
  <c r="R43" i="19"/>
  <c r="L43" i="19"/>
  <c r="CC42" i="19"/>
  <c r="CB42" i="19"/>
  <c r="CA42" i="19"/>
  <c r="BZ42" i="19"/>
  <c r="BL42" i="19"/>
  <c r="BF42" i="19"/>
  <c r="AZ42" i="19"/>
  <c r="AT42" i="19"/>
  <c r="AN42" i="19"/>
  <c r="AH42" i="19"/>
  <c r="AB42" i="19"/>
  <c r="R42" i="19"/>
  <c r="L42" i="19"/>
  <c r="H42" i="19"/>
  <c r="CC41" i="19"/>
  <c r="CB41" i="19"/>
  <c r="CA41" i="19"/>
  <c r="BZ41" i="19"/>
  <c r="BL41" i="19"/>
  <c r="BF41" i="19"/>
  <c r="AZ41" i="19"/>
  <c r="AT41" i="19"/>
  <c r="AN41" i="19"/>
  <c r="AH41" i="19"/>
  <c r="AB41" i="19"/>
  <c r="R41" i="19"/>
  <c r="L41" i="19"/>
  <c r="CC40" i="19"/>
  <c r="CB40" i="19"/>
  <c r="CA40" i="19"/>
  <c r="BZ40" i="19"/>
  <c r="BL40" i="19"/>
  <c r="BF40" i="19"/>
  <c r="AZ40" i="19"/>
  <c r="AT40" i="19"/>
  <c r="AN40" i="19"/>
  <c r="AH40" i="19"/>
  <c r="AB40" i="19"/>
  <c r="R40" i="19"/>
  <c r="L40" i="19"/>
  <c r="CC9" i="19"/>
  <c r="CB9" i="19"/>
  <c r="CA9" i="19"/>
  <c r="BZ9" i="19"/>
  <c r="BL9" i="19"/>
  <c r="BF9" i="19"/>
  <c r="AZ9" i="19"/>
  <c r="AT9" i="19"/>
  <c r="AN9" i="19"/>
  <c r="AH9" i="19"/>
  <c r="AB9" i="19"/>
  <c r="R9" i="19"/>
  <c r="L9" i="19"/>
  <c r="CC8" i="19"/>
  <c r="CB8" i="19"/>
  <c r="CA8" i="19"/>
  <c r="BZ8" i="19"/>
  <c r="BL8" i="19"/>
  <c r="BF8" i="19"/>
  <c r="AZ8" i="19"/>
  <c r="AT8" i="19"/>
  <c r="AN8" i="19"/>
  <c r="AH8" i="19"/>
  <c r="AB8" i="19"/>
  <c r="R8" i="19"/>
  <c r="L8" i="19"/>
  <c r="CD1080" i="19" l="1"/>
  <c r="CE1080" i="19" s="1"/>
  <c r="CD402" i="19"/>
  <c r="CD62" i="19"/>
  <c r="CE62" i="19" s="1"/>
  <c r="CD56" i="19"/>
  <c r="CD59" i="19"/>
  <c r="CE59" i="19" s="1"/>
  <c r="CD60" i="19"/>
  <c r="CD406" i="19"/>
  <c r="CD1079" i="19"/>
  <c r="CD404" i="19"/>
  <c r="CE404" i="19" s="1"/>
  <c r="CD407" i="19"/>
  <c r="CD46" i="19"/>
  <c r="CD52" i="19"/>
  <c r="CE52" i="19" s="1"/>
  <c r="CD53" i="19"/>
  <c r="CD9" i="19"/>
  <c r="CE9" i="19" s="1"/>
  <c r="CD55" i="19"/>
  <c r="CE55" i="19" s="1"/>
  <c r="CE47" i="19"/>
  <c r="CD51" i="19"/>
  <c r="CD48" i="19"/>
  <c r="CD58" i="19"/>
  <c r="CE58" i="19" s="1"/>
  <c r="CD8" i="19"/>
  <c r="CD49" i="19"/>
  <c r="CE49" i="19" s="1"/>
  <c r="CD44" i="19"/>
  <c r="CD40" i="19"/>
  <c r="CD43" i="19"/>
  <c r="BM59" i="19"/>
  <c r="BM42" i="19"/>
  <c r="CD405" i="19"/>
  <c r="CE405" i="19" s="1"/>
  <c r="CD42" i="19"/>
  <c r="CE42" i="19" s="1"/>
  <c r="CD61" i="19"/>
  <c r="CE61" i="19" s="1"/>
  <c r="CD401" i="19"/>
  <c r="CD45" i="19"/>
  <c r="CE45" i="19" s="1"/>
  <c r="CD41" i="19"/>
  <c r="CE41" i="19" s="1"/>
  <c r="CD54" i="19"/>
  <c r="CE54" i="19" s="1"/>
  <c r="CD57" i="19"/>
  <c r="CE57" i="19" s="1"/>
  <c r="CD403" i="19"/>
  <c r="CE403" i="19" s="1"/>
  <c r="CD187" i="19"/>
  <c r="CE51" i="19" l="1"/>
  <c r="CE40" i="19"/>
  <c r="CE44" i="19"/>
  <c r="CE401" i="19"/>
  <c r="CE50" i="19"/>
  <c r="CE1079" i="19"/>
  <c r="CE48" i="19"/>
  <c r="CE46" i="19"/>
  <c r="CE56" i="19"/>
  <c r="CE406" i="19"/>
  <c r="CE43" i="19"/>
  <c r="CE407" i="19"/>
  <c r="CE402" i="19"/>
  <c r="CE187" i="19"/>
  <c r="CE8" i="19"/>
  <c r="CE53" i="19"/>
  <c r="CE60" i="19"/>
  <c r="CC400" i="19" l="1"/>
  <c r="CB400" i="19"/>
  <c r="CA400" i="19"/>
  <c r="BZ400" i="19"/>
  <c r="BL400" i="19"/>
  <c r="BF400" i="19"/>
  <c r="AZ400" i="19"/>
  <c r="AT400" i="19"/>
  <c r="AN400" i="19"/>
  <c r="AH400" i="19"/>
  <c r="AB400" i="19"/>
  <c r="R400" i="19"/>
  <c r="L400" i="19"/>
  <c r="CC399" i="19"/>
  <c r="CB399" i="19"/>
  <c r="CA399" i="19"/>
  <c r="BZ399" i="19"/>
  <c r="BL399" i="19"/>
  <c r="BF399" i="19"/>
  <c r="AZ399" i="19"/>
  <c r="AT399" i="19"/>
  <c r="AN399" i="19"/>
  <c r="AH399" i="19"/>
  <c r="AB399" i="19"/>
  <c r="R399" i="19"/>
  <c r="L399" i="19"/>
  <c r="CC398" i="19"/>
  <c r="CB398" i="19"/>
  <c r="CA398" i="19"/>
  <c r="BZ398" i="19"/>
  <c r="BL398" i="19"/>
  <c r="BF398" i="19"/>
  <c r="AZ398" i="19"/>
  <c r="AT398" i="19"/>
  <c r="AN398" i="19"/>
  <c r="AH398" i="19"/>
  <c r="AB398" i="19"/>
  <c r="R398" i="19"/>
  <c r="L398" i="19"/>
  <c r="CC397" i="19"/>
  <c r="CB397" i="19"/>
  <c r="CA397" i="19"/>
  <c r="BZ397" i="19"/>
  <c r="BL397" i="19"/>
  <c r="BF397" i="19"/>
  <c r="AZ397" i="19"/>
  <c r="AT397" i="19"/>
  <c r="AN397" i="19"/>
  <c r="AH397" i="19"/>
  <c r="AB397" i="19"/>
  <c r="R397" i="19"/>
  <c r="L397" i="19"/>
  <c r="CC396" i="19"/>
  <c r="CB396" i="19"/>
  <c r="CA396" i="19"/>
  <c r="BZ396" i="19"/>
  <c r="BL396" i="19"/>
  <c r="BF396" i="19"/>
  <c r="AZ396" i="19"/>
  <c r="AT396" i="19"/>
  <c r="AN396" i="19"/>
  <c r="AH396" i="19"/>
  <c r="AB396" i="19"/>
  <c r="R396" i="19"/>
  <c r="L396" i="19"/>
  <c r="CD396" i="19" l="1"/>
  <c r="CD399" i="19"/>
  <c r="CE399" i="19" s="1"/>
  <c r="BM400" i="19"/>
  <c r="CD400" i="19"/>
  <c r="CE400" i="19" s="1"/>
  <c r="CD397" i="19"/>
  <c r="CE397" i="19" s="1"/>
  <c r="BM399" i="19"/>
  <c r="BM398" i="19"/>
  <c r="CD398" i="19"/>
  <c r="CE396" i="19" l="1"/>
  <c r="CE398" i="19"/>
  <c r="CC456" i="19" l="1"/>
  <c r="CB456" i="19"/>
  <c r="CA456" i="19"/>
  <c r="BZ456" i="19"/>
  <c r="BL456" i="19"/>
  <c r="BF456" i="19"/>
  <c r="AZ456" i="19"/>
  <c r="AT456" i="19"/>
  <c r="AN456" i="19"/>
  <c r="AH456" i="19"/>
  <c r="AB456" i="19"/>
  <c r="R456" i="19"/>
  <c r="L456" i="19"/>
  <c r="CC455" i="19"/>
  <c r="CB455" i="19"/>
  <c r="CA455" i="19"/>
  <c r="BZ455" i="19"/>
  <c r="BL455" i="19"/>
  <c r="BF455" i="19"/>
  <c r="AZ455" i="19"/>
  <c r="AT455" i="19"/>
  <c r="AN455" i="19"/>
  <c r="AH455" i="19"/>
  <c r="AB455" i="19"/>
  <c r="R455" i="19"/>
  <c r="L455" i="19"/>
  <c r="CC454" i="19"/>
  <c r="CB454" i="19"/>
  <c r="CA454" i="19"/>
  <c r="BZ454" i="19"/>
  <c r="BL454" i="19"/>
  <c r="BF454" i="19"/>
  <c r="AZ454" i="19"/>
  <c r="AT454" i="19"/>
  <c r="AN454" i="19"/>
  <c r="AH454" i="19"/>
  <c r="AB454" i="19"/>
  <c r="R454" i="19"/>
  <c r="L454" i="19"/>
  <c r="CC393" i="19"/>
  <c r="CB393" i="19"/>
  <c r="CA393" i="19"/>
  <c r="BZ393" i="19"/>
  <c r="BL393" i="19"/>
  <c r="BF393" i="19"/>
  <c r="AZ393" i="19"/>
  <c r="AT393" i="19"/>
  <c r="AN393" i="19"/>
  <c r="AH393" i="19"/>
  <c r="AB393" i="19"/>
  <c r="R393" i="19"/>
  <c r="L393" i="19"/>
  <c r="CC392" i="19"/>
  <c r="CB392" i="19"/>
  <c r="CA392" i="19"/>
  <c r="BZ392" i="19"/>
  <c r="BL392" i="19"/>
  <c r="BF392" i="19"/>
  <c r="AZ392" i="19"/>
  <c r="AT392" i="19"/>
  <c r="AN392" i="19"/>
  <c r="AH392" i="19"/>
  <c r="AB392" i="19"/>
  <c r="R392" i="19"/>
  <c r="L392" i="19"/>
  <c r="CC391" i="19"/>
  <c r="CB391" i="19"/>
  <c r="CA391" i="19"/>
  <c r="BZ391" i="19"/>
  <c r="BL391" i="19"/>
  <c r="BF391" i="19"/>
  <c r="AZ391" i="19"/>
  <c r="AT391" i="19"/>
  <c r="AN391" i="19"/>
  <c r="AH391" i="19"/>
  <c r="AB391" i="19"/>
  <c r="R391" i="19"/>
  <c r="L391" i="19"/>
  <c r="CC390" i="19"/>
  <c r="CB390" i="19"/>
  <c r="CA390" i="19"/>
  <c r="BZ390" i="19"/>
  <c r="BL390" i="19"/>
  <c r="BF390" i="19"/>
  <c r="AZ390" i="19"/>
  <c r="AT390" i="19"/>
  <c r="AN390" i="19"/>
  <c r="AH390" i="19"/>
  <c r="AB390" i="19"/>
  <c r="R390" i="19"/>
  <c r="L390" i="19"/>
  <c r="CC389" i="19"/>
  <c r="CB389" i="19"/>
  <c r="CA389" i="19"/>
  <c r="BZ389" i="19"/>
  <c r="BL389" i="19"/>
  <c r="BF389" i="19"/>
  <c r="AZ389" i="19"/>
  <c r="AT389" i="19"/>
  <c r="AN389" i="19"/>
  <c r="AH389" i="19"/>
  <c r="AB389" i="19"/>
  <c r="R389" i="19"/>
  <c r="L389" i="19"/>
  <c r="CD456" i="19" l="1"/>
  <c r="CE456" i="19" s="1"/>
  <c r="CD391" i="19"/>
  <c r="CE391" i="19" s="1"/>
  <c r="BM456" i="19"/>
  <c r="CD454" i="19"/>
  <c r="CD393" i="19"/>
  <c r="CD455" i="19"/>
  <c r="CD389" i="19"/>
  <c r="CD390" i="19"/>
  <c r="CE390" i="19" s="1"/>
  <c r="CE393" i="19" l="1"/>
  <c r="CE455" i="19"/>
  <c r="CE454" i="19"/>
  <c r="CE392" i="19"/>
  <c r="CE389" i="19"/>
  <c r="CC562" i="19" l="1"/>
  <c r="CB562" i="19"/>
  <c r="CA562" i="19"/>
  <c r="BZ562" i="19"/>
  <c r="BL562" i="19"/>
  <c r="BF562" i="19"/>
  <c r="AZ562" i="19"/>
  <c r="AT562" i="19"/>
  <c r="AN562" i="19"/>
  <c r="AH562" i="19"/>
  <c r="AB562" i="19"/>
  <c r="R562" i="19"/>
  <c r="L562" i="19"/>
  <c r="CC561" i="19"/>
  <c r="CB561" i="19"/>
  <c r="CA561" i="19"/>
  <c r="BZ561" i="19"/>
  <c r="BL561" i="19"/>
  <c r="BF561" i="19"/>
  <c r="AZ561" i="19"/>
  <c r="AT561" i="19"/>
  <c r="AN561" i="19"/>
  <c r="AH561" i="19"/>
  <c r="AB561" i="19"/>
  <c r="R561" i="19"/>
  <c r="L561" i="19"/>
  <c r="CE562" i="19" l="1"/>
  <c r="CD561" i="19"/>
  <c r="CE561" i="19" l="1"/>
  <c r="CC453" i="19" l="1"/>
  <c r="CB453" i="19"/>
  <c r="CA453" i="19"/>
  <c r="BZ453" i="19"/>
  <c r="BL453" i="19"/>
  <c r="BF453" i="19"/>
  <c r="AZ453" i="19"/>
  <c r="AT453" i="19"/>
  <c r="AN453" i="19"/>
  <c r="AH453" i="19"/>
  <c r="AB453" i="19"/>
  <c r="R453" i="19"/>
  <c r="L453" i="19"/>
  <c r="CC452" i="19"/>
  <c r="CB452" i="19"/>
  <c r="CA452" i="19"/>
  <c r="BZ452" i="19"/>
  <c r="BL452" i="19"/>
  <c r="BF452" i="19"/>
  <c r="AZ452" i="19"/>
  <c r="AT452" i="19"/>
  <c r="AN452" i="19"/>
  <c r="AH452" i="19"/>
  <c r="AB452" i="19"/>
  <c r="R452" i="19"/>
  <c r="L452" i="19"/>
  <c r="CC449" i="19"/>
  <c r="CB449" i="19"/>
  <c r="CA449" i="19"/>
  <c r="BZ449" i="19"/>
  <c r="BL449" i="19"/>
  <c r="BF449" i="19"/>
  <c r="AZ449" i="19"/>
  <c r="AT449" i="19"/>
  <c r="AN449" i="19"/>
  <c r="AH449" i="19"/>
  <c r="AB449" i="19"/>
  <c r="R449" i="19"/>
  <c r="L449" i="19"/>
  <c r="CD453" i="19" l="1"/>
  <c r="CD449" i="19"/>
  <c r="CE453" i="19" l="1"/>
  <c r="CE449" i="19"/>
  <c r="CE452" i="19"/>
  <c r="L1045" i="19" l="1"/>
  <c r="L1044" i="19"/>
  <c r="CA1043" i="19"/>
  <c r="I1023" i="19"/>
  <c r="L1023" i="19" s="1"/>
  <c r="I1022" i="19"/>
  <c r="CA1022" i="19" s="1"/>
  <c r="I1021" i="19"/>
  <c r="CA1021" i="19" s="1"/>
  <c r="CC644" i="19"/>
  <c r="CB644" i="19"/>
  <c r="CA644" i="19"/>
  <c r="BZ644" i="19"/>
  <c r="BL644" i="19"/>
  <c r="BF644" i="19"/>
  <c r="AZ644" i="19"/>
  <c r="AT644" i="19"/>
  <c r="AN644" i="19"/>
  <c r="AH644" i="19"/>
  <c r="AB644" i="19"/>
  <c r="R644" i="19"/>
  <c r="L644" i="19"/>
  <c r="CC643" i="19"/>
  <c r="CB643" i="19"/>
  <c r="CA643" i="19"/>
  <c r="BZ643" i="19"/>
  <c r="BL643" i="19"/>
  <c r="BF643" i="19"/>
  <c r="AZ643" i="19"/>
  <c r="AT643" i="19"/>
  <c r="AN643" i="19"/>
  <c r="AH643" i="19"/>
  <c r="AB643" i="19"/>
  <c r="R643" i="19"/>
  <c r="L643" i="19"/>
  <c r="CC642" i="19"/>
  <c r="CB642" i="19"/>
  <c r="CA642" i="19"/>
  <c r="BZ642" i="19"/>
  <c r="BL642" i="19"/>
  <c r="BF642" i="19"/>
  <c r="AZ642" i="19"/>
  <c r="AT642" i="19"/>
  <c r="AN642" i="19"/>
  <c r="AH642" i="19"/>
  <c r="AB642" i="19"/>
  <c r="R642" i="19"/>
  <c r="L642" i="19"/>
  <c r="CC699" i="19"/>
  <c r="CB699" i="19"/>
  <c r="CA699" i="19"/>
  <c r="BZ699" i="19"/>
  <c r="BL699" i="19"/>
  <c r="BF699" i="19"/>
  <c r="AZ699" i="19"/>
  <c r="AT699" i="19"/>
  <c r="AN699" i="19"/>
  <c r="AH699" i="19"/>
  <c r="AB699" i="19"/>
  <c r="R699" i="19"/>
  <c r="L699" i="19"/>
  <c r="CC698" i="19"/>
  <c r="CB698" i="19"/>
  <c r="CA698" i="19"/>
  <c r="BZ698" i="19"/>
  <c r="BL698" i="19"/>
  <c r="BF698" i="19"/>
  <c r="AZ698" i="19"/>
  <c r="AT698" i="19"/>
  <c r="AN698" i="19"/>
  <c r="AH698" i="19"/>
  <c r="AB698" i="19"/>
  <c r="R698" i="19"/>
  <c r="L698" i="19"/>
  <c r="CC697" i="19"/>
  <c r="CB697" i="19"/>
  <c r="CA697" i="19"/>
  <c r="BZ697" i="19"/>
  <c r="BL697" i="19"/>
  <c r="BF697" i="19"/>
  <c r="AZ697" i="19"/>
  <c r="AT697" i="19"/>
  <c r="AN697" i="19"/>
  <c r="AH697" i="19"/>
  <c r="AB697" i="19"/>
  <c r="R697" i="19"/>
  <c r="L697" i="19"/>
  <c r="CC696" i="19"/>
  <c r="CB696" i="19"/>
  <c r="CA696" i="19"/>
  <c r="BZ696" i="19"/>
  <c r="BL696" i="19"/>
  <c r="BF696" i="19"/>
  <c r="AZ696" i="19"/>
  <c r="AT696" i="19"/>
  <c r="AN696" i="19"/>
  <c r="AH696" i="19"/>
  <c r="AB696" i="19"/>
  <c r="R696" i="19"/>
  <c r="L696" i="19"/>
  <c r="CC695" i="19"/>
  <c r="CB695" i="19"/>
  <c r="CA695" i="19"/>
  <c r="BZ695" i="19"/>
  <c r="BL695" i="19"/>
  <c r="BF695" i="19"/>
  <c r="AZ695" i="19"/>
  <c r="AT695" i="19"/>
  <c r="AN695" i="19"/>
  <c r="AH695" i="19"/>
  <c r="AB695" i="19"/>
  <c r="R695" i="19"/>
  <c r="L695" i="19"/>
  <c r="CC694" i="19"/>
  <c r="CB694" i="19"/>
  <c r="CA694" i="19"/>
  <c r="BZ694" i="19"/>
  <c r="BL694" i="19"/>
  <c r="BF694" i="19"/>
  <c r="AZ694" i="19"/>
  <c r="AT694" i="19"/>
  <c r="AN694" i="19"/>
  <c r="AH694" i="19"/>
  <c r="AB694" i="19"/>
  <c r="R694" i="19"/>
  <c r="L694" i="19"/>
  <c r="CC873" i="19"/>
  <c r="CB873" i="19"/>
  <c r="CA873" i="19"/>
  <c r="BZ873" i="19"/>
  <c r="BL873" i="19"/>
  <c r="BF873" i="19"/>
  <c r="AZ873" i="19"/>
  <c r="AT873" i="19"/>
  <c r="AN873" i="19"/>
  <c r="AH873" i="19"/>
  <c r="AB873" i="19"/>
  <c r="R873" i="19"/>
  <c r="L873" i="19"/>
  <c r="CC872" i="19"/>
  <c r="CB872" i="19"/>
  <c r="CA872" i="19"/>
  <c r="BZ872" i="19"/>
  <c r="BL872" i="19"/>
  <c r="BF872" i="19"/>
  <c r="AZ872" i="19"/>
  <c r="AT872" i="19"/>
  <c r="AN872" i="19"/>
  <c r="AH872" i="19"/>
  <c r="AB872" i="19"/>
  <c r="R872" i="19"/>
  <c r="L872" i="19"/>
  <c r="CC889" i="19"/>
  <c r="CB889" i="19"/>
  <c r="CA889" i="19"/>
  <c r="BZ889" i="19"/>
  <c r="BL889" i="19"/>
  <c r="BF889" i="19"/>
  <c r="AZ889" i="19"/>
  <c r="AT889" i="19"/>
  <c r="AN889" i="19"/>
  <c r="AH889" i="19"/>
  <c r="AB889" i="19"/>
  <c r="R889" i="19"/>
  <c r="L889" i="19"/>
  <c r="CC888" i="19"/>
  <c r="CB888" i="19"/>
  <c r="CA888" i="19"/>
  <c r="BZ888" i="19"/>
  <c r="BL888" i="19"/>
  <c r="BF888" i="19"/>
  <c r="AZ888" i="19"/>
  <c r="AT888" i="19"/>
  <c r="AN888" i="19"/>
  <c r="AH888" i="19"/>
  <c r="AB888" i="19"/>
  <c r="R888" i="19"/>
  <c r="L888" i="19"/>
  <c r="CC1050" i="19"/>
  <c r="CB1050" i="19"/>
  <c r="CA1050" i="19"/>
  <c r="BZ1050" i="19"/>
  <c r="BL1050" i="19"/>
  <c r="BF1050" i="19"/>
  <c r="AZ1050" i="19"/>
  <c r="AT1050" i="19"/>
  <c r="AN1050" i="19"/>
  <c r="AH1050" i="19"/>
  <c r="AB1050" i="19"/>
  <c r="R1050" i="19"/>
  <c r="L1050" i="19"/>
  <c r="CC1049" i="19"/>
  <c r="CB1049" i="19"/>
  <c r="CA1049" i="19"/>
  <c r="BZ1049" i="19"/>
  <c r="BL1049" i="19"/>
  <c r="BF1049" i="19"/>
  <c r="AZ1049" i="19"/>
  <c r="AT1049" i="19"/>
  <c r="AN1049" i="19"/>
  <c r="AH1049" i="19"/>
  <c r="AB1049" i="19"/>
  <c r="R1049" i="19"/>
  <c r="L1049" i="19"/>
  <c r="CC1046" i="19"/>
  <c r="CB1046" i="19"/>
  <c r="CA1046" i="19"/>
  <c r="BZ1046" i="19"/>
  <c r="BL1046" i="19"/>
  <c r="BF1046" i="19"/>
  <c r="AZ1046" i="19"/>
  <c r="AT1046" i="19"/>
  <c r="AN1046" i="19"/>
  <c r="AH1046" i="19"/>
  <c r="AB1046" i="19"/>
  <c r="R1046" i="19"/>
  <c r="L1046" i="19"/>
  <c r="CC1045" i="19"/>
  <c r="CB1045" i="19"/>
  <c r="BZ1045" i="19"/>
  <c r="BL1045" i="19"/>
  <c r="BF1045" i="19"/>
  <c r="AZ1045" i="19"/>
  <c r="AT1045" i="19"/>
  <c r="AN1045" i="19"/>
  <c r="AH1045" i="19"/>
  <c r="AB1045" i="19"/>
  <c r="R1045" i="19"/>
  <c r="CC1044" i="19"/>
  <c r="CB1044" i="19"/>
  <c r="BZ1044" i="19"/>
  <c r="BL1044" i="19"/>
  <c r="BF1044" i="19"/>
  <c r="AZ1044" i="19"/>
  <c r="AT1044" i="19"/>
  <c r="AN1044" i="19"/>
  <c r="AH1044" i="19"/>
  <c r="AB1044" i="19"/>
  <c r="R1044" i="19"/>
  <c r="CC1043" i="19"/>
  <c r="CB1043" i="19"/>
  <c r="BZ1043" i="19"/>
  <c r="BL1043" i="19"/>
  <c r="BF1043" i="19"/>
  <c r="AZ1043" i="19"/>
  <c r="AT1043" i="19"/>
  <c r="AN1043" i="19"/>
  <c r="AH1043" i="19"/>
  <c r="AB1043" i="19"/>
  <c r="R1043" i="19"/>
  <c r="CC1023" i="19"/>
  <c r="CB1023" i="19"/>
  <c r="BZ1023" i="19"/>
  <c r="BL1023" i="19"/>
  <c r="BF1023" i="19"/>
  <c r="AZ1023" i="19"/>
  <c r="AT1023" i="19"/>
  <c r="AN1023" i="19"/>
  <c r="AH1023" i="19"/>
  <c r="AB1023" i="19"/>
  <c r="R1023" i="19"/>
  <c r="CC1022" i="19"/>
  <c r="CB1022" i="19"/>
  <c r="BZ1022" i="19"/>
  <c r="BL1022" i="19"/>
  <c r="BF1022" i="19"/>
  <c r="AZ1022" i="19"/>
  <c r="AT1022" i="19"/>
  <c r="AN1022" i="19"/>
  <c r="AH1022" i="19"/>
  <c r="AB1022" i="19"/>
  <c r="R1022" i="19"/>
  <c r="CC1021" i="19"/>
  <c r="CB1021" i="19"/>
  <c r="BZ1021" i="19"/>
  <c r="BL1021" i="19"/>
  <c r="BF1021" i="19"/>
  <c r="AZ1021" i="19"/>
  <c r="AT1021" i="19"/>
  <c r="AN1021" i="19"/>
  <c r="AH1021" i="19"/>
  <c r="AB1021" i="19"/>
  <c r="R1021" i="19"/>
  <c r="L1021" i="19" l="1"/>
  <c r="CA1023" i="19"/>
  <c r="CD1023" i="19" s="1"/>
  <c r="CE1023" i="19" s="1"/>
  <c r="L1043" i="19"/>
  <c r="CD644" i="19"/>
  <c r="CD642" i="19"/>
  <c r="CA1044" i="19"/>
  <c r="CE1044" i="19" s="1"/>
  <c r="CA1045" i="19"/>
  <c r="CD1045" i="19" s="1"/>
  <c r="CE1045" i="19" s="1"/>
  <c r="CD698" i="19"/>
  <c r="CE698" i="19" s="1"/>
  <c r="BM889" i="19"/>
  <c r="CE1049" i="19"/>
  <c r="CD695" i="19"/>
  <c r="CD1021" i="19"/>
  <c r="CD889" i="19"/>
  <c r="CE889" i="19" s="1"/>
  <c r="CD643" i="19"/>
  <c r="CE643" i="19" s="1"/>
  <c r="CD872" i="19"/>
  <c r="CD697" i="19"/>
  <c r="CD1050" i="19"/>
  <c r="CD696" i="19"/>
  <c r="CE696" i="19" s="1"/>
  <c r="CE699" i="19"/>
  <c r="CD1046" i="19"/>
  <c r="CD888" i="19"/>
  <c r="CE873" i="19"/>
  <c r="CD1022" i="19"/>
  <c r="CD1043" i="19"/>
  <c r="L1022" i="19"/>
  <c r="CE695" i="19" l="1"/>
  <c r="CE872" i="19"/>
  <c r="CE888" i="19"/>
  <c r="CE1046" i="19"/>
  <c r="CE694" i="19"/>
  <c r="CE642" i="19"/>
  <c r="CE1050" i="19"/>
  <c r="CE644" i="19"/>
  <c r="CE1043" i="19"/>
  <c r="CE697" i="19"/>
  <c r="CE1021" i="19"/>
  <c r="CE1022" i="19"/>
  <c r="B1208" i="19"/>
  <c r="B1207" i="19"/>
  <c r="B1206" i="19"/>
  <c r="B1204" i="19"/>
  <c r="B1203" i="19"/>
  <c r="B1202" i="19"/>
  <c r="B1201" i="19"/>
  <c r="B1200" i="19"/>
  <c r="B1199" i="19"/>
  <c r="B1198" i="19"/>
  <c r="B1197" i="19"/>
  <c r="B1196" i="19"/>
  <c r="B1195" i="19"/>
  <c r="B1194" i="19"/>
  <c r="B1193" i="19"/>
  <c r="B1192" i="19"/>
  <c r="B1190" i="19"/>
  <c r="B1189" i="19"/>
  <c r="B1188" i="19"/>
  <c r="B1187" i="19"/>
  <c r="B1186" i="19"/>
  <c r="B1185" i="19"/>
  <c r="B1184" i="19"/>
  <c r="E1160" i="19"/>
  <c r="D1160" i="19"/>
  <c r="C1160" i="19"/>
  <c r="B1160" i="19"/>
  <c r="H1158" i="19"/>
  <c r="G1158" i="19"/>
  <c r="E1158" i="19"/>
  <c r="D1158" i="19"/>
  <c r="C1158" i="19"/>
  <c r="B1158" i="19"/>
  <c r="H1157" i="19"/>
  <c r="G1157" i="19"/>
  <c r="C1157" i="19"/>
  <c r="B1157" i="19"/>
  <c r="H1156" i="19"/>
  <c r="G1156" i="19"/>
  <c r="C1156" i="19"/>
  <c r="B1156" i="19"/>
  <c r="C1155" i="19"/>
  <c r="B1155" i="19"/>
  <c r="H1154" i="19"/>
  <c r="G1154" i="19"/>
  <c r="C1154" i="19"/>
  <c r="B1154" i="19"/>
  <c r="CC1140" i="19"/>
  <c r="CB1140" i="19"/>
  <c r="CA1140" i="19"/>
  <c r="BZ1140" i="19"/>
  <c r="BL1140" i="19"/>
  <c r="BF1140" i="19"/>
  <c r="AZ1140" i="19"/>
  <c r="AT1140" i="19"/>
  <c r="AN1140" i="19"/>
  <c r="AH1140" i="19"/>
  <c r="AB1140" i="19"/>
  <c r="R1140" i="19"/>
  <c r="L1140" i="19"/>
  <c r="CC1139" i="19"/>
  <c r="CB1139" i="19"/>
  <c r="CA1139" i="19"/>
  <c r="BZ1139" i="19"/>
  <c r="BL1139" i="19"/>
  <c r="BF1139" i="19"/>
  <c r="AZ1139" i="19"/>
  <c r="AT1139" i="19"/>
  <c r="AN1139" i="19"/>
  <c r="AH1139" i="19"/>
  <c r="AB1139" i="19"/>
  <c r="R1139" i="19"/>
  <c r="L1139" i="19"/>
  <c r="CC1138" i="19"/>
  <c r="CB1138" i="19"/>
  <c r="CA1138" i="19"/>
  <c r="BZ1138" i="19"/>
  <c r="BL1138" i="19"/>
  <c r="BF1138" i="19"/>
  <c r="AZ1138" i="19"/>
  <c r="AT1138" i="19"/>
  <c r="AN1138" i="19"/>
  <c r="AH1138" i="19"/>
  <c r="AB1138" i="19"/>
  <c r="R1138" i="19"/>
  <c r="L1138" i="19"/>
  <c r="CC1137" i="19"/>
  <c r="CB1137" i="19"/>
  <c r="CA1137" i="19"/>
  <c r="BZ1137" i="19"/>
  <c r="BL1137" i="19"/>
  <c r="BF1137" i="19"/>
  <c r="AZ1137" i="19"/>
  <c r="AT1137" i="19"/>
  <c r="AN1137" i="19"/>
  <c r="AH1137" i="19"/>
  <c r="AB1137" i="19"/>
  <c r="R1137" i="19"/>
  <c r="L1137" i="19"/>
  <c r="CC1136" i="19"/>
  <c r="CB1136" i="19"/>
  <c r="CA1136" i="19"/>
  <c r="BZ1136" i="19"/>
  <c r="BL1136" i="19"/>
  <c r="BF1136" i="19"/>
  <c r="AZ1136" i="19"/>
  <c r="AT1136" i="19"/>
  <c r="AN1136" i="19"/>
  <c r="AH1136" i="19"/>
  <c r="AB1136" i="19"/>
  <c r="R1136" i="19"/>
  <c r="L1136" i="19"/>
  <c r="CC1135" i="19"/>
  <c r="CB1135" i="19"/>
  <c r="CA1135" i="19"/>
  <c r="BZ1135" i="19"/>
  <c r="BL1135" i="19"/>
  <c r="BF1135" i="19"/>
  <c r="AZ1135" i="19"/>
  <c r="AT1135" i="19"/>
  <c r="AN1135" i="19"/>
  <c r="AH1135" i="19"/>
  <c r="AB1135" i="19"/>
  <c r="R1135" i="19"/>
  <c r="L1135" i="19"/>
  <c r="CC1134" i="19"/>
  <c r="CB1134" i="19"/>
  <c r="CA1134" i="19"/>
  <c r="BZ1134" i="19"/>
  <c r="BL1134" i="19"/>
  <c r="BF1134" i="19"/>
  <c r="AZ1134" i="19"/>
  <c r="AT1134" i="19"/>
  <c r="AN1134" i="19"/>
  <c r="AH1134" i="19"/>
  <c r="AB1134" i="19"/>
  <c r="R1134" i="19"/>
  <c r="L1134" i="19"/>
  <c r="CC1133" i="19"/>
  <c r="CB1133" i="19"/>
  <c r="CA1133" i="19"/>
  <c r="BZ1133" i="19"/>
  <c r="BL1133" i="19"/>
  <c r="BF1133" i="19"/>
  <c r="AZ1133" i="19"/>
  <c r="AT1133" i="19"/>
  <c r="AN1133" i="19"/>
  <c r="AH1133" i="19"/>
  <c r="AB1133" i="19"/>
  <c r="R1133" i="19"/>
  <c r="L1133" i="19"/>
  <c r="CC1132" i="19"/>
  <c r="CB1132" i="19"/>
  <c r="CA1132" i="19"/>
  <c r="BZ1132" i="19"/>
  <c r="BL1132" i="19"/>
  <c r="BF1132" i="19"/>
  <c r="AZ1132" i="19"/>
  <c r="AT1132" i="19"/>
  <c r="AN1132" i="19"/>
  <c r="AH1132" i="19"/>
  <c r="AB1132" i="19"/>
  <c r="R1132" i="19"/>
  <c r="L1132" i="19"/>
  <c r="CC1131" i="19"/>
  <c r="CB1131" i="19"/>
  <c r="CA1131" i="19"/>
  <c r="BZ1131" i="19"/>
  <c r="BL1131" i="19"/>
  <c r="BF1131" i="19"/>
  <c r="AZ1131" i="19"/>
  <c r="AT1131" i="19"/>
  <c r="AN1131" i="19"/>
  <c r="AH1131" i="19"/>
  <c r="AB1131" i="19"/>
  <c r="R1131" i="19"/>
  <c r="L1131" i="19"/>
  <c r="CC1130" i="19"/>
  <c r="CB1130" i="19"/>
  <c r="CA1130" i="19"/>
  <c r="BZ1130" i="19"/>
  <c r="BL1130" i="19"/>
  <c r="BF1130" i="19"/>
  <c r="AZ1130" i="19"/>
  <c r="AT1130" i="19"/>
  <c r="AN1130" i="19"/>
  <c r="AH1130" i="19"/>
  <c r="AB1130" i="19"/>
  <c r="R1130" i="19"/>
  <c r="L1130" i="19"/>
  <c r="CC1129" i="19"/>
  <c r="CB1129" i="19"/>
  <c r="CA1129" i="19"/>
  <c r="BZ1129" i="19"/>
  <c r="BL1129" i="19"/>
  <c r="BF1129" i="19"/>
  <c r="AZ1129" i="19"/>
  <c r="AT1129" i="19"/>
  <c r="AN1129" i="19"/>
  <c r="AH1129" i="19"/>
  <c r="AB1129" i="19"/>
  <c r="R1129" i="19"/>
  <c r="L1129" i="19"/>
  <c r="CC1128" i="19"/>
  <c r="CB1128" i="19"/>
  <c r="CA1128" i="19"/>
  <c r="BZ1128" i="19"/>
  <c r="BL1128" i="19"/>
  <c r="BF1128" i="19"/>
  <c r="AZ1128" i="19"/>
  <c r="AT1128" i="19"/>
  <c r="AN1128" i="19"/>
  <c r="AH1128" i="19"/>
  <c r="AB1128" i="19"/>
  <c r="R1128" i="19"/>
  <c r="L1128" i="19"/>
  <c r="CC1127" i="19"/>
  <c r="CB1127" i="19"/>
  <c r="CA1127" i="19"/>
  <c r="BZ1127" i="19"/>
  <c r="BL1127" i="19"/>
  <c r="BF1127" i="19"/>
  <c r="AZ1127" i="19"/>
  <c r="AT1127" i="19"/>
  <c r="AN1127" i="19"/>
  <c r="AH1127" i="19"/>
  <c r="AB1127" i="19"/>
  <c r="R1127" i="19"/>
  <c r="L1127" i="19"/>
  <c r="CC1126" i="19"/>
  <c r="CB1126" i="19"/>
  <c r="CA1126" i="19"/>
  <c r="BZ1126" i="19"/>
  <c r="BL1126" i="19"/>
  <c r="BF1126" i="19"/>
  <c r="AZ1126" i="19"/>
  <c r="AT1126" i="19"/>
  <c r="AN1126" i="19"/>
  <c r="AH1126" i="19"/>
  <c r="AB1126" i="19"/>
  <c r="R1126" i="19"/>
  <c r="L1126" i="19"/>
  <c r="CC1125" i="19"/>
  <c r="CB1125" i="19"/>
  <c r="CA1125" i="19"/>
  <c r="BZ1125" i="19"/>
  <c r="BL1125" i="19"/>
  <c r="BF1125" i="19"/>
  <c r="AZ1125" i="19"/>
  <c r="AT1125" i="19"/>
  <c r="AN1125" i="19"/>
  <c r="AH1125" i="19"/>
  <c r="AB1125" i="19"/>
  <c r="R1125" i="19"/>
  <c r="L1125" i="19"/>
  <c r="CC1124" i="19"/>
  <c r="CB1124" i="19"/>
  <c r="CA1124" i="19"/>
  <c r="BZ1124" i="19"/>
  <c r="BL1124" i="19"/>
  <c r="BF1124" i="19"/>
  <c r="AZ1124" i="19"/>
  <c r="AT1124" i="19"/>
  <c r="AN1124" i="19"/>
  <c r="AH1124" i="19"/>
  <c r="AB1124" i="19"/>
  <c r="R1124" i="19"/>
  <c r="L1124" i="19"/>
  <c r="CC1121" i="19"/>
  <c r="CB1121" i="19"/>
  <c r="CA1121" i="19"/>
  <c r="BZ1121" i="19"/>
  <c r="BL1121" i="19"/>
  <c r="BF1121" i="19"/>
  <c r="AZ1121" i="19"/>
  <c r="AT1121" i="19"/>
  <c r="AN1121" i="19"/>
  <c r="AH1121" i="19"/>
  <c r="AB1121" i="19"/>
  <c r="R1121" i="19"/>
  <c r="L1121" i="19"/>
  <c r="CC1116" i="19"/>
  <c r="CB1116" i="19"/>
  <c r="CA1116" i="19"/>
  <c r="BZ1116" i="19"/>
  <c r="BL1116" i="19"/>
  <c r="BF1116" i="19"/>
  <c r="AZ1116" i="19"/>
  <c r="AT1116" i="19"/>
  <c r="AN1116" i="19"/>
  <c r="AH1116" i="19"/>
  <c r="AB1116" i="19"/>
  <c r="R1116" i="19"/>
  <c r="L1116" i="19"/>
  <c r="CC1115" i="19"/>
  <c r="CB1115" i="19"/>
  <c r="CA1115" i="19"/>
  <c r="BZ1115" i="19"/>
  <c r="BL1115" i="19"/>
  <c r="BF1115" i="19"/>
  <c r="AZ1115" i="19"/>
  <c r="AT1115" i="19"/>
  <c r="AN1115" i="19"/>
  <c r="AH1115" i="19"/>
  <c r="AB1115" i="19"/>
  <c r="R1115" i="19"/>
  <c r="L1115" i="19"/>
  <c r="CC1114" i="19"/>
  <c r="CB1114" i="19"/>
  <c r="CA1114" i="19"/>
  <c r="BZ1114" i="19"/>
  <c r="BL1114" i="19"/>
  <c r="BF1114" i="19"/>
  <c r="AZ1114" i="19"/>
  <c r="AT1114" i="19"/>
  <c r="AN1114" i="19"/>
  <c r="AH1114" i="19"/>
  <c r="AB1114" i="19"/>
  <c r="R1114" i="19"/>
  <c r="L1114" i="19"/>
  <c r="CC1113" i="19"/>
  <c r="CB1113" i="19"/>
  <c r="CA1113" i="19"/>
  <c r="BZ1113" i="19"/>
  <c r="BL1113" i="19"/>
  <c r="BF1113" i="19"/>
  <c r="AZ1113" i="19"/>
  <c r="AT1113" i="19"/>
  <c r="AN1113" i="19"/>
  <c r="AH1113" i="19"/>
  <c r="AB1113" i="19"/>
  <c r="R1113" i="19"/>
  <c r="L1113" i="19"/>
  <c r="CC1112" i="19"/>
  <c r="CB1112" i="19"/>
  <c r="CA1112" i="19"/>
  <c r="BZ1112" i="19"/>
  <c r="BL1112" i="19"/>
  <c r="BF1112" i="19"/>
  <c r="AZ1112" i="19"/>
  <c r="AT1112" i="19"/>
  <c r="AN1112" i="19"/>
  <c r="AH1112" i="19"/>
  <c r="AB1112" i="19"/>
  <c r="R1112" i="19"/>
  <c r="L1112" i="19"/>
  <c r="CC1111" i="19"/>
  <c r="CB1111" i="19"/>
  <c r="CA1111" i="19"/>
  <c r="BZ1111" i="19"/>
  <c r="BL1111" i="19"/>
  <c r="BF1111" i="19"/>
  <c r="AZ1111" i="19"/>
  <c r="AT1111" i="19"/>
  <c r="AN1111" i="19"/>
  <c r="AH1111" i="19"/>
  <c r="AB1111" i="19"/>
  <c r="R1111" i="19"/>
  <c r="L1111" i="19"/>
  <c r="CC1110" i="19"/>
  <c r="CB1110" i="19"/>
  <c r="CA1110" i="19"/>
  <c r="BZ1110" i="19"/>
  <c r="BL1110" i="19"/>
  <c r="BF1110" i="19"/>
  <c r="AZ1110" i="19"/>
  <c r="AT1110" i="19"/>
  <c r="AN1110" i="19"/>
  <c r="AH1110" i="19"/>
  <c r="AB1110" i="19"/>
  <c r="R1110" i="19"/>
  <c r="L1110" i="19"/>
  <c r="CC1109" i="19"/>
  <c r="CB1109" i="19"/>
  <c r="CA1109" i="19"/>
  <c r="BZ1109" i="19"/>
  <c r="BL1109" i="19"/>
  <c r="BF1109" i="19"/>
  <c r="AZ1109" i="19"/>
  <c r="AT1109" i="19"/>
  <c r="AN1109" i="19"/>
  <c r="AH1109" i="19"/>
  <c r="AB1109" i="19"/>
  <c r="R1109" i="19"/>
  <c r="L1109" i="19"/>
  <c r="CC1078" i="19"/>
  <c r="CB1078" i="19"/>
  <c r="CA1078" i="19"/>
  <c r="BZ1078" i="19"/>
  <c r="BL1078" i="19"/>
  <c r="BF1078" i="19"/>
  <c r="AZ1078" i="19"/>
  <c r="AT1078" i="19"/>
  <c r="AN1078" i="19"/>
  <c r="AH1078" i="19"/>
  <c r="AB1078" i="19"/>
  <c r="R1078" i="19"/>
  <c r="L1078" i="19"/>
  <c r="CC1077" i="19"/>
  <c r="CB1077" i="19"/>
  <c r="CA1077" i="19"/>
  <c r="BZ1077" i="19"/>
  <c r="BL1077" i="19"/>
  <c r="BF1077" i="19"/>
  <c r="AZ1077" i="19"/>
  <c r="AT1077" i="19"/>
  <c r="AN1077" i="19"/>
  <c r="AH1077" i="19"/>
  <c r="AB1077" i="19"/>
  <c r="R1077" i="19"/>
  <c r="L1077" i="19"/>
  <c r="CC1076" i="19"/>
  <c r="CB1076" i="19"/>
  <c r="CA1076" i="19"/>
  <c r="BZ1076" i="19"/>
  <c r="BL1076" i="19"/>
  <c r="BF1076" i="19"/>
  <c r="AZ1076" i="19"/>
  <c r="AT1076" i="19"/>
  <c r="AN1076" i="19"/>
  <c r="AH1076" i="19"/>
  <c r="AB1076" i="19"/>
  <c r="R1076" i="19"/>
  <c r="L1076" i="19"/>
  <c r="CC1075" i="19"/>
  <c r="CB1075" i="19"/>
  <c r="CA1075" i="19"/>
  <c r="BZ1075" i="19"/>
  <c r="BL1075" i="19"/>
  <c r="BF1075" i="19"/>
  <c r="AZ1075" i="19"/>
  <c r="AT1075" i="19"/>
  <c r="AN1075" i="19"/>
  <c r="AH1075" i="19"/>
  <c r="AB1075" i="19"/>
  <c r="R1075" i="19"/>
  <c r="L1075" i="19"/>
  <c r="CC1074" i="19"/>
  <c r="CB1074" i="19"/>
  <c r="CA1074" i="19"/>
  <c r="BZ1074" i="19"/>
  <c r="BL1074" i="19"/>
  <c r="BF1074" i="19"/>
  <c r="AZ1074" i="19"/>
  <c r="AT1074" i="19"/>
  <c r="AN1074" i="19"/>
  <c r="AH1074" i="19"/>
  <c r="AB1074" i="19"/>
  <c r="R1074" i="19"/>
  <c r="L1074" i="19"/>
  <c r="CC1073" i="19"/>
  <c r="CB1073" i="19"/>
  <c r="CA1073" i="19"/>
  <c r="BZ1073" i="19"/>
  <c r="BL1073" i="19"/>
  <c r="BF1073" i="19"/>
  <c r="AZ1073" i="19"/>
  <c r="AT1073" i="19"/>
  <c r="AN1073" i="19"/>
  <c r="AH1073" i="19"/>
  <c r="AB1073" i="19"/>
  <c r="R1073" i="19"/>
  <c r="L1073" i="19"/>
  <c r="CC1072" i="19"/>
  <c r="CB1072" i="19"/>
  <c r="CA1072" i="19"/>
  <c r="BZ1072" i="19"/>
  <c r="BL1072" i="19"/>
  <c r="BF1072" i="19"/>
  <c r="AZ1072" i="19"/>
  <c r="AT1072" i="19"/>
  <c r="AN1072" i="19"/>
  <c r="AH1072" i="19"/>
  <c r="AB1072" i="19"/>
  <c r="R1072" i="19"/>
  <c r="L1072" i="19"/>
  <c r="CC1071" i="19"/>
  <c r="CB1071" i="19"/>
  <c r="CA1071" i="19"/>
  <c r="BZ1071" i="19"/>
  <c r="BL1071" i="19"/>
  <c r="BF1071" i="19"/>
  <c r="AZ1071" i="19"/>
  <c r="AT1071" i="19"/>
  <c r="AN1071" i="19"/>
  <c r="AH1071" i="19"/>
  <c r="AB1071" i="19"/>
  <c r="R1071" i="19"/>
  <c r="L1071" i="19"/>
  <c r="CC1020" i="19"/>
  <c r="CB1020" i="19"/>
  <c r="CA1020" i="19"/>
  <c r="BZ1020" i="19"/>
  <c r="BL1020" i="19"/>
  <c r="BF1020" i="19"/>
  <c r="AZ1020" i="19"/>
  <c r="AT1020" i="19"/>
  <c r="AN1020" i="19"/>
  <c r="AH1020" i="19"/>
  <c r="AB1020" i="19"/>
  <c r="R1020" i="19"/>
  <c r="L1020" i="19"/>
  <c r="CC1019" i="19"/>
  <c r="CB1019" i="19"/>
  <c r="CA1019" i="19"/>
  <c r="BZ1019" i="19"/>
  <c r="BL1019" i="19"/>
  <c r="BF1019" i="19"/>
  <c r="AZ1019" i="19"/>
  <c r="AT1019" i="19"/>
  <c r="AN1019" i="19"/>
  <c r="AH1019" i="19"/>
  <c r="AB1019" i="19"/>
  <c r="R1019" i="19"/>
  <c r="L1019" i="19"/>
  <c r="CC1018" i="19"/>
  <c r="CB1018" i="19"/>
  <c r="CA1018" i="19"/>
  <c r="BZ1018" i="19"/>
  <c r="BL1018" i="19"/>
  <c r="BF1018" i="19"/>
  <c r="AZ1018" i="19"/>
  <c r="AT1018" i="19"/>
  <c r="AN1018" i="19"/>
  <c r="AH1018" i="19"/>
  <c r="AB1018" i="19"/>
  <c r="R1018" i="19"/>
  <c r="L1018" i="19"/>
  <c r="CC1017" i="19"/>
  <c r="CB1017" i="19"/>
  <c r="CA1017" i="19"/>
  <c r="BZ1017" i="19"/>
  <c r="BL1017" i="19"/>
  <c r="BF1017" i="19"/>
  <c r="AZ1017" i="19"/>
  <c r="AT1017" i="19"/>
  <c r="AN1017" i="19"/>
  <c r="AH1017" i="19"/>
  <c r="AB1017" i="19"/>
  <c r="R1017" i="19"/>
  <c r="L1017" i="19"/>
  <c r="CC1016" i="19"/>
  <c r="CB1016" i="19"/>
  <c r="CA1016" i="19"/>
  <c r="BZ1016" i="19"/>
  <c r="BL1016" i="19"/>
  <c r="BF1016" i="19"/>
  <c r="AZ1016" i="19"/>
  <c r="AT1016" i="19"/>
  <c r="AN1016" i="19"/>
  <c r="AH1016" i="19"/>
  <c r="AB1016" i="19"/>
  <c r="R1016" i="19"/>
  <c r="L1016" i="19"/>
  <c r="CC1015" i="19"/>
  <c r="CB1015" i="19"/>
  <c r="CA1015" i="19"/>
  <c r="BZ1015" i="19"/>
  <c r="BL1015" i="19"/>
  <c r="BF1015" i="19"/>
  <c r="AZ1015" i="19"/>
  <c r="AT1015" i="19"/>
  <c r="AN1015" i="19"/>
  <c r="AH1015" i="19"/>
  <c r="AB1015" i="19"/>
  <c r="R1015" i="19"/>
  <c r="L1015" i="19"/>
  <c r="CC1014" i="19"/>
  <c r="CB1014" i="19"/>
  <c r="CA1014" i="19"/>
  <c r="BZ1014" i="19"/>
  <c r="BL1014" i="19"/>
  <c r="BF1014" i="19"/>
  <c r="AZ1014" i="19"/>
  <c r="AT1014" i="19"/>
  <c r="AN1014" i="19"/>
  <c r="AH1014" i="19"/>
  <c r="AB1014" i="19"/>
  <c r="R1014" i="19"/>
  <c r="L1014" i="19"/>
  <c r="CC1013" i="19"/>
  <c r="CB1013" i="19"/>
  <c r="CA1013" i="19"/>
  <c r="BZ1013" i="19"/>
  <c r="BL1013" i="19"/>
  <c r="BF1013" i="19"/>
  <c r="AZ1013" i="19"/>
  <c r="AT1013" i="19"/>
  <c r="AN1013" i="19"/>
  <c r="AH1013" i="19"/>
  <c r="AB1013" i="19"/>
  <c r="R1013" i="19"/>
  <c r="L1013" i="19"/>
  <c r="CC1012" i="19"/>
  <c r="CB1012" i="19"/>
  <c r="CA1012" i="19"/>
  <c r="BZ1012" i="19"/>
  <c r="BL1012" i="19"/>
  <c r="BF1012" i="19"/>
  <c r="AZ1012" i="19"/>
  <c r="AT1012" i="19"/>
  <c r="AN1012" i="19"/>
  <c r="AH1012" i="19"/>
  <c r="AB1012" i="19"/>
  <c r="R1012" i="19"/>
  <c r="L1012" i="19"/>
  <c r="CC1011" i="19"/>
  <c r="CB1011" i="19"/>
  <c r="CA1011" i="19"/>
  <c r="BZ1011" i="19"/>
  <c r="BL1011" i="19"/>
  <c r="BF1011" i="19"/>
  <c r="AZ1011" i="19"/>
  <c r="AT1011" i="19"/>
  <c r="AN1011" i="19"/>
  <c r="AH1011" i="19"/>
  <c r="AB1011" i="19"/>
  <c r="R1011" i="19"/>
  <c r="L1011" i="19"/>
  <c r="CC1010" i="19"/>
  <c r="CB1010" i="19"/>
  <c r="CA1010" i="19"/>
  <c r="BZ1010" i="19"/>
  <c r="BL1010" i="19"/>
  <c r="BF1010" i="19"/>
  <c r="AZ1010" i="19"/>
  <c r="AT1010" i="19"/>
  <c r="AN1010" i="19"/>
  <c r="AH1010" i="19"/>
  <c r="AB1010" i="19"/>
  <c r="R1010" i="19"/>
  <c r="L1010" i="19"/>
  <c r="CC1009" i="19"/>
  <c r="CB1009" i="19"/>
  <c r="CA1009" i="19"/>
  <c r="BZ1009" i="19"/>
  <c r="BL1009" i="19"/>
  <c r="BF1009" i="19"/>
  <c r="AZ1009" i="19"/>
  <c r="AT1009" i="19"/>
  <c r="AN1009" i="19"/>
  <c r="AH1009" i="19"/>
  <c r="AB1009" i="19"/>
  <c r="R1009" i="19"/>
  <c r="L1009" i="19"/>
  <c r="CC1008" i="19"/>
  <c r="CB1008" i="19"/>
  <c r="CA1008" i="19"/>
  <c r="BZ1008" i="19"/>
  <c r="BL1008" i="19"/>
  <c r="BF1008" i="19"/>
  <c r="AZ1008" i="19"/>
  <c r="AT1008" i="19"/>
  <c r="AN1008" i="19"/>
  <c r="AH1008" i="19"/>
  <c r="AB1008" i="19"/>
  <c r="R1008" i="19"/>
  <c r="L1008" i="19"/>
  <c r="CC1007" i="19"/>
  <c r="CB1007" i="19"/>
  <c r="CA1007" i="19"/>
  <c r="BZ1007" i="19"/>
  <c r="BL1007" i="19"/>
  <c r="BF1007" i="19"/>
  <c r="AZ1007" i="19"/>
  <c r="AT1007" i="19"/>
  <c r="AN1007" i="19"/>
  <c r="AH1007" i="19"/>
  <c r="AB1007" i="19"/>
  <c r="R1007" i="19"/>
  <c r="L1007" i="19"/>
  <c r="CC1006" i="19"/>
  <c r="CB1006" i="19"/>
  <c r="CA1006" i="19"/>
  <c r="BZ1006" i="19"/>
  <c r="BL1006" i="19"/>
  <c r="BF1006" i="19"/>
  <c r="AZ1006" i="19"/>
  <c r="AT1006" i="19"/>
  <c r="AN1006" i="19"/>
  <c r="AH1006" i="19"/>
  <c r="AB1006" i="19"/>
  <c r="R1006" i="19"/>
  <c r="L1006" i="19"/>
  <c r="CC978" i="19"/>
  <c r="CB978" i="19"/>
  <c r="CA978" i="19"/>
  <c r="BZ978" i="19"/>
  <c r="BL978" i="19"/>
  <c r="BF978" i="19"/>
  <c r="AZ978" i="19"/>
  <c r="AT978" i="19"/>
  <c r="AN978" i="19"/>
  <c r="AH978" i="19"/>
  <c r="AB978" i="19"/>
  <c r="R978" i="19"/>
  <c r="L978" i="19"/>
  <c r="CC977" i="19"/>
  <c r="CB977" i="19"/>
  <c r="CA977" i="19"/>
  <c r="BZ977" i="19"/>
  <c r="BL977" i="19"/>
  <c r="BF977" i="19"/>
  <c r="AZ977" i="19"/>
  <c r="AT977" i="19"/>
  <c r="AN977" i="19"/>
  <c r="AH977" i="19"/>
  <c r="AB977" i="19"/>
  <c r="R977" i="19"/>
  <c r="L977" i="19"/>
  <c r="CC976" i="19"/>
  <c r="CB976" i="19"/>
  <c r="CA976" i="19"/>
  <c r="BZ976" i="19"/>
  <c r="BL976" i="19"/>
  <c r="BF976" i="19"/>
  <c r="AZ976" i="19"/>
  <c r="AT976" i="19"/>
  <c r="AN976" i="19"/>
  <c r="AH976" i="19"/>
  <c r="AB976" i="19"/>
  <c r="R976" i="19"/>
  <c r="L976" i="19"/>
  <c r="CC975" i="19"/>
  <c r="CB975" i="19"/>
  <c r="CA975" i="19"/>
  <c r="BZ975" i="19"/>
  <c r="BL975" i="19"/>
  <c r="BF975" i="19"/>
  <c r="AZ975" i="19"/>
  <c r="AT975" i="19"/>
  <c r="AN975" i="19"/>
  <c r="AH975" i="19"/>
  <c r="AB975" i="19"/>
  <c r="R975" i="19"/>
  <c r="L975" i="19"/>
  <c r="CC974" i="19"/>
  <c r="CB974" i="19"/>
  <c r="CA974" i="19"/>
  <c r="BZ974" i="19"/>
  <c r="BL974" i="19"/>
  <c r="BF974" i="19"/>
  <c r="AZ974" i="19"/>
  <c r="AT974" i="19"/>
  <c r="AN974" i="19"/>
  <c r="AH974" i="19"/>
  <c r="AB974" i="19"/>
  <c r="R974" i="19"/>
  <c r="L974" i="19"/>
  <c r="CC973" i="19"/>
  <c r="CB973" i="19"/>
  <c r="CA973" i="19"/>
  <c r="BZ973" i="19"/>
  <c r="BL973" i="19"/>
  <c r="BF973" i="19"/>
  <c r="AZ973" i="19"/>
  <c r="AT973" i="19"/>
  <c r="AN973" i="19"/>
  <c r="AH973" i="19"/>
  <c r="AB973" i="19"/>
  <c r="R973" i="19"/>
  <c r="L973" i="19"/>
  <c r="CC972" i="19"/>
  <c r="CB972" i="19"/>
  <c r="CA972" i="19"/>
  <c r="BZ972" i="19"/>
  <c r="BL972" i="19"/>
  <c r="BF972" i="19"/>
  <c r="AZ972" i="19"/>
  <c r="AT972" i="19"/>
  <c r="AN972" i="19"/>
  <c r="AH972" i="19"/>
  <c r="AB972" i="19"/>
  <c r="R972" i="19"/>
  <c r="L972" i="19"/>
  <c r="CC971" i="19"/>
  <c r="CB971" i="19"/>
  <c r="CA971" i="19"/>
  <c r="BZ971" i="19"/>
  <c r="BL971" i="19"/>
  <c r="BF971" i="19"/>
  <c r="AZ971" i="19"/>
  <c r="AT971" i="19"/>
  <c r="AN971" i="19"/>
  <c r="AH971" i="19"/>
  <c r="AB971" i="19"/>
  <c r="R971" i="19"/>
  <c r="L971" i="19"/>
  <c r="CC970" i="19"/>
  <c r="CB970" i="19"/>
  <c r="CA970" i="19"/>
  <c r="BZ970" i="19"/>
  <c r="BL970" i="19"/>
  <c r="BF970" i="19"/>
  <c r="AZ970" i="19"/>
  <c r="AT970" i="19"/>
  <c r="AN970" i="19"/>
  <c r="AH970" i="19"/>
  <c r="AB970" i="19"/>
  <c r="R970" i="19"/>
  <c r="L970" i="19"/>
  <c r="CC969" i="19"/>
  <c r="CB969" i="19"/>
  <c r="CA969" i="19"/>
  <c r="BZ969" i="19"/>
  <c r="BL969" i="19"/>
  <c r="BF969" i="19"/>
  <c r="AZ969" i="19"/>
  <c r="AT969" i="19"/>
  <c r="AN969" i="19"/>
  <c r="AH969" i="19"/>
  <c r="AB969" i="19"/>
  <c r="R969" i="19"/>
  <c r="L969" i="19"/>
  <c r="CC968" i="19"/>
  <c r="CB968" i="19"/>
  <c r="CA968" i="19"/>
  <c r="BZ968" i="19"/>
  <c r="BL968" i="19"/>
  <c r="BF968" i="19"/>
  <c r="AZ968" i="19"/>
  <c r="AT968" i="19"/>
  <c r="AN968" i="19"/>
  <c r="AH968" i="19"/>
  <c r="AB968" i="19"/>
  <c r="R968" i="19"/>
  <c r="L968" i="19"/>
  <c r="CC965" i="19"/>
  <c r="CB965" i="19"/>
  <c r="CA965" i="19"/>
  <c r="BZ965" i="19"/>
  <c r="L965" i="19"/>
  <c r="CC964" i="19"/>
  <c r="CB964" i="19"/>
  <c r="CA964" i="19"/>
  <c r="BZ964" i="19"/>
  <c r="BL964" i="19"/>
  <c r="BF964" i="19"/>
  <c r="AZ964" i="19"/>
  <c r="AT964" i="19"/>
  <c r="AN964" i="19"/>
  <c r="AH964" i="19"/>
  <c r="AB964" i="19"/>
  <c r="R964" i="19"/>
  <c r="L964" i="19"/>
  <c r="CC963" i="19"/>
  <c r="CB963" i="19"/>
  <c r="CA963" i="19"/>
  <c r="BZ963" i="19"/>
  <c r="BL963" i="19"/>
  <c r="BF963" i="19"/>
  <c r="AZ963" i="19"/>
  <c r="AT963" i="19"/>
  <c r="AN963" i="19"/>
  <c r="AH963" i="19"/>
  <c r="AB963" i="19"/>
  <c r="R963" i="19"/>
  <c r="L963" i="19"/>
  <c r="CC887" i="19"/>
  <c r="CB887" i="19"/>
  <c r="CA887" i="19"/>
  <c r="BZ887" i="19"/>
  <c r="BL887" i="19"/>
  <c r="BF887" i="19"/>
  <c r="AZ887" i="19"/>
  <c r="AT887" i="19"/>
  <c r="AN887" i="19"/>
  <c r="AH887" i="19"/>
  <c r="AB887" i="19"/>
  <c r="R887" i="19"/>
  <c r="L887" i="19"/>
  <c r="CC886" i="19"/>
  <c r="CB886" i="19"/>
  <c r="CA886" i="19"/>
  <c r="BZ886" i="19"/>
  <c r="BL886" i="19"/>
  <c r="BF886" i="19"/>
  <c r="AZ886" i="19"/>
  <c r="AT886" i="19"/>
  <c r="AN886" i="19"/>
  <c r="AH886" i="19"/>
  <c r="AB886" i="19"/>
  <c r="R886" i="19"/>
  <c r="L886" i="19"/>
  <c r="CC885" i="19"/>
  <c r="CB885" i="19"/>
  <c r="CA885" i="19"/>
  <c r="BZ885" i="19"/>
  <c r="BL885" i="19"/>
  <c r="BF885" i="19"/>
  <c r="AZ885" i="19"/>
  <c r="AT885" i="19"/>
  <c r="AN885" i="19"/>
  <c r="AH885" i="19"/>
  <c r="AB885" i="19"/>
  <c r="R885" i="19"/>
  <c r="L885" i="19"/>
  <c r="CC884" i="19"/>
  <c r="CB884" i="19"/>
  <c r="CA884" i="19"/>
  <c r="BZ884" i="19"/>
  <c r="BL884" i="19"/>
  <c r="BF884" i="19"/>
  <c r="AZ884" i="19"/>
  <c r="AT884" i="19"/>
  <c r="AN884" i="19"/>
  <c r="AH884" i="19"/>
  <c r="AB884" i="19"/>
  <c r="R884" i="19"/>
  <c r="L884" i="19"/>
  <c r="CC883" i="19"/>
  <c r="CB883" i="19"/>
  <c r="CA883" i="19"/>
  <c r="BZ883" i="19"/>
  <c r="BL883" i="19"/>
  <c r="BF883" i="19"/>
  <c r="AZ883" i="19"/>
  <c r="AT883" i="19"/>
  <c r="AN883" i="19"/>
  <c r="AH883" i="19"/>
  <c r="AB883" i="19"/>
  <c r="R883" i="19"/>
  <c r="L883" i="19"/>
  <c r="CC882" i="19"/>
  <c r="CB882" i="19"/>
  <c r="CA882" i="19"/>
  <c r="BZ882" i="19"/>
  <c r="BL882" i="19"/>
  <c r="BF882" i="19"/>
  <c r="AZ882" i="19"/>
  <c r="AT882" i="19"/>
  <c r="AN882" i="19"/>
  <c r="AH882" i="19"/>
  <c r="AB882" i="19"/>
  <c r="R882" i="19"/>
  <c r="L882" i="19"/>
  <c r="CC881" i="19"/>
  <c r="CB881" i="19"/>
  <c r="CA881" i="19"/>
  <c r="BZ881" i="19"/>
  <c r="BL881" i="19"/>
  <c r="BF881" i="19"/>
  <c r="AZ881" i="19"/>
  <c r="AT881" i="19"/>
  <c r="AN881" i="19"/>
  <c r="AH881" i="19"/>
  <c r="AB881" i="19"/>
  <c r="R881" i="19"/>
  <c r="L881" i="19"/>
  <c r="CC880" i="19"/>
  <c r="CB880" i="19"/>
  <c r="CA880" i="19"/>
  <c r="BZ880" i="19"/>
  <c r="BL880" i="19"/>
  <c r="BF880" i="19"/>
  <c r="AZ880" i="19"/>
  <c r="AT880" i="19"/>
  <c r="AN880" i="19"/>
  <c r="AH880" i="19"/>
  <c r="AB880" i="19"/>
  <c r="R880" i="19"/>
  <c r="L880" i="19"/>
  <c r="CC879" i="19"/>
  <c r="CB879" i="19"/>
  <c r="CA879" i="19"/>
  <c r="BZ879" i="19"/>
  <c r="BL879" i="19"/>
  <c r="BF879" i="19"/>
  <c r="AZ879" i="19"/>
  <c r="AT879" i="19"/>
  <c r="AN879" i="19"/>
  <c r="AH879" i="19"/>
  <c r="AB879" i="19"/>
  <c r="R879" i="19"/>
  <c r="L879" i="19"/>
  <c r="CC878" i="19"/>
  <c r="CB878" i="19"/>
  <c r="CA878" i="19"/>
  <c r="BZ878" i="19"/>
  <c r="BL878" i="19"/>
  <c r="BF878" i="19"/>
  <c r="AZ878" i="19"/>
  <c r="AT878" i="19"/>
  <c r="AN878" i="19"/>
  <c r="AH878" i="19"/>
  <c r="AB878" i="19"/>
  <c r="R878" i="19"/>
  <c r="L878" i="19"/>
  <c r="CC877" i="19"/>
  <c r="CB877" i="19"/>
  <c r="CA877" i="19"/>
  <c r="BZ877" i="19"/>
  <c r="BL877" i="19"/>
  <c r="BF877" i="19"/>
  <c r="AZ877" i="19"/>
  <c r="AT877" i="19"/>
  <c r="AN877" i="19"/>
  <c r="AH877" i="19"/>
  <c r="AB877" i="19"/>
  <c r="R877" i="19"/>
  <c r="L877" i="19"/>
  <c r="CC876" i="19"/>
  <c r="CB876" i="19"/>
  <c r="CA876" i="19"/>
  <c r="BZ876" i="19"/>
  <c r="BL876" i="19"/>
  <c r="BF876" i="19"/>
  <c r="AZ876" i="19"/>
  <c r="AT876" i="19"/>
  <c r="AN876" i="19"/>
  <c r="AH876" i="19"/>
  <c r="AB876" i="19"/>
  <c r="R876" i="19"/>
  <c r="L876" i="19"/>
  <c r="CC875" i="19"/>
  <c r="CB875" i="19"/>
  <c r="CA875" i="19"/>
  <c r="BZ875" i="19"/>
  <c r="BL875" i="19"/>
  <c r="BF875" i="19"/>
  <c r="AZ875" i="19"/>
  <c r="AT875" i="19"/>
  <c r="AN875" i="19"/>
  <c r="AH875" i="19"/>
  <c r="AB875" i="19"/>
  <c r="R875" i="19"/>
  <c r="L875" i="19"/>
  <c r="CC874" i="19"/>
  <c r="CB874" i="19"/>
  <c r="CA874" i="19"/>
  <c r="BZ874" i="19"/>
  <c r="BL874" i="19"/>
  <c r="BF874" i="19"/>
  <c r="AZ874" i="19"/>
  <c r="AT874" i="19"/>
  <c r="AN874" i="19"/>
  <c r="AH874" i="19"/>
  <c r="AB874" i="19"/>
  <c r="R874" i="19"/>
  <c r="L874" i="19"/>
  <c r="CC871" i="19"/>
  <c r="CB871" i="19"/>
  <c r="CA871" i="19"/>
  <c r="BZ871" i="19"/>
  <c r="BL871" i="19"/>
  <c r="BF871" i="19"/>
  <c r="AZ871" i="19"/>
  <c r="AT871" i="19"/>
  <c r="AN871" i="19"/>
  <c r="AH871" i="19"/>
  <c r="AB871" i="19"/>
  <c r="R871" i="19"/>
  <c r="L871" i="19"/>
  <c r="CC870" i="19"/>
  <c r="CB870" i="19"/>
  <c r="CA870" i="19"/>
  <c r="BZ870" i="19"/>
  <c r="BL870" i="19"/>
  <c r="BF870" i="19"/>
  <c r="AZ870" i="19"/>
  <c r="AT870" i="19"/>
  <c r="AN870" i="19"/>
  <c r="AH870" i="19"/>
  <c r="AB870" i="19"/>
  <c r="R870" i="19"/>
  <c r="L870" i="19"/>
  <c r="CC869" i="19"/>
  <c r="CB869" i="19"/>
  <c r="CA869" i="19"/>
  <c r="BZ869" i="19"/>
  <c r="BL869" i="19"/>
  <c r="BF869" i="19"/>
  <c r="AZ869" i="19"/>
  <c r="AT869" i="19"/>
  <c r="AN869" i="19"/>
  <c r="AH869" i="19"/>
  <c r="AB869" i="19"/>
  <c r="R869" i="19"/>
  <c r="L869" i="19"/>
  <c r="CC868" i="19"/>
  <c r="CB868" i="19"/>
  <c r="CA868" i="19"/>
  <c r="BZ868" i="19"/>
  <c r="BL868" i="19"/>
  <c r="BF868" i="19"/>
  <c r="AZ868" i="19"/>
  <c r="AT868" i="19"/>
  <c r="AN868" i="19"/>
  <c r="AH868" i="19"/>
  <c r="AB868" i="19"/>
  <c r="R868" i="19"/>
  <c r="L868" i="19"/>
  <c r="CC867" i="19"/>
  <c r="CB867" i="19"/>
  <c r="CA867" i="19"/>
  <c r="BZ867" i="19"/>
  <c r="BL867" i="19"/>
  <c r="BF867" i="19"/>
  <c r="AZ867" i="19"/>
  <c r="AT867" i="19"/>
  <c r="AN867" i="19"/>
  <c r="AH867" i="19"/>
  <c r="AB867" i="19"/>
  <c r="R867" i="19"/>
  <c r="L867" i="19"/>
  <c r="CC866" i="19"/>
  <c r="CB866" i="19"/>
  <c r="CA866" i="19"/>
  <c r="BZ866" i="19"/>
  <c r="BL866" i="19"/>
  <c r="BF866" i="19"/>
  <c r="AZ866" i="19"/>
  <c r="AT866" i="19"/>
  <c r="AN866" i="19"/>
  <c r="AH866" i="19"/>
  <c r="AB866" i="19"/>
  <c r="R866" i="19"/>
  <c r="L866" i="19"/>
  <c r="CC865" i="19"/>
  <c r="CB865" i="19"/>
  <c r="CA865" i="19"/>
  <c r="BZ865" i="19"/>
  <c r="BL865" i="19"/>
  <c r="BF865" i="19"/>
  <c r="AZ865" i="19"/>
  <c r="AT865" i="19"/>
  <c r="AN865" i="19"/>
  <c r="AH865" i="19"/>
  <c r="AB865" i="19"/>
  <c r="R865" i="19"/>
  <c r="L865" i="19"/>
  <c r="CC864" i="19"/>
  <c r="CB864" i="19"/>
  <c r="CA864" i="19"/>
  <c r="BZ864" i="19"/>
  <c r="BL864" i="19"/>
  <c r="BF864" i="19"/>
  <c r="AZ864" i="19"/>
  <c r="AT864" i="19"/>
  <c r="AN864" i="19"/>
  <c r="AH864" i="19"/>
  <c r="AB864" i="19"/>
  <c r="R864" i="19"/>
  <c r="L864" i="19"/>
  <c r="CC863" i="19"/>
  <c r="CB863" i="19"/>
  <c r="CA863" i="19"/>
  <c r="BZ863" i="19"/>
  <c r="BL863" i="19"/>
  <c r="BF863" i="19"/>
  <c r="AZ863" i="19"/>
  <c r="AT863" i="19"/>
  <c r="AN863" i="19"/>
  <c r="AH863" i="19"/>
  <c r="AB863" i="19"/>
  <c r="R863" i="19"/>
  <c r="L863" i="19"/>
  <c r="CC862" i="19"/>
  <c r="CB862" i="19"/>
  <c r="CA862" i="19"/>
  <c r="BZ862" i="19"/>
  <c r="BL862" i="19"/>
  <c r="BF862" i="19"/>
  <c r="AZ862" i="19"/>
  <c r="AT862" i="19"/>
  <c r="AN862" i="19"/>
  <c r="AH862" i="19"/>
  <c r="AB862" i="19"/>
  <c r="R862" i="19"/>
  <c r="L862" i="19"/>
  <c r="CC861" i="19"/>
  <c r="CB861" i="19"/>
  <c r="CA861" i="19"/>
  <c r="BZ861" i="19"/>
  <c r="BL861" i="19"/>
  <c r="BF861" i="19"/>
  <c r="AZ861" i="19"/>
  <c r="AT861" i="19"/>
  <c r="AN861" i="19"/>
  <c r="AH861" i="19"/>
  <c r="AB861" i="19"/>
  <c r="R861" i="19"/>
  <c r="L861" i="19"/>
  <c r="CC860" i="19"/>
  <c r="CB860" i="19"/>
  <c r="CA860" i="19"/>
  <c r="BZ860" i="19"/>
  <c r="BL860" i="19"/>
  <c r="BF860" i="19"/>
  <c r="AZ860" i="19"/>
  <c r="AT860" i="19"/>
  <c r="AN860" i="19"/>
  <c r="AH860" i="19"/>
  <c r="AB860" i="19"/>
  <c r="R860" i="19"/>
  <c r="L860" i="19"/>
  <c r="CC859" i="19"/>
  <c r="CB859" i="19"/>
  <c r="CA859" i="19"/>
  <c r="BZ859" i="19"/>
  <c r="BL859" i="19"/>
  <c r="BF859" i="19"/>
  <c r="AZ859" i="19"/>
  <c r="AT859" i="19"/>
  <c r="AN859" i="19"/>
  <c r="AH859" i="19"/>
  <c r="AB859" i="19"/>
  <c r="R859" i="19"/>
  <c r="L859" i="19"/>
  <c r="CC858" i="19"/>
  <c r="CB858" i="19"/>
  <c r="CA858" i="19"/>
  <c r="BZ858" i="19"/>
  <c r="BL858" i="19"/>
  <c r="BF858" i="19"/>
  <c r="AZ858" i="19"/>
  <c r="AT858" i="19"/>
  <c r="AN858" i="19"/>
  <c r="AH858" i="19"/>
  <c r="AB858" i="19"/>
  <c r="R858" i="19"/>
  <c r="L858" i="19"/>
  <c r="CC857" i="19"/>
  <c r="CB857" i="19"/>
  <c r="CA857" i="19"/>
  <c r="BZ857" i="19"/>
  <c r="BL857" i="19"/>
  <c r="BF857" i="19"/>
  <c r="AZ857" i="19"/>
  <c r="AT857" i="19"/>
  <c r="AN857" i="19"/>
  <c r="AH857" i="19"/>
  <c r="AB857" i="19"/>
  <c r="R857" i="19"/>
  <c r="L857" i="19"/>
  <c r="CC856" i="19"/>
  <c r="CB856" i="19"/>
  <c r="CA856" i="19"/>
  <c r="BZ856" i="19"/>
  <c r="BL856" i="19"/>
  <c r="BF856" i="19"/>
  <c r="AZ856" i="19"/>
  <c r="AT856" i="19"/>
  <c r="AN856" i="19"/>
  <c r="AH856" i="19"/>
  <c r="AB856" i="19"/>
  <c r="R856" i="19"/>
  <c r="L856" i="19"/>
  <c r="CC855" i="19"/>
  <c r="CB855" i="19"/>
  <c r="CA855" i="19"/>
  <c r="BZ855" i="19"/>
  <c r="BL855" i="19"/>
  <c r="BF855" i="19"/>
  <c r="AZ855" i="19"/>
  <c r="AT855" i="19"/>
  <c r="AN855" i="19"/>
  <c r="AH855" i="19"/>
  <c r="AB855" i="19"/>
  <c r="R855" i="19"/>
  <c r="L855" i="19"/>
  <c r="CC854" i="19"/>
  <c r="CB854" i="19"/>
  <c r="CA854" i="19"/>
  <c r="BZ854" i="19"/>
  <c r="BL854" i="19"/>
  <c r="BF854" i="19"/>
  <c r="AZ854" i="19"/>
  <c r="AT854" i="19"/>
  <c r="AN854" i="19"/>
  <c r="AH854" i="19"/>
  <c r="AB854" i="19"/>
  <c r="R854" i="19"/>
  <c r="L854" i="19"/>
  <c r="CC853" i="19"/>
  <c r="CB853" i="19"/>
  <c r="CA853" i="19"/>
  <c r="BZ853" i="19"/>
  <c r="BL853" i="19"/>
  <c r="BF853" i="19"/>
  <c r="AZ853" i="19"/>
  <c r="AT853" i="19"/>
  <c r="AN853" i="19"/>
  <c r="AH853" i="19"/>
  <c r="AB853" i="19"/>
  <c r="R853" i="19"/>
  <c r="L853" i="19"/>
  <c r="CC823" i="19"/>
  <c r="CB823" i="19"/>
  <c r="CA823" i="19"/>
  <c r="BZ823" i="19"/>
  <c r="BL823" i="19"/>
  <c r="BF823" i="19"/>
  <c r="AZ823" i="19"/>
  <c r="AT823" i="19"/>
  <c r="AN823" i="19"/>
  <c r="AH823" i="19"/>
  <c r="AB823" i="19"/>
  <c r="R823" i="19"/>
  <c r="L823" i="19"/>
  <c r="CC822" i="19"/>
  <c r="CB822" i="19"/>
  <c r="CA822" i="19"/>
  <c r="BZ822" i="19"/>
  <c r="BL822" i="19"/>
  <c r="BF822" i="19"/>
  <c r="AZ822" i="19"/>
  <c r="AT822" i="19"/>
  <c r="AN822" i="19"/>
  <c r="AH822" i="19"/>
  <c r="AB822" i="19"/>
  <c r="R822" i="19"/>
  <c r="L822" i="19"/>
  <c r="CC821" i="19"/>
  <c r="CB821" i="19"/>
  <c r="CA821" i="19"/>
  <c r="BZ821" i="19"/>
  <c r="BL821" i="19"/>
  <c r="BF821" i="19"/>
  <c r="AZ821" i="19"/>
  <c r="AT821" i="19"/>
  <c r="AN821" i="19"/>
  <c r="AH821" i="19"/>
  <c r="AB821" i="19"/>
  <c r="R821" i="19"/>
  <c r="L821" i="19"/>
  <c r="CC820" i="19"/>
  <c r="CB820" i="19"/>
  <c r="CA820" i="19"/>
  <c r="BZ820" i="19"/>
  <c r="BL820" i="19"/>
  <c r="BF820" i="19"/>
  <c r="AZ820" i="19"/>
  <c r="AT820" i="19"/>
  <c r="AN820" i="19"/>
  <c r="AH820" i="19"/>
  <c r="AB820" i="19"/>
  <c r="R820" i="19"/>
  <c r="L820" i="19"/>
  <c r="CC819" i="19"/>
  <c r="CB819" i="19"/>
  <c r="CA819" i="19"/>
  <c r="BZ819" i="19"/>
  <c r="BL819" i="19"/>
  <c r="BF819" i="19"/>
  <c r="AZ819" i="19"/>
  <c r="AT819" i="19"/>
  <c r="AN819" i="19"/>
  <c r="AH819" i="19"/>
  <c r="AB819" i="19"/>
  <c r="R819" i="19"/>
  <c r="L819" i="19"/>
  <c r="CC807" i="19"/>
  <c r="CB807" i="19"/>
  <c r="CA807" i="19"/>
  <c r="BZ807" i="19"/>
  <c r="BL807" i="19"/>
  <c r="BF807" i="19"/>
  <c r="AZ807" i="19"/>
  <c r="AT807" i="19"/>
  <c r="AN807" i="19"/>
  <c r="AH807" i="19"/>
  <c r="AB807" i="19"/>
  <c r="R807" i="19"/>
  <c r="L807" i="19"/>
  <c r="CC806" i="19"/>
  <c r="CB806" i="19"/>
  <c r="CA806" i="19"/>
  <c r="BZ806" i="19"/>
  <c r="BL806" i="19"/>
  <c r="BF806" i="19"/>
  <c r="AZ806" i="19"/>
  <c r="AT806" i="19"/>
  <c r="AN806" i="19"/>
  <c r="AH806" i="19"/>
  <c r="AB806" i="19"/>
  <c r="R806" i="19"/>
  <c r="L806" i="19"/>
  <c r="CC805" i="19"/>
  <c r="CB805" i="19"/>
  <c r="CA805" i="19"/>
  <c r="BZ805" i="19"/>
  <c r="BL805" i="19"/>
  <c r="BF805" i="19"/>
  <c r="AZ805" i="19"/>
  <c r="AT805" i="19"/>
  <c r="AN805" i="19"/>
  <c r="AH805" i="19"/>
  <c r="AB805" i="19"/>
  <c r="R805" i="19"/>
  <c r="L805" i="19"/>
  <c r="CC804" i="19"/>
  <c r="CB804" i="19"/>
  <c r="CA804" i="19"/>
  <c r="BZ804" i="19"/>
  <c r="BL804" i="19"/>
  <c r="BF804" i="19"/>
  <c r="AZ804" i="19"/>
  <c r="AT804" i="19"/>
  <c r="AN804" i="19"/>
  <c r="AH804" i="19"/>
  <c r="AB804" i="19"/>
  <c r="R804" i="19"/>
  <c r="L804" i="19"/>
  <c r="CC803" i="19"/>
  <c r="CB803" i="19"/>
  <c r="CA803" i="19"/>
  <c r="BZ803" i="19"/>
  <c r="BL803" i="19"/>
  <c r="BF803" i="19"/>
  <c r="AZ803" i="19"/>
  <c r="AT803" i="19"/>
  <c r="AN803" i="19"/>
  <c r="AH803" i="19"/>
  <c r="AB803" i="19"/>
  <c r="R803" i="19"/>
  <c r="L803" i="19"/>
  <c r="CC778" i="19"/>
  <c r="CB778" i="19"/>
  <c r="CA778" i="19"/>
  <c r="BZ778" i="19"/>
  <c r="BL778" i="19"/>
  <c r="BF778" i="19"/>
  <c r="AZ778" i="19"/>
  <c r="AT778" i="19"/>
  <c r="AN778" i="19"/>
  <c r="AH778" i="19"/>
  <c r="AB778" i="19"/>
  <c r="R778" i="19"/>
  <c r="L778" i="19"/>
  <c r="CC777" i="19"/>
  <c r="CB777" i="19"/>
  <c r="CA777" i="19"/>
  <c r="BZ777" i="19"/>
  <c r="BL777" i="19"/>
  <c r="BF777" i="19"/>
  <c r="AZ777" i="19"/>
  <c r="AT777" i="19"/>
  <c r="AN777" i="19"/>
  <c r="AH777" i="19"/>
  <c r="AB777" i="19"/>
  <c r="R777" i="19"/>
  <c r="L777" i="19"/>
  <c r="CC776" i="19"/>
  <c r="CB776" i="19"/>
  <c r="CA776" i="19"/>
  <c r="BZ776" i="19"/>
  <c r="BL776" i="19"/>
  <c r="BF776" i="19"/>
  <c r="AZ776" i="19"/>
  <c r="AT776" i="19"/>
  <c r="AN776" i="19"/>
  <c r="AH776" i="19"/>
  <c r="AB776" i="19"/>
  <c r="R776" i="19"/>
  <c r="L776" i="19"/>
  <c r="CC775" i="19"/>
  <c r="CB775" i="19"/>
  <c r="CA775" i="19"/>
  <c r="BZ775" i="19"/>
  <c r="BL775" i="19"/>
  <c r="BF775" i="19"/>
  <c r="AZ775" i="19"/>
  <c r="AT775" i="19"/>
  <c r="AN775" i="19"/>
  <c r="AH775" i="19"/>
  <c r="AB775" i="19"/>
  <c r="R775" i="19"/>
  <c r="L775" i="19"/>
  <c r="CC774" i="19"/>
  <c r="CB774" i="19"/>
  <c r="CA774" i="19"/>
  <c r="BZ774" i="19"/>
  <c r="BL774" i="19"/>
  <c r="BF774" i="19"/>
  <c r="AZ774" i="19"/>
  <c r="AT774" i="19"/>
  <c r="AN774" i="19"/>
  <c r="AH774" i="19"/>
  <c r="AB774" i="19"/>
  <c r="R774" i="19"/>
  <c r="L774" i="19"/>
  <c r="CC773" i="19"/>
  <c r="CB773" i="19"/>
  <c r="CA773" i="19"/>
  <c r="BZ773" i="19"/>
  <c r="BL773" i="19"/>
  <c r="BF773" i="19"/>
  <c r="AZ773" i="19"/>
  <c r="AT773" i="19"/>
  <c r="AN773" i="19"/>
  <c r="AH773" i="19"/>
  <c r="AB773" i="19"/>
  <c r="R773" i="19"/>
  <c r="L773" i="19"/>
  <c r="CC772" i="19"/>
  <c r="CB772" i="19"/>
  <c r="CA772" i="19"/>
  <c r="BZ772" i="19"/>
  <c r="BL772" i="19"/>
  <c r="BF772" i="19"/>
  <c r="AZ772" i="19"/>
  <c r="AT772" i="19"/>
  <c r="AN772" i="19"/>
  <c r="AH772" i="19"/>
  <c r="AB772" i="19"/>
  <c r="R772" i="19"/>
  <c r="L772" i="19"/>
  <c r="CC771" i="19"/>
  <c r="CB771" i="19"/>
  <c r="CA771" i="19"/>
  <c r="BZ771" i="19"/>
  <c r="BL771" i="19"/>
  <c r="BF771" i="19"/>
  <c r="AZ771" i="19"/>
  <c r="AT771" i="19"/>
  <c r="AN771" i="19"/>
  <c r="AH771" i="19"/>
  <c r="AB771" i="19"/>
  <c r="R771" i="19"/>
  <c r="L771" i="19"/>
  <c r="CC770" i="19"/>
  <c r="CB770" i="19"/>
  <c r="CA770" i="19"/>
  <c r="BZ770" i="19"/>
  <c r="BL770" i="19"/>
  <c r="BF770" i="19"/>
  <c r="AZ770" i="19"/>
  <c r="AT770" i="19"/>
  <c r="AN770" i="19"/>
  <c r="AH770" i="19"/>
  <c r="AB770" i="19"/>
  <c r="R770" i="19"/>
  <c r="L770" i="19"/>
  <c r="CC769" i="19"/>
  <c r="CB769" i="19"/>
  <c r="CA769" i="19"/>
  <c r="BZ769" i="19"/>
  <c r="BL769" i="19"/>
  <c r="BF769" i="19"/>
  <c r="AZ769" i="19"/>
  <c r="AT769" i="19"/>
  <c r="AN769" i="19"/>
  <c r="AH769" i="19"/>
  <c r="AB769" i="19"/>
  <c r="R769" i="19"/>
  <c r="L769" i="19"/>
  <c r="CC768" i="19"/>
  <c r="CB768" i="19"/>
  <c r="CA768" i="19"/>
  <c r="BZ768" i="19"/>
  <c r="BL768" i="19"/>
  <c r="BF768" i="19"/>
  <c r="AZ768" i="19"/>
  <c r="AT768" i="19"/>
  <c r="AN768" i="19"/>
  <c r="AH768" i="19"/>
  <c r="AB768" i="19"/>
  <c r="R768" i="19"/>
  <c r="L768" i="19"/>
  <c r="CC767" i="19"/>
  <c r="CB767" i="19"/>
  <c r="CA767" i="19"/>
  <c r="BZ767" i="19"/>
  <c r="BL767" i="19"/>
  <c r="BF767" i="19"/>
  <c r="AZ767" i="19"/>
  <c r="AT767" i="19"/>
  <c r="AN767" i="19"/>
  <c r="AH767" i="19"/>
  <c r="AB767" i="19"/>
  <c r="R767" i="19"/>
  <c r="L767" i="19"/>
  <c r="CC766" i="19"/>
  <c r="CB766" i="19"/>
  <c r="CA766" i="19"/>
  <c r="BZ766" i="19"/>
  <c r="BL766" i="19"/>
  <c r="BF766" i="19"/>
  <c r="AZ766" i="19"/>
  <c r="AT766" i="19"/>
  <c r="AN766" i="19"/>
  <c r="AH766" i="19"/>
  <c r="AB766" i="19"/>
  <c r="R766" i="19"/>
  <c r="L766" i="19"/>
  <c r="CC765" i="19"/>
  <c r="CB765" i="19"/>
  <c r="CA765" i="19"/>
  <c r="BZ765" i="19"/>
  <c r="BL765" i="19"/>
  <c r="BF765" i="19"/>
  <c r="AZ765" i="19"/>
  <c r="AT765" i="19"/>
  <c r="AN765" i="19"/>
  <c r="AH765" i="19"/>
  <c r="AB765" i="19"/>
  <c r="R765" i="19"/>
  <c r="L765" i="19"/>
  <c r="CC764" i="19"/>
  <c r="CB764" i="19"/>
  <c r="CA764" i="19"/>
  <c r="BZ764" i="19"/>
  <c r="BL764" i="19"/>
  <c r="BF764" i="19"/>
  <c r="AZ764" i="19"/>
  <c r="AT764" i="19"/>
  <c r="AN764" i="19"/>
  <c r="AH764" i="19"/>
  <c r="AB764" i="19"/>
  <c r="R764" i="19"/>
  <c r="L764" i="19"/>
  <c r="CC763" i="19"/>
  <c r="CB763" i="19"/>
  <c r="CA763" i="19"/>
  <c r="BZ763" i="19"/>
  <c r="BL763" i="19"/>
  <c r="BF763" i="19"/>
  <c r="AZ763" i="19"/>
  <c r="AT763" i="19"/>
  <c r="AN763" i="19"/>
  <c r="AH763" i="19"/>
  <c r="AB763" i="19"/>
  <c r="R763" i="19"/>
  <c r="L763" i="19"/>
  <c r="CC762" i="19"/>
  <c r="CB762" i="19"/>
  <c r="CA762" i="19"/>
  <c r="BZ762" i="19"/>
  <c r="BL762" i="19"/>
  <c r="BF762" i="19"/>
  <c r="AZ762" i="19"/>
  <c r="AT762" i="19"/>
  <c r="AN762" i="19"/>
  <c r="AH762" i="19"/>
  <c r="AB762" i="19"/>
  <c r="R762" i="19"/>
  <c r="L762" i="19"/>
  <c r="CC761" i="19"/>
  <c r="CB761" i="19"/>
  <c r="CA761" i="19"/>
  <c r="BZ761" i="19"/>
  <c r="BL761" i="19"/>
  <c r="BF761" i="19"/>
  <c r="AZ761" i="19"/>
  <c r="AT761" i="19"/>
  <c r="AN761" i="19"/>
  <c r="AH761" i="19"/>
  <c r="AB761" i="19"/>
  <c r="R761" i="19"/>
  <c r="L761" i="19"/>
  <c r="CC760" i="19"/>
  <c r="CB760" i="19"/>
  <c r="CA760" i="19"/>
  <c r="BZ760" i="19"/>
  <c r="BL760" i="19"/>
  <c r="BF760" i="19"/>
  <c r="AZ760" i="19"/>
  <c r="AT760" i="19"/>
  <c r="AN760" i="19"/>
  <c r="AH760" i="19"/>
  <c r="AB760" i="19"/>
  <c r="R760" i="19"/>
  <c r="L760" i="19"/>
  <c r="CC759" i="19"/>
  <c r="CB759" i="19"/>
  <c r="CA759" i="19"/>
  <c r="BZ759" i="19"/>
  <c r="BL759" i="19"/>
  <c r="BF759" i="19"/>
  <c r="AZ759" i="19"/>
  <c r="AT759" i="19"/>
  <c r="AN759" i="19"/>
  <c r="AH759" i="19"/>
  <c r="AB759" i="19"/>
  <c r="R759" i="19"/>
  <c r="L759" i="19"/>
  <c r="CC758" i="19"/>
  <c r="CB758" i="19"/>
  <c r="CA758" i="19"/>
  <c r="BZ758" i="19"/>
  <c r="BL758" i="19"/>
  <c r="BF758" i="19"/>
  <c r="AZ758" i="19"/>
  <c r="AT758" i="19"/>
  <c r="AN758" i="19"/>
  <c r="AH758" i="19"/>
  <c r="AB758" i="19"/>
  <c r="R758" i="19"/>
  <c r="L758" i="19"/>
  <c r="CC757" i="19"/>
  <c r="CB757" i="19"/>
  <c r="CA757" i="19"/>
  <c r="BZ757" i="19"/>
  <c r="BL757" i="19"/>
  <c r="BF757" i="19"/>
  <c r="AZ757" i="19"/>
  <c r="AT757" i="19"/>
  <c r="AN757" i="19"/>
  <c r="AH757" i="19"/>
  <c r="AB757" i="19"/>
  <c r="R757" i="19"/>
  <c r="L757" i="19"/>
  <c r="CC756" i="19"/>
  <c r="CB756" i="19"/>
  <c r="CA756" i="19"/>
  <c r="BZ756" i="19"/>
  <c r="BL756" i="19"/>
  <c r="BF756" i="19"/>
  <c r="AZ756" i="19"/>
  <c r="AT756" i="19"/>
  <c r="AN756" i="19"/>
  <c r="AH756" i="19"/>
  <c r="AB756" i="19"/>
  <c r="R756" i="19"/>
  <c r="L756" i="19"/>
  <c r="CC755" i="19"/>
  <c r="CB755" i="19"/>
  <c r="CA755" i="19"/>
  <c r="BZ755" i="19"/>
  <c r="BL755" i="19"/>
  <c r="BF755" i="19"/>
  <c r="AZ755" i="19"/>
  <c r="AT755" i="19"/>
  <c r="AN755" i="19"/>
  <c r="AH755" i="19"/>
  <c r="AB755" i="19"/>
  <c r="R755" i="19"/>
  <c r="L755" i="19"/>
  <c r="CC754" i="19"/>
  <c r="CB754" i="19"/>
  <c r="CA754" i="19"/>
  <c r="BZ754" i="19"/>
  <c r="BL754" i="19"/>
  <c r="BF754" i="19"/>
  <c r="AZ754" i="19"/>
  <c r="AT754" i="19"/>
  <c r="AN754" i="19"/>
  <c r="AH754" i="19"/>
  <c r="AB754" i="19"/>
  <c r="R754" i="19"/>
  <c r="L754" i="19"/>
  <c r="CC750" i="19"/>
  <c r="CB750" i="19"/>
  <c r="CA750" i="19"/>
  <c r="BZ750" i="19"/>
  <c r="BL750" i="19"/>
  <c r="BF750" i="19"/>
  <c r="AZ750" i="19"/>
  <c r="AT750" i="19"/>
  <c r="AN750" i="19"/>
  <c r="AH750" i="19"/>
  <c r="AB750" i="19"/>
  <c r="R750" i="19"/>
  <c r="L750" i="19"/>
  <c r="CC749" i="19"/>
  <c r="CB749" i="19"/>
  <c r="CA749" i="19"/>
  <c r="BZ749" i="19"/>
  <c r="BL749" i="19"/>
  <c r="BF749" i="19"/>
  <c r="AZ749" i="19"/>
  <c r="AT749" i="19"/>
  <c r="AN749" i="19"/>
  <c r="AH749" i="19"/>
  <c r="AB749" i="19"/>
  <c r="R749" i="19"/>
  <c r="L749" i="19"/>
  <c r="CC748" i="19"/>
  <c r="CB748" i="19"/>
  <c r="CA748" i="19"/>
  <c r="BZ748" i="19"/>
  <c r="BL748" i="19"/>
  <c r="BF748" i="19"/>
  <c r="AZ748" i="19"/>
  <c r="AT748" i="19"/>
  <c r="AN748" i="19"/>
  <c r="AH748" i="19"/>
  <c r="AB748" i="19"/>
  <c r="R748" i="19"/>
  <c r="L748" i="19"/>
  <c r="CC747" i="19"/>
  <c r="CB747" i="19"/>
  <c r="CA747" i="19"/>
  <c r="BZ747" i="19"/>
  <c r="BL747" i="19"/>
  <c r="BF747" i="19"/>
  <c r="AZ747" i="19"/>
  <c r="AT747" i="19"/>
  <c r="AN747" i="19"/>
  <c r="AH747" i="19"/>
  <c r="AB747" i="19"/>
  <c r="R747" i="19"/>
  <c r="L747" i="19"/>
  <c r="CC746" i="19"/>
  <c r="CB746" i="19"/>
  <c r="CA746" i="19"/>
  <c r="BZ746" i="19"/>
  <c r="BL746" i="19"/>
  <c r="BF746" i="19"/>
  <c r="AZ746" i="19"/>
  <c r="AT746" i="19"/>
  <c r="AN746" i="19"/>
  <c r="AH746" i="19"/>
  <c r="AB746" i="19"/>
  <c r="R746" i="19"/>
  <c r="L746" i="19"/>
  <c r="CC745" i="19"/>
  <c r="CB745" i="19"/>
  <c r="CA745" i="19"/>
  <c r="BZ745" i="19"/>
  <c r="BL745" i="19"/>
  <c r="BF745" i="19"/>
  <c r="AZ745" i="19"/>
  <c r="AT745" i="19"/>
  <c r="AN745" i="19"/>
  <c r="AH745" i="19"/>
  <c r="AB745" i="19"/>
  <c r="R745" i="19"/>
  <c r="L745" i="19"/>
  <c r="CC744" i="19"/>
  <c r="CB744" i="19"/>
  <c r="CA744" i="19"/>
  <c r="BZ744" i="19"/>
  <c r="BL744" i="19"/>
  <c r="BF744" i="19"/>
  <c r="AZ744" i="19"/>
  <c r="AT744" i="19"/>
  <c r="AN744" i="19"/>
  <c r="AH744" i="19"/>
  <c r="AB744" i="19"/>
  <c r="R744" i="19"/>
  <c r="L744" i="19"/>
  <c r="CC743" i="19"/>
  <c r="CB743" i="19"/>
  <c r="CA743" i="19"/>
  <c r="BZ743" i="19"/>
  <c r="BL743" i="19"/>
  <c r="BF743" i="19"/>
  <c r="AZ743" i="19"/>
  <c r="AT743" i="19"/>
  <c r="AN743" i="19"/>
  <c r="AH743" i="19"/>
  <c r="AB743" i="19"/>
  <c r="R743" i="19"/>
  <c r="L743" i="19"/>
  <c r="CC742" i="19"/>
  <c r="CB742" i="19"/>
  <c r="CA742" i="19"/>
  <c r="BZ742" i="19"/>
  <c r="BL742" i="19"/>
  <c r="BF742" i="19"/>
  <c r="AZ742" i="19"/>
  <c r="AT742" i="19"/>
  <c r="AN742" i="19"/>
  <c r="AH742" i="19"/>
  <c r="AB742" i="19"/>
  <c r="R742" i="19"/>
  <c r="L742" i="19"/>
  <c r="CC741" i="19"/>
  <c r="CB741" i="19"/>
  <c r="CA741" i="19"/>
  <c r="BZ741" i="19"/>
  <c r="BL741" i="19"/>
  <c r="BF741" i="19"/>
  <c r="AZ741" i="19"/>
  <c r="AT741" i="19"/>
  <c r="AN741" i="19"/>
  <c r="AH741" i="19"/>
  <c r="AB741" i="19"/>
  <c r="R741" i="19"/>
  <c r="L741" i="19"/>
  <c r="CC740" i="19"/>
  <c r="CB740" i="19"/>
  <c r="CA740" i="19"/>
  <c r="BZ740" i="19"/>
  <c r="BL740" i="19"/>
  <c r="BF740" i="19"/>
  <c r="AZ740" i="19"/>
  <c r="AT740" i="19"/>
  <c r="AN740" i="19"/>
  <c r="AH740" i="19"/>
  <c r="AB740" i="19"/>
  <c r="R740" i="19"/>
  <c r="L740" i="19"/>
  <c r="CC739" i="19"/>
  <c r="CB739" i="19"/>
  <c r="CA739" i="19"/>
  <c r="BZ739" i="19"/>
  <c r="BL739" i="19"/>
  <c r="BF739" i="19"/>
  <c r="AZ739" i="19"/>
  <c r="AT739" i="19"/>
  <c r="AN739" i="19"/>
  <c r="AH739" i="19"/>
  <c r="AB739" i="19"/>
  <c r="R739" i="19"/>
  <c r="L739" i="19"/>
  <c r="CC738" i="19"/>
  <c r="CB738" i="19"/>
  <c r="CA738" i="19"/>
  <c r="BZ738" i="19"/>
  <c r="BL738" i="19"/>
  <c r="BF738" i="19"/>
  <c r="AZ738" i="19"/>
  <c r="AT738" i="19"/>
  <c r="AN738" i="19"/>
  <c r="AH738" i="19"/>
  <c r="AB738" i="19"/>
  <c r="R738" i="19"/>
  <c r="L738" i="19"/>
  <c r="CC737" i="19"/>
  <c r="CB737" i="19"/>
  <c r="CA737" i="19"/>
  <c r="BZ737" i="19"/>
  <c r="BL737" i="19"/>
  <c r="BF737" i="19"/>
  <c r="AZ737" i="19"/>
  <c r="AT737" i="19"/>
  <c r="AN737" i="19"/>
  <c r="AH737" i="19"/>
  <c r="AB737" i="19"/>
  <c r="R737" i="19"/>
  <c r="L737" i="19"/>
  <c r="CC736" i="19"/>
  <c r="CB736" i="19"/>
  <c r="CA736" i="19"/>
  <c r="BZ736" i="19"/>
  <c r="BL736" i="19"/>
  <c r="BF736" i="19"/>
  <c r="AZ736" i="19"/>
  <c r="AT736" i="19"/>
  <c r="AN736" i="19"/>
  <c r="AH736" i="19"/>
  <c r="AB736" i="19"/>
  <c r="R736" i="19"/>
  <c r="L736" i="19"/>
  <c r="CC735" i="19"/>
  <c r="CB735" i="19"/>
  <c r="CA735" i="19"/>
  <c r="BZ735" i="19"/>
  <c r="BL735" i="19"/>
  <c r="BF735" i="19"/>
  <c r="AZ735" i="19"/>
  <c r="AT735" i="19"/>
  <c r="AN735" i="19"/>
  <c r="AH735" i="19"/>
  <c r="AB735" i="19"/>
  <c r="R735" i="19"/>
  <c r="L735" i="19"/>
  <c r="CC734" i="19"/>
  <c r="CB734" i="19"/>
  <c r="CA734" i="19"/>
  <c r="BZ734" i="19"/>
  <c r="BL734" i="19"/>
  <c r="BF734" i="19"/>
  <c r="AZ734" i="19"/>
  <c r="AT734" i="19"/>
  <c r="AN734" i="19"/>
  <c r="AH734" i="19"/>
  <c r="AB734" i="19"/>
  <c r="R734" i="19"/>
  <c r="L734" i="19"/>
  <c r="CC733" i="19"/>
  <c r="CB733" i="19"/>
  <c r="CA733" i="19"/>
  <c r="BZ733" i="19"/>
  <c r="BL733" i="19"/>
  <c r="BF733" i="19"/>
  <c r="AZ733" i="19"/>
  <c r="AT733" i="19"/>
  <c r="AN733" i="19"/>
  <c r="AH733" i="19"/>
  <c r="AB733" i="19"/>
  <c r="R733" i="19"/>
  <c r="L733" i="19"/>
  <c r="CC732" i="19"/>
  <c r="CB732" i="19"/>
  <c r="CA732" i="19"/>
  <c r="BZ732" i="19"/>
  <c r="BL732" i="19"/>
  <c r="BF732" i="19"/>
  <c r="AZ732" i="19"/>
  <c r="AT732" i="19"/>
  <c r="AN732" i="19"/>
  <c r="AH732" i="19"/>
  <c r="AB732" i="19"/>
  <c r="R732" i="19"/>
  <c r="L732" i="19"/>
  <c r="CC731" i="19"/>
  <c r="CB731" i="19"/>
  <c r="CA731" i="19"/>
  <c r="BZ731" i="19"/>
  <c r="BL731" i="19"/>
  <c r="BF731" i="19"/>
  <c r="AZ731" i="19"/>
  <c r="AT731" i="19"/>
  <c r="AN731" i="19"/>
  <c r="AH731" i="19"/>
  <c r="AB731" i="19"/>
  <c r="R731" i="19"/>
  <c r="L731" i="19"/>
  <c r="CC730" i="19"/>
  <c r="CB730" i="19"/>
  <c r="CA730" i="19"/>
  <c r="BZ730" i="19"/>
  <c r="BL730" i="19"/>
  <c r="BF730" i="19"/>
  <c r="AZ730" i="19"/>
  <c r="AT730" i="19"/>
  <c r="AN730" i="19"/>
  <c r="AH730" i="19"/>
  <c r="AB730" i="19"/>
  <c r="R730" i="19"/>
  <c r="L730" i="19"/>
  <c r="CC729" i="19"/>
  <c r="CB729" i="19"/>
  <c r="CA729" i="19"/>
  <c r="BZ729" i="19"/>
  <c r="BL729" i="19"/>
  <c r="BF729" i="19"/>
  <c r="AZ729" i="19"/>
  <c r="AT729" i="19"/>
  <c r="AN729" i="19"/>
  <c r="AH729" i="19"/>
  <c r="AB729" i="19"/>
  <c r="R729" i="19"/>
  <c r="L729" i="19"/>
  <c r="CC728" i="19"/>
  <c r="CB728" i="19"/>
  <c r="CA728" i="19"/>
  <c r="BZ728" i="19"/>
  <c r="BL728" i="19"/>
  <c r="BF728" i="19"/>
  <c r="AZ728" i="19"/>
  <c r="AT728" i="19"/>
  <c r="AN728" i="19"/>
  <c r="AH728" i="19"/>
  <c r="AB728" i="19"/>
  <c r="R728" i="19"/>
  <c r="L728" i="19"/>
  <c r="CC727" i="19"/>
  <c r="CB727" i="19"/>
  <c r="CA727" i="19"/>
  <c r="BZ727" i="19"/>
  <c r="BL727" i="19"/>
  <c r="BF727" i="19"/>
  <c r="AZ727" i="19"/>
  <c r="AT727" i="19"/>
  <c r="AN727" i="19"/>
  <c r="AH727" i="19"/>
  <c r="AB727" i="19"/>
  <c r="R727" i="19"/>
  <c r="L727" i="19"/>
  <c r="CC716" i="19"/>
  <c r="CB716" i="19"/>
  <c r="CA716" i="19"/>
  <c r="BZ716" i="19"/>
  <c r="BL716" i="19"/>
  <c r="BF716" i="19"/>
  <c r="AZ716" i="19"/>
  <c r="AT716" i="19"/>
  <c r="AN716" i="19"/>
  <c r="AH716" i="19"/>
  <c r="AB716" i="19"/>
  <c r="R716" i="19"/>
  <c r="L716" i="19"/>
  <c r="CC715" i="19"/>
  <c r="CB715" i="19"/>
  <c r="CA715" i="19"/>
  <c r="BZ715" i="19"/>
  <c r="BL715" i="19"/>
  <c r="BF715" i="19"/>
  <c r="AZ715" i="19"/>
  <c r="AT715" i="19"/>
  <c r="AN715" i="19"/>
  <c r="AH715" i="19"/>
  <c r="AB715" i="19"/>
  <c r="R715" i="19"/>
  <c r="L715" i="19"/>
  <c r="CC714" i="19"/>
  <c r="CB714" i="19"/>
  <c r="CA714" i="19"/>
  <c r="BZ714" i="19"/>
  <c r="BL714" i="19"/>
  <c r="BF714" i="19"/>
  <c r="AZ714" i="19"/>
  <c r="AT714" i="19"/>
  <c r="AN714" i="19"/>
  <c r="AH714" i="19"/>
  <c r="AB714" i="19"/>
  <c r="R714" i="19"/>
  <c r="L714" i="19"/>
  <c r="CC713" i="19"/>
  <c r="CB713" i="19"/>
  <c r="CA713" i="19"/>
  <c r="BZ713" i="19"/>
  <c r="BL713" i="19"/>
  <c r="BF713" i="19"/>
  <c r="AZ713" i="19"/>
  <c r="AT713" i="19"/>
  <c r="AN713" i="19"/>
  <c r="AH713" i="19"/>
  <c r="AB713" i="19"/>
  <c r="R713" i="19"/>
  <c r="L713" i="19"/>
  <c r="CC712" i="19"/>
  <c r="CB712" i="19"/>
  <c r="CA712" i="19"/>
  <c r="BZ712" i="19"/>
  <c r="BL712" i="19"/>
  <c r="BF712" i="19"/>
  <c r="AZ712" i="19"/>
  <c r="AT712" i="19"/>
  <c r="AN712" i="19"/>
  <c r="AH712" i="19"/>
  <c r="AB712" i="19"/>
  <c r="R712" i="19"/>
  <c r="L712" i="19"/>
  <c r="CC707" i="19"/>
  <c r="CB707" i="19"/>
  <c r="CA707" i="19"/>
  <c r="BZ707" i="19"/>
  <c r="BL707" i="19"/>
  <c r="BF707" i="19"/>
  <c r="AZ707" i="19"/>
  <c r="AT707" i="19"/>
  <c r="AN707" i="19"/>
  <c r="AH707" i="19"/>
  <c r="AB707" i="19"/>
  <c r="R707" i="19"/>
  <c r="L707" i="19"/>
  <c r="CC706" i="19"/>
  <c r="CB706" i="19"/>
  <c r="CA706" i="19"/>
  <c r="BZ706" i="19"/>
  <c r="BL706" i="19"/>
  <c r="BF706" i="19"/>
  <c r="AZ706" i="19"/>
  <c r="AT706" i="19"/>
  <c r="AN706" i="19"/>
  <c r="AH706" i="19"/>
  <c r="AB706" i="19"/>
  <c r="R706" i="19"/>
  <c r="L706" i="19"/>
  <c r="CC705" i="19"/>
  <c r="CB705" i="19"/>
  <c r="CA705" i="19"/>
  <c r="BZ705" i="19"/>
  <c r="BL705" i="19"/>
  <c r="BF705" i="19"/>
  <c r="AZ705" i="19"/>
  <c r="AT705" i="19"/>
  <c r="AN705" i="19"/>
  <c r="AH705" i="19"/>
  <c r="AB705" i="19"/>
  <c r="R705" i="19"/>
  <c r="L705" i="19"/>
  <c r="CC704" i="19"/>
  <c r="CB704" i="19"/>
  <c r="CA704" i="19"/>
  <c r="BZ704" i="19"/>
  <c r="BL704" i="19"/>
  <c r="BF704" i="19"/>
  <c r="AZ704" i="19"/>
  <c r="AT704" i="19"/>
  <c r="AN704" i="19"/>
  <c r="AH704" i="19"/>
  <c r="AB704" i="19"/>
  <c r="R704" i="19"/>
  <c r="L704" i="19"/>
  <c r="CC693" i="19"/>
  <c r="CB693" i="19"/>
  <c r="CA693" i="19"/>
  <c r="BZ693" i="19"/>
  <c r="BL693" i="19"/>
  <c r="BF693" i="19"/>
  <c r="AZ693" i="19"/>
  <c r="AT693" i="19"/>
  <c r="AN693" i="19"/>
  <c r="AH693" i="19"/>
  <c r="AB693" i="19"/>
  <c r="R693" i="19"/>
  <c r="L693" i="19"/>
  <c r="CC692" i="19"/>
  <c r="CB692" i="19"/>
  <c r="CA692" i="19"/>
  <c r="BZ692" i="19"/>
  <c r="BL692" i="19"/>
  <c r="BF692" i="19"/>
  <c r="AZ692" i="19"/>
  <c r="AT692" i="19"/>
  <c r="AN692" i="19"/>
  <c r="AH692" i="19"/>
  <c r="AB692" i="19"/>
  <c r="R692" i="19"/>
  <c r="L692" i="19"/>
  <c r="CC691" i="19"/>
  <c r="CB691" i="19"/>
  <c r="CA691" i="19"/>
  <c r="BZ691" i="19"/>
  <c r="BL691" i="19"/>
  <c r="BF691" i="19"/>
  <c r="AZ691" i="19"/>
  <c r="AT691" i="19"/>
  <c r="AN691" i="19"/>
  <c r="AH691" i="19"/>
  <c r="AB691" i="19"/>
  <c r="R691" i="19"/>
  <c r="L691" i="19"/>
  <c r="CC690" i="19"/>
  <c r="CB690" i="19"/>
  <c r="CA690" i="19"/>
  <c r="BZ690" i="19"/>
  <c r="BL690" i="19"/>
  <c r="BF690" i="19"/>
  <c r="AZ690" i="19"/>
  <c r="AT690" i="19"/>
  <c r="AN690" i="19"/>
  <c r="AH690" i="19"/>
  <c r="AB690" i="19"/>
  <c r="R690" i="19"/>
  <c r="L690" i="19"/>
  <c r="CC689" i="19"/>
  <c r="CB689" i="19"/>
  <c r="CA689" i="19"/>
  <c r="BZ689" i="19"/>
  <c r="BL689" i="19"/>
  <c r="BF689" i="19"/>
  <c r="AZ689" i="19"/>
  <c r="AT689" i="19"/>
  <c r="AN689" i="19"/>
  <c r="AH689" i="19"/>
  <c r="AB689" i="19"/>
  <c r="R689" i="19"/>
  <c r="L689" i="19"/>
  <c r="CC687" i="19"/>
  <c r="CB687" i="19"/>
  <c r="CA687" i="19"/>
  <c r="BZ687" i="19"/>
  <c r="BL687" i="19"/>
  <c r="BF687" i="19"/>
  <c r="AZ687" i="19"/>
  <c r="AT687" i="19"/>
  <c r="AN687" i="19"/>
  <c r="AH687" i="19"/>
  <c r="AB687" i="19"/>
  <c r="R687" i="19"/>
  <c r="L687" i="19"/>
  <c r="CC686" i="19"/>
  <c r="CB686" i="19"/>
  <c r="CA686" i="19"/>
  <c r="BZ686" i="19"/>
  <c r="BL686" i="19"/>
  <c r="BF686" i="19"/>
  <c r="AZ686" i="19"/>
  <c r="AT686" i="19"/>
  <c r="AN686" i="19"/>
  <c r="AH686" i="19"/>
  <c r="AB686" i="19"/>
  <c r="R686" i="19"/>
  <c r="L686" i="19"/>
  <c r="CC685" i="19"/>
  <c r="CB685" i="19"/>
  <c r="CA685" i="19"/>
  <c r="BZ685" i="19"/>
  <c r="BL685" i="19"/>
  <c r="BF685" i="19"/>
  <c r="AZ685" i="19"/>
  <c r="AT685" i="19"/>
  <c r="AN685" i="19"/>
  <c r="AH685" i="19"/>
  <c r="AB685" i="19"/>
  <c r="R685" i="19"/>
  <c r="L685" i="19"/>
  <c r="CC684" i="19"/>
  <c r="CB684" i="19"/>
  <c r="CA684" i="19"/>
  <c r="BZ684" i="19"/>
  <c r="BL684" i="19"/>
  <c r="BF684" i="19"/>
  <c r="AZ684" i="19"/>
  <c r="AT684" i="19"/>
  <c r="AN684" i="19"/>
  <c r="AH684" i="19"/>
  <c r="AB684" i="19"/>
  <c r="R684" i="19"/>
  <c r="L684" i="19"/>
  <c r="CC683" i="19"/>
  <c r="CB683" i="19"/>
  <c r="CA683" i="19"/>
  <c r="BZ683" i="19"/>
  <c r="BL683" i="19"/>
  <c r="BF683" i="19"/>
  <c r="AZ683" i="19"/>
  <c r="AT683" i="19"/>
  <c r="AN683" i="19"/>
  <c r="AH683" i="19"/>
  <c r="AB683" i="19"/>
  <c r="R683" i="19"/>
  <c r="L683" i="19"/>
  <c r="CC682" i="19"/>
  <c r="CB682" i="19"/>
  <c r="CA682" i="19"/>
  <c r="BZ682" i="19"/>
  <c r="BL682" i="19"/>
  <c r="BF682" i="19"/>
  <c r="AZ682" i="19"/>
  <c r="AT682" i="19"/>
  <c r="AN682" i="19"/>
  <c r="AH682" i="19"/>
  <c r="AB682" i="19"/>
  <c r="R682" i="19"/>
  <c r="L682" i="19"/>
  <c r="CC681" i="19"/>
  <c r="CB681" i="19"/>
  <c r="CA681" i="19"/>
  <c r="BZ681" i="19"/>
  <c r="BL681" i="19"/>
  <c r="BF681" i="19"/>
  <c r="AZ681" i="19"/>
  <c r="AT681" i="19"/>
  <c r="AN681" i="19"/>
  <c r="AH681" i="19"/>
  <c r="AB681" i="19"/>
  <c r="R681" i="19"/>
  <c r="L681" i="19"/>
  <c r="CC680" i="19"/>
  <c r="CB680" i="19"/>
  <c r="CA680" i="19"/>
  <c r="BZ680" i="19"/>
  <c r="BL680" i="19"/>
  <c r="BF680" i="19"/>
  <c r="AZ680" i="19"/>
  <c r="AT680" i="19"/>
  <c r="AN680" i="19"/>
  <c r="AH680" i="19"/>
  <c r="AB680" i="19"/>
  <c r="R680" i="19"/>
  <c r="L680" i="19"/>
  <c r="CC679" i="19"/>
  <c r="CB679" i="19"/>
  <c r="CA679" i="19"/>
  <c r="BZ679" i="19"/>
  <c r="BL679" i="19"/>
  <c r="BF679" i="19"/>
  <c r="AZ679" i="19"/>
  <c r="AT679" i="19"/>
  <c r="AN679" i="19"/>
  <c r="AH679" i="19"/>
  <c r="AB679" i="19"/>
  <c r="R679" i="19"/>
  <c r="L679" i="19"/>
  <c r="CC678" i="19"/>
  <c r="CB678" i="19"/>
  <c r="CA678" i="19"/>
  <c r="BZ678" i="19"/>
  <c r="BL678" i="19"/>
  <c r="BF678" i="19"/>
  <c r="AZ678" i="19"/>
  <c r="AT678" i="19"/>
  <c r="AN678" i="19"/>
  <c r="AH678" i="19"/>
  <c r="AB678" i="19"/>
  <c r="R678" i="19"/>
  <c r="L678" i="19"/>
  <c r="CC677" i="19"/>
  <c r="CB677" i="19"/>
  <c r="CA677" i="19"/>
  <c r="BZ677" i="19"/>
  <c r="BL677" i="19"/>
  <c r="BF677" i="19"/>
  <c r="AZ677" i="19"/>
  <c r="AT677" i="19"/>
  <c r="AN677" i="19"/>
  <c r="AH677" i="19"/>
  <c r="AB677" i="19"/>
  <c r="R677" i="19"/>
  <c r="L677" i="19"/>
  <c r="CC676" i="19"/>
  <c r="CB676" i="19"/>
  <c r="CA676" i="19"/>
  <c r="BZ676" i="19"/>
  <c r="BL676" i="19"/>
  <c r="BF676" i="19"/>
  <c r="AZ676" i="19"/>
  <c r="AT676" i="19"/>
  <c r="AN676" i="19"/>
  <c r="AH676" i="19"/>
  <c r="AB676" i="19"/>
  <c r="R676" i="19"/>
  <c r="L676" i="19"/>
  <c r="CC675" i="19"/>
  <c r="CB675" i="19"/>
  <c r="CA675" i="19"/>
  <c r="BZ675" i="19"/>
  <c r="BL675" i="19"/>
  <c r="BF675" i="19"/>
  <c r="AZ675" i="19"/>
  <c r="AT675" i="19"/>
  <c r="AN675" i="19"/>
  <c r="AH675" i="19"/>
  <c r="AB675" i="19"/>
  <c r="R675" i="19"/>
  <c r="L675" i="19"/>
  <c r="CC674" i="19"/>
  <c r="CB674" i="19"/>
  <c r="CA674" i="19"/>
  <c r="BZ674" i="19"/>
  <c r="BL674" i="19"/>
  <c r="BF674" i="19"/>
  <c r="AZ674" i="19"/>
  <c r="AT674" i="19"/>
  <c r="AN674" i="19"/>
  <c r="AH674" i="19"/>
  <c r="AB674" i="19"/>
  <c r="R674" i="19"/>
  <c r="L674" i="19"/>
  <c r="CC673" i="19"/>
  <c r="CB673" i="19"/>
  <c r="CA673" i="19"/>
  <c r="BZ673" i="19"/>
  <c r="BL673" i="19"/>
  <c r="BF673" i="19"/>
  <c r="AZ673" i="19"/>
  <c r="AT673" i="19"/>
  <c r="AN673" i="19"/>
  <c r="AH673" i="19"/>
  <c r="AB673" i="19"/>
  <c r="R673" i="19"/>
  <c r="L673" i="19"/>
  <c r="CC670" i="19"/>
  <c r="CB670" i="19"/>
  <c r="CA670" i="19"/>
  <c r="BZ670" i="19"/>
  <c r="BL670" i="19"/>
  <c r="BF670" i="19"/>
  <c r="AZ670" i="19"/>
  <c r="AT670" i="19"/>
  <c r="AN670" i="19"/>
  <c r="AH670" i="19"/>
  <c r="AB670" i="19"/>
  <c r="R670" i="19"/>
  <c r="L670" i="19"/>
  <c r="CC669" i="19"/>
  <c r="CB669" i="19"/>
  <c r="CA669" i="19"/>
  <c r="BZ669" i="19"/>
  <c r="BL669" i="19"/>
  <c r="BF669" i="19"/>
  <c r="AZ669" i="19"/>
  <c r="AT669" i="19"/>
  <c r="AN669" i="19"/>
  <c r="AH669" i="19"/>
  <c r="AB669" i="19"/>
  <c r="R669" i="19"/>
  <c r="L669" i="19"/>
  <c r="CC668" i="19"/>
  <c r="CB668" i="19"/>
  <c r="CA668" i="19"/>
  <c r="BZ668" i="19"/>
  <c r="BL668" i="19"/>
  <c r="BF668" i="19"/>
  <c r="AZ668" i="19"/>
  <c r="AT668" i="19"/>
  <c r="AN668" i="19"/>
  <c r="AH668" i="19"/>
  <c r="AB668" i="19"/>
  <c r="R668" i="19"/>
  <c r="L668" i="19"/>
  <c r="CC667" i="19"/>
  <c r="CB667" i="19"/>
  <c r="CA667" i="19"/>
  <c r="BZ667" i="19"/>
  <c r="BL667" i="19"/>
  <c r="BF667" i="19"/>
  <c r="AZ667" i="19"/>
  <c r="AT667" i="19"/>
  <c r="AN667" i="19"/>
  <c r="AH667" i="19"/>
  <c r="AB667" i="19"/>
  <c r="R667" i="19"/>
  <c r="L667" i="19"/>
  <c r="CC666" i="19"/>
  <c r="CB666" i="19"/>
  <c r="CA666" i="19"/>
  <c r="BZ666" i="19"/>
  <c r="BL666" i="19"/>
  <c r="BF666" i="19"/>
  <c r="AZ666" i="19"/>
  <c r="AT666" i="19"/>
  <c r="AN666" i="19"/>
  <c r="AH666" i="19"/>
  <c r="AB666" i="19"/>
  <c r="R666" i="19"/>
  <c r="L666" i="19"/>
  <c r="CC665" i="19"/>
  <c r="CB665" i="19"/>
  <c r="CA665" i="19"/>
  <c r="BZ665" i="19"/>
  <c r="BL665" i="19"/>
  <c r="BF665" i="19"/>
  <c r="AZ665" i="19"/>
  <c r="AT665" i="19"/>
  <c r="AN665" i="19"/>
  <c r="AH665" i="19"/>
  <c r="AB665" i="19"/>
  <c r="R665" i="19"/>
  <c r="L665" i="19"/>
  <c r="CC664" i="19"/>
  <c r="CB664" i="19"/>
  <c r="CA664" i="19"/>
  <c r="BZ664" i="19"/>
  <c r="BL664" i="19"/>
  <c r="BF664" i="19"/>
  <c r="AZ664" i="19"/>
  <c r="AT664" i="19"/>
  <c r="AN664" i="19"/>
  <c r="AH664" i="19"/>
  <c r="AB664" i="19"/>
  <c r="R664" i="19"/>
  <c r="L664" i="19"/>
  <c r="CC663" i="19"/>
  <c r="CB663" i="19"/>
  <c r="CA663" i="19"/>
  <c r="BZ663" i="19"/>
  <c r="BL663" i="19"/>
  <c r="BF663" i="19"/>
  <c r="AZ663" i="19"/>
  <c r="AT663" i="19"/>
  <c r="AN663" i="19"/>
  <c r="AH663" i="19"/>
  <c r="AB663" i="19"/>
  <c r="R663" i="19"/>
  <c r="L663" i="19"/>
  <c r="CC660" i="19"/>
  <c r="CB660" i="19"/>
  <c r="BZ660" i="19"/>
  <c r="CC659" i="19"/>
  <c r="CB659" i="19"/>
  <c r="BZ659" i="19"/>
  <c r="BL659" i="19"/>
  <c r="BF659" i="19"/>
  <c r="AZ659" i="19"/>
  <c r="AT659" i="19"/>
  <c r="AN659" i="19"/>
  <c r="AH659" i="19"/>
  <c r="AB659" i="19"/>
  <c r="R659" i="19"/>
  <c r="CC658" i="19"/>
  <c r="CB658" i="19"/>
  <c r="CA658" i="19"/>
  <c r="BZ658" i="19"/>
  <c r="BL658" i="19"/>
  <c r="BF658" i="19"/>
  <c r="AZ658" i="19"/>
  <c r="AT658" i="19"/>
  <c r="AN658" i="19"/>
  <c r="AH658" i="19"/>
  <c r="AB658" i="19"/>
  <c r="R658" i="19"/>
  <c r="L658" i="19"/>
  <c r="CC657" i="19"/>
  <c r="CB657" i="19"/>
  <c r="CA657" i="19"/>
  <c r="BZ657" i="19"/>
  <c r="BL657" i="19"/>
  <c r="BF657" i="19"/>
  <c r="AZ657" i="19"/>
  <c r="AT657" i="19"/>
  <c r="AN657" i="19"/>
  <c r="AH657" i="19"/>
  <c r="AB657" i="19"/>
  <c r="R657" i="19"/>
  <c r="L657" i="19"/>
  <c r="CC656" i="19"/>
  <c r="CB656" i="19"/>
  <c r="CA656" i="19"/>
  <c r="BZ656" i="19"/>
  <c r="BL656" i="19"/>
  <c r="BF656" i="19"/>
  <c r="AZ656" i="19"/>
  <c r="AT656" i="19"/>
  <c r="AN656" i="19"/>
  <c r="AH656" i="19"/>
  <c r="AB656" i="19"/>
  <c r="R656" i="19"/>
  <c r="L656" i="19"/>
  <c r="CC655" i="19"/>
  <c r="CB655" i="19"/>
  <c r="CA655" i="19"/>
  <c r="BZ655" i="19"/>
  <c r="BL655" i="19"/>
  <c r="BF655" i="19"/>
  <c r="AZ655" i="19"/>
  <c r="AT655" i="19"/>
  <c r="AN655" i="19"/>
  <c r="AH655" i="19"/>
  <c r="AB655" i="19"/>
  <c r="R655" i="19"/>
  <c r="L655" i="19"/>
  <c r="CC654" i="19"/>
  <c r="CB654" i="19"/>
  <c r="CA654" i="19"/>
  <c r="BZ654" i="19"/>
  <c r="BL654" i="19"/>
  <c r="BF654" i="19"/>
  <c r="AZ654" i="19"/>
  <c r="AT654" i="19"/>
  <c r="AN654" i="19"/>
  <c r="AH654" i="19"/>
  <c r="AB654" i="19"/>
  <c r="R654" i="19"/>
  <c r="L654" i="19"/>
  <c r="CC653" i="19"/>
  <c r="CB653" i="19"/>
  <c r="CA653" i="19"/>
  <c r="BZ653" i="19"/>
  <c r="BL653" i="19"/>
  <c r="BF653" i="19"/>
  <c r="AZ653" i="19"/>
  <c r="AT653" i="19"/>
  <c r="AN653" i="19"/>
  <c r="AH653" i="19"/>
  <c r="AB653" i="19"/>
  <c r="R653" i="19"/>
  <c r="L653" i="19"/>
  <c r="CC652" i="19"/>
  <c r="CB652" i="19"/>
  <c r="CA652" i="19"/>
  <c r="BZ652" i="19"/>
  <c r="BL652" i="19"/>
  <c r="BF652" i="19"/>
  <c r="AZ652" i="19"/>
  <c r="AT652" i="19"/>
  <c r="AN652" i="19"/>
  <c r="AH652" i="19"/>
  <c r="AB652" i="19"/>
  <c r="R652" i="19"/>
  <c r="L652" i="19"/>
  <c r="CC651" i="19"/>
  <c r="CB651" i="19"/>
  <c r="CA651" i="19"/>
  <c r="BZ651" i="19"/>
  <c r="BL651" i="19"/>
  <c r="BF651" i="19"/>
  <c r="AZ651" i="19"/>
  <c r="AT651" i="19"/>
  <c r="AN651" i="19"/>
  <c r="AH651" i="19"/>
  <c r="AB651" i="19"/>
  <c r="R651" i="19"/>
  <c r="L651" i="19"/>
  <c r="CC650" i="19"/>
  <c r="CB650" i="19"/>
  <c r="CA650" i="19"/>
  <c r="BZ650" i="19"/>
  <c r="BL650" i="19"/>
  <c r="BF650" i="19"/>
  <c r="AZ650" i="19"/>
  <c r="AT650" i="19"/>
  <c r="AN650" i="19"/>
  <c r="AH650" i="19"/>
  <c r="AB650" i="19"/>
  <c r="R650" i="19"/>
  <c r="L650" i="19"/>
  <c r="CC649" i="19"/>
  <c r="CB649" i="19"/>
  <c r="CA649" i="19"/>
  <c r="BZ649" i="19"/>
  <c r="BL649" i="19"/>
  <c r="BF649" i="19"/>
  <c r="AZ649" i="19"/>
  <c r="AT649" i="19"/>
  <c r="AN649" i="19"/>
  <c r="AH649" i="19"/>
  <c r="AB649" i="19"/>
  <c r="R649" i="19"/>
  <c r="L649" i="19"/>
  <c r="CC648" i="19"/>
  <c r="CB648" i="19"/>
  <c r="CA648" i="19"/>
  <c r="BZ648" i="19"/>
  <c r="BL648" i="19"/>
  <c r="BF648" i="19"/>
  <c r="AZ648" i="19"/>
  <c r="AT648" i="19"/>
  <c r="AN648" i="19"/>
  <c r="AH648" i="19"/>
  <c r="AB648" i="19"/>
  <c r="R648" i="19"/>
  <c r="L648" i="19"/>
  <c r="CC647" i="19"/>
  <c r="CB647" i="19"/>
  <c r="CA647" i="19"/>
  <c r="BZ647" i="19"/>
  <c r="BL647" i="19"/>
  <c r="BF647" i="19"/>
  <c r="AZ647" i="19"/>
  <c r="AT647" i="19"/>
  <c r="AN647" i="19"/>
  <c r="AH647" i="19"/>
  <c r="AB647" i="19"/>
  <c r="R647" i="19"/>
  <c r="L647" i="19"/>
  <c r="CC646" i="19"/>
  <c r="CB646" i="19"/>
  <c r="CA646" i="19"/>
  <c r="BZ646" i="19"/>
  <c r="BL646" i="19"/>
  <c r="BF646" i="19"/>
  <c r="AZ646" i="19"/>
  <c r="AT646" i="19"/>
  <c r="AN646" i="19"/>
  <c r="AH646" i="19"/>
  <c r="AB646" i="19"/>
  <c r="R646" i="19"/>
  <c r="L646" i="19"/>
  <c r="CC645" i="19"/>
  <c r="CB645" i="19"/>
  <c r="CA645" i="19"/>
  <c r="BZ645" i="19"/>
  <c r="BL645" i="19"/>
  <c r="BF645" i="19"/>
  <c r="AZ645" i="19"/>
  <c r="AT645" i="19"/>
  <c r="AN645" i="19"/>
  <c r="AH645" i="19"/>
  <c r="AB645" i="19"/>
  <c r="R645" i="19"/>
  <c r="L645" i="19"/>
  <c r="CC641" i="19"/>
  <c r="CB641" i="19"/>
  <c r="CA641" i="19"/>
  <c r="BZ641" i="19"/>
  <c r="BL641" i="19"/>
  <c r="BF641" i="19"/>
  <c r="AZ641" i="19"/>
  <c r="AT641" i="19"/>
  <c r="AN641" i="19"/>
  <c r="AH641" i="19"/>
  <c r="AB641" i="19"/>
  <c r="R641" i="19"/>
  <c r="L641" i="19"/>
  <c r="CC640" i="19"/>
  <c r="CB640" i="19"/>
  <c r="CA640" i="19"/>
  <c r="BZ640" i="19"/>
  <c r="BL640" i="19"/>
  <c r="BF640" i="19"/>
  <c r="AZ640" i="19"/>
  <c r="AT640" i="19"/>
  <c r="AN640" i="19"/>
  <c r="AH640" i="19"/>
  <c r="AB640" i="19"/>
  <c r="R640" i="19"/>
  <c r="L640" i="19"/>
  <c r="CC639" i="19"/>
  <c r="CB639" i="19"/>
  <c r="CA639" i="19"/>
  <c r="BZ639" i="19"/>
  <c r="BL639" i="19"/>
  <c r="BF639" i="19"/>
  <c r="AZ639" i="19"/>
  <c r="AT639" i="19"/>
  <c r="AN639" i="19"/>
  <c r="AH639" i="19"/>
  <c r="AB639" i="19"/>
  <c r="R639" i="19"/>
  <c r="L639" i="19"/>
  <c r="CC638" i="19"/>
  <c r="CB638" i="19"/>
  <c r="CA638" i="19"/>
  <c r="BZ638" i="19"/>
  <c r="BL638" i="19"/>
  <c r="BF638" i="19"/>
  <c r="AZ638" i="19"/>
  <c r="AT638" i="19"/>
  <c r="AN638" i="19"/>
  <c r="AH638" i="19"/>
  <c r="AB638" i="19"/>
  <c r="R638" i="19"/>
  <c r="L638" i="19"/>
  <c r="CC637" i="19"/>
  <c r="CB637" i="19"/>
  <c r="CA637" i="19"/>
  <c r="BZ637" i="19"/>
  <c r="BL637" i="19"/>
  <c r="BF637" i="19"/>
  <c r="AZ637" i="19"/>
  <c r="AT637" i="19"/>
  <c r="AN637" i="19"/>
  <c r="AH637" i="19"/>
  <c r="AB637" i="19"/>
  <c r="R637" i="19"/>
  <c r="L637" i="19"/>
  <c r="CC636" i="19"/>
  <c r="CB636" i="19"/>
  <c r="CA636" i="19"/>
  <c r="BZ636" i="19"/>
  <c r="BL636" i="19"/>
  <c r="BF636" i="19"/>
  <c r="AZ636" i="19"/>
  <c r="AT636" i="19"/>
  <c r="AN636" i="19"/>
  <c r="AH636" i="19"/>
  <c r="AB636" i="19"/>
  <c r="R636" i="19"/>
  <c r="L636" i="19"/>
  <c r="CC635" i="19"/>
  <c r="CB635" i="19"/>
  <c r="CA635" i="19"/>
  <c r="BZ635" i="19"/>
  <c r="BL635" i="19"/>
  <c r="BF635" i="19"/>
  <c r="AZ635" i="19"/>
  <c r="AT635" i="19"/>
  <c r="AN635" i="19"/>
  <c r="AH635" i="19"/>
  <c r="AB635" i="19"/>
  <c r="R635" i="19"/>
  <c r="L635" i="19"/>
  <c r="CC634" i="19"/>
  <c r="CB634" i="19"/>
  <c r="CA634" i="19"/>
  <c r="BZ634" i="19"/>
  <c r="BL634" i="19"/>
  <c r="BF634" i="19"/>
  <c r="AZ634" i="19"/>
  <c r="AT634" i="19"/>
  <c r="AN634" i="19"/>
  <c r="AH634" i="19"/>
  <c r="AB634" i="19"/>
  <c r="R634" i="19"/>
  <c r="L634" i="19"/>
  <c r="CC633" i="19"/>
  <c r="CB633" i="19"/>
  <c r="CA633" i="19"/>
  <c r="BZ633" i="19"/>
  <c r="BL633" i="19"/>
  <c r="BF633" i="19"/>
  <c r="AZ633" i="19"/>
  <c r="AT633" i="19"/>
  <c r="AN633" i="19"/>
  <c r="AH633" i="19"/>
  <c r="AB633" i="19"/>
  <c r="R633" i="19"/>
  <c r="L633" i="19"/>
  <c r="CC632" i="19"/>
  <c r="CB632" i="19"/>
  <c r="CA632" i="19"/>
  <c r="BZ632" i="19"/>
  <c r="BL632" i="19"/>
  <c r="BF632" i="19"/>
  <c r="AZ632" i="19"/>
  <c r="AT632" i="19"/>
  <c r="AN632" i="19"/>
  <c r="AH632" i="19"/>
  <c r="AB632" i="19"/>
  <c r="R632" i="19"/>
  <c r="L632" i="19"/>
  <c r="CC631" i="19"/>
  <c r="CB631" i="19"/>
  <c r="CA631" i="19"/>
  <c r="BZ631" i="19"/>
  <c r="BL631" i="19"/>
  <c r="BF631" i="19"/>
  <c r="AZ631" i="19"/>
  <c r="AT631" i="19"/>
  <c r="AN631" i="19"/>
  <c r="AH631" i="19"/>
  <c r="AB631" i="19"/>
  <c r="R631" i="19"/>
  <c r="L631" i="19"/>
  <c r="CC630" i="19"/>
  <c r="CB630" i="19"/>
  <c r="CA630" i="19"/>
  <c r="BZ630" i="19"/>
  <c r="BL630" i="19"/>
  <c r="BF630" i="19"/>
  <c r="AZ630" i="19"/>
  <c r="AT630" i="19"/>
  <c r="AN630" i="19"/>
  <c r="AH630" i="19"/>
  <c r="AB630" i="19"/>
  <c r="R630" i="19"/>
  <c r="L630" i="19"/>
  <c r="CC629" i="19"/>
  <c r="CB629" i="19"/>
  <c r="CA629" i="19"/>
  <c r="BZ629" i="19"/>
  <c r="BL629" i="19"/>
  <c r="BF629" i="19"/>
  <c r="AZ629" i="19"/>
  <c r="AT629" i="19"/>
  <c r="AN629" i="19"/>
  <c r="AH629" i="19"/>
  <c r="AB629" i="19"/>
  <c r="R629" i="19"/>
  <c r="L629" i="19"/>
  <c r="CC628" i="19"/>
  <c r="CB628" i="19"/>
  <c r="CA628" i="19"/>
  <c r="BZ628" i="19"/>
  <c r="BL628" i="19"/>
  <c r="BF628" i="19"/>
  <c r="AZ628" i="19"/>
  <c r="AT628" i="19"/>
  <c r="AN628" i="19"/>
  <c r="AH628" i="19"/>
  <c r="AB628" i="19"/>
  <c r="R628" i="19"/>
  <c r="L628" i="19"/>
  <c r="CC627" i="19"/>
  <c r="CB627" i="19"/>
  <c r="CA627" i="19"/>
  <c r="BZ627" i="19"/>
  <c r="BL627" i="19"/>
  <c r="BF627" i="19"/>
  <c r="AZ627" i="19"/>
  <c r="AT627" i="19"/>
  <c r="AN627" i="19"/>
  <c r="AH627" i="19"/>
  <c r="AB627" i="19"/>
  <c r="R627" i="19"/>
  <c r="L627" i="19"/>
  <c r="CC626" i="19"/>
  <c r="CB626" i="19"/>
  <c r="CA626" i="19"/>
  <c r="BZ626" i="19"/>
  <c r="BL626" i="19"/>
  <c r="BF626" i="19"/>
  <c r="AZ626" i="19"/>
  <c r="AT626" i="19"/>
  <c r="AN626" i="19"/>
  <c r="AH626" i="19"/>
  <c r="AB626" i="19"/>
  <c r="R626" i="19"/>
  <c r="L626" i="19"/>
  <c r="CC625" i="19"/>
  <c r="CB625" i="19"/>
  <c r="CA625" i="19"/>
  <c r="BZ625" i="19"/>
  <c r="BL625" i="19"/>
  <c r="BF625" i="19"/>
  <c r="AZ625" i="19"/>
  <c r="AT625" i="19"/>
  <c r="AN625" i="19"/>
  <c r="AH625" i="19"/>
  <c r="AB625" i="19"/>
  <c r="R625" i="19"/>
  <c r="L625" i="19"/>
  <c r="CC624" i="19"/>
  <c r="CB624" i="19"/>
  <c r="CA624" i="19"/>
  <c r="BZ624" i="19"/>
  <c r="BL624" i="19"/>
  <c r="BF624" i="19"/>
  <c r="AZ624" i="19"/>
  <c r="AT624" i="19"/>
  <c r="AN624" i="19"/>
  <c r="AH624" i="19"/>
  <c r="AB624" i="19"/>
  <c r="R624" i="19"/>
  <c r="L624" i="19"/>
  <c r="CC623" i="19"/>
  <c r="CB623" i="19"/>
  <c r="CA623" i="19"/>
  <c r="BZ623" i="19"/>
  <c r="BL623" i="19"/>
  <c r="BF623" i="19"/>
  <c r="AZ623" i="19"/>
  <c r="AT623" i="19"/>
  <c r="AN623" i="19"/>
  <c r="AH623" i="19"/>
  <c r="AB623" i="19"/>
  <c r="R623" i="19"/>
  <c r="L623" i="19"/>
  <c r="CC622" i="19"/>
  <c r="CB622" i="19"/>
  <c r="CA622" i="19"/>
  <c r="BZ622" i="19"/>
  <c r="BL622" i="19"/>
  <c r="BF622" i="19"/>
  <c r="AZ622" i="19"/>
  <c r="AT622" i="19"/>
  <c r="AN622" i="19"/>
  <c r="AH622" i="19"/>
  <c r="AB622" i="19"/>
  <c r="R622" i="19"/>
  <c r="L622" i="19"/>
  <c r="CC621" i="19"/>
  <c r="CB621" i="19"/>
  <c r="CA621" i="19"/>
  <c r="BZ621" i="19"/>
  <c r="BL621" i="19"/>
  <c r="BF621" i="19"/>
  <c r="AZ621" i="19"/>
  <c r="AT621" i="19"/>
  <c r="AN621" i="19"/>
  <c r="AH621" i="19"/>
  <c r="AB621" i="19"/>
  <c r="R621" i="19"/>
  <c r="L621" i="19"/>
  <c r="CC620" i="19"/>
  <c r="CB620" i="19"/>
  <c r="CA620" i="19"/>
  <c r="BZ620" i="19"/>
  <c r="BL620" i="19"/>
  <c r="BF620" i="19"/>
  <c r="AZ620" i="19"/>
  <c r="AT620" i="19"/>
  <c r="AN620" i="19"/>
  <c r="AH620" i="19"/>
  <c r="AB620" i="19"/>
  <c r="R620" i="19"/>
  <c r="L620" i="19"/>
  <c r="CC619" i="19"/>
  <c r="CB619" i="19"/>
  <c r="CA619" i="19"/>
  <c r="BZ619" i="19"/>
  <c r="BL619" i="19"/>
  <c r="BF619" i="19"/>
  <c r="AZ619" i="19"/>
  <c r="AT619" i="19"/>
  <c r="AN619" i="19"/>
  <c r="AH619" i="19"/>
  <c r="AB619" i="19"/>
  <c r="R619" i="19"/>
  <c r="L619" i="19"/>
  <c r="CC618" i="19"/>
  <c r="CB618" i="19"/>
  <c r="CA618" i="19"/>
  <c r="BZ618" i="19"/>
  <c r="BL618" i="19"/>
  <c r="BF618" i="19"/>
  <c r="AZ618" i="19"/>
  <c r="AT618" i="19"/>
  <c r="AN618" i="19"/>
  <c r="AH618" i="19"/>
  <c r="AB618" i="19"/>
  <c r="R618" i="19"/>
  <c r="L618" i="19"/>
  <c r="CC608" i="19"/>
  <c r="CB608" i="19"/>
  <c r="CA608" i="19"/>
  <c r="BZ608" i="19"/>
  <c r="BL608" i="19"/>
  <c r="BF608" i="19"/>
  <c r="AZ608" i="19"/>
  <c r="AT608" i="19"/>
  <c r="AN608" i="19"/>
  <c r="AH608" i="19"/>
  <c r="AB608" i="19"/>
  <c r="R608" i="19"/>
  <c r="L608" i="19"/>
  <c r="CC607" i="19"/>
  <c r="CB607" i="19"/>
  <c r="CA607" i="19"/>
  <c r="BZ607" i="19"/>
  <c r="BL607" i="19"/>
  <c r="BF607" i="19"/>
  <c r="AZ607" i="19"/>
  <c r="AT607" i="19"/>
  <c r="AN607" i="19"/>
  <c r="AH607" i="19"/>
  <c r="AB607" i="19"/>
  <c r="R607" i="19"/>
  <c r="L607" i="19"/>
  <c r="CC587" i="19"/>
  <c r="CB587" i="19"/>
  <c r="CA587" i="19"/>
  <c r="BZ587" i="19"/>
  <c r="L587" i="19"/>
  <c r="D1156" i="19" s="1"/>
  <c r="CC586" i="19"/>
  <c r="CB586" i="19"/>
  <c r="CA586" i="19"/>
  <c r="BZ586" i="19"/>
  <c r="BL586" i="19"/>
  <c r="BF586" i="19"/>
  <c r="AZ586" i="19"/>
  <c r="AT586" i="19"/>
  <c r="AN586" i="19"/>
  <c r="AH586" i="19"/>
  <c r="AB586" i="19"/>
  <c r="R586" i="19"/>
  <c r="L586" i="19"/>
  <c r="CC585" i="19"/>
  <c r="CB585" i="19"/>
  <c r="CA585" i="19"/>
  <c r="BZ585" i="19"/>
  <c r="L585" i="19"/>
  <c r="CC584" i="19"/>
  <c r="CB584" i="19"/>
  <c r="CA584" i="19"/>
  <c r="BZ584" i="19"/>
  <c r="L584" i="19"/>
  <c r="CC583" i="19"/>
  <c r="CB583" i="19"/>
  <c r="CA583" i="19"/>
  <c r="BZ583" i="19"/>
  <c r="L583" i="19"/>
  <c r="CC582" i="19"/>
  <c r="CB582" i="19"/>
  <c r="CA582" i="19"/>
  <c r="BZ582" i="19"/>
  <c r="BL582" i="19"/>
  <c r="BF582" i="19"/>
  <c r="AZ582" i="19"/>
  <c r="AT582" i="19"/>
  <c r="AN582" i="19"/>
  <c r="AH582" i="19"/>
  <c r="AB582" i="19"/>
  <c r="R582" i="19"/>
  <c r="L582" i="19"/>
  <c r="CC581" i="19"/>
  <c r="CB581" i="19"/>
  <c r="CA581" i="19"/>
  <c r="BZ581" i="19"/>
  <c r="L581" i="19"/>
  <c r="CC580" i="19"/>
  <c r="CB580" i="19"/>
  <c r="CA580" i="19"/>
  <c r="BZ580" i="19"/>
  <c r="BL580" i="19"/>
  <c r="BF580" i="19"/>
  <c r="AZ580" i="19"/>
  <c r="AT580" i="19"/>
  <c r="AN580" i="19"/>
  <c r="AH580" i="19"/>
  <c r="AB580" i="19"/>
  <c r="R580" i="19"/>
  <c r="L580" i="19"/>
  <c r="CC579" i="19"/>
  <c r="CB579" i="19"/>
  <c r="CA579" i="19"/>
  <c r="BZ579" i="19"/>
  <c r="BL579" i="19"/>
  <c r="BF579" i="19"/>
  <c r="AZ579" i="19"/>
  <c r="AT579" i="19"/>
  <c r="AN579" i="19"/>
  <c r="AH579" i="19"/>
  <c r="AB579" i="19"/>
  <c r="R579" i="19"/>
  <c r="L579" i="19"/>
  <c r="CC578" i="19"/>
  <c r="CB578" i="19"/>
  <c r="CA578" i="19"/>
  <c r="BZ578" i="19"/>
  <c r="BL578" i="19"/>
  <c r="BF578" i="19"/>
  <c r="AZ578" i="19"/>
  <c r="AT578" i="19"/>
  <c r="AN578" i="19"/>
  <c r="AH578" i="19"/>
  <c r="AB578" i="19"/>
  <c r="R578" i="19"/>
  <c r="L578" i="19"/>
  <c r="CC577" i="19"/>
  <c r="CB577" i="19"/>
  <c r="CA577" i="19"/>
  <c r="BZ577" i="19"/>
  <c r="BL577" i="19"/>
  <c r="BF577" i="19"/>
  <c r="AZ577" i="19"/>
  <c r="AT577" i="19"/>
  <c r="AN577" i="19"/>
  <c r="AH577" i="19"/>
  <c r="AB577" i="19"/>
  <c r="R577" i="19"/>
  <c r="L577" i="19"/>
  <c r="CC576" i="19"/>
  <c r="CB576" i="19"/>
  <c r="CA576" i="19"/>
  <c r="BZ576" i="19"/>
  <c r="BL576" i="19"/>
  <c r="BF576" i="19"/>
  <c r="AZ576" i="19"/>
  <c r="AT576" i="19"/>
  <c r="AN576" i="19"/>
  <c r="AH576" i="19"/>
  <c r="AB576" i="19"/>
  <c r="R576" i="19"/>
  <c r="L576" i="19"/>
  <c r="CC575" i="19"/>
  <c r="CB575" i="19"/>
  <c r="CA575" i="19"/>
  <c r="BZ575" i="19"/>
  <c r="BL575" i="19"/>
  <c r="BF575" i="19"/>
  <c r="AZ575" i="19"/>
  <c r="AT575" i="19"/>
  <c r="AN575" i="19"/>
  <c r="AH575" i="19"/>
  <c r="AB575" i="19"/>
  <c r="R575" i="19"/>
  <c r="L575" i="19"/>
  <c r="CC574" i="19"/>
  <c r="CB574" i="19"/>
  <c r="CA574" i="19"/>
  <c r="BZ574" i="19"/>
  <c r="BL574" i="19"/>
  <c r="BF574" i="19"/>
  <c r="AZ574" i="19"/>
  <c r="AT574" i="19"/>
  <c r="AN574" i="19"/>
  <c r="AH574" i="19"/>
  <c r="AB574" i="19"/>
  <c r="R574" i="19"/>
  <c r="L574" i="19"/>
  <c r="CC573" i="19"/>
  <c r="CB573" i="19"/>
  <c r="CA573" i="19"/>
  <c r="BZ573" i="19"/>
  <c r="BL573" i="19"/>
  <c r="BF573" i="19"/>
  <c r="AZ573" i="19"/>
  <c r="AT573" i="19"/>
  <c r="AN573" i="19"/>
  <c r="AH573" i="19"/>
  <c r="AB573" i="19"/>
  <c r="R573" i="19"/>
  <c r="L573" i="19"/>
  <c r="CC572" i="19"/>
  <c r="CB572" i="19"/>
  <c r="CA572" i="19"/>
  <c r="BZ572" i="19"/>
  <c r="BL572" i="19"/>
  <c r="BF572" i="19"/>
  <c r="AZ572" i="19"/>
  <c r="AT572" i="19"/>
  <c r="AN572" i="19"/>
  <c r="AH572" i="19"/>
  <c r="AB572" i="19"/>
  <c r="R572" i="19"/>
  <c r="L572" i="19"/>
  <c r="CC571" i="19"/>
  <c r="CB571" i="19"/>
  <c r="CA571" i="19"/>
  <c r="BZ571" i="19"/>
  <c r="BL571" i="19"/>
  <c r="BF571" i="19"/>
  <c r="AZ571" i="19"/>
  <c r="AT571" i="19"/>
  <c r="AN571" i="19"/>
  <c r="AH571" i="19"/>
  <c r="AB571" i="19"/>
  <c r="R571" i="19"/>
  <c r="L571" i="19"/>
  <c r="CC570" i="19"/>
  <c r="CB570" i="19"/>
  <c r="CA570" i="19"/>
  <c r="BZ570" i="19"/>
  <c r="BL570" i="19"/>
  <c r="BF570" i="19"/>
  <c r="AZ570" i="19"/>
  <c r="AT570" i="19"/>
  <c r="AN570" i="19"/>
  <c r="AH570" i="19"/>
  <c r="AB570" i="19"/>
  <c r="R570" i="19"/>
  <c r="L570" i="19"/>
  <c r="CC569" i="19"/>
  <c r="CB569" i="19"/>
  <c r="CA569" i="19"/>
  <c r="BZ569" i="19"/>
  <c r="BL569" i="19"/>
  <c r="BF569" i="19"/>
  <c r="AZ569" i="19"/>
  <c r="AT569" i="19"/>
  <c r="AN569" i="19"/>
  <c r="AH569" i="19"/>
  <c r="AB569" i="19"/>
  <c r="R569" i="19"/>
  <c r="L569" i="19"/>
  <c r="CC568" i="19"/>
  <c r="CB568" i="19"/>
  <c r="CA568" i="19"/>
  <c r="BZ568" i="19"/>
  <c r="BL568" i="19"/>
  <c r="BF568" i="19"/>
  <c r="AZ568" i="19"/>
  <c r="AT568" i="19"/>
  <c r="AN568" i="19"/>
  <c r="AH568" i="19"/>
  <c r="AB568" i="19"/>
  <c r="R568" i="19"/>
  <c r="L568" i="19"/>
  <c r="CC560" i="19"/>
  <c r="CB560" i="19"/>
  <c r="CA560" i="19"/>
  <c r="BZ560" i="19"/>
  <c r="BL560" i="19"/>
  <c r="BF560" i="19"/>
  <c r="AZ560" i="19"/>
  <c r="AT560" i="19"/>
  <c r="AN560" i="19"/>
  <c r="AH560" i="19"/>
  <c r="AB560" i="19"/>
  <c r="R560" i="19"/>
  <c r="L560" i="19"/>
  <c r="CC559" i="19"/>
  <c r="CB559" i="19"/>
  <c r="CA559" i="19"/>
  <c r="BZ559" i="19"/>
  <c r="BL559" i="19"/>
  <c r="BF559" i="19"/>
  <c r="AZ559" i="19"/>
  <c r="AT559" i="19"/>
  <c r="AN559" i="19"/>
  <c r="AH559" i="19"/>
  <c r="AB559" i="19"/>
  <c r="R559" i="19"/>
  <c r="L559" i="19"/>
  <c r="CC558" i="19"/>
  <c r="CB558" i="19"/>
  <c r="CA558" i="19"/>
  <c r="BZ558" i="19"/>
  <c r="BL558" i="19"/>
  <c r="BF558" i="19"/>
  <c r="AZ558" i="19"/>
  <c r="AT558" i="19"/>
  <c r="AN558" i="19"/>
  <c r="AH558" i="19"/>
  <c r="AB558" i="19"/>
  <c r="R558" i="19"/>
  <c r="L558" i="19"/>
  <c r="CC557" i="19"/>
  <c r="CB557" i="19"/>
  <c r="CA557" i="19"/>
  <c r="BZ557" i="19"/>
  <c r="BL557" i="19"/>
  <c r="BF557" i="19"/>
  <c r="AZ557" i="19"/>
  <c r="AT557" i="19"/>
  <c r="AN557" i="19"/>
  <c r="AH557" i="19"/>
  <c r="AB557" i="19"/>
  <c r="R557" i="19"/>
  <c r="L557" i="19"/>
  <c r="CC556" i="19"/>
  <c r="CB556" i="19"/>
  <c r="CA556" i="19"/>
  <c r="BZ556" i="19"/>
  <c r="BL556" i="19"/>
  <c r="BF556" i="19"/>
  <c r="AZ556" i="19"/>
  <c r="AT556" i="19"/>
  <c r="AN556" i="19"/>
  <c r="AH556" i="19"/>
  <c r="AB556" i="19"/>
  <c r="R556" i="19"/>
  <c r="L556" i="19"/>
  <c r="CC555" i="19"/>
  <c r="CB555" i="19"/>
  <c r="CA555" i="19"/>
  <c r="BZ555" i="19"/>
  <c r="BL555" i="19"/>
  <c r="BF555" i="19"/>
  <c r="AZ555" i="19"/>
  <c r="AT555" i="19"/>
  <c r="AN555" i="19"/>
  <c r="AH555" i="19"/>
  <c r="AB555" i="19"/>
  <c r="R555" i="19"/>
  <c r="L555" i="19"/>
  <c r="CC554" i="19"/>
  <c r="CB554" i="19"/>
  <c r="CA554" i="19"/>
  <c r="BZ554" i="19"/>
  <c r="BL554" i="19"/>
  <c r="BF554" i="19"/>
  <c r="AZ554" i="19"/>
  <c r="AT554" i="19"/>
  <c r="AN554" i="19"/>
  <c r="AH554" i="19"/>
  <c r="AB554" i="19"/>
  <c r="R554" i="19"/>
  <c r="L554" i="19"/>
  <c r="CC551" i="19"/>
  <c r="CB551" i="19"/>
  <c r="CA551" i="19"/>
  <c r="BZ551" i="19"/>
  <c r="L551" i="19"/>
  <c r="CC550" i="19"/>
  <c r="CB550" i="19"/>
  <c r="CA550" i="19"/>
  <c r="BZ550" i="19"/>
  <c r="BL550" i="19"/>
  <c r="BF550" i="19"/>
  <c r="AZ550" i="19"/>
  <c r="AT550" i="19"/>
  <c r="AN550" i="19"/>
  <c r="AH550" i="19"/>
  <c r="AB550" i="19"/>
  <c r="R550" i="19"/>
  <c r="L550" i="19"/>
  <c r="CC531" i="19"/>
  <c r="CB531" i="19"/>
  <c r="CA531" i="19"/>
  <c r="BZ531" i="19"/>
  <c r="BL531" i="19"/>
  <c r="BF531" i="19"/>
  <c r="AZ531" i="19"/>
  <c r="AT531" i="19"/>
  <c r="AN531" i="19"/>
  <c r="AH531" i="19"/>
  <c r="AB531" i="19"/>
  <c r="R531" i="19"/>
  <c r="L531" i="19"/>
  <c r="CC504" i="19"/>
  <c r="CB504" i="19"/>
  <c r="CA504" i="19"/>
  <c r="BZ504" i="19"/>
  <c r="L504" i="19"/>
  <c r="CC503" i="19"/>
  <c r="CB503" i="19"/>
  <c r="CA503" i="19"/>
  <c r="BZ503" i="19"/>
  <c r="BL503" i="19"/>
  <c r="BF503" i="19"/>
  <c r="AZ503" i="19"/>
  <c r="AT503" i="19"/>
  <c r="AN503" i="19"/>
  <c r="AH503" i="19"/>
  <c r="AB503" i="19"/>
  <c r="R503" i="19"/>
  <c r="L503" i="19"/>
  <c r="CC502" i="19"/>
  <c r="CB502" i="19"/>
  <c r="CA502" i="19"/>
  <c r="BZ502" i="19"/>
  <c r="L502" i="19"/>
  <c r="CC501" i="19"/>
  <c r="CB501" i="19"/>
  <c r="CA501" i="19"/>
  <c r="BZ501" i="19"/>
  <c r="BL501" i="19"/>
  <c r="BF501" i="19"/>
  <c r="AZ501" i="19"/>
  <c r="AT501" i="19"/>
  <c r="AN501" i="19"/>
  <c r="AH501" i="19"/>
  <c r="AB501" i="19"/>
  <c r="R501" i="19"/>
  <c r="L501" i="19"/>
  <c r="CC500" i="19"/>
  <c r="CB500" i="19"/>
  <c r="CA500" i="19"/>
  <c r="BZ500" i="19"/>
  <c r="L500" i="19"/>
  <c r="CC499" i="19"/>
  <c r="CB499" i="19"/>
  <c r="CA499" i="19"/>
  <c r="BZ499" i="19"/>
  <c r="BL499" i="19"/>
  <c r="BF499" i="19"/>
  <c r="AZ499" i="19"/>
  <c r="AT499" i="19"/>
  <c r="AN499" i="19"/>
  <c r="AH499" i="19"/>
  <c r="AB499" i="19"/>
  <c r="R499" i="19"/>
  <c r="L499" i="19"/>
  <c r="CC448" i="19"/>
  <c r="CB448" i="19"/>
  <c r="CA448" i="19"/>
  <c r="BZ448" i="19"/>
  <c r="BL448" i="19"/>
  <c r="BF448" i="19"/>
  <c r="AZ448" i="19"/>
  <c r="AT448" i="19"/>
  <c r="AN448" i="19"/>
  <c r="AH448" i="19"/>
  <c r="AB448" i="19"/>
  <c r="R448" i="19"/>
  <c r="L448" i="19"/>
  <c r="CC447" i="19"/>
  <c r="CB447" i="19"/>
  <c r="CA447" i="19"/>
  <c r="BZ447" i="19"/>
  <c r="BL447" i="19"/>
  <c r="BF447" i="19"/>
  <c r="AZ447" i="19"/>
  <c r="AT447" i="19"/>
  <c r="AN447" i="19"/>
  <c r="AH447" i="19"/>
  <c r="AB447" i="19"/>
  <c r="R447" i="19"/>
  <c r="L447" i="19"/>
  <c r="CC446" i="19"/>
  <c r="CB446" i="19"/>
  <c r="CA446" i="19"/>
  <c r="BZ446" i="19"/>
  <c r="BL446" i="19"/>
  <c r="BF446" i="19"/>
  <c r="AZ446" i="19"/>
  <c r="AT446" i="19"/>
  <c r="AN446" i="19"/>
  <c r="AH446" i="19"/>
  <c r="AB446" i="19"/>
  <c r="R446" i="19"/>
  <c r="L446" i="19"/>
  <c r="CC445" i="19"/>
  <c r="CB445" i="19"/>
  <c r="CA445" i="19"/>
  <c r="BZ445" i="19"/>
  <c r="BL445" i="19"/>
  <c r="BF445" i="19"/>
  <c r="AZ445" i="19"/>
  <c r="AT445" i="19"/>
  <c r="AN445" i="19"/>
  <c r="AH445" i="19"/>
  <c r="AB445" i="19"/>
  <c r="R445" i="19"/>
  <c r="L445" i="19"/>
  <c r="CC444" i="19"/>
  <c r="CB444" i="19"/>
  <c r="CA444" i="19"/>
  <c r="BZ444" i="19"/>
  <c r="BL444" i="19"/>
  <c r="BF444" i="19"/>
  <c r="AZ444" i="19"/>
  <c r="AT444" i="19"/>
  <c r="AN444" i="19"/>
  <c r="AH444" i="19"/>
  <c r="AB444" i="19"/>
  <c r="R444" i="19"/>
  <c r="L444" i="19"/>
  <c r="CC443" i="19"/>
  <c r="CB443" i="19"/>
  <c r="CA443" i="19"/>
  <c r="BZ443" i="19"/>
  <c r="BL443" i="19"/>
  <c r="BF443" i="19"/>
  <c r="AZ443" i="19"/>
  <c r="AT443" i="19"/>
  <c r="AN443" i="19"/>
  <c r="AH443" i="19"/>
  <c r="AB443" i="19"/>
  <c r="R443" i="19"/>
  <c r="L443" i="19"/>
  <c r="CC442" i="19"/>
  <c r="CB442" i="19"/>
  <c r="CA442" i="19"/>
  <c r="BZ442" i="19"/>
  <c r="BL442" i="19"/>
  <c r="BF442" i="19"/>
  <c r="AZ442" i="19"/>
  <c r="AT442" i="19"/>
  <c r="AN442" i="19"/>
  <c r="AH442" i="19"/>
  <c r="AB442" i="19"/>
  <c r="R442" i="19"/>
  <c r="L442" i="19"/>
  <c r="CC441" i="19"/>
  <c r="CB441" i="19"/>
  <c r="CA441" i="19"/>
  <c r="BZ441" i="19"/>
  <c r="BL441" i="19"/>
  <c r="BF441" i="19"/>
  <c r="AZ441" i="19"/>
  <c r="AT441" i="19"/>
  <c r="AN441" i="19"/>
  <c r="AH441" i="19"/>
  <c r="AB441" i="19"/>
  <c r="R441" i="19"/>
  <c r="L441" i="19"/>
  <c r="CC440" i="19"/>
  <c r="CB440" i="19"/>
  <c r="CA440" i="19"/>
  <c r="BZ440" i="19"/>
  <c r="BL440" i="19"/>
  <c r="BF440" i="19"/>
  <c r="AZ440" i="19"/>
  <c r="AT440" i="19"/>
  <c r="AN440" i="19"/>
  <c r="AH440" i="19"/>
  <c r="AB440" i="19"/>
  <c r="R440" i="19"/>
  <c r="L440" i="19"/>
  <c r="CC439" i="19"/>
  <c r="CB439" i="19"/>
  <c r="CA439" i="19"/>
  <c r="BZ439" i="19"/>
  <c r="BL439" i="19"/>
  <c r="BF439" i="19"/>
  <c r="AZ439" i="19"/>
  <c r="AT439" i="19"/>
  <c r="AN439" i="19"/>
  <c r="AH439" i="19"/>
  <c r="AB439" i="19"/>
  <c r="R439" i="19"/>
  <c r="L439" i="19"/>
  <c r="CC438" i="19"/>
  <c r="CB438" i="19"/>
  <c r="CA438" i="19"/>
  <c r="BZ438" i="19"/>
  <c r="BL438" i="19"/>
  <c r="BF438" i="19"/>
  <c r="AZ438" i="19"/>
  <c r="AT438" i="19"/>
  <c r="AN438" i="19"/>
  <c r="AH438" i="19"/>
  <c r="AB438" i="19"/>
  <c r="R438" i="19"/>
  <c r="L438" i="19"/>
  <c r="CC437" i="19"/>
  <c r="CB437" i="19"/>
  <c r="CA437" i="19"/>
  <c r="BZ437" i="19"/>
  <c r="BL437" i="19"/>
  <c r="BF437" i="19"/>
  <c r="AZ437" i="19"/>
  <c r="AT437" i="19"/>
  <c r="AN437" i="19"/>
  <c r="AH437" i="19"/>
  <c r="AB437" i="19"/>
  <c r="R437" i="19"/>
  <c r="L437" i="19"/>
  <c r="CC436" i="19"/>
  <c r="CB436" i="19"/>
  <c r="CA436" i="19"/>
  <c r="BZ436" i="19"/>
  <c r="BL436" i="19"/>
  <c r="BF436" i="19"/>
  <c r="AZ436" i="19"/>
  <c r="AT436" i="19"/>
  <c r="AN436" i="19"/>
  <c r="AH436" i="19"/>
  <c r="AB436" i="19"/>
  <c r="R436" i="19"/>
  <c r="L436" i="19"/>
  <c r="CC435" i="19"/>
  <c r="CB435" i="19"/>
  <c r="CA435" i="19"/>
  <c r="BZ435" i="19"/>
  <c r="BL435" i="19"/>
  <c r="BF435" i="19"/>
  <c r="AZ435" i="19"/>
  <c r="AT435" i="19"/>
  <c r="AN435" i="19"/>
  <c r="AH435" i="19"/>
  <c r="AB435" i="19"/>
  <c r="R435" i="19"/>
  <c r="L435" i="19"/>
  <c r="CC434" i="19"/>
  <c r="CB434" i="19"/>
  <c r="CA434" i="19"/>
  <c r="BZ434" i="19"/>
  <c r="BL434" i="19"/>
  <c r="BF434" i="19"/>
  <c r="AZ434" i="19"/>
  <c r="AT434" i="19"/>
  <c r="AN434" i="19"/>
  <c r="AH434" i="19"/>
  <c r="AB434" i="19"/>
  <c r="R434" i="19"/>
  <c r="L434" i="19"/>
  <c r="CC388" i="19"/>
  <c r="CB388" i="19"/>
  <c r="CA388" i="19"/>
  <c r="BZ388" i="19"/>
  <c r="BL388" i="19"/>
  <c r="BF388" i="19"/>
  <c r="AZ388" i="19"/>
  <c r="AT388" i="19"/>
  <c r="AN388" i="19"/>
  <c r="AH388" i="19"/>
  <c r="AB388" i="19"/>
  <c r="R388" i="19"/>
  <c r="L388" i="19"/>
  <c r="CC387" i="19"/>
  <c r="CB387" i="19"/>
  <c r="CA387" i="19"/>
  <c r="BZ387" i="19"/>
  <c r="BL387" i="19"/>
  <c r="BF387" i="19"/>
  <c r="AZ387" i="19"/>
  <c r="AT387" i="19"/>
  <c r="AN387" i="19"/>
  <c r="AH387" i="19"/>
  <c r="AB387" i="19"/>
  <c r="R387" i="19"/>
  <c r="L387" i="19"/>
  <c r="CC386" i="19"/>
  <c r="CB386" i="19"/>
  <c r="CA386" i="19"/>
  <c r="BZ386" i="19"/>
  <c r="BL386" i="19"/>
  <c r="BF386" i="19"/>
  <c r="AZ386" i="19"/>
  <c r="AT386" i="19"/>
  <c r="AN386" i="19"/>
  <c r="AH386" i="19"/>
  <c r="AB386" i="19"/>
  <c r="R386" i="19"/>
  <c r="L386" i="19"/>
  <c r="CC385" i="19"/>
  <c r="CB385" i="19"/>
  <c r="CA385" i="19"/>
  <c r="BZ385" i="19"/>
  <c r="BL385" i="19"/>
  <c r="BF385" i="19"/>
  <c r="AZ385" i="19"/>
  <c r="AT385" i="19"/>
  <c r="AN385" i="19"/>
  <c r="AH385" i="19"/>
  <c r="AB385" i="19"/>
  <c r="R385" i="19"/>
  <c r="L385" i="19"/>
  <c r="CC384" i="19"/>
  <c r="CB384" i="19"/>
  <c r="CA384" i="19"/>
  <c r="BZ384" i="19"/>
  <c r="BL384" i="19"/>
  <c r="BF384" i="19"/>
  <c r="AZ384" i="19"/>
  <c r="AT384" i="19"/>
  <c r="AN384" i="19"/>
  <c r="AH384" i="19"/>
  <c r="AB384" i="19"/>
  <c r="R384" i="19"/>
  <c r="L384" i="19"/>
  <c r="CC383" i="19"/>
  <c r="CB383" i="19"/>
  <c r="CA383" i="19"/>
  <c r="BZ383" i="19"/>
  <c r="BL383" i="19"/>
  <c r="BF383" i="19"/>
  <c r="AZ383" i="19"/>
  <c r="AT383" i="19"/>
  <c r="AN383" i="19"/>
  <c r="AH383" i="19"/>
  <c r="AB383" i="19"/>
  <c r="R383" i="19"/>
  <c r="L383" i="19"/>
  <c r="CC382" i="19"/>
  <c r="CB382" i="19"/>
  <c r="CA382" i="19"/>
  <c r="BZ382" i="19"/>
  <c r="BL382" i="19"/>
  <c r="BF382" i="19"/>
  <c r="AZ382" i="19"/>
  <c r="AT382" i="19"/>
  <c r="AN382" i="19"/>
  <c r="AH382" i="19"/>
  <c r="AB382" i="19"/>
  <c r="R382" i="19"/>
  <c r="L382" i="19"/>
  <c r="CC381" i="19"/>
  <c r="CB381" i="19"/>
  <c r="CA381" i="19"/>
  <c r="BZ381" i="19"/>
  <c r="BL381" i="19"/>
  <c r="BF381" i="19"/>
  <c r="AZ381" i="19"/>
  <c r="AT381" i="19"/>
  <c r="AN381" i="19"/>
  <c r="AH381" i="19"/>
  <c r="AB381" i="19"/>
  <c r="R381" i="19"/>
  <c r="L381" i="19"/>
  <c r="CC374" i="19"/>
  <c r="CB374" i="19"/>
  <c r="CA374" i="19"/>
  <c r="BZ374" i="19"/>
  <c r="L374" i="19"/>
  <c r="CC373" i="19"/>
  <c r="CB373" i="19"/>
  <c r="CA373" i="19"/>
  <c r="BZ373" i="19"/>
  <c r="BL373" i="19"/>
  <c r="BF373" i="19"/>
  <c r="AZ373" i="19"/>
  <c r="AT373" i="19"/>
  <c r="AN373" i="19"/>
  <c r="AH373" i="19"/>
  <c r="AB373" i="19"/>
  <c r="R373" i="19"/>
  <c r="L373" i="19"/>
  <c r="CC367" i="19"/>
  <c r="CB367" i="19"/>
  <c r="CA367" i="19"/>
  <c r="BZ367" i="19"/>
  <c r="BL367" i="19"/>
  <c r="BF367" i="19"/>
  <c r="AZ367" i="19"/>
  <c r="AT367" i="19"/>
  <c r="AN367" i="19"/>
  <c r="AH367" i="19"/>
  <c r="AB367" i="19"/>
  <c r="R367" i="19"/>
  <c r="L367" i="19"/>
  <c r="CC362" i="19"/>
  <c r="CB362" i="19"/>
  <c r="CA362" i="19"/>
  <c r="BZ362" i="19"/>
  <c r="BL362" i="19"/>
  <c r="BF362" i="19"/>
  <c r="AZ362" i="19"/>
  <c r="AT362" i="19"/>
  <c r="AN362" i="19"/>
  <c r="AH362" i="19"/>
  <c r="AB362" i="19"/>
  <c r="R362" i="19"/>
  <c r="L362" i="19"/>
  <c r="CC361" i="19"/>
  <c r="CB361" i="19"/>
  <c r="CA361" i="19"/>
  <c r="BZ361" i="19"/>
  <c r="L361" i="19"/>
  <c r="CC360" i="19"/>
  <c r="CB360" i="19"/>
  <c r="CA360" i="19"/>
  <c r="BZ360" i="19"/>
  <c r="L360" i="19"/>
  <c r="CC356" i="19"/>
  <c r="CB356" i="19"/>
  <c r="CA356" i="19"/>
  <c r="BZ356" i="19"/>
  <c r="L356" i="19"/>
  <c r="CC355" i="19"/>
  <c r="CB355" i="19"/>
  <c r="CA355" i="19"/>
  <c r="BZ355" i="19"/>
  <c r="L355" i="19"/>
  <c r="CC354" i="19"/>
  <c r="CB354" i="19"/>
  <c r="CA354" i="19"/>
  <c r="BZ354" i="19"/>
  <c r="L354" i="19"/>
  <c r="CC353" i="19"/>
  <c r="CB353" i="19"/>
  <c r="CA353" i="19"/>
  <c r="BZ353" i="19"/>
  <c r="L353" i="19"/>
  <c r="CC352" i="19"/>
  <c r="CB352" i="19"/>
  <c r="CA352" i="19"/>
  <c r="BZ352" i="19"/>
  <c r="L352" i="19"/>
  <c r="CC351" i="19"/>
  <c r="CB351" i="19"/>
  <c r="CA351" i="19"/>
  <c r="BZ351" i="19"/>
  <c r="BL351" i="19"/>
  <c r="BF351" i="19"/>
  <c r="AZ351" i="19"/>
  <c r="AT351" i="19"/>
  <c r="AN351" i="19"/>
  <c r="AH351" i="19"/>
  <c r="AB351" i="19"/>
  <c r="R351" i="19"/>
  <c r="L351" i="19"/>
  <c r="CC325" i="19"/>
  <c r="CB325" i="19"/>
  <c r="CA325" i="19"/>
  <c r="BZ325" i="19"/>
  <c r="BL325" i="19"/>
  <c r="BF325" i="19"/>
  <c r="AZ325" i="19"/>
  <c r="AT325" i="19"/>
  <c r="AN325" i="19"/>
  <c r="AH325" i="19"/>
  <c r="AB325" i="19"/>
  <c r="R325" i="19"/>
  <c r="L325" i="19"/>
  <c r="CC324" i="19"/>
  <c r="CB324" i="19"/>
  <c r="CA324" i="19"/>
  <c r="BZ324" i="19"/>
  <c r="BL324" i="19"/>
  <c r="BF324" i="19"/>
  <c r="AZ324" i="19"/>
  <c r="AT324" i="19"/>
  <c r="AN324" i="19"/>
  <c r="AH324" i="19"/>
  <c r="AB324" i="19"/>
  <c r="R324" i="19"/>
  <c r="L324" i="19"/>
  <c r="CC323" i="19"/>
  <c r="CB323" i="19"/>
  <c r="CA323" i="19"/>
  <c r="BZ323" i="19"/>
  <c r="BL323" i="19"/>
  <c r="BF323" i="19"/>
  <c r="AZ323" i="19"/>
  <c r="AT323" i="19"/>
  <c r="AN323" i="19"/>
  <c r="AH323" i="19"/>
  <c r="AB323" i="19"/>
  <c r="R323" i="19"/>
  <c r="L323" i="19"/>
  <c r="CC322" i="19"/>
  <c r="CB322" i="19"/>
  <c r="CA322" i="19"/>
  <c r="BZ322" i="19"/>
  <c r="BL322" i="19"/>
  <c r="BF322" i="19"/>
  <c r="AZ322" i="19"/>
  <c r="AT322" i="19"/>
  <c r="AN322" i="19"/>
  <c r="AH322" i="19"/>
  <c r="AB322" i="19"/>
  <c r="R322" i="19"/>
  <c r="L322" i="19"/>
  <c r="CC321" i="19"/>
  <c r="CB321" i="19"/>
  <c r="CA321" i="19"/>
  <c r="BZ321" i="19"/>
  <c r="BL321" i="19"/>
  <c r="BF321" i="19"/>
  <c r="AZ321" i="19"/>
  <c r="AT321" i="19"/>
  <c r="AN321" i="19"/>
  <c r="AH321" i="19"/>
  <c r="AB321" i="19"/>
  <c r="R321" i="19"/>
  <c r="L321" i="19"/>
  <c r="CC320" i="19"/>
  <c r="CB320" i="19"/>
  <c r="CA320" i="19"/>
  <c r="BZ320" i="19"/>
  <c r="BL320" i="19"/>
  <c r="BF320" i="19"/>
  <c r="AZ320" i="19"/>
  <c r="AT320" i="19"/>
  <c r="AN320" i="19"/>
  <c r="AH320" i="19"/>
  <c r="AB320" i="19"/>
  <c r="R320" i="19"/>
  <c r="L320" i="19"/>
  <c r="CC319" i="19"/>
  <c r="CB319" i="19"/>
  <c r="CA319" i="19"/>
  <c r="BZ319" i="19"/>
  <c r="BL319" i="19"/>
  <c r="BF319" i="19"/>
  <c r="AZ319" i="19"/>
  <c r="AT319" i="19"/>
  <c r="AN319" i="19"/>
  <c r="AH319" i="19"/>
  <c r="AB319" i="19"/>
  <c r="R319" i="19"/>
  <c r="L319" i="19"/>
  <c r="CC318" i="19"/>
  <c r="CB318" i="19"/>
  <c r="CA318" i="19"/>
  <c r="BZ318" i="19"/>
  <c r="L318" i="19"/>
  <c r="CC317" i="19"/>
  <c r="CB317" i="19"/>
  <c r="CA317" i="19"/>
  <c r="BZ317" i="19"/>
  <c r="CC316" i="19"/>
  <c r="CB316" i="19"/>
  <c r="CA316" i="19"/>
  <c r="BZ316" i="19"/>
  <c r="BL316" i="19"/>
  <c r="BF316" i="19"/>
  <c r="AZ316" i="19"/>
  <c r="AT316" i="19"/>
  <c r="AN316" i="19"/>
  <c r="AH316" i="19"/>
  <c r="AB316" i="19"/>
  <c r="R316" i="19"/>
  <c r="L316" i="19"/>
  <c r="CC305" i="19"/>
  <c r="CB305" i="19"/>
  <c r="CA305" i="19"/>
  <c r="BZ305" i="19"/>
  <c r="BL305" i="19"/>
  <c r="BF305" i="19"/>
  <c r="AZ305" i="19"/>
  <c r="AT305" i="19"/>
  <c r="AN305" i="19"/>
  <c r="AH305" i="19"/>
  <c r="AB305" i="19"/>
  <c r="R305" i="19"/>
  <c r="L305" i="19"/>
  <c r="CC304" i="19"/>
  <c r="CB304" i="19"/>
  <c r="CA304" i="19"/>
  <c r="BZ304" i="19"/>
  <c r="BL304" i="19"/>
  <c r="BF304" i="19"/>
  <c r="AZ304" i="19"/>
  <c r="AT304" i="19"/>
  <c r="AN304" i="19"/>
  <c r="AH304" i="19"/>
  <c r="AB304" i="19"/>
  <c r="R304" i="19"/>
  <c r="L304" i="19"/>
  <c r="CC296" i="19"/>
  <c r="CB296" i="19"/>
  <c r="CA296" i="19"/>
  <c r="BZ296" i="19"/>
  <c r="L296" i="19"/>
  <c r="CC295" i="19"/>
  <c r="CB295" i="19"/>
  <c r="CA295" i="19"/>
  <c r="BZ295" i="19"/>
  <c r="BL295" i="19"/>
  <c r="BF295" i="19"/>
  <c r="AZ295" i="19"/>
  <c r="AT295" i="19"/>
  <c r="AN295" i="19"/>
  <c r="AH295" i="19"/>
  <c r="AB295" i="19"/>
  <c r="R295" i="19"/>
  <c r="L295" i="19"/>
  <c r="CC294" i="19"/>
  <c r="CB294" i="19"/>
  <c r="CA294" i="19"/>
  <c r="BZ294" i="19"/>
  <c r="BL294" i="19"/>
  <c r="BF294" i="19"/>
  <c r="AZ294" i="19"/>
  <c r="AT294" i="19"/>
  <c r="AN294" i="19"/>
  <c r="AH294" i="19"/>
  <c r="AB294" i="19"/>
  <c r="R294" i="19"/>
  <c r="L294" i="19"/>
  <c r="CC293" i="19"/>
  <c r="CB293" i="19"/>
  <c r="CA293" i="19"/>
  <c r="BZ293" i="19"/>
  <c r="L293" i="19"/>
  <c r="CC292" i="19"/>
  <c r="CB292" i="19"/>
  <c r="CA292" i="19"/>
  <c r="BZ292" i="19"/>
  <c r="BL292" i="19"/>
  <c r="BF292" i="19"/>
  <c r="AZ292" i="19"/>
  <c r="AT292" i="19"/>
  <c r="AN292" i="19"/>
  <c r="AH292" i="19"/>
  <c r="AB292" i="19"/>
  <c r="R292" i="19"/>
  <c r="L292" i="19"/>
  <c r="CC291" i="19"/>
  <c r="CB291" i="19"/>
  <c r="CA291" i="19"/>
  <c r="BZ291" i="19"/>
  <c r="BL291" i="19"/>
  <c r="BF291" i="19"/>
  <c r="AZ291" i="19"/>
  <c r="AT291" i="19"/>
  <c r="AN291" i="19"/>
  <c r="AH291" i="19"/>
  <c r="AB291" i="19"/>
  <c r="R291" i="19"/>
  <c r="L291" i="19"/>
  <c r="CC268" i="19"/>
  <c r="CB268" i="19"/>
  <c r="CA268" i="19"/>
  <c r="BZ268" i="19"/>
  <c r="BL268" i="19"/>
  <c r="BF268" i="19"/>
  <c r="AZ268" i="19"/>
  <c r="AT268" i="19"/>
  <c r="AN268" i="19"/>
  <c r="AH268" i="19"/>
  <c r="AB268" i="19"/>
  <c r="R268" i="19"/>
  <c r="L268" i="19"/>
  <c r="CC267" i="19"/>
  <c r="CB267" i="19"/>
  <c r="CA267" i="19"/>
  <c r="BZ267" i="19"/>
  <c r="BL267" i="19"/>
  <c r="BF267" i="19"/>
  <c r="AZ267" i="19"/>
  <c r="AT267" i="19"/>
  <c r="AN267" i="19"/>
  <c r="AH267" i="19"/>
  <c r="AB267" i="19"/>
  <c r="R267" i="19"/>
  <c r="L267" i="19"/>
  <c r="CC266" i="19"/>
  <c r="CB266" i="19"/>
  <c r="CA266" i="19"/>
  <c r="BZ266" i="19"/>
  <c r="BL266" i="19"/>
  <c r="BF266" i="19"/>
  <c r="AZ266" i="19"/>
  <c r="AT266" i="19"/>
  <c r="AN266" i="19"/>
  <c r="AH266" i="19"/>
  <c r="AB266" i="19"/>
  <c r="R266" i="19"/>
  <c r="L266" i="19"/>
  <c r="CC265" i="19"/>
  <c r="CB265" i="19"/>
  <c r="CA265" i="19"/>
  <c r="BZ265" i="19"/>
  <c r="BL265" i="19"/>
  <c r="BF265" i="19"/>
  <c r="AZ265" i="19"/>
  <c r="AT265" i="19"/>
  <c r="AN265" i="19"/>
  <c r="AH265" i="19"/>
  <c r="AB265" i="19"/>
  <c r="R265" i="19"/>
  <c r="L265" i="19"/>
  <c r="CC264" i="19"/>
  <c r="CB264" i="19"/>
  <c r="CA264" i="19"/>
  <c r="BZ264" i="19"/>
  <c r="BL264" i="19"/>
  <c r="BF264" i="19"/>
  <c r="AZ264" i="19"/>
  <c r="AT264" i="19"/>
  <c r="AN264" i="19"/>
  <c r="AH264" i="19"/>
  <c r="AB264" i="19"/>
  <c r="R264" i="19"/>
  <c r="L264" i="19"/>
  <c r="CC263" i="19"/>
  <c r="CB263" i="19"/>
  <c r="CA263" i="19"/>
  <c r="BZ263" i="19"/>
  <c r="BL263" i="19"/>
  <c r="BF263" i="19"/>
  <c r="AZ263" i="19"/>
  <c r="AT263" i="19"/>
  <c r="AN263" i="19"/>
  <c r="AH263" i="19"/>
  <c r="AB263" i="19"/>
  <c r="R263" i="19"/>
  <c r="L263" i="19"/>
  <c r="CC252" i="19"/>
  <c r="CB252" i="19"/>
  <c r="CA252" i="19"/>
  <c r="BZ252" i="19"/>
  <c r="L252" i="19"/>
  <c r="CC251" i="19"/>
  <c r="CB251" i="19"/>
  <c r="CA251" i="19"/>
  <c r="BZ251" i="19"/>
  <c r="BL251" i="19"/>
  <c r="BF251" i="19"/>
  <c r="AZ251" i="19"/>
  <c r="AT251" i="19"/>
  <c r="AN251" i="19"/>
  <c r="AH251" i="19"/>
  <c r="AB251" i="19"/>
  <c r="R251" i="19"/>
  <c r="L251" i="19"/>
  <c r="CC186" i="19"/>
  <c r="CB186" i="19"/>
  <c r="CA186" i="19"/>
  <c r="BZ186" i="19"/>
  <c r="BL186" i="19"/>
  <c r="BF186" i="19"/>
  <c r="AZ186" i="19"/>
  <c r="AT186" i="19"/>
  <c r="AN186" i="19"/>
  <c r="AH186" i="19"/>
  <c r="AB186" i="19"/>
  <c r="R186" i="19"/>
  <c r="L186" i="19"/>
  <c r="CC181" i="19"/>
  <c r="CB181" i="19"/>
  <c r="CA181" i="19"/>
  <c r="BZ181" i="19"/>
  <c r="BL181" i="19"/>
  <c r="BF181" i="19"/>
  <c r="AZ181" i="19"/>
  <c r="AT181" i="19"/>
  <c r="AN181" i="19"/>
  <c r="AH181" i="19"/>
  <c r="AB181" i="19"/>
  <c r="R181" i="19"/>
  <c r="L181" i="19"/>
  <c r="CC180" i="19"/>
  <c r="CB180" i="19"/>
  <c r="CA180" i="19"/>
  <c r="BZ180" i="19"/>
  <c r="BL180" i="19"/>
  <c r="BF180" i="19"/>
  <c r="AZ180" i="19"/>
  <c r="AT180" i="19"/>
  <c r="AN180" i="19"/>
  <c r="AH180" i="19"/>
  <c r="AB180" i="19"/>
  <c r="R180" i="19"/>
  <c r="L180" i="19"/>
  <c r="CC171" i="19"/>
  <c r="CB171" i="19"/>
  <c r="CA171" i="19"/>
  <c r="BZ171" i="19"/>
  <c r="L171" i="19"/>
  <c r="CC170" i="19"/>
  <c r="CB170" i="19"/>
  <c r="CA170" i="19"/>
  <c r="BZ170" i="19"/>
  <c r="BL170" i="19"/>
  <c r="BF170" i="19"/>
  <c r="AZ170" i="19"/>
  <c r="AT170" i="19"/>
  <c r="AN170" i="19"/>
  <c r="AH170" i="19"/>
  <c r="AB170" i="19"/>
  <c r="R170" i="19"/>
  <c r="L170" i="19"/>
  <c r="CO1" i="19"/>
  <c r="BM1086" i="19" s="1"/>
  <c r="A1166" i="19" l="1"/>
  <c r="DF4" i="19" s="1"/>
  <c r="E65" i="2" s="1"/>
  <c r="BM1123" i="19"/>
  <c r="BM377" i="19"/>
  <c r="BM380" i="19"/>
  <c r="BM376" i="19"/>
  <c r="BM375" i="19"/>
  <c r="BM379" i="19"/>
  <c r="BM378" i="19"/>
  <c r="BM1122" i="19"/>
  <c r="BM301" i="19"/>
  <c r="BM725" i="19"/>
  <c r="BM726" i="19"/>
  <c r="BM1002" i="19"/>
  <c r="BM1001" i="19"/>
  <c r="BM1004" i="19"/>
  <c r="BM997" i="19"/>
  <c r="BM1000" i="19"/>
  <c r="BM998" i="19"/>
  <c r="BM1005" i="19"/>
  <c r="BM999" i="19"/>
  <c r="BM994" i="19"/>
  <c r="BM996" i="19"/>
  <c r="BM995" i="19"/>
  <c r="BM300" i="19"/>
  <c r="BM552" i="19"/>
  <c r="BM553" i="19"/>
  <c r="BM724" i="19"/>
  <c r="BM723" i="19"/>
  <c r="BM722" i="19"/>
  <c r="BM721" i="19"/>
  <c r="BM1120" i="19"/>
  <c r="BM1119" i="19"/>
  <c r="BM993" i="19"/>
  <c r="BM992" i="19"/>
  <c r="BM991" i="19"/>
  <c r="BM990" i="19"/>
  <c r="BM989" i="19"/>
  <c r="BM988" i="19"/>
  <c r="BM987" i="19"/>
  <c r="BM852" i="19"/>
  <c r="BM851" i="19"/>
  <c r="BM850" i="19"/>
  <c r="BM849" i="19"/>
  <c r="BM848" i="19"/>
  <c r="BM847" i="19"/>
  <c r="BM846" i="19"/>
  <c r="BM845" i="19"/>
  <c r="BM844" i="19"/>
  <c r="BM843" i="19"/>
  <c r="BM842" i="19"/>
  <c r="BM841" i="19"/>
  <c r="BM840" i="19"/>
  <c r="BM839" i="19"/>
  <c r="BM838" i="19"/>
  <c r="D1157" i="19"/>
  <c r="I1157" i="19" s="1"/>
  <c r="BM935" i="19"/>
  <c r="BM936" i="19"/>
  <c r="BM937" i="19"/>
  <c r="BM938" i="19"/>
  <c r="BM1118" i="19"/>
  <c r="BM1117" i="19"/>
  <c r="BM837" i="19"/>
  <c r="BM836" i="19"/>
  <c r="BM835" i="19"/>
  <c r="BM834" i="19"/>
  <c r="BM833" i="19"/>
  <c r="BM832" i="19"/>
  <c r="BM831" i="19"/>
  <c r="BM830" i="19"/>
  <c r="BM829" i="19"/>
  <c r="BM828" i="19"/>
  <c r="BM827" i="19"/>
  <c r="BM826" i="19"/>
  <c r="BM825" i="19"/>
  <c r="BM824" i="19"/>
  <c r="BM672" i="19"/>
  <c r="BM671" i="19"/>
  <c r="B1191" i="19"/>
  <c r="BM967" i="19"/>
  <c r="BM966" i="19"/>
  <c r="BM985" i="19"/>
  <c r="BM986" i="19"/>
  <c r="BM262" i="19"/>
  <c r="BM261" i="19"/>
  <c r="BM720" i="19"/>
  <c r="BM719" i="19"/>
  <c r="BM718" i="19"/>
  <c r="BM717" i="19"/>
  <c r="BM662" i="19"/>
  <c r="BM661" i="19"/>
  <c r="D1159" i="19"/>
  <c r="G1159" i="19"/>
  <c r="BM1106" i="19"/>
  <c r="BM1105" i="19"/>
  <c r="BM1101" i="19"/>
  <c r="BM1102" i="19"/>
  <c r="BM293" i="19"/>
  <c r="BM374" i="19"/>
  <c r="G1160" i="19"/>
  <c r="I1160" i="19" s="1"/>
  <c r="BM361" i="19"/>
  <c r="BM360" i="19"/>
  <c r="BM358" i="19"/>
  <c r="BM359" i="19"/>
  <c r="BM525" i="19"/>
  <c r="BM357" i="19"/>
  <c r="BM523" i="19"/>
  <c r="BM524" i="19"/>
  <c r="BM521" i="19"/>
  <c r="BM522" i="19"/>
  <c r="BM519" i="19"/>
  <c r="BM520" i="19"/>
  <c r="BM517" i="19"/>
  <c r="BM518" i="19"/>
  <c r="BM515" i="19"/>
  <c r="BM516" i="19"/>
  <c r="BM299" i="19"/>
  <c r="BM514" i="19"/>
  <c r="BM297" i="19"/>
  <c r="BM298" i="19"/>
  <c r="BM296" i="19"/>
  <c r="G1155" i="19"/>
  <c r="BM1048" i="19"/>
  <c r="BM1070" i="19"/>
  <c r="BM356" i="19"/>
  <c r="BM355" i="19"/>
  <c r="BM354" i="19"/>
  <c r="BM353" i="19"/>
  <c r="BM352" i="19"/>
  <c r="B1159" i="19"/>
  <c r="BM504" i="19"/>
  <c r="D1154" i="19"/>
  <c r="I1154" i="19" s="1"/>
  <c r="BM511" i="19"/>
  <c r="BM512" i="19"/>
  <c r="BM509" i="19"/>
  <c r="BM510" i="19"/>
  <c r="BM506" i="19"/>
  <c r="BM507" i="19"/>
  <c r="BM551" i="19"/>
  <c r="G1153" i="19"/>
  <c r="BM502" i="19"/>
  <c r="BM500" i="19"/>
  <c r="BM965" i="19"/>
  <c r="BM317" i="19"/>
  <c r="BM318" i="19"/>
  <c r="BM1042" i="19"/>
  <c r="BM1041" i="19"/>
  <c r="BM1040" i="19"/>
  <c r="BM1039" i="19"/>
  <c r="BM1038" i="19"/>
  <c r="BM1037" i="19"/>
  <c r="BM1036" i="19"/>
  <c r="BM1035" i="19"/>
  <c r="BM1032" i="19"/>
  <c r="BM1033" i="19"/>
  <c r="BM1031" i="19"/>
  <c r="BM1030" i="19"/>
  <c r="BM1029" i="19"/>
  <c r="BM1028" i="19"/>
  <c r="BM1027" i="19"/>
  <c r="BM1026" i="19"/>
  <c r="BM1024" i="19"/>
  <c r="BM1025" i="19"/>
  <c r="BM451" i="19"/>
  <c r="BM450" i="19"/>
  <c r="BM394" i="19"/>
  <c r="BM395" i="19"/>
  <c r="BM192" i="19"/>
  <c r="BM191" i="19"/>
  <c r="BM193" i="19"/>
  <c r="BM206" i="19"/>
  <c r="BM205" i="19"/>
  <c r="BM204" i="19"/>
  <c r="BM203" i="19"/>
  <c r="BM202" i="19"/>
  <c r="BM38" i="19"/>
  <c r="BM200" i="19"/>
  <c r="BM198" i="19"/>
  <c r="BM196" i="19"/>
  <c r="BM194" i="19"/>
  <c r="BM201" i="19"/>
  <c r="BM199" i="19"/>
  <c r="BM197" i="19"/>
  <c r="BM195" i="19"/>
  <c r="BM35" i="19"/>
  <c r="BM37" i="19"/>
  <c r="BM33" i="19"/>
  <c r="BM34" i="19"/>
  <c r="BM32" i="19"/>
  <c r="BM30" i="19"/>
  <c r="BM31" i="19"/>
  <c r="BM29" i="19"/>
  <c r="BM28" i="19"/>
  <c r="BM26" i="19"/>
  <c r="BM25" i="19"/>
  <c r="BM24" i="19"/>
  <c r="BM23" i="19"/>
  <c r="BM20" i="19"/>
  <c r="BM22" i="19"/>
  <c r="BM21" i="19"/>
  <c r="BM18" i="19"/>
  <c r="BM16" i="19"/>
  <c r="BM15" i="19"/>
  <c r="BM12" i="19"/>
  <c r="BM19" i="19"/>
  <c r="BM17" i="19"/>
  <c r="BM14" i="19"/>
  <c r="BM13" i="19"/>
  <c r="BM1100" i="19"/>
  <c r="BM11" i="19"/>
  <c r="BM10" i="19"/>
  <c r="D1155" i="19"/>
  <c r="BM1099" i="19"/>
  <c r="BM1098" i="19"/>
  <c r="BM1093" i="19"/>
  <c r="BM1096" i="19"/>
  <c r="BM1095" i="19"/>
  <c r="BM1094" i="19"/>
  <c r="BM1097" i="19"/>
  <c r="BM816" i="19"/>
  <c r="BM815" i="19"/>
  <c r="BM788" i="19"/>
  <c r="BM497" i="19"/>
  <c r="BM498" i="19"/>
  <c r="BM343" i="19"/>
  <c r="BM349" i="19"/>
  <c r="BM347" i="19"/>
  <c r="BM339" i="19"/>
  <c r="BM342" i="19"/>
  <c r="BM334" i="19"/>
  <c r="BM346" i="19"/>
  <c r="BM337" i="19"/>
  <c r="BM350" i="19"/>
  <c r="BM344" i="19"/>
  <c r="BM336" i="19"/>
  <c r="BM338" i="19"/>
  <c r="BM348" i="19"/>
  <c r="BM341" i="19"/>
  <c r="BM345" i="19"/>
  <c r="BM332" i="19"/>
  <c r="BM329" i="19"/>
  <c r="BM330" i="19"/>
  <c r="BM326" i="19"/>
  <c r="BM331" i="19"/>
  <c r="BM327" i="19"/>
  <c r="BM328" i="19"/>
  <c r="BM368" i="19"/>
  <c r="BM372" i="19"/>
  <c r="BM369" i="19"/>
  <c r="BM370" i="19"/>
  <c r="BM371" i="19"/>
  <c r="BM259" i="19"/>
  <c r="BM257" i="19"/>
  <c r="BM260" i="19"/>
  <c r="BM256" i="19"/>
  <c r="BM258" i="19"/>
  <c r="BM566" i="19"/>
  <c r="BM567" i="19"/>
  <c r="BM565" i="19"/>
  <c r="BM711" i="19"/>
  <c r="BM710" i="19"/>
  <c r="BM709" i="19"/>
  <c r="BM549" i="19"/>
  <c r="BM548" i="19"/>
  <c r="BM547" i="19"/>
  <c r="BM546" i="19"/>
  <c r="BM545" i="19"/>
  <c r="BM544" i="19"/>
  <c r="BM543" i="19"/>
  <c r="BM542" i="19"/>
  <c r="BM541" i="19"/>
  <c r="BM432" i="19"/>
  <c r="BM496" i="19"/>
  <c r="BM495" i="19"/>
  <c r="BM494" i="19"/>
  <c r="BM493" i="19"/>
  <c r="BM492" i="19"/>
  <c r="BM491" i="19"/>
  <c r="BM490" i="19"/>
  <c r="BM489" i="19"/>
  <c r="BM486" i="19"/>
  <c r="BM485" i="19"/>
  <c r="BM484" i="19"/>
  <c r="BM483" i="19"/>
  <c r="BM482" i="19"/>
  <c r="BM481" i="19"/>
  <c r="BM600" i="19"/>
  <c r="BM539" i="19"/>
  <c r="BM538" i="19"/>
  <c r="BM537" i="19"/>
  <c r="BM536" i="19"/>
  <c r="BM535" i="19"/>
  <c r="BM534" i="19"/>
  <c r="BM984" i="19"/>
  <c r="BM983" i="19"/>
  <c r="BM982" i="19"/>
  <c r="BM981" i="19"/>
  <c r="BM980" i="19"/>
  <c r="BM979" i="19"/>
  <c r="BM911" i="19"/>
  <c r="BM962" i="19"/>
  <c r="BM961" i="19"/>
  <c r="BM960" i="19"/>
  <c r="BM959" i="19"/>
  <c r="BM958" i="19"/>
  <c r="BM957" i="19"/>
  <c r="BM956" i="19"/>
  <c r="BM955" i="19"/>
  <c r="BM934" i="19"/>
  <c r="BM933" i="19"/>
  <c r="BM932" i="19"/>
  <c r="BM928" i="19"/>
  <c r="BM927" i="19"/>
  <c r="BM926" i="19"/>
  <c r="BM924" i="19"/>
  <c r="BM923" i="19"/>
  <c r="BM922" i="19"/>
  <c r="BM921" i="19"/>
  <c r="BM920" i="19"/>
  <c r="BM919" i="19"/>
  <c r="BM918" i="19"/>
  <c r="BM916" i="19"/>
  <c r="BM915" i="19"/>
  <c r="BM913" i="19"/>
  <c r="BM912" i="19"/>
  <c r="BM931" i="19"/>
  <c r="BM930" i="19"/>
  <c r="BM929" i="19"/>
  <c r="BM925" i="19"/>
  <c r="BM917" i="19"/>
  <c r="BM914" i="19"/>
  <c r="BM942" i="19"/>
  <c r="BM946" i="19"/>
  <c r="BM950" i="19"/>
  <c r="BM954" i="19"/>
  <c r="BM941" i="19"/>
  <c r="BM945" i="19"/>
  <c r="BM949" i="19"/>
  <c r="BM953" i="19"/>
  <c r="BM939" i="19"/>
  <c r="BM944" i="19"/>
  <c r="BM948" i="19"/>
  <c r="BM952" i="19"/>
  <c r="BM940" i="19"/>
  <c r="BM943" i="19"/>
  <c r="BM947" i="19"/>
  <c r="BM951" i="19"/>
  <c r="BM429" i="19"/>
  <c r="BM426" i="19"/>
  <c r="BM431" i="19"/>
  <c r="BM430" i="19"/>
  <c r="BM427" i="19"/>
  <c r="BM425" i="19"/>
  <c r="BM428" i="19"/>
  <c r="BM424" i="19"/>
  <c r="BM564" i="19"/>
  <c r="BM478" i="19"/>
  <c r="BM480" i="19"/>
  <c r="BM479" i="19"/>
  <c r="BM477" i="19"/>
  <c r="BM598" i="19"/>
  <c r="BM599" i="19"/>
  <c r="BM891" i="19"/>
  <c r="BM907" i="19"/>
  <c r="BM902" i="19"/>
  <c r="BM900" i="19"/>
  <c r="BM897" i="19"/>
  <c r="BM903" i="19"/>
  <c r="BM909" i="19"/>
  <c r="BM899" i="19"/>
  <c r="BM894" i="19"/>
  <c r="BM892" i="19"/>
  <c r="BM910" i="19"/>
  <c r="BM908" i="19"/>
  <c r="BM906" i="19"/>
  <c r="BM905" i="19"/>
  <c r="BM904" i="19"/>
  <c r="BM901" i="19"/>
  <c r="BM898" i="19"/>
  <c r="BM896" i="19"/>
  <c r="BM893" i="19"/>
  <c r="BM890" i="19"/>
  <c r="BM609" i="19"/>
  <c r="BM611" i="19"/>
  <c r="BM612" i="19"/>
  <c r="BM615" i="19"/>
  <c r="BM614" i="19"/>
  <c r="BM616" i="19"/>
  <c r="BM595" i="19"/>
  <c r="BM594" i="19"/>
  <c r="BM592" i="19"/>
  <c r="BM591" i="19"/>
  <c r="BM590" i="19"/>
  <c r="BM589" i="19"/>
  <c r="BM588" i="19"/>
  <c r="BM255" i="19"/>
  <c r="BM179" i="19"/>
  <c r="BM178" i="19"/>
  <c r="BM177" i="19"/>
  <c r="BM176" i="19"/>
  <c r="BM315" i="19"/>
  <c r="BM314" i="19"/>
  <c r="BM703" i="19"/>
  <c r="BM1068" i="19"/>
  <c r="BM1069" i="19"/>
  <c r="BM581" i="19"/>
  <c r="BM587" i="19"/>
  <c r="BM533" i="19"/>
  <c r="BM532" i="19"/>
  <c r="BM474" i="19"/>
  <c r="BM471" i="19"/>
  <c r="BM473" i="19"/>
  <c r="BM475" i="19"/>
  <c r="BM472" i="19"/>
  <c r="BM811" i="19"/>
  <c r="BM813" i="19"/>
  <c r="BM812" i="19"/>
  <c r="BM814" i="19"/>
  <c r="BM808" i="19"/>
  <c r="BM795" i="19"/>
  <c r="BM801" i="19"/>
  <c r="BM799" i="19"/>
  <c r="BM787" i="19"/>
  <c r="BM786" i="19"/>
  <c r="BM797" i="19"/>
  <c r="BM790" i="19"/>
  <c r="BM794" i="19"/>
  <c r="BM792" i="19"/>
  <c r="BM791" i="19"/>
  <c r="BM798" i="19"/>
  <c r="BM796" i="19"/>
  <c r="BM802" i="19"/>
  <c r="BM800" i="19"/>
  <c r="BM793" i="19"/>
  <c r="BM175" i="19"/>
  <c r="BM172" i="19"/>
  <c r="BM173" i="19"/>
  <c r="BM708" i="19"/>
  <c r="BM289" i="19"/>
  <c r="BM753" i="19"/>
  <c r="BM752" i="19"/>
  <c r="BM751" i="19"/>
  <c r="BM585" i="19"/>
  <c r="BM584" i="19"/>
  <c r="BM583" i="19"/>
  <c r="D1153" i="19"/>
  <c r="BM660" i="19"/>
  <c r="B1153" i="19"/>
  <c r="BM171" i="19"/>
  <c r="BM252" i="19"/>
  <c r="BM254" i="19"/>
  <c r="BM253" i="19"/>
  <c r="B1209" i="19"/>
  <c r="BM169" i="19"/>
  <c r="BM165" i="19"/>
  <c r="BM164" i="19"/>
  <c r="BM160" i="19"/>
  <c r="BM166" i="19"/>
  <c r="BM162" i="19"/>
  <c r="BM161" i="19"/>
  <c r="BM163" i="19"/>
  <c r="BM167" i="19"/>
  <c r="BM1064" i="19"/>
  <c r="BM310" i="19"/>
  <c r="BM1092" i="19"/>
  <c r="BM1091" i="19"/>
  <c r="BM1089" i="19"/>
  <c r="BM1088" i="19"/>
  <c r="BM1067" i="19"/>
  <c r="BM1066" i="19"/>
  <c r="BM1065" i="19"/>
  <c r="BM412" i="19"/>
  <c r="BM416" i="19"/>
  <c r="BM415" i="19"/>
  <c r="BM420" i="19"/>
  <c r="BM421" i="19"/>
  <c r="BM423" i="19"/>
  <c r="BM419" i="19"/>
  <c r="BM418" i="19"/>
  <c r="BM422" i="19"/>
  <c r="BM780" i="19"/>
  <c r="BM782" i="19"/>
  <c r="BM779" i="19"/>
  <c r="BM781" i="19"/>
  <c r="BM783" i="19"/>
  <c r="BM702" i="19"/>
  <c r="BM701" i="19"/>
  <c r="BM700" i="19"/>
  <c r="BM306" i="19"/>
  <c r="BM307" i="19"/>
  <c r="BM308" i="19"/>
  <c r="BM309" i="19"/>
  <c r="BM288" i="19"/>
  <c r="BM287" i="19"/>
  <c r="BM286" i="19"/>
  <c r="BM236" i="19"/>
  <c r="BM243" i="19"/>
  <c r="BM241" i="19"/>
  <c r="BM240" i="19"/>
  <c r="BM238" i="19"/>
  <c r="BM244" i="19"/>
  <c r="BM239" i="19"/>
  <c r="BM242" i="19"/>
  <c r="BM248" i="19"/>
  <c r="BM245" i="19"/>
  <c r="BM235" i="19"/>
  <c r="BM140" i="19"/>
  <c r="BM114" i="19"/>
  <c r="BM112" i="19"/>
  <c r="BM146" i="19"/>
  <c r="BM144" i="19"/>
  <c r="BM142" i="19"/>
  <c r="BM141" i="19"/>
  <c r="BM145" i="19"/>
  <c r="BM143" i="19"/>
  <c r="BM137" i="19"/>
  <c r="BM138" i="19"/>
  <c r="BM159" i="19"/>
  <c r="BM158" i="19"/>
  <c r="BM157" i="19"/>
  <c r="BM156" i="19"/>
  <c r="BM155" i="19"/>
  <c r="BM154" i="19"/>
  <c r="BM153" i="19"/>
  <c r="BM152" i="19"/>
  <c r="BM151" i="19"/>
  <c r="BM150" i="19"/>
  <c r="BM148" i="19"/>
  <c r="BM110" i="19"/>
  <c r="BM139" i="19"/>
  <c r="BM131" i="19"/>
  <c r="BM128" i="19"/>
  <c r="BM135" i="19"/>
  <c r="BM126" i="19"/>
  <c r="BM124" i="19"/>
  <c r="BM120" i="19"/>
  <c r="BM130" i="19"/>
  <c r="BM118" i="19"/>
  <c r="BM134" i="19"/>
  <c r="BM122" i="19"/>
  <c r="BM127" i="19"/>
  <c r="BM125" i="19"/>
  <c r="BM133" i="19"/>
  <c r="BM129" i="19"/>
  <c r="BM132" i="19"/>
  <c r="BM103" i="19"/>
  <c r="BM410" i="19"/>
  <c r="BM411" i="19"/>
  <c r="BM470" i="19"/>
  <c r="BM466" i="19"/>
  <c r="BM469" i="19"/>
  <c r="BM468" i="19"/>
  <c r="BM467" i="19"/>
  <c r="BM465" i="19"/>
  <c r="BM285" i="19"/>
  <c r="BM283" i="19"/>
  <c r="BM280" i="19"/>
  <c r="BM278" i="19"/>
  <c r="BM276" i="19"/>
  <c r="BM232" i="19"/>
  <c r="BM231" i="19"/>
  <c r="BM228" i="19"/>
  <c r="BM227" i="19"/>
  <c r="BM226" i="19"/>
  <c r="BM225" i="19"/>
  <c r="BM224" i="19"/>
  <c r="BM223" i="19"/>
  <c r="BM222" i="19"/>
  <c r="BM221" i="19"/>
  <c r="BM220" i="19"/>
  <c r="BM219" i="19"/>
  <c r="BM215" i="19"/>
  <c r="BM217" i="19"/>
  <c r="BM213" i="19"/>
  <c r="BM211" i="19"/>
  <c r="BM101" i="19"/>
  <c r="BM100" i="19"/>
  <c r="BM87" i="19"/>
  <c r="BM86" i="19"/>
  <c r="BM85" i="19"/>
  <c r="BM84" i="19"/>
  <c r="BM83" i="19"/>
  <c r="BM82" i="19"/>
  <c r="BM81" i="19"/>
  <c r="BM98" i="19"/>
  <c r="BM97" i="19"/>
  <c r="BM96" i="19"/>
  <c r="BM95" i="19"/>
  <c r="BM94" i="19"/>
  <c r="BM93" i="19"/>
  <c r="BM92" i="19"/>
  <c r="BM91" i="19"/>
  <c r="BM90" i="19"/>
  <c r="BM89" i="19"/>
  <c r="BM77" i="19"/>
  <c r="BM76" i="19"/>
  <c r="BM79" i="19"/>
  <c r="BM80" i="19"/>
  <c r="BM208" i="19"/>
  <c r="BM207" i="19"/>
  <c r="BM209" i="19"/>
  <c r="BM1047" i="19"/>
  <c r="BM270" i="19"/>
  <c r="BM269" i="19"/>
  <c r="BM563" i="19"/>
  <c r="BM1060" i="19"/>
  <c r="BM1063" i="19"/>
  <c r="BM1061" i="19"/>
  <c r="BM1083" i="19"/>
  <c r="BM1085" i="19"/>
  <c r="BM1082" i="19"/>
  <c r="BM1081" i="19"/>
  <c r="BM1084" i="19"/>
  <c r="BM1087" i="19"/>
  <c r="BM1054" i="19"/>
  <c r="BM1056" i="19"/>
  <c r="BM1051" i="19"/>
  <c r="BM1055" i="19"/>
  <c r="BM1057" i="19"/>
  <c r="BM1058" i="19"/>
  <c r="BM1052" i="19"/>
  <c r="BM1053" i="19"/>
  <c r="BM1059" i="19"/>
  <c r="BM457" i="19"/>
  <c r="BM461" i="19"/>
  <c r="BM462" i="19"/>
  <c r="BM460" i="19"/>
  <c r="BM464" i="19"/>
  <c r="BM459" i="19"/>
  <c r="BM463" i="19"/>
  <c r="BM458" i="19"/>
  <c r="BM409" i="19"/>
  <c r="BM408" i="19"/>
  <c r="BM190" i="19"/>
  <c r="BM189" i="19"/>
  <c r="BM188" i="19"/>
  <c r="BM67" i="19"/>
  <c r="BM66" i="19"/>
  <c r="BM68" i="19"/>
  <c r="BM65" i="19"/>
  <c r="BM70" i="19"/>
  <c r="BM74" i="19"/>
  <c r="BM71" i="19"/>
  <c r="BM63" i="19"/>
  <c r="BM64" i="19"/>
  <c r="BM73" i="19"/>
  <c r="BM72" i="19"/>
  <c r="BM1080" i="19"/>
  <c r="BM1079" i="19"/>
  <c r="BM407" i="19"/>
  <c r="BM406" i="19"/>
  <c r="BM405" i="19"/>
  <c r="BM404" i="19"/>
  <c r="BM403" i="19"/>
  <c r="BM402" i="19"/>
  <c r="BM401" i="19"/>
  <c r="BM187" i="19"/>
  <c r="BM62" i="19"/>
  <c r="BM61" i="19"/>
  <c r="BM60" i="19"/>
  <c r="BM41" i="19"/>
  <c r="BM40" i="19"/>
  <c r="BM9" i="19"/>
  <c r="BM8" i="19"/>
  <c r="BM58" i="19"/>
  <c r="BM57" i="19"/>
  <c r="BM56" i="19"/>
  <c r="BM55" i="19"/>
  <c r="BM54" i="19"/>
  <c r="BM53" i="19"/>
  <c r="BM52" i="19"/>
  <c r="BM51" i="19"/>
  <c r="BM50" i="19"/>
  <c r="BM49" i="19"/>
  <c r="BM48" i="19"/>
  <c r="BM47" i="19"/>
  <c r="BM46" i="19"/>
  <c r="BM45" i="19"/>
  <c r="BM44" i="19"/>
  <c r="BM43" i="19"/>
  <c r="BM397" i="19"/>
  <c r="BM396" i="19"/>
  <c r="BM455" i="19"/>
  <c r="BM454" i="19"/>
  <c r="BM391" i="19"/>
  <c r="BM389" i="19"/>
  <c r="BM392" i="19"/>
  <c r="BM393" i="19"/>
  <c r="BM390" i="19"/>
  <c r="BM562" i="19"/>
  <c r="BM561" i="19"/>
  <c r="BM449" i="19"/>
  <c r="BM452" i="19"/>
  <c r="BM453" i="19"/>
  <c r="I1156" i="19"/>
  <c r="I1158" i="19"/>
  <c r="K1158" i="19"/>
  <c r="BM875" i="19"/>
  <c r="BM879" i="19"/>
  <c r="BM883" i="19"/>
  <c r="BM964" i="19"/>
  <c r="BM972" i="19"/>
  <c r="BM1007" i="19"/>
  <c r="BM1015" i="19"/>
  <c r="BM644" i="19"/>
  <c r="BM643" i="19"/>
  <c r="BM642" i="19"/>
  <c r="CD171" i="19"/>
  <c r="CE171" i="19" s="1"/>
  <c r="BM181" i="19"/>
  <c r="CD181" i="19"/>
  <c r="CE181" i="19" s="1"/>
  <c r="BM251" i="19"/>
  <c r="CD251" i="19"/>
  <c r="BM263" i="19"/>
  <c r="CD263" i="19"/>
  <c r="CE263" i="19" s="1"/>
  <c r="BM265" i="19"/>
  <c r="CD265" i="19"/>
  <c r="CE265" i="19" s="1"/>
  <c r="BM267" i="19"/>
  <c r="CD267" i="19"/>
  <c r="CE267" i="19" s="1"/>
  <c r="BM291" i="19"/>
  <c r="CD291" i="19"/>
  <c r="CD293" i="19"/>
  <c r="BM295" i="19"/>
  <c r="BM304" i="19"/>
  <c r="CD304" i="19"/>
  <c r="CE304" i="19" s="1"/>
  <c r="BM316" i="19"/>
  <c r="CD316" i="19"/>
  <c r="CD318" i="19"/>
  <c r="CE318" i="19" s="1"/>
  <c r="BM320" i="19"/>
  <c r="CD320" i="19"/>
  <c r="CE320" i="19" s="1"/>
  <c r="BM322" i="19"/>
  <c r="CD322" i="19"/>
  <c r="CE322" i="19" s="1"/>
  <c r="BM324" i="19"/>
  <c r="CD324" i="19"/>
  <c r="CE324" i="19" s="1"/>
  <c r="BM351" i="19"/>
  <c r="CD352" i="19"/>
  <c r="CD354" i="19"/>
  <c r="CE354" i="19" s="1"/>
  <c r="CD355" i="19"/>
  <c r="CE355" i="19" s="1"/>
  <c r="CD356" i="19"/>
  <c r="CE356" i="19" s="1"/>
  <c r="CD360" i="19"/>
  <c r="BM362" i="19"/>
  <c r="CD367" i="19"/>
  <c r="CE367" i="19" s="1"/>
  <c r="BM373" i="19"/>
  <c r="BM381" i="19"/>
  <c r="CD382" i="19"/>
  <c r="CE382" i="19" s="1"/>
  <c r="BM383" i="19"/>
  <c r="CD384" i="19"/>
  <c r="CE384" i="19" s="1"/>
  <c r="BM385" i="19"/>
  <c r="CD386" i="19"/>
  <c r="CE386" i="19" s="1"/>
  <c r="CD387" i="19"/>
  <c r="CE387" i="19" s="1"/>
  <c r="BM388" i="19"/>
  <c r="CD434" i="19"/>
  <c r="CE434" i="19" s="1"/>
  <c r="BM435" i="19"/>
  <c r="CD436" i="19"/>
  <c r="CE436" i="19" s="1"/>
  <c r="BM437" i="19"/>
  <c r="CD437" i="19"/>
  <c r="CE437" i="19" s="1"/>
  <c r="BM439" i="19"/>
  <c r="CD440" i="19"/>
  <c r="CE440" i="19" s="1"/>
  <c r="BM441" i="19"/>
  <c r="CD442" i="19"/>
  <c r="CE442" i="19" s="1"/>
  <c r="BM443" i="19"/>
  <c r="CD444" i="19"/>
  <c r="CE444" i="19" s="1"/>
  <c r="CD446" i="19"/>
  <c r="CE446" i="19" s="1"/>
  <c r="BM447" i="19"/>
  <c r="BM448" i="19"/>
  <c r="CD448" i="19"/>
  <c r="CE448" i="19" s="1"/>
  <c r="BM499" i="19"/>
  <c r="CD500" i="19"/>
  <c r="CE500" i="19" s="1"/>
  <c r="BM501" i="19"/>
  <c r="CD502" i="19"/>
  <c r="CE502" i="19" s="1"/>
  <c r="CD504" i="19"/>
  <c r="CE504" i="19" s="1"/>
  <c r="BM531" i="19"/>
  <c r="CD550" i="19"/>
  <c r="CD554" i="19"/>
  <c r="CE554" i="19" s="1"/>
  <c r="BM555" i="19"/>
  <c r="CD556" i="19"/>
  <c r="CE556" i="19" s="1"/>
  <c r="BM557" i="19"/>
  <c r="CD558" i="19"/>
  <c r="CE558" i="19" s="1"/>
  <c r="BM559" i="19"/>
  <c r="CD560" i="19"/>
  <c r="CE560" i="19" s="1"/>
  <c r="BM568" i="19"/>
  <c r="CD569" i="19"/>
  <c r="CE569" i="19" s="1"/>
  <c r="BM570" i="19"/>
  <c r="CD571" i="19"/>
  <c r="CE571" i="19" s="1"/>
  <c r="BM572" i="19"/>
  <c r="CD572" i="19"/>
  <c r="CE572" i="19" s="1"/>
  <c r="CD573" i="19"/>
  <c r="CE573" i="19" s="1"/>
  <c r="BM574" i="19"/>
  <c r="CD575" i="19"/>
  <c r="CE575" i="19" s="1"/>
  <c r="BM576" i="19"/>
  <c r="CD577" i="19"/>
  <c r="CE577" i="19" s="1"/>
  <c r="BM578" i="19"/>
  <c r="CD578" i="19"/>
  <c r="CE578" i="19" s="1"/>
  <c r="BM580" i="19"/>
  <c r="CD580" i="19"/>
  <c r="BM582" i="19"/>
  <c r="CD582" i="19"/>
  <c r="CD584" i="19"/>
  <c r="CE584" i="19" s="1"/>
  <c r="BM586" i="19"/>
  <c r="CD586" i="19"/>
  <c r="BM607" i="19"/>
  <c r="CD607" i="19"/>
  <c r="CE607" i="19" s="1"/>
  <c r="BM618" i="19"/>
  <c r="BM620" i="19"/>
  <c r="CD620" i="19"/>
  <c r="CE620" i="19" s="1"/>
  <c r="BM622" i="19"/>
  <c r="CD622" i="19"/>
  <c r="CE622" i="19" s="1"/>
  <c r="BM624" i="19"/>
  <c r="CD624" i="19"/>
  <c r="CE624" i="19" s="1"/>
  <c r="BM626" i="19"/>
  <c r="CD626" i="19"/>
  <c r="CE626" i="19" s="1"/>
  <c r="BM628" i="19"/>
  <c r="CD628" i="19"/>
  <c r="CE628" i="19" s="1"/>
  <c r="BM630" i="19"/>
  <c r="CD630" i="19"/>
  <c r="CE630" i="19" s="1"/>
  <c r="BM632" i="19"/>
  <c r="CD632" i="19"/>
  <c r="CE632" i="19" s="1"/>
  <c r="CD634" i="19"/>
  <c r="CE634" i="19" s="1"/>
  <c r="BM636" i="19"/>
  <c r="CD636" i="19"/>
  <c r="CE636" i="19" s="1"/>
  <c r="BM638" i="19"/>
  <c r="CD638" i="19"/>
  <c r="CE638" i="19" s="1"/>
  <c r="BM640" i="19"/>
  <c r="CD640" i="19"/>
  <c r="CE640" i="19" s="1"/>
  <c r="BM646" i="19"/>
  <c r="CD646" i="19"/>
  <c r="CE646" i="19" s="1"/>
  <c r="BM648" i="19"/>
  <c r="CD648" i="19"/>
  <c r="CE648" i="19" s="1"/>
  <c r="BM650" i="19"/>
  <c r="CD650" i="19"/>
  <c r="CE650" i="19" s="1"/>
  <c r="BM652" i="19"/>
  <c r="CD652" i="19"/>
  <c r="CE652" i="19" s="1"/>
  <c r="BM654" i="19"/>
  <c r="CD654" i="19"/>
  <c r="CE654" i="19" s="1"/>
  <c r="BM656" i="19"/>
  <c r="CD656" i="19"/>
  <c r="CE656" i="19" s="1"/>
  <c r="BM658" i="19"/>
  <c r="CD658" i="19"/>
  <c r="CE658" i="19" s="1"/>
  <c r="CD660" i="19"/>
  <c r="CE660" i="19" s="1"/>
  <c r="BM664" i="19"/>
  <c r="CD664" i="19"/>
  <c r="CE664" i="19" s="1"/>
  <c r="BM666" i="19"/>
  <c r="BM707" i="19"/>
  <c r="BM715" i="19"/>
  <c r="BM728" i="19"/>
  <c r="BM732" i="19"/>
  <c r="BM736" i="19"/>
  <c r="BM740" i="19"/>
  <c r="BM744" i="19"/>
  <c r="BM748" i="19"/>
  <c r="BM755" i="19"/>
  <c r="BM759" i="19"/>
  <c r="BM763" i="19"/>
  <c r="BM767" i="19"/>
  <c r="BM771" i="19"/>
  <c r="BM775" i="19"/>
  <c r="BM803" i="19"/>
  <c r="BM807" i="19"/>
  <c r="BM822" i="19"/>
  <c r="BM854" i="19"/>
  <c r="BM858" i="19"/>
  <c r="BM862" i="19"/>
  <c r="BM866" i="19"/>
  <c r="BM870" i="19"/>
  <c r="BM699" i="19"/>
  <c r="BM698" i="19"/>
  <c r="BM697" i="19"/>
  <c r="BM696" i="19"/>
  <c r="BM695" i="19"/>
  <c r="BM694" i="19"/>
  <c r="BM888" i="19"/>
  <c r="BM873" i="19"/>
  <c r="BM872" i="19"/>
  <c r="CD666" i="19"/>
  <c r="CE666" i="19" s="1"/>
  <c r="BM668" i="19"/>
  <c r="CD668" i="19"/>
  <c r="CE668" i="19" s="1"/>
  <c r="BM670" i="19"/>
  <c r="CD670" i="19"/>
  <c r="CE670" i="19" s="1"/>
  <c r="BM674" i="19"/>
  <c r="CD674" i="19"/>
  <c r="CE674" i="19" s="1"/>
  <c r="BM676" i="19"/>
  <c r="CD676" i="19"/>
  <c r="CE676" i="19" s="1"/>
  <c r="BM678" i="19"/>
  <c r="CD678" i="19"/>
  <c r="CE678" i="19" s="1"/>
  <c r="BM680" i="19"/>
  <c r="CD680" i="19"/>
  <c r="CE680" i="19" s="1"/>
  <c r="BM682" i="19"/>
  <c r="CD682" i="19"/>
  <c r="CE682" i="19" s="1"/>
  <c r="BM684" i="19"/>
  <c r="CD684" i="19"/>
  <c r="CE684" i="19" s="1"/>
  <c r="BM686" i="19"/>
  <c r="CD686" i="19"/>
  <c r="CE686" i="19" s="1"/>
  <c r="BM689" i="19"/>
  <c r="CD689" i="19"/>
  <c r="CE689" i="19" s="1"/>
  <c r="BM691" i="19"/>
  <c r="CD691" i="19"/>
  <c r="CE691" i="19" s="1"/>
  <c r="BM693" i="19"/>
  <c r="CD693" i="19"/>
  <c r="CE693" i="19" s="1"/>
  <c r="BM704" i="19"/>
  <c r="BM706" i="19"/>
  <c r="BM712" i="19"/>
  <c r="BM716" i="19"/>
  <c r="BM727" i="19"/>
  <c r="BM729" i="19"/>
  <c r="BM733" i="19"/>
  <c r="BM735" i="19"/>
  <c r="BM737" i="19"/>
  <c r="BM741" i="19"/>
  <c r="BM743" i="19"/>
  <c r="BM745" i="19"/>
  <c r="BM749" i="19"/>
  <c r="BM754" i="19"/>
  <c r="BM756" i="19"/>
  <c r="BM760" i="19"/>
  <c r="BM762" i="19"/>
  <c r="BM764" i="19"/>
  <c r="BM768" i="19"/>
  <c r="BM770" i="19"/>
  <c r="BM772" i="19"/>
  <c r="BM776" i="19"/>
  <c r="BM778" i="19"/>
  <c r="BM804" i="19"/>
  <c r="BM819" i="19"/>
  <c r="BM821" i="19"/>
  <c r="BM823" i="19"/>
  <c r="BM855" i="19"/>
  <c r="BM857" i="19"/>
  <c r="BM859" i="19"/>
  <c r="BM863" i="19"/>
  <c r="BM865" i="19"/>
  <c r="BM867" i="19"/>
  <c r="BM871" i="19"/>
  <c r="BM874" i="19"/>
  <c r="BM876" i="19"/>
  <c r="BM880" i="19"/>
  <c r="BM882" i="19"/>
  <c r="BM884" i="19"/>
  <c r="BM973" i="19"/>
  <c r="BM977" i="19"/>
  <c r="BM1008" i="19"/>
  <c r="BM1012" i="19"/>
  <c r="BM1016" i="19"/>
  <c r="BM1020" i="19"/>
  <c r="BM1072" i="19"/>
  <c r="BM1074" i="19"/>
  <c r="BM1076" i="19"/>
  <c r="BM1109" i="19"/>
  <c r="BM1111" i="19"/>
  <c r="CD707" i="19"/>
  <c r="CE707" i="19" s="1"/>
  <c r="CD712" i="19"/>
  <c r="BM713" i="19"/>
  <c r="CD715" i="19"/>
  <c r="CE715" i="19" s="1"/>
  <c r="CD716" i="19"/>
  <c r="CE716" i="19" s="1"/>
  <c r="CD728" i="19"/>
  <c r="CE728" i="19" s="1"/>
  <c r="CD729" i="19"/>
  <c r="CE729" i="19" s="1"/>
  <c r="BM730" i="19"/>
  <c r="CD732" i="19"/>
  <c r="CE732" i="19" s="1"/>
  <c r="CD733" i="19"/>
  <c r="CE733" i="19" s="1"/>
  <c r="CD736" i="19"/>
  <c r="CE736" i="19" s="1"/>
  <c r="CD737" i="19"/>
  <c r="CE737" i="19" s="1"/>
  <c r="BM738" i="19"/>
  <c r="CD740" i="19"/>
  <c r="CE740" i="19" s="1"/>
  <c r="CD741" i="19"/>
  <c r="CE741" i="19" s="1"/>
  <c r="CD744" i="19"/>
  <c r="CE744" i="19" s="1"/>
  <c r="CD745" i="19"/>
  <c r="CE745" i="19" s="1"/>
  <c r="BM746" i="19"/>
  <c r="CD748" i="19"/>
  <c r="CE748" i="19" s="1"/>
  <c r="CD749" i="19"/>
  <c r="CE749" i="19" s="1"/>
  <c r="CD755" i="19"/>
  <c r="CE755" i="19" s="1"/>
  <c r="CD756" i="19"/>
  <c r="CE756" i="19" s="1"/>
  <c r="BM757" i="19"/>
  <c r="CD759" i="19"/>
  <c r="CE759" i="19" s="1"/>
  <c r="CD760" i="19"/>
  <c r="CE760" i="19" s="1"/>
  <c r="CD763" i="19"/>
  <c r="CE763" i="19" s="1"/>
  <c r="CD764" i="19"/>
  <c r="CE764" i="19" s="1"/>
  <c r="BM765" i="19"/>
  <c r="CD767" i="19"/>
  <c r="CE767" i="19" s="1"/>
  <c r="CD768" i="19"/>
  <c r="CE768" i="19" s="1"/>
  <c r="CD771" i="19"/>
  <c r="CE771" i="19" s="1"/>
  <c r="CD772" i="19"/>
  <c r="CE772" i="19" s="1"/>
  <c r="BM773" i="19"/>
  <c r="CD775" i="19"/>
  <c r="CE775" i="19" s="1"/>
  <c r="CD776" i="19"/>
  <c r="CE776" i="19" s="1"/>
  <c r="CD803" i="19"/>
  <c r="CE803" i="19" s="1"/>
  <c r="CD804" i="19"/>
  <c r="CE804" i="19" s="1"/>
  <c r="BM805" i="19"/>
  <c r="CD807" i="19"/>
  <c r="CE807" i="19" s="1"/>
  <c r="CD819" i="19"/>
  <c r="CE819" i="19" s="1"/>
  <c r="CD822" i="19"/>
  <c r="CE822" i="19" s="1"/>
  <c r="CD823" i="19"/>
  <c r="CE823" i="19" s="1"/>
  <c r="CD854" i="19"/>
  <c r="CE854" i="19" s="1"/>
  <c r="CD855" i="19"/>
  <c r="CE855" i="19" s="1"/>
  <c r="CD858" i="19"/>
  <c r="CE858" i="19" s="1"/>
  <c r="CD859" i="19"/>
  <c r="CE859" i="19" s="1"/>
  <c r="BM860" i="19"/>
  <c r="CD862" i="19"/>
  <c r="CE862" i="19" s="1"/>
  <c r="CD863" i="19"/>
  <c r="CE863" i="19" s="1"/>
  <c r="CD866" i="19"/>
  <c r="CE866" i="19" s="1"/>
  <c r="CD867" i="19"/>
  <c r="CE867" i="19" s="1"/>
  <c r="BM868" i="19"/>
  <c r="CD870" i="19"/>
  <c r="CE870" i="19" s="1"/>
  <c r="CD871" i="19"/>
  <c r="CE871" i="19" s="1"/>
  <c r="CD875" i="19"/>
  <c r="CE875" i="19" s="1"/>
  <c r="CD876" i="19"/>
  <c r="CE876" i="19" s="1"/>
  <c r="BM877" i="19"/>
  <c r="CD879" i="19"/>
  <c r="CE879" i="19" s="1"/>
  <c r="CD880" i="19"/>
  <c r="CE880" i="19" s="1"/>
  <c r="CD883" i="19"/>
  <c r="CE883" i="19" s="1"/>
  <c r="CD884" i="19"/>
  <c r="CE884" i="19" s="1"/>
  <c r="BM885" i="19"/>
  <c r="BM887" i="19"/>
  <c r="BM968" i="19"/>
  <c r="BM974" i="19"/>
  <c r="BM978" i="19"/>
  <c r="BM1009" i="19"/>
  <c r="BM1013" i="19"/>
  <c r="BM1017" i="19"/>
  <c r="BM1071" i="19"/>
  <c r="BM1075" i="19"/>
  <c r="CD887" i="19"/>
  <c r="CE887" i="19" s="1"/>
  <c r="CD965" i="19"/>
  <c r="CD968" i="19"/>
  <c r="CE968" i="19" s="1"/>
  <c r="BM969" i="19"/>
  <c r="CD973" i="19"/>
  <c r="CE973" i="19" s="1"/>
  <c r="CD974" i="19"/>
  <c r="CE974" i="19" s="1"/>
  <c r="BM975" i="19"/>
  <c r="CD977" i="19"/>
  <c r="CE977" i="19" s="1"/>
  <c r="CD978" i="19"/>
  <c r="CE978" i="19" s="1"/>
  <c r="CD1008" i="19"/>
  <c r="CE1008" i="19" s="1"/>
  <c r="CD1009" i="19"/>
  <c r="CE1009" i="19" s="1"/>
  <c r="BM1010" i="19"/>
  <c r="CD1012" i="19"/>
  <c r="CE1012" i="19" s="1"/>
  <c r="CD1013" i="19"/>
  <c r="CE1013" i="19" s="1"/>
  <c r="CD1016" i="19"/>
  <c r="CE1016" i="19" s="1"/>
  <c r="CD1017" i="19"/>
  <c r="CE1017" i="19" s="1"/>
  <c r="BM1018" i="19"/>
  <c r="CD1020" i="19"/>
  <c r="CE1020" i="19" s="1"/>
  <c r="CD1071" i="19"/>
  <c r="CD1072" i="19"/>
  <c r="CE1072" i="19" s="1"/>
  <c r="CD1075" i="19"/>
  <c r="CE1075" i="19" s="1"/>
  <c r="CD1076" i="19"/>
  <c r="CE1076" i="19" s="1"/>
  <c r="BM1077" i="19"/>
  <c r="CD1109" i="19"/>
  <c r="CE1109" i="19" s="1"/>
  <c r="BM1112" i="19"/>
  <c r="CD1112" i="19"/>
  <c r="CE1112" i="19" s="1"/>
  <c r="BM1114" i="19"/>
  <c r="CD1114" i="19"/>
  <c r="CE1114" i="19" s="1"/>
  <c r="BM1116" i="19"/>
  <c r="CD1116" i="19"/>
  <c r="CE1116" i="19" s="1"/>
  <c r="BM1124" i="19"/>
  <c r="CD1124" i="19"/>
  <c r="CE1124" i="19" s="1"/>
  <c r="BM1126" i="19"/>
  <c r="CD1126" i="19"/>
  <c r="CE1126" i="19" s="1"/>
  <c r="BM1128" i="19"/>
  <c r="CD1128" i="19"/>
  <c r="CE1128" i="19" s="1"/>
  <c r="BM1130" i="19"/>
  <c r="CD1130" i="19"/>
  <c r="CE1130" i="19" s="1"/>
  <c r="BM1132" i="19"/>
  <c r="CD1132" i="19"/>
  <c r="CE1132" i="19" s="1"/>
  <c r="BM1134" i="19"/>
  <c r="CD1134" i="19"/>
  <c r="CE1134" i="19" s="1"/>
  <c r="BM1136" i="19"/>
  <c r="CD1136" i="19"/>
  <c r="CE1136" i="19" s="1"/>
  <c r="BM1138" i="19"/>
  <c r="CD1138" i="19"/>
  <c r="CE1138" i="19" s="1"/>
  <c r="BM1140" i="19"/>
  <c r="CD1140" i="19"/>
  <c r="CE1140" i="19" s="1"/>
  <c r="BM1050" i="19"/>
  <c r="BM1049" i="19"/>
  <c r="BM1046" i="19"/>
  <c r="BM1045" i="19"/>
  <c r="BM1044" i="19"/>
  <c r="BM1043" i="19"/>
  <c r="BM1023" i="19"/>
  <c r="BM1022" i="19"/>
  <c r="BM1021" i="19"/>
  <c r="B1145" i="19"/>
  <c r="BM170" i="19"/>
  <c r="CD170" i="19"/>
  <c r="BM180" i="19"/>
  <c r="CD180" i="19"/>
  <c r="CE180" i="19" s="1"/>
  <c r="BM186" i="19"/>
  <c r="CD186" i="19"/>
  <c r="CE186" i="19" s="1"/>
  <c r="CD252" i="19"/>
  <c r="CE252" i="19" s="1"/>
  <c r="BM264" i="19"/>
  <c r="CD264" i="19"/>
  <c r="CE264" i="19" s="1"/>
  <c r="BM266" i="19"/>
  <c r="CD266" i="19"/>
  <c r="CE266" i="19" s="1"/>
  <c r="BM268" i="19"/>
  <c r="CD268" i="19"/>
  <c r="CE268" i="19" s="1"/>
  <c r="BM292" i="19"/>
  <c r="BM294" i="19"/>
  <c r="CD296" i="19"/>
  <c r="BM305" i="19"/>
  <c r="CD305" i="19"/>
  <c r="CE305" i="19" s="1"/>
  <c r="CD317" i="19"/>
  <c r="CE317" i="19" s="1"/>
  <c r="BM319" i="19"/>
  <c r="BM321" i="19"/>
  <c r="CD321" i="19"/>
  <c r="CE321" i="19" s="1"/>
  <c r="BM323" i="19"/>
  <c r="CD323" i="19"/>
  <c r="CE323" i="19" s="1"/>
  <c r="BM325" i="19"/>
  <c r="CD325" i="19"/>
  <c r="CE325" i="19" s="1"/>
  <c r="CD353" i="19"/>
  <c r="CE353" i="19" s="1"/>
  <c r="CD361" i="19"/>
  <c r="CE361" i="19" s="1"/>
  <c r="CD362" i="19"/>
  <c r="CE362" i="19" s="1"/>
  <c r="BM367" i="19"/>
  <c r="CD373" i="19"/>
  <c r="CE374" i="19"/>
  <c r="CD381" i="19"/>
  <c r="CE381" i="19" s="1"/>
  <c r="BM382" i="19"/>
  <c r="CD383" i="19"/>
  <c r="CE383" i="19" s="1"/>
  <c r="BM384" i="19"/>
  <c r="CD385" i="19"/>
  <c r="CE385" i="19" s="1"/>
  <c r="BM386" i="19"/>
  <c r="BM387" i="19"/>
  <c r="CD388" i="19"/>
  <c r="CE388" i="19" s="1"/>
  <c r="BM434" i="19"/>
  <c r="CD435" i="19"/>
  <c r="CE435" i="19" s="1"/>
  <c r="BM436" i="19"/>
  <c r="BM438" i="19"/>
  <c r="CD438" i="19"/>
  <c r="CE438" i="19" s="1"/>
  <c r="CD439" i="19"/>
  <c r="CE439" i="19" s="1"/>
  <c r="BM440" i="19"/>
  <c r="CD441" i="19"/>
  <c r="CE441" i="19" s="1"/>
  <c r="BM442" i="19"/>
  <c r="CD443" i="19"/>
  <c r="CE443" i="19" s="1"/>
  <c r="BM444" i="19"/>
  <c r="BM445" i="19"/>
  <c r="CD445" i="19"/>
  <c r="CE445" i="19" s="1"/>
  <c r="BM446" i="19"/>
  <c r="CD447" i="19"/>
  <c r="CE447" i="19" s="1"/>
  <c r="CD499" i="19"/>
  <c r="CD501" i="19"/>
  <c r="BM503" i="19"/>
  <c r="CD503" i="19"/>
  <c r="CD531" i="19"/>
  <c r="CE531" i="19" s="1"/>
  <c r="BM550" i="19"/>
  <c r="CD551" i="19"/>
  <c r="CE551" i="19" s="1"/>
  <c r="BM554" i="19"/>
  <c r="CD555" i="19"/>
  <c r="CE555" i="19" s="1"/>
  <c r="BM556" i="19"/>
  <c r="CD557" i="19"/>
  <c r="CE557" i="19" s="1"/>
  <c r="BM558" i="19"/>
  <c r="CD559" i="19"/>
  <c r="CE559" i="19" s="1"/>
  <c r="BM560" i="19"/>
  <c r="CD568" i="19"/>
  <c r="CE568" i="19" s="1"/>
  <c r="BM569" i="19"/>
  <c r="CD570" i="19"/>
  <c r="CE570" i="19" s="1"/>
  <c r="BM571" i="19"/>
  <c r="BM573" i="19"/>
  <c r="CD574" i="19"/>
  <c r="CE574" i="19" s="1"/>
  <c r="BM575" i="19"/>
  <c r="CD576" i="19"/>
  <c r="CE576" i="19" s="1"/>
  <c r="BM577" i="19"/>
  <c r="BM579" i="19"/>
  <c r="CD579" i="19"/>
  <c r="CE579" i="19" s="1"/>
  <c r="CD581" i="19"/>
  <c r="CE581" i="19" s="1"/>
  <c r="CD583" i="19"/>
  <c r="CE583" i="19" s="1"/>
  <c r="CD585" i="19"/>
  <c r="CE585" i="19" s="1"/>
  <c r="BM608" i="19"/>
  <c r="CD608" i="19"/>
  <c r="CE608" i="19" s="1"/>
  <c r="BM619" i="19"/>
  <c r="CD619" i="19"/>
  <c r="BM621" i="19"/>
  <c r="CD621" i="19"/>
  <c r="CE621" i="19" s="1"/>
  <c r="BM623" i="19"/>
  <c r="CD623" i="19"/>
  <c r="CE623" i="19" s="1"/>
  <c r="BM625" i="19"/>
  <c r="CD625" i="19"/>
  <c r="CE625" i="19" s="1"/>
  <c r="BM627" i="19"/>
  <c r="CD627" i="19"/>
  <c r="CE627" i="19" s="1"/>
  <c r="BM629" i="19"/>
  <c r="CD629" i="19"/>
  <c r="CE629" i="19" s="1"/>
  <c r="BM631" i="19"/>
  <c r="CD631" i="19"/>
  <c r="CE631" i="19" s="1"/>
  <c r="CD633" i="19"/>
  <c r="CE633" i="19" s="1"/>
  <c r="CD635" i="19"/>
  <c r="CE635" i="19" s="1"/>
  <c r="BM637" i="19"/>
  <c r="CD637" i="19"/>
  <c r="BM639" i="19"/>
  <c r="CD639" i="19"/>
  <c r="CE639" i="19" s="1"/>
  <c r="BM641" i="19"/>
  <c r="CD641" i="19"/>
  <c r="CE641" i="19" s="1"/>
  <c r="BM645" i="19"/>
  <c r="CD645" i="19"/>
  <c r="BM647" i="19"/>
  <c r="CD647" i="19"/>
  <c r="CE647" i="19" s="1"/>
  <c r="BM649" i="19"/>
  <c r="CD649" i="19"/>
  <c r="BM651" i="19"/>
  <c r="CD651" i="19"/>
  <c r="CE651" i="19" s="1"/>
  <c r="BM653" i="19"/>
  <c r="CD653" i="19"/>
  <c r="CE653" i="19" s="1"/>
  <c r="BM655" i="19"/>
  <c r="CD655" i="19"/>
  <c r="BM657" i="19"/>
  <c r="CD657" i="19"/>
  <c r="CE657" i="19" s="1"/>
  <c r="BM659" i="19"/>
  <c r="CD659" i="19"/>
  <c r="BM663" i="19"/>
  <c r="CD663" i="19"/>
  <c r="CE663" i="19" s="1"/>
  <c r="BM665" i="19"/>
  <c r="CD665" i="19"/>
  <c r="CE665" i="19" s="1"/>
  <c r="BM667" i="19"/>
  <c r="CD667" i="19"/>
  <c r="BM669" i="19"/>
  <c r="CD669" i="19"/>
  <c r="CE669" i="19" s="1"/>
  <c r="BM673" i="19"/>
  <c r="CD673" i="19"/>
  <c r="BM675" i="19"/>
  <c r="CD675" i="19"/>
  <c r="CE675" i="19" s="1"/>
  <c r="BM677" i="19"/>
  <c r="CD677" i="19"/>
  <c r="CE677" i="19" s="1"/>
  <c r="BM679" i="19"/>
  <c r="BM705" i="19"/>
  <c r="BM714" i="19"/>
  <c r="BM731" i="19"/>
  <c r="BM734" i="19"/>
  <c r="BM739" i="19"/>
  <c r="BM742" i="19"/>
  <c r="BM747" i="19"/>
  <c r="BM750" i="19"/>
  <c r="BM758" i="19"/>
  <c r="BM761" i="19"/>
  <c r="BM766" i="19"/>
  <c r="BM769" i="19"/>
  <c r="BM774" i="19"/>
  <c r="BM777" i="19"/>
  <c r="BM806" i="19"/>
  <c r="BM820" i="19"/>
  <c r="BM853" i="19"/>
  <c r="BM856" i="19"/>
  <c r="BM861" i="19"/>
  <c r="BM864" i="19"/>
  <c r="BM869" i="19"/>
  <c r="BM878" i="19"/>
  <c r="BM881" i="19"/>
  <c r="BM886" i="19"/>
  <c r="BM963" i="19"/>
  <c r="BM970" i="19"/>
  <c r="CD679" i="19"/>
  <c r="BM681" i="19"/>
  <c r="CD681" i="19"/>
  <c r="CE681" i="19" s="1"/>
  <c r="BM683" i="19"/>
  <c r="CD683" i="19"/>
  <c r="BM685" i="19"/>
  <c r="CD685" i="19"/>
  <c r="CE685" i="19" s="1"/>
  <c r="BM687" i="19"/>
  <c r="CD687" i="19"/>
  <c r="CE687" i="19" s="1"/>
  <c r="BM690" i="19"/>
  <c r="CD690" i="19"/>
  <c r="BM692" i="19"/>
  <c r="CD692" i="19"/>
  <c r="CE692" i="19" s="1"/>
  <c r="CD705" i="19"/>
  <c r="CE705" i="19" s="1"/>
  <c r="CD706" i="19"/>
  <c r="CE706" i="19" s="1"/>
  <c r="CD713" i="19"/>
  <c r="CE713" i="19" s="1"/>
  <c r="CD714" i="19"/>
  <c r="CE714" i="19" s="1"/>
  <c r="CD727" i="19"/>
  <c r="CE727" i="19" s="1"/>
  <c r="CD730" i="19"/>
  <c r="CE730" i="19" s="1"/>
  <c r="CD731" i="19"/>
  <c r="CD734" i="19"/>
  <c r="CE734" i="19" s="1"/>
  <c r="CD735" i="19"/>
  <c r="CE735" i="19" s="1"/>
  <c r="CD738" i="19"/>
  <c r="CD739" i="19"/>
  <c r="CE739" i="19" s="1"/>
  <c r="CD742" i="19"/>
  <c r="CD743" i="19"/>
  <c r="CE743" i="19" s="1"/>
  <c r="CD746" i="19"/>
  <c r="CD747" i="19"/>
  <c r="CE747" i="19" s="1"/>
  <c r="CD750" i="19"/>
  <c r="CE750" i="19" s="1"/>
  <c r="CD754" i="19"/>
  <c r="CD757" i="19"/>
  <c r="CE757" i="19" s="1"/>
  <c r="CD758" i="19"/>
  <c r="CE758" i="19" s="1"/>
  <c r="CD761" i="19"/>
  <c r="CD762" i="19"/>
  <c r="CE762" i="19" s="1"/>
  <c r="CD765" i="19"/>
  <c r="CE765" i="19" s="1"/>
  <c r="CD766" i="19"/>
  <c r="CE766" i="19" s="1"/>
  <c r="CD769" i="19"/>
  <c r="CD770" i="19"/>
  <c r="CE770" i="19" s="1"/>
  <c r="CD773" i="19"/>
  <c r="CE773" i="19" s="1"/>
  <c r="CD774" i="19"/>
  <c r="CD777" i="19"/>
  <c r="CE777" i="19" s="1"/>
  <c r="CD778" i="19"/>
  <c r="CE778" i="19" s="1"/>
  <c r="CD805" i="19"/>
  <c r="CD806" i="19"/>
  <c r="CE806" i="19" s="1"/>
  <c r="CD820" i="19"/>
  <c r="CD821" i="19"/>
  <c r="CE821" i="19" s="1"/>
  <c r="CD853" i="19"/>
  <c r="CE853" i="19" s="1"/>
  <c r="CD856" i="19"/>
  <c r="CE856" i="19" s="1"/>
  <c r="CD857" i="19"/>
  <c r="CD860" i="19"/>
  <c r="CE860" i="19" s="1"/>
  <c r="CD861" i="19"/>
  <c r="CE861" i="19" s="1"/>
  <c r="CD864" i="19"/>
  <c r="CD865" i="19"/>
  <c r="CE865" i="19" s="1"/>
  <c r="CD868" i="19"/>
  <c r="CD869" i="19"/>
  <c r="CE869" i="19" s="1"/>
  <c r="CD874" i="19"/>
  <c r="CE874" i="19" s="1"/>
  <c r="CD877" i="19"/>
  <c r="CE877" i="19" s="1"/>
  <c r="CD878" i="19"/>
  <c r="CE878" i="19" s="1"/>
  <c r="CD881" i="19"/>
  <c r="CE881" i="19" s="1"/>
  <c r="CD882" i="19"/>
  <c r="CE882" i="19" s="1"/>
  <c r="CD885" i="19"/>
  <c r="CE885" i="19" s="1"/>
  <c r="CD886" i="19"/>
  <c r="CE886" i="19" s="1"/>
  <c r="CD963" i="19"/>
  <c r="CD969" i="19"/>
  <c r="CE969" i="19" s="1"/>
  <c r="CD970" i="19"/>
  <c r="CE970" i="19" s="1"/>
  <c r="BM971" i="19"/>
  <c r="BM976" i="19"/>
  <c r="BM1006" i="19"/>
  <c r="BM1011" i="19"/>
  <c r="BM1014" i="19"/>
  <c r="BM1019" i="19"/>
  <c r="BM1073" i="19"/>
  <c r="BM1078" i="19"/>
  <c r="BM1110" i="19"/>
  <c r="CD971" i="19"/>
  <c r="CE971" i="19" s="1"/>
  <c r="CD972" i="19"/>
  <c r="CE972" i="19" s="1"/>
  <c r="CD975" i="19"/>
  <c r="CE975" i="19" s="1"/>
  <c r="CD976" i="19"/>
  <c r="CE976" i="19" s="1"/>
  <c r="CD1006" i="19"/>
  <c r="CD1007" i="19"/>
  <c r="CE1007" i="19" s="1"/>
  <c r="CD1010" i="19"/>
  <c r="CE1010" i="19" s="1"/>
  <c r="CD1011" i="19"/>
  <c r="CE1011" i="19" s="1"/>
  <c r="CD1014" i="19"/>
  <c r="CE1014" i="19" s="1"/>
  <c r="CD1015" i="19"/>
  <c r="CE1015" i="19" s="1"/>
  <c r="CD1018" i="19"/>
  <c r="CE1018" i="19" s="1"/>
  <c r="CD1019" i="19"/>
  <c r="CE1019" i="19" s="1"/>
  <c r="CD1073" i="19"/>
  <c r="CD1074" i="19"/>
  <c r="CE1074" i="19" s="1"/>
  <c r="CD1077" i="19"/>
  <c r="CE1077" i="19" s="1"/>
  <c r="CD1078" i="19"/>
  <c r="CE1078" i="19" s="1"/>
  <c r="CD1110" i="19"/>
  <c r="CD1111" i="19"/>
  <c r="CE1111" i="19" s="1"/>
  <c r="BM1113" i="19"/>
  <c r="CD1113" i="19"/>
  <c r="CE1113" i="19" s="1"/>
  <c r="BM1115" i="19"/>
  <c r="CD1115" i="19"/>
  <c r="CE1115" i="19" s="1"/>
  <c r="BM1121" i="19"/>
  <c r="CD1121" i="19"/>
  <c r="BM1125" i="19"/>
  <c r="CD1125" i="19"/>
  <c r="CE1125" i="19" s="1"/>
  <c r="BM1127" i="19"/>
  <c r="CD1127" i="19"/>
  <c r="CE1127" i="19" s="1"/>
  <c r="BM1129" i="19"/>
  <c r="CD1129" i="19"/>
  <c r="CE1129" i="19" s="1"/>
  <c r="BM1131" i="19"/>
  <c r="CD1131" i="19"/>
  <c r="CE1131" i="19" s="1"/>
  <c r="BM1133" i="19"/>
  <c r="CD1133" i="19"/>
  <c r="CE1133" i="19" s="1"/>
  <c r="BM1135" i="19"/>
  <c r="CD1135" i="19"/>
  <c r="CE1135" i="19" s="1"/>
  <c r="BM1137" i="19"/>
  <c r="CD1137" i="19"/>
  <c r="CE1137" i="19" s="1"/>
  <c r="BM1139" i="19"/>
  <c r="CD1139" i="19"/>
  <c r="CE1139" i="19" s="1"/>
  <c r="B1166" i="19"/>
  <c r="BM633" i="19"/>
  <c r="BM634" i="19"/>
  <c r="BM635" i="19"/>
  <c r="CD704" i="19"/>
  <c r="CE293" i="19" l="1"/>
  <c r="CE352" i="19"/>
  <c r="CE296" i="19"/>
  <c r="CE712" i="19"/>
  <c r="CE965" i="19"/>
  <c r="D1161" i="19"/>
  <c r="E1157" i="19"/>
  <c r="K1157" i="19" s="1"/>
  <c r="C1166" i="19"/>
  <c r="CE964" i="19"/>
  <c r="CE503" i="19"/>
  <c r="CE295" i="19"/>
  <c r="CE619" i="19"/>
  <c r="CE294" i="19"/>
  <c r="CE618" i="19"/>
  <c r="CE501" i="19"/>
  <c r="CE319" i="19"/>
  <c r="CE351" i="19"/>
  <c r="CE499" i="19"/>
  <c r="CE291" i="19"/>
  <c r="G1162" i="19"/>
  <c r="G1161" i="19"/>
  <c r="CE373" i="19"/>
  <c r="H1159" i="19"/>
  <c r="CE360" i="19"/>
  <c r="E1159" i="19"/>
  <c r="H1155" i="19"/>
  <c r="CE292" i="19"/>
  <c r="H1160" i="19"/>
  <c r="K1160" i="19" s="1"/>
  <c r="E1154" i="19"/>
  <c r="K1154" i="19" s="1"/>
  <c r="B1161" i="19"/>
  <c r="I1159" i="19"/>
  <c r="CE316" i="19"/>
  <c r="C1159" i="19"/>
  <c r="CE550" i="19"/>
  <c r="H1153" i="19"/>
  <c r="D1162" i="19"/>
  <c r="I1155" i="19"/>
  <c r="CE586" i="19"/>
  <c r="CE582" i="19"/>
  <c r="CE251" i="19"/>
  <c r="CE170" i="19"/>
  <c r="CE587" i="19"/>
  <c r="E1156" i="19"/>
  <c r="K1156" i="19" s="1"/>
  <c r="CE580" i="19"/>
  <c r="E1155" i="19"/>
  <c r="I1153" i="19"/>
  <c r="D1166" i="19" s="1"/>
  <c r="B1162" i="19"/>
  <c r="E1153" i="19"/>
  <c r="CE1071" i="19"/>
  <c r="C1153" i="19"/>
  <c r="EP5" i="19"/>
  <c r="DR3" i="19"/>
  <c r="H69" i="2" s="1"/>
  <c r="EL3" i="19"/>
  <c r="H74" i="2" s="1"/>
  <c r="EH6" i="19"/>
  <c r="DJ4" i="19"/>
  <c r="E70" i="2" s="1"/>
  <c r="EP3" i="19"/>
  <c r="EI4" i="19"/>
  <c r="EA5" i="19"/>
  <c r="EA3" i="19"/>
  <c r="DN2" i="19"/>
  <c r="H63" i="2" s="1"/>
  <c r="EQ3" i="19"/>
  <c r="DF3" i="19"/>
  <c r="E64" i="2" s="1"/>
  <c r="DZ5" i="19"/>
  <c r="DV5" i="19"/>
  <c r="B76" i="2" s="1"/>
  <c r="EP6" i="19"/>
  <c r="DJ6" i="19"/>
  <c r="E72" i="2" s="1"/>
  <c r="DF6" i="19"/>
  <c r="E67" i="2" s="1"/>
  <c r="DZ3" i="19"/>
  <c r="EP2" i="19"/>
  <c r="H78" i="2" s="1"/>
  <c r="EQ4" i="19"/>
  <c r="DZ4" i="19"/>
  <c r="DB5" i="19"/>
  <c r="B71" i="2" s="1"/>
  <c r="EH2" i="19"/>
  <c r="E78" i="2" s="1"/>
  <c r="EI5" i="19"/>
  <c r="EL2" i="19"/>
  <c r="H73" i="2" s="1"/>
  <c r="DV4" i="19"/>
  <c r="B75" i="2" s="1"/>
  <c r="ED2" i="19"/>
  <c r="E73" i="2" s="1"/>
  <c r="EQ6" i="19"/>
  <c r="DR6" i="19"/>
  <c r="H72" i="2" s="1"/>
  <c r="DG5" i="19"/>
  <c r="G66" i="2" s="1"/>
  <c r="DO2" i="19"/>
  <c r="J63" i="2" s="1"/>
  <c r="DO4" i="19"/>
  <c r="J65" i="2" s="1"/>
  <c r="CY5" i="19"/>
  <c r="D66" i="2" s="1"/>
  <c r="DG2" i="19"/>
  <c r="G63" i="2" s="1"/>
  <c r="DG4" i="19"/>
  <c r="G65" i="2" s="1"/>
  <c r="F65" i="2" s="1"/>
  <c r="CY4" i="19"/>
  <c r="D65" i="2" s="1"/>
  <c r="DG6" i="19"/>
  <c r="G67" i="2" s="1"/>
  <c r="DO3" i="19"/>
  <c r="J64" i="2" s="1"/>
  <c r="CY6" i="19"/>
  <c r="D67" i="2" s="1"/>
  <c r="DG3" i="19"/>
  <c r="G64" i="2" s="1"/>
  <c r="CY2" i="19"/>
  <c r="D63" i="2" s="1"/>
  <c r="DO5" i="19"/>
  <c r="J66" i="2" s="1"/>
  <c r="CY3" i="19"/>
  <c r="D64" i="2" s="1"/>
  <c r="DV3" i="19"/>
  <c r="B74" i="2" s="1"/>
  <c r="EQ5" i="19"/>
  <c r="EH4" i="19"/>
  <c r="CX2" i="19"/>
  <c r="B63" i="2" s="1"/>
  <c r="DJ5" i="19"/>
  <c r="E71" i="2" s="1"/>
  <c r="EL6" i="19"/>
  <c r="H77" i="2" s="1"/>
  <c r="EL5" i="19"/>
  <c r="H76" i="2" s="1"/>
  <c r="DV2" i="19"/>
  <c r="B73" i="2" s="1"/>
  <c r="EH3" i="19"/>
  <c r="DB6" i="19"/>
  <c r="B72" i="2" s="1"/>
  <c r="EP4" i="19"/>
  <c r="DJ2" i="19"/>
  <c r="E68" i="2" s="1"/>
  <c r="DN5" i="19"/>
  <c r="H66" i="2" s="1"/>
  <c r="CX4" i="19"/>
  <c r="B65" i="2" s="1"/>
  <c r="EI6" i="19"/>
  <c r="EH5" i="19"/>
  <c r="ED3" i="19"/>
  <c r="E74" i="2" s="1"/>
  <c r="EA6" i="19"/>
  <c r="DZ2" i="19"/>
  <c r="B78" i="2" s="1"/>
  <c r="ED5" i="19"/>
  <c r="E76" i="2" s="1"/>
  <c r="ED6" i="19"/>
  <c r="E77" i="2" s="1"/>
  <c r="EL4" i="19"/>
  <c r="H75" i="2" s="1"/>
  <c r="DB3" i="19"/>
  <c r="B69" i="2" s="1"/>
  <c r="DN4" i="19"/>
  <c r="H65" i="2" s="1"/>
  <c r="EI3" i="19"/>
  <c r="DZ6" i="19"/>
  <c r="EA4" i="19"/>
  <c r="ED4" i="19"/>
  <c r="E75" i="2" s="1"/>
  <c r="DR4" i="19"/>
  <c r="H70" i="2" s="1"/>
  <c r="DJ3" i="19"/>
  <c r="E69" i="2" s="1"/>
  <c r="DV6" i="19"/>
  <c r="B77" i="2" s="1"/>
  <c r="CX5" i="19"/>
  <c r="B66" i="2" s="1"/>
  <c r="DF2" i="19"/>
  <c r="E63" i="2" s="1"/>
  <c r="DN6" i="19"/>
  <c r="H67" i="2" s="1"/>
  <c r="DF5" i="19"/>
  <c r="E66" i="2" s="1"/>
  <c r="CX3" i="19"/>
  <c r="B64" i="2" s="1"/>
  <c r="DR5" i="19"/>
  <c r="H71" i="2" s="1"/>
  <c r="DB4" i="19"/>
  <c r="B70" i="2" s="1"/>
  <c r="DB2" i="19"/>
  <c r="B68" i="2" s="1"/>
  <c r="DN3" i="19"/>
  <c r="H64" i="2" s="1"/>
  <c r="DR2" i="19"/>
  <c r="H68" i="2" s="1"/>
  <c r="CX6" i="19"/>
  <c r="B67" i="2" s="1"/>
  <c r="CE1110" i="19"/>
  <c r="EI2" i="19"/>
  <c r="G78" i="2" s="1"/>
  <c r="CE1073" i="19"/>
  <c r="EA2" i="19"/>
  <c r="D78" i="2" s="1"/>
  <c r="CE1006" i="19"/>
  <c r="EM6" i="19"/>
  <c r="J77" i="2" s="1"/>
  <c r="DW5" i="19"/>
  <c r="D76" i="2" s="1"/>
  <c r="CE857" i="19"/>
  <c r="CE774" i="19"/>
  <c r="EM3" i="19"/>
  <c r="J74" i="2" s="1"/>
  <c r="CE754" i="19"/>
  <c r="EE2" i="19"/>
  <c r="G73" i="2" s="1"/>
  <c r="CE731" i="19"/>
  <c r="DC6" i="19"/>
  <c r="D72" i="2" s="1"/>
  <c r="CE690" i="19"/>
  <c r="DS4" i="19"/>
  <c r="J70" i="2" s="1"/>
  <c r="CE683" i="19"/>
  <c r="DK4" i="19"/>
  <c r="G70" i="2" s="1"/>
  <c r="CE679" i="19"/>
  <c r="DC4" i="19"/>
  <c r="D70" i="2" s="1"/>
  <c r="CE673" i="19"/>
  <c r="DS3" i="19"/>
  <c r="J69" i="2" s="1"/>
  <c r="CE667" i="19"/>
  <c r="DK3" i="19"/>
  <c r="G69" i="2" s="1"/>
  <c r="CE659" i="19"/>
  <c r="DC3" i="19"/>
  <c r="D69" i="2" s="1"/>
  <c r="CE655" i="19"/>
  <c r="DS2" i="19"/>
  <c r="J68" i="2" s="1"/>
  <c r="CE649" i="19"/>
  <c r="DK2" i="19"/>
  <c r="G68" i="2" s="1"/>
  <c r="CE645" i="19"/>
  <c r="DC2" i="19"/>
  <c r="D68" i="2" s="1"/>
  <c r="CE637" i="19"/>
  <c r="DO6" i="19"/>
  <c r="J67" i="2" s="1"/>
  <c r="DW3" i="19"/>
  <c r="D74" i="2" s="1"/>
  <c r="CE1121" i="19"/>
  <c r="EQ2" i="19"/>
  <c r="J78" i="2" s="1"/>
  <c r="CE963" i="19"/>
  <c r="EE6" i="19"/>
  <c r="G77" i="2" s="1"/>
  <c r="DW6" i="19"/>
  <c r="D77" i="2" s="1"/>
  <c r="CE868" i="19"/>
  <c r="EM5" i="19"/>
  <c r="J76" i="2" s="1"/>
  <c r="CE864" i="19"/>
  <c r="EE5" i="19"/>
  <c r="G76" i="2" s="1"/>
  <c r="EM4" i="19"/>
  <c r="J75" i="2" s="1"/>
  <c r="CE820" i="19"/>
  <c r="EE4" i="19"/>
  <c r="G75" i="2" s="1"/>
  <c r="CE805" i="19"/>
  <c r="DW4" i="19"/>
  <c r="D75" i="2" s="1"/>
  <c r="CE769" i="19"/>
  <c r="EE3" i="19"/>
  <c r="G74" i="2" s="1"/>
  <c r="CE761" i="19"/>
  <c r="EM2" i="19"/>
  <c r="J73" i="2" s="1"/>
  <c r="CE746" i="19"/>
  <c r="DW2" i="19"/>
  <c r="D73" i="2" s="1"/>
  <c r="CE742" i="19"/>
  <c r="DS6" i="19"/>
  <c r="J72" i="2" s="1"/>
  <c r="CE738" i="19"/>
  <c r="DK6" i="19"/>
  <c r="G72" i="2" s="1"/>
  <c r="DS5" i="19"/>
  <c r="J71" i="2" s="1"/>
  <c r="DK5" i="19"/>
  <c r="G71" i="2" s="1"/>
  <c r="CE704" i="19"/>
  <c r="DC5" i="19"/>
  <c r="D71" i="2" s="1"/>
  <c r="B1146" i="19"/>
  <c r="H1162" i="19" l="1"/>
  <c r="H1161" i="19"/>
  <c r="I1162" i="19"/>
  <c r="I1161" i="19"/>
  <c r="C1161" i="19"/>
  <c r="K1159" i="19"/>
  <c r="I66" i="2"/>
  <c r="F67" i="2"/>
  <c r="E1162" i="19"/>
  <c r="E1161" i="19"/>
  <c r="K1155" i="19"/>
  <c r="M72" i="2"/>
  <c r="K1153" i="19"/>
  <c r="C1162" i="19"/>
  <c r="F66" i="2"/>
  <c r="I68" i="2"/>
  <c r="M67" i="2"/>
  <c r="M69" i="2"/>
  <c r="I65" i="2"/>
  <c r="I64" i="2"/>
  <c r="M77" i="2"/>
  <c r="M74" i="2"/>
  <c r="F69" i="2"/>
  <c r="I70" i="2"/>
  <c r="C64" i="2"/>
  <c r="K64" i="2"/>
  <c r="F74" i="2"/>
  <c r="K74" i="2"/>
  <c r="C74" i="2"/>
  <c r="M65" i="2"/>
  <c r="M73" i="2"/>
  <c r="M68" i="2"/>
  <c r="K73" i="2"/>
  <c r="C73" i="2"/>
  <c r="J79" i="2"/>
  <c r="F78" i="2"/>
  <c r="F72" i="2"/>
  <c r="M71" i="2"/>
  <c r="M76" i="2"/>
  <c r="K67" i="2"/>
  <c r="C67" i="2"/>
  <c r="I67" i="2"/>
  <c r="K69" i="2"/>
  <c r="C69" i="2"/>
  <c r="I76" i="2"/>
  <c r="M64" i="2"/>
  <c r="K71" i="2"/>
  <c r="C71" i="2"/>
  <c r="F63" i="2"/>
  <c r="E79" i="2"/>
  <c r="I75" i="2"/>
  <c r="C65" i="2"/>
  <c r="K65" i="2"/>
  <c r="I77" i="2"/>
  <c r="I72" i="2"/>
  <c r="C76" i="2"/>
  <c r="K76" i="2"/>
  <c r="K66" i="2"/>
  <c r="C66" i="2"/>
  <c r="F77" i="2"/>
  <c r="F71" i="2"/>
  <c r="G79" i="2"/>
  <c r="F70" i="2"/>
  <c r="M75" i="2"/>
  <c r="M70" i="2"/>
  <c r="M78" i="2"/>
  <c r="K68" i="2"/>
  <c r="C68" i="2"/>
  <c r="K77" i="2"/>
  <c r="C77" i="2"/>
  <c r="F75" i="2"/>
  <c r="F76" i="2"/>
  <c r="F68" i="2"/>
  <c r="K63" i="2"/>
  <c r="B79" i="2"/>
  <c r="C63" i="2"/>
  <c r="M63" i="2"/>
  <c r="D79" i="2"/>
  <c r="F73" i="2"/>
  <c r="I78" i="2"/>
  <c r="F64" i="2"/>
  <c r="K78" i="2"/>
  <c r="C78" i="2"/>
  <c r="M66" i="2"/>
  <c r="C75" i="2"/>
  <c r="K75" i="2"/>
  <c r="I74" i="2"/>
  <c r="C70" i="2"/>
  <c r="K70" i="2"/>
  <c r="I71" i="2"/>
  <c r="K72" i="2"/>
  <c r="C72" i="2"/>
  <c r="I73" i="2"/>
  <c r="I63" i="2"/>
  <c r="H79" i="2"/>
  <c r="I69" i="2"/>
  <c r="B1213" i="19" l="1"/>
  <c r="B1210" i="19"/>
  <c r="B1217" i="19"/>
  <c r="B1212" i="19"/>
  <c r="B1215" i="19"/>
  <c r="B1224" i="19"/>
  <c r="B1211" i="19"/>
  <c r="B1223" i="19"/>
  <c r="B1222" i="19"/>
  <c r="B1216" i="19"/>
  <c r="B1218" i="19"/>
  <c r="B1221" i="19"/>
  <c r="B1219" i="19"/>
  <c r="K1161" i="19"/>
  <c r="B1214" i="19"/>
  <c r="B1220" i="19"/>
  <c r="K1162" i="19"/>
  <c r="L66" i="2"/>
  <c r="L65" i="2"/>
  <c r="L70" i="2"/>
  <c r="L75" i="2"/>
  <c r="M79" i="2"/>
  <c r="E118" i="2" s="1"/>
  <c r="L72" i="2"/>
  <c r="L77" i="2"/>
  <c r="L76" i="2"/>
  <c r="L71" i="2"/>
  <c r="I79" i="2"/>
  <c r="L74" i="2"/>
  <c r="C79" i="2"/>
  <c r="L63" i="2"/>
  <c r="L68" i="2"/>
  <c r="L69" i="2"/>
  <c r="L78" i="2"/>
  <c r="K79" i="2"/>
  <c r="L73" i="2"/>
  <c r="F79" i="2"/>
  <c r="L67" i="2"/>
  <c r="L64" i="2"/>
  <c r="N79" i="2" l="1"/>
  <c r="L79" i="2"/>
  <c r="K24" i="2" l="1"/>
  <c r="J44" i="2" l="1"/>
  <c r="D48" i="2"/>
  <c r="D51" i="2"/>
  <c r="B56" i="2"/>
  <c r="D53" i="2"/>
  <c r="G51" i="2"/>
  <c r="E52" i="2"/>
  <c r="G45" i="2"/>
  <c r="G52" i="2"/>
  <c r="D54" i="2"/>
  <c r="D45" i="2"/>
  <c r="H46" i="2"/>
  <c r="B54" i="2"/>
  <c r="B49" i="2"/>
  <c r="B46" i="2"/>
  <c r="E58" i="2"/>
  <c r="D47" i="2"/>
  <c r="B52" i="2"/>
  <c r="E46" i="2"/>
  <c r="J58" i="2"/>
  <c r="E56" i="2"/>
  <c r="H54" i="2"/>
  <c r="B53" i="2"/>
  <c r="H56" i="2"/>
  <c r="G59" i="2"/>
  <c r="D44" i="2"/>
  <c r="B47" i="2"/>
  <c r="B59" i="2"/>
  <c r="E50" i="2"/>
  <c r="H58" i="2"/>
  <c r="E47" i="2"/>
  <c r="D55" i="2"/>
  <c r="G49" i="2"/>
  <c r="G54" i="2"/>
  <c r="J55" i="2"/>
  <c r="G57" i="2"/>
  <c r="B44" i="2"/>
  <c r="E53" i="2"/>
  <c r="E44" i="2"/>
  <c r="H47" i="2"/>
  <c r="E49" i="2"/>
  <c r="E51" i="2"/>
  <c r="E59" i="2"/>
  <c r="B57" i="2"/>
  <c r="D52" i="2"/>
  <c r="J47" i="2"/>
  <c r="D56" i="2"/>
  <c r="D58" i="2"/>
  <c r="J56" i="2"/>
  <c r="B50" i="2"/>
  <c r="G55" i="2"/>
  <c r="D49" i="2"/>
  <c r="E45" i="2"/>
  <c r="H59" i="2"/>
  <c r="E57" i="2"/>
  <c r="J45" i="2"/>
  <c r="G50" i="2"/>
  <c r="B45" i="2"/>
  <c r="D50" i="2"/>
  <c r="H57" i="2"/>
  <c r="D57" i="2"/>
  <c r="G53" i="2"/>
  <c r="J59" i="2"/>
  <c r="J57" i="2"/>
  <c r="G48" i="2"/>
  <c r="G58" i="2"/>
  <c r="D59" i="2"/>
  <c r="G46" i="2"/>
  <c r="H45" i="2"/>
  <c r="B48" i="2"/>
  <c r="D46" i="2"/>
  <c r="E54" i="2"/>
  <c r="B51" i="2"/>
  <c r="B55" i="2"/>
  <c r="E48" i="2"/>
  <c r="J54" i="2"/>
  <c r="G44" i="2"/>
  <c r="J48" i="2"/>
  <c r="G56" i="2"/>
  <c r="G47" i="2"/>
  <c r="E55" i="2"/>
  <c r="H48" i="2"/>
  <c r="J46" i="2"/>
  <c r="H44" i="2"/>
  <c r="H55" i="2"/>
  <c r="B58" i="2"/>
  <c r="H53" i="2"/>
  <c r="H52" i="2"/>
  <c r="H51" i="2"/>
  <c r="H50" i="2"/>
  <c r="H49" i="2"/>
  <c r="J53" i="2"/>
  <c r="J52" i="2"/>
  <c r="J51" i="2"/>
  <c r="J50" i="2"/>
  <c r="J49" i="2"/>
  <c r="I46" i="2" l="1"/>
  <c r="C47" i="2"/>
  <c r="C57" i="2"/>
  <c r="C55" i="2"/>
  <c r="C54" i="2"/>
  <c r="F45" i="2"/>
  <c r="I54" i="2"/>
  <c r="K54" i="2"/>
  <c r="C50" i="2"/>
  <c r="F55" i="2"/>
  <c r="K47" i="2"/>
  <c r="M47" i="2"/>
  <c r="K56" i="2"/>
  <c r="K58" i="2"/>
  <c r="F51" i="2"/>
  <c r="C45" i="2"/>
  <c r="C56" i="2"/>
  <c r="I47" i="2"/>
  <c r="M55" i="2"/>
  <c r="C49" i="2"/>
  <c r="M52" i="2"/>
  <c r="K50" i="2"/>
  <c r="K45" i="2"/>
  <c r="K46" i="2"/>
  <c r="F48" i="2"/>
  <c r="F53" i="2"/>
  <c r="F52" i="2"/>
  <c r="F46" i="2"/>
  <c r="C44" i="2"/>
  <c r="F47" i="2"/>
  <c r="C51" i="2"/>
  <c r="F44" i="2"/>
  <c r="M50" i="2"/>
  <c r="F58" i="2"/>
  <c r="F56" i="2"/>
  <c r="I56" i="2"/>
  <c r="F54" i="2"/>
  <c r="M53" i="2"/>
  <c r="C46" i="2"/>
  <c r="M45" i="2"/>
  <c r="F50" i="2"/>
  <c r="C53" i="2"/>
  <c r="C52" i="2"/>
  <c r="I45" i="2"/>
  <c r="M54" i="2"/>
  <c r="M44" i="2"/>
  <c r="M46" i="2"/>
  <c r="M56" i="2"/>
  <c r="M57" i="2"/>
  <c r="K57" i="2"/>
  <c r="I57" i="2"/>
  <c r="K51" i="2"/>
  <c r="I50" i="2"/>
  <c r="I53" i="2"/>
  <c r="I51" i="2"/>
  <c r="I52" i="2"/>
  <c r="K55" i="2"/>
  <c r="I55" i="2"/>
  <c r="M51" i="2"/>
  <c r="M48" i="2"/>
  <c r="K48" i="2"/>
  <c r="I49" i="2"/>
  <c r="M59" i="2"/>
  <c r="H60" i="2"/>
  <c r="F57" i="2"/>
  <c r="D60" i="2"/>
  <c r="K49" i="2"/>
  <c r="M49" i="2"/>
  <c r="K59" i="2"/>
  <c r="K52" i="2"/>
  <c r="G60" i="2"/>
  <c r="C59" i="2"/>
  <c r="F49" i="2"/>
  <c r="I44" i="2"/>
  <c r="I48" i="2"/>
  <c r="C48" i="2"/>
  <c r="I59" i="2"/>
  <c r="B60" i="2"/>
  <c r="J60" i="2"/>
  <c r="K53" i="2"/>
  <c r="K44" i="2"/>
  <c r="M58" i="2"/>
  <c r="E60" i="2"/>
  <c r="C58" i="2"/>
  <c r="F59" i="2"/>
  <c r="I58" i="2"/>
  <c r="L44" i="2" l="1"/>
  <c r="L56" i="2"/>
  <c r="L51" i="2"/>
  <c r="L53" i="2"/>
  <c r="L54" i="2"/>
  <c r="L46" i="2"/>
  <c r="L47" i="2"/>
  <c r="L45" i="2"/>
  <c r="L55" i="2"/>
  <c r="L52" i="2"/>
  <c r="L50" i="2"/>
  <c r="F60" i="2"/>
  <c r="L57" i="2"/>
  <c r="L49" i="2"/>
  <c r="C60" i="2"/>
  <c r="M60" i="2"/>
  <c r="E99" i="2" s="1"/>
  <c r="K60" i="2"/>
  <c r="L48" i="2"/>
  <c r="L58" i="2"/>
  <c r="L59" i="2"/>
  <c r="I60" i="2"/>
  <c r="N60" i="2" l="1"/>
  <c r="L60" i="2"/>
  <c r="J35" i="2" l="1"/>
  <c r="B26" i="2"/>
  <c r="H32" i="2"/>
  <c r="H34" i="2"/>
  <c r="H35" i="2"/>
  <c r="H31" i="2"/>
  <c r="H33" i="2"/>
  <c r="J34" i="2"/>
  <c r="J32" i="2"/>
  <c r="J31" i="2"/>
  <c r="E34" i="2"/>
  <c r="D37" i="2"/>
  <c r="E32" i="2"/>
  <c r="E35" i="2"/>
  <c r="B32" i="2"/>
  <c r="B34" i="2"/>
  <c r="B35" i="2"/>
  <c r="E31" i="2"/>
  <c r="B27" i="2"/>
  <c r="E33" i="2"/>
  <c r="E26" i="2"/>
  <c r="E39" i="2"/>
  <c r="B31" i="2"/>
  <c r="B33" i="2"/>
  <c r="B36" i="2"/>
  <c r="B28" i="2"/>
  <c r="G34" i="2"/>
  <c r="H36" i="2"/>
  <c r="H27" i="2"/>
  <c r="E38" i="2"/>
  <c r="J28" i="2"/>
  <c r="B29" i="2"/>
  <c r="E40" i="2"/>
  <c r="D30" i="2"/>
  <c r="J27" i="2"/>
  <c r="E27" i="2"/>
  <c r="H29" i="2"/>
  <c r="G32" i="2"/>
  <c r="B37" i="2"/>
  <c r="B30" i="2"/>
  <c r="G35" i="2"/>
  <c r="H26" i="2"/>
  <c r="E37" i="2"/>
  <c r="H30" i="2"/>
  <c r="J26" i="2"/>
  <c r="E36" i="2"/>
  <c r="H28" i="2"/>
  <c r="D40" i="2"/>
  <c r="G30" i="2"/>
  <c r="G38" i="2"/>
  <c r="D36" i="2"/>
  <c r="H37" i="2"/>
  <c r="E28" i="2"/>
  <c r="B38" i="2"/>
  <c r="H38" i="2"/>
  <c r="E29" i="2"/>
  <c r="B39" i="2"/>
  <c r="H39" i="2"/>
  <c r="E30" i="2"/>
  <c r="B40" i="2"/>
  <c r="H40" i="2"/>
  <c r="D28" i="2"/>
  <c r="D29" i="2"/>
  <c r="D35" i="2"/>
  <c r="G26" i="2"/>
  <c r="D27" i="2"/>
  <c r="D38" i="2"/>
  <c r="G27" i="2"/>
  <c r="G39" i="2"/>
  <c r="D31" i="2"/>
  <c r="G40" i="2"/>
  <c r="G28" i="2"/>
  <c r="D34" i="2"/>
  <c r="G33" i="2"/>
  <c r="G29" i="2"/>
  <c r="G37" i="2"/>
  <c r="D26" i="2"/>
  <c r="J29" i="2"/>
  <c r="D33" i="2"/>
  <c r="G36" i="2"/>
  <c r="D32" i="2"/>
  <c r="J39" i="2"/>
  <c r="J38" i="2"/>
  <c r="J40" i="2"/>
  <c r="G31" i="2"/>
  <c r="J36" i="2"/>
  <c r="J33" i="2"/>
  <c r="J30" i="2"/>
  <c r="J37" i="2"/>
  <c r="D39" i="2"/>
  <c r="M32" i="2" l="1"/>
  <c r="C27" i="2"/>
  <c r="F34" i="2"/>
  <c r="F39" i="2"/>
  <c r="I35" i="2"/>
  <c r="C31" i="2"/>
  <c r="C36" i="2"/>
  <c r="C37" i="2"/>
  <c r="F32" i="2"/>
  <c r="F40" i="2"/>
  <c r="K35" i="2"/>
  <c r="K32" i="2"/>
  <c r="K31" i="2"/>
  <c r="K34" i="2"/>
  <c r="C26" i="2"/>
  <c r="F35" i="2"/>
  <c r="C34" i="2"/>
  <c r="C30" i="2"/>
  <c r="K27" i="2"/>
  <c r="K28" i="2"/>
  <c r="F38" i="2"/>
  <c r="K29" i="2"/>
  <c r="M29" i="2"/>
  <c r="K36" i="2"/>
  <c r="K33" i="2"/>
  <c r="I32" i="2"/>
  <c r="I26" i="2"/>
  <c r="I27" i="2"/>
  <c r="I36" i="2"/>
  <c r="C33" i="2"/>
  <c r="K26" i="2"/>
  <c r="I33" i="2"/>
  <c r="F26" i="2"/>
  <c r="F33" i="2"/>
  <c r="C35" i="2"/>
  <c r="I31" i="2"/>
  <c r="F36" i="2"/>
  <c r="F37" i="2"/>
  <c r="F27" i="2"/>
  <c r="I28" i="2"/>
  <c r="C29" i="2"/>
  <c r="K30" i="2"/>
  <c r="M30" i="2"/>
  <c r="I38" i="2"/>
  <c r="F28" i="2"/>
  <c r="F30" i="2"/>
  <c r="M40" i="2"/>
  <c r="M28" i="2"/>
  <c r="C28" i="2"/>
  <c r="M27" i="2"/>
  <c r="M34" i="2"/>
  <c r="K40" i="2"/>
  <c r="K39" i="2"/>
  <c r="F29" i="2"/>
  <c r="K38" i="2"/>
  <c r="H41" i="2"/>
  <c r="C40" i="2"/>
  <c r="K37" i="2"/>
  <c r="C38" i="2"/>
  <c r="I34" i="2"/>
  <c r="E41" i="2"/>
  <c r="B41" i="2"/>
  <c r="I39" i="2"/>
  <c r="M38" i="2"/>
  <c r="I30" i="2"/>
  <c r="M37" i="2"/>
  <c r="M31" i="2"/>
  <c r="M26" i="2"/>
  <c r="I40" i="2"/>
  <c r="F31" i="2"/>
  <c r="D41" i="2"/>
  <c r="G41" i="2"/>
  <c r="I29" i="2"/>
  <c r="C32" i="2"/>
  <c r="M35" i="2"/>
  <c r="M36" i="2"/>
  <c r="I37" i="2"/>
  <c r="J41" i="2"/>
  <c r="C39" i="2"/>
  <c r="M39" i="2"/>
  <c r="M33" i="2"/>
  <c r="L35" i="2" l="1"/>
  <c r="L31" i="2"/>
  <c r="L32" i="2"/>
  <c r="L27" i="2"/>
  <c r="L34" i="2"/>
  <c r="L38" i="2"/>
  <c r="L36" i="2"/>
  <c r="L26" i="2"/>
  <c r="L33" i="2"/>
  <c r="L37" i="2"/>
  <c r="L40" i="2"/>
  <c r="L30" i="2"/>
  <c r="L28" i="2"/>
  <c r="K41" i="2"/>
  <c r="L39" i="2"/>
  <c r="F41" i="2"/>
  <c r="L29" i="2"/>
  <c r="M41" i="2"/>
  <c r="E80" i="2" s="1"/>
  <c r="C41" i="2"/>
  <c r="I41" i="2"/>
  <c r="E61" i="2" l="1"/>
  <c r="N41" i="2"/>
  <c r="L41" i="2"/>
  <c r="E18" i="2" l="1"/>
  <c r="J13" i="2" l="1"/>
  <c r="J12" i="2"/>
  <c r="J16" i="2"/>
  <c r="J15" i="2"/>
  <c r="H16" i="2"/>
  <c r="J14" i="2"/>
  <c r="H15" i="2"/>
  <c r="H12" i="2"/>
  <c r="H14" i="2"/>
  <c r="H13" i="2"/>
  <c r="D20" i="2"/>
  <c r="G20" i="2"/>
  <c r="J9" i="2"/>
  <c r="H7" i="2"/>
  <c r="D22" i="2"/>
  <c r="G15" i="2"/>
  <c r="J17" i="2"/>
  <c r="D21" i="2"/>
  <c r="G12" i="2"/>
  <c r="G14" i="2"/>
  <c r="D16" i="2"/>
  <c r="H17" i="2"/>
  <c r="B18" i="2"/>
  <c r="E19" i="2"/>
  <c r="B7" i="2"/>
  <c r="H19" i="2"/>
  <c r="G9" i="2"/>
  <c r="G18" i="2"/>
  <c r="J21" i="2"/>
  <c r="J20" i="2"/>
  <c r="D18" i="2"/>
  <c r="D17" i="2"/>
  <c r="E9" i="2"/>
  <c r="B16" i="2"/>
  <c r="E17" i="2"/>
  <c r="B20" i="2"/>
  <c r="J10" i="2"/>
  <c r="D19" i="2"/>
  <c r="H18" i="2"/>
  <c r="B14" i="2"/>
  <c r="E15" i="2"/>
  <c r="B17" i="2"/>
  <c r="E22" i="2"/>
  <c r="D14" i="2"/>
  <c r="G22" i="2"/>
  <c r="D12" i="2"/>
  <c r="J19" i="2"/>
  <c r="G17" i="2"/>
  <c r="G16" i="2"/>
  <c r="D9" i="2"/>
  <c r="B9" i="2"/>
  <c r="E13" i="2"/>
  <c r="E8" i="2"/>
  <c r="B22" i="2"/>
  <c r="G21" i="2"/>
  <c r="J22" i="2"/>
  <c r="D10" i="2"/>
  <c r="B12" i="2"/>
  <c r="E14" i="2"/>
  <c r="H9" i="2"/>
  <c r="B10" i="2"/>
  <c r="H21" i="2"/>
  <c r="D13" i="2"/>
  <c r="G13" i="2"/>
  <c r="G7" i="2"/>
  <c r="B8" i="2"/>
  <c r="H8" i="2"/>
  <c r="E21" i="2"/>
  <c r="B13" i="2"/>
  <c r="H22" i="2"/>
  <c r="H20" i="2"/>
  <c r="J18" i="2"/>
  <c r="J8" i="2"/>
  <c r="J7" i="2"/>
  <c r="G19" i="2"/>
  <c r="B21" i="2"/>
  <c r="E12" i="2"/>
  <c r="B19" i="2"/>
  <c r="G10" i="2"/>
  <c r="D7" i="2"/>
  <c r="D8" i="2"/>
  <c r="G8" i="2"/>
  <c r="D15" i="2"/>
  <c r="G11" i="2"/>
  <c r="E11" i="2"/>
  <c r="B11" i="2"/>
  <c r="D11" i="2"/>
  <c r="H11" i="2"/>
  <c r="J11" i="2"/>
  <c r="E7" i="2"/>
  <c r="H10" i="2"/>
  <c r="E20" i="2"/>
  <c r="E10" i="2"/>
  <c r="E16" i="2"/>
  <c r="B15" i="2"/>
  <c r="F12" i="2" l="1"/>
  <c r="I11" i="2"/>
  <c r="C11" i="2"/>
  <c r="M11" i="2"/>
  <c r="K11" i="2"/>
  <c r="F11" i="2"/>
  <c r="C22" i="2"/>
  <c r="I8" i="2"/>
  <c r="I16" i="2"/>
  <c r="I17" i="2"/>
  <c r="C9" i="2"/>
  <c r="I19" i="2"/>
  <c r="F8" i="2"/>
  <c r="M18" i="2"/>
  <c r="I14" i="2"/>
  <c r="I13" i="2"/>
  <c r="I10" i="2"/>
  <c r="F13" i="2"/>
  <c r="M22" i="2"/>
  <c r="F21" i="2"/>
  <c r="F18" i="2"/>
  <c r="I21" i="2"/>
  <c r="I18" i="2"/>
  <c r="M12" i="2"/>
  <c r="F16" i="2"/>
  <c r="I12" i="2"/>
  <c r="F19" i="2"/>
  <c r="F15" i="2"/>
  <c r="I20" i="2"/>
  <c r="F9" i="2"/>
  <c r="I22" i="2"/>
  <c r="F14" i="2"/>
  <c r="K15" i="2"/>
  <c r="F17" i="2"/>
  <c r="F20" i="2"/>
  <c r="C10" i="2"/>
  <c r="M20" i="2"/>
  <c r="K22" i="2"/>
  <c r="F22" i="2"/>
  <c r="K10" i="2"/>
  <c r="F10" i="2"/>
  <c r="M17" i="2"/>
  <c r="M10" i="2"/>
  <c r="M7" i="2"/>
  <c r="D23" i="2"/>
  <c r="G23" i="2"/>
  <c r="K9" i="2"/>
  <c r="I9" i="2"/>
  <c r="K21" i="2"/>
  <c r="C21" i="2"/>
  <c r="I15" i="2"/>
  <c r="M15" i="2"/>
  <c r="J23" i="2"/>
  <c r="I7" i="2"/>
  <c r="H23" i="2"/>
  <c r="C15" i="2"/>
  <c r="M13" i="2"/>
  <c r="M14" i="2"/>
  <c r="M8" i="2"/>
  <c r="C18" i="2"/>
  <c r="K18" i="2"/>
  <c r="C13" i="2"/>
  <c r="K13" i="2"/>
  <c r="F7" i="2"/>
  <c r="E23" i="2"/>
  <c r="C16" i="2"/>
  <c r="K16" i="2"/>
  <c r="K8" i="2"/>
  <c r="C8" i="2"/>
  <c r="K19" i="2"/>
  <c r="C19" i="2"/>
  <c r="K14" i="2"/>
  <c r="C14" i="2"/>
  <c r="M16" i="2"/>
  <c r="M19" i="2"/>
  <c r="K7" i="2"/>
  <c r="B23" i="2"/>
  <c r="C7" i="2"/>
  <c r="K12" i="2"/>
  <c r="C12" i="2"/>
  <c r="K17" i="2"/>
  <c r="C17" i="2"/>
  <c r="K20" i="2"/>
  <c r="C20" i="2"/>
  <c r="M9" i="2"/>
  <c r="M21" i="2"/>
  <c r="L11" i="2" l="1"/>
  <c r="L22" i="2"/>
  <c r="L8" i="2"/>
  <c r="L12" i="2"/>
  <c r="L13" i="2"/>
  <c r="L19" i="2"/>
  <c r="L9" i="2"/>
  <c r="L21" i="2"/>
  <c r="L18" i="2"/>
  <c r="L14" i="2"/>
  <c r="L16" i="2"/>
  <c r="L17" i="2"/>
  <c r="L20" i="2"/>
  <c r="L10" i="2"/>
  <c r="F23" i="2"/>
  <c r="M23" i="2"/>
  <c r="K23" i="2"/>
  <c r="L15" i="2"/>
  <c r="C23" i="2"/>
  <c r="L7" i="2"/>
  <c r="I23" i="2"/>
  <c r="N23" i="2" l="1"/>
  <c r="L23" i="2"/>
  <c r="E42" i="2" l="1"/>
  <c r="E24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RAFI</author>
    <author>Salman</author>
  </authors>
  <commentList>
    <comment ref="S1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RAFI:</t>
        </r>
        <r>
          <rPr>
            <sz val="9"/>
            <color indexed="81"/>
            <rFont val="Tahoma"/>
            <family val="2"/>
          </rPr>
          <t xml:space="preserve">
Return from Rupa-19.05</t>
        </r>
      </text>
    </comment>
    <comment ref="S14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RAFI:</t>
        </r>
        <r>
          <rPr>
            <sz val="9"/>
            <color indexed="81"/>
            <rFont val="Tahoma"/>
            <family val="2"/>
          </rPr>
          <t xml:space="preserve">
Return from Rupa-19.05</t>
        </r>
      </text>
    </comment>
    <comment ref="S16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RAFI:</t>
        </r>
        <r>
          <rPr>
            <sz val="9"/>
            <color indexed="81"/>
            <rFont val="Tahoma"/>
            <family val="2"/>
          </rPr>
          <t xml:space="preserve">
Return from Rupa-21.05</t>
        </r>
      </text>
    </comment>
    <comment ref="AU21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RAFI:</t>
        </r>
        <r>
          <rPr>
            <sz val="9"/>
            <color indexed="81"/>
            <rFont val="Tahoma"/>
            <family val="2"/>
          </rPr>
          <t xml:space="preserve">
2nd Time Shearing in GTA</t>
        </r>
      </text>
    </comment>
    <comment ref="AU23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RAFI:</t>
        </r>
        <r>
          <rPr>
            <sz val="9"/>
            <color indexed="81"/>
            <rFont val="Tahoma"/>
            <family val="2"/>
          </rPr>
          <t xml:space="preserve">
2nd Time Shearing in GTA</t>
        </r>
      </text>
    </comment>
    <comment ref="AS31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>RAFI:</t>
        </r>
        <r>
          <rPr>
            <sz val="9"/>
            <color indexed="81"/>
            <rFont val="Tahoma"/>
            <family val="2"/>
          </rPr>
          <t xml:space="preserve">
47590+47589+47672</t>
        </r>
      </text>
    </comment>
    <comment ref="S76" authorId="0" shapeId="0" xr:uid="{00000000-0006-0000-0300-000007000000}">
      <text>
        <r>
          <rPr>
            <b/>
            <sz val="9"/>
            <color indexed="81"/>
            <rFont val="Tahoma"/>
            <family val="2"/>
          </rPr>
          <t>RAFI:</t>
        </r>
        <r>
          <rPr>
            <sz val="9"/>
            <color indexed="81"/>
            <rFont val="Tahoma"/>
            <family val="2"/>
          </rPr>
          <t xml:space="preserve">
Return from Newage-04.07</t>
        </r>
      </text>
    </comment>
    <comment ref="AE137" authorId="0" shapeId="0" xr:uid="{00000000-0006-0000-0300-000008000000}">
      <text>
        <r>
          <rPr>
            <b/>
            <sz val="9"/>
            <color indexed="81"/>
            <rFont val="Tahoma"/>
            <family val="2"/>
          </rPr>
          <t>RAFI:</t>
        </r>
        <r>
          <rPr>
            <sz val="9"/>
            <color indexed="81"/>
            <rFont val="Tahoma"/>
            <family val="2"/>
          </rPr>
          <t xml:space="preserve">
125KG damaged by Knit Plus</t>
        </r>
      </text>
    </comment>
    <comment ref="AQ328" authorId="0" shapeId="0" xr:uid="{00000000-0006-0000-0300-000009000000}">
      <text>
        <r>
          <rPr>
            <b/>
            <sz val="9"/>
            <color indexed="81"/>
            <rFont val="Tahoma"/>
            <family val="2"/>
          </rPr>
          <t>RAFI:</t>
        </r>
        <r>
          <rPr>
            <sz val="9"/>
            <color indexed="81"/>
            <rFont val="Tahoma"/>
            <family val="2"/>
          </rPr>
          <t xml:space="preserve">
Use to 26828 69th Job</t>
        </r>
      </text>
    </comment>
    <comment ref="AW328" authorId="0" shapeId="0" xr:uid="{00000000-0006-0000-0300-00000A000000}">
      <text>
        <r>
          <rPr>
            <b/>
            <sz val="9"/>
            <color indexed="81"/>
            <rFont val="Tahoma"/>
            <family val="2"/>
          </rPr>
          <t>RAFI:</t>
        </r>
        <r>
          <rPr>
            <sz val="9"/>
            <color indexed="81"/>
            <rFont val="Tahoma"/>
            <family val="2"/>
          </rPr>
          <t xml:space="preserve">
Use to 26828 69th Job</t>
        </r>
      </text>
    </comment>
    <comment ref="S359" authorId="0" shapeId="0" xr:uid="{00000000-0006-0000-0300-00000B000000}">
      <text>
        <r>
          <rPr>
            <b/>
            <sz val="9"/>
            <color indexed="81"/>
            <rFont val="Tahoma"/>
            <family val="2"/>
          </rPr>
          <t>RAFI:</t>
        </r>
        <r>
          <rPr>
            <sz val="9"/>
            <color indexed="81"/>
            <rFont val="Tahoma"/>
            <family val="2"/>
          </rPr>
          <t xml:space="preserve">
Return from Rupa-05.07</t>
        </r>
      </text>
    </comment>
    <comment ref="S360" authorId="0" shapeId="0" xr:uid="{00000000-0006-0000-0300-00000C000000}">
      <text>
        <r>
          <rPr>
            <b/>
            <sz val="9"/>
            <color indexed="81"/>
            <rFont val="Tahoma"/>
            <family val="2"/>
          </rPr>
          <t>RAFI:</t>
        </r>
        <r>
          <rPr>
            <sz val="9"/>
            <color indexed="81"/>
            <rFont val="Tahoma"/>
            <family val="2"/>
          </rPr>
          <t xml:space="preserve">
Return from Rupa-05.07</t>
        </r>
      </text>
    </comment>
    <comment ref="S361" authorId="0" shapeId="0" xr:uid="{00000000-0006-0000-0300-00000D000000}">
      <text>
        <r>
          <rPr>
            <b/>
            <sz val="9"/>
            <color indexed="81"/>
            <rFont val="Tahoma"/>
            <family val="2"/>
          </rPr>
          <t>RAFI:</t>
        </r>
        <r>
          <rPr>
            <sz val="9"/>
            <color indexed="81"/>
            <rFont val="Tahoma"/>
            <family val="2"/>
          </rPr>
          <t xml:space="preserve">
Return from Rupa-05.07</t>
        </r>
      </text>
    </comment>
    <comment ref="AC394" authorId="0" shapeId="0" xr:uid="{00000000-0006-0000-0300-00000E000000}">
      <text>
        <r>
          <rPr>
            <b/>
            <sz val="9"/>
            <color indexed="81"/>
            <rFont val="Tahoma"/>
            <family val="2"/>
          </rPr>
          <t>RAFI:</t>
        </r>
        <r>
          <rPr>
            <sz val="9"/>
            <color indexed="81"/>
            <rFont val="Tahoma"/>
            <family val="2"/>
          </rPr>
          <t xml:space="preserve">
Return from Unifill-25.06</t>
        </r>
      </text>
    </comment>
    <comment ref="AC395" authorId="0" shapeId="0" xr:uid="{00000000-0006-0000-0300-00000F000000}">
      <text>
        <r>
          <rPr>
            <b/>
            <sz val="9"/>
            <color indexed="81"/>
            <rFont val="Tahoma"/>
            <family val="2"/>
          </rPr>
          <t>RAFI:</t>
        </r>
        <r>
          <rPr>
            <sz val="9"/>
            <color indexed="81"/>
            <rFont val="Tahoma"/>
            <family val="2"/>
          </rPr>
          <t xml:space="preserve">
Return from Unifill-25.06</t>
        </r>
      </text>
    </comment>
    <comment ref="S416" authorId="0" shapeId="0" xr:uid="{00000000-0006-0000-0300-000010000000}">
      <text>
        <r>
          <rPr>
            <b/>
            <sz val="9"/>
            <color indexed="81"/>
            <rFont val="Tahoma"/>
            <family val="2"/>
          </rPr>
          <t>RAFI:</t>
        </r>
        <r>
          <rPr>
            <sz val="9"/>
            <color indexed="81"/>
            <rFont val="Tahoma"/>
            <family val="2"/>
          </rPr>
          <t xml:space="preserve">
Return from Rupa-24.06
</t>
        </r>
      </text>
    </comment>
    <comment ref="S457" authorId="1" shapeId="0" xr:uid="{00000000-0006-0000-0300-000011000000}">
      <text>
        <r>
          <rPr>
            <b/>
            <sz val="9"/>
            <color indexed="81"/>
            <rFont val="Tahoma"/>
            <family val="2"/>
          </rPr>
          <t>Salman:</t>
        </r>
        <r>
          <rPr>
            <sz val="9"/>
            <color indexed="81"/>
            <rFont val="Tahoma"/>
            <family val="2"/>
          </rPr>
          <t xml:space="preserve">
Scandex To NFl By Imran vai-09.06
</t>
        </r>
      </text>
    </comment>
    <comment ref="S497" authorId="0" shapeId="0" xr:uid="{00000000-0006-0000-0300-000012000000}">
      <text>
        <r>
          <rPr>
            <b/>
            <sz val="9"/>
            <color indexed="81"/>
            <rFont val="Tahoma"/>
            <family val="2"/>
          </rPr>
          <t>RAFI:</t>
        </r>
        <r>
          <rPr>
            <sz val="9"/>
            <color indexed="81"/>
            <rFont val="Tahoma"/>
            <family val="2"/>
          </rPr>
          <t xml:space="preserve">
Return from Giant-25.06</t>
        </r>
      </text>
    </comment>
    <comment ref="T671" authorId="0" shapeId="0" xr:uid="{00000000-0006-0000-0300-000013000000}">
      <text>
        <r>
          <rPr>
            <b/>
            <sz val="9"/>
            <color indexed="81"/>
            <rFont val="Tahoma"/>
            <family val="2"/>
          </rPr>
          <t>RAFI:</t>
        </r>
        <r>
          <rPr>
            <sz val="9"/>
            <color indexed="81"/>
            <rFont val="Tahoma"/>
            <family val="2"/>
          </rPr>
          <t xml:space="preserve">
107157-22.06</t>
        </r>
      </text>
    </comment>
    <comment ref="V989" authorId="0" shapeId="0" xr:uid="{00000000-0006-0000-0300-000014000000}">
      <text>
        <r>
          <rPr>
            <b/>
            <sz val="9"/>
            <color indexed="81"/>
            <rFont val="Tahoma"/>
            <family val="2"/>
          </rPr>
          <t>RAFI:</t>
        </r>
        <r>
          <rPr>
            <sz val="9"/>
            <color indexed="81"/>
            <rFont val="Tahoma"/>
            <family val="2"/>
          </rPr>
          <t xml:space="preserve">
Returned and re-sent
</t>
        </r>
      </text>
    </comment>
    <comment ref="S1030" authorId="0" shapeId="0" xr:uid="{00000000-0006-0000-0300-000015000000}">
      <text>
        <r>
          <rPr>
            <b/>
            <sz val="9"/>
            <color indexed="81"/>
            <rFont val="Tahoma"/>
            <family val="2"/>
          </rPr>
          <t>RAFI:</t>
        </r>
        <r>
          <rPr>
            <sz val="9"/>
            <color indexed="81"/>
            <rFont val="Tahoma"/>
            <family val="2"/>
          </rPr>
          <t xml:space="preserve">
Newage to NFL-12.06</t>
        </r>
      </text>
    </comment>
    <comment ref="S1037" authorId="0" shapeId="0" xr:uid="{00000000-0006-0000-0300-000016000000}">
      <text>
        <r>
          <rPr>
            <b/>
            <sz val="9"/>
            <color indexed="81"/>
            <rFont val="Tahoma"/>
            <family val="2"/>
          </rPr>
          <t>RAFI:</t>
        </r>
        <r>
          <rPr>
            <sz val="9"/>
            <color indexed="81"/>
            <rFont val="Tahoma"/>
            <family val="2"/>
          </rPr>
          <t xml:space="preserve">
Return from Rupa-11.06</t>
        </r>
      </text>
    </comment>
    <comment ref="S1039" authorId="0" shapeId="0" xr:uid="{00000000-0006-0000-0300-000017000000}">
      <text>
        <r>
          <rPr>
            <b/>
            <sz val="9"/>
            <color indexed="81"/>
            <rFont val="Tahoma"/>
            <family val="2"/>
          </rPr>
          <t>RAFI:</t>
        </r>
        <r>
          <rPr>
            <sz val="9"/>
            <color indexed="81"/>
            <rFont val="Tahoma"/>
            <family val="2"/>
          </rPr>
          <t xml:space="preserve">
Return from Rupa-11.06</t>
        </r>
      </text>
    </comment>
    <comment ref="S1040" authorId="0" shapeId="0" xr:uid="{00000000-0006-0000-0300-000018000000}">
      <text>
        <r>
          <rPr>
            <b/>
            <sz val="9"/>
            <color indexed="81"/>
            <rFont val="Tahoma"/>
            <family val="2"/>
          </rPr>
          <t>RAFI:</t>
        </r>
        <r>
          <rPr>
            <sz val="9"/>
            <color indexed="81"/>
            <rFont val="Tahoma"/>
            <family val="2"/>
          </rPr>
          <t xml:space="preserve">
Return from Rupa-11.06</t>
        </r>
      </text>
    </comment>
    <comment ref="S1046" authorId="0" shapeId="0" xr:uid="{00000000-0006-0000-0300-000019000000}">
      <text>
        <r>
          <rPr>
            <b/>
            <sz val="9"/>
            <color indexed="81"/>
            <rFont val="Tahoma"/>
            <family val="2"/>
          </rPr>
          <t>RAFI:</t>
        </r>
        <r>
          <rPr>
            <sz val="9"/>
            <color indexed="81"/>
            <rFont val="Tahoma"/>
            <family val="2"/>
          </rPr>
          <t xml:space="preserve">
Return from Scandex-14.06</t>
        </r>
      </text>
    </comment>
    <comment ref="S1047" authorId="0" shapeId="0" xr:uid="{00000000-0006-0000-0300-00001A000000}">
      <text>
        <r>
          <rPr>
            <b/>
            <sz val="9"/>
            <color indexed="81"/>
            <rFont val="Tahoma"/>
            <family val="2"/>
          </rPr>
          <t>RAFI:</t>
        </r>
        <r>
          <rPr>
            <sz val="9"/>
            <color indexed="81"/>
            <rFont val="Tahoma"/>
            <family val="2"/>
          </rPr>
          <t xml:space="preserve">
Return from Scandex-14.06</t>
        </r>
      </text>
    </comment>
    <comment ref="AA1056" authorId="0" shapeId="0" xr:uid="{00000000-0006-0000-0300-00001B000000}">
      <text>
        <r>
          <rPr>
            <b/>
            <sz val="9"/>
            <color indexed="81"/>
            <rFont val="Tahoma"/>
            <family val="2"/>
          </rPr>
          <t>RAFI:</t>
        </r>
        <r>
          <rPr>
            <sz val="9"/>
            <color indexed="81"/>
            <rFont val="Tahoma"/>
            <family val="2"/>
          </rPr>
          <t xml:space="preserve">
Revised, S/J changed after dyeing)</t>
        </r>
      </text>
    </comment>
    <comment ref="S1084" authorId="0" shapeId="0" xr:uid="{00000000-0006-0000-0300-00001C000000}">
      <text>
        <r>
          <rPr>
            <b/>
            <sz val="9"/>
            <color indexed="81"/>
            <rFont val="Tahoma"/>
            <family val="2"/>
          </rPr>
          <t>RAFI:</t>
        </r>
        <r>
          <rPr>
            <sz val="9"/>
            <color indexed="81"/>
            <rFont val="Tahoma"/>
            <family val="2"/>
          </rPr>
          <t xml:space="preserve">
Return from Scandex-08.07</t>
        </r>
      </text>
    </comment>
    <comment ref="S1085" authorId="1" shapeId="0" xr:uid="{00000000-0006-0000-0300-00001D000000}">
      <text>
        <r>
          <rPr>
            <b/>
            <sz val="9"/>
            <color indexed="81"/>
            <rFont val="Tahoma"/>
            <family val="2"/>
          </rPr>
          <t>Salman:</t>
        </r>
        <r>
          <rPr>
            <sz val="9"/>
            <color indexed="81"/>
            <rFont val="Tahoma"/>
            <family val="2"/>
          </rPr>
          <t xml:space="preserve">
Sacndex to NFL By Imran vai-09.06
</t>
        </r>
      </text>
    </comment>
    <comment ref="S1086" authorId="1" shapeId="0" xr:uid="{00000000-0006-0000-0300-00001E000000}">
      <text>
        <r>
          <rPr>
            <b/>
            <sz val="9"/>
            <color indexed="81"/>
            <rFont val="Tahoma"/>
            <family val="2"/>
          </rPr>
          <t>Salman:</t>
        </r>
        <r>
          <rPr>
            <sz val="9"/>
            <color indexed="81"/>
            <rFont val="Tahoma"/>
            <family val="2"/>
          </rPr>
          <t xml:space="preserve">
Sacndex to NFL
</t>
        </r>
      </text>
    </comment>
    <comment ref="S1087" authorId="1" shapeId="0" xr:uid="{00000000-0006-0000-0300-00001F000000}">
      <text>
        <r>
          <rPr>
            <b/>
            <sz val="9"/>
            <color indexed="81"/>
            <rFont val="Tahoma"/>
            <family val="2"/>
          </rPr>
          <t>Salman:</t>
        </r>
        <r>
          <rPr>
            <sz val="9"/>
            <color indexed="81"/>
            <rFont val="Tahoma"/>
            <family val="2"/>
          </rPr>
          <t xml:space="preserve">
Sacndex to NFL
</t>
        </r>
      </text>
    </comment>
    <comment ref="S1098" authorId="0" shapeId="0" xr:uid="{00000000-0006-0000-0300-000020000000}">
      <text>
        <r>
          <rPr>
            <b/>
            <sz val="9"/>
            <color indexed="81"/>
            <rFont val="Tahoma"/>
            <family val="2"/>
          </rPr>
          <t>RAFI:</t>
        </r>
        <r>
          <rPr>
            <sz val="9"/>
            <color indexed="81"/>
            <rFont val="Tahoma"/>
            <family val="2"/>
          </rPr>
          <t xml:space="preserve">
Return from Scandex-14.06</t>
        </r>
      </text>
    </comment>
    <comment ref="S1100" authorId="0" shapeId="0" xr:uid="{00000000-0006-0000-0300-000021000000}">
      <text>
        <r>
          <rPr>
            <b/>
            <sz val="9"/>
            <color indexed="81"/>
            <rFont val="Tahoma"/>
            <family val="2"/>
          </rPr>
          <t>RAFI:</t>
        </r>
        <r>
          <rPr>
            <sz val="9"/>
            <color indexed="81"/>
            <rFont val="Tahoma"/>
            <family val="2"/>
          </rPr>
          <t xml:space="preserve">
Return from Scandex 08.07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RAFI</author>
    <author>Salman</author>
  </authors>
  <commentList>
    <comment ref="S397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RAFI:</t>
        </r>
        <r>
          <rPr>
            <sz val="9"/>
            <color indexed="81"/>
            <rFont val="Tahoma"/>
            <family val="2"/>
          </rPr>
          <t xml:space="preserve">
Retirn from Pakiza-27.08</t>
        </r>
      </text>
    </comment>
    <comment ref="S4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Salman:</t>
        </r>
        <r>
          <rPr>
            <sz val="9"/>
            <color indexed="81"/>
            <rFont val="Tahoma"/>
            <family val="2"/>
          </rPr>
          <t xml:space="preserve">
Ginat To NFL- Con By Shohag Vai-17.08
</t>
        </r>
      </text>
    </comment>
    <comment ref="S1343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RAFI:</t>
        </r>
        <r>
          <rPr>
            <sz val="9"/>
            <color indexed="81"/>
            <rFont val="Tahoma"/>
            <family val="2"/>
          </rPr>
          <t xml:space="preserve">
Return from Newage-02.08</t>
        </r>
      </text>
    </comment>
    <comment ref="AF1415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RAFI:</t>
        </r>
        <r>
          <rPr>
            <sz val="9"/>
            <color indexed="81"/>
            <rFont val="Tahoma"/>
            <family val="2"/>
          </rPr>
          <t xml:space="preserve">
Re-Processed</t>
        </r>
      </text>
    </comment>
    <comment ref="S1496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RAFI:</t>
        </r>
        <r>
          <rPr>
            <sz val="9"/>
            <color indexed="81"/>
            <rFont val="Tahoma"/>
            <family val="2"/>
          </rPr>
          <t xml:space="preserve">
Newage to NFL-03.09</t>
        </r>
      </text>
    </comment>
    <comment ref="S1497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RAFI:</t>
        </r>
        <r>
          <rPr>
            <sz val="9"/>
            <color indexed="81"/>
            <rFont val="Tahoma"/>
            <family val="2"/>
          </rPr>
          <t xml:space="preserve">
Newage to NFL-03.09</t>
        </r>
      </text>
    </comment>
    <comment ref="S1500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RAFI:</t>
        </r>
        <r>
          <rPr>
            <sz val="9"/>
            <color indexed="81"/>
            <rFont val="Tahoma"/>
            <family val="2"/>
          </rPr>
          <t xml:space="preserve">
Newage to NFL-03.09</t>
        </r>
      </text>
    </comment>
    <comment ref="S1542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RAFI:</t>
        </r>
        <r>
          <rPr>
            <sz val="9"/>
            <color indexed="81"/>
            <rFont val="Tahoma"/>
            <family val="2"/>
          </rPr>
          <t xml:space="preserve">
Return from Newage -09.09</t>
        </r>
      </text>
    </comment>
    <comment ref="S1584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Salman:</t>
        </r>
        <r>
          <rPr>
            <sz val="9"/>
            <color indexed="81"/>
            <rFont val="Tahoma"/>
            <family val="2"/>
          </rPr>
          <t xml:space="preserve">
Knitex to NFL
</t>
        </r>
      </text>
    </comment>
    <comment ref="S1589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Salman:</t>
        </r>
        <r>
          <rPr>
            <sz val="9"/>
            <color indexed="81"/>
            <rFont val="Tahoma"/>
            <family val="2"/>
          </rPr>
          <t xml:space="preserve">
Knitex to NFL
</t>
        </r>
      </text>
    </comment>
    <comment ref="S1590" authorId="1" shapeId="0" xr:uid="{00000000-0006-0000-0600-00000B000000}">
      <text>
        <r>
          <rPr>
            <b/>
            <sz val="9"/>
            <color indexed="81"/>
            <rFont val="Tahoma"/>
            <family val="2"/>
          </rPr>
          <t>Salman:</t>
        </r>
        <r>
          <rPr>
            <sz val="9"/>
            <color indexed="81"/>
            <rFont val="Tahoma"/>
            <family val="2"/>
          </rPr>
          <t xml:space="preserve">
Knitex to NFL
</t>
        </r>
      </text>
    </comment>
    <comment ref="S1627" authorId="1" shapeId="0" xr:uid="{00000000-0006-0000-0600-00000C000000}">
      <text>
        <r>
          <rPr>
            <b/>
            <sz val="9"/>
            <color indexed="81"/>
            <rFont val="Tahoma"/>
            <family val="2"/>
          </rPr>
          <t>Salman:</t>
        </r>
        <r>
          <rPr>
            <sz val="9"/>
            <color indexed="81"/>
            <rFont val="Tahoma"/>
            <family val="2"/>
          </rPr>
          <t xml:space="preserve">
Knitex to NFL
</t>
        </r>
      </text>
    </comment>
    <comment ref="S1628" authorId="1" shapeId="0" xr:uid="{00000000-0006-0000-0600-00000D000000}">
      <text>
        <r>
          <rPr>
            <b/>
            <sz val="9"/>
            <color indexed="81"/>
            <rFont val="Tahoma"/>
            <family val="2"/>
          </rPr>
          <t>Salman:</t>
        </r>
        <r>
          <rPr>
            <sz val="9"/>
            <color indexed="81"/>
            <rFont val="Tahoma"/>
            <family val="2"/>
          </rPr>
          <t xml:space="preserve">
Knitex to NFL
</t>
        </r>
      </text>
    </comment>
  </commentList>
</comments>
</file>

<file path=xl/sharedStrings.xml><?xml version="1.0" encoding="utf-8"?>
<sst xmlns="http://schemas.openxmlformats.org/spreadsheetml/2006/main" count="19489" uniqueCount="3097">
  <si>
    <t>Job No</t>
  </si>
  <si>
    <t>Colour</t>
  </si>
  <si>
    <t>Order Qty</t>
  </si>
  <si>
    <t>Dyeing Details</t>
  </si>
  <si>
    <t>Delivered Qty (kg)</t>
  </si>
  <si>
    <t>Gsm</t>
  </si>
  <si>
    <t>Fabric/ des..</t>
  </si>
  <si>
    <t>Body</t>
  </si>
  <si>
    <t>Start</t>
  </si>
  <si>
    <t>End</t>
  </si>
  <si>
    <t xml:space="preserve">Remarks </t>
  </si>
  <si>
    <t>Northern Fashion Ltd.</t>
  </si>
  <si>
    <t>Style No</t>
  </si>
  <si>
    <t>S.Jersey</t>
  </si>
  <si>
    <t>T&amp;A</t>
  </si>
  <si>
    <t>Knitting Details</t>
  </si>
  <si>
    <t>Grey Store Recived QTY.</t>
  </si>
  <si>
    <t xml:space="preserve">Balance Qty </t>
  </si>
  <si>
    <t>Buyer</t>
  </si>
  <si>
    <t xml:space="preserve"> </t>
  </si>
  <si>
    <t>UTG</t>
  </si>
  <si>
    <t>White</t>
  </si>
  <si>
    <t>S/J</t>
  </si>
  <si>
    <t>Black</t>
  </si>
  <si>
    <t>Y/D</t>
  </si>
  <si>
    <t>Terry</t>
  </si>
  <si>
    <t>Slub S/J</t>
  </si>
  <si>
    <t>Actual Dyeing Delivery</t>
  </si>
  <si>
    <t>Newage</t>
  </si>
  <si>
    <t>CVC S/J</t>
  </si>
  <si>
    <t>Night Sky</t>
  </si>
  <si>
    <t>Pakiza</t>
  </si>
  <si>
    <t>CVC Fleece</t>
  </si>
  <si>
    <t>CVC Terry</t>
  </si>
  <si>
    <t>Off White</t>
  </si>
  <si>
    <t>Navy Blazer</t>
  </si>
  <si>
    <t>Olive Night</t>
  </si>
  <si>
    <t>AOP</t>
  </si>
  <si>
    <t>Phantom</t>
  </si>
  <si>
    <t>Balsam Green</t>
  </si>
  <si>
    <t>AVG. Delivery Require/ Day =</t>
  </si>
  <si>
    <t>Navy</t>
  </si>
  <si>
    <t>Stock</t>
  </si>
  <si>
    <t>Black Beauty</t>
  </si>
  <si>
    <t>Challan No.</t>
  </si>
  <si>
    <t>Brush</t>
  </si>
  <si>
    <t>OVS</t>
  </si>
  <si>
    <t>Cloud Dancer</t>
  </si>
  <si>
    <t>Velvet Tape</t>
  </si>
  <si>
    <t>Peach Finish</t>
  </si>
  <si>
    <t>BS-NMT</t>
  </si>
  <si>
    <t>BS-ONS</t>
  </si>
  <si>
    <t xml:space="preserve">Finish Fabric Plan &amp; Execution Summary </t>
  </si>
  <si>
    <t>68"</t>
  </si>
  <si>
    <t>77"</t>
  </si>
  <si>
    <t>72"</t>
  </si>
  <si>
    <t>60"</t>
  </si>
  <si>
    <t>64"</t>
  </si>
  <si>
    <t>70"</t>
  </si>
  <si>
    <t>66"</t>
  </si>
  <si>
    <t>54"</t>
  </si>
  <si>
    <t>50"</t>
  </si>
  <si>
    <t>76"</t>
  </si>
  <si>
    <t>58"</t>
  </si>
  <si>
    <t>56"</t>
  </si>
  <si>
    <t>74"</t>
  </si>
  <si>
    <t>48"</t>
  </si>
  <si>
    <t>78"</t>
  </si>
  <si>
    <t>52"</t>
  </si>
  <si>
    <t>62"</t>
  </si>
  <si>
    <t>Actual Delivery/ Day =</t>
  </si>
  <si>
    <t>Knitting                    Delivery Plan</t>
  </si>
  <si>
    <t>L Rib</t>
  </si>
  <si>
    <t>Width/Dia</t>
  </si>
  <si>
    <t>Total:-</t>
  </si>
  <si>
    <t>Lace</t>
  </si>
  <si>
    <t>Update  :</t>
  </si>
  <si>
    <t>1st Slot</t>
  </si>
  <si>
    <t>2nd Slot</t>
  </si>
  <si>
    <t>3rd Slot</t>
  </si>
  <si>
    <t>Month Total</t>
  </si>
  <si>
    <t>Y/D &amp; AOP</t>
  </si>
  <si>
    <t>Lt. Brush</t>
  </si>
  <si>
    <t>AOP &amp; Brush</t>
  </si>
  <si>
    <t>GT-Forever New</t>
  </si>
  <si>
    <t>GT-New Look</t>
  </si>
  <si>
    <t>GT-Maurices</t>
  </si>
  <si>
    <t>L/S/J</t>
  </si>
  <si>
    <t>CVC L/S/J</t>
  </si>
  <si>
    <t>2x2 L/Rib</t>
  </si>
  <si>
    <t>YDS</t>
  </si>
  <si>
    <t>2x1 L/Rib</t>
  </si>
  <si>
    <t>Braided Tape</t>
  </si>
  <si>
    <t>Bright White</t>
  </si>
  <si>
    <t>L/Fleece</t>
  </si>
  <si>
    <t>Dark Sapphire</t>
  </si>
  <si>
    <t>1x1 L/Rib</t>
  </si>
  <si>
    <t>L/Terry</t>
  </si>
  <si>
    <t>Brush &amp; Peach</t>
  </si>
  <si>
    <t>RFD Aop</t>
  </si>
  <si>
    <t>Giant-Tex</t>
  </si>
  <si>
    <t>10 White</t>
  </si>
  <si>
    <t>8x3 L/Rib</t>
  </si>
  <si>
    <t>Twisted Tape</t>
  </si>
  <si>
    <t>Lt. Brush &amp; Peach</t>
  </si>
  <si>
    <t>Cloud Dancer Aop</t>
  </si>
  <si>
    <t>Grey Melange 10%</t>
  </si>
  <si>
    <t>Y/D &amp; Brush</t>
  </si>
  <si>
    <t>Mid Brush</t>
  </si>
  <si>
    <t>Mid Brush &amp; Peach</t>
  </si>
  <si>
    <t>AOP &amp; Peach</t>
  </si>
  <si>
    <t>F/Terry</t>
  </si>
  <si>
    <t>5x2 L/Rib</t>
  </si>
  <si>
    <t>Sparkle</t>
  </si>
  <si>
    <t>Rib not ok</t>
  </si>
  <si>
    <t>Alliance</t>
  </si>
  <si>
    <t>RFD (Black)</t>
  </si>
  <si>
    <t>Req  Qty-kg</t>
  </si>
  <si>
    <t>Delivery  Qty-kg</t>
  </si>
  <si>
    <t>Balance  Qty-kg</t>
  </si>
  <si>
    <t>Delivery   Qty-kg</t>
  </si>
  <si>
    <t>Balance Qty-kg</t>
  </si>
  <si>
    <t>Delivery Qty-kg</t>
  </si>
  <si>
    <t>Req Qty-kg</t>
  </si>
  <si>
    <t>Deco Rose</t>
  </si>
  <si>
    <t>White Alyssum</t>
  </si>
  <si>
    <t>Full Brush</t>
  </si>
  <si>
    <t>Vis L/S/J</t>
  </si>
  <si>
    <t>GT-Miss Selfridge</t>
  </si>
  <si>
    <t>Dyeing Date</t>
  </si>
  <si>
    <t>NFL</t>
  </si>
  <si>
    <t>Slot</t>
  </si>
  <si>
    <t xml:space="preserve">Slot </t>
  </si>
  <si>
    <t>Total Require</t>
  </si>
  <si>
    <t>Batch No</t>
  </si>
  <si>
    <t>Send Qty</t>
  </si>
  <si>
    <t>Total Dyeing</t>
  </si>
  <si>
    <t>Factory</t>
  </si>
  <si>
    <t>Total Balance</t>
  </si>
  <si>
    <t>Knit Plus</t>
  </si>
  <si>
    <t>GMS</t>
  </si>
  <si>
    <t>ATS</t>
  </si>
  <si>
    <t>Unifil</t>
  </si>
  <si>
    <t>AOP, Peach &amp; Brush</t>
  </si>
  <si>
    <t>Grey Ready</t>
  </si>
  <si>
    <t>AOP Factory</t>
  </si>
  <si>
    <t>Receive Qty</t>
  </si>
  <si>
    <t>Send Date</t>
  </si>
  <si>
    <t>Receive Date</t>
  </si>
  <si>
    <t>AOP Details</t>
  </si>
  <si>
    <t>Finishing Details</t>
  </si>
  <si>
    <t xml:space="preserve">Slot No </t>
  </si>
  <si>
    <t>Total  Delivery</t>
  </si>
  <si>
    <t>Balance Qty</t>
  </si>
  <si>
    <t>End/ Recv Date</t>
  </si>
  <si>
    <t>Dyeing factory</t>
  </si>
  <si>
    <t>DB-Tex</t>
  </si>
  <si>
    <t>Finishing Factory</t>
  </si>
  <si>
    <t>Tanzila</t>
  </si>
  <si>
    <t>Kit</t>
  </si>
  <si>
    <t>Mitaly</t>
  </si>
  <si>
    <t>Naiagra</t>
  </si>
  <si>
    <t>Niloy</t>
  </si>
  <si>
    <t>Space</t>
  </si>
  <si>
    <t>Y/D, Peach &amp; Brush</t>
  </si>
  <si>
    <t>Tracking</t>
  </si>
  <si>
    <t>Y/D &amp; Peach</t>
  </si>
  <si>
    <t>KSS</t>
  </si>
  <si>
    <t>Mascom</t>
  </si>
  <si>
    <t>Knit Tex</t>
  </si>
  <si>
    <t>Pretty</t>
  </si>
  <si>
    <t>Shadhin</t>
  </si>
  <si>
    <t>Req Qty (Kg)</t>
  </si>
  <si>
    <t>Bal Qty (Kg)</t>
  </si>
  <si>
    <t>ফিনিশ ফেব্রিকস প্লান ও ডেলিভারী সামারী</t>
  </si>
  <si>
    <t>ফিনিশ ফেব্রিকস প্লান ও ডেলিভারী স্ট্যাটাস</t>
  </si>
  <si>
    <t>Dyeing Factory</t>
  </si>
  <si>
    <t>Req Qty</t>
  </si>
  <si>
    <t>Bal Qty</t>
  </si>
  <si>
    <t>Total Req Qty</t>
  </si>
  <si>
    <t>Total Bal Qty</t>
  </si>
  <si>
    <t>Total Month</t>
  </si>
  <si>
    <t>G. Total</t>
  </si>
  <si>
    <t>80"</t>
  </si>
  <si>
    <t xml:space="preserve">Don’t Touch </t>
  </si>
  <si>
    <t>GT-Sainsbury's</t>
  </si>
  <si>
    <t>GT-New Yorker</t>
  </si>
  <si>
    <t>Light Grey Melange 5%</t>
  </si>
  <si>
    <t>Dyeing OK</t>
  </si>
  <si>
    <t>Dyeing Due</t>
  </si>
  <si>
    <t>Flourescent</t>
  </si>
  <si>
    <t>Delivery Pending</t>
  </si>
  <si>
    <t>Egret</t>
  </si>
  <si>
    <t>Silver Lining</t>
  </si>
  <si>
    <t>Acid Wash</t>
  </si>
  <si>
    <t>Brush &amp; Acid Wash</t>
  </si>
  <si>
    <t>Fleece</t>
  </si>
  <si>
    <t>Arctic Dusk</t>
  </si>
  <si>
    <t>Herringbone Tape</t>
  </si>
  <si>
    <t>PCS</t>
  </si>
  <si>
    <t>L/F/Terry</t>
  </si>
  <si>
    <t>Light Grey Melange 1%</t>
  </si>
  <si>
    <t>Dark Sapphire Aop (Discharge Dye)</t>
  </si>
  <si>
    <t>Sub Total</t>
  </si>
  <si>
    <t>Balance %</t>
  </si>
  <si>
    <t>Round String</t>
  </si>
  <si>
    <t>80/20 CVC Terry</t>
  </si>
  <si>
    <t>CM S/J</t>
  </si>
  <si>
    <t>Woven Poplin</t>
  </si>
  <si>
    <t>Vis H/L/J</t>
  </si>
  <si>
    <t>H/L/J</t>
  </si>
  <si>
    <t>Logos</t>
  </si>
  <si>
    <t>Heavy/J</t>
  </si>
  <si>
    <t>Grey Pinstripe</t>
  </si>
  <si>
    <t>Libas</t>
  </si>
  <si>
    <t>GT-ASOS</t>
  </si>
  <si>
    <t>Dark Grey Melange</t>
  </si>
  <si>
    <t>4x4 L/Rib</t>
  </si>
  <si>
    <t>Brand</t>
  </si>
  <si>
    <t>Merchandiser</t>
  </si>
  <si>
    <t>Imran</t>
  </si>
  <si>
    <t>Atik</t>
  </si>
  <si>
    <t>Mainul</t>
  </si>
  <si>
    <t>Dalim</t>
  </si>
  <si>
    <t>Zahirul</t>
  </si>
  <si>
    <t>Mahmud</t>
  </si>
  <si>
    <t>Hashi</t>
  </si>
  <si>
    <t>Tomal</t>
  </si>
  <si>
    <t>Shamoly</t>
  </si>
  <si>
    <t>Sanaulla</t>
  </si>
  <si>
    <t>Shohag</t>
  </si>
  <si>
    <t>Khalid</t>
  </si>
  <si>
    <t>Rony</t>
  </si>
  <si>
    <t>Masud Rana</t>
  </si>
  <si>
    <t>Mannan</t>
  </si>
  <si>
    <t>Shofi</t>
  </si>
  <si>
    <t>Sifat</t>
  </si>
  <si>
    <t>Morad</t>
  </si>
  <si>
    <t>G.Sarwar</t>
  </si>
  <si>
    <t>Sirajul</t>
  </si>
  <si>
    <t>Khairul</t>
  </si>
  <si>
    <t>Hadia</t>
  </si>
  <si>
    <t>Bashir</t>
  </si>
  <si>
    <t>Shovon</t>
  </si>
  <si>
    <t>Shaker Imran</t>
  </si>
  <si>
    <t>Salam</t>
  </si>
  <si>
    <t>Ifrat</t>
  </si>
  <si>
    <t>Sub Brand</t>
  </si>
  <si>
    <t>Baby</t>
  </si>
  <si>
    <t>Express</t>
  </si>
  <si>
    <t>Jersey</t>
  </si>
  <si>
    <t>Sweat</t>
  </si>
  <si>
    <t>OSB</t>
  </si>
  <si>
    <t>Peach &amp; Brush</t>
  </si>
  <si>
    <t xml:space="preserve">Brush &amp; GMT Dyeing </t>
  </si>
  <si>
    <t>GMT Dyeing &amp; Acid Wash</t>
  </si>
  <si>
    <t>GTA</t>
  </si>
  <si>
    <t>Ceylon</t>
  </si>
  <si>
    <t>Kamruzzaman</t>
  </si>
  <si>
    <t>LMTD</t>
  </si>
  <si>
    <t>Suborno</t>
  </si>
  <si>
    <t xml:space="preserve">Iftekhar </t>
  </si>
  <si>
    <t>Renaissence</t>
  </si>
  <si>
    <t>Heavy Peach</t>
  </si>
  <si>
    <t>4x3 L/Rib</t>
  </si>
  <si>
    <t>APS</t>
  </si>
  <si>
    <t>Maternity</t>
  </si>
  <si>
    <t>G.Total</t>
  </si>
  <si>
    <t>Unifill</t>
  </si>
  <si>
    <t>DB Tex</t>
  </si>
  <si>
    <t>Rupa</t>
  </si>
  <si>
    <t>Full Brush &amp; Peach</t>
  </si>
  <si>
    <t>Poly Lace</t>
  </si>
  <si>
    <t>GTA+Ceylon</t>
  </si>
  <si>
    <t>Ceylon+GTA</t>
  </si>
  <si>
    <t>AOP, Lt Brush &amp; Peach</t>
  </si>
  <si>
    <t>AOP &amp; Acid Wash</t>
  </si>
  <si>
    <t>Brush &amp; GMT Dyeing</t>
  </si>
  <si>
    <t>AOP &amp; Lt Brush</t>
  </si>
  <si>
    <t>Afroza Jannat</t>
  </si>
  <si>
    <t>U-02</t>
  </si>
  <si>
    <t>Jafar</t>
  </si>
  <si>
    <t>Haider</t>
  </si>
  <si>
    <t>Butter Cream</t>
  </si>
  <si>
    <t>Niagara</t>
  </si>
  <si>
    <t>Chorka</t>
  </si>
  <si>
    <t>Additional Process</t>
  </si>
  <si>
    <t>Peyote</t>
  </si>
  <si>
    <t>Tofu</t>
  </si>
  <si>
    <t>Trust</t>
  </si>
  <si>
    <t>Junior</t>
  </si>
  <si>
    <t>Tawny Port</t>
  </si>
  <si>
    <t>NOOS</t>
  </si>
  <si>
    <t>Kids</t>
  </si>
  <si>
    <t>Play</t>
  </si>
  <si>
    <t>Carmakoma</t>
  </si>
  <si>
    <t>Guppy</t>
  </si>
  <si>
    <t>Mini</t>
  </si>
  <si>
    <t>Sabikun</t>
  </si>
  <si>
    <t>GT-Guess</t>
  </si>
  <si>
    <t>Pointal L/Rib</t>
  </si>
  <si>
    <t>Singeing Details</t>
  </si>
  <si>
    <t>Charcoal</t>
  </si>
  <si>
    <t>GT-T.M Lewin</t>
  </si>
  <si>
    <t>Burgundy</t>
  </si>
  <si>
    <t>U-02+Ceylon</t>
  </si>
  <si>
    <t>Black Coffee</t>
  </si>
  <si>
    <t>41 Navy</t>
  </si>
  <si>
    <t>Birch</t>
  </si>
  <si>
    <t>Chocolate Martini</t>
  </si>
  <si>
    <t>Black C-N10</t>
  </si>
  <si>
    <t>Insignia Blue</t>
  </si>
  <si>
    <t>L/Interlock</t>
  </si>
  <si>
    <t>1 Black</t>
  </si>
  <si>
    <t>Forest Night</t>
  </si>
  <si>
    <t>Grossgrain Tape</t>
  </si>
  <si>
    <t>Laurel Wreath</t>
  </si>
  <si>
    <t>Flat Tube String</t>
  </si>
  <si>
    <t>Round Drawstring</t>
  </si>
  <si>
    <t>Tube Drawstring</t>
  </si>
  <si>
    <t>RFD</t>
  </si>
  <si>
    <t>Stock Use</t>
  </si>
  <si>
    <t>Black C-N10 (B/Part Dye)</t>
  </si>
  <si>
    <t>Peyote Melange Aop</t>
  </si>
  <si>
    <t>Black (B/Part Dye)</t>
  </si>
  <si>
    <t>Castor Gray</t>
  </si>
  <si>
    <t>Knitex</t>
  </si>
  <si>
    <t>Wild Ginger</t>
  </si>
  <si>
    <t>SET</t>
  </si>
  <si>
    <t>Twill Tape</t>
  </si>
  <si>
    <t>Aop Start</t>
  </si>
  <si>
    <t>Aop End</t>
  </si>
  <si>
    <t xml:space="preserve">Req Qty-kg                                                                                                                </t>
  </si>
  <si>
    <t>Special Fabric</t>
  </si>
  <si>
    <t>GMT Dyeing</t>
  </si>
  <si>
    <t>Inside Peach</t>
  </si>
  <si>
    <t>Mild Peach</t>
  </si>
  <si>
    <t>Faisal</t>
  </si>
  <si>
    <t>Sugar Swizzle</t>
  </si>
  <si>
    <t>Lavender Gray</t>
  </si>
  <si>
    <t>Sunlight</t>
  </si>
  <si>
    <t>Maritime Blue</t>
  </si>
  <si>
    <t>Brilliant White</t>
  </si>
  <si>
    <t>Coffee</t>
  </si>
  <si>
    <t>Thyme</t>
  </si>
  <si>
    <t>Grey Marl 10%</t>
  </si>
  <si>
    <t>Design Terry</t>
  </si>
  <si>
    <t>White C-N100</t>
  </si>
  <si>
    <t>Blanc De Blanc</t>
  </si>
  <si>
    <t>42"</t>
  </si>
  <si>
    <t>44"</t>
  </si>
  <si>
    <t>Winetasting</t>
  </si>
  <si>
    <t>Evening Blue</t>
  </si>
  <si>
    <t>Night Sky (B/Part Dye)</t>
  </si>
  <si>
    <t>Chocolate Torte</t>
  </si>
  <si>
    <t>80/20 CVC Terry (Rec-Poly)</t>
  </si>
  <si>
    <t>Stock Use By Mer</t>
  </si>
  <si>
    <t>Fig</t>
  </si>
  <si>
    <t>Surf The Web Blue</t>
  </si>
  <si>
    <t>Antique White</t>
  </si>
  <si>
    <t>22013782 - Silicon Softener Wash</t>
  </si>
  <si>
    <t>Rhubarb</t>
  </si>
  <si>
    <t>Top Ctn, CVC Fleece (Rec-Poly)</t>
  </si>
  <si>
    <t>HK Dream</t>
  </si>
  <si>
    <t>Navy Blazer (B/Part Dye)</t>
  </si>
  <si>
    <t>Tumble Wash</t>
  </si>
  <si>
    <t>Castor Gray (B/Part Dye)</t>
  </si>
  <si>
    <t>Silver Lining (B/Part Dye)</t>
  </si>
  <si>
    <t>Chocolate Plum</t>
  </si>
  <si>
    <t>Dyeing Delivery Plan</t>
  </si>
  <si>
    <t>Y/D &amp; Mild Peach</t>
  </si>
  <si>
    <t>Waffle</t>
  </si>
  <si>
    <t>Beige Melange</t>
  </si>
  <si>
    <t>Chicory Coffee</t>
  </si>
  <si>
    <t>Coffee Bean (B/Part Dye)</t>
  </si>
  <si>
    <t>All S/J</t>
  </si>
  <si>
    <t>Slub Heavy/J</t>
  </si>
  <si>
    <t>L/S/J &lt;200 GSM</t>
  </si>
  <si>
    <t>S/J 200-240 GSM</t>
  </si>
  <si>
    <t>S/J &gt;300 GSM</t>
  </si>
  <si>
    <t>All Rib</t>
  </si>
  <si>
    <t>Interlock</t>
  </si>
  <si>
    <t>S/J (20% Rec-Ctn)</t>
  </si>
  <si>
    <t>1x1 Rib</t>
  </si>
  <si>
    <t>Retail</t>
  </si>
  <si>
    <t>Shaved Chocolate</t>
  </si>
  <si>
    <t>Lilas</t>
  </si>
  <si>
    <t>BS-ONL-Main</t>
  </si>
  <si>
    <t>BS-ONL-Sub</t>
  </si>
  <si>
    <t>Baritone Blue</t>
  </si>
  <si>
    <t>Round Drawsting</t>
  </si>
  <si>
    <t>Spellbound</t>
  </si>
  <si>
    <t>Red</t>
  </si>
  <si>
    <t>Stretch L/S/J</t>
  </si>
  <si>
    <t>Bracken</t>
  </si>
  <si>
    <t>Fudge</t>
  </si>
  <si>
    <t>60/40 CVC Terry (Rec-Poly)</t>
  </si>
  <si>
    <t>Sesame</t>
  </si>
  <si>
    <t>Rumba Red</t>
  </si>
  <si>
    <t>Terry (20% Rec-Ctn)</t>
  </si>
  <si>
    <t>Wild Ginger Aop (Discharge Dye)</t>
  </si>
  <si>
    <t>Parfait Pink</t>
  </si>
  <si>
    <t>L/Terry (20% Rec-Ctn)</t>
  </si>
  <si>
    <t>L/S/J (20% Rec-Ctn)</t>
  </si>
  <si>
    <t>L/Fleece (20% Rec-Ctn)</t>
  </si>
  <si>
    <t>PK Interlock</t>
  </si>
  <si>
    <t>Fleece (20% Rec-Ctn)</t>
  </si>
  <si>
    <t>Flat Knit Collar</t>
  </si>
  <si>
    <t>Girls</t>
  </si>
  <si>
    <t>Birch (B/Part Dye)</t>
  </si>
  <si>
    <t>Top Ctn, CVC Terry</t>
  </si>
  <si>
    <t>Diagonal F/Terry</t>
  </si>
  <si>
    <t>Ceylon+U-02</t>
  </si>
  <si>
    <t>Jet Stream</t>
  </si>
  <si>
    <t>Top Ctn, CVC Fleece</t>
  </si>
  <si>
    <t>Afroza Jannati</t>
  </si>
  <si>
    <t>Forrukh</t>
  </si>
  <si>
    <t>Light Pink</t>
  </si>
  <si>
    <t>Pale Mauve</t>
  </si>
  <si>
    <t>Cement Aop</t>
  </si>
  <si>
    <t>Sugar Swizzle Aop</t>
  </si>
  <si>
    <t>BAD2530</t>
  </si>
  <si>
    <t>Mole</t>
  </si>
  <si>
    <t>BAD1369-Regenagri Cotton</t>
  </si>
  <si>
    <t>Blue+Navy</t>
  </si>
  <si>
    <t>Sphagnum</t>
  </si>
  <si>
    <t>March'26</t>
  </si>
  <si>
    <t>Peyote Melange (Brown Melange)</t>
  </si>
  <si>
    <t>Peacoat</t>
  </si>
  <si>
    <t>Tofu (B/Part Dye)</t>
  </si>
  <si>
    <t>Bracken (B/Part Dye)</t>
  </si>
  <si>
    <t>Winetasting (B/Part Dye)</t>
  </si>
  <si>
    <t>TBC</t>
  </si>
  <si>
    <t>Tango Red</t>
  </si>
  <si>
    <t>Dark Blue</t>
  </si>
  <si>
    <t>April'26</t>
  </si>
  <si>
    <t>AOP, GMT Dye &amp; Acid Wash</t>
  </si>
  <si>
    <t>Beige Melange 1%</t>
  </si>
  <si>
    <t>Blue</t>
  </si>
  <si>
    <t>Coffee Bean</t>
  </si>
  <si>
    <t>Cement</t>
  </si>
  <si>
    <t>9435733 - Y/D Matching</t>
  </si>
  <si>
    <t>Walnut</t>
  </si>
  <si>
    <t>Coconut Milk</t>
  </si>
  <si>
    <t>Jet Stream Aop</t>
  </si>
  <si>
    <t>BAD2323-Regenagri Cotton</t>
  </si>
  <si>
    <t>BAD1395-Regenagri Cotton</t>
  </si>
  <si>
    <t>BAD1546-Regenagri Cotton</t>
  </si>
  <si>
    <t>Brown</t>
  </si>
  <si>
    <t>Pristine</t>
  </si>
  <si>
    <t>Giant</t>
  </si>
  <si>
    <t>4 Roll GSM Low</t>
  </si>
  <si>
    <t>BAD1634-Regenagri Cotton</t>
  </si>
  <si>
    <t>BAD2602-Regenagri Cotton</t>
  </si>
  <si>
    <t>Chambray</t>
  </si>
  <si>
    <t>Orchid Pink</t>
  </si>
  <si>
    <t>BAD0966-Regenagri Cotton</t>
  </si>
  <si>
    <t>Cabernet</t>
  </si>
  <si>
    <t>Greige</t>
  </si>
  <si>
    <t>CVC H/L/J</t>
  </si>
  <si>
    <t>Beetroot Purple</t>
  </si>
  <si>
    <t>60/40 CVC Fleece (Rec-Poly)</t>
  </si>
  <si>
    <t>Open End Heavy/J</t>
  </si>
  <si>
    <t>Denim</t>
  </si>
  <si>
    <t>Black+White</t>
  </si>
  <si>
    <t>June Bug</t>
  </si>
  <si>
    <t>Sazzad</t>
  </si>
  <si>
    <t>80/20 CVC S/J</t>
  </si>
  <si>
    <t>BAD1502</t>
  </si>
  <si>
    <t>Dark Gull Gray</t>
  </si>
  <si>
    <t>Emerald</t>
  </si>
  <si>
    <t>Olive Night (B/Part Dye)</t>
  </si>
  <si>
    <t>Black+Cloud Dancer</t>
  </si>
  <si>
    <t>Surf The Web</t>
  </si>
  <si>
    <t>Pageant Blue</t>
  </si>
  <si>
    <t>70/30 CVC Fleece (Rec-Poly)</t>
  </si>
  <si>
    <t>Woven</t>
  </si>
  <si>
    <t>No T&amp;A Provided</t>
  </si>
  <si>
    <t>Night Sky (B/part Dye)</t>
  </si>
  <si>
    <t>Mermaid</t>
  </si>
  <si>
    <t>Tradewinds</t>
  </si>
  <si>
    <t>Navy Blazer Aop (Discharge Dye)</t>
  </si>
  <si>
    <t>22002973 - Silicon Softener Wash</t>
  </si>
  <si>
    <t>1 Roll GSM Low</t>
  </si>
  <si>
    <t>Begonia Pink</t>
  </si>
  <si>
    <t>22039968 - Fabric Must be Fluffy</t>
  </si>
  <si>
    <t>Chocolate Brown</t>
  </si>
  <si>
    <t>80/20 CVC Fleece (Rec-Poly)</t>
  </si>
  <si>
    <t>Peyote Melange (Cotton Melange)</t>
  </si>
  <si>
    <t>Light Grey Melange 2% Aop</t>
  </si>
  <si>
    <t>Naval Academy</t>
  </si>
  <si>
    <t>Abyss</t>
  </si>
  <si>
    <t>Mosaddik</t>
  </si>
  <si>
    <t>Woven Fabric</t>
  </si>
  <si>
    <t>Texella</t>
  </si>
  <si>
    <t>Light Taupe</t>
  </si>
  <si>
    <t>Top Ctn, 60/40 CVC Fleece (Rec-Poly)</t>
  </si>
  <si>
    <t>Peyote Aop</t>
  </si>
  <si>
    <t>Top Ctn, 60/40 CVC Fleece</t>
  </si>
  <si>
    <t>Baritone Blue Aop</t>
  </si>
  <si>
    <t>GT-Anthony's</t>
  </si>
  <si>
    <t>67 Dark Burgundy</t>
  </si>
  <si>
    <t>7 Grey Marl 5%</t>
  </si>
  <si>
    <t>CVC Pointal Rib</t>
  </si>
  <si>
    <t>Pointal Rib</t>
  </si>
  <si>
    <t>Red Aop</t>
  </si>
  <si>
    <t>INDOMS33572</t>
  </si>
  <si>
    <t>CM 2x1 L/Rib</t>
  </si>
  <si>
    <t>Heavy/J (20% Rec-Ctn)</t>
  </si>
  <si>
    <t>5 Roll GSM Low</t>
  </si>
  <si>
    <t>Black Coffee+Birch</t>
  </si>
  <si>
    <t>Mulch</t>
  </si>
  <si>
    <t>CDIJB17353</t>
  </si>
  <si>
    <t>Dawn Pink</t>
  </si>
  <si>
    <t>Winery Red</t>
  </si>
  <si>
    <t>May'26</t>
  </si>
  <si>
    <t>CVC Fleece (Rec-Poly)</t>
  </si>
  <si>
    <t>Rose Smoke</t>
  </si>
  <si>
    <t>Moonstruck</t>
  </si>
  <si>
    <t>Ceylon+Space</t>
  </si>
  <si>
    <t>PK Interlock (20% Rec-Ctn)</t>
  </si>
  <si>
    <t>Island Fossil Aop</t>
  </si>
  <si>
    <t>Black Aop</t>
  </si>
  <si>
    <t>Chambray Blue</t>
  </si>
  <si>
    <t xml:space="preserve">Black </t>
  </si>
  <si>
    <t>Black+Ecru</t>
  </si>
  <si>
    <t>White+Navy</t>
  </si>
  <si>
    <t>Marron Banner</t>
  </si>
  <si>
    <t>Marron Banner+White</t>
  </si>
  <si>
    <t>Nomad</t>
  </si>
  <si>
    <t>Marron</t>
  </si>
  <si>
    <t>Botanical Garden</t>
  </si>
  <si>
    <t>Pale Mauve Aop</t>
  </si>
  <si>
    <t>Poly Satin Tape</t>
  </si>
  <si>
    <t>Poly Velvet Tape</t>
  </si>
  <si>
    <t>Grey Marl 5%</t>
  </si>
  <si>
    <t>Haute Red</t>
  </si>
  <si>
    <t>Woven Twill</t>
  </si>
  <si>
    <t>Newage+Mitali</t>
  </si>
  <si>
    <t>Top G.Mel, CVC Terry</t>
  </si>
  <si>
    <t>2 Roll GSM Low</t>
  </si>
  <si>
    <t>Mother of Pearl</t>
  </si>
  <si>
    <t>VP 2x2 L/Rib</t>
  </si>
  <si>
    <t>1 Roll GSM High</t>
  </si>
  <si>
    <t>Top G.Mel, CVC Fleece</t>
  </si>
  <si>
    <t>Cashmere Blue</t>
  </si>
  <si>
    <t>Keepsake Lilac</t>
  </si>
  <si>
    <t>Pumice Stone</t>
  </si>
  <si>
    <t>262PJA1116-903-Contrast</t>
  </si>
  <si>
    <t>Emboldened</t>
  </si>
  <si>
    <t>Emboldened Aop</t>
  </si>
  <si>
    <t>262JOG251-6140</t>
  </si>
  <si>
    <t>262LEG249-6140</t>
  </si>
  <si>
    <t>Khaki</t>
  </si>
  <si>
    <t>CM 1x1 L/Rib</t>
  </si>
  <si>
    <t>Imported</t>
  </si>
  <si>
    <t>Vintage Indigo+Jet Stream</t>
  </si>
  <si>
    <t>Green Milieu+Jet Stream</t>
  </si>
  <si>
    <t>U-02+GTA</t>
  </si>
  <si>
    <t>Rosewater Aop</t>
  </si>
  <si>
    <t>3 Roll GSM Low</t>
  </si>
  <si>
    <t>2 Roll GSM High</t>
  </si>
  <si>
    <t>Peach Details</t>
  </si>
  <si>
    <t>Brush Details</t>
  </si>
  <si>
    <t>Peyote Melange Aop (Ctn Melange)</t>
  </si>
  <si>
    <t>15390966- Revised 18.04 ( Dia Mistake By Cad)</t>
  </si>
  <si>
    <t>Sage Green Aop</t>
  </si>
  <si>
    <t>1 Roll Rib Hold</t>
  </si>
  <si>
    <t>Space+Ceylon</t>
  </si>
  <si>
    <t>Finish Fabric Plan &amp; Execution Status- June'26</t>
  </si>
  <si>
    <t>262SWT028-222- Revised 02.04 ( Qty Increase)</t>
  </si>
  <si>
    <t>44278 3rd</t>
  </si>
  <si>
    <t>BAD2916- Popline Matching</t>
  </si>
  <si>
    <t>CVC 22x18 L/Rib</t>
  </si>
  <si>
    <t>Frill-Poplin</t>
  </si>
  <si>
    <t>41637 6th</t>
  </si>
  <si>
    <t>47056 3rd</t>
  </si>
  <si>
    <t>47404 2nd</t>
  </si>
  <si>
    <t>9328960- Revised 17.04 ( Color Change)</t>
  </si>
  <si>
    <t>27 Dark Brown</t>
  </si>
  <si>
    <t>47240 2nd</t>
  </si>
  <si>
    <t>47319 2nd</t>
  </si>
  <si>
    <t>262TSH321-227- Revised 21.04 ( Qty Increase)</t>
  </si>
  <si>
    <t>44025 4th</t>
  </si>
  <si>
    <t>GTA+U-02</t>
  </si>
  <si>
    <t>71"</t>
  </si>
  <si>
    <t>Salute</t>
  </si>
  <si>
    <t>Flat Knit</t>
  </si>
  <si>
    <t>15360701 - Need Handfeel More &amp; More Soft</t>
  </si>
  <si>
    <t>2x2 L/Rib with Metalic</t>
  </si>
  <si>
    <t>Scandex</t>
  </si>
  <si>
    <t>Big Dipper Aop (Discharge Dye)</t>
  </si>
  <si>
    <t>Soft Chambray</t>
  </si>
  <si>
    <t>27 Brown</t>
  </si>
  <si>
    <t>Blue+Pink</t>
  </si>
  <si>
    <t>27204 51th</t>
  </si>
  <si>
    <t>Dark Navy</t>
  </si>
  <si>
    <t>15380610 - Need Handfeel More &amp; More Soft</t>
  </si>
  <si>
    <t>30711 6th</t>
  </si>
  <si>
    <t>30708 15th</t>
  </si>
  <si>
    <t>Spiced Apple</t>
  </si>
  <si>
    <t>From 24540 40th</t>
  </si>
  <si>
    <t>Hot Fudge</t>
  </si>
  <si>
    <t>Lily Pad</t>
  </si>
  <si>
    <t>Red Dahlia</t>
  </si>
  <si>
    <t>Catawba Grape</t>
  </si>
  <si>
    <t>Botanical Gardern Aop (Discharge Dye)</t>
  </si>
  <si>
    <t>Red Dahlia Aop</t>
  </si>
  <si>
    <t>Red Dahlia Aop (Discharge Dye)</t>
  </si>
  <si>
    <t>Botanical Gardern</t>
  </si>
  <si>
    <t>Wild Rose Aop (Discharge Dye)</t>
  </si>
  <si>
    <t>Island Fossil</t>
  </si>
  <si>
    <t>Mosstone</t>
  </si>
  <si>
    <t>Andorra</t>
  </si>
  <si>
    <t>Catawba Grape+Cloud Dancer</t>
  </si>
  <si>
    <t>Full Blooming Pink Aop</t>
  </si>
  <si>
    <t>Full Blooming Pink +Cloud Dancer+Chocolate Plum</t>
  </si>
  <si>
    <t>Light Lilac Aop (Discharge Dye)</t>
  </si>
  <si>
    <t>Navy Cosmos Aop (Discharge Dye)</t>
  </si>
  <si>
    <t>Phantom (B/part Dye)</t>
  </si>
  <si>
    <t>Bel Air Blue (B/part Dye)</t>
  </si>
  <si>
    <t>46770 2nd</t>
  </si>
  <si>
    <t>Winetasting Aop</t>
  </si>
  <si>
    <t>Cloud Dancer+Pine Grove</t>
  </si>
  <si>
    <t>Charcoal Grey (B/part Dye)</t>
  </si>
  <si>
    <t>Catawba Grape Aop (Discharge Dye)</t>
  </si>
  <si>
    <t>Full Blooming Pink</t>
  </si>
  <si>
    <t>Evening Blue+Full Blooming Pink</t>
  </si>
  <si>
    <t>15382571-Contrast</t>
  </si>
  <si>
    <t>262TSH321W-227</t>
  </si>
  <si>
    <t>Discharge Dye Confirm By kamruzzaman vai By Phone- 28.04</t>
  </si>
  <si>
    <r>
      <t>15209156 -</t>
    </r>
    <r>
      <rPr>
        <sz val="10"/>
        <color rgb="FFFF00FF"/>
        <rFont val="Arial"/>
        <family val="2"/>
      </rPr>
      <t xml:space="preserve"> Live Love</t>
    </r>
    <r>
      <rPr>
        <sz val="10"/>
        <rFont val="Arial"/>
        <family val="2"/>
      </rPr>
      <t xml:space="preserve">- </t>
    </r>
    <r>
      <rPr>
        <b/>
        <sz val="10"/>
        <rFont val="Arial"/>
        <family val="2"/>
      </rPr>
      <t>No Enzyme</t>
    </r>
  </si>
  <si>
    <r>
      <t xml:space="preserve">15201465 - </t>
    </r>
    <r>
      <rPr>
        <sz val="10"/>
        <color rgb="FFFF00FF"/>
        <rFont val="Arial"/>
        <family val="2"/>
      </rPr>
      <t>Live Love</t>
    </r>
    <r>
      <rPr>
        <sz val="10"/>
        <rFont val="Arial"/>
        <family val="2"/>
      </rPr>
      <t xml:space="preserve">- </t>
    </r>
    <r>
      <rPr>
        <b/>
        <sz val="10"/>
        <rFont val="Arial"/>
        <family val="2"/>
      </rPr>
      <t>No Enzyme</t>
    </r>
  </si>
  <si>
    <t>Charcoal Grey (B/Part Dye)</t>
  </si>
  <si>
    <t>Sepia (Ctn Part Dye)</t>
  </si>
  <si>
    <t>Navy Blazer (Ctn Part Dye)</t>
  </si>
  <si>
    <t>Abyss Aop</t>
  </si>
  <si>
    <t>Sepia</t>
  </si>
  <si>
    <t>Urban Chic</t>
  </si>
  <si>
    <t>13262037/13265612</t>
  </si>
  <si>
    <t>13262049 - Lace Matching</t>
  </si>
  <si>
    <t>Pink Marshmallow</t>
  </si>
  <si>
    <t>Birch+Sepia</t>
  </si>
  <si>
    <t>Birch+Navy Blazer</t>
  </si>
  <si>
    <t>15384621-15392611</t>
  </si>
  <si>
    <t>Red Violet (B/Part Dye)</t>
  </si>
  <si>
    <t>Pansy (B/Part Dye)</t>
  </si>
  <si>
    <t>Dutch Canal</t>
  </si>
  <si>
    <t>Little Boy Blue (B/Part Dye)</t>
  </si>
  <si>
    <t>Porpoise</t>
  </si>
  <si>
    <t>Night Sky Blue</t>
  </si>
  <si>
    <t>262TRO086PF-223</t>
  </si>
  <si>
    <t>Chocolate Truffle Bordeau</t>
  </si>
  <si>
    <t>Summer Sand</t>
  </si>
  <si>
    <t>Orange Rust</t>
  </si>
  <si>
    <t>Toffee</t>
  </si>
  <si>
    <t>Multi Color Stripe</t>
  </si>
  <si>
    <t>Chocolate Truffle</t>
  </si>
  <si>
    <t>25-04-2026+30.04</t>
  </si>
  <si>
    <t>43465 11th</t>
  </si>
  <si>
    <t>41880 23rd</t>
  </si>
  <si>
    <r>
      <t xml:space="preserve">15062199 - </t>
    </r>
    <r>
      <rPr>
        <b/>
        <sz val="10"/>
        <rFont val="Arial"/>
        <family val="2"/>
      </rPr>
      <t xml:space="preserve">No Enzyme  </t>
    </r>
    <r>
      <rPr>
        <sz val="10"/>
        <rFont val="Arial"/>
        <family val="2"/>
      </rPr>
      <t>-Advanced Order</t>
    </r>
  </si>
  <si>
    <t>262TSH247-6154 - Contrast</t>
  </si>
  <si>
    <t>Zinfandel</t>
  </si>
  <si>
    <t>Bleach Sand</t>
  </si>
  <si>
    <t>Y/D Flat Knit</t>
  </si>
  <si>
    <t>262TSH383-6156</t>
  </si>
  <si>
    <t>Bleached Sand</t>
  </si>
  <si>
    <t>Pine Grove (B/part Dye)</t>
  </si>
  <si>
    <t>Pirate Black</t>
  </si>
  <si>
    <t>Full Blooming Pink (Ctn Part Dye)</t>
  </si>
  <si>
    <t>Mauve Shadows</t>
  </si>
  <si>
    <t>Mauve Shadows Aop</t>
  </si>
  <si>
    <t>Mauve Shadow</t>
  </si>
  <si>
    <t>Mauve Shadow Aop</t>
  </si>
  <si>
    <t>13252963- Imported Fabric Matching</t>
  </si>
  <si>
    <t>47"</t>
  </si>
  <si>
    <t>Catawba Grape Aop</t>
  </si>
  <si>
    <t>Evening Blue Aop</t>
  </si>
  <si>
    <t>4x1 L/Rib</t>
  </si>
  <si>
    <t>Fabric Received at 25.06</t>
  </si>
  <si>
    <t>Fabric Received at 20.06</t>
  </si>
  <si>
    <t>13261649-  Imported Fabric Matching</t>
  </si>
  <si>
    <t>13262658-Imported Fabric Matching</t>
  </si>
  <si>
    <t>15382406 - As Swatch</t>
  </si>
  <si>
    <t>Cloud Dancer+Navy Peony</t>
  </si>
  <si>
    <t>Fiji Flower+Rumba Red</t>
  </si>
  <si>
    <t>15384867 - Contrast</t>
  </si>
  <si>
    <t>Heringbone Tape</t>
  </si>
  <si>
    <r>
      <t xml:space="preserve">All Color- </t>
    </r>
    <r>
      <rPr>
        <sz val="10"/>
        <color rgb="FFFF00FF"/>
        <rFont val="Arial"/>
        <family val="2"/>
      </rPr>
      <t>Imported Fabric</t>
    </r>
  </si>
  <si>
    <r>
      <t>132651382-</t>
    </r>
    <r>
      <rPr>
        <b/>
        <sz val="10"/>
        <rFont val="Arial"/>
        <family val="2"/>
      </rPr>
      <t xml:space="preserve"> No Enzyme </t>
    </r>
    <r>
      <rPr>
        <sz val="10"/>
        <rFont val="Arial"/>
        <family val="2"/>
      </rPr>
      <t>Confirm By Mahabub Sir-05.05.26</t>
    </r>
  </si>
  <si>
    <r>
      <t xml:space="preserve">13261588 - As Swatch- </t>
    </r>
    <r>
      <rPr>
        <b/>
        <sz val="10"/>
        <rFont val="Arial"/>
        <family val="2"/>
      </rPr>
      <t xml:space="preserve">No Enzyme </t>
    </r>
    <r>
      <rPr>
        <sz val="10"/>
        <rFont val="Arial"/>
        <family val="2"/>
      </rPr>
      <t>Confirm By Mahabub Sir-05.05.26</t>
    </r>
  </si>
  <si>
    <t>June'26</t>
  </si>
  <si>
    <t>Poly Mesh</t>
  </si>
  <si>
    <t>67"</t>
  </si>
  <si>
    <r>
      <t xml:space="preserve">All Color- </t>
    </r>
    <r>
      <rPr>
        <sz val="10"/>
        <color rgb="FFFF00FF"/>
        <rFont val="Arial"/>
        <family val="2"/>
      </rPr>
      <t>Imported</t>
    </r>
    <r>
      <rPr>
        <sz val="10"/>
        <rFont val="Arial"/>
        <family val="2"/>
      </rPr>
      <t xml:space="preserve"> </t>
    </r>
    <r>
      <rPr>
        <sz val="10"/>
        <color rgb="FFFF00FF"/>
        <rFont val="Arial"/>
        <family val="2"/>
      </rPr>
      <t>Fabric</t>
    </r>
  </si>
  <si>
    <t>49"</t>
  </si>
  <si>
    <t>13261607 - Contrast (Two Color One Body)</t>
  </si>
  <si>
    <t>Slub L/S/J</t>
  </si>
  <si>
    <t>Mauve Shadows Aop (Discharge Dye)</t>
  </si>
  <si>
    <t>Peyote Melange Aop (Ctn Melange) (Discharge Dye)</t>
  </si>
  <si>
    <t>Sepia Aop (Discharge Dye)</t>
  </si>
  <si>
    <t>13261609 - As Swatch</t>
  </si>
  <si>
    <t>13249501 - Contrast</t>
  </si>
  <si>
    <t>Y/D Tape</t>
  </si>
  <si>
    <t>Sepia+Birch</t>
  </si>
  <si>
    <t>Navy Blazer+Birch</t>
  </si>
  <si>
    <t>13261567 - As Swatch</t>
  </si>
  <si>
    <r>
      <t xml:space="preserve">Poly Mesh - </t>
    </r>
    <r>
      <rPr>
        <sz val="10"/>
        <color rgb="FFFF00FF"/>
        <rFont val="Arial"/>
        <family val="2"/>
      </rPr>
      <t>Imported</t>
    </r>
  </si>
  <si>
    <r>
      <t xml:space="preserve">Poly Mesh Aop - </t>
    </r>
    <r>
      <rPr>
        <sz val="10"/>
        <color rgb="FFFF00FF"/>
        <rFont val="Arial"/>
        <family val="2"/>
      </rPr>
      <t>Imported</t>
    </r>
  </si>
  <si>
    <t>Sepia+Birch+Sepia+Birch+Sepia</t>
  </si>
  <si>
    <r>
      <t>13262778 -</t>
    </r>
    <r>
      <rPr>
        <b/>
        <sz val="10"/>
        <rFont val="Arial"/>
        <family val="2"/>
      </rPr>
      <t xml:space="preserve"> Dry Handfeel </t>
    </r>
    <r>
      <rPr>
        <sz val="10"/>
        <rFont val="Arial"/>
        <family val="2"/>
      </rPr>
      <t>as Swatch</t>
    </r>
  </si>
  <si>
    <t>44076 16th</t>
  </si>
  <si>
    <t>42965 14th</t>
  </si>
  <si>
    <t>04-05-2026+05.05+07.05</t>
  </si>
  <si>
    <t>Lt. Peach</t>
  </si>
  <si>
    <t>AOP &amp; Lt. Brush</t>
  </si>
  <si>
    <t>AOP, Lt. Brush &amp; Peach</t>
  </si>
  <si>
    <t>AOP &amp; Lt. Peach</t>
  </si>
  <si>
    <t>Y/D &amp; Lt. Brush</t>
  </si>
  <si>
    <t>BAD1101-Regenagri Cotton</t>
  </si>
  <si>
    <r>
      <t xml:space="preserve">15247223 - </t>
    </r>
    <r>
      <rPr>
        <b/>
        <sz val="10"/>
        <rFont val="Arial"/>
        <family val="2"/>
      </rPr>
      <t>No Enzyme</t>
    </r>
  </si>
  <si>
    <t>Blue Nights (B/Part Dye)</t>
  </si>
  <si>
    <t>22029226 - Fabric Must be Fluffy</t>
  </si>
  <si>
    <t>Poly Round Drawstring</t>
  </si>
  <si>
    <t>Grey Pinstripe (B/Part Dye)</t>
  </si>
  <si>
    <t>9629336 - Y/D Matching</t>
  </si>
  <si>
    <t>12-0824 TCX+White+19-3908 TCX+White+19-3908 TCX</t>
  </si>
  <si>
    <t>RW915-2518</t>
  </si>
  <si>
    <t>GTA+U-02+Ceylon</t>
  </si>
  <si>
    <t>27-04-2026+08.05</t>
  </si>
  <si>
    <t>Gardenia</t>
  </si>
  <si>
    <t>106250 106180 106179</t>
  </si>
  <si>
    <t>29402 42th</t>
  </si>
  <si>
    <t>Top Ctn, 60/40 CVC Terry</t>
  </si>
  <si>
    <t>02-05-2026+09.05</t>
  </si>
  <si>
    <t>506 KG Transfer to 30490 4th-09.05 (By Shekhor Vai)</t>
  </si>
  <si>
    <t>15388197 - Licence Order</t>
  </si>
  <si>
    <t>True Red (B/Part Dye)</t>
  </si>
  <si>
    <t>22041 60th</t>
  </si>
  <si>
    <t>Goat</t>
  </si>
  <si>
    <t>22035 69th</t>
  </si>
  <si>
    <r>
      <t>15204712 -</t>
    </r>
    <r>
      <rPr>
        <sz val="10"/>
        <color rgb="FFFF00FF"/>
        <rFont val="Arial"/>
        <family val="2"/>
      </rPr>
      <t xml:space="preserve"> Live Love</t>
    </r>
    <r>
      <rPr>
        <sz val="10"/>
        <rFont val="Arial"/>
        <family val="2"/>
      </rPr>
      <t xml:space="preserve"> - </t>
    </r>
    <r>
      <rPr>
        <b/>
        <sz val="10"/>
        <rFont val="Arial"/>
        <family val="2"/>
      </rPr>
      <t>No Enzyme</t>
    </r>
  </si>
  <si>
    <r>
      <rPr>
        <sz val="10"/>
        <color rgb="FFFF00FF"/>
        <rFont val="Arial"/>
        <family val="2"/>
      </rPr>
      <t xml:space="preserve">Live Love </t>
    </r>
    <r>
      <rPr>
        <sz val="10"/>
        <rFont val="Arial"/>
        <family val="2"/>
      </rPr>
      <t>-</t>
    </r>
    <r>
      <rPr>
        <sz val="10"/>
        <color rgb="FFFF00FF"/>
        <rFont val="Arial"/>
        <family val="2"/>
      </rPr>
      <t xml:space="preserve"> </t>
    </r>
    <r>
      <rPr>
        <sz val="10"/>
        <rFont val="Arial"/>
        <family val="2"/>
      </rPr>
      <t xml:space="preserve">Advanced Order- </t>
    </r>
    <r>
      <rPr>
        <b/>
        <sz val="10"/>
        <rFont val="Arial"/>
        <family val="2"/>
      </rPr>
      <t>No Enzyme</t>
    </r>
  </si>
  <si>
    <t>06-05-2026+07.05+09.05</t>
  </si>
  <si>
    <t>13262679 - Revised 11.05 (Dia Changed)</t>
  </si>
  <si>
    <t>13263243 - Revised 11.05 (Dia Changed)</t>
  </si>
  <si>
    <t>13262764 - Revised 11.05 (Rib GSM changed)</t>
  </si>
  <si>
    <t>L/Fleece ( 20% Rec-Ctn)</t>
  </si>
  <si>
    <t>100 % Rec-Poly- Aop Imported Mesh</t>
  </si>
  <si>
    <t>Rec-Poly- Imported Aop Mesh</t>
  </si>
  <si>
    <t>Rec-Poly- Imported  Mesh</t>
  </si>
  <si>
    <t>ASAP</t>
  </si>
  <si>
    <r>
      <t xml:space="preserve">15095808 - </t>
    </r>
    <r>
      <rPr>
        <sz val="10"/>
        <color rgb="FFFF00FF"/>
        <rFont val="Arial"/>
        <family val="2"/>
      </rPr>
      <t>Live Love</t>
    </r>
    <r>
      <rPr>
        <sz val="10"/>
        <rFont val="Arial"/>
        <family val="2"/>
      </rPr>
      <t xml:space="preserve">- </t>
    </r>
    <r>
      <rPr>
        <b/>
        <sz val="10"/>
        <rFont val="Arial"/>
        <family val="2"/>
      </rPr>
      <t>No Enzyme</t>
    </r>
  </si>
  <si>
    <t>Dark Red</t>
  </si>
  <si>
    <t>262TRO374-6154-Contrast</t>
  </si>
  <si>
    <t>Nantucket Breeze</t>
  </si>
  <si>
    <t>Flushing Pink</t>
  </si>
  <si>
    <t>262TRO376-6154- Contrast</t>
  </si>
  <si>
    <t>30588 18th</t>
  </si>
  <si>
    <t>44026 14th</t>
  </si>
  <si>
    <t>43320 17th</t>
  </si>
  <si>
    <t>13216876 - Lace Matching</t>
  </si>
  <si>
    <t>43321 23th</t>
  </si>
  <si>
    <t>1 Roll shade not ok</t>
  </si>
  <si>
    <t>13262898 - Contrast (Y/D As Swatch)- Revised 12.06 ( Dia Change By Knitting)</t>
  </si>
  <si>
    <t>13261571- Revised 12.05 ( Dia Change)</t>
  </si>
  <si>
    <t>13261430- Revised 12.05 ( Dia Change)</t>
  </si>
  <si>
    <t>2597880/4708880- Slub Line Should Be Straight As Per Approval Standard</t>
  </si>
  <si>
    <t>Black (B/part Dye)</t>
  </si>
  <si>
    <t>Coffee Bean (B/part Dye)</t>
  </si>
  <si>
    <t>15388675- As Swatch</t>
  </si>
  <si>
    <t>106338 106336</t>
  </si>
  <si>
    <t>SPAJKT-038</t>
  </si>
  <si>
    <t>CVC Bonded L/Interlock (Rec-Poly)</t>
  </si>
  <si>
    <t>SPASWT-001 - Revised 12.05 (Dia Changed)</t>
  </si>
  <si>
    <t>47403 2nd</t>
  </si>
  <si>
    <t>9603199 - Y/D Matching</t>
  </si>
  <si>
    <t>Cloud Dancer+Insignia Blue</t>
  </si>
  <si>
    <t>Maherin</t>
  </si>
  <si>
    <t>68663/68664</t>
  </si>
  <si>
    <t>Bonded L/Interlock</t>
  </si>
  <si>
    <t>68666/68668</t>
  </si>
  <si>
    <t>68670/68674</t>
  </si>
  <si>
    <t>Folkstone Grey</t>
  </si>
  <si>
    <t>Deep Lichen</t>
  </si>
  <si>
    <t>68161/68181</t>
  </si>
  <si>
    <t>Grey Marl 15%</t>
  </si>
  <si>
    <t>30011 20th</t>
  </si>
  <si>
    <t>43102 5th</t>
  </si>
  <si>
    <t>Cancelled-14.05 by Mannan Sir</t>
  </si>
  <si>
    <t>13-05-2026+15.05</t>
  </si>
  <si>
    <t>27204 52th</t>
  </si>
  <si>
    <t>08-05-2026+15.05</t>
  </si>
  <si>
    <t>12-05-2026+13.05+15.05</t>
  </si>
  <si>
    <t>09-05-2026+15.05</t>
  </si>
  <si>
    <t>47403 1st</t>
  </si>
  <si>
    <t>Sangria+Taylor Pink</t>
  </si>
  <si>
    <t>46792 7th</t>
  </si>
  <si>
    <t>Outside Brush</t>
  </si>
  <si>
    <t>262TSH054-6153 - Revised 16.05 (Need Brush instead of Peach due to quality issue) - As Swatch</t>
  </si>
  <si>
    <t>26828 65th</t>
  </si>
  <si>
    <t>From 26827 43th+44th</t>
  </si>
  <si>
    <t>26828 66th</t>
  </si>
  <si>
    <t>44019 15th</t>
  </si>
  <si>
    <t>43316 24th</t>
  </si>
  <si>
    <t>47059 2nd</t>
  </si>
  <si>
    <t>Bel Air Blue</t>
  </si>
  <si>
    <t>45320 5th</t>
  </si>
  <si>
    <t>All</t>
  </si>
  <si>
    <t>Herringbone Tape - Black</t>
  </si>
  <si>
    <t>Herringbone Tape - White</t>
  </si>
  <si>
    <t>15388677 - As Swatch</t>
  </si>
  <si>
    <t>15388868 - Contrast</t>
  </si>
  <si>
    <t>Top G.Mel, 80/20 CVC Terry (Rec-Poly)</t>
  </si>
  <si>
    <t>Tibetan Red</t>
  </si>
  <si>
    <t>41318 15th</t>
  </si>
  <si>
    <t>BAD1571AD</t>
  </si>
  <si>
    <t>46615 6th</t>
  </si>
  <si>
    <t>BAD1318Z</t>
  </si>
  <si>
    <t>24297 11th</t>
  </si>
  <si>
    <t>BAD1112T</t>
  </si>
  <si>
    <t>22738 9th</t>
  </si>
  <si>
    <t>BAD1131R</t>
  </si>
  <si>
    <t>24231 15th</t>
  </si>
  <si>
    <t>BAD0967AB - Lace Matching</t>
  </si>
  <si>
    <t>44047 10th</t>
  </si>
  <si>
    <t>BAD0982AL</t>
  </si>
  <si>
    <t>41645 8th</t>
  </si>
  <si>
    <t>BAD2681G</t>
  </si>
  <si>
    <t>30703 10th</t>
  </si>
  <si>
    <t>BAD2640J</t>
  </si>
  <si>
    <t>23325 14th</t>
  </si>
  <si>
    <t>BAD0960BB</t>
  </si>
  <si>
    <t>24230 19th</t>
  </si>
  <si>
    <t>BAD0966AC</t>
  </si>
  <si>
    <t>45963 9th</t>
  </si>
  <si>
    <t>BAD0962BO</t>
  </si>
  <si>
    <t>24240 15th</t>
  </si>
  <si>
    <t>BAD0983V</t>
  </si>
  <si>
    <t>29254 15th</t>
  </si>
  <si>
    <r>
      <t xml:space="preserve">15247221 - </t>
    </r>
    <r>
      <rPr>
        <b/>
        <sz val="10"/>
        <rFont val="Arial"/>
        <family val="2"/>
      </rPr>
      <t>No Enzyme</t>
    </r>
  </si>
  <si>
    <t>46309 4th</t>
  </si>
  <si>
    <r>
      <t xml:space="preserve">15188034 - </t>
    </r>
    <r>
      <rPr>
        <b/>
        <sz val="10"/>
        <color rgb="FFFF00FF"/>
        <rFont val="Arial"/>
        <family val="2"/>
      </rPr>
      <t>Live Love</t>
    </r>
    <r>
      <rPr>
        <b/>
        <sz val="10"/>
        <rFont val="Arial"/>
        <family val="2"/>
      </rPr>
      <t xml:space="preserve"> - No Enzyme</t>
    </r>
  </si>
  <si>
    <t>29251 13th</t>
  </si>
  <si>
    <t>44608 2nd</t>
  </si>
  <si>
    <t>45380 15th</t>
  </si>
  <si>
    <t>Lollipop</t>
  </si>
  <si>
    <t>Parfait Pink Aop</t>
  </si>
  <si>
    <t>16813 10th</t>
  </si>
  <si>
    <t>BAD1319Q</t>
  </si>
  <si>
    <t>43305 2nd</t>
  </si>
  <si>
    <t>BAD0954- Regenagri Cotton</t>
  </si>
  <si>
    <t>46885 4th</t>
  </si>
  <si>
    <t>BAD3195- Regenagri Cotton</t>
  </si>
  <si>
    <t>44613 5th</t>
  </si>
  <si>
    <t>BAD2908-Regenagri Cotton</t>
  </si>
  <si>
    <t>41712 13th</t>
  </si>
  <si>
    <t>45883 3rd</t>
  </si>
  <si>
    <t>41713 6th</t>
  </si>
  <si>
    <t>40668 7th</t>
  </si>
  <si>
    <t>43306 18th</t>
  </si>
  <si>
    <t>40665 7th</t>
  </si>
  <si>
    <r>
      <t>BAD1123-Regenagri Cotton-</t>
    </r>
    <r>
      <rPr>
        <sz val="10"/>
        <color rgb="FFFF00FF"/>
        <rFont val="Arial"/>
        <family val="2"/>
      </rPr>
      <t xml:space="preserve"> Lace Matching</t>
    </r>
  </si>
  <si>
    <t>30405 6th</t>
  </si>
  <si>
    <t>BAD2498</t>
  </si>
  <si>
    <t>40675 9th</t>
  </si>
  <si>
    <t>42965 15th</t>
  </si>
  <si>
    <t>Opal Grey</t>
  </si>
  <si>
    <t>45092 7th</t>
  </si>
  <si>
    <t>BAD1058-Regenagri Cotton</t>
  </si>
  <si>
    <t>43663 7th</t>
  </si>
  <si>
    <t>46152 5th</t>
  </si>
  <si>
    <t>BAD0985-Regenagri Cotton</t>
  </si>
  <si>
    <t>41947 26th</t>
  </si>
  <si>
    <t>44587 7th</t>
  </si>
  <si>
    <t>BAD2548-Regenagri Cotton</t>
  </si>
  <si>
    <t>40671 10th</t>
  </si>
  <si>
    <t>Orchid Petal</t>
  </si>
  <si>
    <r>
      <t xml:space="preserve">262PJA1012-903 - </t>
    </r>
    <r>
      <rPr>
        <b/>
        <sz val="10"/>
        <rFont val="Arial"/>
        <family val="2"/>
      </rPr>
      <t xml:space="preserve">Additional- </t>
    </r>
    <r>
      <rPr>
        <sz val="10"/>
        <rFont val="Arial"/>
        <family val="2"/>
      </rPr>
      <t>Revised 20.05 (Qty Increased)</t>
    </r>
  </si>
  <si>
    <t>18-05-2026+20.05</t>
  </si>
  <si>
    <t>Birch (B/part Dye)</t>
  </si>
  <si>
    <t>Balsam Green (B/part Dye)</t>
  </si>
  <si>
    <t>Fuchsia Purple (B/part Dye)</t>
  </si>
  <si>
    <t>Port Royale (B/part Dye)</t>
  </si>
  <si>
    <t>Navy Blazer (B/part Dye)</t>
  </si>
  <si>
    <t>Lollipop (B/part Dye)</t>
  </si>
  <si>
    <t>47763 2nd</t>
  </si>
  <si>
    <t>11-05-2026+13.05+20.05+21.05</t>
  </si>
  <si>
    <t>47424 2nd</t>
  </si>
  <si>
    <t>915-33583</t>
  </si>
  <si>
    <t>Icy Blue+11-0604 Tcx+19-0915 Tcx+11-0604 TCx+Icy Blue+19-0915 Tcx</t>
  </si>
  <si>
    <t>47403 3rd</t>
  </si>
  <si>
    <t>Icy Blue+11-0604 Tcx+19-0915 Tcx+11-0604 Tcx+Icy Blue+19-0915 Tcx</t>
  </si>
  <si>
    <t>21-05-2026+22.05</t>
  </si>
  <si>
    <t>106628 106630</t>
  </si>
  <si>
    <t>43321 24th</t>
  </si>
  <si>
    <t>44842 9th</t>
  </si>
  <si>
    <t>43323 29th</t>
  </si>
  <si>
    <t>15-05-2026+22.05</t>
  </si>
  <si>
    <t>26828 67th</t>
  </si>
  <si>
    <t>Quarry (B/Part Dye)</t>
  </si>
  <si>
    <t>Desert Taupe (B/Part Dye)</t>
  </si>
  <si>
    <t>Chinois Green (B/Part Dye)</t>
  </si>
  <si>
    <t>Purple Dove (B/Part Dye)</t>
  </si>
  <si>
    <t>45964 8th</t>
  </si>
  <si>
    <t>46616 3rd</t>
  </si>
  <si>
    <t>26970 58th</t>
  </si>
  <si>
    <t>26827 51th</t>
  </si>
  <si>
    <t>20-05-2026+23.05</t>
  </si>
  <si>
    <t>19-05-2026+20.05+23.05</t>
  </si>
  <si>
    <t>21-05-2026+23.05</t>
  </si>
  <si>
    <t>Dark Brown Melange</t>
  </si>
  <si>
    <t>106644 106614 106628</t>
  </si>
  <si>
    <t>26827 53th</t>
  </si>
  <si>
    <t>26827 54th</t>
  </si>
  <si>
    <t>26828 69th</t>
  </si>
  <si>
    <t>26828 70th</t>
  </si>
  <si>
    <t>26828 71th</t>
  </si>
  <si>
    <t>Castro Grey (B/part Dye)</t>
  </si>
  <si>
    <t>Brandied Apricot</t>
  </si>
  <si>
    <t>Growssgrain Tape</t>
  </si>
  <si>
    <t>Beetle</t>
  </si>
  <si>
    <r>
      <t xml:space="preserve">262SWT024-222 - </t>
    </r>
    <r>
      <rPr>
        <b/>
        <sz val="10"/>
        <rFont val="Arial"/>
        <family val="2"/>
      </rPr>
      <t xml:space="preserve">Additional </t>
    </r>
    <r>
      <rPr>
        <sz val="10"/>
        <rFont val="Arial"/>
        <family val="2"/>
      </rPr>
      <t>- Revised 23.05 (Qty Increased)</t>
    </r>
  </si>
  <si>
    <t>1707 1704 98</t>
  </si>
  <si>
    <t>1707 1706</t>
  </si>
  <si>
    <t>1484 95 1466</t>
  </si>
  <si>
    <t>White Pepper</t>
  </si>
  <si>
    <t>July'26</t>
  </si>
  <si>
    <t>45964 10th</t>
  </si>
  <si>
    <t>22039968-Fabric Must Be Fluffy</t>
  </si>
  <si>
    <t>Black+Brich</t>
  </si>
  <si>
    <t>46305 2nd</t>
  </si>
  <si>
    <t>BAD3139</t>
  </si>
  <si>
    <t>44262 6th</t>
  </si>
  <si>
    <t>BAD2927- Lace Matching</t>
  </si>
  <si>
    <t>Beluga (B/Part Dye)</t>
  </si>
  <si>
    <t>30708 16th</t>
  </si>
  <si>
    <t>30710 10th</t>
  </si>
  <si>
    <t>21835 9th</t>
  </si>
  <si>
    <t>15386782-Revised 25.05 ( Dia Change By Knitting)</t>
  </si>
  <si>
    <t>15386687- Revised 25.05 (Rib Dia Change By Knitting)</t>
  </si>
  <si>
    <t>Beetroot Purple (B/part Dye)</t>
  </si>
  <si>
    <r>
      <t xml:space="preserve">15386714- Ensure no Color shading between body &amp; </t>
    </r>
    <r>
      <rPr>
        <b/>
        <sz val="10"/>
        <rFont val="Arial"/>
        <family val="2"/>
      </rPr>
      <t>Contrast Part</t>
    </r>
  </si>
  <si>
    <t>Gross Grain Tape</t>
  </si>
  <si>
    <t>262JOG252-6140 - 3rd Revised 06.06 (Applique Color Change )</t>
  </si>
  <si>
    <t>Beluga</t>
  </si>
  <si>
    <t>No T&amp;A</t>
  </si>
  <si>
    <t>Stock Use (Hassan Store) By Mer- Need Peach</t>
  </si>
  <si>
    <t>262PJA072-228- Aop Fabric One Way Cutting - Revised 08.06 (Color Change)</t>
  </si>
  <si>
    <t>Tango Red  Aop (Discharge Dye)</t>
  </si>
  <si>
    <t>106755 106758 106757</t>
  </si>
  <si>
    <t>22040527- Revised 08.06 ( Qty Increase)</t>
  </si>
  <si>
    <t>41875 14th</t>
  </si>
  <si>
    <t>43969 37th</t>
  </si>
  <si>
    <t>Tango Red Aop</t>
  </si>
  <si>
    <t>Coca Mocha Aop (Discharge Dye)</t>
  </si>
  <si>
    <t>43323 30th</t>
  </si>
  <si>
    <t>43327 14th</t>
  </si>
  <si>
    <t>44019 16th</t>
  </si>
  <si>
    <t>43316 25th</t>
  </si>
  <si>
    <t>43330 10th</t>
  </si>
  <si>
    <t>15386480-Revised 09.06 ( Qty Change)</t>
  </si>
  <si>
    <t>15386894- Revised 09.06 ( Qty Change)</t>
  </si>
  <si>
    <t>15386477-Revised 09.06 ( Qty Change)</t>
  </si>
  <si>
    <t>Pine Grove (Cotton part Dye)</t>
  </si>
  <si>
    <t>Coffee Bean (Cotton Part Dye)</t>
  </si>
  <si>
    <t>262PJA1021-903- Revised 09.06 ( Qty Increase)</t>
  </si>
  <si>
    <t>262NDG1023-903- Revised 09.06 ( Qty Increase)</t>
  </si>
  <si>
    <t>262PJA1114-903- Revised 09.06 2nd time (  Qty Increase)</t>
  </si>
  <si>
    <t>262PJA1117-903-Contrast- Revised 09.06 (Qty Decrease)</t>
  </si>
  <si>
    <t>262PJA1118-903 - Revised 09.06 2nd time (Fabrication Confirmation)</t>
  </si>
  <si>
    <t>Poly 2x1 L/Rib (Rec-Poly)</t>
  </si>
  <si>
    <t>Rib not Ok</t>
  </si>
  <si>
    <t>1671 1669</t>
  </si>
  <si>
    <t>23-05-2026+06.06</t>
  </si>
  <si>
    <t>24-05-2026+06.06</t>
  </si>
  <si>
    <t>15-05-2026+16.05+24.05+07.05</t>
  </si>
  <si>
    <t>16-05-2026+18.05+08.06</t>
  </si>
  <si>
    <r>
      <t>132651383 -</t>
    </r>
    <r>
      <rPr>
        <b/>
        <sz val="10"/>
        <rFont val="Arial"/>
        <family val="2"/>
      </rPr>
      <t>No Enzyme</t>
    </r>
    <r>
      <rPr>
        <sz val="10"/>
        <rFont val="Arial"/>
        <family val="2"/>
      </rPr>
      <t xml:space="preserve"> Confirm By Mahabub Sir- 05.05.26-Revised 12.05 (Color changed)</t>
    </r>
  </si>
  <si>
    <t>20-05-2026+09.06</t>
  </si>
  <si>
    <t>20-05-2026+10.06</t>
  </si>
  <si>
    <t>18-05-2026+10.06</t>
  </si>
  <si>
    <t>Black (Poly Part Dye)</t>
  </si>
  <si>
    <t>9652104-Contrast</t>
  </si>
  <si>
    <t>Light Blue</t>
  </si>
  <si>
    <t>68313/68164 - Revised 10.06 (Qty Increased)</t>
  </si>
  <si>
    <t>22029225 - Fabric Must be Fluffy - Revised 11.06 (Dia Changed)</t>
  </si>
  <si>
    <t>10-06-2026+11.06</t>
  </si>
  <si>
    <r>
      <t xml:space="preserve">13260361 - </t>
    </r>
    <r>
      <rPr>
        <b/>
        <sz val="10"/>
        <rFont val="Arial"/>
        <family val="2"/>
      </rPr>
      <t>Additional</t>
    </r>
    <r>
      <rPr>
        <sz val="10"/>
        <rFont val="Arial"/>
        <family val="2"/>
      </rPr>
      <t xml:space="preserve"> - Revised 11.06 (Ordering Mistake)</t>
    </r>
  </si>
  <si>
    <t>42480 3rd</t>
  </si>
  <si>
    <t>BAD1059mamaAL - Regenagri Cotton</t>
  </si>
  <si>
    <t>22029225 - Fabric Must be Fluffy</t>
  </si>
  <si>
    <t>Top 60/40, Loop 80/20 CVC Fleece (Rec-Poly)</t>
  </si>
  <si>
    <t>Top 100% Tencel Modal, Loop Rec Poly, Pleated S/J</t>
  </si>
  <si>
    <t>Top Open End, CVC Fleece (Rec-Poly)</t>
  </si>
  <si>
    <r>
      <t xml:space="preserve">BAD2530mamaAB - </t>
    </r>
    <r>
      <rPr>
        <b/>
        <sz val="10"/>
        <rFont val="Arial"/>
        <family val="2"/>
      </rPr>
      <t xml:space="preserve">Additional </t>
    </r>
    <r>
      <rPr>
        <sz val="10"/>
        <rFont val="Arial"/>
        <family val="2"/>
      </rPr>
      <t>- Revised 12.06 (Ordering Mistake)</t>
    </r>
  </si>
  <si>
    <t>VP L/Interlock</t>
  </si>
  <si>
    <t>15393197 - Revised 12.06 (Fabrication Changed)</t>
  </si>
  <si>
    <t>Light Grey Melange+Victoria Blue</t>
  </si>
  <si>
    <t>Rib 1 Roll GSM High</t>
  </si>
  <si>
    <r>
      <t xml:space="preserve">13262047 - </t>
    </r>
    <r>
      <rPr>
        <b/>
        <sz val="10"/>
        <rFont val="Arial"/>
        <family val="2"/>
      </rPr>
      <t>No Enzyme</t>
    </r>
  </si>
  <si>
    <r>
      <t xml:space="preserve">13261489 - </t>
    </r>
    <r>
      <rPr>
        <b/>
        <sz val="10"/>
        <rFont val="Arial"/>
        <family val="2"/>
      </rPr>
      <t>No Enzyme</t>
    </r>
  </si>
  <si>
    <r>
      <t xml:space="preserve">13261590 - </t>
    </r>
    <r>
      <rPr>
        <b/>
        <sz val="10"/>
        <rFont val="Arial"/>
        <family val="2"/>
      </rPr>
      <t>No Enzyme</t>
    </r>
  </si>
  <si>
    <r>
      <t xml:space="preserve">13262862 - </t>
    </r>
    <r>
      <rPr>
        <b/>
        <sz val="10"/>
        <rFont val="Arial"/>
        <family val="2"/>
      </rPr>
      <t>No Enzyme</t>
    </r>
  </si>
  <si>
    <r>
      <t xml:space="preserve">13261639 - </t>
    </r>
    <r>
      <rPr>
        <b/>
        <sz val="10"/>
        <rFont val="Arial"/>
        <family val="2"/>
      </rPr>
      <t>No Enzyme-</t>
    </r>
    <r>
      <rPr>
        <sz val="10"/>
        <rFont val="Arial"/>
        <family val="2"/>
      </rPr>
      <t xml:space="preserve"> Revised 09.06 (Discharge Dye Added)</t>
    </r>
  </si>
  <si>
    <r>
      <t xml:space="preserve">13261635 - </t>
    </r>
    <r>
      <rPr>
        <b/>
        <sz val="10"/>
        <rFont val="Arial"/>
        <family val="2"/>
      </rPr>
      <t>No Enzyme-</t>
    </r>
    <r>
      <rPr>
        <sz val="10"/>
        <rFont val="Arial"/>
        <family val="2"/>
      </rPr>
      <t xml:space="preserve"> Revised 09.06 (Discharge Dye Added)</t>
    </r>
  </si>
  <si>
    <r>
      <t xml:space="preserve">13262865 - </t>
    </r>
    <r>
      <rPr>
        <b/>
        <sz val="10"/>
        <rFont val="Arial"/>
        <family val="2"/>
      </rPr>
      <t>No Enzyme</t>
    </r>
  </si>
  <si>
    <t>2016007/4156007 -After GMT wash GSM has to be 280, Should Be Singeing Finish to Avoid Pilling &amp; Hand Feel S/B Soft</t>
  </si>
  <si>
    <t>1723 1678</t>
  </si>
  <si>
    <t>9652101 - Revised 13.06 (Qty Increased)</t>
  </si>
  <si>
    <t>47403 1st &amp; 3rd</t>
  </si>
  <si>
    <r>
      <t xml:space="preserve">9603199 - </t>
    </r>
    <r>
      <rPr>
        <b/>
        <sz val="10"/>
        <rFont val="Arial"/>
        <family val="2"/>
      </rPr>
      <t>Additional</t>
    </r>
    <r>
      <rPr>
        <sz val="10"/>
        <rFont val="Arial"/>
        <family val="2"/>
      </rPr>
      <t xml:space="preserve"> - Y/D Matching</t>
    </r>
  </si>
  <si>
    <t>09-06-2026+13.06</t>
  </si>
  <si>
    <t>106827 106793</t>
  </si>
  <si>
    <t>Ocean Cavern</t>
  </si>
  <si>
    <t>Port Royale</t>
  </si>
  <si>
    <t>44715 12th</t>
  </si>
  <si>
    <t>Lavender Aop</t>
  </si>
  <si>
    <t>22-05-2026+14.06 Return</t>
  </si>
  <si>
    <t>15-05-2026+14.06 Return</t>
  </si>
  <si>
    <t>10-06-2026+15.06</t>
  </si>
  <si>
    <t>05-06-2026+15.06</t>
  </si>
  <si>
    <t>BAD1298-Regenagri Cotton - Y/D Matching</t>
  </si>
  <si>
    <t>106910 106669 106701</t>
  </si>
  <si>
    <t>24-05-2026+25.05+14.06</t>
  </si>
  <si>
    <t>106900 106954 106927</t>
  </si>
  <si>
    <t>106948 106945</t>
  </si>
  <si>
    <t>106950 106941</t>
  </si>
  <si>
    <t>262JOG015-226 - Contrast - 2nd Revised 15.06 (Necktape Color Changed)</t>
  </si>
  <si>
    <t>1729 1555 1391 1652</t>
  </si>
  <si>
    <t>1729 1391</t>
  </si>
  <si>
    <t>Rib+S/J not ok</t>
  </si>
  <si>
    <t>11-06-2026+15.06</t>
  </si>
  <si>
    <t>262TSH320-227- 2nd Revised 16.06 (Qty Increase)</t>
  </si>
  <si>
    <t>11-06-2026+16.06</t>
  </si>
  <si>
    <t>Twill Tape (Gardenia)</t>
  </si>
  <si>
    <t>686559 - Revised 16.06 (Twill tape color changed)</t>
  </si>
  <si>
    <t>Port Royal</t>
  </si>
  <si>
    <t>Moonstuck</t>
  </si>
  <si>
    <t>41318 16th</t>
  </si>
  <si>
    <t>BAD1571</t>
  </si>
  <si>
    <t>Ice Pink</t>
  </si>
  <si>
    <t>BAD3217</t>
  </si>
  <si>
    <t>Egret+Chocolate Lab</t>
  </si>
  <si>
    <t>24230 20th</t>
  </si>
  <si>
    <t>Icy Pink</t>
  </si>
  <si>
    <t>BAD3224-Regenagri Cotton</t>
  </si>
  <si>
    <t>45150 2nd</t>
  </si>
  <si>
    <r>
      <t xml:space="preserve">BAD2992- </t>
    </r>
    <r>
      <rPr>
        <sz val="10"/>
        <color rgb="FFFF00FF"/>
        <rFont val="Arial"/>
        <family val="2"/>
      </rPr>
      <t>Grey Imported</t>
    </r>
  </si>
  <si>
    <t>Len Micro Modal 2x1 L/Rib</t>
  </si>
  <si>
    <t>Abid</t>
  </si>
  <si>
    <r>
      <t xml:space="preserve">262SWT358-6154 - </t>
    </r>
    <r>
      <rPr>
        <b/>
        <sz val="10"/>
        <rFont val="Arial"/>
        <family val="2"/>
      </rPr>
      <t>Additional</t>
    </r>
    <r>
      <rPr>
        <sz val="10"/>
        <rFont val="Arial"/>
        <family val="2"/>
      </rPr>
      <t xml:space="preserve"> - Revised 16.06 (Qty Increased)</t>
    </r>
  </si>
  <si>
    <t>09-06-2026+16.06</t>
  </si>
  <si>
    <t>1740 1738</t>
  </si>
  <si>
    <t>17-05-2026+24.05+14.06</t>
  </si>
  <si>
    <t>13-06-2026+17.06</t>
  </si>
  <si>
    <t>15-06-2026+17.06</t>
  </si>
  <si>
    <t>15-1220 TPG</t>
  </si>
  <si>
    <t>915-34480-Contrast</t>
  </si>
  <si>
    <t>Mid Grey 5%</t>
  </si>
  <si>
    <t>Frosty Green</t>
  </si>
  <si>
    <t>25041282- AS Given Swatch- Contrast</t>
  </si>
  <si>
    <t>BAD1630-Regenagri Cotton - Revised 17.06 (Dia Changed)</t>
  </si>
  <si>
    <t>16-06-2026+17.06</t>
  </si>
  <si>
    <t>4 Roll GSM High</t>
  </si>
  <si>
    <t>15-05-2026+10.06+17.06</t>
  </si>
  <si>
    <t xml:space="preserve">1x1 L/Rib </t>
  </si>
  <si>
    <t>Need Urgent Suppot</t>
  </si>
  <si>
    <t>107032 107031</t>
  </si>
  <si>
    <t>106996 106999 106998</t>
  </si>
  <si>
    <t>42480 4th</t>
  </si>
  <si>
    <t>BAD1059mamaAM</t>
  </si>
  <si>
    <t>30405 7th</t>
  </si>
  <si>
    <t>BAD2498mamaI</t>
  </si>
  <si>
    <t>Orchid Ice Aop</t>
  </si>
  <si>
    <t>Violet Tulle</t>
  </si>
  <si>
    <t>Orchid Ice</t>
  </si>
  <si>
    <t>Crockery</t>
  </si>
  <si>
    <t>Mulled Basil</t>
  </si>
  <si>
    <t>1501 1497</t>
  </si>
  <si>
    <r>
      <t>2195441/4255441-</t>
    </r>
    <r>
      <rPr>
        <b/>
        <sz val="10"/>
        <rFont val="Arial"/>
        <family val="2"/>
      </rPr>
      <t>Core</t>
    </r>
    <r>
      <rPr>
        <sz val="10"/>
        <rFont val="Arial"/>
        <family val="2"/>
      </rPr>
      <t xml:space="preserve">- </t>
    </r>
    <r>
      <rPr>
        <sz val="10"/>
        <color rgb="FFFF00FF"/>
        <rFont val="Arial"/>
        <family val="2"/>
      </rPr>
      <t>Acid Wash</t>
    </r>
    <r>
      <rPr>
        <sz val="10"/>
        <rFont val="Arial"/>
        <family val="2"/>
      </rPr>
      <t>- Avoid Pilling, Brush Shuld Be Shearing &amp; Handfeel S/B Soft- Revised 19.06 (Qty Increased)</t>
    </r>
  </si>
  <si>
    <r>
      <t>2195441/4255441-</t>
    </r>
    <r>
      <rPr>
        <b/>
        <sz val="10"/>
        <rFont val="Arial"/>
        <family val="2"/>
      </rPr>
      <t>Plus</t>
    </r>
    <r>
      <rPr>
        <sz val="10"/>
        <rFont val="Arial"/>
        <family val="2"/>
      </rPr>
      <t xml:space="preserve">- </t>
    </r>
    <r>
      <rPr>
        <sz val="10"/>
        <color rgb="FFFF00FF"/>
        <rFont val="Arial"/>
        <family val="2"/>
      </rPr>
      <t>Acid Wash</t>
    </r>
    <r>
      <rPr>
        <sz val="10"/>
        <rFont val="Arial"/>
        <family val="2"/>
      </rPr>
      <t>- Avoid Pilling, Brush Shuld Be Shearing &amp; Handfeel S/B Soft- Revised 19.06 (Qty Reduced)</t>
    </r>
  </si>
  <si>
    <t>18-06-2026+19.06</t>
  </si>
  <si>
    <t>44650 2nd</t>
  </si>
  <si>
    <t>BAD2956A</t>
  </si>
  <si>
    <t>43622 5th</t>
  </si>
  <si>
    <r>
      <t xml:space="preserve">BAD2892D - </t>
    </r>
    <r>
      <rPr>
        <b/>
        <sz val="10"/>
        <rFont val="Arial"/>
        <family val="2"/>
      </rPr>
      <t>Lace Matching</t>
    </r>
  </si>
  <si>
    <t>Simple Taupe</t>
  </si>
  <si>
    <t>43618 5th</t>
  </si>
  <si>
    <t>BAD2889D</t>
  </si>
  <si>
    <t>Coca Mocha</t>
  </si>
  <si>
    <t>Burnished Lilac Aop</t>
  </si>
  <si>
    <t>23-05-2026+08.06+19.06</t>
  </si>
  <si>
    <t>17-06-2026+19.06</t>
  </si>
  <si>
    <t>13-06-2026+16.06+19.06</t>
  </si>
  <si>
    <t>16-06-2026+19.06</t>
  </si>
  <si>
    <t>107076 107074</t>
  </si>
  <si>
    <t>1691 1750</t>
  </si>
  <si>
    <t>1692 1560</t>
  </si>
  <si>
    <t>15-06-2026+20.06</t>
  </si>
  <si>
    <t>08-06-2026+20.06</t>
  </si>
  <si>
    <t>14-06-2026+15.06+17.06+20.06</t>
  </si>
  <si>
    <t>107094 106088</t>
  </si>
  <si>
    <t>03-05-2026+19.06</t>
  </si>
  <si>
    <t>106137 106153</t>
  </si>
  <si>
    <t>05-05-2026+19.06</t>
  </si>
  <si>
    <t>107093 106989</t>
  </si>
  <si>
    <t>09-05-2026+13.05+23.05+15.06+20.06</t>
  </si>
  <si>
    <t>10 Roll GSM High</t>
  </si>
  <si>
    <t>1699 1738</t>
  </si>
  <si>
    <t>17-06-2026+20.06</t>
  </si>
  <si>
    <t>05-05-2026+20.06</t>
  </si>
  <si>
    <t>24-05-2026+25.05+09.06+21.06</t>
  </si>
  <si>
    <t>17-06-2026+18.06+21.06</t>
  </si>
  <si>
    <t>Black C-N10 (B/part Dye)</t>
  </si>
  <si>
    <t>106972 106971</t>
  </si>
  <si>
    <t>106877 106844 106831</t>
  </si>
  <si>
    <t>11-06-2026+13.06+20.06</t>
  </si>
  <si>
    <t>Double Stitch Tape</t>
  </si>
  <si>
    <t>107097 107077</t>
  </si>
  <si>
    <t>19-06-2026+21.06</t>
  </si>
  <si>
    <t>Tender Touch</t>
  </si>
  <si>
    <t>Aster Purple</t>
  </si>
  <si>
    <r>
      <t xml:space="preserve">9603199 - </t>
    </r>
    <r>
      <rPr>
        <b/>
        <sz val="10"/>
        <rFont val="Arial"/>
        <family val="2"/>
      </rPr>
      <t>Additional</t>
    </r>
    <r>
      <rPr>
        <sz val="10"/>
        <rFont val="Arial"/>
        <family val="2"/>
      </rPr>
      <t>-</t>
    </r>
    <r>
      <rPr>
        <b/>
        <sz val="10"/>
        <rFont val="Arial"/>
        <family val="2"/>
      </rPr>
      <t xml:space="preserve"> Y/D Matching-</t>
    </r>
    <r>
      <rPr>
        <sz val="10"/>
        <rFont val="Arial"/>
        <family val="2"/>
      </rPr>
      <t xml:space="preserve"> 2nd Revised 22.06 (Binding Color changed)</t>
    </r>
  </si>
  <si>
    <r>
      <t xml:space="preserve">9625086 - </t>
    </r>
    <r>
      <rPr>
        <b/>
        <sz val="10"/>
        <rFont val="Arial"/>
        <family val="2"/>
      </rPr>
      <t>Additional</t>
    </r>
    <r>
      <rPr>
        <sz val="10"/>
        <rFont val="Arial"/>
        <family val="2"/>
      </rPr>
      <t>-</t>
    </r>
    <r>
      <rPr>
        <b/>
        <sz val="10"/>
        <rFont val="Arial"/>
        <family val="2"/>
      </rPr>
      <t xml:space="preserve"> Y/D Matching- 2nd </t>
    </r>
    <r>
      <rPr>
        <sz val="10"/>
        <rFont val="Arial"/>
        <family val="2"/>
      </rPr>
      <t>Revised 22.06 (Ordering Mistake)</t>
    </r>
  </si>
  <si>
    <r>
      <t xml:space="preserve">262JOG252-6140 - </t>
    </r>
    <r>
      <rPr>
        <b/>
        <sz val="10"/>
        <rFont val="Arial"/>
        <family val="2"/>
      </rPr>
      <t>Additional</t>
    </r>
    <r>
      <rPr>
        <sz val="10"/>
        <rFont val="Arial"/>
        <family val="2"/>
      </rPr>
      <t>- 4th Revised 22.06 (Ordering Mitake)</t>
    </r>
  </si>
  <si>
    <t>13-06-2026+22.06</t>
  </si>
  <si>
    <t>17-06-2026+22.06</t>
  </si>
  <si>
    <t>2101 1742</t>
  </si>
  <si>
    <t>3 Roll shining mark</t>
  </si>
  <si>
    <t>2106 1742</t>
  </si>
  <si>
    <t>Cancelled-23.06</t>
  </si>
  <si>
    <t>20-06-2026+23.06</t>
  </si>
  <si>
    <r>
      <t xml:space="preserve">148278404 - </t>
    </r>
    <r>
      <rPr>
        <b/>
        <sz val="10"/>
        <rFont val="Arial"/>
        <family val="2"/>
      </rPr>
      <t xml:space="preserve">Additional </t>
    </r>
    <r>
      <rPr>
        <sz val="10"/>
        <rFont val="Arial"/>
        <family val="2"/>
      </rPr>
      <t>- Revised 23.06</t>
    </r>
  </si>
  <si>
    <t>Cord (As Swatch)</t>
  </si>
  <si>
    <t>22-06-2026+23.06</t>
  </si>
  <si>
    <t>2108 2102</t>
  </si>
  <si>
    <t>2108 1698</t>
  </si>
  <si>
    <t>2109 1699</t>
  </si>
  <si>
    <t>2111 1084</t>
  </si>
  <si>
    <t>2112 1699</t>
  </si>
  <si>
    <t>3 Roll dirty spot</t>
  </si>
  <si>
    <t>1508 1501</t>
  </si>
  <si>
    <t>18-06-2026+23.06</t>
  </si>
  <si>
    <t>21-06-2026+24.06</t>
  </si>
  <si>
    <t>47763 1st</t>
  </si>
  <si>
    <r>
      <t>13260351 -</t>
    </r>
    <r>
      <rPr>
        <b/>
        <sz val="10"/>
        <rFont val="Arial"/>
        <family val="2"/>
      </rPr>
      <t>Additional</t>
    </r>
    <r>
      <rPr>
        <sz val="10"/>
        <rFont val="Arial"/>
        <family val="2"/>
      </rPr>
      <t>-Revised 24.06 (Color Ordering mistake)</t>
    </r>
  </si>
  <si>
    <r>
      <t xml:space="preserve">262JOG251-6140 - </t>
    </r>
    <r>
      <rPr>
        <b/>
        <sz val="10"/>
        <rFont val="Arial"/>
        <family val="2"/>
      </rPr>
      <t>Additional</t>
    </r>
    <r>
      <rPr>
        <sz val="10"/>
        <rFont val="Arial"/>
        <family val="2"/>
      </rPr>
      <t>- Revised 24.06 (Ordering mistake)</t>
    </r>
  </si>
  <si>
    <t>107148 106970</t>
  </si>
  <si>
    <t>14-06-2026+23.06</t>
  </si>
  <si>
    <t>107144 107133</t>
  </si>
  <si>
    <t>107179 107059 107060</t>
  </si>
  <si>
    <t>107158 107124</t>
  </si>
  <si>
    <t>23-06-2026+24.06</t>
  </si>
  <si>
    <t>Nosegay Aop</t>
  </si>
  <si>
    <t>20-06-2026+24.06</t>
  </si>
  <si>
    <t>15-06-2026+24.06</t>
  </si>
  <si>
    <t>2117 1697</t>
  </si>
  <si>
    <t>2118 1700</t>
  </si>
  <si>
    <t>11-06-2026+24.06</t>
  </si>
  <si>
    <t>16-06-2026+24.06</t>
  </si>
  <si>
    <t>11-06-2026+20.06+24.06 Return</t>
  </si>
  <si>
    <t>French Vanilla</t>
  </si>
  <si>
    <t>20-06-2026+25.06</t>
  </si>
  <si>
    <r>
      <t xml:space="preserve">262TSH035-222- </t>
    </r>
    <r>
      <rPr>
        <b/>
        <sz val="10"/>
        <rFont val="Arial"/>
        <family val="2"/>
      </rPr>
      <t>Additional-</t>
    </r>
    <r>
      <rPr>
        <sz val="10"/>
        <rFont val="Arial"/>
        <family val="2"/>
      </rPr>
      <t xml:space="preserve"> Revised 18.06 ( Ordering Mistale)</t>
    </r>
  </si>
  <si>
    <t>Ganachi</t>
  </si>
  <si>
    <t>107262 106875 106874</t>
  </si>
  <si>
    <t>11-06-2026+12.06+24.06</t>
  </si>
  <si>
    <t>107263 106859</t>
  </si>
  <si>
    <t>13-06-2026+24.06</t>
  </si>
  <si>
    <t>107221 107150</t>
  </si>
  <si>
    <t>10-06-2026+11.06+24.06</t>
  </si>
  <si>
    <t>107210 106819 106792</t>
  </si>
  <si>
    <t>06-06-2026+10.06+25.06</t>
  </si>
  <si>
    <t>09-05-2026+25.06</t>
  </si>
  <si>
    <t>22-06-2026+25.06</t>
  </si>
  <si>
    <t>1564 1505</t>
  </si>
  <si>
    <t>2121 1745</t>
  </si>
  <si>
    <t>2121 2116</t>
  </si>
  <si>
    <t>1758 1510</t>
  </si>
  <si>
    <t>1758 1506</t>
  </si>
  <si>
    <t>1758 1504</t>
  </si>
  <si>
    <t>1760 1509</t>
  </si>
  <si>
    <t>21-06-2026+25.06</t>
  </si>
  <si>
    <t>18-06-2026+25.06</t>
  </si>
  <si>
    <t>23-06-2026+26.06</t>
  </si>
  <si>
    <t>19-06-2026+23.06+26.06</t>
  </si>
  <si>
    <t>20-05-2026+26.06</t>
  </si>
  <si>
    <t>22-05-2026+26.06</t>
  </si>
  <si>
    <t>22-06-2026+26.06</t>
  </si>
  <si>
    <t>24-06-2026+26.06</t>
  </si>
  <si>
    <t>05-06-2026+06.06+08.06+26.06</t>
  </si>
  <si>
    <t>25-05-2026+05.06+25.06</t>
  </si>
  <si>
    <t>107140 106697 106717 106688</t>
  </si>
  <si>
    <t>107184 107186</t>
  </si>
  <si>
    <t>23-06-2026+25.06</t>
  </si>
  <si>
    <t>3 Roll shade not ok</t>
  </si>
  <si>
    <t>2126 2118</t>
  </si>
  <si>
    <t>2126 1559 1499 1552</t>
  </si>
  <si>
    <t>2127 2122 1564</t>
  </si>
  <si>
    <t>2 Roll shade not ok</t>
  </si>
  <si>
    <t>2128 2123 2104</t>
  </si>
  <si>
    <t>2129-Cloud Dancer-26.06</t>
  </si>
  <si>
    <t>1511 1505</t>
  </si>
  <si>
    <t>1511 1504 1501 1495</t>
  </si>
  <si>
    <t>1512 1508</t>
  </si>
  <si>
    <t>Black C-N10 (Cotton Part Dye)</t>
  </si>
  <si>
    <t>10-06-2026+11.06+26.06</t>
  </si>
  <si>
    <t>15-06-2026+20.06+26.06</t>
  </si>
  <si>
    <t>13-06-2026+26.06</t>
  </si>
  <si>
    <t>20-06-2026+27.06</t>
  </si>
  <si>
    <t>Sangallo Collar</t>
  </si>
  <si>
    <t>Dress Blue</t>
  </si>
  <si>
    <t>Stalactite</t>
  </si>
  <si>
    <t>Anise Flower</t>
  </si>
  <si>
    <t>Bright White Aop</t>
  </si>
  <si>
    <t>Drawstring</t>
  </si>
  <si>
    <t>No Need confirm by NCL Cutting-27.06</t>
  </si>
  <si>
    <t>24-06-2026+27.06</t>
  </si>
  <si>
    <t>21-06-2026+27.06</t>
  </si>
  <si>
    <t>Purple Gumdrop</t>
  </si>
  <si>
    <t>Corsage</t>
  </si>
  <si>
    <t>47818 2nd</t>
  </si>
  <si>
    <r>
      <t xml:space="preserve">22041282 - </t>
    </r>
    <r>
      <rPr>
        <b/>
        <sz val="10"/>
        <rFont val="Arial"/>
        <family val="2"/>
      </rPr>
      <t>Contrast</t>
    </r>
  </si>
  <si>
    <t>Ice Water</t>
  </si>
  <si>
    <t>13-06-2026+27.06</t>
  </si>
  <si>
    <t>13-05-2026+19.05+28.06</t>
  </si>
  <si>
    <t>Lucent White</t>
  </si>
  <si>
    <t>2137 2133</t>
  </si>
  <si>
    <t>2137 2103</t>
  </si>
  <si>
    <t>24-06-2026+28.06</t>
  </si>
  <si>
    <t>23-06-2026+24.06+28.06</t>
  </si>
  <si>
    <t>25-06-2026+28.06</t>
  </si>
  <si>
    <t>17-06-2026+18.06+27.06+28.06</t>
  </si>
  <si>
    <r>
      <t xml:space="preserve">15201465- </t>
    </r>
    <r>
      <rPr>
        <sz val="10"/>
        <color rgb="FFFF00FF"/>
        <rFont val="Arial"/>
        <family val="2"/>
      </rPr>
      <t>Live Love</t>
    </r>
    <r>
      <rPr>
        <sz val="10"/>
        <rFont val="Arial"/>
        <family val="2"/>
      </rPr>
      <t>-</t>
    </r>
    <r>
      <rPr>
        <sz val="10"/>
        <color rgb="FFFF00FF"/>
        <rFont val="Arial"/>
        <family val="2"/>
      </rPr>
      <t xml:space="preserve"> </t>
    </r>
    <r>
      <rPr>
        <b/>
        <sz val="10"/>
        <rFont val="Arial"/>
        <family val="2"/>
      </rPr>
      <t>No Enzyme</t>
    </r>
  </si>
  <si>
    <r>
      <t xml:space="preserve">15209153- </t>
    </r>
    <r>
      <rPr>
        <sz val="10"/>
        <color rgb="FFFF00FF"/>
        <rFont val="Arial"/>
        <family val="2"/>
      </rPr>
      <t>Live Love</t>
    </r>
    <r>
      <rPr>
        <sz val="10"/>
        <rFont val="Arial"/>
        <family val="2"/>
      </rPr>
      <t>-</t>
    </r>
    <r>
      <rPr>
        <b/>
        <sz val="10"/>
        <rFont val="Arial"/>
        <family val="2"/>
      </rPr>
      <t xml:space="preserve"> No Enzyme</t>
    </r>
  </si>
  <si>
    <r>
      <t xml:space="preserve">15254211- </t>
    </r>
    <r>
      <rPr>
        <sz val="10"/>
        <color rgb="FFFF00FF"/>
        <rFont val="Arial"/>
        <family val="2"/>
      </rPr>
      <t>Live Love</t>
    </r>
    <r>
      <rPr>
        <sz val="10"/>
        <rFont val="Arial"/>
        <family val="2"/>
      </rPr>
      <t>-</t>
    </r>
    <r>
      <rPr>
        <b/>
        <sz val="10"/>
        <rFont val="Arial"/>
        <family val="2"/>
      </rPr>
      <t xml:space="preserve"> No Enzyme</t>
    </r>
  </si>
  <si>
    <t>107308 107114</t>
  </si>
  <si>
    <t>13264486 - As Swatch</t>
  </si>
  <si>
    <t>26-06-2026+29.06</t>
  </si>
  <si>
    <t>22-06-2026+29.06</t>
  </si>
  <si>
    <t>19-06-2026+29.06</t>
  </si>
  <si>
    <t>23-06-2026+29.06</t>
  </si>
  <si>
    <t>Olive Night Aop (Ctn Part Dye)</t>
  </si>
  <si>
    <t>27-06-2026+29.06</t>
  </si>
  <si>
    <t>24-06-2026+27.06+29.06</t>
  </si>
  <si>
    <t>2141 1742 1718 1554</t>
  </si>
  <si>
    <t>1516 1715 1713</t>
  </si>
  <si>
    <t>1516 1761</t>
  </si>
  <si>
    <r>
      <t>262PJA1011-903-</t>
    </r>
    <r>
      <rPr>
        <b/>
        <sz val="10"/>
        <rFont val="Arial"/>
        <family val="2"/>
      </rPr>
      <t>Additional</t>
    </r>
    <r>
      <rPr>
        <sz val="10"/>
        <rFont val="Arial"/>
        <family val="2"/>
      </rPr>
      <t xml:space="preserve"> -Revised After Delivery Ok-06.06</t>
    </r>
  </si>
  <si>
    <t>28-06-2026+29.06</t>
  </si>
  <si>
    <t>24-06-2026+29.06</t>
  </si>
  <si>
    <t>28-06-2026+30.06</t>
  </si>
  <si>
    <r>
      <t>15209156 -</t>
    </r>
    <r>
      <rPr>
        <sz val="10"/>
        <color rgb="FFFF00FF"/>
        <rFont val="Arial"/>
        <family val="2"/>
      </rPr>
      <t>Live Love</t>
    </r>
    <r>
      <rPr>
        <sz val="10"/>
        <rFont val="Arial"/>
        <family val="2"/>
      </rPr>
      <t xml:space="preserve">- </t>
    </r>
    <r>
      <rPr>
        <b/>
        <sz val="10"/>
        <rFont val="Arial"/>
        <family val="2"/>
      </rPr>
      <t>No Enzyme</t>
    </r>
  </si>
  <si>
    <t>Forget Me Not</t>
  </si>
  <si>
    <t>29-06-2026+30.06</t>
  </si>
  <si>
    <t>Flint Stone</t>
  </si>
  <si>
    <t>68166/68167/68168/68231/68397/68399 - Revised 30.06 (Color wise qty changed)</t>
  </si>
  <si>
    <t>68724/68725/67826/68727/68728 - Revised 30.06 (Qty Reduced)</t>
  </si>
  <si>
    <t>2146 2142</t>
  </si>
  <si>
    <t>2146 2142 1691</t>
  </si>
  <si>
    <t>2146 2133</t>
  </si>
  <si>
    <t>2147 2134</t>
  </si>
  <si>
    <t>L/S/J 1 Roll GSM Low</t>
  </si>
  <si>
    <t>5 Roll color spot</t>
  </si>
  <si>
    <t>4 Roll shade not ok</t>
  </si>
  <si>
    <t>3 Roll GSM High</t>
  </si>
  <si>
    <t>5 Roll GSM High</t>
  </si>
  <si>
    <t>1518 1758 1510</t>
  </si>
  <si>
    <t>1518 1511</t>
  </si>
  <si>
    <t>2213 2211 2210 2131</t>
  </si>
  <si>
    <t>2152-Black-30.06</t>
  </si>
  <si>
    <t>25-06-2026+30.06</t>
  </si>
  <si>
    <t>30-06-2026+01.07</t>
  </si>
  <si>
    <t>67837/738/739/740/741/742/743 - Revised 01.07 (Qty Reduced)</t>
  </si>
  <si>
    <t>107391 107270</t>
  </si>
  <si>
    <t>107358 107180 106770 106771 106727 106764</t>
  </si>
  <si>
    <t>06-06-2026+09.06+23.06+25.06+30.06</t>
  </si>
  <si>
    <t>107353 107328</t>
  </si>
  <si>
    <t>107327 107335 107393 107351 107304</t>
  </si>
  <si>
    <t>107236 107121</t>
  </si>
  <si>
    <t>20-06-2026+30.06</t>
  </si>
  <si>
    <t>15366853 - Need Handfeel More &amp; More Soft - Revised 01.07 (Qty Increased)</t>
  </si>
  <si>
    <t>25-06-2026+30.06+01.07</t>
  </si>
  <si>
    <t>29-06-2026+01.07</t>
  </si>
  <si>
    <t>22-06-2026+26.06+01.07</t>
  </si>
  <si>
    <t>23-06-2026+01.07</t>
  </si>
  <si>
    <t>Jadeite</t>
  </si>
  <si>
    <t>Cayenne</t>
  </si>
  <si>
    <t>22-06-2026+23.06+01.07</t>
  </si>
  <si>
    <t>Dawn Pink Aop</t>
  </si>
  <si>
    <t>2150 2149</t>
  </si>
  <si>
    <t>2001 1738 1715</t>
  </si>
  <si>
    <t>Roll no.3 GSM High &amp; shade not ok</t>
  </si>
  <si>
    <t>2001 2122</t>
  </si>
  <si>
    <t>2001 2134</t>
  </si>
  <si>
    <t>2002 1552 1385</t>
  </si>
  <si>
    <t>1763 2121</t>
  </si>
  <si>
    <t>1764 1763</t>
  </si>
  <si>
    <t>1764 1503 1494</t>
  </si>
  <si>
    <t>2153-White-01.07</t>
  </si>
  <si>
    <t>2153-Black-01.07</t>
  </si>
  <si>
    <t>26-06-2026+01.07</t>
  </si>
  <si>
    <t>Poly Ottoman L/Rib</t>
  </si>
  <si>
    <t>Gossamer Pink</t>
  </si>
  <si>
    <t>27-06-2026+02.07</t>
  </si>
  <si>
    <t>19-06-2026+22.06+24.06+02.07</t>
  </si>
  <si>
    <t>20-06-2026+23.06+26.06+02.07</t>
  </si>
  <si>
    <t>15KG shade not ok, confirm by Rasel Vai-02.07</t>
  </si>
  <si>
    <t>Anise Flower (B/Part Dye)</t>
  </si>
  <si>
    <t>Parfait Pink (B/Part Dye)</t>
  </si>
  <si>
    <t>Lollipop (B/Part Dye)</t>
  </si>
  <si>
    <t>21-06-2026+02.07</t>
  </si>
  <si>
    <t>13-06-2026+16.06+02.07</t>
  </si>
  <si>
    <t>2004 2128</t>
  </si>
  <si>
    <t>2004 2003 2002</t>
  </si>
  <si>
    <t>2005 1698</t>
  </si>
  <si>
    <t>1 Roll GSM Low+shade not ok</t>
  </si>
  <si>
    <t>2005 2139</t>
  </si>
  <si>
    <t>1 Roll Brush not ok+GSM Low</t>
  </si>
  <si>
    <t>2006 2148</t>
  </si>
  <si>
    <t>3 Roll Patta, 1 Roll GSM Low</t>
  </si>
  <si>
    <t>2007 2123 2115 2103 1698</t>
  </si>
  <si>
    <t>2007 2124 2116 2101 1698</t>
  </si>
  <si>
    <t>2007 1693</t>
  </si>
  <si>
    <t>2007 2126 2114</t>
  </si>
  <si>
    <t>2008 2148</t>
  </si>
  <si>
    <t>2008 2006 2148</t>
  </si>
  <si>
    <t>1519 1760 1757 1509</t>
  </si>
  <si>
    <t>1519 1763</t>
  </si>
  <si>
    <t>17-06-2026+02.07</t>
  </si>
  <si>
    <t>06-06-2026+09.06+02.07</t>
  </si>
  <si>
    <t>18-06-2026+20.06+02.07</t>
  </si>
  <si>
    <t>2156-Black-02.07</t>
  </si>
  <si>
    <t>2152-Lt.Grey Melange-30.06, 2156-Black-02.07</t>
  </si>
  <si>
    <t>27-06-2026+03.07</t>
  </si>
  <si>
    <t>28-06-2026+03.07</t>
  </si>
  <si>
    <t>Blue Nights</t>
  </si>
  <si>
    <t>Chinois Green</t>
  </si>
  <si>
    <t>45691 2nd</t>
  </si>
  <si>
    <t>30-06-2026+03.07</t>
  </si>
  <si>
    <t>262PJA071-228 -2nd Revised 03.07 (Qty Reduced)</t>
  </si>
  <si>
    <t>Y/D Flat Knit Rib (Black+White)</t>
  </si>
  <si>
    <t>Brilliant White Aop</t>
  </si>
  <si>
    <t>2009 2112</t>
  </si>
  <si>
    <t>2011 2131</t>
  </si>
  <si>
    <t>2011 2126</t>
  </si>
  <si>
    <t>2217 Finish Stock (46615 5th)</t>
  </si>
  <si>
    <t>2217 1562 2201</t>
  </si>
  <si>
    <t>2217 1089</t>
  </si>
  <si>
    <t>20-06-2026+23.06+26.06+03.07</t>
  </si>
  <si>
    <t>21-06-2026+24.06+27.06+03.07</t>
  </si>
  <si>
    <t>24-06-2026+03.07</t>
  </si>
  <si>
    <t>Skyway</t>
  </si>
  <si>
    <t>Fondue Fudge</t>
  </si>
  <si>
    <t>CC Date</t>
  </si>
  <si>
    <t>27-06-2026+29.06+03.07</t>
  </si>
  <si>
    <t>68660/68661 -Revised 25.05 (Tape Added)</t>
  </si>
  <si>
    <t>107484 106613 106609</t>
  </si>
  <si>
    <t>22-05-2026+03.07</t>
  </si>
  <si>
    <t>107394 107392</t>
  </si>
  <si>
    <t>03-07-2026+04.07</t>
  </si>
  <si>
    <t>01-07-2026+04.07</t>
  </si>
  <si>
    <t>22-06-2026+23.06+30.06+04.07</t>
  </si>
  <si>
    <t>17-06-2026+04.07</t>
  </si>
  <si>
    <t>Chalk Violet</t>
  </si>
  <si>
    <t>Sweet Dreams</t>
  </si>
  <si>
    <t>17-06-2026+04.07 Return</t>
  </si>
  <si>
    <t>23-06-2026+29.06+04.07</t>
  </si>
  <si>
    <t>06-06-2026+02.07+04.07</t>
  </si>
  <si>
    <t>12-06-2026+04.07</t>
  </si>
  <si>
    <t>2012 1765</t>
  </si>
  <si>
    <t>2012-Cloud Dancer-04.07</t>
  </si>
  <si>
    <t>2014 2134 2131</t>
  </si>
  <si>
    <t>2014 2126</t>
  </si>
  <si>
    <t>2219 2208</t>
  </si>
  <si>
    <t>638KG Body 249KG Rib-NCL Return</t>
  </si>
  <si>
    <t>29-06-2026+04.07</t>
  </si>
  <si>
    <t>10-06-2026+03.07+04.07</t>
  </si>
  <si>
    <t>13-06-2026+04.07</t>
  </si>
  <si>
    <t>21-06-2026+01.07+03.07+05.07</t>
  </si>
  <si>
    <t>02-07-2026+05.07</t>
  </si>
  <si>
    <t>18-06-2026+05.07</t>
  </si>
  <si>
    <t>03-07-2026+05.07</t>
  </si>
  <si>
    <t>22-06-2026+04.07</t>
  </si>
  <si>
    <t>23-06-2026+24.06+01.07+04.07</t>
  </si>
  <si>
    <t>24-06-2026+26.06+03.07+04.07</t>
  </si>
  <si>
    <t>22-06-2026+06.07</t>
  </si>
  <si>
    <t>30-06-2026+06.07</t>
  </si>
  <si>
    <t>107400 106814</t>
  </si>
  <si>
    <t>107400 107399</t>
  </si>
  <si>
    <t>107400 106813</t>
  </si>
  <si>
    <t>107493 107385 107382</t>
  </si>
  <si>
    <t>107466 107232</t>
  </si>
  <si>
    <t>27-06-2026+05.07</t>
  </si>
  <si>
    <t>01-07-2026+06.07</t>
  </si>
  <si>
    <t>02-07-2026+04.07+06.07</t>
  </si>
  <si>
    <t>02-07-2026+06.07</t>
  </si>
  <si>
    <t>13251906 - Revised 06.07 (Aop to Solid)</t>
  </si>
  <si>
    <t>21-06-2026+24.06+06.07</t>
  </si>
  <si>
    <t>1569 2142</t>
  </si>
  <si>
    <t>1570 1707 99</t>
  </si>
  <si>
    <t>4 Roll Brush not ok</t>
  </si>
  <si>
    <t>1572 1568 2101 1692</t>
  </si>
  <si>
    <t>1574 1572 2138</t>
  </si>
  <si>
    <t>1767 1763</t>
  </si>
  <si>
    <t>2220 2211 2210 2209 2208</t>
  </si>
  <si>
    <t>23-06-2026+06.07</t>
  </si>
  <si>
    <t>01-07-2026+07.07</t>
  </si>
  <si>
    <t>24-06-2026+26.06+03.07+07.07</t>
  </si>
  <si>
    <t>25-06-2026+27.06+03.07+07.07</t>
  </si>
  <si>
    <t>23-06-2026+07.07</t>
  </si>
  <si>
    <t>107511 107413</t>
  </si>
  <si>
    <t>04-07-2026+07.07</t>
  </si>
  <si>
    <t>1575 2013</t>
  </si>
  <si>
    <t>1576 2010 2009 2006</t>
  </si>
  <si>
    <t>1576 1518</t>
  </si>
  <si>
    <t>1576 1729</t>
  </si>
  <si>
    <t>1577 2009 2127 2110</t>
  </si>
  <si>
    <t>1578 2015 2142</t>
  </si>
  <si>
    <t>1578 1576</t>
  </si>
  <si>
    <t>1579 2137 2133</t>
  </si>
  <si>
    <t>1580 1559</t>
  </si>
  <si>
    <t>1524 1765</t>
  </si>
  <si>
    <t>1524 1766</t>
  </si>
  <si>
    <t>27-06-2026+28.06+07.07</t>
  </si>
  <si>
    <t>18-06-2026+22.06+23.06+25.06+29.06+01.07+07.07</t>
  </si>
  <si>
    <t>27-06-2026+07.07</t>
  </si>
  <si>
    <t>29-06-2026+01.07+04.07+07.07</t>
  </si>
  <si>
    <t>23-06-2026+08.07</t>
  </si>
  <si>
    <t>L/Seersucker</t>
  </si>
  <si>
    <t>Ultimate Gray</t>
  </si>
  <si>
    <t>Forest Fog (B/Part Dye)</t>
  </si>
  <si>
    <t>107383 107380</t>
  </si>
  <si>
    <t>107568 107563</t>
  </si>
  <si>
    <t>107569 107322 107341</t>
  </si>
  <si>
    <t>28-06-2026+29.06+07.07</t>
  </si>
  <si>
    <t>107590 107522 107521</t>
  </si>
  <si>
    <t>1568No. Challan 40KG Rib Return by Alamgir Vai-08.07</t>
  </si>
  <si>
    <t>Orchid Bloom</t>
  </si>
  <si>
    <t>Magenta Purple</t>
  </si>
  <si>
    <t>Lacy Lilac</t>
  </si>
  <si>
    <t>Lacy Lilac Aop</t>
  </si>
  <si>
    <t>Strawberry Moon</t>
  </si>
  <si>
    <t>Strawberry Moon Aop</t>
  </si>
  <si>
    <t>Creamed Corn</t>
  </si>
  <si>
    <t>Creamed Corn Aop</t>
  </si>
  <si>
    <t>28-06-2026+08.07</t>
  </si>
  <si>
    <t>25-06-2026+08.07</t>
  </si>
  <si>
    <t>2 Roll Oil Line</t>
  </si>
  <si>
    <t>1583 2011 2010 2009</t>
  </si>
  <si>
    <t>1583 1578</t>
  </si>
  <si>
    <t>1583 2009</t>
  </si>
  <si>
    <t>1583 2005 2139</t>
  </si>
  <si>
    <t>1585 2147</t>
  </si>
  <si>
    <t>1 Roll 17kg Hold</t>
  </si>
  <si>
    <t>1769 1518 1511</t>
  </si>
  <si>
    <t>1771 1521</t>
  </si>
  <si>
    <t>2155-Red Dahlia-01.07, 2159-Red Dahlia-08.07</t>
  </si>
  <si>
    <t>August'26</t>
  </si>
  <si>
    <t>03-07-2026+08.07</t>
  </si>
  <si>
    <t>01-07-2026+08.07</t>
  </si>
  <si>
    <t>03-07-2026+06.07+08.07</t>
  </si>
  <si>
    <t>02-07-2026+06.07+08.07</t>
  </si>
  <si>
    <t>04-07-2026+08.07</t>
  </si>
  <si>
    <t>03-07-2026+09.07</t>
  </si>
  <si>
    <t>04-07-2026+09.07</t>
  </si>
  <si>
    <t>06-07-2026+09.07</t>
  </si>
  <si>
    <t>107603 107559</t>
  </si>
  <si>
    <t>06-07-2026+08.07</t>
  </si>
  <si>
    <t>107604 107592</t>
  </si>
  <si>
    <t>107608 107219</t>
  </si>
  <si>
    <t>08-07-2026+09.07</t>
  </si>
  <si>
    <t>30-06-2026+01.07+09.07</t>
  </si>
  <si>
    <t>29-06-2026+09.07</t>
  </si>
  <si>
    <t>1586 2105</t>
  </si>
  <si>
    <t>12 Roll shade not ok</t>
  </si>
  <si>
    <t>1587 2011</t>
  </si>
  <si>
    <t>1589-Zinfandel-09.07</t>
  </si>
  <si>
    <t>1525 1523</t>
  </si>
  <si>
    <t>02-07-2026+09.07</t>
  </si>
  <si>
    <t>27-06-2026+30.06+08.07+09.07</t>
  </si>
  <si>
    <t>02-07-2026+06.07+09.07</t>
  </si>
  <si>
    <t>19-06-2026+09.07</t>
  </si>
  <si>
    <t>24-06-2026+09.07</t>
  </si>
  <si>
    <t>27-06-2026+09.07</t>
  </si>
  <si>
    <t>107296 107307 107225</t>
  </si>
  <si>
    <t>15-06-2026+16.06+23.06+09.07</t>
  </si>
  <si>
    <t>03-07-2026+09.07+10.07</t>
  </si>
  <si>
    <t>29-06-2026+10.07</t>
  </si>
  <si>
    <t>29-06-2026+01.07+10.07</t>
  </si>
  <si>
    <t>107257 107224</t>
  </si>
  <si>
    <t>22-06-2026+10.07</t>
  </si>
  <si>
    <t>24-06-2026+10.07</t>
  </si>
  <si>
    <t>107607 107220</t>
  </si>
  <si>
    <t>107577 107235</t>
  </si>
  <si>
    <t>26-06-2026+09.07</t>
  </si>
  <si>
    <t>03-07-2026+07.07+10.07</t>
  </si>
  <si>
    <t>01-07-2026+07.07+10.07</t>
  </si>
  <si>
    <t>09-07-2026+10.07</t>
  </si>
  <si>
    <t>Top Ctn, 75/25 CVC Fleece (Rec-Poly)</t>
  </si>
  <si>
    <t>Woven Lace</t>
  </si>
  <si>
    <t>Mulch (B/Part Dye)</t>
  </si>
  <si>
    <t>Coconut Milk (B/Part Dye)</t>
  </si>
  <si>
    <t>07-07-2026+09.07+10.07</t>
  </si>
  <si>
    <t>01-07-2026+02.07+06.07+10.07</t>
  </si>
  <si>
    <t>1590 1588</t>
  </si>
  <si>
    <t>1590 2007 2001</t>
  </si>
  <si>
    <t>1590 1581</t>
  </si>
  <si>
    <t>1590 2005</t>
  </si>
  <si>
    <t>1591 1590 1587</t>
  </si>
  <si>
    <t>1591 2147</t>
  </si>
  <si>
    <t>2Roll GSM High, 3Roll shade not ok</t>
  </si>
  <si>
    <t>1594 1587</t>
  </si>
  <si>
    <t>1772 1766</t>
  </si>
  <si>
    <t>1772 1768</t>
  </si>
  <si>
    <t>1772 1765</t>
  </si>
  <si>
    <t>2228 2224</t>
  </si>
  <si>
    <t>29-06-2026+11.07</t>
  </si>
  <si>
    <t>25-06-2026+10.07</t>
  </si>
  <si>
    <t>29-06-2026+30.06+10.07</t>
  </si>
  <si>
    <t>30-06-2026+03.07+04.07+10.07</t>
  </si>
  <si>
    <t>03-07-2026+08.07+11.07</t>
  </si>
  <si>
    <t>10-07-2026+11.07</t>
  </si>
  <si>
    <t>15-06-2026+26.06+11.07</t>
  </si>
  <si>
    <t>23-06-2026+11.07</t>
  </si>
  <si>
    <t>107665 107091</t>
  </si>
  <si>
    <t>21-06-2026+10.07</t>
  </si>
  <si>
    <t xml:space="preserve">107654 106876 </t>
  </si>
  <si>
    <t>20-06-2026+10.07</t>
  </si>
  <si>
    <t>17-05-2026+23.05+11.06+15.06+24.06+30.06+01.07+06.07+11.07</t>
  </si>
  <si>
    <t>06-07-2026+11.07</t>
  </si>
  <si>
    <t>07-07-2026+09.07+11.07</t>
  </si>
  <si>
    <t>17-06-2026+26.06+11.07</t>
  </si>
  <si>
    <t>04-07-2026+11.07</t>
  </si>
  <si>
    <t>02-07-2026+04.07+11.07</t>
  </si>
  <si>
    <t>25-06-2026+04.07+11.07</t>
  </si>
  <si>
    <t>30-06-2026+11.07</t>
  </si>
  <si>
    <t>1595-Coffee Bean-11.07</t>
  </si>
  <si>
    <t>1596 1576</t>
  </si>
  <si>
    <t>1596-Black-11.07</t>
  </si>
  <si>
    <t>1598 2134 2121 1713 1678 1676 1672</t>
  </si>
  <si>
    <t>1526 1508 1561 1754</t>
  </si>
  <si>
    <t>1526 1769</t>
  </si>
  <si>
    <t>1527 1768 1519 1762 1756 2108 1497 1493 1478 1464 1050</t>
  </si>
  <si>
    <t>1344-Navy Blazer-23.06, 2157-Chocolate Plum-02.07, 2164-Abyss-11.07</t>
  </si>
  <si>
    <t>2156-Birch-02.07, 2165-True Red-11.07</t>
  </si>
  <si>
    <t>29-06-2026+30.06+11.07</t>
  </si>
  <si>
    <t>30-06-2026+01.07+11.07</t>
  </si>
  <si>
    <t>30-06-2026+03.07+07.07+11.07</t>
  </si>
  <si>
    <t>29-06-2026+01.07+06.07 Return+09.07+10.07</t>
  </si>
  <si>
    <t>29-06-2026+12.07</t>
  </si>
  <si>
    <t>11-07-2026+12.07</t>
  </si>
  <si>
    <t>06-07-2026+12.07</t>
  </si>
  <si>
    <t>16-06-2026+29.06+04.07+12.07</t>
  </si>
  <si>
    <t>16-06-2026+18.06+30.06+12.07</t>
  </si>
  <si>
    <t>07-07-2026+12.07</t>
  </si>
  <si>
    <t>29-06-2026+13.07</t>
  </si>
  <si>
    <t>29-06-2026+30.06+13.07</t>
  </si>
  <si>
    <t>13-06-2026+13.07</t>
  </si>
  <si>
    <t>07-07-2026+13.07</t>
  </si>
  <si>
    <t>17-06-2026+30.06+04.07+13.07</t>
  </si>
  <si>
    <t>16-06-2026+11.07</t>
  </si>
  <si>
    <t>107671 107000</t>
  </si>
  <si>
    <t>107676 106611</t>
  </si>
  <si>
    <t>23-05-2026+11.07</t>
  </si>
  <si>
    <t>107659 107681</t>
  </si>
  <si>
    <t>02-07-2026+07.07 Return+09.07+11.07</t>
  </si>
  <si>
    <t>07-07-2026+10.07+13.07</t>
  </si>
  <si>
    <t>29-06-2026+03.07+13.07</t>
  </si>
  <si>
    <t>No Need confirm by Tamim Vai-13.07</t>
  </si>
  <si>
    <t>2017 1566 2107 1562</t>
  </si>
  <si>
    <t>2017 1566 2107 1562 1741</t>
  </si>
  <si>
    <t>2017 2008</t>
  </si>
  <si>
    <t>1 Roll GSM Low, 5 Roll thick thin</t>
  </si>
  <si>
    <t>2019 1599</t>
  </si>
  <si>
    <t>2019 2135</t>
  </si>
  <si>
    <t>2020 2015 2011 2009 2003</t>
  </si>
  <si>
    <t>1 Roll handfeel hard, Rib not ok</t>
  </si>
  <si>
    <t>1774 1528</t>
  </si>
  <si>
    <t>1776 1514</t>
  </si>
  <si>
    <t>2231 2227</t>
  </si>
  <si>
    <t>2166-Coffee Bean-13.07</t>
  </si>
  <si>
    <t>2166-Night Sky-13.07</t>
  </si>
  <si>
    <r>
      <t xml:space="preserve">262PJA622-224 - </t>
    </r>
    <r>
      <rPr>
        <b/>
        <sz val="10"/>
        <rFont val="Arial"/>
        <family val="2"/>
      </rPr>
      <t>Contrast</t>
    </r>
    <r>
      <rPr>
        <sz val="10"/>
        <rFont val="Arial"/>
        <family val="2"/>
      </rPr>
      <t xml:space="preserve"> -5th Revised 22.06 (Color Changed)</t>
    </r>
  </si>
  <si>
    <t>08-07-2026+09.07+13.07</t>
  </si>
  <si>
    <t>09-07-2026+10.07+13.07</t>
  </si>
  <si>
    <t>04-07-2026+07.07+12.07+13.07</t>
  </si>
  <si>
    <t>02-07-2026+13.07</t>
  </si>
  <si>
    <t>03-07-2026+14.07</t>
  </si>
  <si>
    <t>10-07-2026+11.07+14.07</t>
  </si>
  <si>
    <t>107702 107699</t>
  </si>
  <si>
    <t>11-07-2026+13.07</t>
  </si>
  <si>
    <t>107591 107547 107356</t>
  </si>
  <si>
    <t>29-06-2026+06.07+13.07</t>
  </si>
  <si>
    <t>05-07-2026+14.07</t>
  </si>
  <si>
    <t>30-06-2026+14.07</t>
  </si>
  <si>
    <t>01-07-2026+13.07+14.07</t>
  </si>
  <si>
    <t>01-07-2026+14.07</t>
  </si>
  <si>
    <t>Provincial Blue</t>
  </si>
  <si>
    <t>Pale Aqua</t>
  </si>
  <si>
    <t>Y/D Cuff</t>
  </si>
  <si>
    <t>1 Roll wrong fabric</t>
  </si>
  <si>
    <t>2Roll Rib GSM Low</t>
  </si>
  <si>
    <t>2026-Y/D-14.07</t>
  </si>
  <si>
    <t>2027 1599</t>
  </si>
  <si>
    <t>2028 1582</t>
  </si>
  <si>
    <t>2028 2019 2018</t>
  </si>
  <si>
    <t>1529 1776</t>
  </si>
  <si>
    <t>1529 1523 1521</t>
  </si>
  <si>
    <t>2233 2226</t>
  </si>
  <si>
    <t>2233 2232 2225</t>
  </si>
  <si>
    <t>07-07-2026+14.07</t>
  </si>
  <si>
    <t>23-06-2026+04.07+14.07</t>
  </si>
  <si>
    <t>25-06-2026+27.06+29.06+05.07+06.07+14.07</t>
  </si>
  <si>
    <t>13KG used from 47649-15.07 by Shekhor Vai</t>
  </si>
  <si>
    <t>13kg transfer to 47644</t>
  </si>
  <si>
    <t>24-06-2026+04.07+15.07</t>
  </si>
  <si>
    <t>14-07-2026+15.07</t>
  </si>
  <si>
    <t>107808 106986</t>
  </si>
  <si>
    <t>15-06-2026+14.07</t>
  </si>
  <si>
    <t>22-06-2026+01.07+08.07+15.07</t>
  </si>
  <si>
    <t>04-07-2026+07.07+08.07+14.07</t>
  </si>
  <si>
    <t>30-06-2026+06.07+14.07</t>
  </si>
  <si>
    <t>10-07-2026+15.07</t>
  </si>
  <si>
    <t>25-06-2026+15.07</t>
  </si>
  <si>
    <t>17-06-2026+15.07</t>
  </si>
  <si>
    <t>1802 2020</t>
  </si>
  <si>
    <t>2 Roll GSM High+Rib not ok</t>
  </si>
  <si>
    <t>3 Roll width not ok</t>
  </si>
  <si>
    <t>1778 1529 1519</t>
  </si>
  <si>
    <t>1778 1758</t>
  </si>
  <si>
    <t>1779 From 47649 1530</t>
  </si>
  <si>
    <t>2169-Sepia-15.07</t>
  </si>
  <si>
    <t>2169-Black-15.07</t>
  </si>
  <si>
    <t>09-07-2026+13.07+15.07</t>
  </si>
  <si>
    <t>09-07-2026+15.07</t>
  </si>
  <si>
    <t>04-07-2026+15.07</t>
  </si>
  <si>
    <t>02-07-2026+10.07+15.07</t>
  </si>
  <si>
    <t>02-07-2026+11.07+15.07</t>
  </si>
  <si>
    <t>11-07-2026+15.07</t>
  </si>
  <si>
    <t>06-07-2026+15.07</t>
  </si>
  <si>
    <t>29-06-2026+01.07+02.07+09.07+15.07</t>
  </si>
  <si>
    <t>04-07-2026+09.07+15.07</t>
  </si>
  <si>
    <t>01-07-2026+07.07+08.07+15.07</t>
  </si>
  <si>
    <t>05-07-2026+15.07</t>
  </si>
  <si>
    <r>
      <t xml:space="preserve">262SWT052-223 - </t>
    </r>
    <r>
      <rPr>
        <b/>
        <sz val="10"/>
        <rFont val="Arial"/>
        <family val="2"/>
      </rPr>
      <t>Contrast</t>
    </r>
    <r>
      <rPr>
        <sz val="10"/>
        <rFont val="Arial"/>
        <family val="2"/>
      </rPr>
      <t xml:space="preserve"> - Revised 25.05 (Color Changed)</t>
    </r>
  </si>
  <si>
    <r>
      <t xml:space="preserve">262TSH063-223 - </t>
    </r>
    <r>
      <rPr>
        <b/>
        <sz val="10"/>
        <rFont val="Arial"/>
        <family val="2"/>
      </rPr>
      <t>Contrast</t>
    </r>
    <r>
      <rPr>
        <sz val="10"/>
        <rFont val="Arial"/>
        <family val="2"/>
      </rPr>
      <t xml:space="preserve"> - Revised 25.05 (Color Changed)</t>
    </r>
  </si>
  <si>
    <r>
      <t>262TSH379-6154-</t>
    </r>
    <r>
      <rPr>
        <b/>
        <sz val="10"/>
        <rFont val="Arial"/>
        <family val="2"/>
      </rPr>
      <t>Contrast</t>
    </r>
  </si>
  <si>
    <r>
      <t>262SWT380-6154-</t>
    </r>
    <r>
      <rPr>
        <b/>
        <sz val="10"/>
        <rFont val="Arial"/>
        <family val="2"/>
      </rPr>
      <t>Contrast</t>
    </r>
    <r>
      <rPr>
        <sz val="10"/>
        <rFont val="Arial"/>
        <family val="2"/>
      </rPr>
      <t xml:space="preserve"> Piping</t>
    </r>
  </si>
  <si>
    <r>
      <t xml:space="preserve">262PJA171-228 - </t>
    </r>
    <r>
      <rPr>
        <b/>
        <sz val="10"/>
        <rFont val="Arial"/>
        <family val="2"/>
      </rPr>
      <t>Contrast</t>
    </r>
    <r>
      <rPr>
        <sz val="10"/>
        <rFont val="Arial"/>
        <family val="2"/>
      </rPr>
      <t xml:space="preserve"> - Revised 25.05 (Qty Increased &amp; Color Change)</t>
    </r>
  </si>
  <si>
    <t>Shearing  Details</t>
  </si>
  <si>
    <t>15-07-2026+16.07</t>
  </si>
  <si>
    <t>Double Cream</t>
  </si>
  <si>
    <r>
      <t>15325767 -</t>
    </r>
    <r>
      <rPr>
        <b/>
        <sz val="10"/>
        <rFont val="Arial"/>
        <family val="2"/>
      </rPr>
      <t>Lace Matching</t>
    </r>
  </si>
  <si>
    <t>107824 107481</t>
  </si>
  <si>
    <t>07-07-2026+15.07</t>
  </si>
  <si>
    <t>27-06-2026+15.07</t>
  </si>
  <si>
    <t>107648 107315</t>
  </si>
  <si>
    <t>107649 107708</t>
  </si>
  <si>
    <t>107813 107581 107492</t>
  </si>
  <si>
    <t>04-07-2026+07.07+15.07</t>
  </si>
  <si>
    <t>10-07-2026+16.07</t>
  </si>
  <si>
    <t>10-07-2026+11.07+13.07+15.07+16.07</t>
  </si>
  <si>
    <t>Cinder</t>
  </si>
  <si>
    <t>Popcorn</t>
  </si>
  <si>
    <t>14-07-2026+16.07</t>
  </si>
  <si>
    <t>4Roll Rib+1Roll S/J Hold</t>
  </si>
  <si>
    <t>1812-Rumba Red-16.07</t>
  </si>
  <si>
    <t>1585-Black-08.07, 1813-Black-16.07</t>
  </si>
  <si>
    <t>1531 1529 1762</t>
  </si>
  <si>
    <t>1532 1768</t>
  </si>
  <si>
    <t>2235 2222 2213 2211</t>
  </si>
  <si>
    <t>2151-Sepia-29.06, 2170-Black-16.07</t>
  </si>
  <si>
    <t>04-07-2026+16.07</t>
  </si>
  <si>
    <t>28-06-2026+04.07+16.07</t>
  </si>
  <si>
    <t>08-07-2026+16.07</t>
  </si>
  <si>
    <t>09-07-2026+16.07</t>
  </si>
  <si>
    <t>01-07-2026+09.07+14.07+15.07+16.07</t>
  </si>
  <si>
    <t>11-07-2026+16.07</t>
  </si>
  <si>
    <t>03-07-2026+13.07+16.07</t>
  </si>
  <si>
    <t>03-07-2026+11.07+16.07</t>
  </si>
  <si>
    <t>10-07-2026+14.07+16.07</t>
  </si>
  <si>
    <t>06-07-2026+09.07+17.07</t>
  </si>
  <si>
    <t>02-07-2026+10.07+17.07</t>
  </si>
  <si>
    <t>107822 107823</t>
  </si>
  <si>
    <t>107806 107805</t>
  </si>
  <si>
    <t>262TRO085PF-223 - Contrast -Revised 17.07 (Consumption mistake)</t>
  </si>
  <si>
    <t>1817 1592</t>
  </si>
  <si>
    <t>1817 1597 1592 1577</t>
  </si>
  <si>
    <t>1817 1588</t>
  </si>
  <si>
    <t>1818-Y/D-17.07</t>
  </si>
  <si>
    <t>1819 2019</t>
  </si>
  <si>
    <t>1819 2234</t>
  </si>
  <si>
    <t>1819 1807</t>
  </si>
  <si>
    <t>1820 1599</t>
  </si>
  <si>
    <t>1821 1806</t>
  </si>
  <si>
    <t>15-06-2026+16.06+17.06+20.06+22.06+29.06+30.06+03.07+04.07+06.07+11.07+17.07</t>
  </si>
  <si>
    <t>15-06-2026+16.06+17.06+20.06+22.06+29.06+30.06+01.07+03.07+04.07+06.07+11.07+17.07</t>
  </si>
  <si>
    <t>22-06-2026+29.06+30.06+04.07+06.07+11.07+17.07</t>
  </si>
  <si>
    <t>02-07-2026+14.07+17.07</t>
  </si>
  <si>
    <t>17-07-2026+18.07</t>
  </si>
  <si>
    <t>JB Textile+Ceylon</t>
  </si>
  <si>
    <t>16-07-2026+18.07</t>
  </si>
  <si>
    <t>14-06-2026+15.06+19.06+20.06+27.06+28.06+29.06+05.07+10.07+17.07</t>
  </si>
  <si>
    <t>20-06-2026+28.06+03.07+06.07+10.07+17.07</t>
  </si>
  <si>
    <t>107871 107870 107667 107539 107311 107319 107305 107152 107138</t>
  </si>
  <si>
    <t>107872 107869 107666 107538 107325 107336 107297 107131 107120 107083 107111 107084 106965 106973 106990</t>
  </si>
  <si>
    <t>28-06-2026+29.06+02.07+11.07+13.07+18.07</t>
  </si>
  <si>
    <t>07-07-2026+11.07+13.07+18.07</t>
  </si>
  <si>
    <t>15-07-2026+18.07</t>
  </si>
  <si>
    <t>08-07-2026+10.07+18.07</t>
  </si>
  <si>
    <t>10-07-2026+18.07</t>
  </si>
  <si>
    <t>No Need confirm by Tamim Vai-13.07, 4 Roll 97 Kg GSM Low</t>
  </si>
  <si>
    <t>1812-Bright White-16.07, 2030-Navy Blazer-18.07</t>
  </si>
  <si>
    <t>2031 1584 1576 1571 2004</t>
  </si>
  <si>
    <t>2031 2018 1584 1571 1567 2012 2009 2150 2128 1741</t>
  </si>
  <si>
    <t>2031 2016</t>
  </si>
  <si>
    <t>2032 2024</t>
  </si>
  <si>
    <t>1782 1531</t>
  </si>
  <si>
    <t>1782 1529 1776</t>
  </si>
  <si>
    <t>1782 1529</t>
  </si>
  <si>
    <t>No Need Confrim By Tamim Vai-20.07</t>
  </si>
  <si>
    <t>Y/D Flat Knit Rib</t>
  </si>
  <si>
    <t>Finish Fabric Plan &amp; Execution Status- September'26</t>
  </si>
  <si>
    <r>
      <t>13251506 -</t>
    </r>
    <r>
      <rPr>
        <b/>
        <sz val="10"/>
        <rFont val="Arial"/>
        <family val="2"/>
      </rPr>
      <t>Lace Matching</t>
    </r>
  </si>
  <si>
    <t>Nosegay (Lurex)+Nosegay+Cloud Dancer</t>
  </si>
  <si>
    <t>4x1 Rib with Lurex</t>
  </si>
  <si>
    <t>Cloud Dancer+Lichen</t>
  </si>
  <si>
    <t>Coffee Quartz+Nosegay</t>
  </si>
  <si>
    <r>
      <t>13251273/13267083 -</t>
    </r>
    <r>
      <rPr>
        <b/>
        <sz val="10"/>
        <rFont val="Arial"/>
        <family val="2"/>
      </rPr>
      <t>Lace Matching</t>
    </r>
  </si>
  <si>
    <r>
      <t>13251521 -</t>
    </r>
    <r>
      <rPr>
        <b/>
        <sz val="10"/>
        <rFont val="Arial"/>
        <family val="2"/>
      </rPr>
      <t>Lace Matching</t>
    </r>
  </si>
  <si>
    <t>13263133/13256007</t>
  </si>
  <si>
    <t>Limpet Shell</t>
  </si>
  <si>
    <r>
      <t>13262972 -</t>
    </r>
    <r>
      <rPr>
        <b/>
        <sz val="10"/>
        <rFont val="Arial"/>
        <family val="2"/>
      </rPr>
      <t>Lace Matching</t>
    </r>
  </si>
  <si>
    <r>
      <t>13262973 -</t>
    </r>
    <r>
      <rPr>
        <b/>
        <sz val="10"/>
        <rFont val="Arial"/>
        <family val="2"/>
      </rPr>
      <t>Lace Matching</t>
    </r>
  </si>
  <si>
    <t>Feather Gray Aop</t>
  </si>
  <si>
    <t>Chive Aop (Discharge Dye)</t>
  </si>
  <si>
    <t>Navy Blazer Aop</t>
  </si>
  <si>
    <t>Thinking Pink Aop</t>
  </si>
  <si>
    <t>Peach Pearl</t>
  </si>
  <si>
    <t>13251006/13267093</t>
  </si>
  <si>
    <t>Feather Gray</t>
  </si>
  <si>
    <t>Chive</t>
  </si>
  <si>
    <t>13267871 -As Swatch</t>
  </si>
  <si>
    <t>Peach Pearl+Bright White+Cockatoo+Bright White+Navy Blazer+Bright White+Cockatoo+Bright White</t>
  </si>
  <si>
    <t>Popcorn+Bright White+Tarquise+Bright White+Provincial Blue+Bright White+Tarquise+Bright White</t>
  </si>
  <si>
    <t>22029752/22042220 -As Swatch</t>
  </si>
  <si>
    <t>15387508 -As Swatch</t>
  </si>
  <si>
    <t>Magenta Purple+Tofu</t>
  </si>
  <si>
    <t>22042 64th</t>
  </si>
  <si>
    <r>
      <t>15205059 -</t>
    </r>
    <r>
      <rPr>
        <sz val="10"/>
        <color rgb="FFFF00FF"/>
        <rFont val="Arial"/>
        <family val="2"/>
      </rPr>
      <t>Live Love</t>
    </r>
    <r>
      <rPr>
        <sz val="10"/>
        <rFont val="Arial"/>
        <family val="2"/>
      </rPr>
      <t xml:space="preserve">- </t>
    </r>
    <r>
      <rPr>
        <b/>
        <sz val="10"/>
        <rFont val="Arial"/>
        <family val="2"/>
      </rPr>
      <t>No Enzyme</t>
    </r>
  </si>
  <si>
    <t>Harbor Gray</t>
  </si>
  <si>
    <t>Marina</t>
  </si>
  <si>
    <t>Pink Carnation</t>
  </si>
  <si>
    <t>42230 3rd</t>
  </si>
  <si>
    <t>BAD2719mamaB</t>
  </si>
  <si>
    <t>43337 6th</t>
  </si>
  <si>
    <t>43430 6th</t>
  </si>
  <si>
    <t>BAD2549E</t>
  </si>
  <si>
    <t>Bordeaux</t>
  </si>
  <si>
    <t>Bordeaux+Egret</t>
  </si>
  <si>
    <t>41833 5th</t>
  </si>
  <si>
    <t>BAD1056nursAJ</t>
  </si>
  <si>
    <t>40675 11th</t>
  </si>
  <si>
    <t>BAD1546mamaAA</t>
  </si>
  <si>
    <t>41948 5th</t>
  </si>
  <si>
    <t>BAD0984mamaBL</t>
  </si>
  <si>
    <t>44275 8th</t>
  </si>
  <si>
    <r>
      <t>BAD2731H -</t>
    </r>
    <r>
      <rPr>
        <b/>
        <sz val="10"/>
        <rFont val="Arial"/>
        <family val="2"/>
      </rPr>
      <t>Lace Matching</t>
    </r>
  </si>
  <si>
    <t>Trooper</t>
  </si>
  <si>
    <t>44276 4th</t>
  </si>
  <si>
    <r>
      <t>BAD2480F -</t>
    </r>
    <r>
      <rPr>
        <b/>
        <sz val="10"/>
        <rFont val="Arial"/>
        <family val="2"/>
      </rPr>
      <t>Lace Matching</t>
    </r>
  </si>
  <si>
    <t>Argan Oil</t>
  </si>
  <si>
    <t>Chanterelle</t>
  </si>
  <si>
    <t>43305 3rd</t>
  </si>
  <si>
    <t>BAD0954T</t>
  </si>
  <si>
    <t>44587 10th</t>
  </si>
  <si>
    <t>BAD2548U</t>
  </si>
  <si>
    <t>46152 8th</t>
  </si>
  <si>
    <t>BAD0985AM</t>
  </si>
  <si>
    <t>40672 7th</t>
  </si>
  <si>
    <t>BAD0934AE</t>
  </si>
  <si>
    <t>44277 4th</t>
  </si>
  <si>
    <t>BAD2903E</t>
  </si>
  <si>
    <t>Dark Olive</t>
  </si>
  <si>
    <t>43333 5th</t>
  </si>
  <si>
    <r>
      <t>BAD1545mamaU -</t>
    </r>
    <r>
      <rPr>
        <b/>
        <sz val="10"/>
        <rFont val="Arial"/>
        <family val="2"/>
      </rPr>
      <t>Y/D Matching</t>
    </r>
  </si>
  <si>
    <t>40671 12th</t>
  </si>
  <si>
    <t>2036 1817</t>
  </si>
  <si>
    <t>2036 1817 1599</t>
  </si>
  <si>
    <t>2036 1814</t>
  </si>
  <si>
    <t>2037 1801 2018 1586 1584 1571 1570 1567 2012 2010 2009 2150 2140 2128 1741</t>
  </si>
  <si>
    <t>2037 1805 2025 1586 1584 1576 1571 2004</t>
  </si>
  <si>
    <t>2037 2033</t>
  </si>
  <si>
    <t>2037 1807 2021</t>
  </si>
  <si>
    <t>2038 1696</t>
  </si>
  <si>
    <t>2039 2032 1819 1593</t>
  </si>
  <si>
    <t>1535 1781</t>
  </si>
  <si>
    <t>2175-Island Fossil-20.07, 2175-Chocolate Plum-20.07</t>
  </si>
  <si>
    <t>06-07-2026+15.07+18.07</t>
  </si>
  <si>
    <t>28-06-2026+16.07+18.07</t>
  </si>
  <si>
    <t>26-06-2026+29.06+04.07+05.07+07.07+13.07+18.07</t>
  </si>
  <si>
    <t>26-06-2026+29.06+04.07+05.07+06.07+07.07+13.07+18.07</t>
  </si>
  <si>
    <t>18-06-2026+19.06+22.06+24.06+27.06+28.06+29.06+01.07+02.07+03.07+04.07+05.07+07.07+12.07+18.07</t>
  </si>
  <si>
    <t>18-06-2026+19.06+22.06+24.06+27.06+28.06+29.06+01.07+02.07+03.07+03.07+04.07+05.07+06.07+07.07+12.07+18.07</t>
  </si>
  <si>
    <t>02-07-2026+15.07+18.07+19.07</t>
  </si>
  <si>
    <t>17-07-2026+19.07</t>
  </si>
  <si>
    <t>10-07-2026+12.07+19.07</t>
  </si>
  <si>
    <t>06-07-2026+09.07+11.07+14.07+18.07+20.07</t>
  </si>
  <si>
    <t>17-06-2026+01.07+21.07</t>
  </si>
  <si>
    <t>08-07-2026+09.07+21.07</t>
  </si>
  <si>
    <t>13-07-2026+21.07</t>
  </si>
  <si>
    <t>19-06-2026+06.07+21.07</t>
  </si>
  <si>
    <t>10-07-2026+21.07</t>
  </si>
  <si>
    <t>20-06-2026+07.07+21.07</t>
  </si>
  <si>
    <t>11-07-2026+21.07</t>
  </si>
  <si>
    <t>04-07-2026+19.07</t>
  </si>
  <si>
    <t>107928 107455</t>
  </si>
  <si>
    <t>107965 107520</t>
  </si>
  <si>
    <t>04-07-2026+20.07</t>
  </si>
  <si>
    <t>107907 107031</t>
  </si>
  <si>
    <t>17-06-2026+20.07</t>
  </si>
  <si>
    <t>2041 2016 2142</t>
  </si>
  <si>
    <t>2041 1807</t>
  </si>
  <si>
    <t>2042 2030 1594 1570 1520 2008 2150 2149 2146</t>
  </si>
  <si>
    <t>2042 2030 2023 1577</t>
  </si>
  <si>
    <t>2042 2027 1577</t>
  </si>
  <si>
    <t>2043 1812</t>
  </si>
  <si>
    <t>2044 2021</t>
  </si>
  <si>
    <t>Rib Hold</t>
  </si>
  <si>
    <t>2045 2015 2142</t>
  </si>
  <si>
    <t>2240 2239 2042</t>
  </si>
  <si>
    <t>01-07-2026+05.07+16.07+20.07+21.07</t>
  </si>
  <si>
    <t>30-06-2026+02.07+04.07+22.07</t>
  </si>
  <si>
    <t>107945 107175 107174</t>
  </si>
  <si>
    <t>24-06-2026+21.07</t>
  </si>
  <si>
    <t>Pink Drink</t>
  </si>
  <si>
    <t>Vista Blue</t>
  </si>
  <si>
    <t>Diagonal Fleece</t>
  </si>
  <si>
    <r>
      <t>9603199 -</t>
    </r>
    <r>
      <rPr>
        <b/>
        <sz val="10"/>
        <rFont val="Arial"/>
        <family val="2"/>
      </rPr>
      <t>Y/D Matching</t>
    </r>
  </si>
  <si>
    <r>
      <t>15388160 -</t>
    </r>
    <r>
      <rPr>
        <b/>
        <sz val="10"/>
        <rFont val="Arial"/>
        <family val="2"/>
      </rPr>
      <t>Contrast</t>
    </r>
  </si>
  <si>
    <t>Top Ctn, CVC Loop Back Terry</t>
  </si>
  <si>
    <r>
      <t>15388149 -</t>
    </r>
    <r>
      <rPr>
        <b/>
        <sz val="10"/>
        <rFont val="Arial"/>
        <family val="2"/>
      </rPr>
      <t>Lace Matching</t>
    </r>
  </si>
  <si>
    <r>
      <t>15388151 -</t>
    </r>
    <r>
      <rPr>
        <b/>
        <sz val="10"/>
        <rFont val="Arial"/>
        <family val="2"/>
      </rPr>
      <t>Lace Matching</t>
    </r>
  </si>
  <si>
    <r>
      <t>15395680 -</t>
    </r>
    <r>
      <rPr>
        <b/>
        <sz val="10"/>
        <rFont val="Arial"/>
        <family val="2"/>
      </rPr>
      <t>Lace Matching</t>
    </r>
  </si>
  <si>
    <t>48230 2nd</t>
  </si>
  <si>
    <t>22033202 -Revised 20.07 (Qty Increased)</t>
  </si>
  <si>
    <t>22033207 -Revised 20.07 (Qty Increased)</t>
  </si>
  <si>
    <t>Pink Frosting</t>
  </si>
  <si>
    <t>Serenity</t>
  </si>
  <si>
    <t>Woven Chicken Fab</t>
  </si>
  <si>
    <t>2049 2046</t>
  </si>
  <si>
    <t>2050 2036</t>
  </si>
  <si>
    <t>1822 1805</t>
  </si>
  <si>
    <t>1822 1816 1809 2014</t>
  </si>
  <si>
    <t>1822 1810 1805</t>
  </si>
  <si>
    <t>1824 2035 2030 1801 2023</t>
  </si>
  <si>
    <t>1536 1783 1778</t>
  </si>
  <si>
    <t>1536 1784</t>
  </si>
  <si>
    <t>30-06-2026+03.07+07.07+22.07</t>
  </si>
  <si>
    <t>No need confirm by Alamgir Vai-23.07</t>
  </si>
  <si>
    <t>No Need</t>
  </si>
  <si>
    <t>18-06-2026+25.06+27.06+05.07</t>
  </si>
  <si>
    <t>18-07-2026+23.07</t>
  </si>
  <si>
    <t>1826 2024</t>
  </si>
  <si>
    <t>1829 1801 1587 2001</t>
  </si>
  <si>
    <t>1830 1827</t>
  </si>
  <si>
    <t>1831 2014 2137 2133</t>
  </si>
  <si>
    <t>1831 2036</t>
  </si>
  <si>
    <t>1831 2035 1810</t>
  </si>
  <si>
    <t>1831 1599 1592 2117</t>
  </si>
  <si>
    <t>2 Roll Body Hold+Rib not ok</t>
  </si>
  <si>
    <t>01-07-2026+23.07</t>
  </si>
  <si>
    <t>19-06-2026+23.07 Return</t>
  </si>
  <si>
    <t>17-06-2026+23.07</t>
  </si>
  <si>
    <t>02-07-2026+24.07</t>
  </si>
  <si>
    <t>107995 107020</t>
  </si>
  <si>
    <t>19-06-2026+23.07</t>
  </si>
  <si>
    <t>107996 107606</t>
  </si>
  <si>
    <t>09-07-2026+23.07</t>
  </si>
  <si>
    <t>108020 107854</t>
  </si>
  <si>
    <t>1834 2049</t>
  </si>
  <si>
    <t>1834 1578</t>
  </si>
  <si>
    <t>1834 2025</t>
  </si>
  <si>
    <t>1836 2034 1820 2023</t>
  </si>
  <si>
    <t>15KG body rejected</t>
  </si>
  <si>
    <t>1836 1832</t>
  </si>
  <si>
    <t>1836 2024</t>
  </si>
  <si>
    <t>1838 1835</t>
  </si>
  <si>
    <t>30-06-2026+25.07</t>
  </si>
  <si>
    <t>2x2 Rib</t>
  </si>
  <si>
    <t>271TSH561-6140 -Revised 23.07 (Qty Increased)</t>
  </si>
  <si>
    <t>271PJA022PKFBW-6111 -Top+ Bottom Set</t>
  </si>
  <si>
    <t>Sweet Taffy Aop</t>
  </si>
  <si>
    <t>Spa Blue Aop</t>
  </si>
  <si>
    <t>Flat Tubler Drawstring</t>
  </si>
  <si>
    <t>Stalactite Aop</t>
  </si>
  <si>
    <r>
      <t>271TSH065-6140 -</t>
    </r>
    <r>
      <rPr>
        <b/>
        <sz val="10"/>
        <rFont val="Arial"/>
        <family val="2"/>
      </rPr>
      <t>Lace Matching</t>
    </r>
  </si>
  <si>
    <t>271JOG090-6140</t>
  </si>
  <si>
    <t>Ski Petrol</t>
  </si>
  <si>
    <t>271MMP009MDR2-6111</t>
  </si>
  <si>
    <t>Fragrant Lilac</t>
  </si>
  <si>
    <t>Len Modal 2x2 L/Rib</t>
  </si>
  <si>
    <t>Debonair Gray</t>
  </si>
  <si>
    <r>
      <t>271GOW003MDR4-6111 -</t>
    </r>
    <r>
      <rPr>
        <b/>
        <sz val="10"/>
        <rFont val="Arial"/>
        <family val="2"/>
      </rPr>
      <t>Lace Matching</t>
    </r>
  </si>
  <si>
    <r>
      <t>271MMP008MDR1-6111 -</t>
    </r>
    <r>
      <rPr>
        <b/>
        <sz val="10"/>
        <rFont val="Arial"/>
        <family val="2"/>
      </rPr>
      <t>Lace Matching</t>
    </r>
  </si>
  <si>
    <r>
      <t>271NDG020ETM1N-6111 -</t>
    </r>
    <r>
      <rPr>
        <b/>
        <sz val="10"/>
        <rFont val="Arial"/>
        <family val="2"/>
      </rPr>
      <t>Lace Matching</t>
    </r>
  </si>
  <si>
    <t>First Blush</t>
  </si>
  <si>
    <r>
      <t>271NDG038ETM3R-6111 -</t>
    </r>
    <r>
      <rPr>
        <b/>
        <sz val="10"/>
        <rFont val="Arial"/>
        <family val="2"/>
      </rPr>
      <t>Lace Matching</t>
    </r>
  </si>
  <si>
    <t>Cornstalk</t>
  </si>
  <si>
    <t>True Navy</t>
  </si>
  <si>
    <r>
      <t>271POL101-6156 -</t>
    </r>
    <r>
      <rPr>
        <b/>
        <sz val="10"/>
        <rFont val="Arial"/>
        <family val="2"/>
      </rPr>
      <t>Y/D Matching</t>
    </r>
  </si>
  <si>
    <t>Pastel Green</t>
  </si>
  <si>
    <t>Mellow Yellow</t>
  </si>
  <si>
    <t>Bonbon</t>
  </si>
  <si>
    <r>
      <t>271POL081-6154 -</t>
    </r>
    <r>
      <rPr>
        <b/>
        <sz val="10"/>
        <rFont val="Arial"/>
        <family val="2"/>
      </rPr>
      <t>Y/D Matching</t>
    </r>
  </si>
  <si>
    <t>Sky Ride</t>
  </si>
  <si>
    <t>Round Drawstring with Lurex</t>
  </si>
  <si>
    <r>
      <t>271TSH098-6156 -</t>
    </r>
    <r>
      <rPr>
        <b/>
        <sz val="10"/>
        <rFont val="Arial"/>
        <family val="2"/>
      </rPr>
      <t>Contrast</t>
    </r>
  </si>
  <si>
    <t>271TSH090-227 -Revised (Qty Increased)</t>
  </si>
  <si>
    <t>Bitter Sweat+Pink Drink</t>
  </si>
  <si>
    <t>CM 8x4 L/Rib</t>
  </si>
  <si>
    <r>
      <t>271PJA041MZ3B-6111 -Top+Bottom Set -</t>
    </r>
    <r>
      <rPr>
        <b/>
        <sz val="10"/>
        <rFont val="Arial"/>
        <family val="2"/>
      </rPr>
      <t>Contrast</t>
    </r>
  </si>
  <si>
    <t>180-190</t>
  </si>
  <si>
    <t>11-0606 TCX</t>
  </si>
  <si>
    <t>11-1001 TCX Aop</t>
  </si>
  <si>
    <t>13-2930 TCX</t>
  </si>
  <si>
    <t>11-0606 TCX Aop</t>
  </si>
  <si>
    <t>271TROFTB90-6172</t>
  </si>
  <si>
    <t>Nine Iron</t>
  </si>
  <si>
    <r>
      <t>271SET196-256 -</t>
    </r>
    <r>
      <rPr>
        <b/>
        <sz val="10"/>
        <rFont val="Arial"/>
        <family val="2"/>
      </rPr>
      <t>Contrast</t>
    </r>
  </si>
  <si>
    <t>Tea</t>
  </si>
  <si>
    <t>Autumn Sunset</t>
  </si>
  <si>
    <t>Ecru</t>
  </si>
  <si>
    <t>271PJA306-903 -Top+Bottom must be same shade</t>
  </si>
  <si>
    <r>
      <t>271JOG603-6142 -</t>
    </r>
    <r>
      <rPr>
        <b/>
        <sz val="10"/>
        <rFont val="Arial"/>
        <family val="2"/>
      </rPr>
      <t>Contrast</t>
    </r>
  </si>
  <si>
    <r>
      <t>271MMP010VF3B-6111 -</t>
    </r>
    <r>
      <rPr>
        <b/>
        <sz val="10"/>
        <rFont val="Arial"/>
        <family val="2"/>
      </rPr>
      <t>Contrast Woven</t>
    </r>
  </si>
  <si>
    <t>Purple Dove</t>
  </si>
  <si>
    <r>
      <t>271MMP011VF4B-6111 -</t>
    </r>
    <r>
      <rPr>
        <b/>
        <sz val="10"/>
        <rFont val="Arial"/>
        <family val="2"/>
      </rPr>
      <t>Contrast Woven</t>
    </r>
  </si>
  <si>
    <t>271TSHT469-6084</t>
  </si>
  <si>
    <t>Ketchup</t>
  </si>
  <si>
    <t>11-0809 Tcx+Autumn Sunset+14-1112 Tcx</t>
  </si>
  <si>
    <t>2170-Navy Blazer-16.07, 2178-Charcoal Grey-24.07</t>
  </si>
  <si>
    <t>15-06-2026+25.07</t>
  </si>
  <si>
    <t>20-07-2026+25.07</t>
  </si>
  <si>
    <t>13-07-2026+25.07</t>
  </si>
  <si>
    <t>12-07-2026+23.07+25.07</t>
  </si>
  <si>
    <t>14-07-2026+25.07</t>
  </si>
  <si>
    <t>1841 2024</t>
  </si>
  <si>
    <t>1841 1838</t>
  </si>
  <si>
    <t>Vis 4x2 L/Rib</t>
  </si>
  <si>
    <t>21-07-2026+26.07</t>
  </si>
  <si>
    <t>20-07-2026+26.07</t>
  </si>
  <si>
    <t>1845 1819 2234</t>
  </si>
  <si>
    <t>1845 2029</t>
  </si>
  <si>
    <t>1847 1826 1823</t>
  </si>
  <si>
    <t>2182-Sepia-25.07</t>
  </si>
  <si>
    <t>2184-Lt.Grey Melange-25.07</t>
  </si>
  <si>
    <t>2184-Coffee Bean-25.07</t>
  </si>
  <si>
    <t>108070 106896</t>
  </si>
  <si>
    <t>13-06-2026+26.07</t>
  </si>
  <si>
    <t>20-07-2026+27.07</t>
  </si>
  <si>
    <t>1848 1524</t>
  </si>
  <si>
    <t>1848 1840</t>
  </si>
  <si>
    <t>1850 1806</t>
  </si>
  <si>
    <t>1850 2029</t>
  </si>
  <si>
    <t>1851 2240</t>
  </si>
  <si>
    <t>1852 2234</t>
  </si>
  <si>
    <t>2188-G.Melange-27.07</t>
  </si>
  <si>
    <t>2181-Forest Night-25.07, 2188-Gardenia/Insignia Blue/Black-27.07</t>
  </si>
  <si>
    <t>2188-Black-27.07</t>
  </si>
  <si>
    <t>2167-Andorra-13.07, 2191-Olive Night-27.07</t>
  </si>
  <si>
    <t>21-07-2026+27.07</t>
  </si>
  <si>
    <t>06-07-2026+09.07+27.07</t>
  </si>
  <si>
    <t>06-07-2026+11.07+27.07</t>
  </si>
  <si>
    <t>Ceylon+U-02+Ceylon</t>
  </si>
  <si>
    <t>07-07-2026+13.07+27.07</t>
  </si>
  <si>
    <t>11-07-2026+27.07</t>
  </si>
  <si>
    <t>13-07-2026+27.07</t>
  </si>
  <si>
    <t>03-07-2026+10.07+27.07</t>
  </si>
  <si>
    <t>06-07-2026+12.07+27.07</t>
  </si>
  <si>
    <t>23-06-2026+28.07</t>
  </si>
  <si>
    <t>41647 13th</t>
  </si>
  <si>
    <r>
      <t>BAD2678L -</t>
    </r>
    <r>
      <rPr>
        <b/>
        <sz val="10"/>
        <color rgb="FFFF00FF"/>
        <rFont val="Arial"/>
        <family val="2"/>
      </rPr>
      <t>Improted Grey Fabric</t>
    </r>
  </si>
  <si>
    <t>Len Mirco Modal 2x1 L/Rib</t>
  </si>
  <si>
    <t>44268 2nd</t>
  </si>
  <si>
    <t>BAD2928A</t>
  </si>
  <si>
    <t>45244 3rd</t>
  </si>
  <si>
    <t>BAD2996B</t>
  </si>
  <si>
    <t>45142 3rd</t>
  </si>
  <si>
    <t>BAD2970A</t>
  </si>
  <si>
    <t>45092 9th</t>
  </si>
  <si>
    <t>BAD1468mamaAI</t>
  </si>
  <si>
    <t>44586 4th</t>
  </si>
  <si>
    <t>BAD2940C</t>
  </si>
  <si>
    <t>108089 107123</t>
  </si>
  <si>
    <t>20-06-2026+27.07</t>
  </si>
  <si>
    <t>108102 108018 107998 107997 107942</t>
  </si>
  <si>
    <t>24-07-2026+25.07+26.07+27.07</t>
  </si>
  <si>
    <t>108131 108126 107903 107404 107384 107350 107316</t>
  </si>
  <si>
    <t>27-06-2026+01.07+07.07+08.07+19.07+26.07+27.07</t>
  </si>
  <si>
    <t>27-07-2026+28.07</t>
  </si>
  <si>
    <t>48KG body contains in 58kg confirm by Sani Vai-28.07</t>
  </si>
  <si>
    <t>2248No. Challan 10KG Body Return by Tamim Vai-28.07</t>
  </si>
  <si>
    <t>Pristine White</t>
  </si>
  <si>
    <t>Navy Peony</t>
  </si>
  <si>
    <t>Smoke Pine</t>
  </si>
  <si>
    <t>Coco Crème</t>
  </si>
  <si>
    <t>Dark Blue-1</t>
  </si>
  <si>
    <t>Golden Haze+Coca Mocha+Mustang</t>
  </si>
  <si>
    <t>Pristine+Smoke Pine+Pristine+Mustang</t>
  </si>
  <si>
    <t>Tracing Gray</t>
  </si>
  <si>
    <t>Light Grey Melange 7.5% Aop</t>
  </si>
  <si>
    <t>Bronze Green Aop</t>
  </si>
  <si>
    <t>1904 2042</t>
  </si>
  <si>
    <t>1904 1846 1843 1835 2046 2042</t>
  </si>
  <si>
    <t>1904 1820 1801 1592</t>
  </si>
  <si>
    <t>1907 1847 1584</t>
  </si>
  <si>
    <t>1349-Navy Blazer-29.06, 2158-Lollipop-04.07, 2194-Phantom-28.07</t>
  </si>
  <si>
    <t>23-06-2026+26.06+06.07+28.07</t>
  </si>
  <si>
    <t>02-07-2026+28.07</t>
  </si>
  <si>
    <t>108125 107429 107415</t>
  </si>
  <si>
    <t>108124 107447</t>
  </si>
  <si>
    <t>108032 107697 107149 107154</t>
  </si>
  <si>
    <t>23-06-2026+10.07+12.07+28.07</t>
  </si>
  <si>
    <t>108130 108129 107106</t>
  </si>
  <si>
    <t>22-06-2026+27.07+28.07</t>
  </si>
  <si>
    <t>108130 108129 108009</t>
  </si>
  <si>
    <t>23-07-2026+27.07+28.07</t>
  </si>
  <si>
    <t>30-06-2026+07.07+08.07+12.07 Return+29.07</t>
  </si>
  <si>
    <t>14-07-2026+16.07+28.07</t>
  </si>
  <si>
    <t>15388150 -Revised 29.07 (Lace added)</t>
  </si>
  <si>
    <t>1909 1807 1801</t>
  </si>
  <si>
    <t>1910 1903 2024</t>
  </si>
  <si>
    <t>1910 2029</t>
  </si>
  <si>
    <t>1912 1803 2027 1587</t>
  </si>
  <si>
    <t>1913 1584</t>
  </si>
  <si>
    <t>1913 1600 1599</t>
  </si>
  <si>
    <t>1792 1789</t>
  </si>
  <si>
    <t>1792 1547</t>
  </si>
  <si>
    <t>1850-Gardenia-27.07, 2193-Gardenia-28.07, 2195-Gardenia-29.07</t>
  </si>
  <si>
    <t>1902-Gardenia-28.07, 2193-Gardenia-28.07, 1911-Gardenia-29.07, 2195-Gardenia-29.07</t>
  </si>
  <si>
    <t>271TRO600-6142 -Revised 30.07 (Qty Increased)</t>
  </si>
  <si>
    <t>Pink Marshmallo</t>
  </si>
  <si>
    <t>29-07-2026+30.07</t>
  </si>
  <si>
    <t>Stock Use-No Need By Alim Vai</t>
  </si>
  <si>
    <t>No need confirm by Alim Vai-30.07</t>
  </si>
  <si>
    <t>Use From Another Job- No Need By Alim Vai</t>
  </si>
  <si>
    <t>No Need By Alim Vai</t>
  </si>
  <si>
    <t>2 roll GSM High</t>
  </si>
  <si>
    <t>1953 1792</t>
  </si>
  <si>
    <t>1857 1854 1852 1851 2245 2240</t>
  </si>
  <si>
    <t>13-06-2026+30.07</t>
  </si>
  <si>
    <t>17-07-2026+23.07+30.07</t>
  </si>
  <si>
    <t>108132 107756</t>
  </si>
  <si>
    <t>14-07-2026+30.07</t>
  </si>
  <si>
    <t>108153 107657 107694 107698 107651</t>
  </si>
  <si>
    <t>11-07-2026+12.07+30.07</t>
  </si>
  <si>
    <t>13-06-2026+17.06+31.07</t>
  </si>
  <si>
    <t>17-06-2026+31.07</t>
  </si>
  <si>
    <t>271TRO586-6142 -Revised 31.07 (Qty Increased)</t>
  </si>
  <si>
    <t>Sky Captain</t>
  </si>
  <si>
    <r>
      <t>15311584 -</t>
    </r>
    <r>
      <rPr>
        <b/>
        <sz val="10"/>
        <rFont val="Arial"/>
        <family val="2"/>
      </rPr>
      <t>No Enzyme</t>
    </r>
  </si>
  <si>
    <t>22029225 -Fabric Must be Fluffy</t>
  </si>
  <si>
    <t>44587 11th</t>
  </si>
  <si>
    <t>BAD2548V</t>
  </si>
  <si>
    <t>42480 5th</t>
  </si>
  <si>
    <t>BAD1059mamaAN</t>
  </si>
  <si>
    <t>42965 17th</t>
  </si>
  <si>
    <t>BAD2530mAF</t>
  </si>
  <si>
    <t>40665 8th</t>
  </si>
  <si>
    <r>
      <t>BAD1123U -</t>
    </r>
    <r>
      <rPr>
        <b/>
        <sz val="10"/>
        <rFont val="Arial"/>
        <family val="2"/>
      </rPr>
      <t>Lace Matching</t>
    </r>
  </si>
  <si>
    <t>40668 9th</t>
  </si>
  <si>
    <t>BAD1630T</t>
  </si>
  <si>
    <t>40671 13th</t>
  </si>
  <si>
    <r>
      <t>BAD1298AL -</t>
    </r>
    <r>
      <rPr>
        <b/>
        <sz val="10"/>
        <rFont val="Arial"/>
        <family val="2"/>
      </rPr>
      <t>Y/D Matching</t>
    </r>
  </si>
  <si>
    <t>45396 2nd</t>
  </si>
  <si>
    <t>BAD2999mamaA</t>
  </si>
  <si>
    <t>Verigated L/Rib</t>
  </si>
  <si>
    <t>13-07-2026+14.07+31.07</t>
  </si>
  <si>
    <t>271TSH177-6156</t>
  </si>
  <si>
    <t>1859 1910 2248</t>
  </si>
  <si>
    <t>2171-Black-16.07, 2197-Birch/Balsam Green/Port Royale-29.07, 2051-Pine Grove/F.Purple-31.07</t>
  </si>
  <si>
    <t>Dark Navy+13-2801 Tcx</t>
  </si>
  <si>
    <t>19-1930 Tcx+Pink</t>
  </si>
  <si>
    <t>Ombre Blue</t>
  </si>
  <si>
    <t>271NDG019PTR1-6111 -As Swatch-Revised 01.08 (Dia &amp; Composition Changed)</t>
  </si>
  <si>
    <t>Beige Melange 46%</t>
  </si>
  <si>
    <t>271PJA040PTR2-6111 -Top+Bottom Set-Revised 01.08 (Dia &amp; Composition Changed)</t>
  </si>
  <si>
    <t>271GOW004PTR3-6111 -Revised 01.08 (Dia Changed &amp; Qty Reduced)</t>
  </si>
  <si>
    <t>29-07-2026+01.08</t>
  </si>
  <si>
    <t>14-07-2026+15.07+01.08</t>
  </si>
  <si>
    <t>14-07-2026+15.07+16.07+01.08</t>
  </si>
  <si>
    <t>1860 2234</t>
  </si>
  <si>
    <t>1860 2215</t>
  </si>
  <si>
    <t>1930 1527</t>
  </si>
  <si>
    <t>1930 1928 1822 2045 1821</t>
  </si>
  <si>
    <t>1930 1926 1910 1834</t>
  </si>
  <si>
    <t>1932 1793</t>
  </si>
  <si>
    <t>1932 2050 1813 1805 2017 1577 2007 2006 2126</t>
  </si>
  <si>
    <t>1932 2047</t>
  </si>
  <si>
    <t>1934 1825 2033</t>
  </si>
  <si>
    <t>1934 2033</t>
  </si>
  <si>
    <t>1934 1828</t>
  </si>
  <si>
    <t>1934 1920</t>
  </si>
  <si>
    <t>1934 1848</t>
  </si>
  <si>
    <t>1960 1795</t>
  </si>
  <si>
    <t>1936 1848</t>
  </si>
  <si>
    <t>1936 2034</t>
  </si>
  <si>
    <t>1936 2023</t>
  </si>
  <si>
    <t>1936 1920</t>
  </si>
  <si>
    <t>1939 1936 1809</t>
  </si>
  <si>
    <t>1939 2046</t>
  </si>
  <si>
    <t>1939 1914</t>
  </si>
  <si>
    <t>1942 1934 1911 1906</t>
  </si>
  <si>
    <t>1942 1934 1911</t>
  </si>
  <si>
    <t>14-07-2026+01.08</t>
  </si>
  <si>
    <t>17-06-2026+29.07+01.08</t>
  </si>
  <si>
    <t>21-07-2026+04.08</t>
  </si>
  <si>
    <t>23-07-2026+26.07+27.07+28.07+29.07+30.07+04.08</t>
  </si>
  <si>
    <t>17-06-2026+06.07+23.07+30.07+04.08</t>
  </si>
  <si>
    <t>108242 107404</t>
  </si>
  <si>
    <t>08-07-2026+01.08</t>
  </si>
  <si>
    <t>108240 107384</t>
  </si>
  <si>
    <t>07-07-2026+01.08</t>
  </si>
  <si>
    <t>108241 108160 107350</t>
  </si>
  <si>
    <t>01-07-2026+31.07+02.08</t>
  </si>
  <si>
    <t>108243 107250</t>
  </si>
  <si>
    <t>25-06-2026+02.08</t>
  </si>
  <si>
    <t>108276 107251</t>
  </si>
  <si>
    <t>108251 107858 107862</t>
  </si>
  <si>
    <t>1948 1919</t>
  </si>
  <si>
    <t>1948 1916 1912 1848</t>
  </si>
  <si>
    <t>1950 1914</t>
  </si>
  <si>
    <t>602 1597 1524 1766</t>
  </si>
  <si>
    <t>1862 1860 1860 1858 1926 1924 1857 1856 1912 2246</t>
  </si>
  <si>
    <t>1862 2246</t>
  </si>
  <si>
    <t>1862 2248</t>
  </si>
  <si>
    <t>2183-Navy-25.07, 2188-Emerald-27.07, 2055-Black-01.08</t>
  </si>
  <si>
    <t>16-07-2026+18.07+20.07+21.07 Return+22.07+25.07+01.08+07.08</t>
  </si>
  <si>
    <t>20-07-2026+07.08</t>
  </si>
  <si>
    <t>September'26</t>
  </si>
  <si>
    <t>603 1920 1826</t>
  </si>
  <si>
    <t>603 1842</t>
  </si>
  <si>
    <r>
      <t>13251523 -</t>
    </r>
    <r>
      <rPr>
        <b/>
        <sz val="10"/>
        <rFont val="Arial"/>
        <family val="2"/>
      </rPr>
      <t>Match with AOP</t>
    </r>
    <r>
      <rPr>
        <sz val="10"/>
        <rFont val="Arial"/>
        <family val="2"/>
      </rPr>
      <t xml:space="preserve"> -Revised 08.08 (Fab Qty Mistake)</t>
    </r>
  </si>
  <si>
    <t>Poly Tube Drawstring with Metalic</t>
  </si>
  <si>
    <t>42566 9th</t>
  </si>
  <si>
    <t>30777 8th</t>
  </si>
  <si>
    <t>BAD2651G</t>
  </si>
  <si>
    <t>24239 12th</t>
  </si>
  <si>
    <t>BAD1109R</t>
  </si>
  <si>
    <t>22738 11th</t>
  </si>
  <si>
    <t>BAD1131T</t>
  </si>
  <si>
    <t>26835 12th</t>
  </si>
  <si>
    <t>BAD2361N</t>
  </si>
  <si>
    <t>29929 10th</t>
  </si>
  <si>
    <r>
      <t>BAD2594I -</t>
    </r>
    <r>
      <rPr>
        <b/>
        <sz val="10"/>
        <rFont val="Arial"/>
        <family val="2"/>
      </rPr>
      <t>Lace Matching</t>
    </r>
  </si>
  <si>
    <t>24232 9th</t>
  </si>
  <si>
    <t>BAD1287Q</t>
  </si>
  <si>
    <t>45963 12th</t>
  </si>
  <si>
    <t>BAD0962BS</t>
  </si>
  <si>
    <t>41897 8th</t>
  </si>
  <si>
    <t>BAD1286AF</t>
  </si>
  <si>
    <t>42250 5th</t>
  </si>
  <si>
    <t>40671 14th</t>
  </si>
  <si>
    <t>BAD1298AM</t>
  </si>
  <si>
    <t>Almond+Egret</t>
  </si>
  <si>
    <t>45104 3rd</t>
  </si>
  <si>
    <r>
      <t>BAD2966B -</t>
    </r>
    <r>
      <rPr>
        <b/>
        <sz val="10"/>
        <rFont val="Arial"/>
        <family val="2"/>
      </rPr>
      <t>Collar Matching</t>
    </r>
  </si>
  <si>
    <t>46615 9th</t>
  </si>
  <si>
    <t>BAD1318AC</t>
  </si>
  <si>
    <t>48141 2nd</t>
  </si>
  <si>
    <t>Borwn+13-4111 Tcx</t>
  </si>
  <si>
    <t>27204 62th</t>
  </si>
  <si>
    <t>26970 60th</t>
  </si>
  <si>
    <t>22002973 -Silicon Softener Wash</t>
  </si>
  <si>
    <t>21-07-2026+08.08</t>
  </si>
  <si>
    <t>12-07-2026+08.08</t>
  </si>
  <si>
    <t>107246 107234</t>
  </si>
  <si>
    <t>24-06-2026+25.06</t>
  </si>
  <si>
    <t>271NDG013MZ2-6111</t>
  </si>
  <si>
    <t>Pastel Parchment Aop</t>
  </si>
  <si>
    <t>Lavender Blue Aop</t>
  </si>
  <si>
    <t>271PJA030MZ3-6111 -Top+Bottom Set</t>
  </si>
  <si>
    <t>Elderberry</t>
  </si>
  <si>
    <t>White Sand Aop</t>
  </si>
  <si>
    <t>70/30 CVC Fleece</t>
  </si>
  <si>
    <t>29402 46th</t>
  </si>
  <si>
    <t>46748 13th</t>
  </si>
  <si>
    <t>15244714 - Revised 08.08 (Qty Increased)</t>
  </si>
  <si>
    <t>558 1954</t>
  </si>
  <si>
    <t>44023 13th</t>
  </si>
  <si>
    <t xml:space="preserve">Peyote Melange Aop </t>
  </si>
  <si>
    <t>43316 29th</t>
  </si>
  <si>
    <t>43327 16th</t>
  </si>
  <si>
    <t>45964 14th</t>
  </si>
  <si>
    <t>Mary's Rose Aop</t>
  </si>
  <si>
    <t>271TRO093-6156 -As Swatch-Revised 10.08 (Dia Changed)</t>
  </si>
  <si>
    <t>13269379 -Revised 10.08 (B/Part Dye Added)</t>
  </si>
  <si>
    <t>Bright White (B/Part Dye)</t>
  </si>
  <si>
    <t>13269380 -Revised 10.08 (B/Part Dye Added)</t>
  </si>
  <si>
    <t>13269391 -Revised 10.08 (B/Part Dye Added)</t>
  </si>
  <si>
    <t>13269394 -Revised 10.08 (B/Part Dye Added)</t>
  </si>
  <si>
    <t>13269378-Revised 10.08 (B/Part Dye Added)</t>
  </si>
  <si>
    <t>13269404 -Revised 10.08 (B/Part Dye Added)</t>
  </si>
  <si>
    <t>13269406 Revised 10.08 (B/Part Dye Added)</t>
  </si>
  <si>
    <t>13269381 -Revised 10.08 (B/Part Dye Added)</t>
  </si>
  <si>
    <t>13269395 -Revised 10.08 (B/Part Dye Added)</t>
  </si>
  <si>
    <t>13269980 -Revised 10.08 (B/Part Dye Added)</t>
  </si>
  <si>
    <t>13269388 -Revised 10.08 (B/Part Dye Added)</t>
  </si>
  <si>
    <t>13269399 -Revised 10.08 (B/Part Dye Added)</t>
  </si>
  <si>
    <r>
      <t>271JOG139-6156 -</t>
    </r>
    <r>
      <rPr>
        <b/>
        <sz val="10"/>
        <rFont val="Arial"/>
        <family val="2"/>
      </rPr>
      <t xml:space="preserve">Contrast &amp; Y/D Matching- </t>
    </r>
    <r>
      <rPr>
        <sz val="10"/>
        <rFont val="Arial"/>
        <family val="2"/>
      </rPr>
      <t>Top+Bottom Set</t>
    </r>
  </si>
  <si>
    <t>Light Brown</t>
  </si>
  <si>
    <t>Flat Knit Rib</t>
  </si>
  <si>
    <r>
      <t>271TSH253-6156 -</t>
    </r>
    <r>
      <rPr>
        <b/>
        <sz val="10"/>
        <rFont val="Arial"/>
        <family val="2"/>
      </rPr>
      <t>Contrast</t>
    </r>
  </si>
  <si>
    <t>19-4009 TPG</t>
  </si>
  <si>
    <t>11-0608 TCX</t>
  </si>
  <si>
    <t>610 1003</t>
  </si>
  <si>
    <t>46491 7th</t>
  </si>
  <si>
    <t>48551 1st</t>
  </si>
  <si>
    <t>13-2801 TCX Aop</t>
  </si>
  <si>
    <t>19-1419 TCX</t>
  </si>
  <si>
    <t>13-2801 TCX</t>
  </si>
  <si>
    <t>48551 2nd</t>
  </si>
  <si>
    <r>
      <t>9686529 -</t>
    </r>
    <r>
      <rPr>
        <b/>
        <sz val="10"/>
        <rFont val="Arial"/>
        <family val="2"/>
      </rPr>
      <t>Y/D Matching</t>
    </r>
  </si>
  <si>
    <t>19-1650 Tcx+13-2801 Tcx+19-1650 Tcx+13-2801 Tcx+19-1650 Tcx+13-2801 Tcx+19-1650 Tcx+13-2801 Tcx+19-1650 Tcx+13-2801 Tcx+19-1650 Tcx</t>
  </si>
  <si>
    <t>13-2801 Tcx</t>
  </si>
  <si>
    <t>48551 3rd</t>
  </si>
  <si>
    <t>19-1419 Tcx+White+19-1419 Tcx+18-1222 Tcx+19-1419 Tcx+White+19-1419 Tcx+White+19-1419 Tcx+18-1222 Tcx+19-1419 Tcx+White</t>
  </si>
  <si>
    <t>47424 4th</t>
  </si>
  <si>
    <t>47403 5th</t>
  </si>
  <si>
    <t>271NDG319-903 -Revised 11.08 (Composition Changed &amp; Qty Increased)</t>
  </si>
  <si>
    <r>
      <t>271MMP320-903 -</t>
    </r>
    <r>
      <rPr>
        <b/>
        <sz val="10"/>
        <rFont val="Arial"/>
        <family val="2"/>
      </rPr>
      <t>Lace Matching</t>
    </r>
    <r>
      <rPr>
        <sz val="10"/>
        <rFont val="Arial"/>
        <family val="2"/>
      </rPr>
      <t xml:space="preserve"> -Revised 11.08 (Composition Changed &amp; Color Confirmation)</t>
    </r>
  </si>
  <si>
    <r>
      <t>271MMP321-903 -</t>
    </r>
    <r>
      <rPr>
        <b/>
        <sz val="10"/>
        <rFont val="Arial"/>
        <family val="2"/>
      </rPr>
      <t>Lace Matching -</t>
    </r>
    <r>
      <rPr>
        <sz val="10"/>
        <rFont val="Arial"/>
        <family val="2"/>
      </rPr>
      <t>Revised 11.08 (Composition Changed &amp; Color Confirmation)</t>
    </r>
  </si>
  <si>
    <t>271NDG340-903</t>
  </si>
  <si>
    <t>Heather Rose</t>
  </si>
  <si>
    <r>
      <t>271PJA416-903 -</t>
    </r>
    <r>
      <rPr>
        <b/>
        <sz val="10"/>
        <rFont val="Arial"/>
        <family val="2"/>
      </rPr>
      <t>Contrast</t>
    </r>
  </si>
  <si>
    <t>Lavender Lustre</t>
  </si>
  <si>
    <t>Xenon Blue</t>
  </si>
  <si>
    <t>Swamp</t>
  </si>
  <si>
    <t>Jet Black (B/Part Dye)</t>
  </si>
  <si>
    <t>Super Light Grey Melange 1%</t>
  </si>
  <si>
    <t>Top G.Mel, 75/25 CVC Fleece (Rec-Poly)</t>
  </si>
  <si>
    <t>22037681 -License Order</t>
  </si>
  <si>
    <t>22042437 -License Order &amp; Turner Quality-Fabric Must Be Fluffy</t>
  </si>
  <si>
    <t>Top Ctn, 65/35 CVC Fleece (Rec-Poly)</t>
  </si>
  <si>
    <t>45750 3rd</t>
  </si>
  <si>
    <t>26582 9th</t>
  </si>
  <si>
    <t>26970 61th</t>
  </si>
  <si>
    <t xml:space="preserve">No T&amp;A Provided </t>
  </si>
  <si>
    <t>271TSH009-223 -Revised 13.08 (Qty Increased)</t>
  </si>
  <si>
    <t>CVC L/F/Terry (Rec-Poly)</t>
  </si>
  <si>
    <t>Dill Green</t>
  </si>
  <si>
    <t>Bering Sea+Sky Writing</t>
  </si>
  <si>
    <t>Light Grey Melange 3% (Shade 5%)</t>
  </si>
  <si>
    <t>Dark Blue 2</t>
  </si>
  <si>
    <t>271SHR009-6153</t>
  </si>
  <si>
    <t>271SWT008-226</t>
  </si>
  <si>
    <t>Beaucoup Blue</t>
  </si>
  <si>
    <t>Popline Fabric- DTM with Body Fabric</t>
  </si>
  <si>
    <t>Yds</t>
  </si>
  <si>
    <t>Barbados Cherry</t>
  </si>
  <si>
    <t>RFD (Safari)</t>
  </si>
  <si>
    <t>RFD (Medium Grey)</t>
  </si>
  <si>
    <t>271SWTFTT521-6172 -Revised 13.08 (Color &amp; Qty Changed+Combo Reduced)</t>
  </si>
  <si>
    <t>271SWTFTT524-6172 -Revised 13.08 (Qty Increased)</t>
  </si>
  <si>
    <r>
      <t>13251005 -</t>
    </r>
    <r>
      <rPr>
        <b/>
        <sz val="10"/>
        <rFont val="Arial"/>
        <family val="2"/>
      </rPr>
      <t>Contrast H.B Tape</t>
    </r>
  </si>
  <si>
    <r>
      <t>271SHR010-226 -</t>
    </r>
    <r>
      <rPr>
        <b/>
        <sz val="10"/>
        <rFont val="Arial"/>
        <family val="2"/>
      </rPr>
      <t>Contrast</t>
    </r>
    <r>
      <rPr>
        <sz val="10"/>
        <rFont val="Arial"/>
        <family val="2"/>
      </rPr>
      <t xml:space="preserve"> -Revised 13.08 (Qty Increased)</t>
    </r>
  </si>
  <si>
    <t>271SWT008-226 -Revised 13.08 (Qty Increased)</t>
  </si>
  <si>
    <t>Popline Fabric (Dyeing with Main Fabric)</t>
  </si>
  <si>
    <t>17-07-2026+13.08</t>
  </si>
  <si>
    <t>17-07-2026+21.07+13.08</t>
  </si>
  <si>
    <t>18-07-2026+22.07+14.08</t>
  </si>
  <si>
    <t>271BDY197-256 -Take care of Y/D color Fastness-Revised 14.08 (Qty Increased)</t>
  </si>
  <si>
    <t>271NDG012PRLR2-6111</t>
  </si>
  <si>
    <t>Optical White Aop (Check)</t>
  </si>
  <si>
    <t>OPtical White Aop (Palm)</t>
  </si>
  <si>
    <t>Rose Taupe Aop</t>
  </si>
  <si>
    <t>271PJA027PYJ7-6111 -Top+Bottom Set</t>
  </si>
  <si>
    <t>Lavender</t>
  </si>
  <si>
    <t>Optical White Aop (Hearts)</t>
  </si>
  <si>
    <t>Nantucket Breeze Aop</t>
  </si>
  <si>
    <t>Anise Flower Aop</t>
  </si>
  <si>
    <t>108617 108220</t>
  </si>
  <si>
    <t>01-08-2026+13.08</t>
  </si>
  <si>
    <t>Optical White Aop (Palm)</t>
  </si>
  <si>
    <t>Magnet+Ultimate Gray</t>
  </si>
  <si>
    <t>Sky Writing</t>
  </si>
  <si>
    <t>271NDG010LDY13-6111</t>
  </si>
  <si>
    <t>632 1849 2040</t>
  </si>
  <si>
    <t>48329 2nd</t>
  </si>
  <si>
    <t>9328977 -As Per Standard</t>
  </si>
  <si>
    <t>48323 2nd</t>
  </si>
  <si>
    <t>48322 2nd</t>
  </si>
  <si>
    <t>271PJSVNUNIT-906 -Top+Bottom Set- Revised 15.08 (Qty Increased)</t>
  </si>
  <si>
    <r>
      <t>271PJSRNUNST-906 -</t>
    </r>
    <r>
      <rPr>
        <b/>
        <sz val="10"/>
        <rFont val="Arial"/>
        <family val="2"/>
      </rPr>
      <t>Y/D Match</t>
    </r>
    <r>
      <rPr>
        <sz val="10"/>
        <rFont val="Arial"/>
        <family val="2"/>
      </rPr>
      <t>- Revised 15.08 (Qty Increased)</t>
    </r>
  </si>
  <si>
    <t>Ombre Blue+Dark Navy</t>
  </si>
  <si>
    <t>271PJRNUNIT-906 -Revised 15.08 (Qty Increased)</t>
  </si>
  <si>
    <r>
      <t>9686536 -</t>
    </r>
    <r>
      <rPr>
        <b/>
        <sz val="10"/>
        <rFont val="Arial"/>
        <family val="2"/>
      </rPr>
      <t>Contrast</t>
    </r>
    <r>
      <rPr>
        <sz val="10"/>
        <rFont val="Arial"/>
        <family val="2"/>
      </rPr>
      <t xml:space="preserve"> -Revised 15.08 (Dia Changed &amp; Qty Reduced)</t>
    </r>
  </si>
  <si>
    <r>
      <t>9686529 -</t>
    </r>
    <r>
      <rPr>
        <b/>
        <sz val="10"/>
        <rFont val="Arial"/>
        <family val="2"/>
      </rPr>
      <t xml:space="preserve">Contrast </t>
    </r>
    <r>
      <rPr>
        <sz val="10"/>
        <rFont val="Arial"/>
        <family val="2"/>
      </rPr>
      <t>-Revised 15.08 (Dia Changed &amp; Qty Reduced)</t>
    </r>
  </si>
  <si>
    <t>9686529 -As Per Artwork -Revised 15.08 (Dia &amp; Qty Changed)</t>
  </si>
  <si>
    <t>49 Blue</t>
  </si>
  <si>
    <t>48543 2nd</t>
  </si>
  <si>
    <t>Happy Yellow</t>
  </si>
  <si>
    <t>Tropical Breeze/Atomizer</t>
  </si>
  <si>
    <t>26827 57th</t>
  </si>
  <si>
    <t>22029225 -Fabric Must Be Fluffy</t>
  </si>
  <si>
    <t>Pink Nectar (B/Part Dye)</t>
  </si>
  <si>
    <t>271SWT017-6155-Contrast -Overdye confirm by Lab</t>
  </si>
  <si>
    <r>
      <t xml:space="preserve">271LEG021-6155- </t>
    </r>
    <r>
      <rPr>
        <b/>
        <sz val="10"/>
        <rFont val="Arial"/>
        <family val="2"/>
      </rPr>
      <t>Contrast</t>
    </r>
    <r>
      <rPr>
        <sz val="10"/>
        <rFont val="Arial"/>
        <family val="2"/>
      </rPr>
      <t xml:space="preserve"> -Overdye confirm by Lab</t>
    </r>
  </si>
  <si>
    <t>641 1580</t>
  </si>
  <si>
    <t>9646803 -(Follow Job: 47403) -Revised 17.08 (Qty Increased)</t>
  </si>
  <si>
    <t>9686518 -As per Job 48301</t>
  </si>
  <si>
    <r>
      <t>BAD3252 -</t>
    </r>
    <r>
      <rPr>
        <b/>
        <sz val="10"/>
        <rFont val="Arial"/>
        <family val="2"/>
      </rPr>
      <t>Lace Matching</t>
    </r>
  </si>
  <si>
    <t>BAD3253 -Need Special Care</t>
  </si>
  <si>
    <t>BAD3254</t>
  </si>
  <si>
    <t>BAD3283Nurs</t>
  </si>
  <si>
    <t>46346 2nd</t>
  </si>
  <si>
    <t>BAD3144mamaA</t>
  </si>
  <si>
    <t>46839 2nd</t>
  </si>
  <si>
    <t>BAD3183mamaA</t>
  </si>
  <si>
    <t>46885 5th</t>
  </si>
  <si>
    <t>BAD3195mamaD</t>
  </si>
  <si>
    <t>43663 10th</t>
  </si>
  <si>
    <t>BAD1634V</t>
  </si>
  <si>
    <t>Canyon Rose</t>
  </si>
  <si>
    <t>Cappuccino</t>
  </si>
  <si>
    <t>41947 27th</t>
  </si>
  <si>
    <t>BAD984CF+2554AR</t>
  </si>
  <si>
    <t>Camel</t>
  </si>
  <si>
    <t>Spectrum Blue</t>
  </si>
  <si>
    <t>Rose Bloom</t>
  </si>
  <si>
    <t>Grey Flannel</t>
  </si>
  <si>
    <t>41712 15th</t>
  </si>
  <si>
    <t>BAD2323mamaAA -As Swatch</t>
  </si>
  <si>
    <t>22031973 -Fabric Must be Fluffy</t>
  </si>
  <si>
    <t>26828 79th</t>
  </si>
  <si>
    <t>22029226 -Fabric Must be Fluffy</t>
  </si>
  <si>
    <t>271SWT093-6140 -Revised 17.08 (Qty Increased)</t>
  </si>
  <si>
    <t>13-08-2026+17.08</t>
  </si>
  <si>
    <t>47066 4th</t>
  </si>
  <si>
    <t>45347 2nd</t>
  </si>
  <si>
    <t>45941 2nd</t>
  </si>
  <si>
    <t>44700 5th</t>
  </si>
  <si>
    <t>46491 8th</t>
  </si>
  <si>
    <t>43327 17th</t>
  </si>
  <si>
    <t>01-08-2026+18.08</t>
  </si>
  <si>
    <t>Primrose Pink</t>
  </si>
  <si>
    <t>Beetroot Purple (B/Part Dye)</t>
  </si>
  <si>
    <r>
      <t>15391436 -</t>
    </r>
    <r>
      <rPr>
        <b/>
        <sz val="10"/>
        <rFont val="Arial"/>
        <family val="2"/>
      </rPr>
      <t>Contrast</t>
    </r>
  </si>
  <si>
    <t>Primrose Pink (B/Part Dye)</t>
  </si>
  <si>
    <t>Bitter Chocolate (B/Part Dye)</t>
  </si>
  <si>
    <t>48299 2nd</t>
  </si>
  <si>
    <t>Woven Frog</t>
  </si>
  <si>
    <t>Candy Pink+Marina+Bright White+Marina+Bright White+Marina+Candy Pink+Bright White+Marina+Bright White</t>
  </si>
  <si>
    <t>Candy Pink</t>
  </si>
  <si>
    <t>Anise Flower+Marina+Anise Flower+Marina+Anise Flower+Cashmere Blue+Marina+Cashmere Blue</t>
  </si>
  <si>
    <r>
      <t>15391460 -</t>
    </r>
    <r>
      <rPr>
        <b/>
        <sz val="10"/>
        <rFont val="Arial"/>
        <family val="2"/>
      </rPr>
      <t>Lace Matching</t>
    </r>
  </si>
  <si>
    <t>45228 2nd</t>
  </si>
  <si>
    <r>
      <t>15357482 -</t>
    </r>
    <r>
      <rPr>
        <b/>
        <sz val="10"/>
        <rFont val="Arial"/>
        <family val="2"/>
      </rPr>
      <t>Lace Matching</t>
    </r>
  </si>
  <si>
    <t>10-08-2026+18.08</t>
  </si>
  <si>
    <t>80/20 CVC Flat Back Rib</t>
  </si>
  <si>
    <t>Cilantro</t>
  </si>
  <si>
    <t>CVC L/Herringbone Design Fabric</t>
  </si>
  <si>
    <t>LS Textured Zip Polo</t>
  </si>
  <si>
    <t>Textured Fabric</t>
  </si>
  <si>
    <t>Folkstone</t>
  </si>
  <si>
    <t>41318 19th</t>
  </si>
  <si>
    <t>BAD1571AI</t>
  </si>
  <si>
    <t>45963 13th</t>
  </si>
  <si>
    <t>BAD0962BT</t>
  </si>
  <si>
    <t>Dark Denim</t>
  </si>
  <si>
    <t>27136 21th</t>
  </si>
  <si>
    <t>BAD2497T</t>
  </si>
  <si>
    <t>45150 5th</t>
  </si>
  <si>
    <r>
      <t>BAD2992E -</t>
    </r>
    <r>
      <rPr>
        <b/>
        <sz val="10"/>
        <color rgb="FFFF00FF"/>
        <rFont val="Arial"/>
        <family val="2"/>
      </rPr>
      <t>Imported Grey Fabric</t>
    </r>
  </si>
  <si>
    <t>44047 13th</t>
  </si>
  <si>
    <t>BAD0982AP</t>
  </si>
  <si>
    <t>44262 8th</t>
  </si>
  <si>
    <r>
      <t>BAD2927G -</t>
    </r>
    <r>
      <rPr>
        <b/>
        <sz val="10"/>
        <rFont val="Arial"/>
        <family val="2"/>
      </rPr>
      <t>Lace Matching</t>
    </r>
  </si>
  <si>
    <t>Dune</t>
  </si>
  <si>
    <t>45200 2nd</t>
  </si>
  <si>
    <t>PC Terry</t>
  </si>
  <si>
    <t>44932 2nd</t>
  </si>
  <si>
    <t>15372417/ 15378313</t>
  </si>
  <si>
    <t>PC S/J</t>
  </si>
  <si>
    <t>30011 22th</t>
  </si>
  <si>
    <t>46205 6th</t>
  </si>
  <si>
    <t>Illusion Blue</t>
  </si>
  <si>
    <r>
      <t>15399193 -</t>
    </r>
    <r>
      <rPr>
        <sz val="10"/>
        <color rgb="FFFF00FF"/>
        <rFont val="Arial"/>
        <family val="2"/>
      </rPr>
      <t xml:space="preserve">Live Love </t>
    </r>
    <r>
      <rPr>
        <sz val="10"/>
        <rFont val="Arial"/>
        <family val="2"/>
      </rPr>
      <t>-</t>
    </r>
    <r>
      <rPr>
        <b/>
        <sz val="10"/>
        <rFont val="Arial"/>
        <family val="2"/>
      </rPr>
      <t>No Enzyme &amp; Lace Matching</t>
    </r>
  </si>
  <si>
    <t>Cloud Dancer+Black</t>
  </si>
  <si>
    <t>Chalk Pink+Windsor Wine</t>
  </si>
  <si>
    <t>Port Royale+Chambray Blue</t>
  </si>
  <si>
    <t>Cloud Dancer+Carafe+Silver Mink+Black</t>
  </si>
  <si>
    <t>Windsor Wine+Pink Lady+Windsor Wine+Pink Lady</t>
  </si>
  <si>
    <t>Cloud Dancer+Chicory Coffee+Sodalite Blue+Cloud Dancer+Sodalite Blue+Chicory Coffee</t>
  </si>
  <si>
    <t>48160 2nd</t>
  </si>
  <si>
    <t>46205 5th</t>
  </si>
  <si>
    <t>48302 2nd</t>
  </si>
  <si>
    <t>Birch+Winetasting</t>
  </si>
  <si>
    <t>Black Coffee+Cloud Dancer+Orchid Pink+Cloud Dancer</t>
  </si>
  <si>
    <t>108593 108452</t>
  </si>
  <si>
    <t>226+15</t>
  </si>
  <si>
    <t>271TRO022-6155 -Overdye confirm by Lab-Revised 19.08 (Qty Increased)</t>
  </si>
  <si>
    <t>271SHR010-6153 -Revised 19.08 (Qty Increased)</t>
  </si>
  <si>
    <r>
      <t>BAD1298AK -</t>
    </r>
    <r>
      <rPr>
        <b/>
        <sz val="10"/>
        <rFont val="Arial"/>
        <family val="2"/>
      </rPr>
      <t xml:space="preserve">Y/D Matching- 2nd </t>
    </r>
    <r>
      <rPr>
        <sz val="10"/>
        <rFont val="Arial"/>
        <family val="2"/>
      </rPr>
      <t>Revised 19.08 (Qty Increased, will use ready garments from 43430 3rd)</t>
    </r>
  </si>
  <si>
    <t>12-08-2026+15.08+20.08</t>
  </si>
  <si>
    <r>
      <t>15394365 -</t>
    </r>
    <r>
      <rPr>
        <sz val="10"/>
        <color rgb="FFFF00FF"/>
        <rFont val="Arial"/>
        <family val="2"/>
      </rPr>
      <t>Love</t>
    </r>
    <r>
      <rPr>
        <sz val="10"/>
        <rFont val="Arial"/>
        <family val="2"/>
      </rPr>
      <t xml:space="preserve"> </t>
    </r>
    <r>
      <rPr>
        <sz val="10"/>
        <color rgb="FFFF00FF"/>
        <rFont val="Arial"/>
        <family val="2"/>
      </rPr>
      <t>Quality</t>
    </r>
    <r>
      <rPr>
        <sz val="10"/>
        <rFont val="Arial"/>
        <family val="2"/>
      </rPr>
      <t>-As Per Swatch (</t>
    </r>
    <r>
      <rPr>
        <b/>
        <sz val="10"/>
        <rFont val="Arial"/>
        <family val="2"/>
      </rPr>
      <t>Light Enzyme</t>
    </r>
    <r>
      <rPr>
        <sz val="10"/>
        <rFont val="Arial"/>
        <family val="2"/>
      </rPr>
      <t>)</t>
    </r>
  </si>
  <si>
    <t>108719 108054</t>
  </si>
  <si>
    <t>Cotton Candy (B/Part Dye)-Fluorescent</t>
  </si>
  <si>
    <t>Fiery Coral (B/Part Dye)-Fluorescent</t>
  </si>
  <si>
    <t>Phantom+Bright White</t>
  </si>
  <si>
    <t>Primrose Pink+Cayenne</t>
  </si>
  <si>
    <t>Sweet Dreams Aop</t>
  </si>
  <si>
    <t>15390901 -Follow 45401 2nd</t>
  </si>
  <si>
    <t>Candy Pink Aop</t>
  </si>
  <si>
    <t>48610 1st</t>
  </si>
  <si>
    <r>
      <t>15391574 -</t>
    </r>
    <r>
      <rPr>
        <b/>
        <sz val="10"/>
        <rFont val="Arial"/>
        <family val="2"/>
      </rPr>
      <t>Lace Matching</t>
    </r>
  </si>
  <si>
    <t>46219 2nd</t>
  </si>
  <si>
    <t>48532 2nd</t>
  </si>
  <si>
    <t>48610 2nd</t>
  </si>
  <si>
    <r>
      <t xml:space="preserve">15375848- </t>
    </r>
    <r>
      <rPr>
        <b/>
        <sz val="10"/>
        <rFont val="Arial"/>
        <family val="2"/>
      </rPr>
      <t>Handsewing Emblishment</t>
    </r>
  </si>
  <si>
    <t>15337134 -Revised 21.08 (Qty Changed)</t>
  </si>
  <si>
    <t>41836 9th</t>
  </si>
  <si>
    <t>Iguana</t>
  </si>
  <si>
    <t>80/20 CVC Terry (Rec Poly)</t>
  </si>
  <si>
    <t>27204 63th</t>
  </si>
  <si>
    <t>Mauve Mist</t>
  </si>
  <si>
    <t>Bitter Chocolate</t>
  </si>
  <si>
    <t>27204 64th</t>
  </si>
  <si>
    <t>43969 40th</t>
  </si>
  <si>
    <t>French Roast</t>
  </si>
  <si>
    <t>Green Lily</t>
  </si>
  <si>
    <t>Dusk</t>
  </si>
  <si>
    <t>26030 22th</t>
  </si>
  <si>
    <t>79"</t>
  </si>
  <si>
    <t>26030 23th</t>
  </si>
  <si>
    <t>41836 10th</t>
  </si>
  <si>
    <t>Italian Straw</t>
  </si>
  <si>
    <t>Cornflower Blue</t>
  </si>
  <si>
    <t>27204 65th</t>
  </si>
  <si>
    <t>Wild Orchid</t>
  </si>
  <si>
    <t>43969 41th</t>
  </si>
  <si>
    <t>26030 24th</t>
  </si>
  <si>
    <t>41836 11th</t>
  </si>
  <si>
    <t>27204 66th</t>
  </si>
  <si>
    <r>
      <t>271TSH006-222 -</t>
    </r>
    <r>
      <rPr>
        <b/>
        <sz val="10"/>
        <rFont val="Arial"/>
        <family val="2"/>
      </rPr>
      <t xml:space="preserve">Contrast </t>
    </r>
    <r>
      <rPr>
        <sz val="10"/>
        <rFont val="Arial"/>
        <family val="2"/>
      </rPr>
      <t>-2nd Revised 21.08 (Qty Increased)</t>
    </r>
  </si>
  <si>
    <t>17-08-2026+21.08</t>
  </si>
  <si>
    <t>1 Roll GSM High/1Roll GSM Low</t>
  </si>
  <si>
    <t>Transferred to 13th Lot by Shekhor Vai-22.08</t>
  </si>
  <si>
    <t>9686507 -Revised 22.08 (TCX Correction)</t>
  </si>
  <si>
    <r>
      <t>9603199 -</t>
    </r>
    <r>
      <rPr>
        <b/>
        <sz val="10"/>
        <rFont val="Arial"/>
        <family val="2"/>
      </rPr>
      <t>Y/D Matching</t>
    </r>
    <r>
      <rPr>
        <sz val="10"/>
        <rFont val="Arial"/>
        <family val="2"/>
      </rPr>
      <t xml:space="preserve"> -Revised 22.08 (Qty Increased)</t>
    </r>
  </si>
  <si>
    <t>48552 2nd</t>
  </si>
  <si>
    <t>13-2801 Tcx Aop</t>
  </si>
  <si>
    <t>19-1419 Tcx</t>
  </si>
  <si>
    <t>14-4214 Tcx Aop</t>
  </si>
  <si>
    <t>19-1106 Tcx</t>
  </si>
  <si>
    <t>46804 4th</t>
  </si>
  <si>
    <t>Mid Pink</t>
  </si>
  <si>
    <t>INDOJ915-33554</t>
  </si>
  <si>
    <t>RFD (Dark Grey)</t>
  </si>
  <si>
    <t>47403 6th</t>
  </si>
  <si>
    <t>Grey Melange 5%+19-3912 Tcx</t>
  </si>
  <si>
    <t>19-3912 Tcx</t>
  </si>
  <si>
    <t>47424 5th</t>
  </si>
  <si>
    <t>48552 3rd</t>
  </si>
  <si>
    <t>11-0604 Tcx+19-3831 Tcx+13-2801 Tcx+19-3831 Tcx+11-0604 Tcx+19-3831 Tcx</t>
  </si>
  <si>
    <t>11-0619 Tcx+19-3831 Tcx+11-0619 Tcx+19-3831 Tcx+11-0619 Tcx+19-3831 Tcx</t>
  </si>
  <si>
    <t>11-0604 Tcx+14-4214 Tcx+19-1106 Tcx+11-0604 Tcx+19-1106 Tcx+11-0604 Tcx+19-1106 Tcx+14-4214 Tcx+11-0604 Tcx+14-4214 Tcx</t>
  </si>
  <si>
    <t>68871 -Follow Job 45571 -As Swatch</t>
  </si>
  <si>
    <t>L/PK</t>
  </si>
  <si>
    <t>Ottoman SS Polo</t>
  </si>
  <si>
    <t>PV Ottoman L/Interlock</t>
  </si>
  <si>
    <t>Trellis</t>
  </si>
  <si>
    <t>Poseidon</t>
  </si>
  <si>
    <t>45317 6th</t>
  </si>
  <si>
    <r>
      <t>15084518/15185295 -</t>
    </r>
    <r>
      <rPr>
        <b/>
        <sz val="10"/>
        <rFont val="Arial"/>
        <family val="2"/>
      </rPr>
      <t>No Enzyme</t>
    </r>
  </si>
  <si>
    <t>Light Grey Melange 10%</t>
  </si>
  <si>
    <t>Top G.Mel, 80/20 CVC Cross Terry (Rec-Poly)</t>
  </si>
  <si>
    <t>Seven Zone</t>
  </si>
  <si>
    <t>80/20 CVC Cross Terry (Rec-Poly)</t>
  </si>
  <si>
    <t>Flat Drawstring</t>
  </si>
  <si>
    <t>47070 2nd</t>
  </si>
  <si>
    <t>41875 17th</t>
  </si>
  <si>
    <t>45320 7th</t>
  </si>
  <si>
    <t>41880 26th</t>
  </si>
  <si>
    <t>Turbulence</t>
  </si>
  <si>
    <t>29251 14th</t>
  </si>
  <si>
    <r>
      <t>15247223 -</t>
    </r>
    <r>
      <rPr>
        <b/>
        <sz val="10"/>
        <rFont val="Arial"/>
        <family val="2"/>
      </rPr>
      <t>No Enzyme</t>
    </r>
  </si>
  <si>
    <t>30530 5th</t>
  </si>
  <si>
    <t>45876 2nd</t>
  </si>
  <si>
    <t>Dusty Blue</t>
  </si>
  <si>
    <t>45327 2nd</t>
  </si>
  <si>
    <t>Skyway (B/Part Dye)</t>
  </si>
  <si>
    <t xml:space="preserve">PV L/Terry </t>
  </si>
  <si>
    <t>Sun Kissed Coral (B/Part Dye)</t>
  </si>
  <si>
    <r>
      <t>15187962 -</t>
    </r>
    <r>
      <rPr>
        <sz val="10"/>
        <color rgb="FFFF00FF"/>
        <rFont val="Arial"/>
        <family val="2"/>
      </rPr>
      <t>Live Love</t>
    </r>
    <r>
      <rPr>
        <sz val="10"/>
        <rFont val="Arial"/>
        <family val="2"/>
      </rPr>
      <t xml:space="preserve">- </t>
    </r>
    <r>
      <rPr>
        <b/>
        <sz val="10"/>
        <rFont val="Arial"/>
        <family val="2"/>
      </rPr>
      <t>No Enzyme</t>
    </r>
  </si>
  <si>
    <t>BAD3284</t>
  </si>
  <si>
    <t>Poly H/L/J (Rec-Poly)</t>
  </si>
  <si>
    <t>45963 14th</t>
  </si>
  <si>
    <t>BAD0962BU</t>
  </si>
  <si>
    <t>Chinese Red</t>
  </si>
  <si>
    <t>46873 3rd</t>
  </si>
  <si>
    <t>BAD3194B</t>
  </si>
  <si>
    <t>23325 18th</t>
  </si>
  <si>
    <t>BAD0960BG</t>
  </si>
  <si>
    <t>24241 17th</t>
  </si>
  <si>
    <t>BAD0981Z</t>
  </si>
  <si>
    <t>44596 7th</t>
  </si>
  <si>
    <t>BAD2946G</t>
  </si>
  <si>
    <t>41637 10th</t>
  </si>
  <si>
    <t>BAD1502P</t>
  </si>
  <si>
    <r>
      <t>BAD3299 -</t>
    </r>
    <r>
      <rPr>
        <b/>
        <sz val="10"/>
        <rFont val="Arial"/>
        <family val="2"/>
      </rPr>
      <t>Flat Knit Match</t>
    </r>
  </si>
  <si>
    <t>BAD3285</t>
  </si>
  <si>
    <t>Crimson+White+Crimson</t>
  </si>
  <si>
    <t>Cerulean+Purple Potion+Cerulean+Purple Potion</t>
  </si>
  <si>
    <t>BAD3286</t>
  </si>
  <si>
    <t>Placid Blue+Fondue Fudge+Placid Blue+Fondue Fudge+Placid Blue+Fondue Fudge+Placid Blue+Fondue Fudge</t>
  </si>
  <si>
    <t>271POL050TL50-6198</t>
  </si>
  <si>
    <t>Popcorn+Mock Orange+Popcorn+Mock Orange</t>
  </si>
  <si>
    <t>Spinach Green+Candy Pink</t>
  </si>
  <si>
    <t>Cloud Dancer (B/Part Dye)</t>
  </si>
  <si>
    <t>15387396 -Licence Order</t>
  </si>
  <si>
    <t>26828 80th</t>
  </si>
  <si>
    <t>43465 13th</t>
  </si>
  <si>
    <t>1022 2121 2116 2111 1690</t>
  </si>
  <si>
    <t>15372446 -Revised 24.08 (Composition Changed)</t>
  </si>
  <si>
    <r>
      <t>15392570 -</t>
    </r>
    <r>
      <rPr>
        <sz val="10"/>
        <color rgb="FFFF00FF"/>
        <rFont val="Arial"/>
        <family val="2"/>
      </rPr>
      <t>Live Love</t>
    </r>
    <r>
      <rPr>
        <sz val="10"/>
        <rFont val="Arial"/>
        <family val="2"/>
      </rPr>
      <t xml:space="preserve"> -</t>
    </r>
    <r>
      <rPr>
        <b/>
        <sz val="10"/>
        <rFont val="Arial"/>
        <family val="2"/>
      </rPr>
      <t>No Enzyme</t>
    </r>
  </si>
  <si>
    <r>
      <t>15393024 -</t>
    </r>
    <r>
      <rPr>
        <sz val="10"/>
        <color rgb="FFFF00FF"/>
        <rFont val="Arial"/>
        <family val="2"/>
      </rPr>
      <t>Live Love</t>
    </r>
    <r>
      <rPr>
        <sz val="10"/>
        <rFont val="Arial"/>
        <family val="2"/>
      </rPr>
      <t xml:space="preserve"> -</t>
    </r>
    <r>
      <rPr>
        <b/>
        <sz val="10"/>
        <rFont val="Arial"/>
        <family val="2"/>
      </rPr>
      <t>No Enzyme</t>
    </r>
  </si>
  <si>
    <t>Mermaid (B/Part Dye)</t>
  </si>
  <si>
    <r>
      <t>15397289 -</t>
    </r>
    <r>
      <rPr>
        <sz val="10"/>
        <color rgb="FFFF00FF"/>
        <rFont val="Arial"/>
        <family val="2"/>
      </rPr>
      <t xml:space="preserve">Live Love </t>
    </r>
    <r>
      <rPr>
        <sz val="10"/>
        <rFont val="Arial"/>
        <family val="2"/>
      </rPr>
      <t>-</t>
    </r>
    <r>
      <rPr>
        <b/>
        <sz val="10"/>
        <rFont val="Arial"/>
        <family val="2"/>
      </rPr>
      <t>No Enzyme</t>
    </r>
  </si>
  <si>
    <t>22-08-2026+24.08</t>
  </si>
  <si>
    <r>
      <t>15385910 -</t>
    </r>
    <r>
      <rPr>
        <b/>
        <sz val="10"/>
        <rFont val="Arial"/>
        <family val="2"/>
      </rPr>
      <t>Wrinkle Finish</t>
    </r>
  </si>
  <si>
    <t>Top Ctn, Poly Pleated Interlock</t>
  </si>
  <si>
    <t>Dark Gull Gray (B/Part Dye)</t>
  </si>
  <si>
    <t>44707 2nd</t>
  </si>
  <si>
    <t>45313 11th</t>
  </si>
  <si>
    <r>
      <t>15200077 -</t>
    </r>
    <r>
      <rPr>
        <b/>
        <sz val="10"/>
        <rFont val="Arial"/>
        <family val="2"/>
      </rPr>
      <t>No Enzyme</t>
    </r>
  </si>
  <si>
    <t>45315 6th</t>
  </si>
  <si>
    <r>
      <t>15206048/ 15388435 -</t>
    </r>
    <r>
      <rPr>
        <b/>
        <sz val="10"/>
        <rFont val="Arial"/>
        <family val="2"/>
      </rPr>
      <t>No Enzyme</t>
    </r>
  </si>
  <si>
    <t>45330 2nd</t>
  </si>
  <si>
    <t>15374392/ 15388414</t>
  </si>
  <si>
    <t>45328 2nd</t>
  </si>
  <si>
    <r>
      <t>15366541/ 15374386 -</t>
    </r>
    <r>
      <rPr>
        <b/>
        <sz val="10"/>
        <rFont val="Arial"/>
        <family val="2"/>
      </rPr>
      <t>No Enzyme</t>
    </r>
  </si>
  <si>
    <t>29254 16th</t>
  </si>
  <si>
    <r>
      <t>15247221 -</t>
    </r>
    <r>
      <rPr>
        <b/>
        <sz val="10"/>
        <rFont val="Arial"/>
        <family val="2"/>
      </rPr>
      <t>No Enzyme</t>
    </r>
  </si>
  <si>
    <t>41873 13th</t>
  </si>
  <si>
    <t>45335 2nd</t>
  </si>
  <si>
    <t>PV S/J (Rec-Poly)</t>
  </si>
  <si>
    <t>45336 2nd</t>
  </si>
  <si>
    <t>PV L/Terry (Rec-Poly)</t>
  </si>
  <si>
    <t>46106 2nd</t>
  </si>
  <si>
    <t>Pumice Stone (B/Part Dye)</t>
  </si>
  <si>
    <t>Top PV, Poly L/Interlock (Rec-Poly)</t>
  </si>
  <si>
    <t>1031 1025 1024 645</t>
  </si>
  <si>
    <t>6 Roll GSM Low</t>
  </si>
  <si>
    <t>20-08-2026+24.08</t>
  </si>
  <si>
    <t>45448 2nd</t>
  </si>
  <si>
    <t>45478 2nd</t>
  </si>
  <si>
    <t>45970 2nd</t>
  </si>
  <si>
    <t>46309 6th</t>
  </si>
  <si>
    <r>
      <t xml:space="preserve">15188034 - </t>
    </r>
    <r>
      <rPr>
        <sz val="10"/>
        <color rgb="FFFF00FF"/>
        <rFont val="Arial"/>
        <family val="2"/>
      </rPr>
      <t>Live Love</t>
    </r>
    <r>
      <rPr>
        <sz val="10"/>
        <rFont val="Arial"/>
        <family val="2"/>
      </rPr>
      <t xml:space="preserve"> - </t>
    </r>
    <r>
      <rPr>
        <b/>
        <sz val="10"/>
        <rFont val="Arial"/>
        <family val="2"/>
      </rPr>
      <t>No Enzyme</t>
    </r>
  </si>
  <si>
    <t>4 Mid Grey 5%</t>
  </si>
  <si>
    <t>45 Light Blue</t>
  </si>
  <si>
    <t>88 Light Yellow</t>
  </si>
  <si>
    <r>
      <t xml:space="preserve">NYC09 - </t>
    </r>
    <r>
      <rPr>
        <b/>
        <sz val="10"/>
        <rFont val="Arial"/>
        <family val="2"/>
      </rPr>
      <t>Contrast</t>
    </r>
  </si>
  <si>
    <t>Racing Red</t>
  </si>
  <si>
    <t>47936 6th</t>
  </si>
  <si>
    <t>Grey Melange 5%</t>
  </si>
  <si>
    <t>Light Yellow</t>
  </si>
  <si>
    <t>21-08-2026+25.08</t>
  </si>
  <si>
    <t>108146 107498</t>
  </si>
  <si>
    <t>04-07-2026+24.08</t>
  </si>
  <si>
    <t>108736 108731</t>
  </si>
  <si>
    <t>15-08-2026+24.08</t>
  </si>
  <si>
    <t>11-08-2026+25.08</t>
  </si>
  <si>
    <t>Oceana</t>
  </si>
  <si>
    <t>Oatmeal (B/Part Dye)</t>
  </si>
  <si>
    <t>Falcon (B/Part Dye)</t>
  </si>
  <si>
    <t>Rio Red (B/Part Dye)</t>
  </si>
  <si>
    <t>15399377-As Swatch -Revised 25.08 (Rib S/B 1x1 &amp; Qty Changed)</t>
  </si>
  <si>
    <r>
      <t>15370241 -</t>
    </r>
    <r>
      <rPr>
        <b/>
        <sz val="10"/>
        <rFont val="Arial"/>
        <family val="2"/>
      </rPr>
      <t>Contrast</t>
    </r>
    <r>
      <rPr>
        <sz val="10"/>
        <rFont val="Arial"/>
        <family val="2"/>
      </rPr>
      <t>- Revised 25.08 (Spandex out-Piping)</t>
    </r>
  </si>
  <si>
    <t>24-08-2026+25.08</t>
  </si>
  <si>
    <t>45314 6th</t>
  </si>
  <si>
    <t>22037659 -License Order- Revised 26.08 (Qty Increased)</t>
  </si>
  <si>
    <t>22037874 -License Order-Fabric Must Be Fluffy- Revised 26.08 (Qty Increased)</t>
  </si>
  <si>
    <t>15390922 -Revised 26.08 (Qty Increased)</t>
  </si>
  <si>
    <t>108954 108942</t>
  </si>
  <si>
    <t>15267224 -Revised 26.08 (Dia Changed+RFD Fab use from 42888 14th)</t>
  </si>
  <si>
    <t>46616 5th</t>
  </si>
  <si>
    <t>22039183 -Fabric Must be Fluffy</t>
  </si>
  <si>
    <t>Crown Blue (B/Part Dye)</t>
  </si>
  <si>
    <t>22042341 -Fabric Must be Fluffy</t>
  </si>
  <si>
    <t>24-08-2026+26.08</t>
  </si>
  <si>
    <t>24-08-2026+25.08+26.08</t>
  </si>
  <si>
    <t>BAD1633AE -Revised 27.08 (Ordering Mistake)</t>
  </si>
  <si>
    <t>9602962 -Revised 27.08 (Qty Increased)</t>
  </si>
  <si>
    <t>22039968 -Fabric Must Be Fluffy -Revised 27.08 (Qty Reduced)</t>
  </si>
  <si>
    <t>Zephyr (B/Part Dye)</t>
  </si>
  <si>
    <t>2596383/4706383 -Hairiness not allowed</t>
  </si>
  <si>
    <t>Bright White+Cashmere Blue</t>
  </si>
  <si>
    <t>01 Black</t>
  </si>
  <si>
    <t>43 Bright Blue</t>
  </si>
  <si>
    <t>48543 3rd</t>
  </si>
  <si>
    <t>48543 4th</t>
  </si>
  <si>
    <t>4 Grey Melange 5%</t>
  </si>
  <si>
    <t>70 Light Pink</t>
  </si>
  <si>
    <t>41712 16th</t>
  </si>
  <si>
    <t>BAD2323mamaAB</t>
  </si>
  <si>
    <t>41711 5th</t>
  </si>
  <si>
    <t>BAD1529mamaAJ</t>
  </si>
  <si>
    <r>
      <t>BAD3287 -</t>
    </r>
    <r>
      <rPr>
        <b/>
        <sz val="10"/>
        <rFont val="Arial"/>
        <family val="2"/>
      </rPr>
      <t>Contrast</t>
    </r>
  </si>
  <si>
    <t>Egret+Black</t>
  </si>
  <si>
    <t>45798 3rd</t>
  </si>
  <si>
    <t>BAD3016B</t>
  </si>
  <si>
    <t>Navy Blazer+Egret</t>
  </si>
  <si>
    <t>Tofu+Coffee Bean</t>
  </si>
  <si>
    <t>43071 2nd</t>
  </si>
  <si>
    <t>BAD1299mamaH</t>
  </si>
  <si>
    <t>Blue+White</t>
  </si>
  <si>
    <t>271TSH015TS15F-6198</t>
  </si>
  <si>
    <t>Chestnut Aop</t>
  </si>
  <si>
    <t>Pageant Blue Aop</t>
  </si>
  <si>
    <t>Pristine Aop</t>
  </si>
  <si>
    <t>271TSH015TS15P-6198</t>
  </si>
  <si>
    <t>New Maroon Aop</t>
  </si>
  <si>
    <t>22-08-2026+27.08</t>
  </si>
  <si>
    <t>25-08-2026+27.08</t>
  </si>
  <si>
    <t>108921 108896</t>
  </si>
  <si>
    <t>25-08-2026+26.08</t>
  </si>
  <si>
    <t>108911 108920</t>
  </si>
  <si>
    <t>701 650</t>
  </si>
  <si>
    <t>2085-Silver Lining-25.08, 2094-Lily Pad-27.08</t>
  </si>
  <si>
    <t>26-08-2026+28.08</t>
  </si>
  <si>
    <t>271PJA026PYJ12-6111 -Top+Bottom Set- Revised 28.08 (Qty Increased)</t>
  </si>
  <si>
    <t>Mesh Fabric</t>
  </si>
  <si>
    <t>109019 108999</t>
  </si>
  <si>
    <t>High Rise</t>
  </si>
  <si>
    <t>25-08-2026+28.08</t>
  </si>
  <si>
    <t>710 707</t>
  </si>
  <si>
    <t>25-08-2026+29.08</t>
  </si>
  <si>
    <t>68879 -Revised 29.08 (Dia Changed)</t>
  </si>
  <si>
    <t>68907 -Revised 27.08 (Color Changed)</t>
  </si>
  <si>
    <t>Deep Lichen Green</t>
  </si>
  <si>
    <t>68910 -Revised 29.08 (Color Changed+Combo Reduced)</t>
  </si>
  <si>
    <t>2590899 -Hairiness not allow at all+Slub line S/B straight</t>
  </si>
  <si>
    <t>47783 2nd</t>
  </si>
  <si>
    <r>
      <t>68911 -</t>
    </r>
    <r>
      <rPr>
        <b/>
        <sz val="10"/>
        <rFont val="Arial"/>
        <family val="2"/>
      </rPr>
      <t>Contrast</t>
    </r>
  </si>
  <si>
    <t>109049 108066</t>
  </si>
  <si>
    <t>27-07-2026+28.08</t>
  </si>
  <si>
    <t>22-08-2026+28.08</t>
  </si>
  <si>
    <t>108827 108891</t>
  </si>
  <si>
    <t>108935 108956</t>
  </si>
  <si>
    <t>27-08-2026+28.08</t>
  </si>
  <si>
    <t>109041 108937</t>
  </si>
  <si>
    <t>U-02+JB Tex</t>
  </si>
  <si>
    <t>13-2801Tcx+19-3920Tcx+13-2801Tcx+19-3920Tcx+13-2801Tcx+19-3920Tcx+11-0604Tcx+19-3920Tcx+11-0604TCx+19-3920Tcx</t>
  </si>
  <si>
    <t>19-1419Tcx+13-2801Tcx+19-1419Tcx+13-2801Tcx+White+13-2801Tcx+White+13-2801Tcx+White+13-2801Tcx</t>
  </si>
  <si>
    <t>19-3920Tcx+14-3949Tcx+19-3920Tcx+14-3949Tcx+19-3920Tcx+14-3949Tcx+11-0604Tcx+14-3949Tcx+11-0604Tcx+14-3949Tcx</t>
  </si>
  <si>
    <t>RW915-2586</t>
  </si>
  <si>
    <t>10 White Aop</t>
  </si>
  <si>
    <t>CNOFJTKL38006</t>
  </si>
  <si>
    <t>41 Dark Navy Aop (Discharge Dye)</t>
  </si>
  <si>
    <t>714 1042 1028</t>
  </si>
  <si>
    <t>715 701</t>
  </si>
  <si>
    <t>721 719</t>
  </si>
  <si>
    <t>15-08-2026+29.08</t>
  </si>
  <si>
    <t>28-07-2026+29.08</t>
  </si>
  <si>
    <t>29-07-2026+29.08</t>
  </si>
  <si>
    <t>29-07-2026+30.08</t>
  </si>
  <si>
    <t>30-07-2026+30.08</t>
  </si>
  <si>
    <t>28-08-2026+30.08</t>
  </si>
  <si>
    <r>
      <t>9657695 -Follow 47936 2nd -</t>
    </r>
    <r>
      <rPr>
        <b/>
        <sz val="10"/>
        <rFont val="Arial"/>
        <family val="2"/>
      </rPr>
      <t>Contrast</t>
    </r>
    <r>
      <rPr>
        <sz val="10"/>
        <rFont val="Arial"/>
        <family val="2"/>
      </rPr>
      <t xml:space="preserve"> -Revised 31.08 (Qty Increased)</t>
    </r>
  </si>
  <si>
    <t>Super Pink</t>
  </si>
  <si>
    <r>
      <t xml:space="preserve">15257467 -Revised 31.08 (Aop Color Confirmation &amp; Neck Tape  changed)- </t>
    </r>
    <r>
      <rPr>
        <b/>
        <sz val="10"/>
        <rFont val="Arial"/>
        <family val="2"/>
      </rPr>
      <t>Match with AOP</t>
    </r>
    <r>
      <rPr>
        <sz val="10"/>
        <rFont val="Arial"/>
        <family val="2"/>
      </rPr>
      <t xml:space="preserve"> (Super Pink)</t>
    </r>
  </si>
  <si>
    <t>15397296 -Revised 31.08 (Dia Changed)</t>
  </si>
  <si>
    <t>15396740 -Revised 31.08 (Cad Mistake)</t>
  </si>
  <si>
    <t>15396715 -Revised 31.08 (Cloud Dancer Body Stock Use)</t>
  </si>
  <si>
    <t>From 46588</t>
  </si>
  <si>
    <t>Fairy Tale</t>
  </si>
  <si>
    <t>Veiled Pink</t>
  </si>
  <si>
    <t>45576 5th</t>
  </si>
  <si>
    <t>Pale Aqua Aop (Discharge Dye)</t>
  </si>
  <si>
    <t>Chambray Blue Aop</t>
  </si>
  <si>
    <t>Pink Drink Aop</t>
  </si>
  <si>
    <t>Aqua</t>
  </si>
  <si>
    <t>Pastel Turquoise</t>
  </si>
  <si>
    <t>43306 19th</t>
  </si>
  <si>
    <t>BAD1368AL</t>
  </si>
  <si>
    <t>Cotton Candy (B/Part Dye) (Fluoroscent)</t>
  </si>
  <si>
    <t>Fiery Coral (B/Part Dye)  (Fluoroscent)</t>
  </si>
  <si>
    <t>109065 108441 107422</t>
  </si>
  <si>
    <t>02-07-2026+12.08+29.08</t>
  </si>
  <si>
    <t>109031 108759 108758</t>
  </si>
  <si>
    <t>20-08-2026+21.08+29.08</t>
  </si>
  <si>
    <t>109020 109017</t>
  </si>
  <si>
    <t>Body Stock Use</t>
  </si>
  <si>
    <t>From 24508 92th</t>
  </si>
  <si>
    <t>109070 108827</t>
  </si>
  <si>
    <t>30-08-2026+31.08</t>
  </si>
  <si>
    <r>
      <t>271HTS001SET-244 -</t>
    </r>
    <r>
      <rPr>
        <b/>
        <sz val="10"/>
        <rFont val="Arial"/>
        <family val="2"/>
      </rPr>
      <t>Additional</t>
    </r>
    <r>
      <rPr>
        <sz val="10"/>
        <rFont val="Arial"/>
        <family val="2"/>
      </rPr>
      <t>-2nd Revised 31.08 (Ordering Mistake)</t>
    </r>
  </si>
  <si>
    <r>
      <t>271HTS501SET-5192-</t>
    </r>
    <r>
      <rPr>
        <b/>
        <sz val="10"/>
        <rFont val="Arial"/>
        <family val="2"/>
      </rPr>
      <t>Additional</t>
    </r>
    <r>
      <rPr>
        <sz val="10"/>
        <rFont val="Arial"/>
        <family val="2"/>
      </rPr>
      <t>- 2nd Revised (Ordering mistake)</t>
    </r>
  </si>
  <si>
    <t>724 715</t>
  </si>
  <si>
    <t>726 1941</t>
  </si>
  <si>
    <t>729 1034</t>
  </si>
  <si>
    <t>CNOFJTSS38016 -2nd Revised 01.09 (Qty Increased)</t>
  </si>
  <si>
    <t>9148519 -Revised 01.09 (Qty Increased)</t>
  </si>
  <si>
    <t>Twill Fabric (Butter Cream)</t>
  </si>
  <si>
    <t>KG</t>
  </si>
  <si>
    <r>
      <t>271SWT568-6142 -</t>
    </r>
    <r>
      <rPr>
        <b/>
        <sz val="10"/>
        <rFont val="Arial"/>
        <family val="2"/>
      </rPr>
      <t>Additional</t>
    </r>
    <r>
      <rPr>
        <sz val="10"/>
        <rFont val="Arial"/>
        <family val="2"/>
      </rPr>
      <t xml:space="preserve"> -Revised 01.09 (Ordering Mistake)</t>
    </r>
  </si>
  <si>
    <t>French Vanilla Aop</t>
  </si>
  <si>
    <t>Sagebrush Green</t>
  </si>
  <si>
    <t>Strong Blue</t>
  </si>
  <si>
    <t>109099 108587</t>
  </si>
  <si>
    <t>12-08-2026+31.08</t>
  </si>
  <si>
    <t>31-08-2026+01.09</t>
  </si>
  <si>
    <t>22-08-2026+01.09</t>
  </si>
  <si>
    <r>
      <t>271SWT008-223 -</t>
    </r>
    <r>
      <rPr>
        <b/>
        <sz val="10"/>
        <rFont val="Arial"/>
        <family val="2"/>
      </rPr>
      <t>Contrast</t>
    </r>
    <r>
      <rPr>
        <sz val="10"/>
        <rFont val="Arial"/>
        <family val="2"/>
      </rPr>
      <t xml:space="preserve"> -2nd Revised 01.09 (Brush Removed)</t>
    </r>
  </si>
  <si>
    <t>271SWT011-223 -2nd Revised 01.09 (Qty Increased)</t>
  </si>
  <si>
    <r>
      <t>271SWT010-223 -</t>
    </r>
    <r>
      <rPr>
        <b/>
        <sz val="10"/>
        <rFont val="Arial"/>
        <family val="2"/>
      </rPr>
      <t>Contrast</t>
    </r>
    <r>
      <rPr>
        <sz val="10"/>
        <rFont val="Arial"/>
        <family val="2"/>
      </rPr>
      <t xml:space="preserve"> -Revised 01.09 (Qty Changed)</t>
    </r>
  </si>
  <si>
    <r>
      <t>271TSH011-223 -</t>
    </r>
    <r>
      <rPr>
        <b/>
        <sz val="10"/>
        <rFont val="Arial"/>
        <family val="2"/>
      </rPr>
      <t>Y/D Matching</t>
    </r>
    <r>
      <rPr>
        <sz val="10"/>
        <rFont val="Arial"/>
        <family val="2"/>
      </rPr>
      <t>-2nd Revised 01.09 (Qty Reduced)</t>
    </r>
  </si>
  <si>
    <r>
      <t>271SWT009-223 -</t>
    </r>
    <r>
      <rPr>
        <b/>
        <sz val="10"/>
        <rFont val="Arial"/>
        <family val="2"/>
      </rPr>
      <t>Additional</t>
    </r>
    <r>
      <rPr>
        <sz val="10"/>
        <rFont val="Arial"/>
        <family val="2"/>
      </rPr>
      <t>-</t>
    </r>
    <r>
      <rPr>
        <b/>
        <sz val="10"/>
        <rFont val="Arial"/>
        <family val="2"/>
      </rPr>
      <t>Contrast</t>
    </r>
    <r>
      <rPr>
        <sz val="10"/>
        <rFont val="Arial"/>
        <family val="2"/>
      </rPr>
      <t>-2nd Revised 01.09 (Qty Changed)</t>
    </r>
  </si>
  <si>
    <r>
      <t>271TRO021PF-223 -</t>
    </r>
    <r>
      <rPr>
        <b/>
        <sz val="10"/>
        <rFont val="Arial"/>
        <family val="2"/>
      </rPr>
      <t>Additional</t>
    </r>
    <r>
      <rPr>
        <sz val="10"/>
        <rFont val="Arial"/>
        <family val="2"/>
      </rPr>
      <t xml:space="preserve">- </t>
    </r>
    <r>
      <rPr>
        <b/>
        <sz val="10"/>
        <rFont val="Arial"/>
        <family val="2"/>
      </rPr>
      <t>Contrast</t>
    </r>
    <r>
      <rPr>
        <sz val="10"/>
        <rFont val="Arial"/>
        <family val="2"/>
      </rPr>
      <t>- Revised 01.09 (Qty Changed)</t>
    </r>
  </si>
  <si>
    <r>
      <t>15396488 -</t>
    </r>
    <r>
      <rPr>
        <sz val="10"/>
        <color rgb="FFFF00FF"/>
        <rFont val="Arial"/>
        <family val="2"/>
      </rPr>
      <t>Live Love</t>
    </r>
    <r>
      <rPr>
        <sz val="10"/>
        <rFont val="Arial"/>
        <family val="2"/>
      </rPr>
      <t xml:space="preserve">- </t>
    </r>
    <r>
      <rPr>
        <b/>
        <sz val="10"/>
        <rFont val="Arial"/>
        <family val="2"/>
      </rPr>
      <t>No Enzyme</t>
    </r>
  </si>
  <si>
    <r>
      <t>15392911 -</t>
    </r>
    <r>
      <rPr>
        <b/>
        <sz val="10"/>
        <rFont val="Arial"/>
        <family val="2"/>
      </rPr>
      <t>Lace Matching</t>
    </r>
  </si>
  <si>
    <t>Top Ctn, CVC Terry (Rec-Poly)</t>
  </si>
  <si>
    <r>
      <t>15338080 -</t>
    </r>
    <r>
      <rPr>
        <b/>
        <sz val="10"/>
        <rFont val="Arial"/>
        <family val="2"/>
      </rPr>
      <t>No Enzyme+Lace Matching</t>
    </r>
  </si>
  <si>
    <t>Cayenne (B/Part Dye)</t>
  </si>
  <si>
    <t>47818 5th</t>
  </si>
  <si>
    <t>Design Heavy/J</t>
  </si>
  <si>
    <t>Capers</t>
  </si>
  <si>
    <r>
      <t>15388800 -</t>
    </r>
    <r>
      <rPr>
        <b/>
        <sz val="10"/>
        <rFont val="Arial"/>
        <family val="2"/>
      </rPr>
      <t>Contrast</t>
    </r>
    <r>
      <rPr>
        <sz val="10"/>
        <rFont val="Arial"/>
        <family val="2"/>
      </rPr>
      <t xml:space="preserve"> -Revised 01.09 (Contrast color changed)</t>
    </r>
  </si>
  <si>
    <t>Forget Me Not Aop</t>
  </si>
  <si>
    <t>Dawn Pink Aop (Discharge Dye)</t>
  </si>
  <si>
    <t>109078 109082 109085</t>
  </si>
  <si>
    <t>30-08-2026+31.08+01.09</t>
  </si>
  <si>
    <t>31-08-2026+02.09</t>
  </si>
  <si>
    <r>
      <t xml:space="preserve">22041282 - </t>
    </r>
    <r>
      <rPr>
        <b/>
        <sz val="10"/>
        <rFont val="Arial"/>
        <family val="2"/>
      </rPr>
      <t>Contrast-</t>
    </r>
    <r>
      <rPr>
        <sz val="10"/>
        <rFont val="Arial"/>
        <family val="2"/>
      </rPr>
      <t>280 GSM Rib without Heatset+Rib recovery S/B 85%+</t>
    </r>
  </si>
  <si>
    <t>736 734</t>
  </si>
  <si>
    <t>738 647</t>
  </si>
  <si>
    <t>740 736</t>
  </si>
  <si>
    <t>01-09-2026+03.09</t>
  </si>
  <si>
    <t>27-08-2026+03.09</t>
  </si>
  <si>
    <t>CNOFJTSS37412 V2 -2nd Revised 03.09 (Qty Increased)</t>
  </si>
  <si>
    <t>Dark Navy Aop (Discharge Dye)</t>
  </si>
  <si>
    <t>9693020 -Revised 03.09 (Aop Combo Reduced+dot changed)</t>
  </si>
  <si>
    <t>9686544 -As Swatch -2nd Revised 03.09 (Mid Grey Composition changed, need re-make))</t>
  </si>
  <si>
    <t>73"</t>
  </si>
  <si>
    <t>9686536 -As Per Artwork -2nd Revised 03.09 (Qty Reduced)</t>
  </si>
  <si>
    <t>48301 3rd</t>
  </si>
  <si>
    <r>
      <t>9672271 -</t>
    </r>
    <r>
      <rPr>
        <b/>
        <sz val="10"/>
        <rFont val="Arial"/>
        <family val="2"/>
      </rPr>
      <t>Contrast</t>
    </r>
  </si>
  <si>
    <t>Pear Sorbet</t>
  </si>
  <si>
    <t>Halogen Blue</t>
  </si>
  <si>
    <r>
      <t>BAD2728D -</t>
    </r>
    <r>
      <rPr>
        <b/>
        <sz val="10"/>
        <rFont val="Arial"/>
        <family val="2"/>
      </rPr>
      <t>Y/D Matching</t>
    </r>
  </si>
  <si>
    <t>13-08-2026+19.08+02.09</t>
  </si>
  <si>
    <t>109162 108797 108666</t>
  </si>
  <si>
    <t>28-07-2026+03.09</t>
  </si>
  <si>
    <t>271TROFTB114-6172 -Revised 03.09 (Qty Increased)</t>
  </si>
  <si>
    <t>27204 67th</t>
  </si>
  <si>
    <t>Poly Tulle Mesh</t>
  </si>
  <si>
    <t>44847 3rd</t>
  </si>
  <si>
    <r>
      <t>Not Mentioned</t>
    </r>
    <r>
      <rPr>
        <sz val="10"/>
        <color rgb="FFFF0066"/>
        <rFont val="Arial"/>
        <family val="2"/>
      </rPr>
      <t xml:space="preserve"> </t>
    </r>
    <r>
      <rPr>
        <sz val="10"/>
        <rFont val="Arial"/>
        <family val="2"/>
      </rPr>
      <t>-3rd</t>
    </r>
    <r>
      <rPr>
        <sz val="10"/>
        <color rgb="FFFF0000"/>
        <rFont val="Arial"/>
        <family val="2"/>
      </rPr>
      <t xml:space="preserve"> </t>
    </r>
    <r>
      <rPr>
        <sz val="10"/>
        <rFont val="Arial"/>
        <family val="2"/>
      </rPr>
      <t>Revised 03.09 (Color Changed)</t>
    </r>
    <r>
      <rPr>
        <sz val="10"/>
        <color rgb="FFFF0000"/>
        <rFont val="Arial"/>
        <family val="2"/>
      </rPr>
      <t xml:space="preserve"> </t>
    </r>
  </si>
  <si>
    <t>Antarctica Aop</t>
  </si>
  <si>
    <t>744 742 741</t>
  </si>
  <si>
    <t>2085-Silver Lining-25.08, 2094-Lily Pad-27.08, 651-Black-03.09</t>
  </si>
  <si>
    <t>2096-Parfait Pink-28.08, 652-Anise Flower-03.09</t>
  </si>
  <si>
    <t>15396541 -2nd Revised 04.09 (Rib Changed)</t>
  </si>
  <si>
    <t>46748 16th</t>
  </si>
  <si>
    <r>
      <t>13246830 -</t>
    </r>
    <r>
      <rPr>
        <b/>
        <sz val="10"/>
        <rFont val="Arial"/>
        <family val="2"/>
      </rPr>
      <t>Contrast woven</t>
    </r>
  </si>
  <si>
    <t>Herringbone Tape with Print (Cloud Dancer)</t>
  </si>
  <si>
    <t>14-2710 TCX Aop</t>
  </si>
  <si>
    <t>109183 109140</t>
  </si>
  <si>
    <t>28-08-2026+03.09</t>
  </si>
  <si>
    <t>109132 109126</t>
  </si>
  <si>
    <r>
      <t>271SWT029-226 -</t>
    </r>
    <r>
      <rPr>
        <b/>
        <sz val="10"/>
        <rFont val="Arial"/>
        <family val="2"/>
      </rPr>
      <t>Additional</t>
    </r>
    <r>
      <rPr>
        <sz val="10"/>
        <rFont val="Arial"/>
        <family val="2"/>
      </rPr>
      <t xml:space="preserve"> -Revised 04.09 (Ordering mistake)</t>
    </r>
  </si>
  <si>
    <t>749 712</t>
  </si>
  <si>
    <t>02-09-2026+05.09</t>
  </si>
  <si>
    <r>
      <t>15062199/15357378 -</t>
    </r>
    <r>
      <rPr>
        <b/>
        <sz val="10"/>
        <rFont val="Arial"/>
        <family val="2"/>
      </rPr>
      <t xml:space="preserve">No Enzyme </t>
    </r>
    <r>
      <rPr>
        <sz val="10"/>
        <rFont val="Arial"/>
        <family val="2"/>
      </rPr>
      <t>-Revised 05.09 (Qty Increased)</t>
    </r>
  </si>
  <si>
    <t>13229240 Revised 05.09 (Discharge Dye added)</t>
  </si>
  <si>
    <t>13269015 - Revised 05.09 (Discharge Dye added)</t>
  </si>
  <si>
    <t>13267896 -Revised 05.09 (Discharge Dye added)</t>
  </si>
  <si>
    <t>13229241 -Revised 05.09 (Discharge Dye added)</t>
  </si>
  <si>
    <t>271DRS169-6140 -Revised 05.09 (Qty Increased)</t>
  </si>
  <si>
    <t>22041367 -License Order</t>
  </si>
  <si>
    <t>26827 58th</t>
  </si>
  <si>
    <t>26828 81th</t>
  </si>
  <si>
    <t>26828 82th</t>
  </si>
  <si>
    <t>Top G.Mel, CVC Fleece (Rec-Poly)</t>
  </si>
  <si>
    <t>45964 15th</t>
  </si>
  <si>
    <t>22039968 -Fabric Must be Fluffy</t>
  </si>
  <si>
    <t>45964 16th</t>
  </si>
  <si>
    <r>
      <t>13267674 -A</t>
    </r>
    <r>
      <rPr>
        <b/>
        <sz val="10"/>
        <rFont val="Arial"/>
        <family val="2"/>
      </rPr>
      <t>dditional</t>
    </r>
    <r>
      <rPr>
        <sz val="10"/>
        <rFont val="Arial"/>
        <family val="2"/>
      </rPr>
      <t>- Revised 05.09 (Drawstring Ordering Mistake)</t>
    </r>
  </si>
  <si>
    <t>Round Drawstring (Summer Sand)</t>
  </si>
  <si>
    <r>
      <t>271TSH091-227 -</t>
    </r>
    <r>
      <rPr>
        <b/>
        <sz val="10"/>
        <rFont val="Arial"/>
        <family val="2"/>
      </rPr>
      <t>Additional</t>
    </r>
    <r>
      <rPr>
        <sz val="10"/>
        <rFont val="Arial"/>
        <family val="2"/>
      </rPr>
      <t>-</t>
    </r>
    <r>
      <rPr>
        <b/>
        <sz val="10"/>
        <rFont val="Arial"/>
        <family val="2"/>
      </rPr>
      <t>Contrast</t>
    </r>
    <r>
      <rPr>
        <sz val="10"/>
        <rFont val="Arial"/>
        <family val="2"/>
      </rPr>
      <t xml:space="preserve"> -2nd Revised 05.09 (Contrast Color added+Qty Increased)</t>
    </r>
  </si>
  <si>
    <t>03-09-2026+05.09</t>
  </si>
  <si>
    <t>BAD2784I -Revised 05.09 (Combo Increased)</t>
  </si>
  <si>
    <t>15342184 -Revised 05.09 (Dia Changed)</t>
  </si>
  <si>
    <t>48189 2nd</t>
  </si>
  <si>
    <t>Tube String with Lurex</t>
  </si>
  <si>
    <t>46322 2nd</t>
  </si>
  <si>
    <t>46236 2nd</t>
  </si>
  <si>
    <r>
      <t>2592600-</t>
    </r>
    <r>
      <rPr>
        <b/>
        <sz val="10"/>
        <rFont val="Arial"/>
        <family val="2"/>
      </rPr>
      <t>Core</t>
    </r>
    <r>
      <rPr>
        <sz val="10"/>
        <rFont val="Arial"/>
        <family val="2"/>
      </rPr>
      <t>-</t>
    </r>
    <r>
      <rPr>
        <sz val="10"/>
        <color rgb="FFFF00FF"/>
        <rFont val="Arial"/>
        <family val="2"/>
      </rPr>
      <t>Pigment Dye</t>
    </r>
    <r>
      <rPr>
        <sz val="10"/>
        <rFont val="Arial"/>
        <family val="2"/>
      </rPr>
      <t>-Hairiness not allowed</t>
    </r>
  </si>
  <si>
    <t>RFD (Fusion Coral)</t>
  </si>
  <si>
    <r>
      <t>2592600-</t>
    </r>
    <r>
      <rPr>
        <b/>
        <sz val="10"/>
        <rFont val="Arial"/>
        <family val="2"/>
      </rPr>
      <t>Plus</t>
    </r>
    <r>
      <rPr>
        <sz val="10"/>
        <rFont val="Arial"/>
        <family val="2"/>
      </rPr>
      <t>-</t>
    </r>
    <r>
      <rPr>
        <sz val="10"/>
        <color rgb="FFFF00FF"/>
        <rFont val="Arial"/>
        <family val="2"/>
      </rPr>
      <t>Pigment Dye</t>
    </r>
    <r>
      <rPr>
        <sz val="10"/>
        <rFont val="Arial"/>
        <family val="2"/>
      </rPr>
      <t>-Hairiness not allowed</t>
    </r>
  </si>
  <si>
    <t>2523162- Hairiness not allowed</t>
  </si>
  <si>
    <t>Moonscape</t>
  </si>
  <si>
    <t>2523162 -Hairiness not allowed</t>
  </si>
  <si>
    <t>754 736</t>
  </si>
  <si>
    <t>756 754</t>
  </si>
  <si>
    <t>959 958</t>
  </si>
  <si>
    <t>656-Dk.Sapphire-05.09</t>
  </si>
  <si>
    <t>01-09-2026+07.09</t>
  </si>
  <si>
    <t>01-09-2026+05.09</t>
  </si>
  <si>
    <t>29-08-2026+05.09</t>
  </si>
  <si>
    <t>05-09-2026+07.09</t>
  </si>
  <si>
    <t>21-08-2026+07.09</t>
  </si>
  <si>
    <t>13251505 -Revised 07.09 (Color Changed)</t>
  </si>
  <si>
    <t>October'26</t>
  </si>
  <si>
    <t>30588 21th</t>
  </si>
  <si>
    <t>Urban Red</t>
  </si>
  <si>
    <t>Clear Water</t>
  </si>
  <si>
    <t>759 758</t>
  </si>
  <si>
    <t>962 961</t>
  </si>
  <si>
    <t>963 956</t>
  </si>
  <si>
    <t>651-Lily Pad-03.09, 657-Black-07.09</t>
  </si>
  <si>
    <t>Delivery Cancelled for Pilling not ok</t>
  </si>
  <si>
    <t>22042630 -Revised 08.09 (Qty Increased)</t>
  </si>
  <si>
    <t>15244714 -Only Rib need to dyeing -Revised 08.09 (T&amp;A Changed)</t>
  </si>
  <si>
    <t>05-09-2026+07.09+08.09</t>
  </si>
  <si>
    <t>07-09-2026+08.09</t>
  </si>
  <si>
    <r>
      <t>22028147 -</t>
    </r>
    <r>
      <rPr>
        <b/>
        <sz val="10"/>
        <rFont val="Arial"/>
        <family val="2"/>
      </rPr>
      <t>Additional</t>
    </r>
    <r>
      <rPr>
        <sz val="10"/>
        <rFont val="Arial"/>
        <family val="2"/>
      </rPr>
      <t>- Revised 08.09 (Ordering Mistake)</t>
    </r>
  </si>
  <si>
    <t>44077 10th</t>
  </si>
  <si>
    <t>22012786 -Silicon Softener Wash -Revised 08.09 (Dia Changed)</t>
  </si>
  <si>
    <t>Dark Forest</t>
  </si>
  <si>
    <t>Dusty Pink</t>
  </si>
  <si>
    <t>Lilac Hint</t>
  </si>
  <si>
    <t>Patina Green</t>
  </si>
  <si>
    <t>44078 5th</t>
  </si>
  <si>
    <t>Eventide</t>
  </si>
  <si>
    <t>Nirvana</t>
  </si>
  <si>
    <t>41880 27th</t>
  </si>
  <si>
    <r>
      <t>15062199 -</t>
    </r>
    <r>
      <rPr>
        <b/>
        <sz val="10"/>
        <rFont val="Arial"/>
        <family val="2"/>
      </rPr>
      <t>No Enzyme</t>
    </r>
  </si>
  <si>
    <t>44714 12th</t>
  </si>
  <si>
    <t>44711 13th</t>
  </si>
  <si>
    <t>Light Grey Marl 1%</t>
  </si>
  <si>
    <t>Demitasse (B/Part Dye)</t>
  </si>
  <si>
    <t>Pine Grove (B/Part Dye)</t>
  </si>
  <si>
    <t>Twill Fabric (Cloud Dancer)</t>
  </si>
  <si>
    <t>02-09-2026+05.09+06.09+08.09</t>
  </si>
  <si>
    <r>
      <t>22042689 -</t>
    </r>
    <r>
      <rPr>
        <b/>
        <sz val="10"/>
        <rFont val="Arial"/>
        <family val="2"/>
      </rPr>
      <t>Contrast Twill</t>
    </r>
  </si>
  <si>
    <t>9665076 -As Swatch -2nd Revised 08.09 (Dia+Qty Changed)</t>
  </si>
  <si>
    <t>9686536 -2nd Revised 08.09 (Qty Increased)</t>
  </si>
  <si>
    <t>48299 3rd</t>
  </si>
  <si>
    <t>48615 2nd</t>
  </si>
  <si>
    <t>15390900 -Follow 45401 2nd</t>
  </si>
  <si>
    <t>01-09-2026+08.09</t>
  </si>
  <si>
    <t>7 Roll shade not ok</t>
  </si>
  <si>
    <t>767 764 760</t>
  </si>
  <si>
    <t>851 1953</t>
  </si>
  <si>
    <t>852 962 600 1999</t>
  </si>
  <si>
    <t>853 960</t>
  </si>
  <si>
    <t>853 599 593</t>
  </si>
  <si>
    <r>
      <t>15390875 -</t>
    </r>
    <r>
      <rPr>
        <b/>
        <sz val="10"/>
        <color rgb="FFFF00FF"/>
        <rFont val="Arial"/>
        <family val="2"/>
      </rPr>
      <t>Imported Fabric</t>
    </r>
  </si>
  <si>
    <t>Dusted Peri</t>
  </si>
  <si>
    <t>02-09-2026+09.09</t>
  </si>
  <si>
    <t>01-09-2026+09.09</t>
  </si>
  <si>
    <t>22-08-2026+24.08+25.08+09.09</t>
  </si>
  <si>
    <t>05-09-2026+09.09</t>
  </si>
  <si>
    <t>27-08-2026+09.09</t>
  </si>
  <si>
    <t>109256 109257</t>
  </si>
  <si>
    <t>RFD (Sweet Dreams)</t>
  </si>
  <si>
    <t>Top Ctn, 80/20 CVC Terry</t>
  </si>
  <si>
    <t>47709 3rd</t>
  </si>
  <si>
    <t>47705 2nd</t>
  </si>
  <si>
    <t>30708 18th</t>
  </si>
  <si>
    <r>
      <t xml:space="preserve">15201465- </t>
    </r>
    <r>
      <rPr>
        <sz val="10"/>
        <color rgb="FFFF00FF"/>
        <rFont val="Arial"/>
        <family val="2"/>
      </rPr>
      <t>Live Love</t>
    </r>
    <r>
      <rPr>
        <sz val="10"/>
        <rFont val="Arial"/>
        <family val="2"/>
      </rPr>
      <t xml:space="preserve">- </t>
    </r>
    <r>
      <rPr>
        <b/>
        <sz val="10"/>
        <rFont val="Arial"/>
        <family val="2"/>
      </rPr>
      <t>No Enzyme</t>
    </r>
  </si>
  <si>
    <t>47488 2nd</t>
  </si>
  <si>
    <t>48833 1st</t>
  </si>
  <si>
    <t>RFD (Bel Air Blue)</t>
  </si>
  <si>
    <t>30711 9th</t>
  </si>
  <si>
    <r>
      <t>15368187 -</t>
    </r>
    <r>
      <rPr>
        <b/>
        <sz val="10"/>
        <rFont val="Arial"/>
        <family val="2"/>
      </rPr>
      <t>Additional</t>
    </r>
    <r>
      <rPr>
        <sz val="10"/>
        <rFont val="Arial"/>
        <family val="2"/>
      </rPr>
      <t>- Re-order for fabric wasted by mis-printing-09.09</t>
    </r>
  </si>
  <si>
    <r>
      <t>2595860 -</t>
    </r>
    <r>
      <rPr>
        <b/>
        <sz val="10"/>
        <rFont val="Arial"/>
        <family val="2"/>
      </rPr>
      <t>Core</t>
    </r>
    <r>
      <rPr>
        <sz val="10"/>
        <rFont val="Arial"/>
        <family val="2"/>
      </rPr>
      <t>-GSM need 230 after wash+brush S/B Shearing</t>
    </r>
  </si>
  <si>
    <r>
      <t>2595860 -</t>
    </r>
    <r>
      <rPr>
        <b/>
        <sz val="10"/>
        <rFont val="Arial"/>
        <family val="2"/>
      </rPr>
      <t>Plus</t>
    </r>
    <r>
      <rPr>
        <sz val="10"/>
        <rFont val="Arial"/>
        <family val="2"/>
      </rPr>
      <t>-GSM need 230 after wash+brush S/B Shearing</t>
    </r>
  </si>
  <si>
    <r>
      <t>2592600-</t>
    </r>
    <r>
      <rPr>
        <b/>
        <sz val="10"/>
        <rFont val="Arial"/>
        <family val="2"/>
      </rPr>
      <t>Core</t>
    </r>
    <r>
      <rPr>
        <sz val="10"/>
        <rFont val="Arial"/>
        <family val="2"/>
      </rPr>
      <t xml:space="preserve">- </t>
    </r>
    <r>
      <rPr>
        <sz val="10"/>
        <color rgb="FFFF00FF"/>
        <rFont val="Arial"/>
        <family val="2"/>
      </rPr>
      <t>Pigment Dye</t>
    </r>
    <r>
      <rPr>
        <sz val="10"/>
        <rFont val="Arial"/>
        <family val="2"/>
      </rPr>
      <t>-Hairiness not allowed at all &amp; Slub line S/B straight</t>
    </r>
  </si>
  <si>
    <t>RFD (Della Robia Blue)</t>
  </si>
  <si>
    <r>
      <t>2592600-</t>
    </r>
    <r>
      <rPr>
        <b/>
        <sz val="10"/>
        <rFont val="Arial"/>
        <family val="2"/>
      </rPr>
      <t>Plus</t>
    </r>
    <r>
      <rPr>
        <sz val="10"/>
        <rFont val="Arial"/>
        <family val="2"/>
      </rPr>
      <t xml:space="preserve">- </t>
    </r>
    <r>
      <rPr>
        <sz val="10"/>
        <color rgb="FFFF00FF"/>
        <rFont val="Arial"/>
        <family val="2"/>
      </rPr>
      <t>Pigment Dye</t>
    </r>
    <r>
      <rPr>
        <sz val="10"/>
        <rFont val="Arial"/>
        <family val="2"/>
      </rPr>
      <t>-Hairiness not allowed at all &amp; Slub line S/B straight</t>
    </r>
  </si>
  <si>
    <t>06-09-2026+09.09</t>
  </si>
  <si>
    <t>15398778 -Revised 07.09(Qty Increased)</t>
  </si>
  <si>
    <t>15400631 -Revised 07.09 (Qty Increased)</t>
  </si>
  <si>
    <t>15390713 -Revised 07.09 (Qty Changed)</t>
  </si>
  <si>
    <t>CNOFJTSS37566 -Revised 07.09 (Dia Changed &amp; Qty Increased)</t>
  </si>
  <si>
    <r>
      <t>271TROFTB90-6172 -</t>
    </r>
    <r>
      <rPr>
        <b/>
        <sz val="10"/>
        <rFont val="Arial"/>
        <family val="2"/>
      </rPr>
      <t>Additional</t>
    </r>
    <r>
      <rPr>
        <sz val="10"/>
        <rFont val="Arial"/>
        <family val="2"/>
      </rPr>
      <t>-Revised 07.09 (S/J Ordering Mistake by Mer)</t>
    </r>
  </si>
  <si>
    <t>13266174 -Revised 07.09 (Rib Dia &amp; Composition changed)</t>
  </si>
  <si>
    <r>
      <t>CNOFJTKL37381 -</t>
    </r>
    <r>
      <rPr>
        <b/>
        <sz val="10"/>
        <rFont val="Arial"/>
        <family val="2"/>
      </rPr>
      <t>Lace Matching</t>
    </r>
    <r>
      <rPr>
        <sz val="10"/>
        <rFont val="Arial"/>
        <family val="2"/>
      </rPr>
      <t xml:space="preserve"> -Revised 07.09 (Fabric Composition Changed)</t>
    </r>
  </si>
  <si>
    <t>L/S/J (Rec-Ctn)</t>
  </si>
  <si>
    <r>
      <t>13265440 -</t>
    </r>
    <r>
      <rPr>
        <b/>
        <sz val="10"/>
        <rFont val="Arial"/>
        <family val="2"/>
      </rPr>
      <t>Contrast Match with AOP</t>
    </r>
  </si>
  <si>
    <t>Crockery Aop</t>
  </si>
  <si>
    <t>Sepia Aop</t>
  </si>
  <si>
    <t>769 725 719</t>
  </si>
  <si>
    <t>772 768</t>
  </si>
  <si>
    <t>773 744 742 741</t>
  </si>
  <si>
    <t>109299 109298</t>
  </si>
  <si>
    <t>804 1896</t>
  </si>
  <si>
    <t>08-09-2026+09.09</t>
  </si>
  <si>
    <t>28-08-2026+09.09</t>
  </si>
  <si>
    <t>17-08-2026+31.08+07.09 Re-Process+09.09</t>
  </si>
  <si>
    <t>Bright White Aop (Lavender Lustre)</t>
  </si>
  <si>
    <t>Bright White Aop (Naval Academy)</t>
  </si>
  <si>
    <t>Bright White Aop (Flushing Pink)</t>
  </si>
  <si>
    <t>Bright White Aop (Pink Marshmallow)</t>
  </si>
  <si>
    <t>Bright White Aop (Xenon Blue)</t>
  </si>
  <si>
    <t>28-08-2026+10.09</t>
  </si>
  <si>
    <t>21-08-2026+10.09</t>
  </si>
  <si>
    <t>03-09-2026+10.09</t>
  </si>
  <si>
    <t>08-09-2026+10.09</t>
  </si>
  <si>
    <t>109205 109154</t>
  </si>
  <si>
    <t>109205 109153 109067</t>
  </si>
  <si>
    <t>31-08-2026+01.09+09.09</t>
  </si>
  <si>
    <t>109182 109071</t>
  </si>
  <si>
    <t>31-08-2026+09.09</t>
  </si>
  <si>
    <t>DB Tec</t>
  </si>
  <si>
    <t>22012787 -Silicon Softener Wash -Revised 07.09 (Color confirmation)</t>
  </si>
  <si>
    <t>271POL120-227 -2nd Revised 07.09 (Qty Increased)</t>
  </si>
  <si>
    <t>2 Roll Body+1 Roll Rib not ok</t>
  </si>
  <si>
    <t>777 762</t>
  </si>
  <si>
    <t>778 716</t>
  </si>
  <si>
    <t>11 Roll Oil Spot</t>
  </si>
  <si>
    <t>965 962 600</t>
  </si>
  <si>
    <t>966 960</t>
  </si>
  <si>
    <t>Brilliant White Aop (Baritone Blue)</t>
  </si>
  <si>
    <t>Brilliant White Aop (High Risk Red)</t>
  </si>
  <si>
    <t>109091 109090</t>
  </si>
  <si>
    <t>31-08-2026+10.09</t>
  </si>
  <si>
    <t>27-08-2026+10.09</t>
  </si>
  <si>
    <r>
      <t>271TSH087-6140 -</t>
    </r>
    <r>
      <rPr>
        <b/>
        <sz val="10"/>
        <rFont val="Arial"/>
        <family val="2"/>
      </rPr>
      <t>Contrast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Lace</t>
    </r>
  </si>
  <si>
    <t>Lace (Sky Petrol)</t>
  </si>
  <si>
    <t>Pink-A-Boo</t>
  </si>
  <si>
    <t>15393197 -Revised 11.09 (Add Sustainability)</t>
  </si>
  <si>
    <t>VP L/Interlock (Rec-Poly)</t>
  </si>
  <si>
    <t>15390115 -Revised 11.09 (Ordering Mistake)</t>
  </si>
  <si>
    <t>Sweet Dreams (B/Part Dye)</t>
  </si>
  <si>
    <t>Cloud Dancer+Romance Rose</t>
  </si>
  <si>
    <t>Cloud Dancer+Soft Chambray</t>
  </si>
  <si>
    <t>Magenta+Sweet Dreams</t>
  </si>
  <si>
    <t>109080 109092</t>
  </si>
  <si>
    <t>109155 109266</t>
  </si>
  <si>
    <t>07-09-2026+11.09</t>
  </si>
  <si>
    <t>784 734</t>
  </si>
  <si>
    <t>10-09-2026+11.09</t>
  </si>
  <si>
    <t>27-08-2026+11.09</t>
  </si>
  <si>
    <t>05-09-2026+12.09</t>
  </si>
  <si>
    <t>149048985 -Revised 12.09 (Qty Reduced)</t>
  </si>
  <si>
    <t>149048504 -Revised 12.09 (Qty Reduced)</t>
  </si>
  <si>
    <t>SS Knit Polo -Revised 12.09 (Color Changed)</t>
  </si>
  <si>
    <t>RW915-2587 -4th Revised 12.09 (Qty Increased)</t>
  </si>
  <si>
    <r>
      <t>9705671 -</t>
    </r>
    <r>
      <rPr>
        <b/>
        <sz val="10"/>
        <rFont val="Arial"/>
        <family val="2"/>
      </rPr>
      <t>Contrast</t>
    </r>
    <r>
      <rPr>
        <sz val="10"/>
        <rFont val="Arial"/>
        <family val="2"/>
      </rPr>
      <t>- Revised 12.09 (Fabrication+Dia+GSM Changed &amp; Qty Increased+Rib Removed)</t>
    </r>
  </si>
  <si>
    <t>09-09-2026+12.09</t>
  </si>
  <si>
    <t>109303 109171 109159</t>
  </si>
  <si>
    <t>02-09-2026+03.09+11.09</t>
  </si>
  <si>
    <t>109304 109116</t>
  </si>
  <si>
    <t>01-09-2026+11.09</t>
  </si>
  <si>
    <t>109336 108797 108761 108742</t>
  </si>
  <si>
    <t>17-08-2026+18.08+19.08+11.09</t>
  </si>
  <si>
    <t>30-08-2026+11.09</t>
  </si>
  <si>
    <t>109335 109069</t>
  </si>
  <si>
    <t>109323 109327 109126 108973</t>
  </si>
  <si>
    <t>28-08-2026+10.09+11.09</t>
  </si>
  <si>
    <t>109366 109365</t>
  </si>
  <si>
    <t>271PJA506-224 -Top+Bottom Set-3rd Revised 12.09 (Qty Changed)</t>
  </si>
  <si>
    <r>
      <t>271SWT100-6156 -As per Approved Panel &amp; Swatch -</t>
    </r>
    <r>
      <rPr>
        <b/>
        <sz val="10"/>
        <rFont val="Arial"/>
        <family val="2"/>
      </rPr>
      <t xml:space="preserve">Contrast &amp; Y/D Matching </t>
    </r>
    <r>
      <rPr>
        <sz val="10"/>
        <rFont val="Arial"/>
        <family val="2"/>
      </rPr>
      <t>-Revised 12.09 (Fabrication Changed)</t>
    </r>
  </si>
  <si>
    <t>15396533 -5th Revised 12.09 (Qty Increased</t>
  </si>
  <si>
    <t>60/40 CVC Terry</t>
  </si>
  <si>
    <t>46748 17th</t>
  </si>
  <si>
    <t>785 765</t>
  </si>
  <si>
    <t>13 Roll GSM Low</t>
  </si>
  <si>
    <t>786 763</t>
  </si>
  <si>
    <t>789 785</t>
  </si>
  <si>
    <t>792 760</t>
  </si>
  <si>
    <t>792 781 754 748</t>
  </si>
  <si>
    <t>2081-Beluga-22.08, 2083-Beluga-24.08, 2100-S.Lining-31.08, C.Dancer-07.09, 663-Silver Lining-12.09</t>
  </si>
  <si>
    <t>08-09-2026+12.09</t>
  </si>
  <si>
    <t>10-09-2026+12.09</t>
  </si>
  <si>
    <t>09-09-2026+13.09</t>
  </si>
  <si>
    <t>10-09-2026+14.09</t>
  </si>
  <si>
    <t>48199 5th</t>
  </si>
  <si>
    <t>Quarry</t>
  </si>
  <si>
    <t>Pruple Dove</t>
  </si>
  <si>
    <t>Hanger Loop (NMT Quality)</t>
  </si>
  <si>
    <t>48199 4th</t>
  </si>
  <si>
    <t>109331 109371</t>
  </si>
  <si>
    <t>109356 109100</t>
  </si>
  <si>
    <t>31-08-2026+12.09</t>
  </si>
  <si>
    <t>109350 109362</t>
  </si>
  <si>
    <t>11-09-2026+12.09</t>
  </si>
  <si>
    <t>109354 109343 109339</t>
  </si>
  <si>
    <t>Taqwa</t>
  </si>
  <si>
    <t>05-09-2026+09.09+14.09</t>
  </si>
  <si>
    <t>11-09-2026+14.09</t>
  </si>
  <si>
    <t>09-09-2026+14.09</t>
  </si>
  <si>
    <t>12-09-2026+14.09</t>
  </si>
  <si>
    <r>
      <t>271TSH049-226 -</t>
    </r>
    <r>
      <rPr>
        <b/>
        <sz val="10"/>
        <rFont val="Arial"/>
        <family val="2"/>
      </rPr>
      <t>Contrast</t>
    </r>
    <r>
      <rPr>
        <sz val="10"/>
        <rFont val="Arial"/>
        <family val="2"/>
      </rPr>
      <t xml:space="preserve"> -2nd Revised 14.09 (Necktape Removed)</t>
    </r>
  </si>
  <si>
    <r>
      <t>271TSH051-226-</t>
    </r>
    <r>
      <rPr>
        <b/>
        <sz val="10"/>
        <rFont val="Arial"/>
        <family val="2"/>
      </rPr>
      <t>Contrast</t>
    </r>
    <r>
      <rPr>
        <sz val="10"/>
        <rFont val="Arial"/>
        <family val="2"/>
      </rPr>
      <t xml:space="preserve"> -Revised 14.09 (Neck Tape Color Changed)</t>
    </r>
  </si>
  <si>
    <t>271TRO051-226 -Revised 14.09 (Qty Changed)</t>
  </si>
  <si>
    <r>
      <t>271TSH048-226-</t>
    </r>
    <r>
      <rPr>
        <b/>
        <sz val="10"/>
        <rFont val="Arial"/>
        <family val="2"/>
      </rPr>
      <t>Contrast</t>
    </r>
    <r>
      <rPr>
        <sz val="10"/>
        <rFont val="Arial"/>
        <family val="2"/>
      </rPr>
      <t xml:space="preserve"> -2nd Revised 14.09 (Qty Changed)</t>
    </r>
  </si>
  <si>
    <t>794 789</t>
  </si>
  <si>
    <t>794 793</t>
  </si>
  <si>
    <t>795 754 748</t>
  </si>
  <si>
    <t>796 1038 1022 1019 1010</t>
  </si>
  <si>
    <t>860 967</t>
  </si>
  <si>
    <t>861 711</t>
  </si>
  <si>
    <t>861 599</t>
  </si>
  <si>
    <t>811 810</t>
  </si>
  <si>
    <t>31-08-2026+14.09</t>
  </si>
  <si>
    <t>05-09-2026+07.09+12.09</t>
  </si>
  <si>
    <t>13-09-2026+14.09</t>
  </si>
  <si>
    <t>07-09-2026+13.09+14.09</t>
  </si>
  <si>
    <t>68245 -Revised 15.09 (Qty Increased)</t>
  </si>
  <si>
    <t>67936 -Revised 15.09 (Qty Increased)</t>
  </si>
  <si>
    <t>03-09-2026+15.09</t>
  </si>
  <si>
    <t>13215107 -Revised 15.09 (Rib GSM Changed)</t>
  </si>
  <si>
    <t>Burn Wash</t>
  </si>
  <si>
    <t>2524615 -Hairiness not allowed &amp; Slub Line S/B Straight -Revised 15.09 (Qty Reduced)</t>
  </si>
  <si>
    <t>109359 109322 109276 109211 109170</t>
  </si>
  <si>
    <t>04-09-2026+07.09+09.09+10.09+14.09</t>
  </si>
  <si>
    <t>109368 109275</t>
  </si>
  <si>
    <t>109410 109409 109368 109323</t>
  </si>
  <si>
    <t>109395 109265 107630 107526 107465 107238 107136 107153</t>
  </si>
  <si>
    <t>22-06-2026+26.06+05.07+09.07+09.09+14.09</t>
  </si>
  <si>
    <t>109399 109165</t>
  </si>
  <si>
    <t>04-09-2026+14.09</t>
  </si>
  <si>
    <t>14-09-2026+15.09</t>
  </si>
  <si>
    <t>13-09-2026+15.09</t>
  </si>
  <si>
    <t>10-09-2026+15.09</t>
  </si>
  <si>
    <t>31-08-2026+15.09</t>
  </si>
  <si>
    <t>Light Grey Melange 4%</t>
  </si>
  <si>
    <t>15400703 -Revised 15.09 (Melange Effect Changed)</t>
  </si>
  <si>
    <r>
      <t>15373126 -As Swatch -</t>
    </r>
    <r>
      <rPr>
        <b/>
        <sz val="10"/>
        <rFont val="Arial"/>
        <family val="2"/>
      </rPr>
      <t>Y/D Matching</t>
    </r>
    <r>
      <rPr>
        <sz val="10"/>
        <rFont val="Arial"/>
        <family val="2"/>
      </rPr>
      <t xml:space="preserve"> -Revised 15.09 (Magenta Tcx Changed)</t>
    </r>
  </si>
  <si>
    <t>Job Cancelled-15.09</t>
  </si>
  <si>
    <t>30-08-2026+05.09+06.09+07.09+08.09+09.09+15.09</t>
  </si>
  <si>
    <t>41626 29th</t>
  </si>
  <si>
    <t>48283 5th</t>
  </si>
  <si>
    <t>26827 59th</t>
  </si>
  <si>
    <t>800 790 785</t>
  </si>
  <si>
    <t>904 902</t>
  </si>
  <si>
    <t>904 901</t>
  </si>
  <si>
    <t>970 960</t>
  </si>
  <si>
    <t>971 965</t>
  </si>
  <si>
    <t>973 852 962 600 1999</t>
  </si>
  <si>
    <t>109358 109077</t>
  </si>
  <si>
    <t>02-09-2026+15.09</t>
  </si>
  <si>
    <t>109458 109456 109457</t>
  </si>
  <si>
    <t>109342 108053</t>
  </si>
  <si>
    <t>25-07-2026+15.09</t>
  </si>
  <si>
    <t>109452 109435 109429</t>
  </si>
  <si>
    <t>109405 109123</t>
  </si>
  <si>
    <t>01-09-2026+15.09</t>
  </si>
  <si>
    <t>271TSH160-227 -Overdye confirm by Lab -2nd Revised 16.09 (Qty Increased)</t>
  </si>
  <si>
    <t>12-09-2026+16.09</t>
  </si>
  <si>
    <t>15-09-2026+16.09</t>
  </si>
  <si>
    <t>10-09-2026+16.09</t>
  </si>
  <si>
    <t>08-09-2026+15.09+16.09</t>
  </si>
  <si>
    <t>14-09-2026+16.09</t>
  </si>
  <si>
    <t>07-09-2026+16.09</t>
  </si>
  <si>
    <t>CVC F/Terry (Rec-Poly)</t>
  </si>
  <si>
    <t>905 784 1596 1579 1575 2135 2115 2112</t>
  </si>
  <si>
    <t>2 Roll wrong Fabric</t>
  </si>
  <si>
    <t>907 792 762</t>
  </si>
  <si>
    <t>907 795 762</t>
  </si>
  <si>
    <t>909 794 787 772 762</t>
  </si>
  <si>
    <t>5 Roll Uneven+5 Roll Dust</t>
  </si>
  <si>
    <t>24-08-2026+27.08+16.09</t>
  </si>
  <si>
    <t>906 794 792</t>
  </si>
  <si>
    <t>10-09-2026+12.09+16.09</t>
  </si>
  <si>
    <t>20-08-2026+22.08+13.09+16.09</t>
  </si>
  <si>
    <t>13-09-2026+16.09</t>
  </si>
  <si>
    <t>08-09-2026+17.09</t>
  </si>
  <si>
    <t>16-09-2026+19.09</t>
  </si>
  <si>
    <t>47936 5th</t>
  </si>
  <si>
    <r>
      <t>9657695 -</t>
    </r>
    <r>
      <rPr>
        <b/>
        <sz val="10"/>
        <rFont val="Arial"/>
        <family val="2"/>
      </rPr>
      <t>Contrast</t>
    </r>
  </si>
  <si>
    <t>109462 108823 108794 108666</t>
  </si>
  <si>
    <t>13-08-2026+20.08+21.08+16.09</t>
  </si>
  <si>
    <t>109431-B 109309 109431 109308 109397</t>
  </si>
  <si>
    <t>01-09-2026+16.09</t>
  </si>
  <si>
    <t>109428 109418 109117</t>
  </si>
  <si>
    <t>109407 109157</t>
  </si>
  <si>
    <t>11-09-2026+17.09</t>
  </si>
  <si>
    <t>29-08-2026+17.09</t>
  </si>
  <si>
    <t>14-09-2026+16.09+17.09</t>
  </si>
  <si>
    <t>05-09-2026+17.09</t>
  </si>
  <si>
    <t>15270390, 15327110 -Revised 17.09 (Qty Reduced)</t>
  </si>
  <si>
    <t>910 767</t>
  </si>
  <si>
    <t>914 913</t>
  </si>
  <si>
    <t>975 968</t>
  </si>
  <si>
    <t>815 808 807</t>
  </si>
  <si>
    <t>18.09.26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</si>
</sst>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BSNMT&quot;\ 0"/>
    <numFmt numFmtId="165" formatCode="&quot;BSONS&quot;\ 0"/>
    <numFmt numFmtId="166" formatCode="&quot;BSONL&quot;\ 0"/>
    <numFmt numFmtId="167" formatCode="&quot;GT&quot;\ 0"/>
    <numFmt numFmtId="168" formatCode="&quot;UT&quot;\ 0"/>
    <numFmt numFmtId="169" formatCode="&quot;OVS&quot;\ 0"/>
    <numFmt numFmtId="170" formatCode="\ &quot;Slot&quot;\ 0"/>
  </numFmts>
  <fonts count="11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sz val="11"/>
      <name val="Arial"/>
      <family val="2"/>
    </font>
    <font>
      <sz val="12"/>
      <name val="Arial"/>
      <family val="2"/>
    </font>
    <font>
      <sz val="11"/>
      <color indexed="8"/>
      <name val="Calibri"/>
      <family val="2"/>
    </font>
    <font>
      <sz val="13"/>
      <name val="Arial"/>
      <family val="2"/>
    </font>
    <font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Calibri"/>
      <family val="1"/>
      <scheme val="minor"/>
    </font>
    <font>
      <sz val="11"/>
      <color theme="1"/>
      <name val="Agency FB"/>
      <family val="2"/>
    </font>
    <font>
      <sz val="11"/>
      <color rgb="FF3F3F76"/>
      <name val="Agency FB"/>
      <family val="2"/>
    </font>
    <font>
      <b/>
      <sz val="11"/>
      <color rgb="FFFA7D00"/>
      <name val="Agency FB"/>
      <family val="2"/>
    </font>
    <font>
      <sz val="12"/>
      <name val="Siyam Rupali ANSI"/>
    </font>
    <font>
      <b/>
      <sz val="11"/>
      <color rgb="FFFF0000"/>
      <name val="Arial"/>
      <family val="2"/>
    </font>
    <font>
      <b/>
      <sz val="10"/>
      <color theme="1"/>
      <name val="Arial"/>
      <family val="2"/>
    </font>
    <font>
      <sz val="10"/>
      <color rgb="FFFF00FF"/>
      <name val="Arial"/>
      <family val="2"/>
    </font>
    <font>
      <sz val="10"/>
      <color theme="1"/>
      <name val="Arial"/>
      <family val="2"/>
    </font>
    <font>
      <b/>
      <sz val="11"/>
      <color rgb="FF7030A0"/>
      <name val="Arial"/>
      <family val="2"/>
    </font>
    <font>
      <sz val="12"/>
      <name val="Times New Roman"/>
      <family val="1"/>
    </font>
    <font>
      <b/>
      <sz val="14"/>
      <color rgb="FFFF0000"/>
      <name val="Arial"/>
      <family val="2"/>
    </font>
    <font>
      <sz val="10"/>
      <name val="Arial"/>
      <family val="2"/>
    </font>
    <font>
      <b/>
      <sz val="12"/>
      <color theme="1"/>
      <name val="Times New Roman"/>
      <family val="1"/>
    </font>
    <font>
      <b/>
      <sz val="14"/>
      <color rgb="FFFF00FF"/>
      <name val="Arial"/>
      <family val="2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10"/>
      <color rgb="FFFF00FF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0"/>
      <color rgb="FFFF0066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rgb="FFFFCC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003">
    <xf numFmtId="0" fontId="0" fillId="0" borderId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44" fontId="57" fillId="0" borderId="0" applyFont="0" applyFill="0" applyBorder="0" applyAlignment="0" applyProtection="0"/>
    <xf numFmtId="0" fontId="60" fillId="0" borderId="0" applyNumberFormat="0" applyFill="0" applyBorder="0" applyAlignment="0" applyProtection="0"/>
    <xf numFmtId="0" fontId="61" fillId="0" borderId="0" applyNumberFormat="0" applyBorder="0" applyAlignment="0" applyProtection="0"/>
    <xf numFmtId="0" fontId="62" fillId="0" borderId="12" applyNumberFormat="0" applyFill="0" applyAlignment="0" applyProtection="0"/>
    <xf numFmtId="0" fontId="63" fillId="0" borderId="13" applyNumberFormat="0" applyFill="0" applyAlignment="0" applyProtection="0"/>
    <xf numFmtId="0" fontId="64" fillId="0" borderId="14" applyNumberFormat="0" applyFill="0" applyAlignment="0" applyProtection="0"/>
    <xf numFmtId="0" fontId="64" fillId="0" borderId="0" applyNumberFormat="0" applyFill="0" applyBorder="0" applyAlignment="0" applyProtection="0"/>
    <xf numFmtId="0" fontId="65" fillId="0" borderId="15" applyNumberFormat="0" applyFill="0" applyAlignment="0" applyProtection="0"/>
    <xf numFmtId="0" fontId="66" fillId="0" borderId="0" applyNumberFormat="0" applyBorder="0" applyAlignment="0" applyProtection="0"/>
    <xf numFmtId="0" fontId="53" fillId="0" borderId="0"/>
    <xf numFmtId="0" fontId="67" fillId="0" borderId="0" applyNumberFormat="0" applyFill="0" applyBorder="0" applyAlignment="0" applyProtection="0"/>
    <xf numFmtId="0" fontId="68" fillId="0" borderId="16" applyNumberFormat="0" applyFill="0" applyAlignment="0" applyProtection="0"/>
    <xf numFmtId="0" fontId="69" fillId="0" borderId="0" applyNumberFormat="0" applyFill="0" applyBorder="0" applyAlignment="0" applyProtection="0"/>
    <xf numFmtId="0" fontId="51" fillId="0" borderId="0"/>
    <xf numFmtId="43" fontId="57" fillId="0" borderId="0" applyFont="0" applyFill="0" applyBorder="0" applyAlignment="0" applyProtection="0"/>
    <xf numFmtId="0" fontId="50" fillId="0" borderId="0"/>
    <xf numFmtId="0" fontId="57" fillId="8" borderId="0" applyNumberFormat="0" applyBorder="0" applyAlignment="0" applyProtection="0"/>
    <xf numFmtId="0" fontId="57" fillId="9" borderId="0" applyNumberFormat="0" applyBorder="0" applyAlignment="0" applyProtection="0"/>
    <xf numFmtId="0" fontId="57" fillId="10" borderId="0" applyNumberFormat="0" applyBorder="0" applyAlignment="0" applyProtection="0"/>
    <xf numFmtId="0" fontId="57" fillId="11" borderId="0" applyNumberFormat="0" applyBorder="0" applyAlignment="0" applyProtection="0"/>
    <xf numFmtId="0" fontId="57" fillId="12" borderId="0" applyNumberFormat="0" applyBorder="0" applyAlignment="0" applyProtection="0"/>
    <xf numFmtId="0" fontId="57" fillId="13" borderId="0" applyNumberFormat="0" applyBorder="0" applyAlignment="0" applyProtection="0"/>
    <xf numFmtId="0" fontId="57" fillId="14" borderId="0" applyNumberFormat="0" applyBorder="0" applyAlignment="0" applyProtection="0"/>
    <xf numFmtId="0" fontId="57" fillId="15" borderId="0" applyNumberFormat="0" applyBorder="0" applyAlignment="0" applyProtection="0"/>
    <xf numFmtId="0" fontId="57" fillId="16" borderId="0" applyNumberFormat="0" applyBorder="0" applyAlignment="0" applyProtection="0"/>
    <xf numFmtId="0" fontId="57" fillId="11" borderId="0" applyNumberFormat="0" applyBorder="0" applyAlignment="0" applyProtection="0"/>
    <xf numFmtId="0" fontId="57" fillId="14" borderId="0" applyNumberFormat="0" applyBorder="0" applyAlignment="0" applyProtection="0"/>
    <xf numFmtId="0" fontId="57" fillId="17" borderId="0" applyNumberFormat="0" applyBorder="0" applyAlignment="0" applyProtection="0"/>
    <xf numFmtId="0" fontId="72" fillId="18" borderId="0" applyNumberFormat="0" applyBorder="0" applyAlignment="0" applyProtection="0"/>
    <xf numFmtId="0" fontId="72" fillId="15" borderId="0" applyNumberFormat="0" applyBorder="0" applyAlignment="0" applyProtection="0"/>
    <xf numFmtId="0" fontId="72" fillId="16" borderId="0" applyNumberFormat="0" applyBorder="0" applyAlignment="0" applyProtection="0"/>
    <xf numFmtId="0" fontId="72" fillId="19" borderId="0" applyNumberFormat="0" applyBorder="0" applyAlignment="0" applyProtection="0"/>
    <xf numFmtId="0" fontId="72" fillId="20" borderId="0" applyNumberFormat="0" applyBorder="0" applyAlignment="0" applyProtection="0"/>
    <xf numFmtId="0" fontId="72" fillId="21" borderId="0" applyNumberFormat="0" applyBorder="0" applyAlignment="0" applyProtection="0"/>
    <xf numFmtId="0" fontId="72" fillId="22" borderId="0" applyNumberFormat="0" applyBorder="0" applyAlignment="0" applyProtection="0"/>
    <xf numFmtId="0" fontId="72" fillId="23" borderId="0" applyNumberFormat="0" applyBorder="0" applyAlignment="0" applyProtection="0"/>
    <xf numFmtId="0" fontId="72" fillId="24" borderId="0" applyNumberFormat="0" applyBorder="0" applyAlignment="0" applyProtection="0"/>
    <xf numFmtId="0" fontId="72" fillId="19" borderId="0" applyNumberFormat="0" applyBorder="0" applyAlignment="0" applyProtection="0"/>
    <xf numFmtId="0" fontId="72" fillId="20" borderId="0" applyNumberFormat="0" applyBorder="0" applyAlignment="0" applyProtection="0"/>
    <xf numFmtId="0" fontId="72" fillId="25" borderId="0" applyNumberFormat="0" applyBorder="0" applyAlignment="0" applyProtection="0"/>
    <xf numFmtId="0" fontId="73" fillId="9" borderId="0" applyNumberFormat="0" applyBorder="0" applyAlignment="0" applyProtection="0"/>
    <xf numFmtId="0" fontId="74" fillId="26" borderId="17" applyNumberFormat="0" applyAlignment="0" applyProtection="0"/>
    <xf numFmtId="0" fontId="75" fillId="27" borderId="18" applyNumberFormat="0" applyAlignment="0" applyProtection="0"/>
    <xf numFmtId="0" fontId="76" fillId="0" borderId="0" applyNumberFormat="0" applyFill="0" applyBorder="0" applyAlignment="0" applyProtection="0"/>
    <xf numFmtId="0" fontId="77" fillId="10" borderId="0" applyNumberFormat="0" applyBorder="0" applyAlignment="0" applyProtection="0"/>
    <xf numFmtId="0" fontId="78" fillId="0" borderId="19" applyNumberFormat="0" applyFill="0" applyAlignment="0" applyProtection="0"/>
    <xf numFmtId="0" fontId="79" fillId="0" borderId="20" applyNumberFormat="0" applyFill="0" applyAlignment="0" applyProtection="0"/>
    <xf numFmtId="0" fontId="80" fillId="0" borderId="21" applyNumberFormat="0" applyFill="0" applyAlignment="0" applyProtection="0"/>
    <xf numFmtId="0" fontId="80" fillId="0" borderId="0" applyNumberFormat="0" applyFill="0" applyBorder="0" applyAlignment="0" applyProtection="0"/>
    <xf numFmtId="0" fontId="81" fillId="13" borderId="17" applyNumberFormat="0" applyAlignment="0" applyProtection="0"/>
    <xf numFmtId="0" fontId="82" fillId="0" borderId="22" applyNumberFormat="0" applyFill="0" applyAlignment="0" applyProtection="0"/>
    <xf numFmtId="0" fontId="83" fillId="28" borderId="0" applyNumberFormat="0" applyBorder="0" applyAlignment="0" applyProtection="0"/>
    <xf numFmtId="0" fontId="52" fillId="29" borderId="23" applyNumberFormat="0" applyFont="0" applyAlignment="0" applyProtection="0"/>
    <xf numFmtId="0" fontId="84" fillId="26" borderId="24" applyNumberFormat="0" applyAlignment="0" applyProtection="0"/>
    <xf numFmtId="0" fontId="85" fillId="0" borderId="0" applyNumberFormat="0" applyFill="0" applyBorder="0" applyAlignment="0" applyProtection="0"/>
    <xf numFmtId="0" fontId="86" fillId="0" borderId="25" applyNumberFormat="0" applyFill="0" applyAlignment="0" applyProtection="0"/>
    <xf numFmtId="0" fontId="87" fillId="0" borderId="0" applyNumberFormat="0" applyFill="0" applyBorder="0" applyAlignment="0" applyProtection="0"/>
    <xf numFmtId="0" fontId="49" fillId="0" borderId="0"/>
    <xf numFmtId="0" fontId="48" fillId="0" borderId="0"/>
    <xf numFmtId="0" fontId="52" fillId="0" borderId="0"/>
    <xf numFmtId="0" fontId="47" fillId="0" borderId="0"/>
    <xf numFmtId="0" fontId="46" fillId="0" borderId="0"/>
    <xf numFmtId="0" fontId="45" fillId="0" borderId="0"/>
    <xf numFmtId="0" fontId="44" fillId="0" borderId="0"/>
    <xf numFmtId="0" fontId="88" fillId="0" borderId="0"/>
    <xf numFmtId="44" fontId="52" fillId="0" borderId="0" applyFont="0" applyFill="0" applyBorder="0" applyAlignment="0" applyProtection="0"/>
    <xf numFmtId="0" fontId="89" fillId="32" borderId="0" applyNumberFormat="0" applyBorder="0" applyAlignment="0" applyProtection="0"/>
    <xf numFmtId="0" fontId="90" fillId="30" borderId="26" applyNumberFormat="0" applyAlignment="0" applyProtection="0"/>
    <xf numFmtId="0" fontId="91" fillId="31" borderId="26" applyNumberFormat="0" applyAlignment="0" applyProtection="0"/>
    <xf numFmtId="0" fontId="44" fillId="0" borderId="0"/>
    <xf numFmtId="0" fontId="88" fillId="0" borderId="0"/>
    <xf numFmtId="44" fontId="52" fillId="0" borderId="0" applyFont="0" applyFill="0" applyBorder="0" applyAlignment="0" applyProtection="0"/>
    <xf numFmtId="0" fontId="89" fillId="32" borderId="0" applyNumberFormat="0" applyBorder="0" applyAlignment="0" applyProtection="0"/>
    <xf numFmtId="0" fontId="90" fillId="30" borderId="26" applyNumberFormat="0" applyAlignment="0" applyProtection="0"/>
    <xf numFmtId="0" fontId="91" fillId="31" borderId="26" applyNumberFormat="0" applyAlignment="0" applyProtection="0"/>
    <xf numFmtId="0" fontId="44" fillId="0" borderId="0"/>
    <xf numFmtId="0" fontId="88" fillId="0" borderId="0"/>
    <xf numFmtId="44" fontId="52" fillId="0" borderId="0" applyFont="0" applyFill="0" applyBorder="0" applyAlignment="0" applyProtection="0"/>
    <xf numFmtId="0" fontId="89" fillId="32" borderId="0" applyNumberFormat="0" applyBorder="0" applyAlignment="0" applyProtection="0"/>
    <xf numFmtId="0" fontId="90" fillId="30" borderId="26" applyNumberFormat="0" applyAlignment="0" applyProtection="0"/>
    <xf numFmtId="0" fontId="91" fillId="31" borderId="26" applyNumberFormat="0" applyAlignment="0" applyProtection="0"/>
    <xf numFmtId="0" fontId="43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72" fillId="15" borderId="0" applyNumberFormat="0" applyBorder="0" applyAlignment="0" applyProtection="0"/>
    <xf numFmtId="0" fontId="72" fillId="15" borderId="0" applyNumberFormat="0" applyBorder="0" applyAlignment="0" applyProtection="0"/>
    <xf numFmtId="0" fontId="72" fillId="15" borderId="0" applyNumberFormat="0" applyBorder="0" applyAlignment="0" applyProtection="0"/>
    <xf numFmtId="0" fontId="72" fillId="15" borderId="0" applyNumberFormat="0" applyBorder="0" applyAlignment="0" applyProtection="0"/>
    <xf numFmtId="0" fontId="72" fillId="15" borderId="0" applyNumberFormat="0" applyBorder="0" applyAlignment="0" applyProtection="0"/>
    <xf numFmtId="0" fontId="72" fillId="15" borderId="0" applyNumberFormat="0" applyBorder="0" applyAlignment="0" applyProtection="0"/>
    <xf numFmtId="0" fontId="72" fillId="15" borderId="0" applyNumberFormat="0" applyBorder="0" applyAlignment="0" applyProtection="0"/>
    <xf numFmtId="0" fontId="72" fillId="15" borderId="0" applyNumberFormat="0" applyBorder="0" applyAlignment="0" applyProtection="0"/>
    <xf numFmtId="0" fontId="72" fillId="15" borderId="0" applyNumberFormat="0" applyBorder="0" applyAlignment="0" applyProtection="0"/>
    <xf numFmtId="0" fontId="72" fillId="15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72" fillId="19" borderId="0" applyNumberFormat="0" applyBorder="0" applyAlignment="0" applyProtection="0"/>
    <xf numFmtId="0" fontId="72" fillId="19" borderId="0" applyNumberFormat="0" applyBorder="0" applyAlignment="0" applyProtection="0"/>
    <xf numFmtId="0" fontId="72" fillId="19" borderId="0" applyNumberFormat="0" applyBorder="0" applyAlignment="0" applyProtection="0"/>
    <xf numFmtId="0" fontId="72" fillId="19" borderId="0" applyNumberFormat="0" applyBorder="0" applyAlignment="0" applyProtection="0"/>
    <xf numFmtId="0" fontId="72" fillId="19" borderId="0" applyNumberFormat="0" applyBorder="0" applyAlignment="0" applyProtection="0"/>
    <xf numFmtId="0" fontId="72" fillId="19" borderId="0" applyNumberFormat="0" applyBorder="0" applyAlignment="0" applyProtection="0"/>
    <xf numFmtId="0" fontId="72" fillId="19" borderId="0" applyNumberFormat="0" applyBorder="0" applyAlignment="0" applyProtection="0"/>
    <xf numFmtId="0" fontId="72" fillId="19" borderId="0" applyNumberFormat="0" applyBorder="0" applyAlignment="0" applyProtection="0"/>
    <xf numFmtId="0" fontId="72" fillId="19" borderId="0" applyNumberFormat="0" applyBorder="0" applyAlignment="0" applyProtection="0"/>
    <xf numFmtId="0" fontId="72" fillId="19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72" fillId="21" borderId="0" applyNumberFormat="0" applyBorder="0" applyAlignment="0" applyProtection="0"/>
    <xf numFmtId="0" fontId="72" fillId="21" borderId="0" applyNumberFormat="0" applyBorder="0" applyAlignment="0" applyProtection="0"/>
    <xf numFmtId="0" fontId="72" fillId="21" borderId="0" applyNumberFormat="0" applyBorder="0" applyAlignment="0" applyProtection="0"/>
    <xf numFmtId="0" fontId="72" fillId="21" borderId="0" applyNumberFormat="0" applyBorder="0" applyAlignment="0" applyProtection="0"/>
    <xf numFmtId="0" fontId="72" fillId="21" borderId="0" applyNumberFormat="0" applyBorder="0" applyAlignment="0" applyProtection="0"/>
    <xf numFmtId="0" fontId="72" fillId="21" borderId="0" applyNumberFormat="0" applyBorder="0" applyAlignment="0" applyProtection="0"/>
    <xf numFmtId="0" fontId="72" fillId="21" borderId="0" applyNumberFormat="0" applyBorder="0" applyAlignment="0" applyProtection="0"/>
    <xf numFmtId="0" fontId="72" fillId="21" borderId="0" applyNumberFormat="0" applyBorder="0" applyAlignment="0" applyProtection="0"/>
    <xf numFmtId="0" fontId="72" fillId="21" borderId="0" applyNumberFormat="0" applyBorder="0" applyAlignment="0" applyProtection="0"/>
    <xf numFmtId="0" fontId="72" fillId="21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72" fillId="22" borderId="0" applyNumberFormat="0" applyBorder="0" applyAlignment="0" applyProtection="0"/>
    <xf numFmtId="0" fontId="72" fillId="22" borderId="0" applyNumberFormat="0" applyBorder="0" applyAlignment="0" applyProtection="0"/>
    <xf numFmtId="0" fontId="72" fillId="22" borderId="0" applyNumberFormat="0" applyBorder="0" applyAlignment="0" applyProtection="0"/>
    <xf numFmtId="0" fontId="72" fillId="22" borderId="0" applyNumberFormat="0" applyBorder="0" applyAlignment="0" applyProtection="0"/>
    <xf numFmtId="0" fontId="72" fillId="22" borderId="0" applyNumberFormat="0" applyBorder="0" applyAlignment="0" applyProtection="0"/>
    <xf numFmtId="0" fontId="72" fillId="22" borderId="0" applyNumberFormat="0" applyBorder="0" applyAlignment="0" applyProtection="0"/>
    <xf numFmtId="0" fontId="72" fillId="22" borderId="0" applyNumberFormat="0" applyBorder="0" applyAlignment="0" applyProtection="0"/>
    <xf numFmtId="0" fontId="72" fillId="22" borderId="0" applyNumberFormat="0" applyBorder="0" applyAlignment="0" applyProtection="0"/>
    <xf numFmtId="0" fontId="72" fillId="22" borderId="0" applyNumberFormat="0" applyBorder="0" applyAlignment="0" applyProtection="0"/>
    <xf numFmtId="0" fontId="72" fillId="22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72" fillId="23" borderId="0" applyNumberFormat="0" applyBorder="0" applyAlignment="0" applyProtection="0"/>
    <xf numFmtId="0" fontId="72" fillId="23" borderId="0" applyNumberFormat="0" applyBorder="0" applyAlignment="0" applyProtection="0"/>
    <xf numFmtId="0" fontId="72" fillId="23" borderId="0" applyNumberFormat="0" applyBorder="0" applyAlignment="0" applyProtection="0"/>
    <xf numFmtId="0" fontId="72" fillId="23" borderId="0" applyNumberFormat="0" applyBorder="0" applyAlignment="0" applyProtection="0"/>
    <xf numFmtId="0" fontId="72" fillId="23" borderId="0" applyNumberFormat="0" applyBorder="0" applyAlignment="0" applyProtection="0"/>
    <xf numFmtId="0" fontId="72" fillId="23" borderId="0" applyNumberFormat="0" applyBorder="0" applyAlignment="0" applyProtection="0"/>
    <xf numFmtId="0" fontId="72" fillId="23" borderId="0" applyNumberFormat="0" applyBorder="0" applyAlignment="0" applyProtection="0"/>
    <xf numFmtId="0" fontId="72" fillId="23" borderId="0" applyNumberFormat="0" applyBorder="0" applyAlignment="0" applyProtection="0"/>
    <xf numFmtId="0" fontId="72" fillId="23" borderId="0" applyNumberFormat="0" applyBorder="0" applyAlignment="0" applyProtection="0"/>
    <xf numFmtId="0" fontId="72" fillId="23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72" fillId="24" borderId="0" applyNumberFormat="0" applyBorder="0" applyAlignment="0" applyProtection="0"/>
    <xf numFmtId="0" fontId="72" fillId="24" borderId="0" applyNumberFormat="0" applyBorder="0" applyAlignment="0" applyProtection="0"/>
    <xf numFmtId="0" fontId="72" fillId="24" borderId="0" applyNumberFormat="0" applyBorder="0" applyAlignment="0" applyProtection="0"/>
    <xf numFmtId="0" fontId="72" fillId="24" borderId="0" applyNumberFormat="0" applyBorder="0" applyAlignment="0" applyProtection="0"/>
    <xf numFmtId="0" fontId="72" fillId="24" borderId="0" applyNumberFormat="0" applyBorder="0" applyAlignment="0" applyProtection="0"/>
    <xf numFmtId="0" fontId="72" fillId="24" borderId="0" applyNumberFormat="0" applyBorder="0" applyAlignment="0" applyProtection="0"/>
    <xf numFmtId="0" fontId="72" fillId="24" borderId="0" applyNumberFormat="0" applyBorder="0" applyAlignment="0" applyProtection="0"/>
    <xf numFmtId="0" fontId="72" fillId="24" borderId="0" applyNumberFormat="0" applyBorder="0" applyAlignment="0" applyProtection="0"/>
    <xf numFmtId="0" fontId="72" fillId="24" borderId="0" applyNumberFormat="0" applyBorder="0" applyAlignment="0" applyProtection="0"/>
    <xf numFmtId="0" fontId="72" fillId="24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72" fillId="19" borderId="0" applyNumberFormat="0" applyBorder="0" applyAlignment="0" applyProtection="0"/>
    <xf numFmtId="0" fontId="72" fillId="19" borderId="0" applyNumberFormat="0" applyBorder="0" applyAlignment="0" applyProtection="0"/>
    <xf numFmtId="0" fontId="72" fillId="19" borderId="0" applyNumberFormat="0" applyBorder="0" applyAlignment="0" applyProtection="0"/>
    <xf numFmtId="0" fontId="72" fillId="19" borderId="0" applyNumberFormat="0" applyBorder="0" applyAlignment="0" applyProtection="0"/>
    <xf numFmtId="0" fontId="72" fillId="19" borderId="0" applyNumberFormat="0" applyBorder="0" applyAlignment="0" applyProtection="0"/>
    <xf numFmtId="0" fontId="72" fillId="19" borderId="0" applyNumberFormat="0" applyBorder="0" applyAlignment="0" applyProtection="0"/>
    <xf numFmtId="0" fontId="72" fillId="19" borderId="0" applyNumberFormat="0" applyBorder="0" applyAlignment="0" applyProtection="0"/>
    <xf numFmtId="0" fontId="72" fillId="19" borderId="0" applyNumberFormat="0" applyBorder="0" applyAlignment="0" applyProtection="0"/>
    <xf numFmtId="0" fontId="72" fillId="19" borderId="0" applyNumberFormat="0" applyBorder="0" applyAlignment="0" applyProtection="0"/>
    <xf numFmtId="0" fontId="72" fillId="19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0" fontId="59" fillId="0" borderId="0" applyNumberFormat="0" applyBorder="0" applyAlignment="0" applyProtection="0"/>
    <xf numFmtId="44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1" fillId="0" borderId="0" applyNumberFormat="0" applyBorder="0" applyAlignment="0" applyProtection="0"/>
    <xf numFmtId="0" fontId="61" fillId="0" borderId="0" applyNumberFormat="0" applyBorder="0" applyAlignment="0" applyProtection="0"/>
    <xf numFmtId="0" fontId="77" fillId="10" borderId="0" applyNumberFormat="0" applyBorder="0" applyAlignment="0" applyProtection="0"/>
    <xf numFmtId="0" fontId="77" fillId="10" borderId="0" applyNumberFormat="0" applyBorder="0" applyAlignment="0" applyProtection="0"/>
    <xf numFmtId="0" fontId="77" fillId="10" borderId="0" applyNumberFormat="0" applyBorder="0" applyAlignment="0" applyProtection="0"/>
    <xf numFmtId="0" fontId="77" fillId="10" borderId="0" applyNumberFormat="0" applyBorder="0" applyAlignment="0" applyProtection="0"/>
    <xf numFmtId="0" fontId="77" fillId="10" borderId="0" applyNumberFormat="0" applyBorder="0" applyAlignment="0" applyProtection="0"/>
    <xf numFmtId="0" fontId="77" fillId="10" borderId="0" applyNumberFormat="0" applyBorder="0" applyAlignment="0" applyProtection="0"/>
    <xf numFmtId="0" fontId="77" fillId="10" borderId="0" applyNumberFormat="0" applyBorder="0" applyAlignment="0" applyProtection="0"/>
    <xf numFmtId="0" fontId="77" fillId="10" borderId="0" applyNumberFormat="0" applyBorder="0" applyAlignment="0" applyProtection="0"/>
    <xf numFmtId="0" fontId="77" fillId="10" borderId="0" applyNumberFormat="0" applyBorder="0" applyAlignment="0" applyProtection="0"/>
    <xf numFmtId="0" fontId="77" fillId="10" borderId="0" applyNumberFormat="0" applyBorder="0" applyAlignment="0" applyProtection="0"/>
    <xf numFmtId="0" fontId="61" fillId="0" borderId="0" applyNumberFormat="0" applyBorder="0" applyAlignment="0" applyProtection="0"/>
    <xf numFmtId="0" fontId="61" fillId="0" borderId="0" applyNumberFormat="0" applyBorder="0" applyAlignment="0" applyProtection="0"/>
    <xf numFmtId="0" fontId="61" fillId="0" borderId="0" applyNumberFormat="0" applyBorder="0" applyAlignment="0" applyProtection="0"/>
    <xf numFmtId="0" fontId="61" fillId="0" borderId="0" applyNumberFormat="0" applyBorder="0" applyAlignment="0" applyProtection="0"/>
    <xf numFmtId="0" fontId="61" fillId="0" borderId="0" applyNumberFormat="0" applyBorder="0" applyAlignment="0" applyProtection="0"/>
    <xf numFmtId="0" fontId="61" fillId="0" borderId="0" applyNumberFormat="0" applyBorder="0" applyAlignment="0" applyProtection="0"/>
    <xf numFmtId="0" fontId="61" fillId="0" borderId="0" applyNumberFormat="0" applyBorder="0" applyAlignment="0" applyProtection="0"/>
    <xf numFmtId="0" fontId="62" fillId="0" borderId="12" applyNumberFormat="0" applyFill="0" applyAlignment="0" applyProtection="0"/>
    <xf numFmtId="0" fontId="62" fillId="0" borderId="12" applyNumberFormat="0" applyFill="0" applyAlignment="0" applyProtection="0"/>
    <xf numFmtId="0" fontId="78" fillId="0" borderId="19" applyNumberFormat="0" applyFill="0" applyAlignment="0" applyProtection="0"/>
    <xf numFmtId="0" fontId="78" fillId="0" borderId="19" applyNumberFormat="0" applyFill="0" applyAlignment="0" applyProtection="0"/>
    <xf numFmtId="0" fontId="78" fillId="0" borderId="19" applyNumberFormat="0" applyFill="0" applyAlignment="0" applyProtection="0"/>
    <xf numFmtId="0" fontId="78" fillId="0" borderId="19" applyNumberFormat="0" applyFill="0" applyAlignment="0" applyProtection="0"/>
    <xf numFmtId="0" fontId="78" fillId="0" borderId="19" applyNumberFormat="0" applyFill="0" applyAlignment="0" applyProtection="0"/>
    <xf numFmtId="0" fontId="78" fillId="0" borderId="19" applyNumberFormat="0" applyFill="0" applyAlignment="0" applyProtection="0"/>
    <xf numFmtId="0" fontId="78" fillId="0" borderId="19" applyNumberFormat="0" applyFill="0" applyAlignment="0" applyProtection="0"/>
    <xf numFmtId="0" fontId="78" fillId="0" borderId="19" applyNumberFormat="0" applyFill="0" applyAlignment="0" applyProtection="0"/>
    <xf numFmtId="0" fontId="78" fillId="0" borderId="19" applyNumberFormat="0" applyFill="0" applyAlignment="0" applyProtection="0"/>
    <xf numFmtId="0" fontId="78" fillId="0" borderId="19" applyNumberFormat="0" applyFill="0" applyAlignment="0" applyProtection="0"/>
    <xf numFmtId="0" fontId="62" fillId="0" borderId="12" applyNumberFormat="0" applyFill="0" applyAlignment="0" applyProtection="0"/>
    <xf numFmtId="0" fontId="62" fillId="0" borderId="12" applyNumberFormat="0" applyFill="0" applyAlignment="0" applyProtection="0"/>
    <xf numFmtId="0" fontId="62" fillId="0" borderId="12" applyNumberFormat="0" applyFill="0" applyAlignment="0" applyProtection="0"/>
    <xf numFmtId="0" fontId="62" fillId="0" borderId="12" applyNumberFormat="0" applyFill="0" applyAlignment="0" applyProtection="0"/>
    <xf numFmtId="0" fontId="62" fillId="0" borderId="12" applyNumberFormat="0" applyFill="0" applyAlignment="0" applyProtection="0"/>
    <xf numFmtId="0" fontId="62" fillId="0" borderId="12" applyNumberFormat="0" applyFill="0" applyAlignment="0" applyProtection="0"/>
    <xf numFmtId="0" fontId="62" fillId="0" borderId="12" applyNumberFormat="0" applyFill="0" applyAlignment="0" applyProtection="0"/>
    <xf numFmtId="0" fontId="63" fillId="0" borderId="13" applyNumberFormat="0" applyFill="0" applyAlignment="0" applyProtection="0"/>
    <xf numFmtId="0" fontId="63" fillId="0" borderId="13" applyNumberFormat="0" applyFill="0" applyAlignment="0" applyProtection="0"/>
    <xf numFmtId="0" fontId="79" fillId="0" borderId="20" applyNumberFormat="0" applyFill="0" applyAlignment="0" applyProtection="0"/>
    <xf numFmtId="0" fontId="79" fillId="0" borderId="20" applyNumberFormat="0" applyFill="0" applyAlignment="0" applyProtection="0"/>
    <xf numFmtId="0" fontId="79" fillId="0" borderId="20" applyNumberFormat="0" applyFill="0" applyAlignment="0" applyProtection="0"/>
    <xf numFmtId="0" fontId="79" fillId="0" borderId="20" applyNumberFormat="0" applyFill="0" applyAlignment="0" applyProtection="0"/>
    <xf numFmtId="0" fontId="79" fillId="0" borderId="20" applyNumberFormat="0" applyFill="0" applyAlignment="0" applyProtection="0"/>
    <xf numFmtId="0" fontId="79" fillId="0" borderId="20" applyNumberFormat="0" applyFill="0" applyAlignment="0" applyProtection="0"/>
    <xf numFmtId="0" fontId="79" fillId="0" borderId="20" applyNumberFormat="0" applyFill="0" applyAlignment="0" applyProtection="0"/>
    <xf numFmtId="0" fontId="79" fillId="0" borderId="20" applyNumberFormat="0" applyFill="0" applyAlignment="0" applyProtection="0"/>
    <xf numFmtId="0" fontId="79" fillId="0" borderId="20" applyNumberFormat="0" applyFill="0" applyAlignment="0" applyProtection="0"/>
    <xf numFmtId="0" fontId="79" fillId="0" borderId="20" applyNumberFormat="0" applyFill="0" applyAlignment="0" applyProtection="0"/>
    <xf numFmtId="0" fontId="63" fillId="0" borderId="13" applyNumberFormat="0" applyFill="0" applyAlignment="0" applyProtection="0"/>
    <xf numFmtId="0" fontId="63" fillId="0" borderId="13" applyNumberFormat="0" applyFill="0" applyAlignment="0" applyProtection="0"/>
    <xf numFmtId="0" fontId="63" fillId="0" borderId="13" applyNumberFormat="0" applyFill="0" applyAlignment="0" applyProtection="0"/>
    <xf numFmtId="0" fontId="63" fillId="0" borderId="13" applyNumberFormat="0" applyFill="0" applyAlignment="0" applyProtection="0"/>
    <xf numFmtId="0" fontId="63" fillId="0" borderId="13" applyNumberFormat="0" applyFill="0" applyAlignment="0" applyProtection="0"/>
    <xf numFmtId="0" fontId="63" fillId="0" borderId="13" applyNumberFormat="0" applyFill="0" applyAlignment="0" applyProtection="0"/>
    <xf numFmtId="0" fontId="63" fillId="0" borderId="13" applyNumberFormat="0" applyFill="0" applyAlignment="0" applyProtection="0"/>
    <xf numFmtId="0" fontId="64" fillId="0" borderId="14" applyNumberFormat="0" applyFill="0" applyAlignment="0" applyProtection="0"/>
    <xf numFmtId="0" fontId="64" fillId="0" borderId="14" applyNumberFormat="0" applyFill="0" applyAlignment="0" applyProtection="0"/>
    <xf numFmtId="0" fontId="80" fillId="0" borderId="21" applyNumberFormat="0" applyFill="0" applyAlignment="0" applyProtection="0"/>
    <xf numFmtId="0" fontId="80" fillId="0" borderId="21" applyNumberFormat="0" applyFill="0" applyAlignment="0" applyProtection="0"/>
    <xf numFmtId="0" fontId="80" fillId="0" borderId="21" applyNumberFormat="0" applyFill="0" applyAlignment="0" applyProtection="0"/>
    <xf numFmtId="0" fontId="80" fillId="0" borderId="21" applyNumberFormat="0" applyFill="0" applyAlignment="0" applyProtection="0"/>
    <xf numFmtId="0" fontId="80" fillId="0" borderId="21" applyNumberFormat="0" applyFill="0" applyAlignment="0" applyProtection="0"/>
    <xf numFmtId="0" fontId="80" fillId="0" borderId="21" applyNumberFormat="0" applyFill="0" applyAlignment="0" applyProtection="0"/>
    <xf numFmtId="0" fontId="80" fillId="0" borderId="21" applyNumberFormat="0" applyFill="0" applyAlignment="0" applyProtection="0"/>
    <xf numFmtId="0" fontId="80" fillId="0" borderId="21" applyNumberFormat="0" applyFill="0" applyAlignment="0" applyProtection="0"/>
    <xf numFmtId="0" fontId="80" fillId="0" borderId="21" applyNumberFormat="0" applyFill="0" applyAlignment="0" applyProtection="0"/>
    <xf numFmtId="0" fontId="80" fillId="0" borderId="21" applyNumberFormat="0" applyFill="0" applyAlignment="0" applyProtection="0"/>
    <xf numFmtId="0" fontId="64" fillId="0" borderId="14" applyNumberFormat="0" applyFill="0" applyAlignment="0" applyProtection="0"/>
    <xf numFmtId="0" fontId="64" fillId="0" borderId="14" applyNumberFormat="0" applyFill="0" applyAlignment="0" applyProtection="0"/>
    <xf numFmtId="0" fontId="64" fillId="0" borderId="14" applyNumberFormat="0" applyFill="0" applyAlignment="0" applyProtection="0"/>
    <xf numFmtId="0" fontId="64" fillId="0" borderId="14" applyNumberFormat="0" applyFill="0" applyAlignment="0" applyProtection="0"/>
    <xf numFmtId="0" fontId="64" fillId="0" borderId="14" applyNumberFormat="0" applyFill="0" applyAlignment="0" applyProtection="0"/>
    <xf numFmtId="0" fontId="64" fillId="0" borderId="14" applyNumberFormat="0" applyFill="0" applyAlignment="0" applyProtection="0"/>
    <xf numFmtId="0" fontId="64" fillId="0" borderId="14" applyNumberFormat="0" applyFill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15" applyNumberFormat="0" applyFill="0" applyAlignment="0" applyProtection="0"/>
    <xf numFmtId="0" fontId="65" fillId="0" borderId="15" applyNumberFormat="0" applyFill="0" applyAlignment="0" applyProtection="0"/>
    <xf numFmtId="0" fontId="82" fillId="0" borderId="22" applyNumberFormat="0" applyFill="0" applyAlignment="0" applyProtection="0"/>
    <xf numFmtId="0" fontId="82" fillId="0" borderId="22" applyNumberFormat="0" applyFill="0" applyAlignment="0" applyProtection="0"/>
    <xf numFmtId="0" fontId="82" fillId="0" borderId="22" applyNumberFormat="0" applyFill="0" applyAlignment="0" applyProtection="0"/>
    <xf numFmtId="0" fontId="82" fillId="0" borderId="22" applyNumberFormat="0" applyFill="0" applyAlignment="0" applyProtection="0"/>
    <xf numFmtId="0" fontId="82" fillId="0" borderId="22" applyNumberFormat="0" applyFill="0" applyAlignment="0" applyProtection="0"/>
    <xf numFmtId="0" fontId="82" fillId="0" borderId="22" applyNumberFormat="0" applyFill="0" applyAlignment="0" applyProtection="0"/>
    <xf numFmtId="0" fontId="82" fillId="0" borderId="22" applyNumberFormat="0" applyFill="0" applyAlignment="0" applyProtection="0"/>
    <xf numFmtId="0" fontId="82" fillId="0" borderId="22" applyNumberFormat="0" applyFill="0" applyAlignment="0" applyProtection="0"/>
    <xf numFmtId="0" fontId="82" fillId="0" borderId="22" applyNumberFormat="0" applyFill="0" applyAlignment="0" applyProtection="0"/>
    <xf numFmtId="0" fontId="82" fillId="0" borderId="22" applyNumberFormat="0" applyFill="0" applyAlignment="0" applyProtection="0"/>
    <xf numFmtId="0" fontId="65" fillId="0" borderId="15" applyNumberFormat="0" applyFill="0" applyAlignment="0" applyProtection="0"/>
    <xf numFmtId="0" fontId="65" fillId="0" borderId="15" applyNumberFormat="0" applyFill="0" applyAlignment="0" applyProtection="0"/>
    <xf numFmtId="0" fontId="65" fillId="0" borderId="15" applyNumberFormat="0" applyFill="0" applyAlignment="0" applyProtection="0"/>
    <xf numFmtId="0" fontId="65" fillId="0" borderId="15" applyNumberFormat="0" applyFill="0" applyAlignment="0" applyProtection="0"/>
    <xf numFmtId="0" fontId="65" fillId="0" borderId="15" applyNumberFormat="0" applyFill="0" applyAlignment="0" applyProtection="0"/>
    <xf numFmtId="0" fontId="65" fillId="0" borderId="15" applyNumberFormat="0" applyFill="0" applyAlignment="0" applyProtection="0"/>
    <xf numFmtId="0" fontId="65" fillId="0" borderId="15" applyNumberFormat="0" applyFill="0" applyAlignment="0" applyProtection="0"/>
    <xf numFmtId="0" fontId="66" fillId="0" borderId="0" applyNumberFormat="0" applyBorder="0" applyAlignment="0" applyProtection="0"/>
    <xf numFmtId="0" fontId="66" fillId="0" borderId="0" applyNumberFormat="0" applyBorder="0" applyAlignment="0" applyProtection="0"/>
    <xf numFmtId="0" fontId="83" fillId="28" borderId="0" applyNumberFormat="0" applyBorder="0" applyAlignment="0" applyProtection="0"/>
    <xf numFmtId="0" fontId="83" fillId="28" borderId="0" applyNumberFormat="0" applyBorder="0" applyAlignment="0" applyProtection="0"/>
    <xf numFmtId="0" fontId="83" fillId="28" borderId="0" applyNumberFormat="0" applyBorder="0" applyAlignment="0" applyProtection="0"/>
    <xf numFmtId="0" fontId="83" fillId="28" borderId="0" applyNumberFormat="0" applyBorder="0" applyAlignment="0" applyProtection="0"/>
    <xf numFmtId="0" fontId="83" fillId="28" borderId="0" applyNumberFormat="0" applyBorder="0" applyAlignment="0" applyProtection="0"/>
    <xf numFmtId="0" fontId="83" fillId="28" borderId="0" applyNumberFormat="0" applyBorder="0" applyAlignment="0" applyProtection="0"/>
    <xf numFmtId="0" fontId="83" fillId="28" borderId="0" applyNumberFormat="0" applyBorder="0" applyAlignment="0" applyProtection="0"/>
    <xf numFmtId="0" fontId="83" fillId="28" borderId="0" applyNumberFormat="0" applyBorder="0" applyAlignment="0" applyProtection="0"/>
    <xf numFmtId="0" fontId="83" fillId="28" borderId="0" applyNumberFormat="0" applyBorder="0" applyAlignment="0" applyProtection="0"/>
    <xf numFmtId="0" fontId="83" fillId="28" borderId="0" applyNumberFormat="0" applyBorder="0" applyAlignment="0" applyProtection="0"/>
    <xf numFmtId="0" fontId="66" fillId="0" borderId="0" applyNumberFormat="0" applyBorder="0" applyAlignment="0" applyProtection="0"/>
    <xf numFmtId="0" fontId="66" fillId="0" borderId="0" applyNumberFormat="0" applyBorder="0" applyAlignment="0" applyProtection="0"/>
    <xf numFmtId="0" fontId="66" fillId="0" borderId="0" applyNumberFormat="0" applyBorder="0" applyAlignment="0" applyProtection="0"/>
    <xf numFmtId="0" fontId="66" fillId="0" borderId="0" applyNumberFormat="0" applyBorder="0" applyAlignment="0" applyProtection="0"/>
    <xf numFmtId="0" fontId="66" fillId="0" borderId="0" applyNumberFormat="0" applyBorder="0" applyAlignment="0" applyProtection="0"/>
    <xf numFmtId="0" fontId="66" fillId="0" borderId="0" applyNumberFormat="0" applyBorder="0" applyAlignment="0" applyProtection="0"/>
    <xf numFmtId="0" fontId="66" fillId="0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88" fillId="0" borderId="0"/>
    <xf numFmtId="0" fontId="88" fillId="0" borderId="0"/>
    <xf numFmtId="0" fontId="52" fillId="0" borderId="0"/>
    <xf numFmtId="0" fontId="52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38" fillId="0" borderId="0"/>
    <xf numFmtId="0" fontId="52" fillId="0" borderId="0"/>
    <xf numFmtId="0" fontId="52" fillId="0" borderId="0"/>
    <xf numFmtId="0" fontId="38" fillId="0" borderId="0"/>
    <xf numFmtId="0" fontId="52" fillId="0" borderId="0"/>
    <xf numFmtId="0" fontId="52" fillId="0" borderId="0"/>
    <xf numFmtId="0" fontId="38" fillId="0" borderId="0"/>
    <xf numFmtId="0" fontId="52" fillId="0" borderId="0"/>
    <xf numFmtId="0" fontId="52" fillId="0" borderId="0"/>
    <xf numFmtId="0" fontId="38" fillId="0" borderId="0"/>
    <xf numFmtId="0" fontId="38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67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16" applyNumberFormat="0" applyFill="0" applyAlignment="0" applyProtection="0"/>
    <xf numFmtId="0" fontId="68" fillId="0" borderId="16" applyNumberFormat="0" applyFill="0" applyAlignment="0" applyProtection="0"/>
    <xf numFmtId="0" fontId="86" fillId="0" borderId="25" applyNumberFormat="0" applyFill="0" applyAlignment="0" applyProtection="0"/>
    <xf numFmtId="0" fontId="86" fillId="0" borderId="25" applyNumberFormat="0" applyFill="0" applyAlignment="0" applyProtection="0"/>
    <xf numFmtId="0" fontId="86" fillId="0" borderId="25" applyNumberFormat="0" applyFill="0" applyAlignment="0" applyProtection="0"/>
    <xf numFmtId="0" fontId="86" fillId="0" borderId="25" applyNumberFormat="0" applyFill="0" applyAlignment="0" applyProtection="0"/>
    <xf numFmtId="0" fontId="86" fillId="0" borderId="25" applyNumberFormat="0" applyFill="0" applyAlignment="0" applyProtection="0"/>
    <xf numFmtId="0" fontId="86" fillId="0" borderId="25" applyNumberFormat="0" applyFill="0" applyAlignment="0" applyProtection="0"/>
    <xf numFmtId="0" fontId="86" fillId="0" borderId="25" applyNumberFormat="0" applyFill="0" applyAlignment="0" applyProtection="0"/>
    <xf numFmtId="0" fontId="86" fillId="0" borderId="25" applyNumberFormat="0" applyFill="0" applyAlignment="0" applyProtection="0"/>
    <xf numFmtId="0" fontId="86" fillId="0" borderId="25" applyNumberFormat="0" applyFill="0" applyAlignment="0" applyProtection="0"/>
    <xf numFmtId="0" fontId="86" fillId="0" borderId="25" applyNumberFormat="0" applyFill="0" applyAlignment="0" applyProtection="0"/>
    <xf numFmtId="0" fontId="68" fillId="0" borderId="16" applyNumberFormat="0" applyFill="0" applyAlignment="0" applyProtection="0"/>
    <xf numFmtId="0" fontId="68" fillId="0" borderId="16" applyNumberFormat="0" applyFill="0" applyAlignment="0" applyProtection="0"/>
    <xf numFmtId="0" fontId="68" fillId="0" borderId="16" applyNumberFormat="0" applyFill="0" applyAlignment="0" applyProtection="0"/>
    <xf numFmtId="0" fontId="68" fillId="0" borderId="16" applyNumberFormat="0" applyFill="0" applyAlignment="0" applyProtection="0"/>
    <xf numFmtId="0" fontId="68" fillId="0" borderId="16" applyNumberFormat="0" applyFill="0" applyAlignment="0" applyProtection="0"/>
    <xf numFmtId="0" fontId="68" fillId="0" borderId="16" applyNumberFormat="0" applyFill="0" applyAlignment="0" applyProtection="0"/>
    <xf numFmtId="0" fontId="68" fillId="0" borderId="16" applyNumberFormat="0" applyFill="0" applyAlignment="0" applyProtection="0"/>
    <xf numFmtId="0" fontId="69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9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52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9" fontId="100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0" fontId="52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5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9" fontId="11" fillId="0" borderId="0" applyFont="0" applyFill="0" applyBorder="0" applyAlignment="0" applyProtection="0"/>
    <xf numFmtId="0" fontId="57" fillId="8" borderId="0" applyNumberFormat="0" applyBorder="0" applyAlignment="0" applyProtection="0"/>
    <xf numFmtId="0" fontId="57" fillId="9" borderId="0" applyNumberFormat="0" applyBorder="0" applyAlignment="0" applyProtection="0"/>
    <xf numFmtId="0" fontId="57" fillId="10" borderId="0" applyNumberFormat="0" applyBorder="0" applyAlignment="0" applyProtection="0"/>
    <xf numFmtId="0" fontId="57" fillId="11" borderId="0" applyNumberFormat="0" applyBorder="0" applyAlignment="0" applyProtection="0"/>
    <xf numFmtId="0" fontId="57" fillId="12" borderId="0" applyNumberFormat="0" applyBorder="0" applyAlignment="0" applyProtection="0"/>
    <xf numFmtId="0" fontId="57" fillId="13" borderId="0" applyNumberFormat="0" applyBorder="0" applyAlignment="0" applyProtection="0"/>
    <xf numFmtId="0" fontId="57" fillId="14" borderId="0" applyNumberFormat="0" applyBorder="0" applyAlignment="0" applyProtection="0"/>
    <xf numFmtId="0" fontId="57" fillId="15" borderId="0" applyNumberFormat="0" applyBorder="0" applyAlignment="0" applyProtection="0"/>
    <xf numFmtId="0" fontId="57" fillId="16" borderId="0" applyNumberFormat="0" applyBorder="0" applyAlignment="0" applyProtection="0"/>
    <xf numFmtId="0" fontId="57" fillId="11" borderId="0" applyNumberFormat="0" applyBorder="0" applyAlignment="0" applyProtection="0"/>
    <xf numFmtId="0" fontId="57" fillId="14" borderId="0" applyNumberFormat="0" applyBorder="0" applyAlignment="0" applyProtection="0"/>
    <xf numFmtId="0" fontId="57" fillId="17" borderId="0" applyNumberFormat="0" applyBorder="0" applyAlignment="0" applyProtection="0"/>
    <xf numFmtId="43" fontId="5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108" fillId="0" borderId="0"/>
    <xf numFmtId="0" fontId="109" fillId="0" borderId="0"/>
    <xf numFmtId="9" fontId="52" fillId="0" borderId="0" applyFont="0" applyFill="0" applyBorder="0" applyAlignment="0" applyProtection="0"/>
    <xf numFmtId="0" fontId="52" fillId="0" borderId="0"/>
    <xf numFmtId="0" fontId="3" fillId="0" borderId="0"/>
    <xf numFmtId="0" fontId="110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52" fillId="0" borderId="0" applyFont="0" applyFill="0" applyBorder="0" applyAlignment="0" applyProtection="0"/>
    <xf numFmtId="0" fontId="52" fillId="0" borderId="0"/>
    <xf numFmtId="0" fontId="1" fillId="0" borderId="0"/>
    <xf numFmtId="0" fontId="52" fillId="0" borderId="0"/>
    <xf numFmtId="0" fontId="1" fillId="0" borderId="0"/>
  </cellStyleXfs>
  <cellXfs count="271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2" fillId="2" borderId="0" xfId="0" applyFont="1" applyFill="1" applyAlignment="1">
      <alignment horizontal="center" vertical="center"/>
    </xf>
    <xf numFmtId="49" fontId="56" fillId="0" borderId="0" xfId="0" applyNumberFormat="1" applyFont="1" applyAlignment="1">
      <alignment horizontal="center" vertical="center"/>
    </xf>
    <xf numFmtId="0" fontId="71" fillId="0" borderId="1" xfId="0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94" fillId="0" borderId="1" xfId="21" applyFont="1" applyBorder="1" applyAlignment="1">
      <alignment horizontal="center" vertical="center" wrapText="1"/>
    </xf>
    <xf numFmtId="2" fontId="94" fillId="0" borderId="1" xfId="0" applyNumberFormat="1" applyFont="1" applyBorder="1" applyAlignment="1">
      <alignment horizontal="center" vertical="center" wrapText="1"/>
    </xf>
    <xf numFmtId="0" fontId="94" fillId="0" borderId="1" xfId="0" applyFont="1" applyBorder="1" applyAlignment="1">
      <alignment horizontal="center" vertical="center" wrapText="1"/>
    </xf>
    <xf numFmtId="170" fontId="96" fillId="0" borderId="1" xfId="0" applyNumberFormat="1" applyFont="1" applyBorder="1" applyAlignment="1" applyProtection="1">
      <alignment horizontal="center" vertical="center"/>
      <protection locked="0"/>
    </xf>
    <xf numFmtId="0" fontId="96" fillId="0" borderId="1" xfId="0" applyFont="1" applyBorder="1" applyAlignment="1">
      <alignment horizontal="center" vertical="center"/>
    </xf>
    <xf numFmtId="0" fontId="96" fillId="0" borderId="0" xfId="0" applyFont="1" applyAlignment="1">
      <alignment horizontal="center" vertical="center"/>
    </xf>
    <xf numFmtId="170" fontId="58" fillId="0" borderId="0" xfId="0" applyNumberFormat="1" applyFont="1" applyAlignment="1">
      <alignment horizontal="center" vertical="center"/>
    </xf>
    <xf numFmtId="170" fontId="92" fillId="0" borderId="0" xfId="0" applyNumberFormat="1" applyFont="1" applyAlignment="1">
      <alignment horizontal="center" vertical="center"/>
    </xf>
    <xf numFmtId="170" fontId="56" fillId="0" borderId="0" xfId="0" applyNumberFormat="1" applyFont="1" applyAlignment="1">
      <alignment horizontal="center" vertical="center"/>
    </xf>
    <xf numFmtId="0" fontId="52" fillId="3" borderId="0" xfId="0" applyFont="1" applyFill="1" applyAlignment="1">
      <alignment horizontal="center" vertical="center"/>
    </xf>
    <xf numFmtId="49" fontId="52" fillId="0" borderId="0" xfId="0" applyNumberFormat="1" applyFont="1" applyAlignment="1">
      <alignment horizontal="center" vertical="center"/>
    </xf>
    <xf numFmtId="170" fontId="52" fillId="0" borderId="0" xfId="0" applyNumberFormat="1" applyFont="1" applyAlignment="1">
      <alignment horizontal="center" vertical="center"/>
    </xf>
    <xf numFmtId="1" fontId="56" fillId="0" borderId="0" xfId="0" applyNumberFormat="1" applyFont="1" applyAlignment="1">
      <alignment horizontal="center" vertical="center"/>
    </xf>
    <xf numFmtId="1" fontId="52" fillId="0" borderId="0" xfId="0" applyNumberFormat="1" applyFont="1" applyAlignment="1">
      <alignment horizontal="center" vertical="center"/>
    </xf>
    <xf numFmtId="0" fontId="52" fillId="0" borderId="0" xfId="0" applyFont="1" applyAlignment="1" applyProtection="1">
      <alignment horizontal="center" vertical="center" wrapText="1"/>
      <protection hidden="1"/>
    </xf>
    <xf numFmtId="0" fontId="52" fillId="0" borderId="0" xfId="0" applyFont="1" applyAlignment="1" applyProtection="1">
      <alignment horizontal="center" vertical="center"/>
      <protection hidden="1"/>
    </xf>
    <xf numFmtId="0" fontId="54" fillId="0" borderId="1" xfId="0" applyFont="1" applyBorder="1" applyAlignment="1" applyProtection="1">
      <alignment horizontal="center" vertical="center" wrapText="1"/>
      <protection hidden="1"/>
    </xf>
    <xf numFmtId="0" fontId="96" fillId="0" borderId="1" xfId="0" applyFont="1" applyBorder="1" applyAlignment="1" applyProtection="1">
      <alignment horizontal="center" vertical="center"/>
      <protection hidden="1"/>
    </xf>
    <xf numFmtId="170" fontId="52" fillId="0" borderId="1" xfId="0" applyNumberFormat="1" applyFont="1" applyBorder="1" applyAlignment="1" applyProtection="1">
      <alignment horizontal="center" vertical="center"/>
      <protection hidden="1"/>
    </xf>
    <xf numFmtId="164" fontId="52" fillId="0" borderId="1" xfId="0" applyNumberFormat="1" applyFont="1" applyBorder="1" applyAlignment="1" applyProtection="1">
      <alignment horizontal="center" vertical="center" wrapText="1"/>
      <protection hidden="1"/>
    </xf>
    <xf numFmtId="166" fontId="52" fillId="0" borderId="1" xfId="0" applyNumberFormat="1" applyFont="1" applyBorder="1" applyAlignment="1" applyProtection="1">
      <alignment horizontal="center" vertical="center" wrapText="1"/>
      <protection hidden="1"/>
    </xf>
    <xf numFmtId="165" fontId="52" fillId="0" borderId="1" xfId="0" applyNumberFormat="1" applyFont="1" applyBorder="1" applyAlignment="1" applyProtection="1">
      <alignment horizontal="center" vertical="center" wrapText="1"/>
      <protection hidden="1"/>
    </xf>
    <xf numFmtId="168" fontId="52" fillId="0" borderId="1" xfId="0" applyNumberFormat="1" applyFont="1" applyBorder="1" applyAlignment="1" applyProtection="1">
      <alignment horizontal="center" vertical="center" wrapText="1"/>
      <protection hidden="1"/>
    </xf>
    <xf numFmtId="169" fontId="52" fillId="0" borderId="1" xfId="0" applyNumberFormat="1" applyFont="1" applyBorder="1" applyAlignment="1" applyProtection="1">
      <alignment horizontal="center" vertical="center" wrapText="1"/>
      <protection hidden="1"/>
    </xf>
    <xf numFmtId="167" fontId="52" fillId="0" borderId="0" xfId="0" applyNumberFormat="1" applyFont="1" applyAlignment="1" applyProtection="1">
      <alignment horizontal="center" vertical="center" wrapText="1"/>
      <protection hidden="1"/>
    </xf>
    <xf numFmtId="167" fontId="52" fillId="0" borderId="1" xfId="0" applyNumberFormat="1" applyFont="1" applyBorder="1" applyAlignment="1" applyProtection="1">
      <alignment horizontal="center" vertical="center" wrapText="1"/>
      <protection hidden="1"/>
    </xf>
    <xf numFmtId="167" fontId="52" fillId="0" borderId="0" xfId="0" applyNumberFormat="1" applyFont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52" fillId="0" borderId="1" xfId="0" applyFont="1" applyBorder="1" applyAlignment="1" applyProtection="1">
      <alignment horizontal="center" vertical="center" wrapText="1"/>
      <protection hidden="1"/>
    </xf>
    <xf numFmtId="0" fontId="52" fillId="0" borderId="1" xfId="0" applyFont="1" applyBorder="1" applyAlignment="1" applyProtection="1">
      <alignment horizontal="center" vertical="center" textRotation="90" wrapText="1"/>
      <protection hidden="1"/>
    </xf>
    <xf numFmtId="167" fontId="56" fillId="0" borderId="0" xfId="0" applyNumberFormat="1" applyFont="1" applyAlignment="1">
      <alignment horizontal="center" vertical="center"/>
    </xf>
    <xf numFmtId="0" fontId="52" fillId="0" borderId="1" xfId="0" applyFont="1" applyBorder="1" applyAlignment="1" applyProtection="1">
      <alignment horizontal="center" vertical="center"/>
      <protection hidden="1"/>
    </xf>
    <xf numFmtId="0" fontId="52" fillId="0" borderId="1" xfId="0" applyFont="1" applyBorder="1" applyAlignment="1" applyProtection="1">
      <alignment horizontal="center" vertical="center" textRotation="90"/>
      <protection hidden="1"/>
    </xf>
    <xf numFmtId="0" fontId="52" fillId="0" borderId="1" xfId="0" quotePrefix="1" applyFont="1" applyBorder="1" applyAlignment="1" applyProtection="1">
      <alignment horizontal="center" vertical="center" wrapText="1"/>
      <protection hidden="1"/>
    </xf>
    <xf numFmtId="0" fontId="52" fillId="5" borderId="1" xfId="0" applyFont="1" applyFill="1" applyBorder="1" applyAlignment="1" applyProtection="1">
      <alignment horizontal="center" vertical="center"/>
      <protection hidden="1"/>
    </xf>
    <xf numFmtId="167" fontId="71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71" fillId="0" borderId="0" xfId="0" applyFont="1" applyAlignment="1">
      <alignment horizontal="center" vertical="center"/>
    </xf>
    <xf numFmtId="1" fontId="71" fillId="0" borderId="0" xfId="0" applyNumberFormat="1" applyFont="1" applyAlignment="1">
      <alignment horizontal="center" vertical="center"/>
    </xf>
    <xf numFmtId="9" fontId="52" fillId="0" borderId="1" xfId="519" applyFont="1" applyFill="1" applyBorder="1" applyAlignment="1" applyProtection="1">
      <alignment horizontal="center" vertical="center"/>
      <protection hidden="1"/>
    </xf>
    <xf numFmtId="14" fontId="52" fillId="0" borderId="0" xfId="0" applyNumberFormat="1" applyFont="1" applyAlignment="1">
      <alignment horizontal="center" vertical="center"/>
    </xf>
    <xf numFmtId="0" fontId="52" fillId="4" borderId="1" xfId="0" applyFont="1" applyFill="1" applyBorder="1" applyAlignment="1" applyProtection="1">
      <alignment horizontal="center" vertical="center" wrapText="1"/>
      <protection hidden="1"/>
    </xf>
    <xf numFmtId="16" fontId="52" fillId="0" borderId="1" xfId="0" applyNumberFormat="1" applyFont="1" applyBorder="1" applyAlignment="1" applyProtection="1">
      <alignment horizontal="center" vertical="center" textRotation="90"/>
      <protection hidden="1"/>
    </xf>
    <xf numFmtId="16" fontId="52" fillId="0" borderId="1" xfId="0" applyNumberFormat="1" applyFont="1" applyBorder="1" applyAlignment="1" applyProtection="1">
      <alignment horizontal="center" vertical="center" textRotation="90" wrapText="1"/>
      <protection hidden="1"/>
    </xf>
    <xf numFmtId="0" fontId="52" fillId="0" borderId="11" xfId="0" applyFont="1" applyBorder="1" applyAlignment="1" applyProtection="1">
      <alignment horizontal="center" vertical="center" wrapText="1"/>
      <protection hidden="1"/>
    </xf>
    <xf numFmtId="0" fontId="52" fillId="0" borderId="30" xfId="0" applyFont="1" applyBorder="1" applyAlignment="1" applyProtection="1">
      <alignment horizontal="center" vertical="center" wrapText="1"/>
      <protection hidden="1"/>
    </xf>
    <xf numFmtId="0" fontId="52" fillId="0" borderId="6" xfId="0" applyFont="1" applyBorder="1" applyAlignment="1" applyProtection="1">
      <alignment horizontal="center" vertical="center"/>
      <protection hidden="1"/>
    </xf>
    <xf numFmtId="167" fontId="52" fillId="0" borderId="1" xfId="0" applyNumberFormat="1" applyFont="1" applyBorder="1" applyAlignment="1" applyProtection="1">
      <alignment horizontal="center" vertical="center"/>
      <protection hidden="1"/>
    </xf>
    <xf numFmtId="16" fontId="52" fillId="5" borderId="1" xfId="0" applyNumberFormat="1" applyFont="1" applyFill="1" applyBorder="1" applyAlignment="1" applyProtection="1">
      <alignment horizontal="center" vertical="center"/>
      <protection hidden="1"/>
    </xf>
    <xf numFmtId="16" fontId="52" fillId="0" borderId="1" xfId="0" applyNumberFormat="1" applyFont="1" applyBorder="1" applyAlignment="1" applyProtection="1">
      <alignment horizontal="center" vertical="center" wrapText="1"/>
      <protection hidden="1"/>
    </xf>
    <xf numFmtId="16" fontId="52" fillId="5" borderId="1" xfId="0" applyNumberFormat="1" applyFont="1" applyFill="1" applyBorder="1" applyAlignment="1" applyProtection="1">
      <alignment horizontal="center" vertical="center" wrapText="1"/>
      <protection hidden="1"/>
    </xf>
    <xf numFmtId="16" fontId="52" fillId="7" borderId="1" xfId="0" applyNumberFormat="1" applyFont="1" applyFill="1" applyBorder="1" applyAlignment="1" applyProtection="1">
      <alignment horizontal="center" vertical="center" wrapText="1"/>
      <protection hidden="1"/>
    </xf>
    <xf numFmtId="16" fontId="52" fillId="6" borderId="1" xfId="0" applyNumberFormat="1" applyFont="1" applyFill="1" applyBorder="1" applyAlignment="1" applyProtection="1">
      <alignment horizontal="center" vertical="center" wrapText="1"/>
      <protection hidden="1"/>
    </xf>
    <xf numFmtId="0" fontId="52" fillId="6" borderId="1" xfId="0" applyFont="1" applyFill="1" applyBorder="1" applyAlignment="1" applyProtection="1">
      <alignment horizontal="center" vertical="center" wrapText="1"/>
      <protection hidden="1"/>
    </xf>
    <xf numFmtId="16" fontId="52" fillId="6" borderId="1" xfId="0" applyNumberFormat="1" applyFont="1" applyFill="1" applyBorder="1" applyAlignment="1" applyProtection="1">
      <alignment horizontal="center" vertical="center"/>
      <protection hidden="1"/>
    </xf>
    <xf numFmtId="0" fontId="52" fillId="6" borderId="1" xfId="0" applyFont="1" applyFill="1" applyBorder="1" applyAlignment="1" applyProtection="1">
      <alignment horizontal="center" vertical="center"/>
      <protection hidden="1"/>
    </xf>
    <xf numFmtId="0" fontId="52" fillId="5" borderId="1" xfId="0" applyFont="1" applyFill="1" applyBorder="1" applyAlignment="1" applyProtection="1">
      <alignment horizontal="center" vertical="center" wrapText="1"/>
      <protection hidden="1"/>
    </xf>
    <xf numFmtId="0" fontId="52" fillId="7" borderId="1" xfId="0" applyFont="1" applyFill="1" applyBorder="1" applyAlignment="1" applyProtection="1">
      <alignment horizontal="center" vertical="center" wrapText="1"/>
      <protection hidden="1"/>
    </xf>
    <xf numFmtId="16" fontId="52" fillId="7" borderId="1" xfId="0" applyNumberFormat="1" applyFont="1" applyFill="1" applyBorder="1" applyAlignment="1" applyProtection="1">
      <alignment horizontal="center" vertical="center"/>
      <protection hidden="1"/>
    </xf>
    <xf numFmtId="0" fontId="52" fillId="7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14" fontId="52" fillId="0" borderId="0" xfId="0" applyNumberFormat="1" applyFont="1" applyAlignment="1">
      <alignment vertical="center"/>
    </xf>
    <xf numFmtId="0" fontId="52" fillId="0" borderId="0" xfId="0" applyFont="1"/>
    <xf numFmtId="0" fontId="71" fillId="0" borderId="4" xfId="21" applyFont="1" applyBorder="1" applyAlignment="1">
      <alignment horizontal="center" vertical="center"/>
    </xf>
    <xf numFmtId="1" fontId="52" fillId="0" borderId="5" xfId="0" applyNumberFormat="1" applyFont="1" applyBorder="1" applyAlignment="1">
      <alignment horizontal="center" vertical="center"/>
    </xf>
    <xf numFmtId="1" fontId="52" fillId="0" borderId="1" xfId="0" applyNumberFormat="1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71" fillId="0" borderId="0" xfId="0" applyFont="1"/>
    <xf numFmtId="0" fontId="71" fillId="0" borderId="1" xfId="0" applyFont="1" applyBorder="1"/>
    <xf numFmtId="0" fontId="71" fillId="0" borderId="8" xfId="0" applyFont="1" applyBorder="1"/>
    <xf numFmtId="0" fontId="52" fillId="0" borderId="1" xfId="0" applyFont="1" applyBorder="1"/>
    <xf numFmtId="0" fontId="52" fillId="0" borderId="3" xfId="0" applyFont="1" applyBorder="1"/>
    <xf numFmtId="0" fontId="52" fillId="0" borderId="1" xfId="0" applyFont="1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52" fillId="0" borderId="1" xfId="0" applyFont="1" applyBorder="1" applyAlignment="1">
      <alignment horizontal="left" vertical="center"/>
    </xf>
    <xf numFmtId="0" fontId="103" fillId="0" borderId="0" xfId="0" applyFont="1" applyAlignment="1">
      <alignment horizontal="center" vertical="center"/>
    </xf>
    <xf numFmtId="0" fontId="101" fillId="0" borderId="1" xfId="0" applyFont="1" applyBorder="1" applyAlignment="1">
      <alignment horizontal="center" vertical="center"/>
    </xf>
    <xf numFmtId="0" fontId="103" fillId="0" borderId="1" xfId="0" applyFont="1" applyBorder="1" applyAlignment="1">
      <alignment horizontal="center" vertical="center"/>
    </xf>
    <xf numFmtId="0" fontId="104" fillId="0" borderId="1" xfId="0" applyFont="1" applyBorder="1" applyAlignment="1">
      <alignment horizontal="center" vertical="center"/>
    </xf>
    <xf numFmtId="0" fontId="52" fillId="33" borderId="1" xfId="523" applyFont="1" applyFill="1" applyBorder="1" applyAlignment="1">
      <alignment horizontal="center" vertical="center" wrapText="1"/>
    </xf>
    <xf numFmtId="1" fontId="52" fillId="33" borderId="1" xfId="21" applyNumberFormat="1" applyFont="1" applyFill="1" applyBorder="1" applyAlignment="1">
      <alignment horizontal="center" vertical="center"/>
    </xf>
    <xf numFmtId="0" fontId="52" fillId="33" borderId="5" xfId="523" applyFont="1" applyFill="1" applyBorder="1" applyAlignment="1">
      <alignment horizontal="center" vertical="center" wrapText="1"/>
    </xf>
    <xf numFmtId="1" fontId="55" fillId="33" borderId="1" xfId="0" applyNumberFormat="1" applyFont="1" applyFill="1" applyBorder="1" applyAlignment="1">
      <alignment horizontal="center" vertical="center"/>
    </xf>
    <xf numFmtId="0" fontId="52" fillId="5" borderId="1" xfId="0" applyFont="1" applyFill="1" applyBorder="1" applyAlignment="1">
      <alignment horizontal="center" vertical="center" wrapText="1"/>
    </xf>
    <xf numFmtId="0" fontId="52" fillId="5" borderId="27" xfId="0" applyFont="1" applyFill="1" applyBorder="1" applyAlignment="1">
      <alignment horizontal="center" vertical="center" wrapText="1"/>
    </xf>
    <xf numFmtId="1" fontId="52" fillId="5" borderId="1" xfId="0" applyNumberFormat="1" applyFont="1" applyFill="1" applyBorder="1" applyAlignment="1">
      <alignment horizontal="center" vertical="center"/>
    </xf>
    <xf numFmtId="0" fontId="52" fillId="7" borderId="5" xfId="0" applyFont="1" applyFill="1" applyBorder="1" applyAlignment="1">
      <alignment horizontal="center" vertical="center" wrapText="1"/>
    </xf>
    <xf numFmtId="0" fontId="52" fillId="7" borderId="1" xfId="0" applyFont="1" applyFill="1" applyBorder="1" applyAlignment="1">
      <alignment horizontal="center" vertical="center" wrapText="1"/>
    </xf>
    <xf numFmtId="0" fontId="52" fillId="7" borderId="27" xfId="0" applyFont="1" applyFill="1" applyBorder="1" applyAlignment="1">
      <alignment horizontal="center" vertical="center" wrapText="1"/>
    </xf>
    <xf numFmtId="0" fontId="52" fillId="6" borderId="28" xfId="0" applyFont="1" applyFill="1" applyBorder="1" applyAlignment="1">
      <alignment horizontal="center" vertical="center" wrapText="1"/>
    </xf>
    <xf numFmtId="0" fontId="52" fillId="6" borderId="1" xfId="0" applyFont="1" applyFill="1" applyBorder="1" applyAlignment="1">
      <alignment horizontal="center" vertical="center" wrapText="1"/>
    </xf>
    <xf numFmtId="0" fontId="54" fillId="6" borderId="27" xfId="0" applyFont="1" applyFill="1" applyBorder="1" applyAlignment="1">
      <alignment horizontal="center" vertical="center" wrapText="1"/>
    </xf>
    <xf numFmtId="9" fontId="52" fillId="0" borderId="1" xfId="576" applyFont="1" applyFill="1" applyBorder="1" applyAlignment="1" applyProtection="1">
      <alignment horizontal="center" vertical="center"/>
      <protection hidden="1"/>
    </xf>
    <xf numFmtId="0" fontId="52" fillId="0" borderId="0" xfId="0" applyFont="1" applyAlignment="1">
      <alignment horizontal="left" vertical="center"/>
    </xf>
    <xf numFmtId="164" fontId="52" fillId="34" borderId="1" xfId="0" applyNumberFormat="1" applyFont="1" applyFill="1" applyBorder="1" applyAlignment="1" applyProtection="1">
      <alignment horizontal="center" vertical="center" wrapText="1"/>
      <protection hidden="1"/>
    </xf>
    <xf numFmtId="166" fontId="52" fillId="34" borderId="1" xfId="0" applyNumberFormat="1" applyFont="1" applyFill="1" applyBorder="1" applyAlignment="1" applyProtection="1">
      <alignment horizontal="center" vertical="center" wrapText="1"/>
      <protection hidden="1"/>
    </xf>
    <xf numFmtId="169" fontId="52" fillId="34" borderId="1" xfId="0" applyNumberFormat="1" applyFont="1" applyFill="1" applyBorder="1" applyAlignment="1" applyProtection="1">
      <alignment horizontal="center" vertical="center" wrapText="1"/>
      <protection hidden="1"/>
    </xf>
    <xf numFmtId="0" fontId="52" fillId="0" borderId="0" xfId="0" applyFont="1" applyAlignment="1">
      <alignment horizontal="center" vertical="center" wrapText="1"/>
    </xf>
    <xf numFmtId="0" fontId="56" fillId="0" borderId="0" xfId="0" applyFont="1" applyAlignment="1">
      <alignment horizontal="center" vertical="center" wrapText="1"/>
    </xf>
    <xf numFmtId="167" fontId="71" fillId="0" borderId="1" xfId="0" applyNumberFormat="1" applyFont="1" applyBorder="1" applyAlignment="1">
      <alignment horizontal="center" vertical="center" wrapText="1"/>
    </xf>
    <xf numFmtId="0" fontId="71" fillId="0" borderId="0" xfId="0" applyFont="1" applyAlignment="1">
      <alignment horizontal="center" vertical="center" wrapText="1"/>
    </xf>
    <xf numFmtId="0" fontId="101" fillId="0" borderId="0" xfId="0" applyFont="1" applyAlignment="1">
      <alignment horizontal="center" vertical="center"/>
    </xf>
    <xf numFmtId="0" fontId="52" fillId="0" borderId="1" xfId="0" applyFont="1" applyBorder="1" applyAlignment="1">
      <alignment horizontal="center" vertical="center" wrapText="1"/>
    </xf>
    <xf numFmtId="0" fontId="71" fillId="0" borderId="1" xfId="0" applyFont="1" applyBorder="1" applyAlignment="1">
      <alignment horizontal="center" vertical="center" wrapText="1"/>
    </xf>
    <xf numFmtId="0" fontId="96" fillId="0" borderId="1" xfId="0" applyFont="1" applyBorder="1" applyAlignment="1">
      <alignment horizontal="left" vertical="center"/>
    </xf>
    <xf numFmtId="0" fontId="96" fillId="0" borderId="0" xfId="0" applyFont="1" applyAlignment="1">
      <alignment horizontal="left" vertical="center"/>
    </xf>
    <xf numFmtId="0" fontId="52" fillId="0" borderId="1" xfId="0" applyFont="1" applyBorder="1" applyAlignment="1" applyProtection="1">
      <alignment horizontal="center" vertical="top" wrapText="1"/>
      <protection hidden="1"/>
    </xf>
    <xf numFmtId="16" fontId="52" fillId="0" borderId="1" xfId="0" applyNumberFormat="1" applyFont="1" applyBorder="1" applyAlignment="1" applyProtection="1">
      <alignment horizontal="center" vertical="center"/>
      <protection hidden="1"/>
    </xf>
    <xf numFmtId="0" fontId="52" fillId="35" borderId="1" xfId="0" applyFont="1" applyFill="1" applyBorder="1" applyAlignment="1" applyProtection="1">
      <alignment horizontal="center" vertical="center"/>
      <protection hidden="1"/>
    </xf>
    <xf numFmtId="0" fontId="52" fillId="36" borderId="1" xfId="0" applyFont="1" applyFill="1" applyBorder="1" applyAlignment="1" applyProtection="1">
      <alignment horizontal="center" vertical="center"/>
      <protection hidden="1"/>
    </xf>
    <xf numFmtId="0" fontId="52" fillId="37" borderId="1" xfId="0" applyFont="1" applyFill="1" applyBorder="1" applyAlignment="1" applyProtection="1">
      <alignment horizontal="center" vertical="center"/>
      <protection hidden="1"/>
    </xf>
    <xf numFmtId="0" fontId="71" fillId="0" borderId="0" xfId="21" applyFont="1" applyAlignment="1">
      <alignment horizontal="center" vertical="center"/>
    </xf>
    <xf numFmtId="0" fontId="56" fillId="0" borderId="0" xfId="0" applyFont="1" applyAlignment="1">
      <alignment vertical="center"/>
    </xf>
    <xf numFmtId="0" fontId="52" fillId="0" borderId="0" xfId="21" applyFont="1" applyAlignment="1">
      <alignment vertical="center"/>
    </xf>
    <xf numFmtId="0" fontId="52" fillId="0" borderId="0" xfId="0" applyFont="1" applyAlignment="1">
      <alignment vertical="center"/>
    </xf>
    <xf numFmtId="1" fontId="99" fillId="0" borderId="0" xfId="0" applyNumberFormat="1" applyFont="1" applyAlignment="1">
      <alignment vertical="center"/>
    </xf>
    <xf numFmtId="1" fontId="102" fillId="0" borderId="0" xfId="0" applyNumberFormat="1" applyFont="1" applyAlignment="1">
      <alignment vertical="center"/>
    </xf>
    <xf numFmtId="1" fontId="52" fillId="0" borderId="0" xfId="21" applyNumberFormat="1" applyFont="1" applyAlignment="1">
      <alignment horizontal="center" vertical="center"/>
    </xf>
    <xf numFmtId="1" fontId="55" fillId="0" borderId="0" xfId="0" applyNumberFormat="1" applyFont="1" applyAlignment="1">
      <alignment horizontal="center" vertical="center"/>
    </xf>
    <xf numFmtId="0" fontId="52" fillId="0" borderId="0" xfId="0" applyFont="1" applyAlignment="1">
      <alignment horizontal="center" vertical="center" textRotation="90"/>
    </xf>
    <xf numFmtId="1" fontId="0" fillId="0" borderId="0" xfId="0" applyNumberFormat="1" applyAlignment="1">
      <alignment horizontal="center" vertical="center"/>
    </xf>
    <xf numFmtId="167" fontId="52" fillId="34" borderId="1" xfId="0" applyNumberFormat="1" applyFont="1" applyFill="1" applyBorder="1" applyAlignment="1" applyProtection="1">
      <alignment horizontal="center" vertical="center"/>
      <protection hidden="1"/>
    </xf>
    <xf numFmtId="0" fontId="52" fillId="0" borderId="3" xfId="0" applyFont="1" applyBorder="1" applyAlignment="1">
      <alignment horizontal="center" vertical="center"/>
    </xf>
    <xf numFmtId="0" fontId="71" fillId="0" borderId="3" xfId="0" applyFont="1" applyBorder="1" applyAlignment="1">
      <alignment horizontal="center" vertical="center"/>
    </xf>
    <xf numFmtId="1" fontId="52" fillId="5" borderId="4" xfId="0" applyNumberFormat="1" applyFont="1" applyFill="1" applyBorder="1" applyAlignment="1">
      <alignment horizontal="center" vertical="center"/>
    </xf>
    <xf numFmtId="1" fontId="52" fillId="7" borderId="1" xfId="0" applyNumberFormat="1" applyFont="1" applyFill="1" applyBorder="1" applyAlignment="1">
      <alignment horizontal="center" vertical="center"/>
    </xf>
    <xf numFmtId="1" fontId="52" fillId="6" borderId="1" xfId="0" applyNumberFormat="1" applyFont="1" applyFill="1" applyBorder="1" applyAlignment="1">
      <alignment horizontal="center" vertical="center"/>
    </xf>
    <xf numFmtId="0" fontId="103" fillId="0" borderId="1" xfId="0" applyFont="1" applyBorder="1" applyAlignment="1">
      <alignment horizontal="left" vertical="center"/>
    </xf>
    <xf numFmtId="0" fontId="52" fillId="4" borderId="1" xfId="0" quotePrefix="1" applyFont="1" applyFill="1" applyBorder="1" applyAlignment="1" applyProtection="1">
      <alignment horizontal="center" vertical="center" wrapText="1"/>
      <protection hidden="1"/>
    </xf>
    <xf numFmtId="0" fontId="52" fillId="0" borderId="28" xfId="0" applyFont="1" applyBorder="1" applyAlignment="1">
      <alignment horizontal="center" vertical="center"/>
    </xf>
    <xf numFmtId="0" fontId="52" fillId="0" borderId="27" xfId="0" applyFont="1" applyBorder="1" applyAlignment="1">
      <alignment horizontal="center" vertical="center"/>
    </xf>
    <xf numFmtId="0" fontId="52" fillId="0" borderId="5" xfId="0" applyFont="1" applyBorder="1" applyAlignment="1">
      <alignment horizontal="center" vertical="center"/>
    </xf>
    <xf numFmtId="164" fontId="71" fillId="0" borderId="1" xfId="0" applyNumberFormat="1" applyFont="1" applyBorder="1" applyAlignment="1" applyProtection="1">
      <alignment horizontal="center" vertical="center" wrapText="1"/>
      <protection hidden="1"/>
    </xf>
    <xf numFmtId="0" fontId="95" fillId="0" borderId="1" xfId="0" applyFont="1" applyBorder="1" applyAlignment="1" applyProtection="1">
      <alignment horizontal="center" vertical="center" wrapText="1"/>
      <protection hidden="1"/>
    </xf>
    <xf numFmtId="0" fontId="52" fillId="0" borderId="6" xfId="0" applyFont="1" applyBorder="1" applyAlignment="1" applyProtection="1">
      <alignment horizontal="center" vertical="center" wrapText="1"/>
      <protection hidden="1"/>
    </xf>
    <xf numFmtId="0" fontId="52" fillId="0" borderId="1" xfId="0" applyFont="1" applyBorder="1" applyAlignment="1" applyProtection="1">
      <alignment vertical="center" wrapText="1"/>
      <protection hidden="1"/>
    </xf>
    <xf numFmtId="0" fontId="52" fillId="4" borderId="6" xfId="0" applyFont="1" applyFill="1" applyBorder="1" applyAlignment="1" applyProtection="1">
      <alignment horizontal="center" vertical="center" wrapText="1"/>
      <protection hidden="1"/>
    </xf>
    <xf numFmtId="164" fontId="71" fillId="34" borderId="1" xfId="0" applyNumberFormat="1" applyFont="1" applyFill="1" applyBorder="1" applyAlignment="1" applyProtection="1">
      <alignment horizontal="center" vertical="center" wrapText="1"/>
      <protection hidden="1"/>
    </xf>
    <xf numFmtId="0" fontId="52" fillId="4" borderId="1" xfId="0" applyFont="1" applyFill="1" applyBorder="1" applyAlignment="1" applyProtection="1">
      <alignment horizontal="center" vertical="top" wrapText="1"/>
      <protection hidden="1"/>
    </xf>
    <xf numFmtId="0" fontId="103" fillId="0" borderId="0" xfId="0" applyFont="1" applyAlignment="1">
      <alignment horizontal="left" vertical="center"/>
    </xf>
    <xf numFmtId="16" fontId="52" fillId="0" borderId="6" xfId="0" applyNumberFormat="1" applyFont="1" applyBorder="1" applyAlignment="1" applyProtection="1">
      <alignment horizontal="center" vertical="center" textRotation="90" wrapText="1"/>
      <protection hidden="1"/>
    </xf>
    <xf numFmtId="0" fontId="111" fillId="0" borderId="1" xfId="0" applyFont="1" applyBorder="1" applyAlignment="1" applyProtection="1">
      <alignment horizontal="center" vertical="center" wrapText="1"/>
      <protection hidden="1"/>
    </xf>
    <xf numFmtId="0" fontId="95" fillId="0" borderId="1" xfId="0" applyFont="1" applyBorder="1" applyAlignment="1" applyProtection="1">
      <alignment horizontal="center" vertical="center"/>
      <protection hidden="1"/>
    </xf>
    <xf numFmtId="0" fontId="52" fillId="0" borderId="6" xfId="0" quotePrefix="1" applyFont="1" applyBorder="1" applyAlignment="1" applyProtection="1">
      <alignment horizontal="center" vertical="center" wrapText="1"/>
      <protection hidden="1"/>
    </xf>
    <xf numFmtId="0" fontId="70" fillId="0" borderId="1" xfId="0" applyFont="1" applyBorder="1" applyAlignment="1" applyProtection="1">
      <alignment horizontal="center" vertical="center"/>
      <protection hidden="1"/>
    </xf>
    <xf numFmtId="16" fontId="52" fillId="0" borderId="1" xfId="0" quotePrefix="1" applyNumberFormat="1" applyFont="1" applyBorder="1" applyAlignment="1" applyProtection="1">
      <alignment horizontal="center" vertical="center" wrapText="1"/>
      <protection hidden="1"/>
    </xf>
    <xf numFmtId="46" fontId="52" fillId="0" borderId="1" xfId="0" applyNumberFormat="1" applyFont="1" applyBorder="1" applyAlignment="1" applyProtection="1">
      <alignment horizontal="center" vertical="center"/>
      <protection hidden="1"/>
    </xf>
    <xf numFmtId="0" fontId="52" fillId="4" borderId="1" xfId="0" applyFont="1" applyFill="1" applyBorder="1" applyAlignment="1" applyProtection="1">
      <alignment horizontal="center" vertical="center"/>
      <protection hidden="1"/>
    </xf>
    <xf numFmtId="1" fontId="0" fillId="0" borderId="0" xfId="0" applyNumberFormat="1"/>
    <xf numFmtId="16" fontId="52" fillId="0" borderId="1" xfId="0" applyNumberFormat="1" applyFont="1" applyBorder="1" applyAlignment="1" applyProtection="1">
      <alignment vertical="center" wrapText="1"/>
      <protection hidden="1"/>
    </xf>
    <xf numFmtId="166" fontId="52" fillId="38" borderId="1" xfId="0" applyNumberFormat="1" applyFont="1" applyFill="1" applyBorder="1" applyAlignment="1" applyProtection="1">
      <alignment horizontal="center" vertical="center" wrapText="1"/>
      <protection hidden="1"/>
    </xf>
    <xf numFmtId="164" fontId="52" fillId="38" borderId="1" xfId="0" applyNumberFormat="1" applyFont="1" applyFill="1" applyBorder="1" applyAlignment="1" applyProtection="1">
      <alignment horizontal="center" vertical="center" wrapText="1"/>
      <protection hidden="1"/>
    </xf>
    <xf numFmtId="0" fontId="52" fillId="39" borderId="1" xfId="0" applyFont="1" applyFill="1" applyBorder="1" applyAlignment="1" applyProtection="1">
      <alignment horizontal="center" vertical="center"/>
      <protection hidden="1"/>
    </xf>
    <xf numFmtId="0" fontId="52" fillId="39" borderId="1" xfId="0" applyFont="1" applyFill="1" applyBorder="1" applyAlignment="1" applyProtection="1">
      <alignment horizontal="center" vertical="center" wrapText="1"/>
      <protection hidden="1"/>
    </xf>
    <xf numFmtId="169" fontId="52" fillId="39" borderId="1" xfId="0" applyNumberFormat="1" applyFont="1" applyFill="1" applyBorder="1" applyAlignment="1" applyProtection="1">
      <alignment horizontal="center" vertical="center" wrapText="1"/>
      <protection hidden="1"/>
    </xf>
    <xf numFmtId="166" fontId="52" fillId="39" borderId="1" xfId="0" applyNumberFormat="1" applyFont="1" applyFill="1" applyBorder="1" applyAlignment="1" applyProtection="1">
      <alignment horizontal="center" vertical="center" wrapText="1"/>
      <protection hidden="1"/>
    </xf>
    <xf numFmtId="167" fontId="52" fillId="39" borderId="1" xfId="0" applyNumberFormat="1" applyFont="1" applyFill="1" applyBorder="1" applyAlignment="1" applyProtection="1">
      <alignment horizontal="center" vertical="center"/>
      <protection hidden="1"/>
    </xf>
    <xf numFmtId="165" fontId="52" fillId="38" borderId="1" xfId="0" applyNumberFormat="1" applyFont="1" applyFill="1" applyBorder="1" applyAlignment="1" applyProtection="1">
      <alignment horizontal="center" vertical="center" wrapText="1"/>
      <protection hidden="1"/>
    </xf>
    <xf numFmtId="167" fontId="52" fillId="38" borderId="1" xfId="0" applyNumberFormat="1" applyFont="1" applyFill="1" applyBorder="1" applyAlignment="1" applyProtection="1">
      <alignment horizontal="center" vertical="center"/>
      <protection hidden="1"/>
    </xf>
    <xf numFmtId="1" fontId="102" fillId="0" borderId="2" xfId="0" applyNumberFormat="1" applyFont="1" applyBorder="1" applyAlignment="1">
      <alignment horizontal="center" vertical="center"/>
    </xf>
    <xf numFmtId="1" fontId="102" fillId="0" borderId="5" xfId="0" applyNumberFormat="1" applyFont="1" applyBorder="1" applyAlignment="1">
      <alignment horizontal="center" vertical="center"/>
    </xf>
    <xf numFmtId="1" fontId="99" fillId="0" borderId="2" xfId="0" applyNumberFormat="1" applyFont="1" applyBorder="1" applyAlignment="1">
      <alignment horizontal="center" vertical="center"/>
    </xf>
    <xf numFmtId="0" fontId="52" fillId="0" borderId="1" xfId="21" applyFont="1" applyBorder="1" applyAlignment="1">
      <alignment horizontal="center" vertical="center"/>
    </xf>
    <xf numFmtId="0" fontId="52" fillId="0" borderId="27" xfId="21" applyFont="1" applyBorder="1" applyAlignment="1">
      <alignment horizontal="center" vertical="center"/>
    </xf>
    <xf numFmtId="0" fontId="52" fillId="0" borderId="28" xfId="0" applyFont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52" fillId="0" borderId="27" xfId="0" applyFont="1" applyBorder="1" applyAlignment="1">
      <alignment horizontal="center" vertical="center"/>
    </xf>
    <xf numFmtId="0" fontId="52" fillId="0" borderId="5" xfId="0" applyFont="1" applyBorder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98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71" fillId="0" borderId="0" xfId="0" applyFont="1" applyAlignment="1">
      <alignment horizontal="left"/>
    </xf>
    <xf numFmtId="0" fontId="71" fillId="0" borderId="1" xfId="0" applyFont="1" applyBorder="1" applyAlignment="1">
      <alignment horizontal="left"/>
    </xf>
    <xf numFmtId="1" fontId="56" fillId="0" borderId="4" xfId="0" applyNumberFormat="1" applyFont="1" applyBorder="1" applyAlignment="1">
      <alignment horizontal="center" vertical="center"/>
    </xf>
    <xf numFmtId="1" fontId="56" fillId="0" borderId="2" xfId="0" applyNumberFormat="1" applyFont="1" applyBorder="1" applyAlignment="1">
      <alignment horizontal="center" vertical="center"/>
    </xf>
    <xf numFmtId="1" fontId="56" fillId="0" borderId="5" xfId="0" applyNumberFormat="1" applyFont="1" applyBorder="1" applyAlignment="1">
      <alignment horizontal="center" vertical="center"/>
    </xf>
    <xf numFmtId="0" fontId="52" fillId="0" borderId="0" xfId="21" applyFont="1" applyAlignment="1">
      <alignment horizontal="center" vertical="center"/>
    </xf>
    <xf numFmtId="1" fontId="99" fillId="0" borderId="0" xfId="0" applyNumberFormat="1" applyFont="1" applyAlignment="1">
      <alignment horizontal="center" vertical="center"/>
    </xf>
    <xf numFmtId="0" fontId="71" fillId="0" borderId="4" xfId="0" applyFont="1" applyBorder="1" applyAlignment="1">
      <alignment horizontal="left"/>
    </xf>
    <xf numFmtId="0" fontId="71" fillId="0" borderId="5" xfId="0" applyFont="1" applyBorder="1" applyAlignment="1">
      <alignment horizontal="left"/>
    </xf>
    <xf numFmtId="0" fontId="52" fillId="0" borderId="0" xfId="0" applyFont="1" applyAlignment="1">
      <alignment horizontal="center" vertical="center"/>
    </xf>
    <xf numFmtId="1" fontId="56" fillId="0" borderId="0" xfId="0" applyNumberFormat="1" applyFont="1" applyAlignment="1">
      <alignment horizontal="center" vertical="center"/>
    </xf>
    <xf numFmtId="1" fontId="102" fillId="0" borderId="0" xfId="0" applyNumberFormat="1" applyFont="1" applyAlignment="1">
      <alignment horizontal="center" vertical="center"/>
    </xf>
    <xf numFmtId="0" fontId="56" fillId="0" borderId="4" xfId="0" applyFont="1" applyBorder="1" applyAlignment="1">
      <alignment horizontal="center" vertical="center"/>
    </xf>
    <xf numFmtId="0" fontId="56" fillId="0" borderId="2" xfId="0" applyFont="1" applyBorder="1" applyAlignment="1">
      <alignment horizontal="center" vertical="center"/>
    </xf>
    <xf numFmtId="0" fontId="56" fillId="0" borderId="5" xfId="0" applyFont="1" applyBorder="1" applyAlignment="1">
      <alignment horizontal="center" vertical="center"/>
    </xf>
    <xf numFmtId="0" fontId="52" fillId="0" borderId="9" xfId="0" applyFont="1" applyBorder="1" applyAlignment="1" applyProtection="1">
      <alignment horizontal="center" vertical="center" wrapText="1"/>
      <protection hidden="1"/>
    </xf>
    <xf numFmtId="0" fontId="52" fillId="0" borderId="31" xfId="0" applyFont="1" applyBorder="1" applyAlignment="1" applyProtection="1">
      <alignment horizontal="center" vertical="center" wrapText="1"/>
      <protection hidden="1"/>
    </xf>
    <xf numFmtId="0" fontId="52" fillId="0" borderId="11" xfId="0" applyFont="1" applyBorder="1" applyAlignment="1" applyProtection="1">
      <alignment horizontal="center" vertical="center" wrapText="1"/>
      <protection hidden="1"/>
    </xf>
    <xf numFmtId="0" fontId="52" fillId="0" borderId="29" xfId="0" applyFont="1" applyBorder="1" applyAlignment="1" applyProtection="1">
      <alignment horizontal="center" vertical="center" wrapText="1"/>
      <protection hidden="1"/>
    </xf>
    <xf numFmtId="0" fontId="52" fillId="0" borderId="7" xfId="0" applyFont="1" applyBorder="1" applyAlignment="1" applyProtection="1">
      <alignment horizontal="center" vertical="center" wrapText="1"/>
      <protection hidden="1"/>
    </xf>
    <xf numFmtId="0" fontId="52" fillId="0" borderId="30" xfId="0" applyFont="1" applyBorder="1" applyAlignment="1" applyProtection="1">
      <alignment horizontal="center" vertical="center" wrapText="1"/>
      <protection hidden="1"/>
    </xf>
    <xf numFmtId="0" fontId="52" fillId="0" borderId="4" xfId="0" applyFont="1" applyBorder="1" applyAlignment="1">
      <alignment horizontal="center" vertical="center"/>
    </xf>
    <xf numFmtId="0" fontId="52" fillId="0" borderId="1" xfId="0" applyFont="1" applyBorder="1" applyAlignment="1">
      <alignment horizontal="center" vertical="center" wrapText="1"/>
    </xf>
    <xf numFmtId="0" fontId="71" fillId="0" borderId="4" xfId="0" applyFont="1" applyBorder="1" applyAlignment="1">
      <alignment horizontal="center" vertical="center"/>
    </xf>
    <xf numFmtId="0" fontId="71" fillId="0" borderId="5" xfId="0" applyFont="1" applyBorder="1" applyAlignment="1">
      <alignment horizontal="center" vertical="center"/>
    </xf>
    <xf numFmtId="0" fontId="71" fillId="0" borderId="1" xfId="0" applyFont="1" applyBorder="1" applyAlignment="1">
      <alignment horizontal="center" vertical="center" wrapText="1"/>
    </xf>
    <xf numFmtId="0" fontId="71" fillId="0" borderId="1" xfId="0" applyFont="1" applyBorder="1" applyAlignment="1">
      <alignment horizontal="center" vertical="center"/>
    </xf>
    <xf numFmtId="0" fontId="97" fillId="0" borderId="1" xfId="0" applyFont="1" applyBorder="1" applyAlignment="1">
      <alignment horizontal="center" vertical="center"/>
    </xf>
    <xf numFmtId="0" fontId="93" fillId="0" borderId="4" xfId="0" applyFont="1" applyBorder="1" applyAlignment="1">
      <alignment horizontal="center" vertical="center"/>
    </xf>
    <xf numFmtId="0" fontId="93" fillId="0" borderId="5" xfId="0" applyFont="1" applyBorder="1" applyAlignment="1">
      <alignment horizontal="center" vertical="center"/>
    </xf>
    <xf numFmtId="167" fontId="52" fillId="0" borderId="1" xfId="0" applyNumberFormat="1" applyFont="1" applyBorder="1" applyAlignment="1">
      <alignment horizontal="center" vertical="center"/>
    </xf>
    <xf numFmtId="167" fontId="58" fillId="0" borderId="0" xfId="0" applyNumberFormat="1" applyFont="1" applyAlignment="1">
      <alignment horizontal="center" vertical="center"/>
    </xf>
    <xf numFmtId="0" fontId="99" fillId="0" borderId="1" xfId="0" applyFont="1" applyBorder="1" applyAlignment="1" applyProtection="1">
      <alignment horizontal="center" vertical="center" wrapText="1"/>
      <protection locked="0"/>
    </xf>
    <xf numFmtId="167" fontId="56" fillId="0" borderId="0" xfId="0" applyNumberFormat="1" applyFont="1" applyAlignment="1">
      <alignment horizontal="center" vertical="center"/>
    </xf>
    <xf numFmtId="0" fontId="52" fillId="0" borderId="9" xfId="0" applyFont="1" applyBorder="1" applyAlignment="1" applyProtection="1">
      <alignment horizontal="center" vertical="center"/>
      <protection hidden="1"/>
    </xf>
    <xf numFmtId="0" fontId="52" fillId="0" borderId="31" xfId="0" applyFont="1" applyBorder="1" applyAlignment="1" applyProtection="1">
      <alignment horizontal="center" vertical="center"/>
      <protection hidden="1"/>
    </xf>
    <xf numFmtId="0" fontId="52" fillId="0" borderId="11" xfId="0" applyFont="1" applyBorder="1" applyAlignment="1" applyProtection="1">
      <alignment horizontal="center" vertical="center"/>
      <protection hidden="1"/>
    </xf>
    <xf numFmtId="0" fontId="52" fillId="0" borderId="29" xfId="0" applyFont="1" applyBorder="1" applyAlignment="1" applyProtection="1">
      <alignment horizontal="center" vertical="center"/>
      <protection hidden="1"/>
    </xf>
    <xf numFmtId="0" fontId="52" fillId="0" borderId="7" xfId="0" applyFont="1" applyBorder="1" applyAlignment="1" applyProtection="1">
      <alignment horizontal="center" vertical="center"/>
      <protection hidden="1"/>
    </xf>
    <xf numFmtId="0" fontId="52" fillId="0" borderId="30" xfId="0" applyFont="1" applyBorder="1" applyAlignment="1" applyProtection="1">
      <alignment horizontal="center" vertical="center"/>
      <protection hidden="1"/>
    </xf>
    <xf numFmtId="0" fontId="52" fillId="0" borderId="1" xfId="0" applyFont="1" applyBorder="1" applyAlignment="1" applyProtection="1">
      <alignment horizontal="center" vertical="center"/>
      <protection hidden="1"/>
    </xf>
    <xf numFmtId="0" fontId="52" fillId="0" borderId="4" xfId="0" applyFont="1" applyBorder="1" applyAlignment="1" applyProtection="1">
      <alignment horizontal="center" vertical="center" wrapText="1"/>
      <protection hidden="1"/>
    </xf>
    <xf numFmtId="0" fontId="52" fillId="0" borderId="2" xfId="0" applyFont="1" applyBorder="1" applyAlignment="1" applyProtection="1">
      <alignment horizontal="center" vertical="center" wrapText="1"/>
      <protection hidden="1"/>
    </xf>
    <xf numFmtId="0" fontId="52" fillId="0" borderId="5" xfId="0" applyFont="1" applyBorder="1" applyAlignment="1" applyProtection="1">
      <alignment horizontal="center" vertical="center" wrapText="1"/>
      <protection hidden="1"/>
    </xf>
    <xf numFmtId="0" fontId="52" fillId="0" borderId="1" xfId="0" applyFont="1" applyBorder="1" applyAlignment="1" applyProtection="1">
      <alignment horizontal="center" vertical="center" wrapText="1"/>
      <protection hidden="1"/>
    </xf>
    <xf numFmtId="0" fontId="52" fillId="0" borderId="6" xfId="0" applyFont="1" applyBorder="1" applyAlignment="1" applyProtection="1">
      <alignment horizontal="center" vertical="center" wrapText="1"/>
      <protection hidden="1"/>
    </xf>
    <xf numFmtId="0" fontId="52" fillId="0" borderId="3" xfId="0" applyFont="1" applyBorder="1" applyAlignment="1" applyProtection="1">
      <alignment horizontal="center" vertical="center" wrapText="1"/>
      <protection hidden="1"/>
    </xf>
    <xf numFmtId="16" fontId="52" fillId="0" borderId="6" xfId="0" applyNumberFormat="1" applyFont="1" applyBorder="1" applyAlignment="1" applyProtection="1">
      <alignment horizontal="center" vertical="center" textRotation="90" wrapText="1"/>
      <protection hidden="1"/>
    </xf>
    <xf numFmtId="0" fontId="52" fillId="0" borderId="3" xfId="0" applyFont="1" applyBorder="1" applyAlignment="1" applyProtection="1">
      <alignment horizontal="center" vertical="center" textRotation="90" wrapText="1"/>
      <protection hidden="1"/>
    </xf>
    <xf numFmtId="0" fontId="52" fillId="0" borderId="10" xfId="0" applyFont="1" applyBorder="1" applyAlignment="1" applyProtection="1">
      <alignment horizontal="center" vertical="center" wrapText="1"/>
      <protection hidden="1"/>
    </xf>
    <xf numFmtId="0" fontId="52" fillId="0" borderId="10" xfId="0" applyFont="1" applyBorder="1" applyAlignment="1" applyProtection="1">
      <alignment horizontal="center" vertical="center" textRotation="90" wrapText="1"/>
      <protection hidden="1"/>
    </xf>
    <xf numFmtId="16" fontId="52" fillId="0" borderId="6" xfId="0" applyNumberFormat="1" applyFont="1" applyBorder="1" applyAlignment="1" applyProtection="1">
      <alignment horizontal="center" vertical="center" textRotation="90"/>
      <protection hidden="1"/>
    </xf>
    <xf numFmtId="16" fontId="52" fillId="0" borderId="3" xfId="0" applyNumberFormat="1" applyFont="1" applyBorder="1" applyAlignment="1" applyProtection="1">
      <alignment horizontal="center" vertical="center" textRotation="90"/>
      <protection hidden="1"/>
    </xf>
    <xf numFmtId="0" fontId="52" fillId="0" borderId="6" xfId="0" quotePrefix="1" applyFont="1" applyBorder="1" applyAlignment="1" applyProtection="1">
      <alignment horizontal="center" vertical="center" wrapText="1"/>
      <protection hidden="1"/>
    </xf>
    <xf numFmtId="0" fontId="52" fillId="0" borderId="3" xfId="0" quotePrefix="1" applyFont="1" applyBorder="1" applyAlignment="1" applyProtection="1">
      <alignment horizontal="center" vertical="center" wrapText="1"/>
      <protection hidden="1"/>
    </xf>
    <xf numFmtId="16" fontId="52" fillId="0" borderId="6" xfId="0" quotePrefix="1" applyNumberFormat="1" applyFont="1" applyBorder="1" applyAlignment="1" applyProtection="1">
      <alignment horizontal="center" vertical="center" textRotation="90" wrapText="1"/>
      <protection hidden="1"/>
    </xf>
    <xf numFmtId="0" fontId="52" fillId="0" borderId="10" xfId="0" quotePrefix="1" applyFont="1" applyBorder="1" applyAlignment="1" applyProtection="1">
      <alignment horizontal="center" vertical="center" textRotation="90" wrapText="1"/>
      <protection hidden="1"/>
    </xf>
    <xf numFmtId="0" fontId="52" fillId="0" borderId="3" xfId="0" quotePrefix="1" applyFont="1" applyBorder="1" applyAlignment="1" applyProtection="1">
      <alignment horizontal="center" vertical="center" textRotation="90" wrapText="1"/>
      <protection hidden="1"/>
    </xf>
    <xf numFmtId="0" fontId="52" fillId="0" borderId="10" xfId="0" quotePrefix="1" applyFont="1" applyBorder="1" applyAlignment="1" applyProtection="1">
      <alignment horizontal="center" vertical="center" wrapText="1"/>
      <protection hidden="1"/>
    </xf>
    <xf numFmtId="0" fontId="52" fillId="0" borderId="10" xfId="0" applyFont="1" applyBorder="1" applyAlignment="1" applyProtection="1">
      <alignment horizontal="center" vertical="center" textRotation="90"/>
      <protection hidden="1"/>
    </xf>
    <xf numFmtId="0" fontId="52" fillId="0" borderId="3" xfId="0" applyFont="1" applyBorder="1" applyAlignment="1" applyProtection="1">
      <alignment horizontal="center" vertical="center" textRotation="90"/>
      <protection hidden="1"/>
    </xf>
    <xf numFmtId="0" fontId="52" fillId="0" borderId="6" xfId="0" applyFont="1" applyBorder="1" applyAlignment="1" applyProtection="1">
      <alignment horizontal="center" vertical="center" textRotation="90" wrapText="1"/>
      <protection hidden="1"/>
    </xf>
    <xf numFmtId="0" fontId="70" fillId="0" borderId="9" xfId="0" applyFont="1" applyBorder="1" applyAlignment="1" applyProtection="1">
      <alignment horizontal="center" vertical="center"/>
      <protection hidden="1"/>
    </xf>
    <xf numFmtId="0" fontId="70" fillId="0" borderId="31" xfId="0" applyFont="1" applyBorder="1" applyAlignment="1" applyProtection="1">
      <alignment horizontal="center" vertical="center"/>
      <protection hidden="1"/>
    </xf>
    <xf numFmtId="0" fontId="70" fillId="0" borderId="11" xfId="0" applyFont="1" applyBorder="1" applyAlignment="1" applyProtection="1">
      <alignment horizontal="center" vertical="center"/>
      <protection hidden="1"/>
    </xf>
    <xf numFmtId="0" fontId="70" fillId="0" borderId="29" xfId="0" applyFont="1" applyBorder="1" applyAlignment="1" applyProtection="1">
      <alignment horizontal="center" vertical="center"/>
      <protection hidden="1"/>
    </xf>
    <xf numFmtId="0" fontId="70" fillId="0" borderId="7" xfId="0" applyFont="1" applyBorder="1" applyAlignment="1" applyProtection="1">
      <alignment horizontal="center" vertical="center"/>
      <protection hidden="1"/>
    </xf>
    <xf numFmtId="0" fontId="70" fillId="0" borderId="30" xfId="0" applyFont="1" applyBorder="1" applyAlignment="1" applyProtection="1">
      <alignment horizontal="center" vertical="center"/>
      <protection hidden="1"/>
    </xf>
    <xf numFmtId="16" fontId="52" fillId="0" borderId="10" xfId="0" applyNumberFormat="1" applyFont="1" applyBorder="1" applyAlignment="1" applyProtection="1">
      <alignment horizontal="center" vertical="center" textRotation="90"/>
      <protection hidden="1"/>
    </xf>
    <xf numFmtId="16" fontId="52" fillId="0" borderId="10" xfId="0" applyNumberFormat="1" applyFont="1" applyBorder="1" applyAlignment="1" applyProtection="1">
      <alignment horizontal="center" vertical="center" textRotation="90" wrapText="1"/>
      <protection hidden="1"/>
    </xf>
    <xf numFmtId="16" fontId="52" fillId="0" borderId="3" xfId="0" applyNumberFormat="1" applyFont="1" applyBorder="1" applyAlignment="1" applyProtection="1">
      <alignment horizontal="center" vertical="center" textRotation="90" wrapText="1"/>
      <protection hidden="1"/>
    </xf>
    <xf numFmtId="0" fontId="52" fillId="4" borderId="6" xfId="0" applyFont="1" applyFill="1" applyBorder="1" applyAlignment="1" applyProtection="1">
      <alignment horizontal="center" vertical="center" wrapText="1"/>
      <protection hidden="1"/>
    </xf>
    <xf numFmtId="0" fontId="52" fillId="4" borderId="3" xfId="0" applyFont="1" applyFill="1" applyBorder="1" applyAlignment="1" applyProtection="1">
      <alignment horizontal="center" vertical="center" wrapText="1"/>
      <protection hidden="1"/>
    </xf>
    <xf numFmtId="0" fontId="52" fillId="0" borderId="6" xfId="0" quotePrefix="1" applyFont="1" applyBorder="1" applyAlignment="1" applyProtection="1">
      <alignment horizontal="center" vertical="center" textRotation="90" wrapText="1"/>
      <protection hidden="1"/>
    </xf>
    <xf numFmtId="0" fontId="52" fillId="0" borderId="6" xfId="0" applyFont="1" applyBorder="1" applyAlignment="1" applyProtection="1">
      <alignment horizontal="center" vertical="center" textRotation="90"/>
      <protection hidden="1"/>
    </xf>
    <xf numFmtId="0" fontId="52" fillId="4" borderId="6" xfId="0" quotePrefix="1" applyFont="1" applyFill="1" applyBorder="1" applyAlignment="1" applyProtection="1">
      <alignment horizontal="center" vertical="center" wrapText="1"/>
      <protection hidden="1"/>
    </xf>
    <xf numFmtId="0" fontId="52" fillId="4" borderId="10" xfId="0" quotePrefix="1" applyFont="1" applyFill="1" applyBorder="1" applyAlignment="1" applyProtection="1">
      <alignment horizontal="center" vertical="center" wrapText="1"/>
      <protection hidden="1"/>
    </xf>
    <xf numFmtId="0" fontId="52" fillId="4" borderId="3" xfId="0" quotePrefix="1" applyFont="1" applyFill="1" applyBorder="1" applyAlignment="1" applyProtection="1">
      <alignment horizontal="center" vertical="center" wrapText="1"/>
      <protection hidden="1"/>
    </xf>
    <xf numFmtId="0" fontId="70" fillId="0" borderId="9" xfId="0" applyFont="1" applyBorder="1" applyAlignment="1" applyProtection="1">
      <alignment horizontal="center" vertical="center" wrapText="1"/>
      <protection hidden="1"/>
    </xf>
    <xf numFmtId="0" fontId="70" fillId="0" borderId="11" xfId="0" applyFont="1" applyBorder="1" applyAlignment="1" applyProtection="1">
      <alignment horizontal="center" vertical="center" wrapText="1"/>
      <protection hidden="1"/>
    </xf>
    <xf numFmtId="0" fontId="70" fillId="0" borderId="29" xfId="0" applyFont="1" applyBorder="1" applyAlignment="1" applyProtection="1">
      <alignment horizontal="center" vertical="center" wrapText="1"/>
      <protection hidden="1"/>
    </xf>
    <xf numFmtId="0" fontId="70" fillId="0" borderId="30" xfId="0" applyFont="1" applyBorder="1" applyAlignment="1" applyProtection="1">
      <alignment horizontal="center" vertical="center" wrapText="1"/>
      <protection hidden="1"/>
    </xf>
    <xf numFmtId="0" fontId="52" fillId="0" borderId="6" xfId="0" applyFont="1" applyBorder="1" applyAlignment="1" applyProtection="1">
      <alignment horizontal="center" vertical="center"/>
      <protection hidden="1"/>
    </xf>
    <xf numFmtId="0" fontId="52" fillId="0" borderId="3" xfId="0" applyFont="1" applyBorder="1" applyAlignment="1" applyProtection="1">
      <alignment horizontal="center" vertical="center"/>
      <protection hidden="1"/>
    </xf>
    <xf numFmtId="0" fontId="52" fillId="4" borderId="10" xfId="0" applyFont="1" applyFill="1" applyBorder="1" applyAlignment="1" applyProtection="1">
      <alignment horizontal="center" vertical="center" wrapText="1"/>
      <protection hidden="1"/>
    </xf>
    <xf numFmtId="0" fontId="111" fillId="0" borderId="6" xfId="0" applyFont="1" applyBorder="1" applyAlignment="1" applyProtection="1">
      <alignment horizontal="center" vertical="center" wrapText="1"/>
      <protection hidden="1"/>
    </xf>
    <xf numFmtId="0" fontId="111" fillId="0" borderId="10" xfId="0" applyFont="1" applyBorder="1" applyAlignment="1" applyProtection="1">
      <alignment horizontal="center" vertical="center" wrapText="1"/>
      <protection hidden="1"/>
    </xf>
    <xf numFmtId="0" fontId="111" fillId="0" borderId="3" xfId="0" applyFont="1" applyBorder="1" applyAlignment="1" applyProtection="1">
      <alignment horizontal="center" vertical="center" wrapText="1"/>
      <protection hidden="1"/>
    </xf>
    <xf numFmtId="3" fontId="52" fillId="0" borderId="6" xfId="0" applyNumberFormat="1" applyFont="1" applyBorder="1" applyAlignment="1" applyProtection="1">
      <alignment horizontal="center" vertical="center" wrapText="1"/>
      <protection hidden="1"/>
    </xf>
  </cellXfs>
  <cellStyles count="4003">
    <cellStyle name="20% - Accent1 2" xfId="24" xr:uid="{00000000-0005-0000-0000-000000000000}"/>
    <cellStyle name="20% - Accent1 2 2" xfId="687" xr:uid="{00000000-0005-0000-0000-000001000000}"/>
    <cellStyle name="20% - Accent2 2" xfId="25" xr:uid="{00000000-0005-0000-0000-000002000000}"/>
    <cellStyle name="20% - Accent2 2 2" xfId="688" xr:uid="{00000000-0005-0000-0000-000003000000}"/>
    <cellStyle name="20% - Accent3 2" xfId="26" xr:uid="{00000000-0005-0000-0000-000004000000}"/>
    <cellStyle name="20% - Accent3 2 2" xfId="74" xr:uid="{00000000-0005-0000-0000-000005000000}"/>
    <cellStyle name="20% - Accent3 2 3" xfId="80" xr:uid="{00000000-0005-0000-0000-000006000000}"/>
    <cellStyle name="20% - Accent3 2 4" xfId="86" xr:uid="{00000000-0005-0000-0000-000007000000}"/>
    <cellStyle name="20% - Accent3 2 5" xfId="689" xr:uid="{00000000-0005-0000-0000-000008000000}"/>
    <cellStyle name="20% - Accent4 2" xfId="27" xr:uid="{00000000-0005-0000-0000-000009000000}"/>
    <cellStyle name="20% - Accent4 2 2" xfId="690" xr:uid="{00000000-0005-0000-0000-00000A000000}"/>
    <cellStyle name="20% - Accent5 2" xfId="28" xr:uid="{00000000-0005-0000-0000-00000B000000}"/>
    <cellStyle name="20% - Accent5 2 2" xfId="691" xr:uid="{00000000-0005-0000-0000-00000C000000}"/>
    <cellStyle name="20% - Accent6 2" xfId="29" xr:uid="{00000000-0005-0000-0000-00000D000000}"/>
    <cellStyle name="20% - Accent6 2 2" xfId="692" xr:uid="{00000000-0005-0000-0000-00000E000000}"/>
    <cellStyle name="40% - Accent1 2" xfId="30" xr:uid="{00000000-0005-0000-0000-00000F000000}"/>
    <cellStyle name="40% - Accent1 2 2" xfId="693" xr:uid="{00000000-0005-0000-0000-000010000000}"/>
    <cellStyle name="40% - Accent2 2" xfId="31" xr:uid="{00000000-0005-0000-0000-000011000000}"/>
    <cellStyle name="40% - Accent2 2 2" xfId="694" xr:uid="{00000000-0005-0000-0000-000012000000}"/>
    <cellStyle name="40% - Accent3 2" xfId="32" xr:uid="{00000000-0005-0000-0000-000013000000}"/>
    <cellStyle name="40% - Accent3 2 2" xfId="695" xr:uid="{00000000-0005-0000-0000-000014000000}"/>
    <cellStyle name="40% - Accent4 2" xfId="33" xr:uid="{00000000-0005-0000-0000-000015000000}"/>
    <cellStyle name="40% - Accent4 2 2" xfId="696" xr:uid="{00000000-0005-0000-0000-000016000000}"/>
    <cellStyle name="40% - Accent5 2" xfId="34" xr:uid="{00000000-0005-0000-0000-000017000000}"/>
    <cellStyle name="40% - Accent5 2 2" xfId="697" xr:uid="{00000000-0005-0000-0000-000018000000}"/>
    <cellStyle name="40% - Accent6 2" xfId="35" xr:uid="{00000000-0005-0000-0000-000019000000}"/>
    <cellStyle name="40% - Accent6 2 2" xfId="698" xr:uid="{00000000-0005-0000-0000-00001A000000}"/>
    <cellStyle name="60% - Accent1 2" xfId="36" xr:uid="{00000000-0005-0000-0000-00001B000000}"/>
    <cellStyle name="60% - Accent2" xfId="1" xr:uid="{00000000-0005-0000-0000-00001C000000}"/>
    <cellStyle name="60% - Accent2 10" xfId="105" xr:uid="{00000000-0005-0000-0000-00001D000000}"/>
    <cellStyle name="60% - Accent2 11" xfId="106" xr:uid="{00000000-0005-0000-0000-00001E000000}"/>
    <cellStyle name="60% - Accent2 2" xfId="37" xr:uid="{00000000-0005-0000-0000-00001F000000}"/>
    <cellStyle name="60% - Accent2 2 10" xfId="107" xr:uid="{00000000-0005-0000-0000-000020000000}"/>
    <cellStyle name="60% - Accent2 2 11" xfId="108" xr:uid="{00000000-0005-0000-0000-000021000000}"/>
    <cellStyle name="60% - Accent2 2 2" xfId="109" xr:uid="{00000000-0005-0000-0000-000022000000}"/>
    <cellStyle name="60% - Accent2 2 3" xfId="110" xr:uid="{00000000-0005-0000-0000-000023000000}"/>
    <cellStyle name="60% - Accent2 2 4" xfId="111" xr:uid="{00000000-0005-0000-0000-000024000000}"/>
    <cellStyle name="60% - Accent2 2 5" xfId="112" xr:uid="{00000000-0005-0000-0000-000025000000}"/>
    <cellStyle name="60% - Accent2 2 6" xfId="113" xr:uid="{00000000-0005-0000-0000-000026000000}"/>
    <cellStyle name="60% - Accent2 2 7" xfId="114" xr:uid="{00000000-0005-0000-0000-000027000000}"/>
    <cellStyle name="60% - Accent2 2 8" xfId="115" xr:uid="{00000000-0005-0000-0000-000028000000}"/>
    <cellStyle name="60% - Accent2 2 9" xfId="116" xr:uid="{00000000-0005-0000-0000-000029000000}"/>
    <cellStyle name="60% - Accent2 3" xfId="117" xr:uid="{00000000-0005-0000-0000-00002A000000}"/>
    <cellStyle name="60% - Accent2 4" xfId="118" xr:uid="{00000000-0005-0000-0000-00002B000000}"/>
    <cellStyle name="60% - Accent2 5" xfId="119" xr:uid="{00000000-0005-0000-0000-00002C000000}"/>
    <cellStyle name="60% - Accent2 6" xfId="120" xr:uid="{00000000-0005-0000-0000-00002D000000}"/>
    <cellStyle name="60% - Accent2 7" xfId="121" xr:uid="{00000000-0005-0000-0000-00002E000000}"/>
    <cellStyle name="60% - Accent2 8" xfId="122" xr:uid="{00000000-0005-0000-0000-00002F000000}"/>
    <cellStyle name="60% - Accent2 9" xfId="123" xr:uid="{00000000-0005-0000-0000-000030000000}"/>
    <cellStyle name="60% - Accent3 2" xfId="38" xr:uid="{00000000-0005-0000-0000-000031000000}"/>
    <cellStyle name="60% - Accent4" xfId="2" xr:uid="{00000000-0005-0000-0000-000032000000}"/>
    <cellStyle name="60% - Accent4 10" xfId="124" xr:uid="{00000000-0005-0000-0000-000033000000}"/>
    <cellStyle name="60% - Accent4 11" xfId="125" xr:uid="{00000000-0005-0000-0000-000034000000}"/>
    <cellStyle name="60% - Accent4 2" xfId="39" xr:uid="{00000000-0005-0000-0000-000035000000}"/>
    <cellStyle name="60% - Accent4 2 10" xfId="126" xr:uid="{00000000-0005-0000-0000-000036000000}"/>
    <cellStyle name="60% - Accent4 2 11" xfId="127" xr:uid="{00000000-0005-0000-0000-000037000000}"/>
    <cellStyle name="60% - Accent4 2 2" xfId="128" xr:uid="{00000000-0005-0000-0000-000038000000}"/>
    <cellStyle name="60% - Accent4 2 3" xfId="129" xr:uid="{00000000-0005-0000-0000-000039000000}"/>
    <cellStyle name="60% - Accent4 2 4" xfId="130" xr:uid="{00000000-0005-0000-0000-00003A000000}"/>
    <cellStyle name="60% - Accent4 2 5" xfId="131" xr:uid="{00000000-0005-0000-0000-00003B000000}"/>
    <cellStyle name="60% - Accent4 2 6" xfId="132" xr:uid="{00000000-0005-0000-0000-00003C000000}"/>
    <cellStyle name="60% - Accent4 2 7" xfId="133" xr:uid="{00000000-0005-0000-0000-00003D000000}"/>
    <cellStyle name="60% - Accent4 2 8" xfId="134" xr:uid="{00000000-0005-0000-0000-00003E000000}"/>
    <cellStyle name="60% - Accent4 2 9" xfId="135" xr:uid="{00000000-0005-0000-0000-00003F000000}"/>
    <cellStyle name="60% - Accent4 3" xfId="136" xr:uid="{00000000-0005-0000-0000-000040000000}"/>
    <cellStyle name="60% - Accent4 4" xfId="137" xr:uid="{00000000-0005-0000-0000-000041000000}"/>
    <cellStyle name="60% - Accent4 5" xfId="138" xr:uid="{00000000-0005-0000-0000-000042000000}"/>
    <cellStyle name="60% - Accent4 6" xfId="139" xr:uid="{00000000-0005-0000-0000-000043000000}"/>
    <cellStyle name="60% - Accent4 7" xfId="140" xr:uid="{00000000-0005-0000-0000-000044000000}"/>
    <cellStyle name="60% - Accent4 8" xfId="141" xr:uid="{00000000-0005-0000-0000-000045000000}"/>
    <cellStyle name="60% - Accent4 9" xfId="142" xr:uid="{00000000-0005-0000-0000-000046000000}"/>
    <cellStyle name="60% - Accent5 2" xfId="40" xr:uid="{00000000-0005-0000-0000-000047000000}"/>
    <cellStyle name="60% - Accent6" xfId="3" xr:uid="{00000000-0005-0000-0000-000048000000}"/>
    <cellStyle name="60% - Accent6 10" xfId="143" xr:uid="{00000000-0005-0000-0000-000049000000}"/>
    <cellStyle name="60% - Accent6 11" xfId="144" xr:uid="{00000000-0005-0000-0000-00004A000000}"/>
    <cellStyle name="60% - Accent6 2" xfId="41" xr:uid="{00000000-0005-0000-0000-00004B000000}"/>
    <cellStyle name="60% - Accent6 2 10" xfId="145" xr:uid="{00000000-0005-0000-0000-00004C000000}"/>
    <cellStyle name="60% - Accent6 2 11" xfId="146" xr:uid="{00000000-0005-0000-0000-00004D000000}"/>
    <cellStyle name="60% - Accent6 2 2" xfId="147" xr:uid="{00000000-0005-0000-0000-00004E000000}"/>
    <cellStyle name="60% - Accent6 2 3" xfId="148" xr:uid="{00000000-0005-0000-0000-00004F000000}"/>
    <cellStyle name="60% - Accent6 2 4" xfId="149" xr:uid="{00000000-0005-0000-0000-000050000000}"/>
    <cellStyle name="60% - Accent6 2 5" xfId="150" xr:uid="{00000000-0005-0000-0000-000051000000}"/>
    <cellStyle name="60% - Accent6 2 6" xfId="151" xr:uid="{00000000-0005-0000-0000-000052000000}"/>
    <cellStyle name="60% - Accent6 2 7" xfId="152" xr:uid="{00000000-0005-0000-0000-000053000000}"/>
    <cellStyle name="60% - Accent6 2 8" xfId="153" xr:uid="{00000000-0005-0000-0000-000054000000}"/>
    <cellStyle name="60% - Accent6 2 9" xfId="154" xr:uid="{00000000-0005-0000-0000-000055000000}"/>
    <cellStyle name="60% - Accent6 3" xfId="155" xr:uid="{00000000-0005-0000-0000-000056000000}"/>
    <cellStyle name="60% - Accent6 4" xfId="156" xr:uid="{00000000-0005-0000-0000-000057000000}"/>
    <cellStyle name="60% - Accent6 5" xfId="157" xr:uid="{00000000-0005-0000-0000-000058000000}"/>
    <cellStyle name="60% - Accent6 6" xfId="158" xr:uid="{00000000-0005-0000-0000-000059000000}"/>
    <cellStyle name="60% - Accent6 7" xfId="159" xr:uid="{00000000-0005-0000-0000-00005A000000}"/>
    <cellStyle name="60% - Accent6 8" xfId="160" xr:uid="{00000000-0005-0000-0000-00005B000000}"/>
    <cellStyle name="60% - Accent6 9" xfId="161" xr:uid="{00000000-0005-0000-0000-00005C000000}"/>
    <cellStyle name="Accent1" xfId="4" xr:uid="{00000000-0005-0000-0000-00005D000000}"/>
    <cellStyle name="Accent1 10" xfId="162" xr:uid="{00000000-0005-0000-0000-00005E000000}"/>
    <cellStyle name="Accent1 11" xfId="163" xr:uid="{00000000-0005-0000-0000-00005F000000}"/>
    <cellStyle name="Accent1 2" xfId="42" xr:uid="{00000000-0005-0000-0000-000060000000}"/>
    <cellStyle name="Accent1 2 10" xfId="164" xr:uid="{00000000-0005-0000-0000-000061000000}"/>
    <cellStyle name="Accent1 2 11" xfId="165" xr:uid="{00000000-0005-0000-0000-000062000000}"/>
    <cellStyle name="Accent1 2 2" xfId="166" xr:uid="{00000000-0005-0000-0000-000063000000}"/>
    <cellStyle name="Accent1 2 3" xfId="167" xr:uid="{00000000-0005-0000-0000-000064000000}"/>
    <cellStyle name="Accent1 2 4" xfId="168" xr:uid="{00000000-0005-0000-0000-000065000000}"/>
    <cellStyle name="Accent1 2 5" xfId="169" xr:uid="{00000000-0005-0000-0000-000066000000}"/>
    <cellStyle name="Accent1 2 6" xfId="170" xr:uid="{00000000-0005-0000-0000-000067000000}"/>
    <cellStyle name="Accent1 2 7" xfId="171" xr:uid="{00000000-0005-0000-0000-000068000000}"/>
    <cellStyle name="Accent1 2 8" xfId="172" xr:uid="{00000000-0005-0000-0000-000069000000}"/>
    <cellStyle name="Accent1 2 9" xfId="173" xr:uid="{00000000-0005-0000-0000-00006A000000}"/>
    <cellStyle name="Accent1 3" xfId="174" xr:uid="{00000000-0005-0000-0000-00006B000000}"/>
    <cellStyle name="Accent1 4" xfId="175" xr:uid="{00000000-0005-0000-0000-00006C000000}"/>
    <cellStyle name="Accent1 5" xfId="176" xr:uid="{00000000-0005-0000-0000-00006D000000}"/>
    <cellStyle name="Accent1 6" xfId="177" xr:uid="{00000000-0005-0000-0000-00006E000000}"/>
    <cellStyle name="Accent1 7" xfId="178" xr:uid="{00000000-0005-0000-0000-00006F000000}"/>
    <cellStyle name="Accent1 8" xfId="179" xr:uid="{00000000-0005-0000-0000-000070000000}"/>
    <cellStyle name="Accent1 9" xfId="180" xr:uid="{00000000-0005-0000-0000-000071000000}"/>
    <cellStyle name="Accent2" xfId="5" xr:uid="{00000000-0005-0000-0000-000072000000}"/>
    <cellStyle name="Accent2 10" xfId="181" xr:uid="{00000000-0005-0000-0000-000073000000}"/>
    <cellStyle name="Accent2 11" xfId="182" xr:uid="{00000000-0005-0000-0000-000074000000}"/>
    <cellStyle name="Accent2 2" xfId="43" xr:uid="{00000000-0005-0000-0000-000075000000}"/>
    <cellStyle name="Accent2 2 10" xfId="183" xr:uid="{00000000-0005-0000-0000-000076000000}"/>
    <cellStyle name="Accent2 2 11" xfId="184" xr:uid="{00000000-0005-0000-0000-000077000000}"/>
    <cellStyle name="Accent2 2 2" xfId="185" xr:uid="{00000000-0005-0000-0000-000078000000}"/>
    <cellStyle name="Accent2 2 3" xfId="186" xr:uid="{00000000-0005-0000-0000-000079000000}"/>
    <cellStyle name="Accent2 2 4" xfId="187" xr:uid="{00000000-0005-0000-0000-00007A000000}"/>
    <cellStyle name="Accent2 2 5" xfId="188" xr:uid="{00000000-0005-0000-0000-00007B000000}"/>
    <cellStyle name="Accent2 2 6" xfId="189" xr:uid="{00000000-0005-0000-0000-00007C000000}"/>
    <cellStyle name="Accent2 2 7" xfId="190" xr:uid="{00000000-0005-0000-0000-00007D000000}"/>
    <cellStyle name="Accent2 2 8" xfId="191" xr:uid="{00000000-0005-0000-0000-00007E000000}"/>
    <cellStyle name="Accent2 2 9" xfId="192" xr:uid="{00000000-0005-0000-0000-00007F000000}"/>
    <cellStyle name="Accent2 3" xfId="193" xr:uid="{00000000-0005-0000-0000-000080000000}"/>
    <cellStyle name="Accent2 4" xfId="194" xr:uid="{00000000-0005-0000-0000-000081000000}"/>
    <cellStyle name="Accent2 5" xfId="195" xr:uid="{00000000-0005-0000-0000-000082000000}"/>
    <cellStyle name="Accent2 6" xfId="196" xr:uid="{00000000-0005-0000-0000-000083000000}"/>
    <cellStyle name="Accent2 7" xfId="197" xr:uid="{00000000-0005-0000-0000-000084000000}"/>
    <cellStyle name="Accent2 8" xfId="198" xr:uid="{00000000-0005-0000-0000-000085000000}"/>
    <cellStyle name="Accent2 9" xfId="199" xr:uid="{00000000-0005-0000-0000-000086000000}"/>
    <cellStyle name="Accent3" xfId="6" xr:uid="{00000000-0005-0000-0000-000087000000}"/>
    <cellStyle name="Accent3 10" xfId="200" xr:uid="{00000000-0005-0000-0000-000088000000}"/>
    <cellStyle name="Accent3 11" xfId="201" xr:uid="{00000000-0005-0000-0000-000089000000}"/>
    <cellStyle name="Accent3 2" xfId="44" xr:uid="{00000000-0005-0000-0000-00008A000000}"/>
    <cellStyle name="Accent3 2 10" xfId="202" xr:uid="{00000000-0005-0000-0000-00008B000000}"/>
    <cellStyle name="Accent3 2 11" xfId="203" xr:uid="{00000000-0005-0000-0000-00008C000000}"/>
    <cellStyle name="Accent3 2 2" xfId="204" xr:uid="{00000000-0005-0000-0000-00008D000000}"/>
    <cellStyle name="Accent3 2 3" xfId="205" xr:uid="{00000000-0005-0000-0000-00008E000000}"/>
    <cellStyle name="Accent3 2 4" xfId="206" xr:uid="{00000000-0005-0000-0000-00008F000000}"/>
    <cellStyle name="Accent3 2 5" xfId="207" xr:uid="{00000000-0005-0000-0000-000090000000}"/>
    <cellStyle name="Accent3 2 6" xfId="208" xr:uid="{00000000-0005-0000-0000-000091000000}"/>
    <cellStyle name="Accent3 2 7" xfId="209" xr:uid="{00000000-0005-0000-0000-000092000000}"/>
    <cellStyle name="Accent3 2 8" xfId="210" xr:uid="{00000000-0005-0000-0000-000093000000}"/>
    <cellStyle name="Accent3 2 9" xfId="211" xr:uid="{00000000-0005-0000-0000-000094000000}"/>
    <cellStyle name="Accent3 3" xfId="212" xr:uid="{00000000-0005-0000-0000-000095000000}"/>
    <cellStyle name="Accent3 4" xfId="213" xr:uid="{00000000-0005-0000-0000-000096000000}"/>
    <cellStyle name="Accent3 5" xfId="214" xr:uid="{00000000-0005-0000-0000-000097000000}"/>
    <cellStyle name="Accent3 6" xfId="215" xr:uid="{00000000-0005-0000-0000-000098000000}"/>
    <cellStyle name="Accent3 7" xfId="216" xr:uid="{00000000-0005-0000-0000-000099000000}"/>
    <cellStyle name="Accent3 8" xfId="217" xr:uid="{00000000-0005-0000-0000-00009A000000}"/>
    <cellStyle name="Accent3 9" xfId="218" xr:uid="{00000000-0005-0000-0000-00009B000000}"/>
    <cellStyle name="Accent4" xfId="7" xr:uid="{00000000-0005-0000-0000-00009C000000}"/>
    <cellStyle name="Accent4 10" xfId="219" xr:uid="{00000000-0005-0000-0000-00009D000000}"/>
    <cellStyle name="Accent4 11" xfId="220" xr:uid="{00000000-0005-0000-0000-00009E000000}"/>
    <cellStyle name="Accent4 2" xfId="45" xr:uid="{00000000-0005-0000-0000-00009F000000}"/>
    <cellStyle name="Accent4 2 10" xfId="221" xr:uid="{00000000-0005-0000-0000-0000A0000000}"/>
    <cellStyle name="Accent4 2 11" xfId="222" xr:uid="{00000000-0005-0000-0000-0000A1000000}"/>
    <cellStyle name="Accent4 2 2" xfId="223" xr:uid="{00000000-0005-0000-0000-0000A2000000}"/>
    <cellStyle name="Accent4 2 3" xfId="224" xr:uid="{00000000-0005-0000-0000-0000A3000000}"/>
    <cellStyle name="Accent4 2 4" xfId="225" xr:uid="{00000000-0005-0000-0000-0000A4000000}"/>
    <cellStyle name="Accent4 2 5" xfId="226" xr:uid="{00000000-0005-0000-0000-0000A5000000}"/>
    <cellStyle name="Accent4 2 6" xfId="227" xr:uid="{00000000-0005-0000-0000-0000A6000000}"/>
    <cellStyle name="Accent4 2 7" xfId="228" xr:uid="{00000000-0005-0000-0000-0000A7000000}"/>
    <cellStyle name="Accent4 2 8" xfId="229" xr:uid="{00000000-0005-0000-0000-0000A8000000}"/>
    <cellStyle name="Accent4 2 9" xfId="230" xr:uid="{00000000-0005-0000-0000-0000A9000000}"/>
    <cellStyle name="Accent4 3" xfId="231" xr:uid="{00000000-0005-0000-0000-0000AA000000}"/>
    <cellStyle name="Accent4 4" xfId="232" xr:uid="{00000000-0005-0000-0000-0000AB000000}"/>
    <cellStyle name="Accent4 5" xfId="233" xr:uid="{00000000-0005-0000-0000-0000AC000000}"/>
    <cellStyle name="Accent4 6" xfId="234" xr:uid="{00000000-0005-0000-0000-0000AD000000}"/>
    <cellStyle name="Accent4 7" xfId="235" xr:uid="{00000000-0005-0000-0000-0000AE000000}"/>
    <cellStyle name="Accent4 8" xfId="236" xr:uid="{00000000-0005-0000-0000-0000AF000000}"/>
    <cellStyle name="Accent4 9" xfId="237" xr:uid="{00000000-0005-0000-0000-0000B0000000}"/>
    <cellStyle name="Accent5 2" xfId="46" xr:uid="{00000000-0005-0000-0000-0000B1000000}"/>
    <cellStyle name="Accent6 2" xfId="47" xr:uid="{00000000-0005-0000-0000-0000B2000000}"/>
    <cellStyle name="Bad 2" xfId="48" xr:uid="{00000000-0005-0000-0000-0000B3000000}"/>
    <cellStyle name="Calculation 2" xfId="49" xr:uid="{00000000-0005-0000-0000-0000B4000000}"/>
    <cellStyle name="Calculation 2 2" xfId="76" xr:uid="{00000000-0005-0000-0000-0000B5000000}"/>
    <cellStyle name="Calculation 2 3" xfId="82" xr:uid="{00000000-0005-0000-0000-0000B6000000}"/>
    <cellStyle name="Calculation 2 4" xfId="88" xr:uid="{00000000-0005-0000-0000-0000B7000000}"/>
    <cellStyle name="Check Cell 2" xfId="50" xr:uid="{00000000-0005-0000-0000-0000B8000000}"/>
    <cellStyle name="Comma 2" xfId="22" xr:uid="{00000000-0005-0000-0000-0000B9000000}"/>
    <cellStyle name="Comma 2 2" xfId="699" xr:uid="{00000000-0005-0000-0000-0000BA000000}"/>
    <cellStyle name="Comma 3" xfId="495" xr:uid="{00000000-0005-0000-0000-0000BB000000}"/>
    <cellStyle name="Comma 3 2" xfId="557" xr:uid="{00000000-0005-0000-0000-0000BC000000}"/>
    <cellStyle name="Comma 3 2 2" xfId="666" xr:uid="{00000000-0005-0000-0000-0000BD000000}"/>
    <cellStyle name="Comma 3 2 2 2" xfId="700" xr:uid="{00000000-0005-0000-0000-0000BE000000}"/>
    <cellStyle name="Comma 3 2 2 2 2" xfId="1141" xr:uid="{00000000-0005-0000-0000-0000BF000000}"/>
    <cellStyle name="Comma 3 2 2 2 2 2" xfId="2017" xr:uid="{00000000-0005-0000-0000-0000C0000000}"/>
    <cellStyle name="Comma 3 2 2 2 2 2 2" xfId="3776" xr:uid="{00000000-0005-0000-0000-0000C1000000}"/>
    <cellStyle name="Comma 3 2 2 2 2 3" xfId="2900" xr:uid="{00000000-0005-0000-0000-0000C2000000}"/>
    <cellStyle name="Comma 3 2 2 2 3" xfId="1581" xr:uid="{00000000-0005-0000-0000-0000C3000000}"/>
    <cellStyle name="Comma 3 2 2 2 3 2" xfId="3340" xr:uid="{00000000-0005-0000-0000-0000C4000000}"/>
    <cellStyle name="Comma 3 2 2 2 4" xfId="2464" xr:uid="{00000000-0005-0000-0000-0000C5000000}"/>
    <cellStyle name="Comma 3 2 2 3" xfId="1120" xr:uid="{00000000-0005-0000-0000-0000C6000000}"/>
    <cellStyle name="Comma 3 2 2 3 2" xfId="1996" xr:uid="{00000000-0005-0000-0000-0000C7000000}"/>
    <cellStyle name="Comma 3 2 2 3 2 2" xfId="3755" xr:uid="{00000000-0005-0000-0000-0000C8000000}"/>
    <cellStyle name="Comma 3 2 2 3 3" xfId="2879" xr:uid="{00000000-0005-0000-0000-0000C9000000}"/>
    <cellStyle name="Comma 3 2 2 4" xfId="1560" xr:uid="{00000000-0005-0000-0000-0000CA000000}"/>
    <cellStyle name="Comma 3 2 2 4 2" xfId="3319" xr:uid="{00000000-0005-0000-0000-0000CB000000}"/>
    <cellStyle name="Comma 3 2 2 5" xfId="2443" xr:uid="{00000000-0005-0000-0000-0000CC000000}"/>
    <cellStyle name="Comma 3 2 3" xfId="701" xr:uid="{00000000-0005-0000-0000-0000CD000000}"/>
    <cellStyle name="Comma 3 2 3 2" xfId="1142" xr:uid="{00000000-0005-0000-0000-0000CE000000}"/>
    <cellStyle name="Comma 3 2 3 2 2" xfId="2018" xr:uid="{00000000-0005-0000-0000-0000CF000000}"/>
    <cellStyle name="Comma 3 2 3 2 2 2" xfId="3777" xr:uid="{00000000-0005-0000-0000-0000D0000000}"/>
    <cellStyle name="Comma 3 2 3 2 3" xfId="2901" xr:uid="{00000000-0005-0000-0000-0000D1000000}"/>
    <cellStyle name="Comma 3 2 3 3" xfId="1582" xr:uid="{00000000-0005-0000-0000-0000D2000000}"/>
    <cellStyle name="Comma 3 2 3 3 2" xfId="3341" xr:uid="{00000000-0005-0000-0000-0000D3000000}"/>
    <cellStyle name="Comma 3 2 3 4" xfId="2465" xr:uid="{00000000-0005-0000-0000-0000D4000000}"/>
    <cellStyle name="Comma 3 2 4" xfId="1012" xr:uid="{00000000-0005-0000-0000-0000D5000000}"/>
    <cellStyle name="Comma 3 2 4 2" xfId="1888" xr:uid="{00000000-0005-0000-0000-0000D6000000}"/>
    <cellStyle name="Comma 3 2 4 2 2" xfId="3647" xr:uid="{00000000-0005-0000-0000-0000D7000000}"/>
    <cellStyle name="Comma 3 2 4 3" xfId="2771" xr:uid="{00000000-0005-0000-0000-0000D8000000}"/>
    <cellStyle name="Comma 3 2 5" xfId="1452" xr:uid="{00000000-0005-0000-0000-0000D9000000}"/>
    <cellStyle name="Comma 3 2 5 2" xfId="3211" xr:uid="{00000000-0005-0000-0000-0000DA000000}"/>
    <cellStyle name="Comma 3 2 6" xfId="2335" xr:uid="{00000000-0005-0000-0000-0000DB000000}"/>
    <cellStyle name="Comma 3 3" xfId="611" xr:uid="{00000000-0005-0000-0000-0000DC000000}"/>
    <cellStyle name="Comma 3 3 2" xfId="702" xr:uid="{00000000-0005-0000-0000-0000DD000000}"/>
    <cellStyle name="Comma 3 3 2 2" xfId="1143" xr:uid="{00000000-0005-0000-0000-0000DE000000}"/>
    <cellStyle name="Comma 3 3 2 2 2" xfId="2019" xr:uid="{00000000-0005-0000-0000-0000DF000000}"/>
    <cellStyle name="Comma 3 3 2 2 2 2" xfId="3778" xr:uid="{00000000-0005-0000-0000-0000E0000000}"/>
    <cellStyle name="Comma 3 3 2 2 3" xfId="2902" xr:uid="{00000000-0005-0000-0000-0000E1000000}"/>
    <cellStyle name="Comma 3 3 2 3" xfId="1583" xr:uid="{00000000-0005-0000-0000-0000E2000000}"/>
    <cellStyle name="Comma 3 3 2 3 2" xfId="3342" xr:uid="{00000000-0005-0000-0000-0000E3000000}"/>
    <cellStyle name="Comma 3 3 2 4" xfId="2466" xr:uid="{00000000-0005-0000-0000-0000E4000000}"/>
    <cellStyle name="Comma 3 3 3" xfId="1065" xr:uid="{00000000-0005-0000-0000-0000E5000000}"/>
    <cellStyle name="Comma 3 3 3 2" xfId="1941" xr:uid="{00000000-0005-0000-0000-0000E6000000}"/>
    <cellStyle name="Comma 3 3 3 2 2" xfId="3700" xr:uid="{00000000-0005-0000-0000-0000E7000000}"/>
    <cellStyle name="Comma 3 3 3 3" xfId="2824" xr:uid="{00000000-0005-0000-0000-0000E8000000}"/>
    <cellStyle name="Comma 3 3 4" xfId="1505" xr:uid="{00000000-0005-0000-0000-0000E9000000}"/>
    <cellStyle name="Comma 3 3 4 2" xfId="3264" xr:uid="{00000000-0005-0000-0000-0000EA000000}"/>
    <cellStyle name="Comma 3 3 5" xfId="2388" xr:uid="{00000000-0005-0000-0000-0000EB000000}"/>
    <cellStyle name="Comma 3 4" xfId="703" xr:uid="{00000000-0005-0000-0000-0000EC000000}"/>
    <cellStyle name="Comma 3 4 2" xfId="1144" xr:uid="{00000000-0005-0000-0000-0000ED000000}"/>
    <cellStyle name="Comma 3 4 2 2" xfId="2020" xr:uid="{00000000-0005-0000-0000-0000EE000000}"/>
    <cellStyle name="Comma 3 4 2 2 2" xfId="3779" xr:uid="{00000000-0005-0000-0000-0000EF000000}"/>
    <cellStyle name="Comma 3 4 2 3" xfId="2903" xr:uid="{00000000-0005-0000-0000-0000F0000000}"/>
    <cellStyle name="Comma 3 4 3" xfId="1584" xr:uid="{00000000-0005-0000-0000-0000F1000000}"/>
    <cellStyle name="Comma 3 4 3 2" xfId="3343" xr:uid="{00000000-0005-0000-0000-0000F2000000}"/>
    <cellStyle name="Comma 3 4 4" xfId="2467" xr:uid="{00000000-0005-0000-0000-0000F3000000}"/>
    <cellStyle name="Comma 3 5" xfId="957" xr:uid="{00000000-0005-0000-0000-0000F4000000}"/>
    <cellStyle name="Comma 3 5 2" xfId="1833" xr:uid="{00000000-0005-0000-0000-0000F5000000}"/>
    <cellStyle name="Comma 3 5 2 2" xfId="3592" xr:uid="{00000000-0005-0000-0000-0000F6000000}"/>
    <cellStyle name="Comma 3 5 3" xfId="2716" xr:uid="{00000000-0005-0000-0000-0000F7000000}"/>
    <cellStyle name="Comma 3 6" xfId="1397" xr:uid="{00000000-0005-0000-0000-0000F8000000}"/>
    <cellStyle name="Comma 3 6 2" xfId="3156" xr:uid="{00000000-0005-0000-0000-0000F9000000}"/>
    <cellStyle name="Comma 3 7" xfId="2280" xr:uid="{00000000-0005-0000-0000-0000FA000000}"/>
    <cellStyle name="Comma 4" xfId="3998" xr:uid="{00000000-0005-0000-0000-0000FB000000}"/>
    <cellStyle name="Currency 2" xfId="8" xr:uid="{00000000-0005-0000-0000-0000FC000000}"/>
    <cellStyle name="Currency 2 2" xfId="73" xr:uid="{00000000-0005-0000-0000-0000FD000000}"/>
    <cellStyle name="Currency 2 2 2" xfId="238" xr:uid="{00000000-0005-0000-0000-0000FE000000}"/>
    <cellStyle name="Currency 2 2 2 2" xfId="704" xr:uid="{00000000-0005-0000-0000-0000FF000000}"/>
    <cellStyle name="Currency 2 2 3" xfId="239" xr:uid="{00000000-0005-0000-0000-000000010000}"/>
    <cellStyle name="Currency 2 2 3 2" xfId="705" xr:uid="{00000000-0005-0000-0000-000001010000}"/>
    <cellStyle name="Currency 2 3" xfId="79" xr:uid="{00000000-0005-0000-0000-000002010000}"/>
    <cellStyle name="Currency 2 3 2" xfId="240" xr:uid="{00000000-0005-0000-0000-000003010000}"/>
    <cellStyle name="Currency 2 3 2 2" xfId="706" xr:uid="{00000000-0005-0000-0000-000004010000}"/>
    <cellStyle name="Currency 2 3 3" xfId="241" xr:uid="{00000000-0005-0000-0000-000005010000}"/>
    <cellStyle name="Currency 2 3 3 2" xfId="707" xr:uid="{00000000-0005-0000-0000-000006010000}"/>
    <cellStyle name="Currency 2 4" xfId="85" xr:uid="{00000000-0005-0000-0000-000007010000}"/>
    <cellStyle name="Currency 2 5" xfId="708" xr:uid="{00000000-0005-0000-0000-000008010000}"/>
    <cellStyle name="Explanatory Text" xfId="9" xr:uid="{00000000-0005-0000-0000-000009010000}"/>
    <cellStyle name="Explanatory Text 10" xfId="242" xr:uid="{00000000-0005-0000-0000-00000A010000}"/>
    <cellStyle name="Explanatory Text 11" xfId="243" xr:uid="{00000000-0005-0000-0000-00000B010000}"/>
    <cellStyle name="Explanatory Text 2" xfId="51" xr:uid="{00000000-0005-0000-0000-00000C010000}"/>
    <cellStyle name="Explanatory Text 2 10" xfId="244" xr:uid="{00000000-0005-0000-0000-00000D010000}"/>
    <cellStyle name="Explanatory Text 2 11" xfId="245" xr:uid="{00000000-0005-0000-0000-00000E010000}"/>
    <cellStyle name="Explanatory Text 2 2" xfId="246" xr:uid="{00000000-0005-0000-0000-00000F010000}"/>
    <cellStyle name="Explanatory Text 2 3" xfId="247" xr:uid="{00000000-0005-0000-0000-000010010000}"/>
    <cellStyle name="Explanatory Text 2 4" xfId="248" xr:uid="{00000000-0005-0000-0000-000011010000}"/>
    <cellStyle name="Explanatory Text 2 5" xfId="249" xr:uid="{00000000-0005-0000-0000-000012010000}"/>
    <cellStyle name="Explanatory Text 2 6" xfId="250" xr:uid="{00000000-0005-0000-0000-000013010000}"/>
    <cellStyle name="Explanatory Text 2 7" xfId="251" xr:uid="{00000000-0005-0000-0000-000014010000}"/>
    <cellStyle name="Explanatory Text 2 8" xfId="252" xr:uid="{00000000-0005-0000-0000-000015010000}"/>
    <cellStyle name="Explanatory Text 2 9" xfId="253" xr:uid="{00000000-0005-0000-0000-000016010000}"/>
    <cellStyle name="Explanatory Text 3" xfId="254" xr:uid="{00000000-0005-0000-0000-000017010000}"/>
    <cellStyle name="Explanatory Text 4" xfId="255" xr:uid="{00000000-0005-0000-0000-000018010000}"/>
    <cellStyle name="Explanatory Text 5" xfId="256" xr:uid="{00000000-0005-0000-0000-000019010000}"/>
    <cellStyle name="Explanatory Text 6" xfId="257" xr:uid="{00000000-0005-0000-0000-00001A010000}"/>
    <cellStyle name="Explanatory Text 7" xfId="258" xr:uid="{00000000-0005-0000-0000-00001B010000}"/>
    <cellStyle name="Explanatory Text 8" xfId="259" xr:uid="{00000000-0005-0000-0000-00001C010000}"/>
    <cellStyle name="Explanatory Text 9" xfId="260" xr:uid="{00000000-0005-0000-0000-00001D010000}"/>
    <cellStyle name="Good" xfId="10" xr:uid="{00000000-0005-0000-0000-00001E010000}"/>
    <cellStyle name="Good 10" xfId="261" xr:uid="{00000000-0005-0000-0000-00001F010000}"/>
    <cellStyle name="Good 11" xfId="262" xr:uid="{00000000-0005-0000-0000-000020010000}"/>
    <cellStyle name="Good 2" xfId="52" xr:uid="{00000000-0005-0000-0000-000021010000}"/>
    <cellStyle name="Good 2 10" xfId="263" xr:uid="{00000000-0005-0000-0000-000022010000}"/>
    <cellStyle name="Good 2 11" xfId="264" xr:uid="{00000000-0005-0000-0000-000023010000}"/>
    <cellStyle name="Good 2 2" xfId="265" xr:uid="{00000000-0005-0000-0000-000024010000}"/>
    <cellStyle name="Good 2 3" xfId="266" xr:uid="{00000000-0005-0000-0000-000025010000}"/>
    <cellStyle name="Good 2 4" xfId="267" xr:uid="{00000000-0005-0000-0000-000026010000}"/>
    <cellStyle name="Good 2 5" xfId="268" xr:uid="{00000000-0005-0000-0000-000027010000}"/>
    <cellStyle name="Good 2 6" xfId="269" xr:uid="{00000000-0005-0000-0000-000028010000}"/>
    <cellStyle name="Good 2 7" xfId="270" xr:uid="{00000000-0005-0000-0000-000029010000}"/>
    <cellStyle name="Good 2 8" xfId="271" xr:uid="{00000000-0005-0000-0000-00002A010000}"/>
    <cellStyle name="Good 2 9" xfId="272" xr:uid="{00000000-0005-0000-0000-00002B010000}"/>
    <cellStyle name="Good 3" xfId="273" xr:uid="{00000000-0005-0000-0000-00002C010000}"/>
    <cellStyle name="Good 4" xfId="274" xr:uid="{00000000-0005-0000-0000-00002D010000}"/>
    <cellStyle name="Good 5" xfId="275" xr:uid="{00000000-0005-0000-0000-00002E010000}"/>
    <cellStyle name="Good 6" xfId="276" xr:uid="{00000000-0005-0000-0000-00002F010000}"/>
    <cellStyle name="Good 7" xfId="277" xr:uid="{00000000-0005-0000-0000-000030010000}"/>
    <cellStyle name="Good 8" xfId="278" xr:uid="{00000000-0005-0000-0000-000031010000}"/>
    <cellStyle name="Good 9" xfId="279" xr:uid="{00000000-0005-0000-0000-000032010000}"/>
    <cellStyle name="Heading 1" xfId="11" xr:uid="{00000000-0005-0000-0000-000033010000}"/>
    <cellStyle name="Heading 1 10" xfId="280" xr:uid="{00000000-0005-0000-0000-000034010000}"/>
    <cellStyle name="Heading 1 11" xfId="281" xr:uid="{00000000-0005-0000-0000-000035010000}"/>
    <cellStyle name="Heading 1 2" xfId="53" xr:uid="{00000000-0005-0000-0000-000036010000}"/>
    <cellStyle name="Heading 1 2 10" xfId="282" xr:uid="{00000000-0005-0000-0000-000037010000}"/>
    <cellStyle name="Heading 1 2 11" xfId="283" xr:uid="{00000000-0005-0000-0000-000038010000}"/>
    <cellStyle name="Heading 1 2 2" xfId="284" xr:uid="{00000000-0005-0000-0000-000039010000}"/>
    <cellStyle name="Heading 1 2 3" xfId="285" xr:uid="{00000000-0005-0000-0000-00003A010000}"/>
    <cellStyle name="Heading 1 2 4" xfId="286" xr:uid="{00000000-0005-0000-0000-00003B010000}"/>
    <cellStyle name="Heading 1 2 5" xfId="287" xr:uid="{00000000-0005-0000-0000-00003C010000}"/>
    <cellStyle name="Heading 1 2 6" xfId="288" xr:uid="{00000000-0005-0000-0000-00003D010000}"/>
    <cellStyle name="Heading 1 2 7" xfId="289" xr:uid="{00000000-0005-0000-0000-00003E010000}"/>
    <cellStyle name="Heading 1 2 8" xfId="290" xr:uid="{00000000-0005-0000-0000-00003F010000}"/>
    <cellStyle name="Heading 1 2 9" xfId="291" xr:uid="{00000000-0005-0000-0000-000040010000}"/>
    <cellStyle name="Heading 1 3" xfId="292" xr:uid="{00000000-0005-0000-0000-000041010000}"/>
    <cellStyle name="Heading 1 4" xfId="293" xr:uid="{00000000-0005-0000-0000-000042010000}"/>
    <cellStyle name="Heading 1 5" xfId="294" xr:uid="{00000000-0005-0000-0000-000043010000}"/>
    <cellStyle name="Heading 1 6" xfId="295" xr:uid="{00000000-0005-0000-0000-000044010000}"/>
    <cellStyle name="Heading 1 7" xfId="296" xr:uid="{00000000-0005-0000-0000-000045010000}"/>
    <cellStyle name="Heading 1 8" xfId="297" xr:uid="{00000000-0005-0000-0000-000046010000}"/>
    <cellStyle name="Heading 1 9" xfId="298" xr:uid="{00000000-0005-0000-0000-000047010000}"/>
    <cellStyle name="Heading 2" xfId="12" xr:uid="{00000000-0005-0000-0000-000048010000}"/>
    <cellStyle name="Heading 2 10" xfId="299" xr:uid="{00000000-0005-0000-0000-000049010000}"/>
    <cellStyle name="Heading 2 11" xfId="300" xr:uid="{00000000-0005-0000-0000-00004A010000}"/>
    <cellStyle name="Heading 2 2" xfId="54" xr:uid="{00000000-0005-0000-0000-00004B010000}"/>
    <cellStyle name="Heading 2 2 10" xfId="301" xr:uid="{00000000-0005-0000-0000-00004C010000}"/>
    <cellStyle name="Heading 2 2 11" xfId="302" xr:uid="{00000000-0005-0000-0000-00004D010000}"/>
    <cellStyle name="Heading 2 2 2" xfId="303" xr:uid="{00000000-0005-0000-0000-00004E010000}"/>
    <cellStyle name="Heading 2 2 3" xfId="304" xr:uid="{00000000-0005-0000-0000-00004F010000}"/>
    <cellStyle name="Heading 2 2 4" xfId="305" xr:uid="{00000000-0005-0000-0000-000050010000}"/>
    <cellStyle name="Heading 2 2 5" xfId="306" xr:uid="{00000000-0005-0000-0000-000051010000}"/>
    <cellStyle name="Heading 2 2 6" xfId="307" xr:uid="{00000000-0005-0000-0000-000052010000}"/>
    <cellStyle name="Heading 2 2 7" xfId="308" xr:uid="{00000000-0005-0000-0000-000053010000}"/>
    <cellStyle name="Heading 2 2 8" xfId="309" xr:uid="{00000000-0005-0000-0000-000054010000}"/>
    <cellStyle name="Heading 2 2 9" xfId="310" xr:uid="{00000000-0005-0000-0000-000055010000}"/>
    <cellStyle name="Heading 2 3" xfId="311" xr:uid="{00000000-0005-0000-0000-000056010000}"/>
    <cellStyle name="Heading 2 4" xfId="312" xr:uid="{00000000-0005-0000-0000-000057010000}"/>
    <cellStyle name="Heading 2 5" xfId="313" xr:uid="{00000000-0005-0000-0000-000058010000}"/>
    <cellStyle name="Heading 2 6" xfId="314" xr:uid="{00000000-0005-0000-0000-000059010000}"/>
    <cellStyle name="Heading 2 7" xfId="315" xr:uid="{00000000-0005-0000-0000-00005A010000}"/>
    <cellStyle name="Heading 2 8" xfId="316" xr:uid="{00000000-0005-0000-0000-00005B010000}"/>
    <cellStyle name="Heading 2 9" xfId="317" xr:uid="{00000000-0005-0000-0000-00005C010000}"/>
    <cellStyle name="Heading 3" xfId="13" xr:uid="{00000000-0005-0000-0000-00005D010000}"/>
    <cellStyle name="Heading 3 10" xfId="318" xr:uid="{00000000-0005-0000-0000-00005E010000}"/>
    <cellStyle name="Heading 3 11" xfId="319" xr:uid="{00000000-0005-0000-0000-00005F010000}"/>
    <cellStyle name="Heading 3 2" xfId="55" xr:uid="{00000000-0005-0000-0000-000060010000}"/>
    <cellStyle name="Heading 3 2 10" xfId="320" xr:uid="{00000000-0005-0000-0000-000061010000}"/>
    <cellStyle name="Heading 3 2 11" xfId="321" xr:uid="{00000000-0005-0000-0000-000062010000}"/>
    <cellStyle name="Heading 3 2 2" xfId="322" xr:uid="{00000000-0005-0000-0000-000063010000}"/>
    <cellStyle name="Heading 3 2 3" xfId="323" xr:uid="{00000000-0005-0000-0000-000064010000}"/>
    <cellStyle name="Heading 3 2 4" xfId="324" xr:uid="{00000000-0005-0000-0000-000065010000}"/>
    <cellStyle name="Heading 3 2 5" xfId="325" xr:uid="{00000000-0005-0000-0000-000066010000}"/>
    <cellStyle name="Heading 3 2 6" xfId="326" xr:uid="{00000000-0005-0000-0000-000067010000}"/>
    <cellStyle name="Heading 3 2 7" xfId="327" xr:uid="{00000000-0005-0000-0000-000068010000}"/>
    <cellStyle name="Heading 3 2 8" xfId="328" xr:uid="{00000000-0005-0000-0000-000069010000}"/>
    <cellStyle name="Heading 3 2 9" xfId="329" xr:uid="{00000000-0005-0000-0000-00006A010000}"/>
    <cellStyle name="Heading 3 3" xfId="330" xr:uid="{00000000-0005-0000-0000-00006B010000}"/>
    <cellStyle name="Heading 3 4" xfId="331" xr:uid="{00000000-0005-0000-0000-00006C010000}"/>
    <cellStyle name="Heading 3 5" xfId="332" xr:uid="{00000000-0005-0000-0000-00006D010000}"/>
    <cellStyle name="Heading 3 6" xfId="333" xr:uid="{00000000-0005-0000-0000-00006E010000}"/>
    <cellStyle name="Heading 3 7" xfId="334" xr:uid="{00000000-0005-0000-0000-00006F010000}"/>
    <cellStyle name="Heading 3 8" xfId="335" xr:uid="{00000000-0005-0000-0000-000070010000}"/>
    <cellStyle name="Heading 3 9" xfId="336" xr:uid="{00000000-0005-0000-0000-000071010000}"/>
    <cellStyle name="Heading 4" xfId="14" xr:uid="{00000000-0005-0000-0000-000072010000}"/>
    <cellStyle name="Heading 4 10" xfId="337" xr:uid="{00000000-0005-0000-0000-000073010000}"/>
    <cellStyle name="Heading 4 11" xfId="338" xr:uid="{00000000-0005-0000-0000-000074010000}"/>
    <cellStyle name="Heading 4 2" xfId="56" xr:uid="{00000000-0005-0000-0000-000075010000}"/>
    <cellStyle name="Heading 4 2 10" xfId="339" xr:uid="{00000000-0005-0000-0000-000076010000}"/>
    <cellStyle name="Heading 4 2 11" xfId="340" xr:uid="{00000000-0005-0000-0000-000077010000}"/>
    <cellStyle name="Heading 4 2 2" xfId="341" xr:uid="{00000000-0005-0000-0000-000078010000}"/>
    <cellStyle name="Heading 4 2 3" xfId="342" xr:uid="{00000000-0005-0000-0000-000079010000}"/>
    <cellStyle name="Heading 4 2 4" xfId="343" xr:uid="{00000000-0005-0000-0000-00007A010000}"/>
    <cellStyle name="Heading 4 2 5" xfId="344" xr:uid="{00000000-0005-0000-0000-00007B010000}"/>
    <cellStyle name="Heading 4 2 6" xfId="345" xr:uid="{00000000-0005-0000-0000-00007C010000}"/>
    <cellStyle name="Heading 4 2 7" xfId="346" xr:uid="{00000000-0005-0000-0000-00007D010000}"/>
    <cellStyle name="Heading 4 2 8" xfId="347" xr:uid="{00000000-0005-0000-0000-00007E010000}"/>
    <cellStyle name="Heading 4 2 9" xfId="348" xr:uid="{00000000-0005-0000-0000-00007F010000}"/>
    <cellStyle name="Heading 4 3" xfId="349" xr:uid="{00000000-0005-0000-0000-000080010000}"/>
    <cellStyle name="Heading 4 4" xfId="350" xr:uid="{00000000-0005-0000-0000-000081010000}"/>
    <cellStyle name="Heading 4 5" xfId="351" xr:uid="{00000000-0005-0000-0000-000082010000}"/>
    <cellStyle name="Heading 4 6" xfId="352" xr:uid="{00000000-0005-0000-0000-000083010000}"/>
    <cellStyle name="Heading 4 7" xfId="353" xr:uid="{00000000-0005-0000-0000-000084010000}"/>
    <cellStyle name="Heading 4 8" xfId="354" xr:uid="{00000000-0005-0000-0000-000085010000}"/>
    <cellStyle name="Heading 4 9" xfId="355" xr:uid="{00000000-0005-0000-0000-000086010000}"/>
    <cellStyle name="Input 2" xfId="57" xr:uid="{00000000-0005-0000-0000-000087010000}"/>
    <cellStyle name="Input 2 2" xfId="75" xr:uid="{00000000-0005-0000-0000-000088010000}"/>
    <cellStyle name="Input 2 3" xfId="81" xr:uid="{00000000-0005-0000-0000-000089010000}"/>
    <cellStyle name="Input 2 4" xfId="87" xr:uid="{00000000-0005-0000-0000-00008A010000}"/>
    <cellStyle name="Linked Cell" xfId="15" xr:uid="{00000000-0005-0000-0000-00008B010000}"/>
    <cellStyle name="Linked Cell 10" xfId="356" xr:uid="{00000000-0005-0000-0000-00008C010000}"/>
    <cellStyle name="Linked Cell 11" xfId="357" xr:uid="{00000000-0005-0000-0000-00008D010000}"/>
    <cellStyle name="Linked Cell 2" xfId="58" xr:uid="{00000000-0005-0000-0000-00008E010000}"/>
    <cellStyle name="Linked Cell 2 10" xfId="358" xr:uid="{00000000-0005-0000-0000-00008F010000}"/>
    <cellStyle name="Linked Cell 2 11" xfId="359" xr:uid="{00000000-0005-0000-0000-000090010000}"/>
    <cellStyle name="Linked Cell 2 2" xfId="360" xr:uid="{00000000-0005-0000-0000-000091010000}"/>
    <cellStyle name="Linked Cell 2 3" xfId="361" xr:uid="{00000000-0005-0000-0000-000092010000}"/>
    <cellStyle name="Linked Cell 2 4" xfId="362" xr:uid="{00000000-0005-0000-0000-000093010000}"/>
    <cellStyle name="Linked Cell 2 5" xfId="363" xr:uid="{00000000-0005-0000-0000-000094010000}"/>
    <cellStyle name="Linked Cell 2 6" xfId="364" xr:uid="{00000000-0005-0000-0000-000095010000}"/>
    <cellStyle name="Linked Cell 2 7" xfId="365" xr:uid="{00000000-0005-0000-0000-000096010000}"/>
    <cellStyle name="Linked Cell 2 8" xfId="366" xr:uid="{00000000-0005-0000-0000-000097010000}"/>
    <cellStyle name="Linked Cell 2 9" xfId="367" xr:uid="{00000000-0005-0000-0000-000098010000}"/>
    <cellStyle name="Linked Cell 3" xfId="368" xr:uid="{00000000-0005-0000-0000-000099010000}"/>
    <cellStyle name="Linked Cell 4" xfId="369" xr:uid="{00000000-0005-0000-0000-00009A010000}"/>
    <cellStyle name="Linked Cell 5" xfId="370" xr:uid="{00000000-0005-0000-0000-00009B010000}"/>
    <cellStyle name="Linked Cell 6" xfId="371" xr:uid="{00000000-0005-0000-0000-00009C010000}"/>
    <cellStyle name="Linked Cell 7" xfId="372" xr:uid="{00000000-0005-0000-0000-00009D010000}"/>
    <cellStyle name="Linked Cell 8" xfId="373" xr:uid="{00000000-0005-0000-0000-00009E010000}"/>
    <cellStyle name="Linked Cell 9" xfId="374" xr:uid="{00000000-0005-0000-0000-00009F010000}"/>
    <cellStyle name="Neutral" xfId="16" xr:uid="{00000000-0005-0000-0000-0000A0010000}"/>
    <cellStyle name="Neutral 10" xfId="375" xr:uid="{00000000-0005-0000-0000-0000A1010000}"/>
    <cellStyle name="Neutral 11" xfId="376" xr:uid="{00000000-0005-0000-0000-0000A2010000}"/>
    <cellStyle name="Neutral 2" xfId="59" xr:uid="{00000000-0005-0000-0000-0000A3010000}"/>
    <cellStyle name="Neutral 2 10" xfId="377" xr:uid="{00000000-0005-0000-0000-0000A4010000}"/>
    <cellStyle name="Neutral 2 11" xfId="378" xr:uid="{00000000-0005-0000-0000-0000A5010000}"/>
    <cellStyle name="Neutral 2 2" xfId="379" xr:uid="{00000000-0005-0000-0000-0000A6010000}"/>
    <cellStyle name="Neutral 2 3" xfId="380" xr:uid="{00000000-0005-0000-0000-0000A7010000}"/>
    <cellStyle name="Neutral 2 4" xfId="381" xr:uid="{00000000-0005-0000-0000-0000A8010000}"/>
    <cellStyle name="Neutral 2 5" xfId="382" xr:uid="{00000000-0005-0000-0000-0000A9010000}"/>
    <cellStyle name="Neutral 2 6" xfId="383" xr:uid="{00000000-0005-0000-0000-0000AA010000}"/>
    <cellStyle name="Neutral 2 7" xfId="384" xr:uid="{00000000-0005-0000-0000-0000AB010000}"/>
    <cellStyle name="Neutral 2 8" xfId="385" xr:uid="{00000000-0005-0000-0000-0000AC010000}"/>
    <cellStyle name="Neutral 2 9" xfId="386" xr:uid="{00000000-0005-0000-0000-0000AD010000}"/>
    <cellStyle name="Neutral 3" xfId="387" xr:uid="{00000000-0005-0000-0000-0000AE010000}"/>
    <cellStyle name="Neutral 4" xfId="388" xr:uid="{00000000-0005-0000-0000-0000AF010000}"/>
    <cellStyle name="Neutral 5" xfId="389" xr:uid="{00000000-0005-0000-0000-0000B0010000}"/>
    <cellStyle name="Neutral 6" xfId="390" xr:uid="{00000000-0005-0000-0000-0000B1010000}"/>
    <cellStyle name="Neutral 7" xfId="391" xr:uid="{00000000-0005-0000-0000-0000B2010000}"/>
    <cellStyle name="Neutral 8" xfId="392" xr:uid="{00000000-0005-0000-0000-0000B3010000}"/>
    <cellStyle name="Neutral 9" xfId="393" xr:uid="{00000000-0005-0000-0000-0000B4010000}"/>
    <cellStyle name="Normal" xfId="0" builtinId="0"/>
    <cellStyle name="Normal 10" xfId="17" xr:uid="{00000000-0005-0000-0000-0000B6010000}"/>
    <cellStyle name="Normal 10 2" xfId="522" xr:uid="{00000000-0005-0000-0000-0000B7010000}"/>
    <cellStyle name="Normal 11" xfId="83" xr:uid="{00000000-0005-0000-0000-0000B8010000}"/>
    <cellStyle name="Normal 11 2" xfId="532" xr:uid="{00000000-0005-0000-0000-0000B9010000}"/>
    <cellStyle name="Normal 11 2 2" xfId="641" xr:uid="{00000000-0005-0000-0000-0000BA010000}"/>
    <cellStyle name="Normal 11 2 2 2" xfId="709" xr:uid="{00000000-0005-0000-0000-0000BB010000}"/>
    <cellStyle name="Normal 11 2 2 2 2" xfId="1145" xr:uid="{00000000-0005-0000-0000-0000BC010000}"/>
    <cellStyle name="Normal 11 2 2 2 2 2" xfId="2021" xr:uid="{00000000-0005-0000-0000-0000BD010000}"/>
    <cellStyle name="Normal 11 2 2 2 2 2 2" xfId="3780" xr:uid="{00000000-0005-0000-0000-0000BE010000}"/>
    <cellStyle name="Normal 11 2 2 2 2 3" xfId="2904" xr:uid="{00000000-0005-0000-0000-0000BF010000}"/>
    <cellStyle name="Normal 11 2 2 2 3" xfId="1585" xr:uid="{00000000-0005-0000-0000-0000C0010000}"/>
    <cellStyle name="Normal 11 2 2 2 3 2" xfId="3344" xr:uid="{00000000-0005-0000-0000-0000C1010000}"/>
    <cellStyle name="Normal 11 2 2 2 4" xfId="2468" xr:uid="{00000000-0005-0000-0000-0000C2010000}"/>
    <cellStyle name="Normal 11 2 2 3" xfId="1095" xr:uid="{00000000-0005-0000-0000-0000C3010000}"/>
    <cellStyle name="Normal 11 2 2 3 2" xfId="1971" xr:uid="{00000000-0005-0000-0000-0000C4010000}"/>
    <cellStyle name="Normal 11 2 2 3 2 2" xfId="3730" xr:uid="{00000000-0005-0000-0000-0000C5010000}"/>
    <cellStyle name="Normal 11 2 2 3 3" xfId="2854" xr:uid="{00000000-0005-0000-0000-0000C6010000}"/>
    <cellStyle name="Normal 11 2 2 4" xfId="1535" xr:uid="{00000000-0005-0000-0000-0000C7010000}"/>
    <cellStyle name="Normal 11 2 2 4 2" xfId="3294" xr:uid="{00000000-0005-0000-0000-0000C8010000}"/>
    <cellStyle name="Normal 11 2 2 5" xfId="2418" xr:uid="{00000000-0005-0000-0000-0000C9010000}"/>
    <cellStyle name="Normal 11 2 3" xfId="710" xr:uid="{00000000-0005-0000-0000-0000CA010000}"/>
    <cellStyle name="Normal 11 2 3 2" xfId="1146" xr:uid="{00000000-0005-0000-0000-0000CB010000}"/>
    <cellStyle name="Normal 11 2 3 2 2" xfId="2022" xr:uid="{00000000-0005-0000-0000-0000CC010000}"/>
    <cellStyle name="Normal 11 2 3 2 2 2" xfId="3781" xr:uid="{00000000-0005-0000-0000-0000CD010000}"/>
    <cellStyle name="Normal 11 2 3 2 3" xfId="2905" xr:uid="{00000000-0005-0000-0000-0000CE010000}"/>
    <cellStyle name="Normal 11 2 3 3" xfId="1586" xr:uid="{00000000-0005-0000-0000-0000CF010000}"/>
    <cellStyle name="Normal 11 2 3 3 2" xfId="3345" xr:uid="{00000000-0005-0000-0000-0000D0010000}"/>
    <cellStyle name="Normal 11 2 3 4" xfId="2469" xr:uid="{00000000-0005-0000-0000-0000D1010000}"/>
    <cellStyle name="Normal 11 2 4" xfId="987" xr:uid="{00000000-0005-0000-0000-0000D2010000}"/>
    <cellStyle name="Normal 11 2 4 2" xfId="1863" xr:uid="{00000000-0005-0000-0000-0000D3010000}"/>
    <cellStyle name="Normal 11 2 4 2 2" xfId="3622" xr:uid="{00000000-0005-0000-0000-0000D4010000}"/>
    <cellStyle name="Normal 11 2 4 3" xfId="2746" xr:uid="{00000000-0005-0000-0000-0000D5010000}"/>
    <cellStyle name="Normal 11 2 5" xfId="1427" xr:uid="{00000000-0005-0000-0000-0000D6010000}"/>
    <cellStyle name="Normal 11 2 5 2" xfId="3186" xr:uid="{00000000-0005-0000-0000-0000D7010000}"/>
    <cellStyle name="Normal 11 2 6" xfId="2310" xr:uid="{00000000-0005-0000-0000-0000D8010000}"/>
    <cellStyle name="Normal 11 3" xfId="586" xr:uid="{00000000-0005-0000-0000-0000D9010000}"/>
    <cellStyle name="Normal 11 3 2" xfId="711" xr:uid="{00000000-0005-0000-0000-0000DA010000}"/>
    <cellStyle name="Normal 11 3 2 2" xfId="1147" xr:uid="{00000000-0005-0000-0000-0000DB010000}"/>
    <cellStyle name="Normal 11 3 2 2 2" xfId="2023" xr:uid="{00000000-0005-0000-0000-0000DC010000}"/>
    <cellStyle name="Normal 11 3 2 2 2 2" xfId="3782" xr:uid="{00000000-0005-0000-0000-0000DD010000}"/>
    <cellStyle name="Normal 11 3 2 2 3" xfId="2906" xr:uid="{00000000-0005-0000-0000-0000DE010000}"/>
    <cellStyle name="Normal 11 3 2 3" xfId="1587" xr:uid="{00000000-0005-0000-0000-0000DF010000}"/>
    <cellStyle name="Normal 11 3 2 3 2" xfId="3346" xr:uid="{00000000-0005-0000-0000-0000E0010000}"/>
    <cellStyle name="Normal 11 3 2 4" xfId="2470" xr:uid="{00000000-0005-0000-0000-0000E1010000}"/>
    <cellStyle name="Normal 11 3 3" xfId="1040" xr:uid="{00000000-0005-0000-0000-0000E2010000}"/>
    <cellStyle name="Normal 11 3 3 2" xfId="1916" xr:uid="{00000000-0005-0000-0000-0000E3010000}"/>
    <cellStyle name="Normal 11 3 3 2 2" xfId="3675" xr:uid="{00000000-0005-0000-0000-0000E4010000}"/>
    <cellStyle name="Normal 11 3 3 3" xfId="2799" xr:uid="{00000000-0005-0000-0000-0000E5010000}"/>
    <cellStyle name="Normal 11 3 4" xfId="1480" xr:uid="{00000000-0005-0000-0000-0000E6010000}"/>
    <cellStyle name="Normal 11 3 4 2" xfId="3239" xr:uid="{00000000-0005-0000-0000-0000E7010000}"/>
    <cellStyle name="Normal 11 3 5" xfId="2363" xr:uid="{00000000-0005-0000-0000-0000E8010000}"/>
    <cellStyle name="Normal 11 4" xfId="712" xr:uid="{00000000-0005-0000-0000-0000E9010000}"/>
    <cellStyle name="Normal 11 4 2" xfId="1148" xr:uid="{00000000-0005-0000-0000-0000EA010000}"/>
    <cellStyle name="Normal 11 4 2 2" xfId="2024" xr:uid="{00000000-0005-0000-0000-0000EB010000}"/>
    <cellStyle name="Normal 11 4 2 2 2" xfId="3783" xr:uid="{00000000-0005-0000-0000-0000EC010000}"/>
    <cellStyle name="Normal 11 4 2 3" xfId="2907" xr:uid="{00000000-0005-0000-0000-0000ED010000}"/>
    <cellStyle name="Normal 11 4 3" xfId="1588" xr:uid="{00000000-0005-0000-0000-0000EE010000}"/>
    <cellStyle name="Normal 11 4 3 2" xfId="3347" xr:uid="{00000000-0005-0000-0000-0000EF010000}"/>
    <cellStyle name="Normal 11 4 4" xfId="2471" xr:uid="{00000000-0005-0000-0000-0000F0010000}"/>
    <cellStyle name="Normal 11 5" xfId="932" xr:uid="{00000000-0005-0000-0000-0000F1010000}"/>
    <cellStyle name="Normal 11 5 2" xfId="1808" xr:uid="{00000000-0005-0000-0000-0000F2010000}"/>
    <cellStyle name="Normal 11 5 2 2" xfId="3567" xr:uid="{00000000-0005-0000-0000-0000F3010000}"/>
    <cellStyle name="Normal 11 5 3" xfId="2691" xr:uid="{00000000-0005-0000-0000-0000F4010000}"/>
    <cellStyle name="Normal 11 6" xfId="1372" xr:uid="{00000000-0005-0000-0000-0000F5010000}"/>
    <cellStyle name="Normal 11 6 2" xfId="3131" xr:uid="{00000000-0005-0000-0000-0000F6010000}"/>
    <cellStyle name="Normal 11 7" xfId="2255" xr:uid="{00000000-0005-0000-0000-0000F7010000}"/>
    <cellStyle name="Normal 12" xfId="89" xr:uid="{00000000-0005-0000-0000-0000F8010000}"/>
    <cellStyle name="Normal 12 2" xfId="533" xr:uid="{00000000-0005-0000-0000-0000F9010000}"/>
    <cellStyle name="Normal 12 2 2" xfId="642" xr:uid="{00000000-0005-0000-0000-0000FA010000}"/>
    <cellStyle name="Normal 12 2 2 2" xfId="713" xr:uid="{00000000-0005-0000-0000-0000FB010000}"/>
    <cellStyle name="Normal 12 2 2 2 2" xfId="1149" xr:uid="{00000000-0005-0000-0000-0000FC010000}"/>
    <cellStyle name="Normal 12 2 2 2 2 2" xfId="2025" xr:uid="{00000000-0005-0000-0000-0000FD010000}"/>
    <cellStyle name="Normal 12 2 2 2 2 2 2" xfId="3784" xr:uid="{00000000-0005-0000-0000-0000FE010000}"/>
    <cellStyle name="Normal 12 2 2 2 2 3" xfId="2908" xr:uid="{00000000-0005-0000-0000-0000FF010000}"/>
    <cellStyle name="Normal 12 2 2 2 3" xfId="1589" xr:uid="{00000000-0005-0000-0000-000000020000}"/>
    <cellStyle name="Normal 12 2 2 2 3 2" xfId="3348" xr:uid="{00000000-0005-0000-0000-000001020000}"/>
    <cellStyle name="Normal 12 2 2 2 4" xfId="2472" xr:uid="{00000000-0005-0000-0000-000002020000}"/>
    <cellStyle name="Normal 12 2 2 3" xfId="1096" xr:uid="{00000000-0005-0000-0000-000003020000}"/>
    <cellStyle name="Normal 12 2 2 3 2" xfId="1972" xr:uid="{00000000-0005-0000-0000-000004020000}"/>
    <cellStyle name="Normal 12 2 2 3 2 2" xfId="3731" xr:uid="{00000000-0005-0000-0000-000005020000}"/>
    <cellStyle name="Normal 12 2 2 3 3" xfId="2855" xr:uid="{00000000-0005-0000-0000-000006020000}"/>
    <cellStyle name="Normal 12 2 2 4" xfId="1536" xr:uid="{00000000-0005-0000-0000-000007020000}"/>
    <cellStyle name="Normal 12 2 2 4 2" xfId="3295" xr:uid="{00000000-0005-0000-0000-000008020000}"/>
    <cellStyle name="Normal 12 2 2 5" xfId="2419" xr:uid="{00000000-0005-0000-0000-000009020000}"/>
    <cellStyle name="Normal 12 2 3" xfId="714" xr:uid="{00000000-0005-0000-0000-00000A020000}"/>
    <cellStyle name="Normal 12 2 3 2" xfId="1150" xr:uid="{00000000-0005-0000-0000-00000B020000}"/>
    <cellStyle name="Normal 12 2 3 2 2" xfId="2026" xr:uid="{00000000-0005-0000-0000-00000C020000}"/>
    <cellStyle name="Normal 12 2 3 2 2 2" xfId="3785" xr:uid="{00000000-0005-0000-0000-00000D020000}"/>
    <cellStyle name="Normal 12 2 3 2 3" xfId="2909" xr:uid="{00000000-0005-0000-0000-00000E020000}"/>
    <cellStyle name="Normal 12 2 3 3" xfId="1590" xr:uid="{00000000-0005-0000-0000-00000F020000}"/>
    <cellStyle name="Normal 12 2 3 3 2" xfId="3349" xr:uid="{00000000-0005-0000-0000-000010020000}"/>
    <cellStyle name="Normal 12 2 3 4" xfId="2473" xr:uid="{00000000-0005-0000-0000-000011020000}"/>
    <cellStyle name="Normal 12 2 4" xfId="988" xr:uid="{00000000-0005-0000-0000-000012020000}"/>
    <cellStyle name="Normal 12 2 4 2" xfId="1864" xr:uid="{00000000-0005-0000-0000-000013020000}"/>
    <cellStyle name="Normal 12 2 4 2 2" xfId="3623" xr:uid="{00000000-0005-0000-0000-000014020000}"/>
    <cellStyle name="Normal 12 2 4 3" xfId="2747" xr:uid="{00000000-0005-0000-0000-000015020000}"/>
    <cellStyle name="Normal 12 2 5" xfId="1428" xr:uid="{00000000-0005-0000-0000-000016020000}"/>
    <cellStyle name="Normal 12 2 5 2" xfId="3187" xr:uid="{00000000-0005-0000-0000-000017020000}"/>
    <cellStyle name="Normal 12 2 6" xfId="2311" xr:uid="{00000000-0005-0000-0000-000018020000}"/>
    <cellStyle name="Normal 12 3" xfId="587" xr:uid="{00000000-0005-0000-0000-000019020000}"/>
    <cellStyle name="Normal 12 3 2" xfId="715" xr:uid="{00000000-0005-0000-0000-00001A020000}"/>
    <cellStyle name="Normal 12 3 2 2" xfId="1151" xr:uid="{00000000-0005-0000-0000-00001B020000}"/>
    <cellStyle name="Normal 12 3 2 2 2" xfId="2027" xr:uid="{00000000-0005-0000-0000-00001C020000}"/>
    <cellStyle name="Normal 12 3 2 2 2 2" xfId="3786" xr:uid="{00000000-0005-0000-0000-00001D020000}"/>
    <cellStyle name="Normal 12 3 2 2 3" xfId="2910" xr:uid="{00000000-0005-0000-0000-00001E020000}"/>
    <cellStyle name="Normal 12 3 2 3" xfId="1591" xr:uid="{00000000-0005-0000-0000-00001F020000}"/>
    <cellStyle name="Normal 12 3 2 3 2" xfId="3350" xr:uid="{00000000-0005-0000-0000-000020020000}"/>
    <cellStyle name="Normal 12 3 2 4" xfId="2474" xr:uid="{00000000-0005-0000-0000-000021020000}"/>
    <cellStyle name="Normal 12 3 3" xfId="1041" xr:uid="{00000000-0005-0000-0000-000022020000}"/>
    <cellStyle name="Normal 12 3 3 2" xfId="1917" xr:uid="{00000000-0005-0000-0000-000023020000}"/>
    <cellStyle name="Normal 12 3 3 2 2" xfId="3676" xr:uid="{00000000-0005-0000-0000-000024020000}"/>
    <cellStyle name="Normal 12 3 3 3" xfId="2800" xr:uid="{00000000-0005-0000-0000-000025020000}"/>
    <cellStyle name="Normal 12 3 4" xfId="1481" xr:uid="{00000000-0005-0000-0000-000026020000}"/>
    <cellStyle name="Normal 12 3 4 2" xfId="3240" xr:uid="{00000000-0005-0000-0000-000027020000}"/>
    <cellStyle name="Normal 12 3 5" xfId="2364" xr:uid="{00000000-0005-0000-0000-000028020000}"/>
    <cellStyle name="Normal 12 4" xfId="716" xr:uid="{00000000-0005-0000-0000-000029020000}"/>
    <cellStyle name="Normal 12 4 2" xfId="1152" xr:uid="{00000000-0005-0000-0000-00002A020000}"/>
    <cellStyle name="Normal 12 4 2 2" xfId="2028" xr:uid="{00000000-0005-0000-0000-00002B020000}"/>
    <cellStyle name="Normal 12 4 2 2 2" xfId="3787" xr:uid="{00000000-0005-0000-0000-00002C020000}"/>
    <cellStyle name="Normal 12 4 2 3" xfId="2911" xr:uid="{00000000-0005-0000-0000-00002D020000}"/>
    <cellStyle name="Normal 12 4 3" xfId="1592" xr:uid="{00000000-0005-0000-0000-00002E020000}"/>
    <cellStyle name="Normal 12 4 3 2" xfId="3351" xr:uid="{00000000-0005-0000-0000-00002F020000}"/>
    <cellStyle name="Normal 12 4 4" xfId="2475" xr:uid="{00000000-0005-0000-0000-000030020000}"/>
    <cellStyle name="Normal 12 5" xfId="933" xr:uid="{00000000-0005-0000-0000-000031020000}"/>
    <cellStyle name="Normal 12 5 2" xfId="1809" xr:uid="{00000000-0005-0000-0000-000032020000}"/>
    <cellStyle name="Normal 12 5 2 2" xfId="3568" xr:uid="{00000000-0005-0000-0000-000033020000}"/>
    <cellStyle name="Normal 12 5 3" xfId="2692" xr:uid="{00000000-0005-0000-0000-000034020000}"/>
    <cellStyle name="Normal 12 6" xfId="1373" xr:uid="{00000000-0005-0000-0000-000035020000}"/>
    <cellStyle name="Normal 12 6 2" xfId="3132" xr:uid="{00000000-0005-0000-0000-000036020000}"/>
    <cellStyle name="Normal 12 7" xfId="2256" xr:uid="{00000000-0005-0000-0000-000037020000}"/>
    <cellStyle name="Normal 13" xfId="90" xr:uid="{00000000-0005-0000-0000-000038020000}"/>
    <cellStyle name="Normal 13 2" xfId="534" xr:uid="{00000000-0005-0000-0000-000039020000}"/>
    <cellStyle name="Normal 13 2 2" xfId="643" xr:uid="{00000000-0005-0000-0000-00003A020000}"/>
    <cellStyle name="Normal 13 2 2 2" xfId="717" xr:uid="{00000000-0005-0000-0000-00003B020000}"/>
    <cellStyle name="Normal 13 2 2 2 2" xfId="1153" xr:uid="{00000000-0005-0000-0000-00003C020000}"/>
    <cellStyle name="Normal 13 2 2 2 2 2" xfId="2029" xr:uid="{00000000-0005-0000-0000-00003D020000}"/>
    <cellStyle name="Normal 13 2 2 2 2 2 2" xfId="3788" xr:uid="{00000000-0005-0000-0000-00003E020000}"/>
    <cellStyle name="Normal 13 2 2 2 2 3" xfId="2912" xr:uid="{00000000-0005-0000-0000-00003F020000}"/>
    <cellStyle name="Normal 13 2 2 2 3" xfId="1593" xr:uid="{00000000-0005-0000-0000-000040020000}"/>
    <cellStyle name="Normal 13 2 2 2 3 2" xfId="3352" xr:uid="{00000000-0005-0000-0000-000041020000}"/>
    <cellStyle name="Normal 13 2 2 2 4" xfId="2476" xr:uid="{00000000-0005-0000-0000-000042020000}"/>
    <cellStyle name="Normal 13 2 2 3" xfId="1097" xr:uid="{00000000-0005-0000-0000-000043020000}"/>
    <cellStyle name="Normal 13 2 2 3 2" xfId="1973" xr:uid="{00000000-0005-0000-0000-000044020000}"/>
    <cellStyle name="Normal 13 2 2 3 2 2" xfId="3732" xr:uid="{00000000-0005-0000-0000-000045020000}"/>
    <cellStyle name="Normal 13 2 2 3 3" xfId="2856" xr:uid="{00000000-0005-0000-0000-000046020000}"/>
    <cellStyle name="Normal 13 2 2 4" xfId="1537" xr:uid="{00000000-0005-0000-0000-000047020000}"/>
    <cellStyle name="Normal 13 2 2 4 2" xfId="3296" xr:uid="{00000000-0005-0000-0000-000048020000}"/>
    <cellStyle name="Normal 13 2 2 5" xfId="2420" xr:uid="{00000000-0005-0000-0000-000049020000}"/>
    <cellStyle name="Normal 13 2 3" xfId="718" xr:uid="{00000000-0005-0000-0000-00004A020000}"/>
    <cellStyle name="Normal 13 2 3 2" xfId="1154" xr:uid="{00000000-0005-0000-0000-00004B020000}"/>
    <cellStyle name="Normal 13 2 3 2 2" xfId="2030" xr:uid="{00000000-0005-0000-0000-00004C020000}"/>
    <cellStyle name="Normal 13 2 3 2 2 2" xfId="3789" xr:uid="{00000000-0005-0000-0000-00004D020000}"/>
    <cellStyle name="Normal 13 2 3 2 3" xfId="2913" xr:uid="{00000000-0005-0000-0000-00004E020000}"/>
    <cellStyle name="Normal 13 2 3 3" xfId="1594" xr:uid="{00000000-0005-0000-0000-00004F020000}"/>
    <cellStyle name="Normal 13 2 3 3 2" xfId="3353" xr:uid="{00000000-0005-0000-0000-000050020000}"/>
    <cellStyle name="Normal 13 2 3 4" xfId="2477" xr:uid="{00000000-0005-0000-0000-000051020000}"/>
    <cellStyle name="Normal 13 2 4" xfId="989" xr:uid="{00000000-0005-0000-0000-000052020000}"/>
    <cellStyle name="Normal 13 2 4 2" xfId="1865" xr:uid="{00000000-0005-0000-0000-000053020000}"/>
    <cellStyle name="Normal 13 2 4 2 2" xfId="3624" xr:uid="{00000000-0005-0000-0000-000054020000}"/>
    <cellStyle name="Normal 13 2 4 3" xfId="2748" xr:uid="{00000000-0005-0000-0000-000055020000}"/>
    <cellStyle name="Normal 13 2 5" xfId="1429" xr:uid="{00000000-0005-0000-0000-000056020000}"/>
    <cellStyle name="Normal 13 2 5 2" xfId="3188" xr:uid="{00000000-0005-0000-0000-000057020000}"/>
    <cellStyle name="Normal 13 2 6" xfId="2312" xr:uid="{00000000-0005-0000-0000-000058020000}"/>
    <cellStyle name="Normal 13 3" xfId="588" xr:uid="{00000000-0005-0000-0000-000059020000}"/>
    <cellStyle name="Normal 13 3 2" xfId="719" xr:uid="{00000000-0005-0000-0000-00005A020000}"/>
    <cellStyle name="Normal 13 3 2 2" xfId="1155" xr:uid="{00000000-0005-0000-0000-00005B020000}"/>
    <cellStyle name="Normal 13 3 2 2 2" xfId="2031" xr:uid="{00000000-0005-0000-0000-00005C020000}"/>
    <cellStyle name="Normal 13 3 2 2 2 2" xfId="3790" xr:uid="{00000000-0005-0000-0000-00005D020000}"/>
    <cellStyle name="Normal 13 3 2 2 3" xfId="2914" xr:uid="{00000000-0005-0000-0000-00005E020000}"/>
    <cellStyle name="Normal 13 3 2 3" xfId="1595" xr:uid="{00000000-0005-0000-0000-00005F020000}"/>
    <cellStyle name="Normal 13 3 2 3 2" xfId="3354" xr:uid="{00000000-0005-0000-0000-000060020000}"/>
    <cellStyle name="Normal 13 3 2 4" xfId="2478" xr:uid="{00000000-0005-0000-0000-000061020000}"/>
    <cellStyle name="Normal 13 3 3" xfId="1042" xr:uid="{00000000-0005-0000-0000-000062020000}"/>
    <cellStyle name="Normal 13 3 3 2" xfId="1918" xr:uid="{00000000-0005-0000-0000-000063020000}"/>
    <cellStyle name="Normal 13 3 3 2 2" xfId="3677" xr:uid="{00000000-0005-0000-0000-000064020000}"/>
    <cellStyle name="Normal 13 3 3 3" xfId="2801" xr:uid="{00000000-0005-0000-0000-000065020000}"/>
    <cellStyle name="Normal 13 3 4" xfId="1482" xr:uid="{00000000-0005-0000-0000-000066020000}"/>
    <cellStyle name="Normal 13 3 4 2" xfId="3241" xr:uid="{00000000-0005-0000-0000-000067020000}"/>
    <cellStyle name="Normal 13 3 5" xfId="2365" xr:uid="{00000000-0005-0000-0000-000068020000}"/>
    <cellStyle name="Normal 13 4" xfId="720" xr:uid="{00000000-0005-0000-0000-000069020000}"/>
    <cellStyle name="Normal 13 4 2" xfId="1156" xr:uid="{00000000-0005-0000-0000-00006A020000}"/>
    <cellStyle name="Normal 13 4 2 2" xfId="2032" xr:uid="{00000000-0005-0000-0000-00006B020000}"/>
    <cellStyle name="Normal 13 4 2 2 2" xfId="3791" xr:uid="{00000000-0005-0000-0000-00006C020000}"/>
    <cellStyle name="Normal 13 4 2 3" xfId="2915" xr:uid="{00000000-0005-0000-0000-00006D020000}"/>
    <cellStyle name="Normal 13 4 3" xfId="1596" xr:uid="{00000000-0005-0000-0000-00006E020000}"/>
    <cellStyle name="Normal 13 4 3 2" xfId="3355" xr:uid="{00000000-0005-0000-0000-00006F020000}"/>
    <cellStyle name="Normal 13 4 4" xfId="2479" xr:uid="{00000000-0005-0000-0000-000070020000}"/>
    <cellStyle name="Normal 13 5" xfId="934" xr:uid="{00000000-0005-0000-0000-000071020000}"/>
    <cellStyle name="Normal 13 5 2" xfId="1810" xr:uid="{00000000-0005-0000-0000-000072020000}"/>
    <cellStyle name="Normal 13 5 2 2" xfId="3569" xr:uid="{00000000-0005-0000-0000-000073020000}"/>
    <cellStyle name="Normal 13 5 3" xfId="2693" xr:uid="{00000000-0005-0000-0000-000074020000}"/>
    <cellStyle name="Normal 13 6" xfId="1374" xr:uid="{00000000-0005-0000-0000-000075020000}"/>
    <cellStyle name="Normal 13 6 2" xfId="3133" xr:uid="{00000000-0005-0000-0000-000076020000}"/>
    <cellStyle name="Normal 13 7" xfId="2257" xr:uid="{00000000-0005-0000-0000-000077020000}"/>
    <cellStyle name="Normal 14" xfId="91" xr:uid="{00000000-0005-0000-0000-000078020000}"/>
    <cellStyle name="Normal 14 2" xfId="502" xr:uid="{00000000-0005-0000-0000-000079020000}"/>
    <cellStyle name="Normal 14 3" xfId="535" xr:uid="{00000000-0005-0000-0000-00007A020000}"/>
    <cellStyle name="Normal 14 3 2" xfId="644" xr:uid="{00000000-0005-0000-0000-00007B020000}"/>
    <cellStyle name="Normal 14 3 2 2" xfId="721" xr:uid="{00000000-0005-0000-0000-00007C020000}"/>
    <cellStyle name="Normal 14 3 2 2 2" xfId="1157" xr:uid="{00000000-0005-0000-0000-00007D020000}"/>
    <cellStyle name="Normal 14 3 2 2 2 2" xfId="2033" xr:uid="{00000000-0005-0000-0000-00007E020000}"/>
    <cellStyle name="Normal 14 3 2 2 2 2 2" xfId="3792" xr:uid="{00000000-0005-0000-0000-00007F020000}"/>
    <cellStyle name="Normal 14 3 2 2 2 3" xfId="2916" xr:uid="{00000000-0005-0000-0000-000080020000}"/>
    <cellStyle name="Normal 14 3 2 2 3" xfId="1597" xr:uid="{00000000-0005-0000-0000-000081020000}"/>
    <cellStyle name="Normal 14 3 2 2 3 2" xfId="3356" xr:uid="{00000000-0005-0000-0000-000082020000}"/>
    <cellStyle name="Normal 14 3 2 2 4" xfId="2480" xr:uid="{00000000-0005-0000-0000-000083020000}"/>
    <cellStyle name="Normal 14 3 2 3" xfId="1098" xr:uid="{00000000-0005-0000-0000-000084020000}"/>
    <cellStyle name="Normal 14 3 2 3 2" xfId="1974" xr:uid="{00000000-0005-0000-0000-000085020000}"/>
    <cellStyle name="Normal 14 3 2 3 2 2" xfId="3733" xr:uid="{00000000-0005-0000-0000-000086020000}"/>
    <cellStyle name="Normal 14 3 2 3 3" xfId="2857" xr:uid="{00000000-0005-0000-0000-000087020000}"/>
    <cellStyle name="Normal 14 3 2 4" xfId="1538" xr:uid="{00000000-0005-0000-0000-000088020000}"/>
    <cellStyle name="Normal 14 3 2 4 2" xfId="3297" xr:uid="{00000000-0005-0000-0000-000089020000}"/>
    <cellStyle name="Normal 14 3 2 5" xfId="2421" xr:uid="{00000000-0005-0000-0000-00008A020000}"/>
    <cellStyle name="Normal 14 3 3" xfId="722" xr:uid="{00000000-0005-0000-0000-00008B020000}"/>
    <cellStyle name="Normal 14 3 3 2" xfId="1158" xr:uid="{00000000-0005-0000-0000-00008C020000}"/>
    <cellStyle name="Normal 14 3 3 2 2" xfId="2034" xr:uid="{00000000-0005-0000-0000-00008D020000}"/>
    <cellStyle name="Normal 14 3 3 2 2 2" xfId="3793" xr:uid="{00000000-0005-0000-0000-00008E020000}"/>
    <cellStyle name="Normal 14 3 3 2 3" xfId="2917" xr:uid="{00000000-0005-0000-0000-00008F020000}"/>
    <cellStyle name="Normal 14 3 3 3" xfId="1598" xr:uid="{00000000-0005-0000-0000-000090020000}"/>
    <cellStyle name="Normal 14 3 3 3 2" xfId="3357" xr:uid="{00000000-0005-0000-0000-000091020000}"/>
    <cellStyle name="Normal 14 3 3 4" xfId="2481" xr:uid="{00000000-0005-0000-0000-000092020000}"/>
    <cellStyle name="Normal 14 3 4" xfId="990" xr:uid="{00000000-0005-0000-0000-000093020000}"/>
    <cellStyle name="Normal 14 3 4 2" xfId="1866" xr:uid="{00000000-0005-0000-0000-000094020000}"/>
    <cellStyle name="Normal 14 3 4 2 2" xfId="3625" xr:uid="{00000000-0005-0000-0000-000095020000}"/>
    <cellStyle name="Normal 14 3 4 3" xfId="2749" xr:uid="{00000000-0005-0000-0000-000096020000}"/>
    <cellStyle name="Normal 14 3 5" xfId="1430" xr:uid="{00000000-0005-0000-0000-000097020000}"/>
    <cellStyle name="Normal 14 3 5 2" xfId="3189" xr:uid="{00000000-0005-0000-0000-000098020000}"/>
    <cellStyle name="Normal 14 3 6" xfId="2313" xr:uid="{00000000-0005-0000-0000-000099020000}"/>
    <cellStyle name="Normal 14 4" xfId="589" xr:uid="{00000000-0005-0000-0000-00009A020000}"/>
    <cellStyle name="Normal 14 4 2" xfId="723" xr:uid="{00000000-0005-0000-0000-00009B020000}"/>
    <cellStyle name="Normal 14 4 2 2" xfId="1159" xr:uid="{00000000-0005-0000-0000-00009C020000}"/>
    <cellStyle name="Normal 14 4 2 2 2" xfId="2035" xr:uid="{00000000-0005-0000-0000-00009D020000}"/>
    <cellStyle name="Normal 14 4 2 2 2 2" xfId="3794" xr:uid="{00000000-0005-0000-0000-00009E020000}"/>
    <cellStyle name="Normal 14 4 2 2 3" xfId="2918" xr:uid="{00000000-0005-0000-0000-00009F020000}"/>
    <cellStyle name="Normal 14 4 2 3" xfId="1599" xr:uid="{00000000-0005-0000-0000-0000A0020000}"/>
    <cellStyle name="Normal 14 4 2 3 2" xfId="3358" xr:uid="{00000000-0005-0000-0000-0000A1020000}"/>
    <cellStyle name="Normal 14 4 2 4" xfId="2482" xr:uid="{00000000-0005-0000-0000-0000A2020000}"/>
    <cellStyle name="Normal 14 4 3" xfId="1043" xr:uid="{00000000-0005-0000-0000-0000A3020000}"/>
    <cellStyle name="Normal 14 4 3 2" xfId="1919" xr:uid="{00000000-0005-0000-0000-0000A4020000}"/>
    <cellStyle name="Normal 14 4 3 2 2" xfId="3678" xr:uid="{00000000-0005-0000-0000-0000A5020000}"/>
    <cellStyle name="Normal 14 4 3 3" xfId="2802" xr:uid="{00000000-0005-0000-0000-0000A6020000}"/>
    <cellStyle name="Normal 14 4 4" xfId="1483" xr:uid="{00000000-0005-0000-0000-0000A7020000}"/>
    <cellStyle name="Normal 14 4 4 2" xfId="3242" xr:uid="{00000000-0005-0000-0000-0000A8020000}"/>
    <cellStyle name="Normal 14 4 5" xfId="2366" xr:uid="{00000000-0005-0000-0000-0000A9020000}"/>
    <cellStyle name="Normal 14 5" xfId="724" xr:uid="{00000000-0005-0000-0000-0000AA020000}"/>
    <cellStyle name="Normal 14 5 2" xfId="1160" xr:uid="{00000000-0005-0000-0000-0000AB020000}"/>
    <cellStyle name="Normal 14 5 2 2" xfId="2036" xr:uid="{00000000-0005-0000-0000-0000AC020000}"/>
    <cellStyle name="Normal 14 5 2 2 2" xfId="3795" xr:uid="{00000000-0005-0000-0000-0000AD020000}"/>
    <cellStyle name="Normal 14 5 2 3" xfId="2919" xr:uid="{00000000-0005-0000-0000-0000AE020000}"/>
    <cellStyle name="Normal 14 5 3" xfId="1600" xr:uid="{00000000-0005-0000-0000-0000AF020000}"/>
    <cellStyle name="Normal 14 5 3 2" xfId="3359" xr:uid="{00000000-0005-0000-0000-0000B0020000}"/>
    <cellStyle name="Normal 14 5 4" xfId="2483" xr:uid="{00000000-0005-0000-0000-0000B1020000}"/>
    <cellStyle name="Normal 14 6" xfId="935" xr:uid="{00000000-0005-0000-0000-0000B2020000}"/>
    <cellStyle name="Normal 14 6 2" xfId="1811" xr:uid="{00000000-0005-0000-0000-0000B3020000}"/>
    <cellStyle name="Normal 14 6 2 2" xfId="3570" xr:uid="{00000000-0005-0000-0000-0000B4020000}"/>
    <cellStyle name="Normal 14 6 3" xfId="2694" xr:uid="{00000000-0005-0000-0000-0000B5020000}"/>
    <cellStyle name="Normal 14 7" xfId="1375" xr:uid="{00000000-0005-0000-0000-0000B6020000}"/>
    <cellStyle name="Normal 14 7 2" xfId="3134" xr:uid="{00000000-0005-0000-0000-0000B7020000}"/>
    <cellStyle name="Normal 14 8" xfId="2258" xr:uid="{00000000-0005-0000-0000-0000B8020000}"/>
    <cellStyle name="Normal 15" xfId="92" xr:uid="{00000000-0005-0000-0000-0000B9020000}"/>
    <cellStyle name="Normal 15 2" xfId="536" xr:uid="{00000000-0005-0000-0000-0000BA020000}"/>
    <cellStyle name="Normal 15 2 2" xfId="645" xr:uid="{00000000-0005-0000-0000-0000BB020000}"/>
    <cellStyle name="Normal 15 2 2 2" xfId="725" xr:uid="{00000000-0005-0000-0000-0000BC020000}"/>
    <cellStyle name="Normal 15 2 2 2 2" xfId="1161" xr:uid="{00000000-0005-0000-0000-0000BD020000}"/>
    <cellStyle name="Normal 15 2 2 2 2 2" xfId="2037" xr:uid="{00000000-0005-0000-0000-0000BE020000}"/>
    <cellStyle name="Normal 15 2 2 2 2 2 2" xfId="3796" xr:uid="{00000000-0005-0000-0000-0000BF020000}"/>
    <cellStyle name="Normal 15 2 2 2 2 3" xfId="2920" xr:uid="{00000000-0005-0000-0000-0000C0020000}"/>
    <cellStyle name="Normal 15 2 2 2 3" xfId="1601" xr:uid="{00000000-0005-0000-0000-0000C1020000}"/>
    <cellStyle name="Normal 15 2 2 2 3 2" xfId="3360" xr:uid="{00000000-0005-0000-0000-0000C2020000}"/>
    <cellStyle name="Normal 15 2 2 2 4" xfId="2484" xr:uid="{00000000-0005-0000-0000-0000C3020000}"/>
    <cellStyle name="Normal 15 2 2 3" xfId="1099" xr:uid="{00000000-0005-0000-0000-0000C4020000}"/>
    <cellStyle name="Normal 15 2 2 3 2" xfId="1975" xr:uid="{00000000-0005-0000-0000-0000C5020000}"/>
    <cellStyle name="Normal 15 2 2 3 2 2" xfId="3734" xr:uid="{00000000-0005-0000-0000-0000C6020000}"/>
    <cellStyle name="Normal 15 2 2 3 3" xfId="2858" xr:uid="{00000000-0005-0000-0000-0000C7020000}"/>
    <cellStyle name="Normal 15 2 2 4" xfId="1539" xr:uid="{00000000-0005-0000-0000-0000C8020000}"/>
    <cellStyle name="Normal 15 2 2 4 2" xfId="3298" xr:uid="{00000000-0005-0000-0000-0000C9020000}"/>
    <cellStyle name="Normal 15 2 2 5" xfId="2422" xr:uid="{00000000-0005-0000-0000-0000CA020000}"/>
    <cellStyle name="Normal 15 2 3" xfId="726" xr:uid="{00000000-0005-0000-0000-0000CB020000}"/>
    <cellStyle name="Normal 15 2 3 2" xfId="1162" xr:uid="{00000000-0005-0000-0000-0000CC020000}"/>
    <cellStyle name="Normal 15 2 3 2 2" xfId="2038" xr:uid="{00000000-0005-0000-0000-0000CD020000}"/>
    <cellStyle name="Normal 15 2 3 2 2 2" xfId="3797" xr:uid="{00000000-0005-0000-0000-0000CE020000}"/>
    <cellStyle name="Normal 15 2 3 2 3" xfId="2921" xr:uid="{00000000-0005-0000-0000-0000CF020000}"/>
    <cellStyle name="Normal 15 2 3 3" xfId="1602" xr:uid="{00000000-0005-0000-0000-0000D0020000}"/>
    <cellStyle name="Normal 15 2 3 3 2" xfId="3361" xr:uid="{00000000-0005-0000-0000-0000D1020000}"/>
    <cellStyle name="Normal 15 2 3 4" xfId="2485" xr:uid="{00000000-0005-0000-0000-0000D2020000}"/>
    <cellStyle name="Normal 15 2 4" xfId="991" xr:uid="{00000000-0005-0000-0000-0000D3020000}"/>
    <cellStyle name="Normal 15 2 4 2" xfId="1867" xr:uid="{00000000-0005-0000-0000-0000D4020000}"/>
    <cellStyle name="Normal 15 2 4 2 2" xfId="3626" xr:uid="{00000000-0005-0000-0000-0000D5020000}"/>
    <cellStyle name="Normal 15 2 4 3" xfId="2750" xr:uid="{00000000-0005-0000-0000-0000D6020000}"/>
    <cellStyle name="Normal 15 2 5" xfId="1431" xr:uid="{00000000-0005-0000-0000-0000D7020000}"/>
    <cellStyle name="Normal 15 2 5 2" xfId="3190" xr:uid="{00000000-0005-0000-0000-0000D8020000}"/>
    <cellStyle name="Normal 15 2 6" xfId="2314" xr:uid="{00000000-0005-0000-0000-0000D9020000}"/>
    <cellStyle name="Normal 15 3" xfId="590" xr:uid="{00000000-0005-0000-0000-0000DA020000}"/>
    <cellStyle name="Normal 15 3 2" xfId="727" xr:uid="{00000000-0005-0000-0000-0000DB020000}"/>
    <cellStyle name="Normal 15 3 2 2" xfId="1163" xr:uid="{00000000-0005-0000-0000-0000DC020000}"/>
    <cellStyle name="Normal 15 3 2 2 2" xfId="2039" xr:uid="{00000000-0005-0000-0000-0000DD020000}"/>
    <cellStyle name="Normal 15 3 2 2 2 2" xfId="3798" xr:uid="{00000000-0005-0000-0000-0000DE020000}"/>
    <cellStyle name="Normal 15 3 2 2 3" xfId="2922" xr:uid="{00000000-0005-0000-0000-0000DF020000}"/>
    <cellStyle name="Normal 15 3 2 3" xfId="1603" xr:uid="{00000000-0005-0000-0000-0000E0020000}"/>
    <cellStyle name="Normal 15 3 2 3 2" xfId="3362" xr:uid="{00000000-0005-0000-0000-0000E1020000}"/>
    <cellStyle name="Normal 15 3 2 4" xfId="2486" xr:uid="{00000000-0005-0000-0000-0000E2020000}"/>
    <cellStyle name="Normal 15 3 3" xfId="1044" xr:uid="{00000000-0005-0000-0000-0000E3020000}"/>
    <cellStyle name="Normal 15 3 3 2" xfId="1920" xr:uid="{00000000-0005-0000-0000-0000E4020000}"/>
    <cellStyle name="Normal 15 3 3 2 2" xfId="3679" xr:uid="{00000000-0005-0000-0000-0000E5020000}"/>
    <cellStyle name="Normal 15 3 3 3" xfId="2803" xr:uid="{00000000-0005-0000-0000-0000E6020000}"/>
    <cellStyle name="Normal 15 3 4" xfId="1484" xr:uid="{00000000-0005-0000-0000-0000E7020000}"/>
    <cellStyle name="Normal 15 3 4 2" xfId="3243" xr:uid="{00000000-0005-0000-0000-0000E8020000}"/>
    <cellStyle name="Normal 15 3 5" xfId="2367" xr:uid="{00000000-0005-0000-0000-0000E9020000}"/>
    <cellStyle name="Normal 15 4" xfId="728" xr:uid="{00000000-0005-0000-0000-0000EA020000}"/>
    <cellStyle name="Normal 15 4 2" xfId="1164" xr:uid="{00000000-0005-0000-0000-0000EB020000}"/>
    <cellStyle name="Normal 15 4 2 2" xfId="2040" xr:uid="{00000000-0005-0000-0000-0000EC020000}"/>
    <cellStyle name="Normal 15 4 2 2 2" xfId="3799" xr:uid="{00000000-0005-0000-0000-0000ED020000}"/>
    <cellStyle name="Normal 15 4 2 3" xfId="2923" xr:uid="{00000000-0005-0000-0000-0000EE020000}"/>
    <cellStyle name="Normal 15 4 3" xfId="1604" xr:uid="{00000000-0005-0000-0000-0000EF020000}"/>
    <cellStyle name="Normal 15 4 3 2" xfId="3363" xr:uid="{00000000-0005-0000-0000-0000F0020000}"/>
    <cellStyle name="Normal 15 4 4" xfId="2487" xr:uid="{00000000-0005-0000-0000-0000F1020000}"/>
    <cellStyle name="Normal 15 5" xfId="936" xr:uid="{00000000-0005-0000-0000-0000F2020000}"/>
    <cellStyle name="Normal 15 5 2" xfId="1812" xr:uid="{00000000-0005-0000-0000-0000F3020000}"/>
    <cellStyle name="Normal 15 5 2 2" xfId="3571" xr:uid="{00000000-0005-0000-0000-0000F4020000}"/>
    <cellStyle name="Normal 15 5 3" xfId="2695" xr:uid="{00000000-0005-0000-0000-0000F5020000}"/>
    <cellStyle name="Normal 15 6" xfId="1376" xr:uid="{00000000-0005-0000-0000-0000F6020000}"/>
    <cellStyle name="Normal 15 6 2" xfId="3135" xr:uid="{00000000-0005-0000-0000-0000F7020000}"/>
    <cellStyle name="Normal 15 7" xfId="2259" xr:uid="{00000000-0005-0000-0000-0000F8020000}"/>
    <cellStyle name="Normal 16" xfId="93" xr:uid="{00000000-0005-0000-0000-0000F9020000}"/>
    <cellStyle name="Normal 16 2" xfId="537" xr:uid="{00000000-0005-0000-0000-0000FA020000}"/>
    <cellStyle name="Normal 16 2 2" xfId="646" xr:uid="{00000000-0005-0000-0000-0000FB020000}"/>
    <cellStyle name="Normal 16 2 2 2" xfId="729" xr:uid="{00000000-0005-0000-0000-0000FC020000}"/>
    <cellStyle name="Normal 16 2 2 2 2" xfId="1165" xr:uid="{00000000-0005-0000-0000-0000FD020000}"/>
    <cellStyle name="Normal 16 2 2 2 2 2" xfId="2041" xr:uid="{00000000-0005-0000-0000-0000FE020000}"/>
    <cellStyle name="Normal 16 2 2 2 2 2 2" xfId="3800" xr:uid="{00000000-0005-0000-0000-0000FF020000}"/>
    <cellStyle name="Normal 16 2 2 2 2 3" xfId="2924" xr:uid="{00000000-0005-0000-0000-000000030000}"/>
    <cellStyle name="Normal 16 2 2 2 3" xfId="1605" xr:uid="{00000000-0005-0000-0000-000001030000}"/>
    <cellStyle name="Normal 16 2 2 2 3 2" xfId="3364" xr:uid="{00000000-0005-0000-0000-000002030000}"/>
    <cellStyle name="Normal 16 2 2 2 4" xfId="2488" xr:uid="{00000000-0005-0000-0000-000003030000}"/>
    <cellStyle name="Normal 16 2 2 3" xfId="1100" xr:uid="{00000000-0005-0000-0000-000004030000}"/>
    <cellStyle name="Normal 16 2 2 3 2" xfId="1976" xr:uid="{00000000-0005-0000-0000-000005030000}"/>
    <cellStyle name="Normal 16 2 2 3 2 2" xfId="3735" xr:uid="{00000000-0005-0000-0000-000006030000}"/>
    <cellStyle name="Normal 16 2 2 3 3" xfId="2859" xr:uid="{00000000-0005-0000-0000-000007030000}"/>
    <cellStyle name="Normal 16 2 2 4" xfId="1540" xr:uid="{00000000-0005-0000-0000-000008030000}"/>
    <cellStyle name="Normal 16 2 2 4 2" xfId="3299" xr:uid="{00000000-0005-0000-0000-000009030000}"/>
    <cellStyle name="Normal 16 2 2 5" xfId="2423" xr:uid="{00000000-0005-0000-0000-00000A030000}"/>
    <cellStyle name="Normal 16 2 3" xfId="730" xr:uid="{00000000-0005-0000-0000-00000B030000}"/>
    <cellStyle name="Normal 16 2 3 2" xfId="1166" xr:uid="{00000000-0005-0000-0000-00000C030000}"/>
    <cellStyle name="Normal 16 2 3 2 2" xfId="2042" xr:uid="{00000000-0005-0000-0000-00000D030000}"/>
    <cellStyle name="Normal 16 2 3 2 2 2" xfId="3801" xr:uid="{00000000-0005-0000-0000-00000E030000}"/>
    <cellStyle name="Normal 16 2 3 2 3" xfId="2925" xr:uid="{00000000-0005-0000-0000-00000F030000}"/>
    <cellStyle name="Normal 16 2 3 3" xfId="1606" xr:uid="{00000000-0005-0000-0000-000010030000}"/>
    <cellStyle name="Normal 16 2 3 3 2" xfId="3365" xr:uid="{00000000-0005-0000-0000-000011030000}"/>
    <cellStyle name="Normal 16 2 3 4" xfId="2489" xr:uid="{00000000-0005-0000-0000-000012030000}"/>
    <cellStyle name="Normal 16 2 4" xfId="992" xr:uid="{00000000-0005-0000-0000-000013030000}"/>
    <cellStyle name="Normal 16 2 4 2" xfId="1868" xr:uid="{00000000-0005-0000-0000-000014030000}"/>
    <cellStyle name="Normal 16 2 4 2 2" xfId="3627" xr:uid="{00000000-0005-0000-0000-000015030000}"/>
    <cellStyle name="Normal 16 2 4 3" xfId="2751" xr:uid="{00000000-0005-0000-0000-000016030000}"/>
    <cellStyle name="Normal 16 2 5" xfId="1432" xr:uid="{00000000-0005-0000-0000-000017030000}"/>
    <cellStyle name="Normal 16 2 5 2" xfId="3191" xr:uid="{00000000-0005-0000-0000-000018030000}"/>
    <cellStyle name="Normal 16 2 6" xfId="2315" xr:uid="{00000000-0005-0000-0000-000019030000}"/>
    <cellStyle name="Normal 16 3" xfId="591" xr:uid="{00000000-0005-0000-0000-00001A030000}"/>
    <cellStyle name="Normal 16 3 2" xfId="731" xr:uid="{00000000-0005-0000-0000-00001B030000}"/>
    <cellStyle name="Normal 16 3 2 2" xfId="1167" xr:uid="{00000000-0005-0000-0000-00001C030000}"/>
    <cellStyle name="Normal 16 3 2 2 2" xfId="2043" xr:uid="{00000000-0005-0000-0000-00001D030000}"/>
    <cellStyle name="Normal 16 3 2 2 2 2" xfId="3802" xr:uid="{00000000-0005-0000-0000-00001E030000}"/>
    <cellStyle name="Normal 16 3 2 2 3" xfId="2926" xr:uid="{00000000-0005-0000-0000-00001F030000}"/>
    <cellStyle name="Normal 16 3 2 3" xfId="1607" xr:uid="{00000000-0005-0000-0000-000020030000}"/>
    <cellStyle name="Normal 16 3 2 3 2" xfId="3366" xr:uid="{00000000-0005-0000-0000-000021030000}"/>
    <cellStyle name="Normal 16 3 2 4" xfId="2490" xr:uid="{00000000-0005-0000-0000-000022030000}"/>
    <cellStyle name="Normal 16 3 3" xfId="1045" xr:uid="{00000000-0005-0000-0000-000023030000}"/>
    <cellStyle name="Normal 16 3 3 2" xfId="1921" xr:uid="{00000000-0005-0000-0000-000024030000}"/>
    <cellStyle name="Normal 16 3 3 2 2" xfId="3680" xr:uid="{00000000-0005-0000-0000-000025030000}"/>
    <cellStyle name="Normal 16 3 3 3" xfId="2804" xr:uid="{00000000-0005-0000-0000-000026030000}"/>
    <cellStyle name="Normal 16 3 4" xfId="1485" xr:uid="{00000000-0005-0000-0000-000027030000}"/>
    <cellStyle name="Normal 16 3 4 2" xfId="3244" xr:uid="{00000000-0005-0000-0000-000028030000}"/>
    <cellStyle name="Normal 16 3 5" xfId="2368" xr:uid="{00000000-0005-0000-0000-000029030000}"/>
    <cellStyle name="Normal 16 4" xfId="732" xr:uid="{00000000-0005-0000-0000-00002A030000}"/>
    <cellStyle name="Normal 16 4 2" xfId="1168" xr:uid="{00000000-0005-0000-0000-00002B030000}"/>
    <cellStyle name="Normal 16 4 2 2" xfId="2044" xr:uid="{00000000-0005-0000-0000-00002C030000}"/>
    <cellStyle name="Normal 16 4 2 2 2" xfId="3803" xr:uid="{00000000-0005-0000-0000-00002D030000}"/>
    <cellStyle name="Normal 16 4 2 3" xfId="2927" xr:uid="{00000000-0005-0000-0000-00002E030000}"/>
    <cellStyle name="Normal 16 4 3" xfId="1608" xr:uid="{00000000-0005-0000-0000-00002F030000}"/>
    <cellStyle name="Normal 16 4 3 2" xfId="3367" xr:uid="{00000000-0005-0000-0000-000030030000}"/>
    <cellStyle name="Normal 16 4 4" xfId="2491" xr:uid="{00000000-0005-0000-0000-000031030000}"/>
    <cellStyle name="Normal 16 5" xfId="937" xr:uid="{00000000-0005-0000-0000-000032030000}"/>
    <cellStyle name="Normal 16 5 2" xfId="1813" xr:uid="{00000000-0005-0000-0000-000033030000}"/>
    <cellStyle name="Normal 16 5 2 2" xfId="3572" xr:uid="{00000000-0005-0000-0000-000034030000}"/>
    <cellStyle name="Normal 16 5 3" xfId="2696" xr:uid="{00000000-0005-0000-0000-000035030000}"/>
    <cellStyle name="Normal 16 6" xfId="1377" xr:uid="{00000000-0005-0000-0000-000036030000}"/>
    <cellStyle name="Normal 16 6 2" xfId="3136" xr:uid="{00000000-0005-0000-0000-000037030000}"/>
    <cellStyle name="Normal 16 7" xfId="2260" xr:uid="{00000000-0005-0000-0000-000038030000}"/>
    <cellStyle name="Normal 17" xfId="94" xr:uid="{00000000-0005-0000-0000-000039030000}"/>
    <cellStyle name="Normal 17 2" xfId="95" xr:uid="{00000000-0005-0000-0000-00003A030000}"/>
    <cellStyle name="Normal 17 3" xfId="538" xr:uid="{00000000-0005-0000-0000-00003B030000}"/>
    <cellStyle name="Normal 17 3 2" xfId="647" xr:uid="{00000000-0005-0000-0000-00003C030000}"/>
    <cellStyle name="Normal 17 3 2 2" xfId="733" xr:uid="{00000000-0005-0000-0000-00003D030000}"/>
    <cellStyle name="Normal 17 3 2 2 2" xfId="1169" xr:uid="{00000000-0005-0000-0000-00003E030000}"/>
    <cellStyle name="Normal 17 3 2 2 2 2" xfId="2045" xr:uid="{00000000-0005-0000-0000-00003F030000}"/>
    <cellStyle name="Normal 17 3 2 2 2 2 2" xfId="3804" xr:uid="{00000000-0005-0000-0000-000040030000}"/>
    <cellStyle name="Normal 17 3 2 2 2 3" xfId="2928" xr:uid="{00000000-0005-0000-0000-000041030000}"/>
    <cellStyle name="Normal 17 3 2 2 3" xfId="1609" xr:uid="{00000000-0005-0000-0000-000042030000}"/>
    <cellStyle name="Normal 17 3 2 2 3 2" xfId="3368" xr:uid="{00000000-0005-0000-0000-000043030000}"/>
    <cellStyle name="Normal 17 3 2 2 4" xfId="2492" xr:uid="{00000000-0005-0000-0000-000044030000}"/>
    <cellStyle name="Normal 17 3 2 3" xfId="1101" xr:uid="{00000000-0005-0000-0000-000045030000}"/>
    <cellStyle name="Normal 17 3 2 3 2" xfId="1977" xr:uid="{00000000-0005-0000-0000-000046030000}"/>
    <cellStyle name="Normal 17 3 2 3 2 2" xfId="3736" xr:uid="{00000000-0005-0000-0000-000047030000}"/>
    <cellStyle name="Normal 17 3 2 3 3" xfId="2860" xr:uid="{00000000-0005-0000-0000-000048030000}"/>
    <cellStyle name="Normal 17 3 2 4" xfId="1541" xr:uid="{00000000-0005-0000-0000-000049030000}"/>
    <cellStyle name="Normal 17 3 2 4 2" xfId="3300" xr:uid="{00000000-0005-0000-0000-00004A030000}"/>
    <cellStyle name="Normal 17 3 2 5" xfId="2424" xr:uid="{00000000-0005-0000-0000-00004B030000}"/>
    <cellStyle name="Normal 17 3 3" xfId="734" xr:uid="{00000000-0005-0000-0000-00004C030000}"/>
    <cellStyle name="Normal 17 3 3 2" xfId="1170" xr:uid="{00000000-0005-0000-0000-00004D030000}"/>
    <cellStyle name="Normal 17 3 3 2 2" xfId="2046" xr:uid="{00000000-0005-0000-0000-00004E030000}"/>
    <cellStyle name="Normal 17 3 3 2 2 2" xfId="3805" xr:uid="{00000000-0005-0000-0000-00004F030000}"/>
    <cellStyle name="Normal 17 3 3 2 3" xfId="2929" xr:uid="{00000000-0005-0000-0000-000050030000}"/>
    <cellStyle name="Normal 17 3 3 3" xfId="1610" xr:uid="{00000000-0005-0000-0000-000051030000}"/>
    <cellStyle name="Normal 17 3 3 3 2" xfId="3369" xr:uid="{00000000-0005-0000-0000-000052030000}"/>
    <cellStyle name="Normal 17 3 3 4" xfId="2493" xr:uid="{00000000-0005-0000-0000-000053030000}"/>
    <cellStyle name="Normal 17 3 4" xfId="993" xr:uid="{00000000-0005-0000-0000-000054030000}"/>
    <cellStyle name="Normal 17 3 4 2" xfId="1869" xr:uid="{00000000-0005-0000-0000-000055030000}"/>
    <cellStyle name="Normal 17 3 4 2 2" xfId="3628" xr:uid="{00000000-0005-0000-0000-000056030000}"/>
    <cellStyle name="Normal 17 3 4 3" xfId="2752" xr:uid="{00000000-0005-0000-0000-000057030000}"/>
    <cellStyle name="Normal 17 3 5" xfId="1433" xr:uid="{00000000-0005-0000-0000-000058030000}"/>
    <cellStyle name="Normal 17 3 5 2" xfId="3192" xr:uid="{00000000-0005-0000-0000-000059030000}"/>
    <cellStyle name="Normal 17 3 6" xfId="2316" xr:uid="{00000000-0005-0000-0000-00005A030000}"/>
    <cellStyle name="Normal 17 4" xfId="592" xr:uid="{00000000-0005-0000-0000-00005B030000}"/>
    <cellStyle name="Normal 17 4 2" xfId="735" xr:uid="{00000000-0005-0000-0000-00005C030000}"/>
    <cellStyle name="Normal 17 4 2 2" xfId="1171" xr:uid="{00000000-0005-0000-0000-00005D030000}"/>
    <cellStyle name="Normal 17 4 2 2 2" xfId="2047" xr:uid="{00000000-0005-0000-0000-00005E030000}"/>
    <cellStyle name="Normal 17 4 2 2 2 2" xfId="3806" xr:uid="{00000000-0005-0000-0000-00005F030000}"/>
    <cellStyle name="Normal 17 4 2 2 3" xfId="2930" xr:uid="{00000000-0005-0000-0000-000060030000}"/>
    <cellStyle name="Normal 17 4 2 3" xfId="1611" xr:uid="{00000000-0005-0000-0000-000061030000}"/>
    <cellStyle name="Normal 17 4 2 3 2" xfId="3370" xr:uid="{00000000-0005-0000-0000-000062030000}"/>
    <cellStyle name="Normal 17 4 2 4" xfId="2494" xr:uid="{00000000-0005-0000-0000-000063030000}"/>
    <cellStyle name="Normal 17 4 3" xfId="1046" xr:uid="{00000000-0005-0000-0000-000064030000}"/>
    <cellStyle name="Normal 17 4 3 2" xfId="1922" xr:uid="{00000000-0005-0000-0000-000065030000}"/>
    <cellStyle name="Normal 17 4 3 2 2" xfId="3681" xr:uid="{00000000-0005-0000-0000-000066030000}"/>
    <cellStyle name="Normal 17 4 3 3" xfId="2805" xr:uid="{00000000-0005-0000-0000-000067030000}"/>
    <cellStyle name="Normal 17 4 4" xfId="1486" xr:uid="{00000000-0005-0000-0000-000068030000}"/>
    <cellStyle name="Normal 17 4 4 2" xfId="3245" xr:uid="{00000000-0005-0000-0000-000069030000}"/>
    <cellStyle name="Normal 17 4 5" xfId="2369" xr:uid="{00000000-0005-0000-0000-00006A030000}"/>
    <cellStyle name="Normal 17 5" xfId="736" xr:uid="{00000000-0005-0000-0000-00006B030000}"/>
    <cellStyle name="Normal 17 5 2" xfId="1172" xr:uid="{00000000-0005-0000-0000-00006C030000}"/>
    <cellStyle name="Normal 17 5 2 2" xfId="2048" xr:uid="{00000000-0005-0000-0000-00006D030000}"/>
    <cellStyle name="Normal 17 5 2 2 2" xfId="3807" xr:uid="{00000000-0005-0000-0000-00006E030000}"/>
    <cellStyle name="Normal 17 5 2 3" xfId="2931" xr:uid="{00000000-0005-0000-0000-00006F030000}"/>
    <cellStyle name="Normal 17 5 3" xfId="1612" xr:uid="{00000000-0005-0000-0000-000070030000}"/>
    <cellStyle name="Normal 17 5 3 2" xfId="3371" xr:uid="{00000000-0005-0000-0000-000071030000}"/>
    <cellStyle name="Normal 17 5 4" xfId="2495" xr:uid="{00000000-0005-0000-0000-000072030000}"/>
    <cellStyle name="Normal 17 6" xfId="938" xr:uid="{00000000-0005-0000-0000-000073030000}"/>
    <cellStyle name="Normal 17 6 2" xfId="1814" xr:uid="{00000000-0005-0000-0000-000074030000}"/>
    <cellStyle name="Normal 17 6 2 2" xfId="3573" xr:uid="{00000000-0005-0000-0000-000075030000}"/>
    <cellStyle name="Normal 17 6 3" xfId="2697" xr:uid="{00000000-0005-0000-0000-000076030000}"/>
    <cellStyle name="Normal 17 7" xfId="1378" xr:uid="{00000000-0005-0000-0000-000077030000}"/>
    <cellStyle name="Normal 17 7 2" xfId="3137" xr:uid="{00000000-0005-0000-0000-000078030000}"/>
    <cellStyle name="Normal 17 8" xfId="2261" xr:uid="{00000000-0005-0000-0000-000079030000}"/>
    <cellStyle name="Normal 18" xfId="96" xr:uid="{00000000-0005-0000-0000-00007A030000}"/>
    <cellStyle name="Normal 19" xfId="97" xr:uid="{00000000-0005-0000-0000-00007B030000}"/>
    <cellStyle name="Normal 2" xfId="21" xr:uid="{00000000-0005-0000-0000-00007C030000}"/>
    <cellStyle name="Normal 2 10" xfId="394" xr:uid="{00000000-0005-0000-0000-00007D030000}"/>
    <cellStyle name="Normal 2 10 2" xfId="539" xr:uid="{00000000-0005-0000-0000-00007E030000}"/>
    <cellStyle name="Normal 2 10 2 2" xfId="648" xr:uid="{00000000-0005-0000-0000-00007F030000}"/>
    <cellStyle name="Normal 2 10 2 2 2" xfId="737" xr:uid="{00000000-0005-0000-0000-000080030000}"/>
    <cellStyle name="Normal 2 10 2 2 2 2" xfId="1173" xr:uid="{00000000-0005-0000-0000-000081030000}"/>
    <cellStyle name="Normal 2 10 2 2 2 2 2" xfId="2049" xr:uid="{00000000-0005-0000-0000-000082030000}"/>
    <cellStyle name="Normal 2 10 2 2 2 2 2 2" xfId="3808" xr:uid="{00000000-0005-0000-0000-000083030000}"/>
    <cellStyle name="Normal 2 10 2 2 2 2 3" xfId="2932" xr:uid="{00000000-0005-0000-0000-000084030000}"/>
    <cellStyle name="Normal 2 10 2 2 2 3" xfId="1613" xr:uid="{00000000-0005-0000-0000-000085030000}"/>
    <cellStyle name="Normal 2 10 2 2 2 3 2" xfId="3372" xr:uid="{00000000-0005-0000-0000-000086030000}"/>
    <cellStyle name="Normal 2 10 2 2 2 4" xfId="2496" xr:uid="{00000000-0005-0000-0000-000087030000}"/>
    <cellStyle name="Normal 2 10 2 2 3" xfId="1102" xr:uid="{00000000-0005-0000-0000-000088030000}"/>
    <cellStyle name="Normal 2 10 2 2 3 2" xfId="1978" xr:uid="{00000000-0005-0000-0000-000089030000}"/>
    <cellStyle name="Normal 2 10 2 2 3 2 2" xfId="3737" xr:uid="{00000000-0005-0000-0000-00008A030000}"/>
    <cellStyle name="Normal 2 10 2 2 3 3" xfId="2861" xr:uid="{00000000-0005-0000-0000-00008B030000}"/>
    <cellStyle name="Normal 2 10 2 2 4" xfId="1542" xr:uid="{00000000-0005-0000-0000-00008C030000}"/>
    <cellStyle name="Normal 2 10 2 2 4 2" xfId="3301" xr:uid="{00000000-0005-0000-0000-00008D030000}"/>
    <cellStyle name="Normal 2 10 2 2 5" xfId="2425" xr:uid="{00000000-0005-0000-0000-00008E030000}"/>
    <cellStyle name="Normal 2 10 2 3" xfId="738" xr:uid="{00000000-0005-0000-0000-00008F030000}"/>
    <cellStyle name="Normal 2 10 2 3 2" xfId="1174" xr:uid="{00000000-0005-0000-0000-000090030000}"/>
    <cellStyle name="Normal 2 10 2 3 2 2" xfId="2050" xr:uid="{00000000-0005-0000-0000-000091030000}"/>
    <cellStyle name="Normal 2 10 2 3 2 2 2" xfId="3809" xr:uid="{00000000-0005-0000-0000-000092030000}"/>
    <cellStyle name="Normal 2 10 2 3 2 3" xfId="2933" xr:uid="{00000000-0005-0000-0000-000093030000}"/>
    <cellStyle name="Normal 2 10 2 3 3" xfId="1614" xr:uid="{00000000-0005-0000-0000-000094030000}"/>
    <cellStyle name="Normal 2 10 2 3 3 2" xfId="3373" xr:uid="{00000000-0005-0000-0000-000095030000}"/>
    <cellStyle name="Normal 2 10 2 3 4" xfId="2497" xr:uid="{00000000-0005-0000-0000-000096030000}"/>
    <cellStyle name="Normal 2 10 2 4" xfId="994" xr:uid="{00000000-0005-0000-0000-000097030000}"/>
    <cellStyle name="Normal 2 10 2 4 2" xfId="1870" xr:uid="{00000000-0005-0000-0000-000098030000}"/>
    <cellStyle name="Normal 2 10 2 4 2 2" xfId="3629" xr:uid="{00000000-0005-0000-0000-000099030000}"/>
    <cellStyle name="Normal 2 10 2 4 3" xfId="2753" xr:uid="{00000000-0005-0000-0000-00009A030000}"/>
    <cellStyle name="Normal 2 10 2 5" xfId="1434" xr:uid="{00000000-0005-0000-0000-00009B030000}"/>
    <cellStyle name="Normal 2 10 2 5 2" xfId="3193" xr:uid="{00000000-0005-0000-0000-00009C030000}"/>
    <cellStyle name="Normal 2 10 2 6" xfId="2317" xr:uid="{00000000-0005-0000-0000-00009D030000}"/>
    <cellStyle name="Normal 2 10 3" xfId="593" xr:uid="{00000000-0005-0000-0000-00009E030000}"/>
    <cellStyle name="Normal 2 10 3 2" xfId="739" xr:uid="{00000000-0005-0000-0000-00009F030000}"/>
    <cellStyle name="Normal 2 10 3 2 2" xfId="1175" xr:uid="{00000000-0005-0000-0000-0000A0030000}"/>
    <cellStyle name="Normal 2 10 3 2 2 2" xfId="2051" xr:uid="{00000000-0005-0000-0000-0000A1030000}"/>
    <cellStyle name="Normal 2 10 3 2 2 2 2" xfId="3810" xr:uid="{00000000-0005-0000-0000-0000A2030000}"/>
    <cellStyle name="Normal 2 10 3 2 2 3" xfId="2934" xr:uid="{00000000-0005-0000-0000-0000A3030000}"/>
    <cellStyle name="Normal 2 10 3 2 3" xfId="1615" xr:uid="{00000000-0005-0000-0000-0000A4030000}"/>
    <cellStyle name="Normal 2 10 3 2 3 2" xfId="3374" xr:uid="{00000000-0005-0000-0000-0000A5030000}"/>
    <cellStyle name="Normal 2 10 3 2 4" xfId="2498" xr:uid="{00000000-0005-0000-0000-0000A6030000}"/>
    <cellStyle name="Normal 2 10 3 3" xfId="1047" xr:uid="{00000000-0005-0000-0000-0000A7030000}"/>
    <cellStyle name="Normal 2 10 3 3 2" xfId="1923" xr:uid="{00000000-0005-0000-0000-0000A8030000}"/>
    <cellStyle name="Normal 2 10 3 3 2 2" xfId="3682" xr:uid="{00000000-0005-0000-0000-0000A9030000}"/>
    <cellStyle name="Normal 2 10 3 3 3" xfId="2806" xr:uid="{00000000-0005-0000-0000-0000AA030000}"/>
    <cellStyle name="Normal 2 10 3 4" xfId="1487" xr:uid="{00000000-0005-0000-0000-0000AB030000}"/>
    <cellStyle name="Normal 2 10 3 4 2" xfId="3246" xr:uid="{00000000-0005-0000-0000-0000AC030000}"/>
    <cellStyle name="Normal 2 10 3 5" xfId="2370" xr:uid="{00000000-0005-0000-0000-0000AD030000}"/>
    <cellStyle name="Normal 2 10 4" xfId="740" xr:uid="{00000000-0005-0000-0000-0000AE030000}"/>
    <cellStyle name="Normal 2 10 4 2" xfId="1176" xr:uid="{00000000-0005-0000-0000-0000AF030000}"/>
    <cellStyle name="Normal 2 10 4 2 2" xfId="2052" xr:uid="{00000000-0005-0000-0000-0000B0030000}"/>
    <cellStyle name="Normal 2 10 4 2 2 2" xfId="3811" xr:uid="{00000000-0005-0000-0000-0000B1030000}"/>
    <cellStyle name="Normal 2 10 4 2 3" xfId="2935" xr:uid="{00000000-0005-0000-0000-0000B2030000}"/>
    <cellStyle name="Normal 2 10 4 3" xfId="1616" xr:uid="{00000000-0005-0000-0000-0000B3030000}"/>
    <cellStyle name="Normal 2 10 4 3 2" xfId="3375" xr:uid="{00000000-0005-0000-0000-0000B4030000}"/>
    <cellStyle name="Normal 2 10 4 4" xfId="2499" xr:uid="{00000000-0005-0000-0000-0000B5030000}"/>
    <cellStyle name="Normal 2 10 5" xfId="939" xr:uid="{00000000-0005-0000-0000-0000B6030000}"/>
    <cellStyle name="Normal 2 10 5 2" xfId="1815" xr:uid="{00000000-0005-0000-0000-0000B7030000}"/>
    <cellStyle name="Normal 2 10 5 2 2" xfId="3574" xr:uid="{00000000-0005-0000-0000-0000B8030000}"/>
    <cellStyle name="Normal 2 10 5 3" xfId="2698" xr:uid="{00000000-0005-0000-0000-0000B9030000}"/>
    <cellStyle name="Normal 2 10 6" xfId="1379" xr:uid="{00000000-0005-0000-0000-0000BA030000}"/>
    <cellStyle name="Normal 2 10 6 2" xfId="3138" xr:uid="{00000000-0005-0000-0000-0000BB030000}"/>
    <cellStyle name="Normal 2 10 7" xfId="2243" xr:uid="{00000000-0005-0000-0000-0000BC030000}"/>
    <cellStyle name="Normal 2 10 7 2" xfId="4000" xr:uid="{00000000-0005-0000-0000-0000BD030000}"/>
    <cellStyle name="Normal 2 10 8" xfId="2245" xr:uid="{00000000-0005-0000-0000-0000BE030000}"/>
    <cellStyle name="Normal 2 10 8 2" xfId="4002" xr:uid="{00000000-0005-0000-0000-0000BF030000}"/>
    <cellStyle name="Normal 2 10 9" xfId="2262" xr:uid="{00000000-0005-0000-0000-0000C0030000}"/>
    <cellStyle name="Normal 2 11" xfId="395" xr:uid="{00000000-0005-0000-0000-0000C1030000}"/>
    <cellStyle name="Normal 2 11 2" xfId="540" xr:uid="{00000000-0005-0000-0000-0000C2030000}"/>
    <cellStyle name="Normal 2 11 2 2" xfId="649" xr:uid="{00000000-0005-0000-0000-0000C3030000}"/>
    <cellStyle name="Normal 2 11 2 2 2" xfId="741" xr:uid="{00000000-0005-0000-0000-0000C4030000}"/>
    <cellStyle name="Normal 2 11 2 2 2 2" xfId="1177" xr:uid="{00000000-0005-0000-0000-0000C5030000}"/>
    <cellStyle name="Normal 2 11 2 2 2 2 2" xfId="2053" xr:uid="{00000000-0005-0000-0000-0000C6030000}"/>
    <cellStyle name="Normal 2 11 2 2 2 2 2 2" xfId="3812" xr:uid="{00000000-0005-0000-0000-0000C7030000}"/>
    <cellStyle name="Normal 2 11 2 2 2 2 3" xfId="2936" xr:uid="{00000000-0005-0000-0000-0000C8030000}"/>
    <cellStyle name="Normal 2 11 2 2 2 3" xfId="1617" xr:uid="{00000000-0005-0000-0000-0000C9030000}"/>
    <cellStyle name="Normal 2 11 2 2 2 3 2" xfId="3376" xr:uid="{00000000-0005-0000-0000-0000CA030000}"/>
    <cellStyle name="Normal 2 11 2 2 2 4" xfId="2500" xr:uid="{00000000-0005-0000-0000-0000CB030000}"/>
    <cellStyle name="Normal 2 11 2 2 3" xfId="1103" xr:uid="{00000000-0005-0000-0000-0000CC030000}"/>
    <cellStyle name="Normal 2 11 2 2 3 2" xfId="1979" xr:uid="{00000000-0005-0000-0000-0000CD030000}"/>
    <cellStyle name="Normal 2 11 2 2 3 2 2" xfId="3738" xr:uid="{00000000-0005-0000-0000-0000CE030000}"/>
    <cellStyle name="Normal 2 11 2 2 3 3" xfId="2862" xr:uid="{00000000-0005-0000-0000-0000CF030000}"/>
    <cellStyle name="Normal 2 11 2 2 4" xfId="1543" xr:uid="{00000000-0005-0000-0000-0000D0030000}"/>
    <cellStyle name="Normal 2 11 2 2 4 2" xfId="3302" xr:uid="{00000000-0005-0000-0000-0000D1030000}"/>
    <cellStyle name="Normal 2 11 2 2 5" xfId="2426" xr:uid="{00000000-0005-0000-0000-0000D2030000}"/>
    <cellStyle name="Normal 2 11 2 3" xfId="742" xr:uid="{00000000-0005-0000-0000-0000D3030000}"/>
    <cellStyle name="Normal 2 11 2 3 2" xfId="1178" xr:uid="{00000000-0005-0000-0000-0000D4030000}"/>
    <cellStyle name="Normal 2 11 2 3 2 2" xfId="2054" xr:uid="{00000000-0005-0000-0000-0000D5030000}"/>
    <cellStyle name="Normal 2 11 2 3 2 2 2" xfId="3813" xr:uid="{00000000-0005-0000-0000-0000D6030000}"/>
    <cellStyle name="Normal 2 11 2 3 2 3" xfId="2937" xr:uid="{00000000-0005-0000-0000-0000D7030000}"/>
    <cellStyle name="Normal 2 11 2 3 3" xfId="1618" xr:uid="{00000000-0005-0000-0000-0000D8030000}"/>
    <cellStyle name="Normal 2 11 2 3 3 2" xfId="3377" xr:uid="{00000000-0005-0000-0000-0000D9030000}"/>
    <cellStyle name="Normal 2 11 2 3 4" xfId="2501" xr:uid="{00000000-0005-0000-0000-0000DA030000}"/>
    <cellStyle name="Normal 2 11 2 4" xfId="995" xr:uid="{00000000-0005-0000-0000-0000DB030000}"/>
    <cellStyle name="Normal 2 11 2 4 2" xfId="1871" xr:uid="{00000000-0005-0000-0000-0000DC030000}"/>
    <cellStyle name="Normal 2 11 2 4 2 2" xfId="3630" xr:uid="{00000000-0005-0000-0000-0000DD030000}"/>
    <cellStyle name="Normal 2 11 2 4 3" xfId="2754" xr:uid="{00000000-0005-0000-0000-0000DE030000}"/>
    <cellStyle name="Normal 2 11 2 5" xfId="1435" xr:uid="{00000000-0005-0000-0000-0000DF030000}"/>
    <cellStyle name="Normal 2 11 2 5 2" xfId="3194" xr:uid="{00000000-0005-0000-0000-0000E0030000}"/>
    <cellStyle name="Normal 2 11 2 6" xfId="2318" xr:uid="{00000000-0005-0000-0000-0000E1030000}"/>
    <cellStyle name="Normal 2 11 3" xfId="594" xr:uid="{00000000-0005-0000-0000-0000E2030000}"/>
    <cellStyle name="Normal 2 11 3 2" xfId="743" xr:uid="{00000000-0005-0000-0000-0000E3030000}"/>
    <cellStyle name="Normal 2 11 3 2 2" xfId="1179" xr:uid="{00000000-0005-0000-0000-0000E4030000}"/>
    <cellStyle name="Normal 2 11 3 2 2 2" xfId="2055" xr:uid="{00000000-0005-0000-0000-0000E5030000}"/>
    <cellStyle name="Normal 2 11 3 2 2 2 2" xfId="3814" xr:uid="{00000000-0005-0000-0000-0000E6030000}"/>
    <cellStyle name="Normal 2 11 3 2 2 3" xfId="2938" xr:uid="{00000000-0005-0000-0000-0000E7030000}"/>
    <cellStyle name="Normal 2 11 3 2 3" xfId="1619" xr:uid="{00000000-0005-0000-0000-0000E8030000}"/>
    <cellStyle name="Normal 2 11 3 2 3 2" xfId="3378" xr:uid="{00000000-0005-0000-0000-0000E9030000}"/>
    <cellStyle name="Normal 2 11 3 2 4" xfId="2502" xr:uid="{00000000-0005-0000-0000-0000EA030000}"/>
    <cellStyle name="Normal 2 11 3 3" xfId="1048" xr:uid="{00000000-0005-0000-0000-0000EB030000}"/>
    <cellStyle name="Normal 2 11 3 3 2" xfId="1924" xr:uid="{00000000-0005-0000-0000-0000EC030000}"/>
    <cellStyle name="Normal 2 11 3 3 2 2" xfId="3683" xr:uid="{00000000-0005-0000-0000-0000ED030000}"/>
    <cellStyle name="Normal 2 11 3 3 3" xfId="2807" xr:uid="{00000000-0005-0000-0000-0000EE030000}"/>
    <cellStyle name="Normal 2 11 3 4" xfId="1488" xr:uid="{00000000-0005-0000-0000-0000EF030000}"/>
    <cellStyle name="Normal 2 11 3 4 2" xfId="3247" xr:uid="{00000000-0005-0000-0000-0000F0030000}"/>
    <cellStyle name="Normal 2 11 3 5" xfId="2371" xr:uid="{00000000-0005-0000-0000-0000F1030000}"/>
    <cellStyle name="Normal 2 11 4" xfId="744" xr:uid="{00000000-0005-0000-0000-0000F2030000}"/>
    <cellStyle name="Normal 2 11 4 2" xfId="1180" xr:uid="{00000000-0005-0000-0000-0000F3030000}"/>
    <cellStyle name="Normal 2 11 4 2 2" xfId="2056" xr:uid="{00000000-0005-0000-0000-0000F4030000}"/>
    <cellStyle name="Normal 2 11 4 2 2 2" xfId="3815" xr:uid="{00000000-0005-0000-0000-0000F5030000}"/>
    <cellStyle name="Normal 2 11 4 2 3" xfId="2939" xr:uid="{00000000-0005-0000-0000-0000F6030000}"/>
    <cellStyle name="Normal 2 11 4 3" xfId="1620" xr:uid="{00000000-0005-0000-0000-0000F7030000}"/>
    <cellStyle name="Normal 2 11 4 3 2" xfId="3379" xr:uid="{00000000-0005-0000-0000-0000F8030000}"/>
    <cellStyle name="Normal 2 11 4 4" xfId="2503" xr:uid="{00000000-0005-0000-0000-0000F9030000}"/>
    <cellStyle name="Normal 2 11 5" xfId="940" xr:uid="{00000000-0005-0000-0000-0000FA030000}"/>
    <cellStyle name="Normal 2 11 5 2" xfId="1816" xr:uid="{00000000-0005-0000-0000-0000FB030000}"/>
    <cellStyle name="Normal 2 11 5 2 2" xfId="3575" xr:uid="{00000000-0005-0000-0000-0000FC030000}"/>
    <cellStyle name="Normal 2 11 5 3" xfId="2699" xr:uid="{00000000-0005-0000-0000-0000FD030000}"/>
    <cellStyle name="Normal 2 11 6" xfId="1380" xr:uid="{00000000-0005-0000-0000-0000FE030000}"/>
    <cellStyle name="Normal 2 11 6 2" xfId="3139" xr:uid="{00000000-0005-0000-0000-0000FF030000}"/>
    <cellStyle name="Normal 2 11 7" xfId="2263" xr:uid="{00000000-0005-0000-0000-000000040000}"/>
    <cellStyle name="Normal 2 12" xfId="396" xr:uid="{00000000-0005-0000-0000-000001040000}"/>
    <cellStyle name="Normal 2 12 2" xfId="541" xr:uid="{00000000-0005-0000-0000-000002040000}"/>
    <cellStyle name="Normal 2 12 2 2" xfId="650" xr:uid="{00000000-0005-0000-0000-000003040000}"/>
    <cellStyle name="Normal 2 12 2 2 2" xfId="745" xr:uid="{00000000-0005-0000-0000-000004040000}"/>
    <cellStyle name="Normal 2 12 2 2 2 2" xfId="1181" xr:uid="{00000000-0005-0000-0000-000005040000}"/>
    <cellStyle name="Normal 2 12 2 2 2 2 2" xfId="2057" xr:uid="{00000000-0005-0000-0000-000006040000}"/>
    <cellStyle name="Normal 2 12 2 2 2 2 2 2" xfId="3816" xr:uid="{00000000-0005-0000-0000-000007040000}"/>
    <cellStyle name="Normal 2 12 2 2 2 2 3" xfId="2940" xr:uid="{00000000-0005-0000-0000-000008040000}"/>
    <cellStyle name="Normal 2 12 2 2 2 3" xfId="1621" xr:uid="{00000000-0005-0000-0000-000009040000}"/>
    <cellStyle name="Normal 2 12 2 2 2 3 2" xfId="3380" xr:uid="{00000000-0005-0000-0000-00000A040000}"/>
    <cellStyle name="Normal 2 12 2 2 2 4" xfId="2504" xr:uid="{00000000-0005-0000-0000-00000B040000}"/>
    <cellStyle name="Normal 2 12 2 2 3" xfId="1104" xr:uid="{00000000-0005-0000-0000-00000C040000}"/>
    <cellStyle name="Normal 2 12 2 2 3 2" xfId="1980" xr:uid="{00000000-0005-0000-0000-00000D040000}"/>
    <cellStyle name="Normal 2 12 2 2 3 2 2" xfId="3739" xr:uid="{00000000-0005-0000-0000-00000E040000}"/>
    <cellStyle name="Normal 2 12 2 2 3 3" xfId="2863" xr:uid="{00000000-0005-0000-0000-00000F040000}"/>
    <cellStyle name="Normal 2 12 2 2 4" xfId="1544" xr:uid="{00000000-0005-0000-0000-000010040000}"/>
    <cellStyle name="Normal 2 12 2 2 4 2" xfId="3303" xr:uid="{00000000-0005-0000-0000-000011040000}"/>
    <cellStyle name="Normal 2 12 2 2 5" xfId="2427" xr:uid="{00000000-0005-0000-0000-000012040000}"/>
    <cellStyle name="Normal 2 12 2 3" xfId="746" xr:uid="{00000000-0005-0000-0000-000013040000}"/>
    <cellStyle name="Normal 2 12 2 3 2" xfId="1182" xr:uid="{00000000-0005-0000-0000-000014040000}"/>
    <cellStyle name="Normal 2 12 2 3 2 2" xfId="2058" xr:uid="{00000000-0005-0000-0000-000015040000}"/>
    <cellStyle name="Normal 2 12 2 3 2 2 2" xfId="3817" xr:uid="{00000000-0005-0000-0000-000016040000}"/>
    <cellStyle name="Normal 2 12 2 3 2 3" xfId="2941" xr:uid="{00000000-0005-0000-0000-000017040000}"/>
    <cellStyle name="Normal 2 12 2 3 3" xfId="1622" xr:uid="{00000000-0005-0000-0000-000018040000}"/>
    <cellStyle name="Normal 2 12 2 3 3 2" xfId="3381" xr:uid="{00000000-0005-0000-0000-000019040000}"/>
    <cellStyle name="Normal 2 12 2 3 4" xfId="2505" xr:uid="{00000000-0005-0000-0000-00001A040000}"/>
    <cellStyle name="Normal 2 12 2 4" xfId="996" xr:uid="{00000000-0005-0000-0000-00001B040000}"/>
    <cellStyle name="Normal 2 12 2 4 2" xfId="1872" xr:uid="{00000000-0005-0000-0000-00001C040000}"/>
    <cellStyle name="Normal 2 12 2 4 2 2" xfId="3631" xr:uid="{00000000-0005-0000-0000-00001D040000}"/>
    <cellStyle name="Normal 2 12 2 4 3" xfId="2755" xr:uid="{00000000-0005-0000-0000-00001E040000}"/>
    <cellStyle name="Normal 2 12 2 5" xfId="1436" xr:uid="{00000000-0005-0000-0000-00001F040000}"/>
    <cellStyle name="Normal 2 12 2 5 2" xfId="3195" xr:uid="{00000000-0005-0000-0000-000020040000}"/>
    <cellStyle name="Normal 2 12 2 6" xfId="2319" xr:uid="{00000000-0005-0000-0000-000021040000}"/>
    <cellStyle name="Normal 2 12 3" xfId="595" xr:uid="{00000000-0005-0000-0000-000022040000}"/>
    <cellStyle name="Normal 2 12 3 2" xfId="747" xr:uid="{00000000-0005-0000-0000-000023040000}"/>
    <cellStyle name="Normal 2 12 3 2 2" xfId="1183" xr:uid="{00000000-0005-0000-0000-000024040000}"/>
    <cellStyle name="Normal 2 12 3 2 2 2" xfId="2059" xr:uid="{00000000-0005-0000-0000-000025040000}"/>
    <cellStyle name="Normal 2 12 3 2 2 2 2" xfId="3818" xr:uid="{00000000-0005-0000-0000-000026040000}"/>
    <cellStyle name="Normal 2 12 3 2 2 3" xfId="2942" xr:uid="{00000000-0005-0000-0000-000027040000}"/>
    <cellStyle name="Normal 2 12 3 2 3" xfId="1623" xr:uid="{00000000-0005-0000-0000-000028040000}"/>
    <cellStyle name="Normal 2 12 3 2 3 2" xfId="3382" xr:uid="{00000000-0005-0000-0000-000029040000}"/>
    <cellStyle name="Normal 2 12 3 2 4" xfId="2506" xr:uid="{00000000-0005-0000-0000-00002A040000}"/>
    <cellStyle name="Normal 2 12 3 3" xfId="1049" xr:uid="{00000000-0005-0000-0000-00002B040000}"/>
    <cellStyle name="Normal 2 12 3 3 2" xfId="1925" xr:uid="{00000000-0005-0000-0000-00002C040000}"/>
    <cellStyle name="Normal 2 12 3 3 2 2" xfId="3684" xr:uid="{00000000-0005-0000-0000-00002D040000}"/>
    <cellStyle name="Normal 2 12 3 3 3" xfId="2808" xr:uid="{00000000-0005-0000-0000-00002E040000}"/>
    <cellStyle name="Normal 2 12 3 4" xfId="1489" xr:uid="{00000000-0005-0000-0000-00002F040000}"/>
    <cellStyle name="Normal 2 12 3 4 2" xfId="3248" xr:uid="{00000000-0005-0000-0000-000030040000}"/>
    <cellStyle name="Normal 2 12 3 5" xfId="2372" xr:uid="{00000000-0005-0000-0000-000031040000}"/>
    <cellStyle name="Normal 2 12 4" xfId="748" xr:uid="{00000000-0005-0000-0000-000032040000}"/>
    <cellStyle name="Normal 2 12 4 2" xfId="1184" xr:uid="{00000000-0005-0000-0000-000033040000}"/>
    <cellStyle name="Normal 2 12 4 2 2" xfId="2060" xr:uid="{00000000-0005-0000-0000-000034040000}"/>
    <cellStyle name="Normal 2 12 4 2 2 2" xfId="3819" xr:uid="{00000000-0005-0000-0000-000035040000}"/>
    <cellStyle name="Normal 2 12 4 2 3" xfId="2943" xr:uid="{00000000-0005-0000-0000-000036040000}"/>
    <cellStyle name="Normal 2 12 4 3" xfId="1624" xr:uid="{00000000-0005-0000-0000-000037040000}"/>
    <cellStyle name="Normal 2 12 4 3 2" xfId="3383" xr:uid="{00000000-0005-0000-0000-000038040000}"/>
    <cellStyle name="Normal 2 12 4 4" xfId="2507" xr:uid="{00000000-0005-0000-0000-000039040000}"/>
    <cellStyle name="Normal 2 12 5" xfId="941" xr:uid="{00000000-0005-0000-0000-00003A040000}"/>
    <cellStyle name="Normal 2 12 5 2" xfId="1817" xr:uid="{00000000-0005-0000-0000-00003B040000}"/>
    <cellStyle name="Normal 2 12 5 2 2" xfId="3576" xr:uid="{00000000-0005-0000-0000-00003C040000}"/>
    <cellStyle name="Normal 2 12 5 3" xfId="2700" xr:uid="{00000000-0005-0000-0000-00003D040000}"/>
    <cellStyle name="Normal 2 12 6" xfId="1381" xr:uid="{00000000-0005-0000-0000-00003E040000}"/>
    <cellStyle name="Normal 2 12 6 2" xfId="3140" xr:uid="{00000000-0005-0000-0000-00003F040000}"/>
    <cellStyle name="Normal 2 12 7" xfId="2264" xr:uid="{00000000-0005-0000-0000-000040040000}"/>
    <cellStyle name="Normal 2 13" xfId="397" xr:uid="{00000000-0005-0000-0000-000041040000}"/>
    <cellStyle name="Normal 2 13 2" xfId="542" xr:uid="{00000000-0005-0000-0000-000042040000}"/>
    <cellStyle name="Normal 2 13 2 2" xfId="651" xr:uid="{00000000-0005-0000-0000-000043040000}"/>
    <cellStyle name="Normal 2 13 2 2 2" xfId="749" xr:uid="{00000000-0005-0000-0000-000044040000}"/>
    <cellStyle name="Normal 2 13 2 2 2 2" xfId="1185" xr:uid="{00000000-0005-0000-0000-000045040000}"/>
    <cellStyle name="Normal 2 13 2 2 2 2 2" xfId="2061" xr:uid="{00000000-0005-0000-0000-000046040000}"/>
    <cellStyle name="Normal 2 13 2 2 2 2 2 2" xfId="3820" xr:uid="{00000000-0005-0000-0000-000047040000}"/>
    <cellStyle name="Normal 2 13 2 2 2 2 3" xfId="2944" xr:uid="{00000000-0005-0000-0000-000048040000}"/>
    <cellStyle name="Normal 2 13 2 2 2 3" xfId="1625" xr:uid="{00000000-0005-0000-0000-000049040000}"/>
    <cellStyle name="Normal 2 13 2 2 2 3 2" xfId="3384" xr:uid="{00000000-0005-0000-0000-00004A040000}"/>
    <cellStyle name="Normal 2 13 2 2 2 4" xfId="2508" xr:uid="{00000000-0005-0000-0000-00004B040000}"/>
    <cellStyle name="Normal 2 13 2 2 3" xfId="1105" xr:uid="{00000000-0005-0000-0000-00004C040000}"/>
    <cellStyle name="Normal 2 13 2 2 3 2" xfId="1981" xr:uid="{00000000-0005-0000-0000-00004D040000}"/>
    <cellStyle name="Normal 2 13 2 2 3 2 2" xfId="3740" xr:uid="{00000000-0005-0000-0000-00004E040000}"/>
    <cellStyle name="Normal 2 13 2 2 3 3" xfId="2864" xr:uid="{00000000-0005-0000-0000-00004F040000}"/>
    <cellStyle name="Normal 2 13 2 2 4" xfId="1545" xr:uid="{00000000-0005-0000-0000-000050040000}"/>
    <cellStyle name="Normal 2 13 2 2 4 2" xfId="3304" xr:uid="{00000000-0005-0000-0000-000051040000}"/>
    <cellStyle name="Normal 2 13 2 2 5" xfId="2428" xr:uid="{00000000-0005-0000-0000-000052040000}"/>
    <cellStyle name="Normal 2 13 2 3" xfId="750" xr:uid="{00000000-0005-0000-0000-000053040000}"/>
    <cellStyle name="Normal 2 13 2 3 2" xfId="1186" xr:uid="{00000000-0005-0000-0000-000054040000}"/>
    <cellStyle name="Normal 2 13 2 3 2 2" xfId="2062" xr:uid="{00000000-0005-0000-0000-000055040000}"/>
    <cellStyle name="Normal 2 13 2 3 2 2 2" xfId="3821" xr:uid="{00000000-0005-0000-0000-000056040000}"/>
    <cellStyle name="Normal 2 13 2 3 2 3" xfId="2945" xr:uid="{00000000-0005-0000-0000-000057040000}"/>
    <cellStyle name="Normal 2 13 2 3 3" xfId="1626" xr:uid="{00000000-0005-0000-0000-000058040000}"/>
    <cellStyle name="Normal 2 13 2 3 3 2" xfId="3385" xr:uid="{00000000-0005-0000-0000-000059040000}"/>
    <cellStyle name="Normal 2 13 2 3 4" xfId="2509" xr:uid="{00000000-0005-0000-0000-00005A040000}"/>
    <cellStyle name="Normal 2 13 2 4" xfId="997" xr:uid="{00000000-0005-0000-0000-00005B040000}"/>
    <cellStyle name="Normal 2 13 2 4 2" xfId="1873" xr:uid="{00000000-0005-0000-0000-00005C040000}"/>
    <cellStyle name="Normal 2 13 2 4 2 2" xfId="3632" xr:uid="{00000000-0005-0000-0000-00005D040000}"/>
    <cellStyle name="Normal 2 13 2 4 3" xfId="2756" xr:uid="{00000000-0005-0000-0000-00005E040000}"/>
    <cellStyle name="Normal 2 13 2 5" xfId="1437" xr:uid="{00000000-0005-0000-0000-00005F040000}"/>
    <cellStyle name="Normal 2 13 2 5 2" xfId="3196" xr:uid="{00000000-0005-0000-0000-000060040000}"/>
    <cellStyle name="Normal 2 13 2 6" xfId="2320" xr:uid="{00000000-0005-0000-0000-000061040000}"/>
    <cellStyle name="Normal 2 13 3" xfId="596" xr:uid="{00000000-0005-0000-0000-000062040000}"/>
    <cellStyle name="Normal 2 13 3 2" xfId="751" xr:uid="{00000000-0005-0000-0000-000063040000}"/>
    <cellStyle name="Normal 2 13 3 2 2" xfId="1187" xr:uid="{00000000-0005-0000-0000-000064040000}"/>
    <cellStyle name="Normal 2 13 3 2 2 2" xfId="2063" xr:uid="{00000000-0005-0000-0000-000065040000}"/>
    <cellStyle name="Normal 2 13 3 2 2 2 2" xfId="3822" xr:uid="{00000000-0005-0000-0000-000066040000}"/>
    <cellStyle name="Normal 2 13 3 2 2 3" xfId="2946" xr:uid="{00000000-0005-0000-0000-000067040000}"/>
    <cellStyle name="Normal 2 13 3 2 3" xfId="1627" xr:uid="{00000000-0005-0000-0000-000068040000}"/>
    <cellStyle name="Normal 2 13 3 2 3 2" xfId="3386" xr:uid="{00000000-0005-0000-0000-000069040000}"/>
    <cellStyle name="Normal 2 13 3 2 4" xfId="2510" xr:uid="{00000000-0005-0000-0000-00006A040000}"/>
    <cellStyle name="Normal 2 13 3 3" xfId="1050" xr:uid="{00000000-0005-0000-0000-00006B040000}"/>
    <cellStyle name="Normal 2 13 3 3 2" xfId="1926" xr:uid="{00000000-0005-0000-0000-00006C040000}"/>
    <cellStyle name="Normal 2 13 3 3 2 2" xfId="3685" xr:uid="{00000000-0005-0000-0000-00006D040000}"/>
    <cellStyle name="Normal 2 13 3 3 3" xfId="2809" xr:uid="{00000000-0005-0000-0000-00006E040000}"/>
    <cellStyle name="Normal 2 13 3 4" xfId="1490" xr:uid="{00000000-0005-0000-0000-00006F040000}"/>
    <cellStyle name="Normal 2 13 3 4 2" xfId="3249" xr:uid="{00000000-0005-0000-0000-000070040000}"/>
    <cellStyle name="Normal 2 13 3 5" xfId="2373" xr:uid="{00000000-0005-0000-0000-000071040000}"/>
    <cellStyle name="Normal 2 13 4" xfId="752" xr:uid="{00000000-0005-0000-0000-000072040000}"/>
    <cellStyle name="Normal 2 13 4 2" xfId="1188" xr:uid="{00000000-0005-0000-0000-000073040000}"/>
    <cellStyle name="Normal 2 13 4 2 2" xfId="2064" xr:uid="{00000000-0005-0000-0000-000074040000}"/>
    <cellStyle name="Normal 2 13 4 2 2 2" xfId="3823" xr:uid="{00000000-0005-0000-0000-000075040000}"/>
    <cellStyle name="Normal 2 13 4 2 3" xfId="2947" xr:uid="{00000000-0005-0000-0000-000076040000}"/>
    <cellStyle name="Normal 2 13 4 3" xfId="1628" xr:uid="{00000000-0005-0000-0000-000077040000}"/>
    <cellStyle name="Normal 2 13 4 3 2" xfId="3387" xr:uid="{00000000-0005-0000-0000-000078040000}"/>
    <cellStyle name="Normal 2 13 4 4" xfId="2511" xr:uid="{00000000-0005-0000-0000-000079040000}"/>
    <cellStyle name="Normal 2 13 5" xfId="942" xr:uid="{00000000-0005-0000-0000-00007A040000}"/>
    <cellStyle name="Normal 2 13 5 2" xfId="1818" xr:uid="{00000000-0005-0000-0000-00007B040000}"/>
    <cellStyle name="Normal 2 13 5 2 2" xfId="3577" xr:uid="{00000000-0005-0000-0000-00007C040000}"/>
    <cellStyle name="Normal 2 13 5 3" xfId="2701" xr:uid="{00000000-0005-0000-0000-00007D040000}"/>
    <cellStyle name="Normal 2 13 6" xfId="1382" xr:uid="{00000000-0005-0000-0000-00007E040000}"/>
    <cellStyle name="Normal 2 13 6 2" xfId="3141" xr:uid="{00000000-0005-0000-0000-00007F040000}"/>
    <cellStyle name="Normal 2 13 7" xfId="2265" xr:uid="{00000000-0005-0000-0000-000080040000}"/>
    <cellStyle name="Normal 2 14" xfId="398" xr:uid="{00000000-0005-0000-0000-000081040000}"/>
    <cellStyle name="Normal 2 14 2" xfId="543" xr:uid="{00000000-0005-0000-0000-000082040000}"/>
    <cellStyle name="Normal 2 14 2 2" xfId="652" xr:uid="{00000000-0005-0000-0000-000083040000}"/>
    <cellStyle name="Normal 2 14 2 2 2" xfId="753" xr:uid="{00000000-0005-0000-0000-000084040000}"/>
    <cellStyle name="Normal 2 14 2 2 2 2" xfId="1189" xr:uid="{00000000-0005-0000-0000-000085040000}"/>
    <cellStyle name="Normal 2 14 2 2 2 2 2" xfId="2065" xr:uid="{00000000-0005-0000-0000-000086040000}"/>
    <cellStyle name="Normal 2 14 2 2 2 2 2 2" xfId="3824" xr:uid="{00000000-0005-0000-0000-000087040000}"/>
    <cellStyle name="Normal 2 14 2 2 2 2 3" xfId="2948" xr:uid="{00000000-0005-0000-0000-000088040000}"/>
    <cellStyle name="Normal 2 14 2 2 2 3" xfId="1629" xr:uid="{00000000-0005-0000-0000-000089040000}"/>
    <cellStyle name="Normal 2 14 2 2 2 3 2" xfId="3388" xr:uid="{00000000-0005-0000-0000-00008A040000}"/>
    <cellStyle name="Normal 2 14 2 2 2 4" xfId="2512" xr:uid="{00000000-0005-0000-0000-00008B040000}"/>
    <cellStyle name="Normal 2 14 2 2 3" xfId="1106" xr:uid="{00000000-0005-0000-0000-00008C040000}"/>
    <cellStyle name="Normal 2 14 2 2 3 2" xfId="1982" xr:uid="{00000000-0005-0000-0000-00008D040000}"/>
    <cellStyle name="Normal 2 14 2 2 3 2 2" xfId="3741" xr:uid="{00000000-0005-0000-0000-00008E040000}"/>
    <cellStyle name="Normal 2 14 2 2 3 3" xfId="2865" xr:uid="{00000000-0005-0000-0000-00008F040000}"/>
    <cellStyle name="Normal 2 14 2 2 4" xfId="1546" xr:uid="{00000000-0005-0000-0000-000090040000}"/>
    <cellStyle name="Normal 2 14 2 2 4 2" xfId="3305" xr:uid="{00000000-0005-0000-0000-000091040000}"/>
    <cellStyle name="Normal 2 14 2 2 5" xfId="2429" xr:uid="{00000000-0005-0000-0000-000092040000}"/>
    <cellStyle name="Normal 2 14 2 3" xfId="754" xr:uid="{00000000-0005-0000-0000-000093040000}"/>
    <cellStyle name="Normal 2 14 2 3 2" xfId="1190" xr:uid="{00000000-0005-0000-0000-000094040000}"/>
    <cellStyle name="Normal 2 14 2 3 2 2" xfId="2066" xr:uid="{00000000-0005-0000-0000-000095040000}"/>
    <cellStyle name="Normal 2 14 2 3 2 2 2" xfId="3825" xr:uid="{00000000-0005-0000-0000-000096040000}"/>
    <cellStyle name="Normal 2 14 2 3 2 3" xfId="2949" xr:uid="{00000000-0005-0000-0000-000097040000}"/>
    <cellStyle name="Normal 2 14 2 3 3" xfId="1630" xr:uid="{00000000-0005-0000-0000-000098040000}"/>
    <cellStyle name="Normal 2 14 2 3 3 2" xfId="3389" xr:uid="{00000000-0005-0000-0000-000099040000}"/>
    <cellStyle name="Normal 2 14 2 3 4" xfId="2513" xr:uid="{00000000-0005-0000-0000-00009A040000}"/>
    <cellStyle name="Normal 2 14 2 4" xfId="998" xr:uid="{00000000-0005-0000-0000-00009B040000}"/>
    <cellStyle name="Normal 2 14 2 4 2" xfId="1874" xr:uid="{00000000-0005-0000-0000-00009C040000}"/>
    <cellStyle name="Normal 2 14 2 4 2 2" xfId="3633" xr:uid="{00000000-0005-0000-0000-00009D040000}"/>
    <cellStyle name="Normal 2 14 2 4 3" xfId="2757" xr:uid="{00000000-0005-0000-0000-00009E040000}"/>
    <cellStyle name="Normal 2 14 2 5" xfId="1438" xr:uid="{00000000-0005-0000-0000-00009F040000}"/>
    <cellStyle name="Normal 2 14 2 5 2" xfId="3197" xr:uid="{00000000-0005-0000-0000-0000A0040000}"/>
    <cellStyle name="Normal 2 14 2 6" xfId="2321" xr:uid="{00000000-0005-0000-0000-0000A1040000}"/>
    <cellStyle name="Normal 2 14 3" xfId="597" xr:uid="{00000000-0005-0000-0000-0000A2040000}"/>
    <cellStyle name="Normal 2 14 3 2" xfId="755" xr:uid="{00000000-0005-0000-0000-0000A3040000}"/>
    <cellStyle name="Normal 2 14 3 2 2" xfId="1191" xr:uid="{00000000-0005-0000-0000-0000A4040000}"/>
    <cellStyle name="Normal 2 14 3 2 2 2" xfId="2067" xr:uid="{00000000-0005-0000-0000-0000A5040000}"/>
    <cellStyle name="Normal 2 14 3 2 2 2 2" xfId="3826" xr:uid="{00000000-0005-0000-0000-0000A6040000}"/>
    <cellStyle name="Normal 2 14 3 2 2 3" xfId="2950" xr:uid="{00000000-0005-0000-0000-0000A7040000}"/>
    <cellStyle name="Normal 2 14 3 2 3" xfId="1631" xr:uid="{00000000-0005-0000-0000-0000A8040000}"/>
    <cellStyle name="Normal 2 14 3 2 3 2" xfId="3390" xr:uid="{00000000-0005-0000-0000-0000A9040000}"/>
    <cellStyle name="Normal 2 14 3 2 4" xfId="2514" xr:uid="{00000000-0005-0000-0000-0000AA040000}"/>
    <cellStyle name="Normal 2 14 3 3" xfId="1051" xr:uid="{00000000-0005-0000-0000-0000AB040000}"/>
    <cellStyle name="Normal 2 14 3 3 2" xfId="1927" xr:uid="{00000000-0005-0000-0000-0000AC040000}"/>
    <cellStyle name="Normal 2 14 3 3 2 2" xfId="3686" xr:uid="{00000000-0005-0000-0000-0000AD040000}"/>
    <cellStyle name="Normal 2 14 3 3 3" xfId="2810" xr:uid="{00000000-0005-0000-0000-0000AE040000}"/>
    <cellStyle name="Normal 2 14 3 4" xfId="1491" xr:uid="{00000000-0005-0000-0000-0000AF040000}"/>
    <cellStyle name="Normal 2 14 3 4 2" xfId="3250" xr:uid="{00000000-0005-0000-0000-0000B0040000}"/>
    <cellStyle name="Normal 2 14 3 5" xfId="2374" xr:uid="{00000000-0005-0000-0000-0000B1040000}"/>
    <cellStyle name="Normal 2 14 4" xfId="756" xr:uid="{00000000-0005-0000-0000-0000B2040000}"/>
    <cellStyle name="Normal 2 14 4 2" xfId="1192" xr:uid="{00000000-0005-0000-0000-0000B3040000}"/>
    <cellStyle name="Normal 2 14 4 2 2" xfId="2068" xr:uid="{00000000-0005-0000-0000-0000B4040000}"/>
    <cellStyle name="Normal 2 14 4 2 2 2" xfId="3827" xr:uid="{00000000-0005-0000-0000-0000B5040000}"/>
    <cellStyle name="Normal 2 14 4 2 3" xfId="2951" xr:uid="{00000000-0005-0000-0000-0000B6040000}"/>
    <cellStyle name="Normal 2 14 4 3" xfId="1632" xr:uid="{00000000-0005-0000-0000-0000B7040000}"/>
    <cellStyle name="Normal 2 14 4 3 2" xfId="3391" xr:uid="{00000000-0005-0000-0000-0000B8040000}"/>
    <cellStyle name="Normal 2 14 4 4" xfId="2515" xr:uid="{00000000-0005-0000-0000-0000B9040000}"/>
    <cellStyle name="Normal 2 14 5" xfId="943" xr:uid="{00000000-0005-0000-0000-0000BA040000}"/>
    <cellStyle name="Normal 2 14 5 2" xfId="1819" xr:uid="{00000000-0005-0000-0000-0000BB040000}"/>
    <cellStyle name="Normal 2 14 5 2 2" xfId="3578" xr:uid="{00000000-0005-0000-0000-0000BC040000}"/>
    <cellStyle name="Normal 2 14 5 3" xfId="2702" xr:uid="{00000000-0005-0000-0000-0000BD040000}"/>
    <cellStyle name="Normal 2 14 6" xfId="1383" xr:uid="{00000000-0005-0000-0000-0000BE040000}"/>
    <cellStyle name="Normal 2 14 6 2" xfId="3142" xr:uid="{00000000-0005-0000-0000-0000BF040000}"/>
    <cellStyle name="Normal 2 14 7" xfId="2266" xr:uid="{00000000-0005-0000-0000-0000C0040000}"/>
    <cellStyle name="Normal 2 15" xfId="399" xr:uid="{00000000-0005-0000-0000-0000C1040000}"/>
    <cellStyle name="Normal 2 15 2" xfId="544" xr:uid="{00000000-0005-0000-0000-0000C2040000}"/>
    <cellStyle name="Normal 2 15 2 2" xfId="653" xr:uid="{00000000-0005-0000-0000-0000C3040000}"/>
    <cellStyle name="Normal 2 15 2 2 2" xfId="757" xr:uid="{00000000-0005-0000-0000-0000C4040000}"/>
    <cellStyle name="Normal 2 15 2 2 2 2" xfId="1193" xr:uid="{00000000-0005-0000-0000-0000C5040000}"/>
    <cellStyle name="Normal 2 15 2 2 2 2 2" xfId="2069" xr:uid="{00000000-0005-0000-0000-0000C6040000}"/>
    <cellStyle name="Normal 2 15 2 2 2 2 2 2" xfId="3828" xr:uid="{00000000-0005-0000-0000-0000C7040000}"/>
    <cellStyle name="Normal 2 15 2 2 2 2 3" xfId="2952" xr:uid="{00000000-0005-0000-0000-0000C8040000}"/>
    <cellStyle name="Normal 2 15 2 2 2 3" xfId="1633" xr:uid="{00000000-0005-0000-0000-0000C9040000}"/>
    <cellStyle name="Normal 2 15 2 2 2 3 2" xfId="3392" xr:uid="{00000000-0005-0000-0000-0000CA040000}"/>
    <cellStyle name="Normal 2 15 2 2 2 4" xfId="2516" xr:uid="{00000000-0005-0000-0000-0000CB040000}"/>
    <cellStyle name="Normal 2 15 2 2 3" xfId="1107" xr:uid="{00000000-0005-0000-0000-0000CC040000}"/>
    <cellStyle name="Normal 2 15 2 2 3 2" xfId="1983" xr:uid="{00000000-0005-0000-0000-0000CD040000}"/>
    <cellStyle name="Normal 2 15 2 2 3 2 2" xfId="3742" xr:uid="{00000000-0005-0000-0000-0000CE040000}"/>
    <cellStyle name="Normal 2 15 2 2 3 3" xfId="2866" xr:uid="{00000000-0005-0000-0000-0000CF040000}"/>
    <cellStyle name="Normal 2 15 2 2 4" xfId="1547" xr:uid="{00000000-0005-0000-0000-0000D0040000}"/>
    <cellStyle name="Normal 2 15 2 2 4 2" xfId="3306" xr:uid="{00000000-0005-0000-0000-0000D1040000}"/>
    <cellStyle name="Normal 2 15 2 2 5" xfId="2430" xr:uid="{00000000-0005-0000-0000-0000D2040000}"/>
    <cellStyle name="Normal 2 15 2 3" xfId="758" xr:uid="{00000000-0005-0000-0000-0000D3040000}"/>
    <cellStyle name="Normal 2 15 2 3 2" xfId="1194" xr:uid="{00000000-0005-0000-0000-0000D4040000}"/>
    <cellStyle name="Normal 2 15 2 3 2 2" xfId="2070" xr:uid="{00000000-0005-0000-0000-0000D5040000}"/>
    <cellStyle name="Normal 2 15 2 3 2 2 2" xfId="3829" xr:uid="{00000000-0005-0000-0000-0000D6040000}"/>
    <cellStyle name="Normal 2 15 2 3 2 3" xfId="2953" xr:uid="{00000000-0005-0000-0000-0000D7040000}"/>
    <cellStyle name="Normal 2 15 2 3 3" xfId="1634" xr:uid="{00000000-0005-0000-0000-0000D8040000}"/>
    <cellStyle name="Normal 2 15 2 3 3 2" xfId="3393" xr:uid="{00000000-0005-0000-0000-0000D9040000}"/>
    <cellStyle name="Normal 2 15 2 3 4" xfId="2517" xr:uid="{00000000-0005-0000-0000-0000DA040000}"/>
    <cellStyle name="Normal 2 15 2 4" xfId="999" xr:uid="{00000000-0005-0000-0000-0000DB040000}"/>
    <cellStyle name="Normal 2 15 2 4 2" xfId="1875" xr:uid="{00000000-0005-0000-0000-0000DC040000}"/>
    <cellStyle name="Normal 2 15 2 4 2 2" xfId="3634" xr:uid="{00000000-0005-0000-0000-0000DD040000}"/>
    <cellStyle name="Normal 2 15 2 4 3" xfId="2758" xr:uid="{00000000-0005-0000-0000-0000DE040000}"/>
    <cellStyle name="Normal 2 15 2 5" xfId="1439" xr:uid="{00000000-0005-0000-0000-0000DF040000}"/>
    <cellStyle name="Normal 2 15 2 5 2" xfId="3198" xr:uid="{00000000-0005-0000-0000-0000E0040000}"/>
    <cellStyle name="Normal 2 15 2 6" xfId="2322" xr:uid="{00000000-0005-0000-0000-0000E1040000}"/>
    <cellStyle name="Normal 2 15 3" xfId="598" xr:uid="{00000000-0005-0000-0000-0000E2040000}"/>
    <cellStyle name="Normal 2 15 3 2" xfId="759" xr:uid="{00000000-0005-0000-0000-0000E3040000}"/>
    <cellStyle name="Normal 2 15 3 2 2" xfId="1195" xr:uid="{00000000-0005-0000-0000-0000E4040000}"/>
    <cellStyle name="Normal 2 15 3 2 2 2" xfId="2071" xr:uid="{00000000-0005-0000-0000-0000E5040000}"/>
    <cellStyle name="Normal 2 15 3 2 2 2 2" xfId="3830" xr:uid="{00000000-0005-0000-0000-0000E6040000}"/>
    <cellStyle name="Normal 2 15 3 2 2 3" xfId="2954" xr:uid="{00000000-0005-0000-0000-0000E7040000}"/>
    <cellStyle name="Normal 2 15 3 2 3" xfId="1635" xr:uid="{00000000-0005-0000-0000-0000E8040000}"/>
    <cellStyle name="Normal 2 15 3 2 3 2" xfId="3394" xr:uid="{00000000-0005-0000-0000-0000E9040000}"/>
    <cellStyle name="Normal 2 15 3 2 4" xfId="2518" xr:uid="{00000000-0005-0000-0000-0000EA040000}"/>
    <cellStyle name="Normal 2 15 3 3" xfId="1052" xr:uid="{00000000-0005-0000-0000-0000EB040000}"/>
    <cellStyle name="Normal 2 15 3 3 2" xfId="1928" xr:uid="{00000000-0005-0000-0000-0000EC040000}"/>
    <cellStyle name="Normal 2 15 3 3 2 2" xfId="3687" xr:uid="{00000000-0005-0000-0000-0000ED040000}"/>
    <cellStyle name="Normal 2 15 3 3 3" xfId="2811" xr:uid="{00000000-0005-0000-0000-0000EE040000}"/>
    <cellStyle name="Normal 2 15 3 4" xfId="1492" xr:uid="{00000000-0005-0000-0000-0000EF040000}"/>
    <cellStyle name="Normal 2 15 3 4 2" xfId="3251" xr:uid="{00000000-0005-0000-0000-0000F0040000}"/>
    <cellStyle name="Normal 2 15 3 5" xfId="2375" xr:uid="{00000000-0005-0000-0000-0000F1040000}"/>
    <cellStyle name="Normal 2 15 4" xfId="760" xr:uid="{00000000-0005-0000-0000-0000F2040000}"/>
    <cellStyle name="Normal 2 15 4 2" xfId="1196" xr:uid="{00000000-0005-0000-0000-0000F3040000}"/>
    <cellStyle name="Normal 2 15 4 2 2" xfId="2072" xr:uid="{00000000-0005-0000-0000-0000F4040000}"/>
    <cellStyle name="Normal 2 15 4 2 2 2" xfId="3831" xr:uid="{00000000-0005-0000-0000-0000F5040000}"/>
    <cellStyle name="Normal 2 15 4 2 3" xfId="2955" xr:uid="{00000000-0005-0000-0000-0000F6040000}"/>
    <cellStyle name="Normal 2 15 4 3" xfId="1636" xr:uid="{00000000-0005-0000-0000-0000F7040000}"/>
    <cellStyle name="Normal 2 15 4 3 2" xfId="3395" xr:uid="{00000000-0005-0000-0000-0000F8040000}"/>
    <cellStyle name="Normal 2 15 4 4" xfId="2519" xr:uid="{00000000-0005-0000-0000-0000F9040000}"/>
    <cellStyle name="Normal 2 15 5" xfId="944" xr:uid="{00000000-0005-0000-0000-0000FA040000}"/>
    <cellStyle name="Normal 2 15 5 2" xfId="1820" xr:uid="{00000000-0005-0000-0000-0000FB040000}"/>
    <cellStyle name="Normal 2 15 5 2 2" xfId="3579" xr:uid="{00000000-0005-0000-0000-0000FC040000}"/>
    <cellStyle name="Normal 2 15 5 3" xfId="2703" xr:uid="{00000000-0005-0000-0000-0000FD040000}"/>
    <cellStyle name="Normal 2 15 6" xfId="1384" xr:uid="{00000000-0005-0000-0000-0000FE040000}"/>
    <cellStyle name="Normal 2 15 6 2" xfId="3143" xr:uid="{00000000-0005-0000-0000-0000FF040000}"/>
    <cellStyle name="Normal 2 15 7" xfId="2267" xr:uid="{00000000-0005-0000-0000-000000050000}"/>
    <cellStyle name="Normal 2 16" xfId="501" xr:uid="{00000000-0005-0000-0000-000001050000}"/>
    <cellStyle name="Normal 2 16 2" xfId="563" xr:uid="{00000000-0005-0000-0000-000002050000}"/>
    <cellStyle name="Normal 2 16 2 2" xfId="672" xr:uid="{00000000-0005-0000-0000-000003050000}"/>
    <cellStyle name="Normal 2 16 2 2 2" xfId="761" xr:uid="{00000000-0005-0000-0000-000004050000}"/>
    <cellStyle name="Normal 2 16 2 2 2 2" xfId="1197" xr:uid="{00000000-0005-0000-0000-000005050000}"/>
    <cellStyle name="Normal 2 16 2 2 2 2 2" xfId="2073" xr:uid="{00000000-0005-0000-0000-000006050000}"/>
    <cellStyle name="Normal 2 16 2 2 2 2 2 2" xfId="3832" xr:uid="{00000000-0005-0000-0000-000007050000}"/>
    <cellStyle name="Normal 2 16 2 2 2 2 3" xfId="2956" xr:uid="{00000000-0005-0000-0000-000008050000}"/>
    <cellStyle name="Normal 2 16 2 2 2 3" xfId="1637" xr:uid="{00000000-0005-0000-0000-000009050000}"/>
    <cellStyle name="Normal 2 16 2 2 2 3 2" xfId="3396" xr:uid="{00000000-0005-0000-0000-00000A050000}"/>
    <cellStyle name="Normal 2 16 2 2 2 4" xfId="2520" xr:uid="{00000000-0005-0000-0000-00000B050000}"/>
    <cellStyle name="Normal 2 16 2 2 3" xfId="1126" xr:uid="{00000000-0005-0000-0000-00000C050000}"/>
    <cellStyle name="Normal 2 16 2 2 3 2" xfId="2002" xr:uid="{00000000-0005-0000-0000-00000D050000}"/>
    <cellStyle name="Normal 2 16 2 2 3 2 2" xfId="3761" xr:uid="{00000000-0005-0000-0000-00000E050000}"/>
    <cellStyle name="Normal 2 16 2 2 3 3" xfId="2885" xr:uid="{00000000-0005-0000-0000-00000F050000}"/>
    <cellStyle name="Normal 2 16 2 2 4" xfId="1566" xr:uid="{00000000-0005-0000-0000-000010050000}"/>
    <cellStyle name="Normal 2 16 2 2 4 2" xfId="3325" xr:uid="{00000000-0005-0000-0000-000011050000}"/>
    <cellStyle name="Normal 2 16 2 2 5" xfId="2449" xr:uid="{00000000-0005-0000-0000-000012050000}"/>
    <cellStyle name="Normal 2 16 2 3" xfId="762" xr:uid="{00000000-0005-0000-0000-000013050000}"/>
    <cellStyle name="Normal 2 16 2 3 2" xfId="1198" xr:uid="{00000000-0005-0000-0000-000014050000}"/>
    <cellStyle name="Normal 2 16 2 3 2 2" xfId="2074" xr:uid="{00000000-0005-0000-0000-000015050000}"/>
    <cellStyle name="Normal 2 16 2 3 2 2 2" xfId="3833" xr:uid="{00000000-0005-0000-0000-000016050000}"/>
    <cellStyle name="Normal 2 16 2 3 2 3" xfId="2957" xr:uid="{00000000-0005-0000-0000-000017050000}"/>
    <cellStyle name="Normal 2 16 2 3 3" xfId="1638" xr:uid="{00000000-0005-0000-0000-000018050000}"/>
    <cellStyle name="Normal 2 16 2 3 3 2" xfId="3397" xr:uid="{00000000-0005-0000-0000-000019050000}"/>
    <cellStyle name="Normal 2 16 2 3 4" xfId="2521" xr:uid="{00000000-0005-0000-0000-00001A050000}"/>
    <cellStyle name="Normal 2 16 2 4" xfId="1018" xr:uid="{00000000-0005-0000-0000-00001B050000}"/>
    <cellStyle name="Normal 2 16 2 4 2" xfId="1894" xr:uid="{00000000-0005-0000-0000-00001C050000}"/>
    <cellStyle name="Normal 2 16 2 4 2 2" xfId="3653" xr:uid="{00000000-0005-0000-0000-00001D050000}"/>
    <cellStyle name="Normal 2 16 2 4 3" xfId="2777" xr:uid="{00000000-0005-0000-0000-00001E050000}"/>
    <cellStyle name="Normal 2 16 2 5" xfId="1458" xr:uid="{00000000-0005-0000-0000-00001F050000}"/>
    <cellStyle name="Normal 2 16 2 5 2" xfId="3217" xr:uid="{00000000-0005-0000-0000-000020050000}"/>
    <cellStyle name="Normal 2 16 2 6" xfId="2341" xr:uid="{00000000-0005-0000-0000-000021050000}"/>
    <cellStyle name="Normal 2 16 3" xfId="617" xr:uid="{00000000-0005-0000-0000-000022050000}"/>
    <cellStyle name="Normal 2 16 3 2" xfId="763" xr:uid="{00000000-0005-0000-0000-000023050000}"/>
    <cellStyle name="Normal 2 16 3 2 2" xfId="1199" xr:uid="{00000000-0005-0000-0000-000024050000}"/>
    <cellStyle name="Normal 2 16 3 2 2 2" xfId="2075" xr:uid="{00000000-0005-0000-0000-000025050000}"/>
    <cellStyle name="Normal 2 16 3 2 2 2 2" xfId="3834" xr:uid="{00000000-0005-0000-0000-000026050000}"/>
    <cellStyle name="Normal 2 16 3 2 2 3" xfId="2958" xr:uid="{00000000-0005-0000-0000-000027050000}"/>
    <cellStyle name="Normal 2 16 3 2 3" xfId="1639" xr:uid="{00000000-0005-0000-0000-000028050000}"/>
    <cellStyle name="Normal 2 16 3 2 3 2" xfId="3398" xr:uid="{00000000-0005-0000-0000-000029050000}"/>
    <cellStyle name="Normal 2 16 3 2 4" xfId="2522" xr:uid="{00000000-0005-0000-0000-00002A050000}"/>
    <cellStyle name="Normal 2 16 3 3" xfId="1071" xr:uid="{00000000-0005-0000-0000-00002B050000}"/>
    <cellStyle name="Normal 2 16 3 3 2" xfId="1947" xr:uid="{00000000-0005-0000-0000-00002C050000}"/>
    <cellStyle name="Normal 2 16 3 3 2 2" xfId="3706" xr:uid="{00000000-0005-0000-0000-00002D050000}"/>
    <cellStyle name="Normal 2 16 3 3 3" xfId="2830" xr:uid="{00000000-0005-0000-0000-00002E050000}"/>
    <cellStyle name="Normal 2 16 3 4" xfId="1511" xr:uid="{00000000-0005-0000-0000-00002F050000}"/>
    <cellStyle name="Normal 2 16 3 4 2" xfId="3270" xr:uid="{00000000-0005-0000-0000-000030050000}"/>
    <cellStyle name="Normal 2 16 3 5" xfId="2394" xr:uid="{00000000-0005-0000-0000-000031050000}"/>
    <cellStyle name="Normal 2 16 4" xfId="764" xr:uid="{00000000-0005-0000-0000-000032050000}"/>
    <cellStyle name="Normal 2 16 4 2" xfId="1200" xr:uid="{00000000-0005-0000-0000-000033050000}"/>
    <cellStyle name="Normal 2 16 4 2 2" xfId="2076" xr:uid="{00000000-0005-0000-0000-000034050000}"/>
    <cellStyle name="Normal 2 16 4 2 2 2" xfId="3835" xr:uid="{00000000-0005-0000-0000-000035050000}"/>
    <cellStyle name="Normal 2 16 4 2 3" xfId="2959" xr:uid="{00000000-0005-0000-0000-000036050000}"/>
    <cellStyle name="Normal 2 16 4 3" xfId="1640" xr:uid="{00000000-0005-0000-0000-000037050000}"/>
    <cellStyle name="Normal 2 16 4 3 2" xfId="3399" xr:uid="{00000000-0005-0000-0000-000038050000}"/>
    <cellStyle name="Normal 2 16 4 4" xfId="2523" xr:uid="{00000000-0005-0000-0000-000039050000}"/>
    <cellStyle name="Normal 2 16 5" xfId="963" xr:uid="{00000000-0005-0000-0000-00003A050000}"/>
    <cellStyle name="Normal 2 16 5 2" xfId="1839" xr:uid="{00000000-0005-0000-0000-00003B050000}"/>
    <cellStyle name="Normal 2 16 5 2 2" xfId="3598" xr:uid="{00000000-0005-0000-0000-00003C050000}"/>
    <cellStyle name="Normal 2 16 5 3" xfId="2722" xr:uid="{00000000-0005-0000-0000-00003D050000}"/>
    <cellStyle name="Normal 2 16 6" xfId="1403" xr:uid="{00000000-0005-0000-0000-00003E050000}"/>
    <cellStyle name="Normal 2 16 6 2" xfId="3162" xr:uid="{00000000-0005-0000-0000-00003F050000}"/>
    <cellStyle name="Normal 2 16 7" xfId="2286" xr:uid="{00000000-0005-0000-0000-000040050000}"/>
    <cellStyle name="Normal 2 17" xfId="518" xr:uid="{00000000-0005-0000-0000-000041050000}"/>
    <cellStyle name="Normal 2 17 2" xfId="575" xr:uid="{00000000-0005-0000-0000-000042050000}"/>
    <cellStyle name="Normal 2 17 2 2" xfId="684" xr:uid="{00000000-0005-0000-0000-000043050000}"/>
    <cellStyle name="Normal 2 17 2 2 2" xfId="765" xr:uid="{00000000-0005-0000-0000-000044050000}"/>
    <cellStyle name="Normal 2 17 2 2 2 2" xfId="1201" xr:uid="{00000000-0005-0000-0000-000045050000}"/>
    <cellStyle name="Normal 2 17 2 2 2 2 2" xfId="2077" xr:uid="{00000000-0005-0000-0000-000046050000}"/>
    <cellStyle name="Normal 2 17 2 2 2 2 2 2" xfId="3836" xr:uid="{00000000-0005-0000-0000-000047050000}"/>
    <cellStyle name="Normal 2 17 2 2 2 2 3" xfId="2960" xr:uid="{00000000-0005-0000-0000-000048050000}"/>
    <cellStyle name="Normal 2 17 2 2 2 3" xfId="1641" xr:uid="{00000000-0005-0000-0000-000049050000}"/>
    <cellStyle name="Normal 2 17 2 2 2 3 2" xfId="3400" xr:uid="{00000000-0005-0000-0000-00004A050000}"/>
    <cellStyle name="Normal 2 17 2 2 2 4" xfId="2524" xr:uid="{00000000-0005-0000-0000-00004B050000}"/>
    <cellStyle name="Normal 2 17 2 2 3" xfId="1138" xr:uid="{00000000-0005-0000-0000-00004C050000}"/>
    <cellStyle name="Normal 2 17 2 2 3 2" xfId="2014" xr:uid="{00000000-0005-0000-0000-00004D050000}"/>
    <cellStyle name="Normal 2 17 2 2 3 2 2" xfId="3773" xr:uid="{00000000-0005-0000-0000-00004E050000}"/>
    <cellStyle name="Normal 2 17 2 2 3 3" xfId="2897" xr:uid="{00000000-0005-0000-0000-00004F050000}"/>
    <cellStyle name="Normal 2 17 2 2 4" xfId="1578" xr:uid="{00000000-0005-0000-0000-000050050000}"/>
    <cellStyle name="Normal 2 17 2 2 4 2" xfId="3337" xr:uid="{00000000-0005-0000-0000-000051050000}"/>
    <cellStyle name="Normal 2 17 2 2 5" xfId="2461" xr:uid="{00000000-0005-0000-0000-000052050000}"/>
    <cellStyle name="Normal 2 17 2 3" xfId="766" xr:uid="{00000000-0005-0000-0000-000053050000}"/>
    <cellStyle name="Normal 2 17 2 3 2" xfId="1202" xr:uid="{00000000-0005-0000-0000-000054050000}"/>
    <cellStyle name="Normal 2 17 2 3 2 2" xfId="2078" xr:uid="{00000000-0005-0000-0000-000055050000}"/>
    <cellStyle name="Normal 2 17 2 3 2 2 2" xfId="3837" xr:uid="{00000000-0005-0000-0000-000056050000}"/>
    <cellStyle name="Normal 2 17 2 3 2 3" xfId="2961" xr:uid="{00000000-0005-0000-0000-000057050000}"/>
    <cellStyle name="Normal 2 17 2 3 3" xfId="1642" xr:uid="{00000000-0005-0000-0000-000058050000}"/>
    <cellStyle name="Normal 2 17 2 3 3 2" xfId="3401" xr:uid="{00000000-0005-0000-0000-000059050000}"/>
    <cellStyle name="Normal 2 17 2 3 4" xfId="2525" xr:uid="{00000000-0005-0000-0000-00005A050000}"/>
    <cellStyle name="Normal 2 17 2 4" xfId="1030" xr:uid="{00000000-0005-0000-0000-00005B050000}"/>
    <cellStyle name="Normal 2 17 2 4 2" xfId="1906" xr:uid="{00000000-0005-0000-0000-00005C050000}"/>
    <cellStyle name="Normal 2 17 2 4 2 2" xfId="3665" xr:uid="{00000000-0005-0000-0000-00005D050000}"/>
    <cellStyle name="Normal 2 17 2 4 3" xfId="2789" xr:uid="{00000000-0005-0000-0000-00005E050000}"/>
    <cellStyle name="Normal 2 17 2 5" xfId="1470" xr:uid="{00000000-0005-0000-0000-00005F050000}"/>
    <cellStyle name="Normal 2 17 2 5 2" xfId="3229" xr:uid="{00000000-0005-0000-0000-000060050000}"/>
    <cellStyle name="Normal 2 17 2 6" xfId="2353" xr:uid="{00000000-0005-0000-0000-000061050000}"/>
    <cellStyle name="Normal 2 17 3" xfId="629" xr:uid="{00000000-0005-0000-0000-000062050000}"/>
    <cellStyle name="Normal 2 17 3 2" xfId="767" xr:uid="{00000000-0005-0000-0000-000063050000}"/>
    <cellStyle name="Normal 2 17 3 2 2" xfId="1203" xr:uid="{00000000-0005-0000-0000-000064050000}"/>
    <cellStyle name="Normal 2 17 3 2 2 2" xfId="2079" xr:uid="{00000000-0005-0000-0000-000065050000}"/>
    <cellStyle name="Normal 2 17 3 2 2 2 2" xfId="3838" xr:uid="{00000000-0005-0000-0000-000066050000}"/>
    <cellStyle name="Normal 2 17 3 2 2 3" xfId="2962" xr:uid="{00000000-0005-0000-0000-000067050000}"/>
    <cellStyle name="Normal 2 17 3 2 3" xfId="1643" xr:uid="{00000000-0005-0000-0000-000068050000}"/>
    <cellStyle name="Normal 2 17 3 2 3 2" xfId="3402" xr:uid="{00000000-0005-0000-0000-000069050000}"/>
    <cellStyle name="Normal 2 17 3 2 4" xfId="2526" xr:uid="{00000000-0005-0000-0000-00006A050000}"/>
    <cellStyle name="Normal 2 17 3 3" xfId="1083" xr:uid="{00000000-0005-0000-0000-00006B050000}"/>
    <cellStyle name="Normal 2 17 3 3 2" xfId="1959" xr:uid="{00000000-0005-0000-0000-00006C050000}"/>
    <cellStyle name="Normal 2 17 3 3 2 2" xfId="3718" xr:uid="{00000000-0005-0000-0000-00006D050000}"/>
    <cellStyle name="Normal 2 17 3 3 3" xfId="2842" xr:uid="{00000000-0005-0000-0000-00006E050000}"/>
    <cellStyle name="Normal 2 17 3 4" xfId="1523" xr:uid="{00000000-0005-0000-0000-00006F050000}"/>
    <cellStyle name="Normal 2 17 3 4 2" xfId="3282" xr:uid="{00000000-0005-0000-0000-000070050000}"/>
    <cellStyle name="Normal 2 17 3 5" xfId="2406" xr:uid="{00000000-0005-0000-0000-000071050000}"/>
    <cellStyle name="Normal 2 17 4" xfId="768" xr:uid="{00000000-0005-0000-0000-000072050000}"/>
    <cellStyle name="Normal 2 17 4 2" xfId="1204" xr:uid="{00000000-0005-0000-0000-000073050000}"/>
    <cellStyle name="Normal 2 17 4 2 2" xfId="2080" xr:uid="{00000000-0005-0000-0000-000074050000}"/>
    <cellStyle name="Normal 2 17 4 2 2 2" xfId="3839" xr:uid="{00000000-0005-0000-0000-000075050000}"/>
    <cellStyle name="Normal 2 17 4 2 3" xfId="2963" xr:uid="{00000000-0005-0000-0000-000076050000}"/>
    <cellStyle name="Normal 2 17 4 3" xfId="1644" xr:uid="{00000000-0005-0000-0000-000077050000}"/>
    <cellStyle name="Normal 2 17 4 3 2" xfId="3403" xr:uid="{00000000-0005-0000-0000-000078050000}"/>
    <cellStyle name="Normal 2 17 4 4" xfId="2527" xr:uid="{00000000-0005-0000-0000-000079050000}"/>
    <cellStyle name="Normal 2 17 5" xfId="975" xr:uid="{00000000-0005-0000-0000-00007A050000}"/>
    <cellStyle name="Normal 2 17 5 2" xfId="1851" xr:uid="{00000000-0005-0000-0000-00007B050000}"/>
    <cellStyle name="Normal 2 17 5 2 2" xfId="3610" xr:uid="{00000000-0005-0000-0000-00007C050000}"/>
    <cellStyle name="Normal 2 17 5 3" xfId="2734" xr:uid="{00000000-0005-0000-0000-00007D050000}"/>
    <cellStyle name="Normal 2 17 6" xfId="1415" xr:uid="{00000000-0005-0000-0000-00007E050000}"/>
    <cellStyle name="Normal 2 17 6 2" xfId="3174" xr:uid="{00000000-0005-0000-0000-00007F050000}"/>
    <cellStyle name="Normal 2 17 7" xfId="2298" xr:uid="{00000000-0005-0000-0000-000080050000}"/>
    <cellStyle name="Normal 2 18" xfId="523" xr:uid="{00000000-0005-0000-0000-000081050000}"/>
    <cellStyle name="Normal 2 18 2" xfId="632" xr:uid="{00000000-0005-0000-0000-000082050000}"/>
    <cellStyle name="Normal 2 18 2 2" xfId="769" xr:uid="{00000000-0005-0000-0000-000083050000}"/>
    <cellStyle name="Normal 2 18 2 2 2" xfId="1205" xr:uid="{00000000-0005-0000-0000-000084050000}"/>
    <cellStyle name="Normal 2 18 2 2 2 2" xfId="2081" xr:uid="{00000000-0005-0000-0000-000085050000}"/>
    <cellStyle name="Normal 2 18 2 2 2 2 2" xfId="3840" xr:uid="{00000000-0005-0000-0000-000086050000}"/>
    <cellStyle name="Normal 2 18 2 2 2 3" xfId="2964" xr:uid="{00000000-0005-0000-0000-000087050000}"/>
    <cellStyle name="Normal 2 18 2 2 3" xfId="1645" xr:uid="{00000000-0005-0000-0000-000088050000}"/>
    <cellStyle name="Normal 2 18 2 2 3 2" xfId="3404" xr:uid="{00000000-0005-0000-0000-000089050000}"/>
    <cellStyle name="Normal 2 18 2 2 4" xfId="2528" xr:uid="{00000000-0005-0000-0000-00008A050000}"/>
    <cellStyle name="Normal 2 18 2 3" xfId="1086" xr:uid="{00000000-0005-0000-0000-00008B050000}"/>
    <cellStyle name="Normal 2 18 2 3 2" xfId="1962" xr:uid="{00000000-0005-0000-0000-00008C050000}"/>
    <cellStyle name="Normal 2 18 2 3 2 2" xfId="3721" xr:uid="{00000000-0005-0000-0000-00008D050000}"/>
    <cellStyle name="Normal 2 18 2 3 3" xfId="2845" xr:uid="{00000000-0005-0000-0000-00008E050000}"/>
    <cellStyle name="Normal 2 18 2 4" xfId="1526" xr:uid="{00000000-0005-0000-0000-00008F050000}"/>
    <cellStyle name="Normal 2 18 2 4 2" xfId="3285" xr:uid="{00000000-0005-0000-0000-000090050000}"/>
    <cellStyle name="Normal 2 18 2 5" xfId="2409" xr:uid="{00000000-0005-0000-0000-000091050000}"/>
    <cellStyle name="Normal 2 18 3" xfId="770" xr:uid="{00000000-0005-0000-0000-000092050000}"/>
    <cellStyle name="Normal 2 18 3 2" xfId="1206" xr:uid="{00000000-0005-0000-0000-000093050000}"/>
    <cellStyle name="Normal 2 18 3 2 2" xfId="2082" xr:uid="{00000000-0005-0000-0000-000094050000}"/>
    <cellStyle name="Normal 2 18 3 2 2 2" xfId="3841" xr:uid="{00000000-0005-0000-0000-000095050000}"/>
    <cellStyle name="Normal 2 18 3 2 3" xfId="2965" xr:uid="{00000000-0005-0000-0000-000096050000}"/>
    <cellStyle name="Normal 2 18 3 3" xfId="1646" xr:uid="{00000000-0005-0000-0000-000097050000}"/>
    <cellStyle name="Normal 2 18 3 3 2" xfId="3405" xr:uid="{00000000-0005-0000-0000-000098050000}"/>
    <cellStyle name="Normal 2 18 3 4" xfId="2529" xr:uid="{00000000-0005-0000-0000-000099050000}"/>
    <cellStyle name="Normal 2 18 4" xfId="978" xr:uid="{00000000-0005-0000-0000-00009A050000}"/>
    <cellStyle name="Normal 2 18 4 2" xfId="1854" xr:uid="{00000000-0005-0000-0000-00009B050000}"/>
    <cellStyle name="Normal 2 18 4 2 2" xfId="3613" xr:uid="{00000000-0005-0000-0000-00009C050000}"/>
    <cellStyle name="Normal 2 18 4 3" xfId="2737" xr:uid="{00000000-0005-0000-0000-00009D050000}"/>
    <cellStyle name="Normal 2 18 5" xfId="1418" xr:uid="{00000000-0005-0000-0000-00009E050000}"/>
    <cellStyle name="Normal 2 18 5 2" xfId="3177" xr:uid="{00000000-0005-0000-0000-00009F050000}"/>
    <cellStyle name="Normal 2 18 6" xfId="2301" xr:uid="{00000000-0005-0000-0000-0000A0050000}"/>
    <cellStyle name="Normal 2 19" xfId="577" xr:uid="{00000000-0005-0000-0000-0000A1050000}"/>
    <cellStyle name="Normal 2 19 2" xfId="771" xr:uid="{00000000-0005-0000-0000-0000A2050000}"/>
    <cellStyle name="Normal 2 19 2 2" xfId="1207" xr:uid="{00000000-0005-0000-0000-0000A3050000}"/>
    <cellStyle name="Normal 2 19 2 2 2" xfId="2083" xr:uid="{00000000-0005-0000-0000-0000A4050000}"/>
    <cellStyle name="Normal 2 19 2 2 2 2" xfId="3842" xr:uid="{00000000-0005-0000-0000-0000A5050000}"/>
    <cellStyle name="Normal 2 19 2 2 3" xfId="2966" xr:uid="{00000000-0005-0000-0000-0000A6050000}"/>
    <cellStyle name="Normal 2 19 2 3" xfId="1647" xr:uid="{00000000-0005-0000-0000-0000A7050000}"/>
    <cellStyle name="Normal 2 19 2 3 2" xfId="3406" xr:uid="{00000000-0005-0000-0000-0000A8050000}"/>
    <cellStyle name="Normal 2 19 2 4" xfId="2530" xr:uid="{00000000-0005-0000-0000-0000A9050000}"/>
    <cellStyle name="Normal 2 19 3" xfId="1031" xr:uid="{00000000-0005-0000-0000-0000AA050000}"/>
    <cellStyle name="Normal 2 19 3 2" xfId="1907" xr:uid="{00000000-0005-0000-0000-0000AB050000}"/>
    <cellStyle name="Normal 2 19 3 2 2" xfId="3666" xr:uid="{00000000-0005-0000-0000-0000AC050000}"/>
    <cellStyle name="Normal 2 19 3 3" xfId="2790" xr:uid="{00000000-0005-0000-0000-0000AD050000}"/>
    <cellStyle name="Normal 2 19 4" xfId="1471" xr:uid="{00000000-0005-0000-0000-0000AE050000}"/>
    <cellStyle name="Normal 2 19 4 2" xfId="3230" xr:uid="{00000000-0005-0000-0000-0000AF050000}"/>
    <cellStyle name="Normal 2 19 5" xfId="2354" xr:uid="{00000000-0005-0000-0000-0000B0050000}"/>
    <cellStyle name="Normal 2 2" xfId="72" xr:uid="{00000000-0005-0000-0000-0000B1050000}"/>
    <cellStyle name="Normal 2 2 10" xfId="400" xr:uid="{00000000-0005-0000-0000-0000B2050000}"/>
    <cellStyle name="Normal 2 2 11" xfId="401" xr:uid="{00000000-0005-0000-0000-0000B3050000}"/>
    <cellStyle name="Normal 2 2 12" xfId="402" xr:uid="{00000000-0005-0000-0000-0000B4050000}"/>
    <cellStyle name="Normal 2 2 13" xfId="403" xr:uid="{00000000-0005-0000-0000-0000B5050000}"/>
    <cellStyle name="Normal 2 2 2" xfId="404" xr:uid="{00000000-0005-0000-0000-0000B6050000}"/>
    <cellStyle name="Normal 2 2 3" xfId="405" xr:uid="{00000000-0005-0000-0000-0000B7050000}"/>
    <cellStyle name="Normal 2 2 4" xfId="406" xr:uid="{00000000-0005-0000-0000-0000B8050000}"/>
    <cellStyle name="Normal 2 2 5" xfId="407" xr:uid="{00000000-0005-0000-0000-0000B9050000}"/>
    <cellStyle name="Normal 2 2 6" xfId="408" xr:uid="{00000000-0005-0000-0000-0000BA050000}"/>
    <cellStyle name="Normal 2 2 7" xfId="409" xr:uid="{00000000-0005-0000-0000-0000BB050000}"/>
    <cellStyle name="Normal 2 2 8" xfId="410" xr:uid="{00000000-0005-0000-0000-0000BC050000}"/>
    <cellStyle name="Normal 2 2 9" xfId="411" xr:uid="{00000000-0005-0000-0000-0000BD050000}"/>
    <cellStyle name="Normal 2 20" xfId="772" xr:uid="{00000000-0005-0000-0000-0000BE050000}"/>
    <cellStyle name="Normal 2 20 2" xfId="1208" xr:uid="{00000000-0005-0000-0000-0000BF050000}"/>
    <cellStyle name="Normal 2 20 2 2" xfId="2084" xr:uid="{00000000-0005-0000-0000-0000C0050000}"/>
    <cellStyle name="Normal 2 20 2 2 2" xfId="3843" xr:uid="{00000000-0005-0000-0000-0000C1050000}"/>
    <cellStyle name="Normal 2 20 2 3" xfId="2967" xr:uid="{00000000-0005-0000-0000-0000C2050000}"/>
    <cellStyle name="Normal 2 20 3" xfId="1648" xr:uid="{00000000-0005-0000-0000-0000C3050000}"/>
    <cellStyle name="Normal 2 20 3 2" xfId="3407" xr:uid="{00000000-0005-0000-0000-0000C4050000}"/>
    <cellStyle name="Normal 2 20 4" xfId="2531" xr:uid="{00000000-0005-0000-0000-0000C5050000}"/>
    <cellStyle name="Normal 2 21" xfId="923" xr:uid="{00000000-0005-0000-0000-0000C6050000}"/>
    <cellStyle name="Normal 2 21 2" xfId="1799" xr:uid="{00000000-0005-0000-0000-0000C7050000}"/>
    <cellStyle name="Normal 2 21 2 2" xfId="3558" xr:uid="{00000000-0005-0000-0000-0000C8050000}"/>
    <cellStyle name="Normal 2 21 3" xfId="2682" xr:uid="{00000000-0005-0000-0000-0000C9050000}"/>
    <cellStyle name="Normal 2 22" xfId="1359" xr:uid="{00000000-0005-0000-0000-0000CA050000}"/>
    <cellStyle name="Normal 2 22 2" xfId="2235" xr:uid="{00000000-0005-0000-0000-0000CB050000}"/>
    <cellStyle name="Normal 2 22 2 2" xfId="3994" xr:uid="{00000000-0005-0000-0000-0000CC050000}"/>
    <cellStyle name="Normal 2 22 3" xfId="3118" xr:uid="{00000000-0005-0000-0000-0000CD050000}"/>
    <cellStyle name="Normal 2 23" xfId="1360" xr:uid="{00000000-0005-0000-0000-0000CE050000}"/>
    <cellStyle name="Normal 2 23 2" xfId="2236" xr:uid="{00000000-0005-0000-0000-0000CF050000}"/>
    <cellStyle name="Normal 2 23 2 2" xfId="3995" xr:uid="{00000000-0005-0000-0000-0000D0050000}"/>
    <cellStyle name="Normal 2 23 3" xfId="3119" xr:uid="{00000000-0005-0000-0000-0000D1050000}"/>
    <cellStyle name="Normal 2 24" xfId="1361" xr:uid="{00000000-0005-0000-0000-0000D2050000}"/>
    <cellStyle name="Normal 2 24 2" xfId="2237" xr:uid="{00000000-0005-0000-0000-0000D3050000}"/>
    <cellStyle name="Normal 2 24 2 2" xfId="3996" xr:uid="{00000000-0005-0000-0000-0000D4050000}"/>
    <cellStyle name="Normal 2 24 3" xfId="3120" xr:uid="{00000000-0005-0000-0000-0000D5050000}"/>
    <cellStyle name="Normal 2 25" xfId="1362" xr:uid="{00000000-0005-0000-0000-0000D6050000}"/>
    <cellStyle name="Normal 2 25 2" xfId="2238" xr:uid="{00000000-0005-0000-0000-0000D7050000}"/>
    <cellStyle name="Normal 2 25 2 2" xfId="3997" xr:uid="{00000000-0005-0000-0000-0000D8050000}"/>
    <cellStyle name="Normal 2 25 3" xfId="3121" xr:uid="{00000000-0005-0000-0000-0000D9050000}"/>
    <cellStyle name="Normal 2 26" xfId="1363" xr:uid="{00000000-0005-0000-0000-0000DA050000}"/>
    <cellStyle name="Normal 2 26 2" xfId="3122" xr:uid="{00000000-0005-0000-0000-0000DB050000}"/>
    <cellStyle name="Normal 2 27" xfId="2246" xr:uid="{00000000-0005-0000-0000-0000DC050000}"/>
    <cellStyle name="Normal 2 3" xfId="78" xr:uid="{00000000-0005-0000-0000-0000DD050000}"/>
    <cellStyle name="Normal 2 3 2" xfId="412" xr:uid="{00000000-0005-0000-0000-0000DE050000}"/>
    <cellStyle name="Normal 2 3 3" xfId="413" xr:uid="{00000000-0005-0000-0000-0000DF050000}"/>
    <cellStyle name="Normal 2 4" xfId="84" xr:uid="{00000000-0005-0000-0000-0000E0050000}"/>
    <cellStyle name="Normal 2 4 2" xfId="414" xr:uid="{00000000-0005-0000-0000-0000E1050000}"/>
    <cellStyle name="Normal 2 4 3" xfId="415" xr:uid="{00000000-0005-0000-0000-0000E2050000}"/>
    <cellStyle name="Normal 2 5" xfId="416" xr:uid="{00000000-0005-0000-0000-0000E3050000}"/>
    <cellStyle name="Normal 2 5 2" xfId="417" xr:uid="{00000000-0005-0000-0000-0000E4050000}"/>
    <cellStyle name="Normal 2 5 3" xfId="418" xr:uid="{00000000-0005-0000-0000-0000E5050000}"/>
    <cellStyle name="Normal 2 5 4" xfId="545" xr:uid="{00000000-0005-0000-0000-0000E6050000}"/>
    <cellStyle name="Normal 2 5 4 2" xfId="654" xr:uid="{00000000-0005-0000-0000-0000E7050000}"/>
    <cellStyle name="Normal 2 5 4 2 2" xfId="773" xr:uid="{00000000-0005-0000-0000-0000E8050000}"/>
    <cellStyle name="Normal 2 5 4 2 2 2" xfId="1209" xr:uid="{00000000-0005-0000-0000-0000E9050000}"/>
    <cellStyle name="Normal 2 5 4 2 2 2 2" xfId="2085" xr:uid="{00000000-0005-0000-0000-0000EA050000}"/>
    <cellStyle name="Normal 2 5 4 2 2 2 2 2" xfId="3844" xr:uid="{00000000-0005-0000-0000-0000EB050000}"/>
    <cellStyle name="Normal 2 5 4 2 2 2 3" xfId="2968" xr:uid="{00000000-0005-0000-0000-0000EC050000}"/>
    <cellStyle name="Normal 2 5 4 2 2 3" xfId="1649" xr:uid="{00000000-0005-0000-0000-0000ED050000}"/>
    <cellStyle name="Normal 2 5 4 2 2 3 2" xfId="3408" xr:uid="{00000000-0005-0000-0000-0000EE050000}"/>
    <cellStyle name="Normal 2 5 4 2 2 4" xfId="2532" xr:uid="{00000000-0005-0000-0000-0000EF050000}"/>
    <cellStyle name="Normal 2 5 4 2 3" xfId="1108" xr:uid="{00000000-0005-0000-0000-0000F0050000}"/>
    <cellStyle name="Normal 2 5 4 2 3 2" xfId="1984" xr:uid="{00000000-0005-0000-0000-0000F1050000}"/>
    <cellStyle name="Normal 2 5 4 2 3 2 2" xfId="3743" xr:uid="{00000000-0005-0000-0000-0000F2050000}"/>
    <cellStyle name="Normal 2 5 4 2 3 3" xfId="2867" xr:uid="{00000000-0005-0000-0000-0000F3050000}"/>
    <cellStyle name="Normal 2 5 4 2 4" xfId="1548" xr:uid="{00000000-0005-0000-0000-0000F4050000}"/>
    <cellStyle name="Normal 2 5 4 2 4 2" xfId="3307" xr:uid="{00000000-0005-0000-0000-0000F5050000}"/>
    <cellStyle name="Normal 2 5 4 2 5" xfId="2431" xr:uid="{00000000-0005-0000-0000-0000F6050000}"/>
    <cellStyle name="Normal 2 5 4 3" xfId="774" xr:uid="{00000000-0005-0000-0000-0000F7050000}"/>
    <cellStyle name="Normal 2 5 4 3 2" xfId="1210" xr:uid="{00000000-0005-0000-0000-0000F8050000}"/>
    <cellStyle name="Normal 2 5 4 3 2 2" xfId="2086" xr:uid="{00000000-0005-0000-0000-0000F9050000}"/>
    <cellStyle name="Normal 2 5 4 3 2 2 2" xfId="3845" xr:uid="{00000000-0005-0000-0000-0000FA050000}"/>
    <cellStyle name="Normal 2 5 4 3 2 3" xfId="2969" xr:uid="{00000000-0005-0000-0000-0000FB050000}"/>
    <cellStyle name="Normal 2 5 4 3 3" xfId="1650" xr:uid="{00000000-0005-0000-0000-0000FC050000}"/>
    <cellStyle name="Normal 2 5 4 3 3 2" xfId="3409" xr:uid="{00000000-0005-0000-0000-0000FD050000}"/>
    <cellStyle name="Normal 2 5 4 3 4" xfId="2533" xr:uid="{00000000-0005-0000-0000-0000FE050000}"/>
    <cellStyle name="Normal 2 5 4 4" xfId="1000" xr:uid="{00000000-0005-0000-0000-0000FF050000}"/>
    <cellStyle name="Normal 2 5 4 4 2" xfId="1876" xr:uid="{00000000-0005-0000-0000-000000060000}"/>
    <cellStyle name="Normal 2 5 4 4 2 2" xfId="3635" xr:uid="{00000000-0005-0000-0000-000001060000}"/>
    <cellStyle name="Normal 2 5 4 4 3" xfId="2759" xr:uid="{00000000-0005-0000-0000-000002060000}"/>
    <cellStyle name="Normal 2 5 4 5" xfId="1440" xr:uid="{00000000-0005-0000-0000-000003060000}"/>
    <cellStyle name="Normal 2 5 4 5 2" xfId="3199" xr:uid="{00000000-0005-0000-0000-000004060000}"/>
    <cellStyle name="Normal 2 5 4 6" xfId="2323" xr:uid="{00000000-0005-0000-0000-000005060000}"/>
    <cellStyle name="Normal 2 5 5" xfId="599" xr:uid="{00000000-0005-0000-0000-000006060000}"/>
    <cellStyle name="Normal 2 5 5 2" xfId="775" xr:uid="{00000000-0005-0000-0000-000007060000}"/>
    <cellStyle name="Normal 2 5 5 2 2" xfId="1211" xr:uid="{00000000-0005-0000-0000-000008060000}"/>
    <cellStyle name="Normal 2 5 5 2 2 2" xfId="2087" xr:uid="{00000000-0005-0000-0000-000009060000}"/>
    <cellStyle name="Normal 2 5 5 2 2 2 2" xfId="3846" xr:uid="{00000000-0005-0000-0000-00000A060000}"/>
    <cellStyle name="Normal 2 5 5 2 2 3" xfId="2970" xr:uid="{00000000-0005-0000-0000-00000B060000}"/>
    <cellStyle name="Normal 2 5 5 2 3" xfId="1651" xr:uid="{00000000-0005-0000-0000-00000C060000}"/>
    <cellStyle name="Normal 2 5 5 2 3 2" xfId="3410" xr:uid="{00000000-0005-0000-0000-00000D060000}"/>
    <cellStyle name="Normal 2 5 5 2 4" xfId="2534" xr:uid="{00000000-0005-0000-0000-00000E060000}"/>
    <cellStyle name="Normal 2 5 5 3" xfId="1053" xr:uid="{00000000-0005-0000-0000-00000F060000}"/>
    <cellStyle name="Normal 2 5 5 3 2" xfId="1929" xr:uid="{00000000-0005-0000-0000-000010060000}"/>
    <cellStyle name="Normal 2 5 5 3 2 2" xfId="3688" xr:uid="{00000000-0005-0000-0000-000011060000}"/>
    <cellStyle name="Normal 2 5 5 3 3" xfId="2812" xr:uid="{00000000-0005-0000-0000-000012060000}"/>
    <cellStyle name="Normal 2 5 5 4" xfId="1493" xr:uid="{00000000-0005-0000-0000-000013060000}"/>
    <cellStyle name="Normal 2 5 5 4 2" xfId="3252" xr:uid="{00000000-0005-0000-0000-000014060000}"/>
    <cellStyle name="Normal 2 5 5 5" xfId="2376" xr:uid="{00000000-0005-0000-0000-000015060000}"/>
    <cellStyle name="Normal 2 5 6" xfId="776" xr:uid="{00000000-0005-0000-0000-000016060000}"/>
    <cellStyle name="Normal 2 5 6 2" xfId="1212" xr:uid="{00000000-0005-0000-0000-000017060000}"/>
    <cellStyle name="Normal 2 5 6 2 2" xfId="2088" xr:uid="{00000000-0005-0000-0000-000018060000}"/>
    <cellStyle name="Normal 2 5 6 2 2 2" xfId="3847" xr:uid="{00000000-0005-0000-0000-000019060000}"/>
    <cellStyle name="Normal 2 5 6 2 3" xfId="2971" xr:uid="{00000000-0005-0000-0000-00001A060000}"/>
    <cellStyle name="Normal 2 5 6 3" xfId="1652" xr:uid="{00000000-0005-0000-0000-00001B060000}"/>
    <cellStyle name="Normal 2 5 6 3 2" xfId="3411" xr:uid="{00000000-0005-0000-0000-00001C060000}"/>
    <cellStyle name="Normal 2 5 6 4" xfId="2535" xr:uid="{00000000-0005-0000-0000-00001D060000}"/>
    <cellStyle name="Normal 2 5 7" xfId="945" xr:uid="{00000000-0005-0000-0000-00001E060000}"/>
    <cellStyle name="Normal 2 5 7 2" xfId="1821" xr:uid="{00000000-0005-0000-0000-00001F060000}"/>
    <cellStyle name="Normal 2 5 7 2 2" xfId="3580" xr:uid="{00000000-0005-0000-0000-000020060000}"/>
    <cellStyle name="Normal 2 5 7 3" xfId="2704" xr:uid="{00000000-0005-0000-0000-000021060000}"/>
    <cellStyle name="Normal 2 5 8" xfId="1385" xr:uid="{00000000-0005-0000-0000-000022060000}"/>
    <cellStyle name="Normal 2 5 8 2" xfId="3144" xr:uid="{00000000-0005-0000-0000-000023060000}"/>
    <cellStyle name="Normal 2 5 9" xfId="2268" xr:uid="{00000000-0005-0000-0000-000024060000}"/>
    <cellStyle name="Normal 2 6" xfId="419" xr:uid="{00000000-0005-0000-0000-000025060000}"/>
    <cellStyle name="Normal 2 6 2" xfId="420" xr:uid="{00000000-0005-0000-0000-000026060000}"/>
    <cellStyle name="Normal 2 6 3" xfId="421" xr:uid="{00000000-0005-0000-0000-000027060000}"/>
    <cellStyle name="Normal 2 6 4" xfId="546" xr:uid="{00000000-0005-0000-0000-000028060000}"/>
    <cellStyle name="Normal 2 6 4 2" xfId="655" xr:uid="{00000000-0005-0000-0000-000029060000}"/>
    <cellStyle name="Normal 2 6 4 2 2" xfId="777" xr:uid="{00000000-0005-0000-0000-00002A060000}"/>
    <cellStyle name="Normal 2 6 4 2 2 2" xfId="1213" xr:uid="{00000000-0005-0000-0000-00002B060000}"/>
    <cellStyle name="Normal 2 6 4 2 2 2 2" xfId="2089" xr:uid="{00000000-0005-0000-0000-00002C060000}"/>
    <cellStyle name="Normal 2 6 4 2 2 2 2 2" xfId="3848" xr:uid="{00000000-0005-0000-0000-00002D060000}"/>
    <cellStyle name="Normal 2 6 4 2 2 2 3" xfId="2972" xr:uid="{00000000-0005-0000-0000-00002E060000}"/>
    <cellStyle name="Normal 2 6 4 2 2 3" xfId="1653" xr:uid="{00000000-0005-0000-0000-00002F060000}"/>
    <cellStyle name="Normal 2 6 4 2 2 3 2" xfId="3412" xr:uid="{00000000-0005-0000-0000-000030060000}"/>
    <cellStyle name="Normal 2 6 4 2 2 4" xfId="2536" xr:uid="{00000000-0005-0000-0000-000031060000}"/>
    <cellStyle name="Normal 2 6 4 2 3" xfId="1109" xr:uid="{00000000-0005-0000-0000-000032060000}"/>
    <cellStyle name="Normal 2 6 4 2 3 2" xfId="1985" xr:uid="{00000000-0005-0000-0000-000033060000}"/>
    <cellStyle name="Normal 2 6 4 2 3 2 2" xfId="3744" xr:uid="{00000000-0005-0000-0000-000034060000}"/>
    <cellStyle name="Normal 2 6 4 2 3 3" xfId="2868" xr:uid="{00000000-0005-0000-0000-000035060000}"/>
    <cellStyle name="Normal 2 6 4 2 4" xfId="1549" xr:uid="{00000000-0005-0000-0000-000036060000}"/>
    <cellStyle name="Normal 2 6 4 2 4 2" xfId="3308" xr:uid="{00000000-0005-0000-0000-000037060000}"/>
    <cellStyle name="Normal 2 6 4 2 5" xfId="2432" xr:uid="{00000000-0005-0000-0000-000038060000}"/>
    <cellStyle name="Normal 2 6 4 3" xfId="778" xr:uid="{00000000-0005-0000-0000-000039060000}"/>
    <cellStyle name="Normal 2 6 4 3 2" xfId="1214" xr:uid="{00000000-0005-0000-0000-00003A060000}"/>
    <cellStyle name="Normal 2 6 4 3 2 2" xfId="2090" xr:uid="{00000000-0005-0000-0000-00003B060000}"/>
    <cellStyle name="Normal 2 6 4 3 2 2 2" xfId="3849" xr:uid="{00000000-0005-0000-0000-00003C060000}"/>
    <cellStyle name="Normal 2 6 4 3 2 3" xfId="2973" xr:uid="{00000000-0005-0000-0000-00003D060000}"/>
    <cellStyle name="Normal 2 6 4 3 3" xfId="1654" xr:uid="{00000000-0005-0000-0000-00003E060000}"/>
    <cellStyle name="Normal 2 6 4 3 3 2" xfId="3413" xr:uid="{00000000-0005-0000-0000-00003F060000}"/>
    <cellStyle name="Normal 2 6 4 3 4" xfId="2537" xr:uid="{00000000-0005-0000-0000-000040060000}"/>
    <cellStyle name="Normal 2 6 4 4" xfId="1001" xr:uid="{00000000-0005-0000-0000-000041060000}"/>
    <cellStyle name="Normal 2 6 4 4 2" xfId="1877" xr:uid="{00000000-0005-0000-0000-000042060000}"/>
    <cellStyle name="Normal 2 6 4 4 2 2" xfId="3636" xr:uid="{00000000-0005-0000-0000-000043060000}"/>
    <cellStyle name="Normal 2 6 4 4 3" xfId="2760" xr:uid="{00000000-0005-0000-0000-000044060000}"/>
    <cellStyle name="Normal 2 6 4 5" xfId="1441" xr:uid="{00000000-0005-0000-0000-000045060000}"/>
    <cellStyle name="Normal 2 6 4 5 2" xfId="3200" xr:uid="{00000000-0005-0000-0000-000046060000}"/>
    <cellStyle name="Normal 2 6 4 6" xfId="2324" xr:uid="{00000000-0005-0000-0000-000047060000}"/>
    <cellStyle name="Normal 2 6 5" xfId="600" xr:uid="{00000000-0005-0000-0000-000048060000}"/>
    <cellStyle name="Normal 2 6 5 2" xfId="779" xr:uid="{00000000-0005-0000-0000-000049060000}"/>
    <cellStyle name="Normal 2 6 5 2 2" xfId="1215" xr:uid="{00000000-0005-0000-0000-00004A060000}"/>
    <cellStyle name="Normal 2 6 5 2 2 2" xfId="2091" xr:uid="{00000000-0005-0000-0000-00004B060000}"/>
    <cellStyle name="Normal 2 6 5 2 2 2 2" xfId="3850" xr:uid="{00000000-0005-0000-0000-00004C060000}"/>
    <cellStyle name="Normal 2 6 5 2 2 3" xfId="2974" xr:uid="{00000000-0005-0000-0000-00004D060000}"/>
    <cellStyle name="Normal 2 6 5 2 3" xfId="1655" xr:uid="{00000000-0005-0000-0000-00004E060000}"/>
    <cellStyle name="Normal 2 6 5 2 3 2" xfId="3414" xr:uid="{00000000-0005-0000-0000-00004F060000}"/>
    <cellStyle name="Normal 2 6 5 2 4" xfId="2538" xr:uid="{00000000-0005-0000-0000-000050060000}"/>
    <cellStyle name="Normal 2 6 5 3" xfId="1054" xr:uid="{00000000-0005-0000-0000-000051060000}"/>
    <cellStyle name="Normal 2 6 5 3 2" xfId="1930" xr:uid="{00000000-0005-0000-0000-000052060000}"/>
    <cellStyle name="Normal 2 6 5 3 2 2" xfId="3689" xr:uid="{00000000-0005-0000-0000-000053060000}"/>
    <cellStyle name="Normal 2 6 5 3 3" xfId="2813" xr:uid="{00000000-0005-0000-0000-000054060000}"/>
    <cellStyle name="Normal 2 6 5 4" xfId="1494" xr:uid="{00000000-0005-0000-0000-000055060000}"/>
    <cellStyle name="Normal 2 6 5 4 2" xfId="3253" xr:uid="{00000000-0005-0000-0000-000056060000}"/>
    <cellStyle name="Normal 2 6 5 5" xfId="2377" xr:uid="{00000000-0005-0000-0000-000057060000}"/>
    <cellStyle name="Normal 2 6 6" xfId="780" xr:uid="{00000000-0005-0000-0000-000058060000}"/>
    <cellStyle name="Normal 2 6 6 2" xfId="1216" xr:uid="{00000000-0005-0000-0000-000059060000}"/>
    <cellStyle name="Normal 2 6 6 2 2" xfId="2092" xr:uid="{00000000-0005-0000-0000-00005A060000}"/>
    <cellStyle name="Normal 2 6 6 2 2 2" xfId="3851" xr:uid="{00000000-0005-0000-0000-00005B060000}"/>
    <cellStyle name="Normal 2 6 6 2 3" xfId="2975" xr:uid="{00000000-0005-0000-0000-00005C060000}"/>
    <cellStyle name="Normal 2 6 6 3" xfId="1656" xr:uid="{00000000-0005-0000-0000-00005D060000}"/>
    <cellStyle name="Normal 2 6 6 3 2" xfId="3415" xr:uid="{00000000-0005-0000-0000-00005E060000}"/>
    <cellStyle name="Normal 2 6 6 4" xfId="2539" xr:uid="{00000000-0005-0000-0000-00005F060000}"/>
    <cellStyle name="Normal 2 6 7" xfId="946" xr:uid="{00000000-0005-0000-0000-000060060000}"/>
    <cellStyle name="Normal 2 6 7 2" xfId="1822" xr:uid="{00000000-0005-0000-0000-000061060000}"/>
    <cellStyle name="Normal 2 6 7 2 2" xfId="3581" xr:uid="{00000000-0005-0000-0000-000062060000}"/>
    <cellStyle name="Normal 2 6 7 3" xfId="2705" xr:uid="{00000000-0005-0000-0000-000063060000}"/>
    <cellStyle name="Normal 2 6 8" xfId="1386" xr:uid="{00000000-0005-0000-0000-000064060000}"/>
    <cellStyle name="Normal 2 6 8 2" xfId="3145" xr:uid="{00000000-0005-0000-0000-000065060000}"/>
    <cellStyle name="Normal 2 6 9" xfId="2269" xr:uid="{00000000-0005-0000-0000-000066060000}"/>
    <cellStyle name="Normal 2 7" xfId="422" xr:uid="{00000000-0005-0000-0000-000067060000}"/>
    <cellStyle name="Normal 2 7 2" xfId="423" xr:uid="{00000000-0005-0000-0000-000068060000}"/>
    <cellStyle name="Normal 2 7 3" xfId="424" xr:uid="{00000000-0005-0000-0000-000069060000}"/>
    <cellStyle name="Normal 2 7 4" xfId="547" xr:uid="{00000000-0005-0000-0000-00006A060000}"/>
    <cellStyle name="Normal 2 7 4 2" xfId="656" xr:uid="{00000000-0005-0000-0000-00006B060000}"/>
    <cellStyle name="Normal 2 7 4 2 2" xfId="781" xr:uid="{00000000-0005-0000-0000-00006C060000}"/>
    <cellStyle name="Normal 2 7 4 2 2 2" xfId="1217" xr:uid="{00000000-0005-0000-0000-00006D060000}"/>
    <cellStyle name="Normal 2 7 4 2 2 2 2" xfId="2093" xr:uid="{00000000-0005-0000-0000-00006E060000}"/>
    <cellStyle name="Normal 2 7 4 2 2 2 2 2" xfId="3852" xr:uid="{00000000-0005-0000-0000-00006F060000}"/>
    <cellStyle name="Normal 2 7 4 2 2 2 3" xfId="2976" xr:uid="{00000000-0005-0000-0000-000070060000}"/>
    <cellStyle name="Normal 2 7 4 2 2 3" xfId="1657" xr:uid="{00000000-0005-0000-0000-000071060000}"/>
    <cellStyle name="Normal 2 7 4 2 2 3 2" xfId="3416" xr:uid="{00000000-0005-0000-0000-000072060000}"/>
    <cellStyle name="Normal 2 7 4 2 2 4" xfId="2540" xr:uid="{00000000-0005-0000-0000-000073060000}"/>
    <cellStyle name="Normal 2 7 4 2 3" xfId="1110" xr:uid="{00000000-0005-0000-0000-000074060000}"/>
    <cellStyle name="Normal 2 7 4 2 3 2" xfId="1986" xr:uid="{00000000-0005-0000-0000-000075060000}"/>
    <cellStyle name="Normal 2 7 4 2 3 2 2" xfId="3745" xr:uid="{00000000-0005-0000-0000-000076060000}"/>
    <cellStyle name="Normal 2 7 4 2 3 3" xfId="2869" xr:uid="{00000000-0005-0000-0000-000077060000}"/>
    <cellStyle name="Normal 2 7 4 2 4" xfId="1550" xr:uid="{00000000-0005-0000-0000-000078060000}"/>
    <cellStyle name="Normal 2 7 4 2 4 2" xfId="3309" xr:uid="{00000000-0005-0000-0000-000079060000}"/>
    <cellStyle name="Normal 2 7 4 2 5" xfId="2433" xr:uid="{00000000-0005-0000-0000-00007A060000}"/>
    <cellStyle name="Normal 2 7 4 3" xfId="782" xr:uid="{00000000-0005-0000-0000-00007B060000}"/>
    <cellStyle name="Normal 2 7 4 3 2" xfId="1218" xr:uid="{00000000-0005-0000-0000-00007C060000}"/>
    <cellStyle name="Normal 2 7 4 3 2 2" xfId="2094" xr:uid="{00000000-0005-0000-0000-00007D060000}"/>
    <cellStyle name="Normal 2 7 4 3 2 2 2" xfId="3853" xr:uid="{00000000-0005-0000-0000-00007E060000}"/>
    <cellStyle name="Normal 2 7 4 3 2 3" xfId="2977" xr:uid="{00000000-0005-0000-0000-00007F060000}"/>
    <cellStyle name="Normal 2 7 4 3 3" xfId="1658" xr:uid="{00000000-0005-0000-0000-000080060000}"/>
    <cellStyle name="Normal 2 7 4 3 3 2" xfId="3417" xr:uid="{00000000-0005-0000-0000-000081060000}"/>
    <cellStyle name="Normal 2 7 4 3 4" xfId="2541" xr:uid="{00000000-0005-0000-0000-000082060000}"/>
    <cellStyle name="Normal 2 7 4 4" xfId="1002" xr:uid="{00000000-0005-0000-0000-000083060000}"/>
    <cellStyle name="Normal 2 7 4 4 2" xfId="1878" xr:uid="{00000000-0005-0000-0000-000084060000}"/>
    <cellStyle name="Normal 2 7 4 4 2 2" xfId="3637" xr:uid="{00000000-0005-0000-0000-000085060000}"/>
    <cellStyle name="Normal 2 7 4 4 3" xfId="2761" xr:uid="{00000000-0005-0000-0000-000086060000}"/>
    <cellStyle name="Normal 2 7 4 5" xfId="1442" xr:uid="{00000000-0005-0000-0000-000087060000}"/>
    <cellStyle name="Normal 2 7 4 5 2" xfId="3201" xr:uid="{00000000-0005-0000-0000-000088060000}"/>
    <cellStyle name="Normal 2 7 4 6" xfId="2325" xr:uid="{00000000-0005-0000-0000-000089060000}"/>
    <cellStyle name="Normal 2 7 5" xfId="601" xr:uid="{00000000-0005-0000-0000-00008A060000}"/>
    <cellStyle name="Normal 2 7 5 2" xfId="783" xr:uid="{00000000-0005-0000-0000-00008B060000}"/>
    <cellStyle name="Normal 2 7 5 2 2" xfId="1219" xr:uid="{00000000-0005-0000-0000-00008C060000}"/>
    <cellStyle name="Normal 2 7 5 2 2 2" xfId="2095" xr:uid="{00000000-0005-0000-0000-00008D060000}"/>
    <cellStyle name="Normal 2 7 5 2 2 2 2" xfId="3854" xr:uid="{00000000-0005-0000-0000-00008E060000}"/>
    <cellStyle name="Normal 2 7 5 2 2 3" xfId="2978" xr:uid="{00000000-0005-0000-0000-00008F060000}"/>
    <cellStyle name="Normal 2 7 5 2 3" xfId="1659" xr:uid="{00000000-0005-0000-0000-000090060000}"/>
    <cellStyle name="Normal 2 7 5 2 3 2" xfId="3418" xr:uid="{00000000-0005-0000-0000-000091060000}"/>
    <cellStyle name="Normal 2 7 5 2 4" xfId="2542" xr:uid="{00000000-0005-0000-0000-000092060000}"/>
    <cellStyle name="Normal 2 7 5 3" xfId="1055" xr:uid="{00000000-0005-0000-0000-000093060000}"/>
    <cellStyle name="Normal 2 7 5 3 2" xfId="1931" xr:uid="{00000000-0005-0000-0000-000094060000}"/>
    <cellStyle name="Normal 2 7 5 3 2 2" xfId="3690" xr:uid="{00000000-0005-0000-0000-000095060000}"/>
    <cellStyle name="Normal 2 7 5 3 3" xfId="2814" xr:uid="{00000000-0005-0000-0000-000096060000}"/>
    <cellStyle name="Normal 2 7 5 4" xfId="1495" xr:uid="{00000000-0005-0000-0000-000097060000}"/>
    <cellStyle name="Normal 2 7 5 4 2" xfId="3254" xr:uid="{00000000-0005-0000-0000-000098060000}"/>
    <cellStyle name="Normal 2 7 5 5" xfId="2378" xr:uid="{00000000-0005-0000-0000-000099060000}"/>
    <cellStyle name="Normal 2 7 6" xfId="784" xr:uid="{00000000-0005-0000-0000-00009A060000}"/>
    <cellStyle name="Normal 2 7 6 2" xfId="1220" xr:uid="{00000000-0005-0000-0000-00009B060000}"/>
    <cellStyle name="Normal 2 7 6 2 2" xfId="2096" xr:uid="{00000000-0005-0000-0000-00009C060000}"/>
    <cellStyle name="Normal 2 7 6 2 2 2" xfId="3855" xr:uid="{00000000-0005-0000-0000-00009D060000}"/>
    <cellStyle name="Normal 2 7 6 2 3" xfId="2979" xr:uid="{00000000-0005-0000-0000-00009E060000}"/>
    <cellStyle name="Normal 2 7 6 3" xfId="1660" xr:uid="{00000000-0005-0000-0000-00009F060000}"/>
    <cellStyle name="Normal 2 7 6 3 2" xfId="3419" xr:uid="{00000000-0005-0000-0000-0000A0060000}"/>
    <cellStyle name="Normal 2 7 6 4" xfId="2543" xr:uid="{00000000-0005-0000-0000-0000A1060000}"/>
    <cellStyle name="Normal 2 7 7" xfId="947" xr:uid="{00000000-0005-0000-0000-0000A2060000}"/>
    <cellStyle name="Normal 2 7 7 2" xfId="1823" xr:uid="{00000000-0005-0000-0000-0000A3060000}"/>
    <cellStyle name="Normal 2 7 7 2 2" xfId="3582" xr:uid="{00000000-0005-0000-0000-0000A4060000}"/>
    <cellStyle name="Normal 2 7 7 3" xfId="2706" xr:uid="{00000000-0005-0000-0000-0000A5060000}"/>
    <cellStyle name="Normal 2 7 8" xfId="1387" xr:uid="{00000000-0005-0000-0000-0000A6060000}"/>
    <cellStyle name="Normal 2 7 8 2" xfId="3146" xr:uid="{00000000-0005-0000-0000-0000A7060000}"/>
    <cellStyle name="Normal 2 7 9" xfId="2270" xr:uid="{00000000-0005-0000-0000-0000A8060000}"/>
    <cellStyle name="Normal 2 8" xfId="425" xr:uid="{00000000-0005-0000-0000-0000A9060000}"/>
    <cellStyle name="Normal 2 8 2" xfId="548" xr:uid="{00000000-0005-0000-0000-0000AA060000}"/>
    <cellStyle name="Normal 2 8 2 2" xfId="657" xr:uid="{00000000-0005-0000-0000-0000AB060000}"/>
    <cellStyle name="Normal 2 8 2 2 2" xfId="785" xr:uid="{00000000-0005-0000-0000-0000AC060000}"/>
    <cellStyle name="Normal 2 8 2 2 2 2" xfId="1221" xr:uid="{00000000-0005-0000-0000-0000AD060000}"/>
    <cellStyle name="Normal 2 8 2 2 2 2 2" xfId="2097" xr:uid="{00000000-0005-0000-0000-0000AE060000}"/>
    <cellStyle name="Normal 2 8 2 2 2 2 2 2" xfId="3856" xr:uid="{00000000-0005-0000-0000-0000AF060000}"/>
    <cellStyle name="Normal 2 8 2 2 2 2 3" xfId="2980" xr:uid="{00000000-0005-0000-0000-0000B0060000}"/>
    <cellStyle name="Normal 2 8 2 2 2 3" xfId="1661" xr:uid="{00000000-0005-0000-0000-0000B1060000}"/>
    <cellStyle name="Normal 2 8 2 2 2 3 2" xfId="3420" xr:uid="{00000000-0005-0000-0000-0000B2060000}"/>
    <cellStyle name="Normal 2 8 2 2 2 4" xfId="2544" xr:uid="{00000000-0005-0000-0000-0000B3060000}"/>
    <cellStyle name="Normal 2 8 2 2 3" xfId="1111" xr:uid="{00000000-0005-0000-0000-0000B4060000}"/>
    <cellStyle name="Normal 2 8 2 2 3 2" xfId="1987" xr:uid="{00000000-0005-0000-0000-0000B5060000}"/>
    <cellStyle name="Normal 2 8 2 2 3 2 2" xfId="3746" xr:uid="{00000000-0005-0000-0000-0000B6060000}"/>
    <cellStyle name="Normal 2 8 2 2 3 3" xfId="2870" xr:uid="{00000000-0005-0000-0000-0000B7060000}"/>
    <cellStyle name="Normal 2 8 2 2 4" xfId="1551" xr:uid="{00000000-0005-0000-0000-0000B8060000}"/>
    <cellStyle name="Normal 2 8 2 2 4 2" xfId="3310" xr:uid="{00000000-0005-0000-0000-0000B9060000}"/>
    <cellStyle name="Normal 2 8 2 2 5" xfId="2434" xr:uid="{00000000-0005-0000-0000-0000BA060000}"/>
    <cellStyle name="Normal 2 8 2 3" xfId="786" xr:uid="{00000000-0005-0000-0000-0000BB060000}"/>
    <cellStyle name="Normal 2 8 2 3 2" xfId="1222" xr:uid="{00000000-0005-0000-0000-0000BC060000}"/>
    <cellStyle name="Normal 2 8 2 3 2 2" xfId="2098" xr:uid="{00000000-0005-0000-0000-0000BD060000}"/>
    <cellStyle name="Normal 2 8 2 3 2 2 2" xfId="3857" xr:uid="{00000000-0005-0000-0000-0000BE060000}"/>
    <cellStyle name="Normal 2 8 2 3 2 3" xfId="2981" xr:uid="{00000000-0005-0000-0000-0000BF060000}"/>
    <cellStyle name="Normal 2 8 2 3 3" xfId="1662" xr:uid="{00000000-0005-0000-0000-0000C0060000}"/>
    <cellStyle name="Normal 2 8 2 3 3 2" xfId="3421" xr:uid="{00000000-0005-0000-0000-0000C1060000}"/>
    <cellStyle name="Normal 2 8 2 3 4" xfId="2545" xr:uid="{00000000-0005-0000-0000-0000C2060000}"/>
    <cellStyle name="Normal 2 8 2 4" xfId="1003" xr:uid="{00000000-0005-0000-0000-0000C3060000}"/>
    <cellStyle name="Normal 2 8 2 4 2" xfId="1879" xr:uid="{00000000-0005-0000-0000-0000C4060000}"/>
    <cellStyle name="Normal 2 8 2 4 2 2" xfId="3638" xr:uid="{00000000-0005-0000-0000-0000C5060000}"/>
    <cellStyle name="Normal 2 8 2 4 3" xfId="2762" xr:uid="{00000000-0005-0000-0000-0000C6060000}"/>
    <cellStyle name="Normal 2 8 2 5" xfId="1443" xr:uid="{00000000-0005-0000-0000-0000C7060000}"/>
    <cellStyle name="Normal 2 8 2 5 2" xfId="3202" xr:uid="{00000000-0005-0000-0000-0000C8060000}"/>
    <cellStyle name="Normal 2 8 2 6" xfId="2326" xr:uid="{00000000-0005-0000-0000-0000C9060000}"/>
    <cellStyle name="Normal 2 8 3" xfId="602" xr:uid="{00000000-0005-0000-0000-0000CA060000}"/>
    <cellStyle name="Normal 2 8 3 2" xfId="787" xr:uid="{00000000-0005-0000-0000-0000CB060000}"/>
    <cellStyle name="Normal 2 8 3 2 2" xfId="1223" xr:uid="{00000000-0005-0000-0000-0000CC060000}"/>
    <cellStyle name="Normal 2 8 3 2 2 2" xfId="2099" xr:uid="{00000000-0005-0000-0000-0000CD060000}"/>
    <cellStyle name="Normal 2 8 3 2 2 2 2" xfId="3858" xr:uid="{00000000-0005-0000-0000-0000CE060000}"/>
    <cellStyle name="Normal 2 8 3 2 2 3" xfId="2982" xr:uid="{00000000-0005-0000-0000-0000CF060000}"/>
    <cellStyle name="Normal 2 8 3 2 3" xfId="1663" xr:uid="{00000000-0005-0000-0000-0000D0060000}"/>
    <cellStyle name="Normal 2 8 3 2 3 2" xfId="3422" xr:uid="{00000000-0005-0000-0000-0000D1060000}"/>
    <cellStyle name="Normal 2 8 3 2 4" xfId="2546" xr:uid="{00000000-0005-0000-0000-0000D2060000}"/>
    <cellStyle name="Normal 2 8 3 3" xfId="1056" xr:uid="{00000000-0005-0000-0000-0000D3060000}"/>
    <cellStyle name="Normal 2 8 3 3 2" xfId="1932" xr:uid="{00000000-0005-0000-0000-0000D4060000}"/>
    <cellStyle name="Normal 2 8 3 3 2 2" xfId="3691" xr:uid="{00000000-0005-0000-0000-0000D5060000}"/>
    <cellStyle name="Normal 2 8 3 3 3" xfId="2815" xr:uid="{00000000-0005-0000-0000-0000D6060000}"/>
    <cellStyle name="Normal 2 8 3 4" xfId="1496" xr:uid="{00000000-0005-0000-0000-0000D7060000}"/>
    <cellStyle name="Normal 2 8 3 4 2" xfId="3255" xr:uid="{00000000-0005-0000-0000-0000D8060000}"/>
    <cellStyle name="Normal 2 8 3 5" xfId="2379" xr:uid="{00000000-0005-0000-0000-0000D9060000}"/>
    <cellStyle name="Normal 2 8 4" xfId="788" xr:uid="{00000000-0005-0000-0000-0000DA060000}"/>
    <cellStyle name="Normal 2 8 4 2" xfId="1224" xr:uid="{00000000-0005-0000-0000-0000DB060000}"/>
    <cellStyle name="Normal 2 8 4 2 2" xfId="2100" xr:uid="{00000000-0005-0000-0000-0000DC060000}"/>
    <cellStyle name="Normal 2 8 4 2 2 2" xfId="3859" xr:uid="{00000000-0005-0000-0000-0000DD060000}"/>
    <cellStyle name="Normal 2 8 4 2 3" xfId="2983" xr:uid="{00000000-0005-0000-0000-0000DE060000}"/>
    <cellStyle name="Normal 2 8 4 3" xfId="1664" xr:uid="{00000000-0005-0000-0000-0000DF060000}"/>
    <cellStyle name="Normal 2 8 4 3 2" xfId="3423" xr:uid="{00000000-0005-0000-0000-0000E0060000}"/>
    <cellStyle name="Normal 2 8 4 4" xfId="2547" xr:uid="{00000000-0005-0000-0000-0000E1060000}"/>
    <cellStyle name="Normal 2 8 5" xfId="948" xr:uid="{00000000-0005-0000-0000-0000E2060000}"/>
    <cellStyle name="Normal 2 8 5 2" xfId="1824" xr:uid="{00000000-0005-0000-0000-0000E3060000}"/>
    <cellStyle name="Normal 2 8 5 2 2" xfId="3583" xr:uid="{00000000-0005-0000-0000-0000E4060000}"/>
    <cellStyle name="Normal 2 8 5 3" xfId="2707" xr:uid="{00000000-0005-0000-0000-0000E5060000}"/>
    <cellStyle name="Normal 2 8 6" xfId="1388" xr:uid="{00000000-0005-0000-0000-0000E6060000}"/>
    <cellStyle name="Normal 2 8 6 2" xfId="3147" xr:uid="{00000000-0005-0000-0000-0000E7060000}"/>
    <cellStyle name="Normal 2 8 7" xfId="2271" xr:uid="{00000000-0005-0000-0000-0000E8060000}"/>
    <cellStyle name="Normal 2 9" xfId="426" xr:uid="{00000000-0005-0000-0000-0000E9060000}"/>
    <cellStyle name="Normal 2 9 2" xfId="549" xr:uid="{00000000-0005-0000-0000-0000EA060000}"/>
    <cellStyle name="Normal 2 9 2 2" xfId="658" xr:uid="{00000000-0005-0000-0000-0000EB060000}"/>
    <cellStyle name="Normal 2 9 2 2 2" xfId="789" xr:uid="{00000000-0005-0000-0000-0000EC060000}"/>
    <cellStyle name="Normal 2 9 2 2 2 2" xfId="1225" xr:uid="{00000000-0005-0000-0000-0000ED060000}"/>
    <cellStyle name="Normal 2 9 2 2 2 2 2" xfId="2101" xr:uid="{00000000-0005-0000-0000-0000EE060000}"/>
    <cellStyle name="Normal 2 9 2 2 2 2 2 2" xfId="3860" xr:uid="{00000000-0005-0000-0000-0000EF060000}"/>
    <cellStyle name="Normal 2 9 2 2 2 2 3" xfId="2984" xr:uid="{00000000-0005-0000-0000-0000F0060000}"/>
    <cellStyle name="Normal 2 9 2 2 2 3" xfId="1665" xr:uid="{00000000-0005-0000-0000-0000F1060000}"/>
    <cellStyle name="Normal 2 9 2 2 2 3 2" xfId="3424" xr:uid="{00000000-0005-0000-0000-0000F2060000}"/>
    <cellStyle name="Normal 2 9 2 2 2 4" xfId="2548" xr:uid="{00000000-0005-0000-0000-0000F3060000}"/>
    <cellStyle name="Normal 2 9 2 2 3" xfId="1112" xr:uid="{00000000-0005-0000-0000-0000F4060000}"/>
    <cellStyle name="Normal 2 9 2 2 3 2" xfId="1988" xr:uid="{00000000-0005-0000-0000-0000F5060000}"/>
    <cellStyle name="Normal 2 9 2 2 3 2 2" xfId="3747" xr:uid="{00000000-0005-0000-0000-0000F6060000}"/>
    <cellStyle name="Normal 2 9 2 2 3 3" xfId="2871" xr:uid="{00000000-0005-0000-0000-0000F7060000}"/>
    <cellStyle name="Normal 2 9 2 2 4" xfId="1552" xr:uid="{00000000-0005-0000-0000-0000F8060000}"/>
    <cellStyle name="Normal 2 9 2 2 4 2" xfId="3311" xr:uid="{00000000-0005-0000-0000-0000F9060000}"/>
    <cellStyle name="Normal 2 9 2 2 5" xfId="2435" xr:uid="{00000000-0005-0000-0000-0000FA060000}"/>
    <cellStyle name="Normal 2 9 2 3" xfId="790" xr:uid="{00000000-0005-0000-0000-0000FB060000}"/>
    <cellStyle name="Normal 2 9 2 3 2" xfId="1226" xr:uid="{00000000-0005-0000-0000-0000FC060000}"/>
    <cellStyle name="Normal 2 9 2 3 2 2" xfId="2102" xr:uid="{00000000-0005-0000-0000-0000FD060000}"/>
    <cellStyle name="Normal 2 9 2 3 2 2 2" xfId="3861" xr:uid="{00000000-0005-0000-0000-0000FE060000}"/>
    <cellStyle name="Normal 2 9 2 3 2 3" xfId="2985" xr:uid="{00000000-0005-0000-0000-0000FF060000}"/>
    <cellStyle name="Normal 2 9 2 3 3" xfId="1666" xr:uid="{00000000-0005-0000-0000-000000070000}"/>
    <cellStyle name="Normal 2 9 2 3 3 2" xfId="3425" xr:uid="{00000000-0005-0000-0000-000001070000}"/>
    <cellStyle name="Normal 2 9 2 3 4" xfId="2549" xr:uid="{00000000-0005-0000-0000-000002070000}"/>
    <cellStyle name="Normal 2 9 2 4" xfId="1004" xr:uid="{00000000-0005-0000-0000-000003070000}"/>
    <cellStyle name="Normal 2 9 2 4 2" xfId="1880" xr:uid="{00000000-0005-0000-0000-000004070000}"/>
    <cellStyle name="Normal 2 9 2 4 2 2" xfId="3639" xr:uid="{00000000-0005-0000-0000-000005070000}"/>
    <cellStyle name="Normal 2 9 2 4 3" xfId="2763" xr:uid="{00000000-0005-0000-0000-000006070000}"/>
    <cellStyle name="Normal 2 9 2 5" xfId="1444" xr:uid="{00000000-0005-0000-0000-000007070000}"/>
    <cellStyle name="Normal 2 9 2 5 2" xfId="3203" xr:uid="{00000000-0005-0000-0000-000008070000}"/>
    <cellStyle name="Normal 2 9 2 6" xfId="2327" xr:uid="{00000000-0005-0000-0000-000009070000}"/>
    <cellStyle name="Normal 2 9 3" xfId="603" xr:uid="{00000000-0005-0000-0000-00000A070000}"/>
    <cellStyle name="Normal 2 9 3 2" xfId="791" xr:uid="{00000000-0005-0000-0000-00000B070000}"/>
    <cellStyle name="Normal 2 9 3 2 2" xfId="1227" xr:uid="{00000000-0005-0000-0000-00000C070000}"/>
    <cellStyle name="Normal 2 9 3 2 2 2" xfId="2103" xr:uid="{00000000-0005-0000-0000-00000D070000}"/>
    <cellStyle name="Normal 2 9 3 2 2 2 2" xfId="3862" xr:uid="{00000000-0005-0000-0000-00000E070000}"/>
    <cellStyle name="Normal 2 9 3 2 2 3" xfId="2986" xr:uid="{00000000-0005-0000-0000-00000F070000}"/>
    <cellStyle name="Normal 2 9 3 2 3" xfId="1667" xr:uid="{00000000-0005-0000-0000-000010070000}"/>
    <cellStyle name="Normal 2 9 3 2 3 2" xfId="3426" xr:uid="{00000000-0005-0000-0000-000011070000}"/>
    <cellStyle name="Normal 2 9 3 2 4" xfId="2550" xr:uid="{00000000-0005-0000-0000-000012070000}"/>
    <cellStyle name="Normal 2 9 3 3" xfId="1057" xr:uid="{00000000-0005-0000-0000-000013070000}"/>
    <cellStyle name="Normal 2 9 3 3 2" xfId="1933" xr:uid="{00000000-0005-0000-0000-000014070000}"/>
    <cellStyle name="Normal 2 9 3 3 2 2" xfId="3692" xr:uid="{00000000-0005-0000-0000-000015070000}"/>
    <cellStyle name="Normal 2 9 3 3 3" xfId="2816" xr:uid="{00000000-0005-0000-0000-000016070000}"/>
    <cellStyle name="Normal 2 9 3 4" xfId="1497" xr:uid="{00000000-0005-0000-0000-000017070000}"/>
    <cellStyle name="Normal 2 9 3 4 2" xfId="3256" xr:uid="{00000000-0005-0000-0000-000018070000}"/>
    <cellStyle name="Normal 2 9 3 5" xfId="2380" xr:uid="{00000000-0005-0000-0000-000019070000}"/>
    <cellStyle name="Normal 2 9 4" xfId="792" xr:uid="{00000000-0005-0000-0000-00001A070000}"/>
    <cellStyle name="Normal 2 9 4 2" xfId="1228" xr:uid="{00000000-0005-0000-0000-00001B070000}"/>
    <cellStyle name="Normal 2 9 4 2 2" xfId="2104" xr:uid="{00000000-0005-0000-0000-00001C070000}"/>
    <cellStyle name="Normal 2 9 4 2 2 2" xfId="3863" xr:uid="{00000000-0005-0000-0000-00001D070000}"/>
    <cellStyle name="Normal 2 9 4 2 3" xfId="2987" xr:uid="{00000000-0005-0000-0000-00001E070000}"/>
    <cellStyle name="Normal 2 9 4 3" xfId="1668" xr:uid="{00000000-0005-0000-0000-00001F070000}"/>
    <cellStyle name="Normal 2 9 4 3 2" xfId="3427" xr:uid="{00000000-0005-0000-0000-000020070000}"/>
    <cellStyle name="Normal 2 9 4 4" xfId="2551" xr:uid="{00000000-0005-0000-0000-000021070000}"/>
    <cellStyle name="Normal 2 9 5" xfId="949" xr:uid="{00000000-0005-0000-0000-000022070000}"/>
    <cellStyle name="Normal 2 9 5 2" xfId="1825" xr:uid="{00000000-0005-0000-0000-000023070000}"/>
    <cellStyle name="Normal 2 9 5 2 2" xfId="3584" xr:uid="{00000000-0005-0000-0000-000024070000}"/>
    <cellStyle name="Normal 2 9 5 3" xfId="2708" xr:uid="{00000000-0005-0000-0000-000025070000}"/>
    <cellStyle name="Normal 2 9 6" xfId="1389" xr:uid="{00000000-0005-0000-0000-000026070000}"/>
    <cellStyle name="Normal 2 9 6 2" xfId="3148" xr:uid="{00000000-0005-0000-0000-000027070000}"/>
    <cellStyle name="Normal 2 9 7" xfId="2272" xr:uid="{00000000-0005-0000-0000-000028070000}"/>
    <cellStyle name="Normal 20" xfId="98" xr:uid="{00000000-0005-0000-0000-000029070000}"/>
    <cellStyle name="Normal 21" xfId="99" xr:uid="{00000000-0005-0000-0000-00002A070000}"/>
    <cellStyle name="Normal 22" xfId="100" xr:uid="{00000000-0005-0000-0000-00002B070000}"/>
    <cellStyle name="Normal 23" xfId="101" xr:uid="{00000000-0005-0000-0000-00002C070000}"/>
    <cellStyle name="Normal 24" xfId="102" xr:uid="{00000000-0005-0000-0000-00002D070000}"/>
    <cellStyle name="Normal 25" xfId="103" xr:uid="{00000000-0005-0000-0000-00002E070000}"/>
    <cellStyle name="Normal 26" xfId="488" xr:uid="{00000000-0005-0000-0000-00002F070000}"/>
    <cellStyle name="Normal 26 2" xfId="550" xr:uid="{00000000-0005-0000-0000-000030070000}"/>
    <cellStyle name="Normal 26 2 2" xfId="659" xr:uid="{00000000-0005-0000-0000-000031070000}"/>
    <cellStyle name="Normal 26 2 2 2" xfId="793" xr:uid="{00000000-0005-0000-0000-000032070000}"/>
    <cellStyle name="Normal 26 2 2 2 2" xfId="1229" xr:uid="{00000000-0005-0000-0000-000033070000}"/>
    <cellStyle name="Normal 26 2 2 2 2 2" xfId="2105" xr:uid="{00000000-0005-0000-0000-000034070000}"/>
    <cellStyle name="Normal 26 2 2 2 2 2 2" xfId="3864" xr:uid="{00000000-0005-0000-0000-000035070000}"/>
    <cellStyle name="Normal 26 2 2 2 2 3" xfId="2988" xr:uid="{00000000-0005-0000-0000-000036070000}"/>
    <cellStyle name="Normal 26 2 2 2 3" xfId="1669" xr:uid="{00000000-0005-0000-0000-000037070000}"/>
    <cellStyle name="Normal 26 2 2 2 3 2" xfId="3428" xr:uid="{00000000-0005-0000-0000-000038070000}"/>
    <cellStyle name="Normal 26 2 2 2 4" xfId="2552" xr:uid="{00000000-0005-0000-0000-000039070000}"/>
    <cellStyle name="Normal 26 2 2 3" xfId="1113" xr:uid="{00000000-0005-0000-0000-00003A070000}"/>
    <cellStyle name="Normal 26 2 2 3 2" xfId="1989" xr:uid="{00000000-0005-0000-0000-00003B070000}"/>
    <cellStyle name="Normal 26 2 2 3 2 2" xfId="3748" xr:uid="{00000000-0005-0000-0000-00003C070000}"/>
    <cellStyle name="Normal 26 2 2 3 3" xfId="2872" xr:uid="{00000000-0005-0000-0000-00003D070000}"/>
    <cellStyle name="Normal 26 2 2 4" xfId="1553" xr:uid="{00000000-0005-0000-0000-00003E070000}"/>
    <cellStyle name="Normal 26 2 2 4 2" xfId="3312" xr:uid="{00000000-0005-0000-0000-00003F070000}"/>
    <cellStyle name="Normal 26 2 2 5" xfId="2436" xr:uid="{00000000-0005-0000-0000-000040070000}"/>
    <cellStyle name="Normal 26 2 3" xfId="794" xr:uid="{00000000-0005-0000-0000-000041070000}"/>
    <cellStyle name="Normal 26 2 3 2" xfId="1230" xr:uid="{00000000-0005-0000-0000-000042070000}"/>
    <cellStyle name="Normal 26 2 3 2 2" xfId="2106" xr:uid="{00000000-0005-0000-0000-000043070000}"/>
    <cellStyle name="Normal 26 2 3 2 2 2" xfId="3865" xr:uid="{00000000-0005-0000-0000-000044070000}"/>
    <cellStyle name="Normal 26 2 3 2 3" xfId="2989" xr:uid="{00000000-0005-0000-0000-000045070000}"/>
    <cellStyle name="Normal 26 2 3 3" xfId="1670" xr:uid="{00000000-0005-0000-0000-000046070000}"/>
    <cellStyle name="Normal 26 2 3 3 2" xfId="3429" xr:uid="{00000000-0005-0000-0000-000047070000}"/>
    <cellStyle name="Normal 26 2 3 4" xfId="2553" xr:uid="{00000000-0005-0000-0000-000048070000}"/>
    <cellStyle name="Normal 26 2 4" xfId="1005" xr:uid="{00000000-0005-0000-0000-000049070000}"/>
    <cellStyle name="Normal 26 2 4 2" xfId="1881" xr:uid="{00000000-0005-0000-0000-00004A070000}"/>
    <cellStyle name="Normal 26 2 4 2 2" xfId="3640" xr:uid="{00000000-0005-0000-0000-00004B070000}"/>
    <cellStyle name="Normal 26 2 4 3" xfId="2764" xr:uid="{00000000-0005-0000-0000-00004C070000}"/>
    <cellStyle name="Normal 26 2 5" xfId="1445" xr:uid="{00000000-0005-0000-0000-00004D070000}"/>
    <cellStyle name="Normal 26 2 5 2" xfId="3204" xr:uid="{00000000-0005-0000-0000-00004E070000}"/>
    <cellStyle name="Normal 26 2 6" xfId="2328" xr:uid="{00000000-0005-0000-0000-00004F070000}"/>
    <cellStyle name="Normal 26 3" xfId="604" xr:uid="{00000000-0005-0000-0000-000050070000}"/>
    <cellStyle name="Normal 26 3 2" xfId="795" xr:uid="{00000000-0005-0000-0000-000051070000}"/>
    <cellStyle name="Normal 26 3 2 2" xfId="1231" xr:uid="{00000000-0005-0000-0000-000052070000}"/>
    <cellStyle name="Normal 26 3 2 2 2" xfId="2107" xr:uid="{00000000-0005-0000-0000-000053070000}"/>
    <cellStyle name="Normal 26 3 2 2 2 2" xfId="3866" xr:uid="{00000000-0005-0000-0000-000054070000}"/>
    <cellStyle name="Normal 26 3 2 2 3" xfId="2990" xr:uid="{00000000-0005-0000-0000-000055070000}"/>
    <cellStyle name="Normal 26 3 2 3" xfId="1671" xr:uid="{00000000-0005-0000-0000-000056070000}"/>
    <cellStyle name="Normal 26 3 2 3 2" xfId="3430" xr:uid="{00000000-0005-0000-0000-000057070000}"/>
    <cellStyle name="Normal 26 3 2 4" xfId="2554" xr:uid="{00000000-0005-0000-0000-000058070000}"/>
    <cellStyle name="Normal 26 3 3" xfId="1058" xr:uid="{00000000-0005-0000-0000-000059070000}"/>
    <cellStyle name="Normal 26 3 3 2" xfId="1934" xr:uid="{00000000-0005-0000-0000-00005A070000}"/>
    <cellStyle name="Normal 26 3 3 2 2" xfId="3693" xr:uid="{00000000-0005-0000-0000-00005B070000}"/>
    <cellStyle name="Normal 26 3 3 3" xfId="2817" xr:uid="{00000000-0005-0000-0000-00005C070000}"/>
    <cellStyle name="Normal 26 3 4" xfId="1498" xr:uid="{00000000-0005-0000-0000-00005D070000}"/>
    <cellStyle name="Normal 26 3 4 2" xfId="3257" xr:uid="{00000000-0005-0000-0000-00005E070000}"/>
    <cellStyle name="Normal 26 3 5" xfId="2381" xr:uid="{00000000-0005-0000-0000-00005F070000}"/>
    <cellStyle name="Normal 26 4" xfId="796" xr:uid="{00000000-0005-0000-0000-000060070000}"/>
    <cellStyle name="Normal 26 4 2" xfId="1232" xr:uid="{00000000-0005-0000-0000-000061070000}"/>
    <cellStyle name="Normal 26 4 2 2" xfId="2108" xr:uid="{00000000-0005-0000-0000-000062070000}"/>
    <cellStyle name="Normal 26 4 2 2 2" xfId="3867" xr:uid="{00000000-0005-0000-0000-000063070000}"/>
    <cellStyle name="Normal 26 4 2 3" xfId="2991" xr:uid="{00000000-0005-0000-0000-000064070000}"/>
    <cellStyle name="Normal 26 4 3" xfId="1672" xr:uid="{00000000-0005-0000-0000-000065070000}"/>
    <cellStyle name="Normal 26 4 3 2" xfId="3431" xr:uid="{00000000-0005-0000-0000-000066070000}"/>
    <cellStyle name="Normal 26 4 4" xfId="2555" xr:uid="{00000000-0005-0000-0000-000067070000}"/>
    <cellStyle name="Normal 26 5" xfId="950" xr:uid="{00000000-0005-0000-0000-000068070000}"/>
    <cellStyle name="Normal 26 5 2" xfId="1826" xr:uid="{00000000-0005-0000-0000-000069070000}"/>
    <cellStyle name="Normal 26 5 2 2" xfId="3585" xr:uid="{00000000-0005-0000-0000-00006A070000}"/>
    <cellStyle name="Normal 26 5 3" xfId="2709" xr:uid="{00000000-0005-0000-0000-00006B070000}"/>
    <cellStyle name="Normal 26 6" xfId="1390" xr:uid="{00000000-0005-0000-0000-00006C070000}"/>
    <cellStyle name="Normal 26 6 2" xfId="3149" xr:uid="{00000000-0005-0000-0000-00006D070000}"/>
    <cellStyle name="Normal 26 7" xfId="2273" xr:uid="{00000000-0005-0000-0000-00006E070000}"/>
    <cellStyle name="Normal 27" xfId="104" xr:uid="{00000000-0005-0000-0000-00006F070000}"/>
    <cellStyle name="Normal 28" xfId="489" xr:uid="{00000000-0005-0000-0000-000070070000}"/>
    <cellStyle name="Normal 28 2" xfId="551" xr:uid="{00000000-0005-0000-0000-000071070000}"/>
    <cellStyle name="Normal 28 2 2" xfId="660" xr:uid="{00000000-0005-0000-0000-000072070000}"/>
    <cellStyle name="Normal 28 2 2 2" xfId="797" xr:uid="{00000000-0005-0000-0000-000073070000}"/>
    <cellStyle name="Normal 28 2 2 2 2" xfId="1233" xr:uid="{00000000-0005-0000-0000-000074070000}"/>
    <cellStyle name="Normal 28 2 2 2 2 2" xfId="2109" xr:uid="{00000000-0005-0000-0000-000075070000}"/>
    <cellStyle name="Normal 28 2 2 2 2 2 2" xfId="3868" xr:uid="{00000000-0005-0000-0000-000076070000}"/>
    <cellStyle name="Normal 28 2 2 2 2 3" xfId="2992" xr:uid="{00000000-0005-0000-0000-000077070000}"/>
    <cellStyle name="Normal 28 2 2 2 3" xfId="1673" xr:uid="{00000000-0005-0000-0000-000078070000}"/>
    <cellStyle name="Normal 28 2 2 2 3 2" xfId="3432" xr:uid="{00000000-0005-0000-0000-000079070000}"/>
    <cellStyle name="Normal 28 2 2 2 4" xfId="2556" xr:uid="{00000000-0005-0000-0000-00007A070000}"/>
    <cellStyle name="Normal 28 2 2 3" xfId="1114" xr:uid="{00000000-0005-0000-0000-00007B070000}"/>
    <cellStyle name="Normal 28 2 2 3 2" xfId="1990" xr:uid="{00000000-0005-0000-0000-00007C070000}"/>
    <cellStyle name="Normal 28 2 2 3 2 2" xfId="3749" xr:uid="{00000000-0005-0000-0000-00007D070000}"/>
    <cellStyle name="Normal 28 2 2 3 3" xfId="2873" xr:uid="{00000000-0005-0000-0000-00007E070000}"/>
    <cellStyle name="Normal 28 2 2 4" xfId="1554" xr:uid="{00000000-0005-0000-0000-00007F070000}"/>
    <cellStyle name="Normal 28 2 2 4 2" xfId="3313" xr:uid="{00000000-0005-0000-0000-000080070000}"/>
    <cellStyle name="Normal 28 2 2 5" xfId="2437" xr:uid="{00000000-0005-0000-0000-000081070000}"/>
    <cellStyle name="Normal 28 2 3" xfId="798" xr:uid="{00000000-0005-0000-0000-000082070000}"/>
    <cellStyle name="Normal 28 2 3 2" xfId="1234" xr:uid="{00000000-0005-0000-0000-000083070000}"/>
    <cellStyle name="Normal 28 2 3 2 2" xfId="2110" xr:uid="{00000000-0005-0000-0000-000084070000}"/>
    <cellStyle name="Normal 28 2 3 2 2 2" xfId="3869" xr:uid="{00000000-0005-0000-0000-000085070000}"/>
    <cellStyle name="Normal 28 2 3 2 3" xfId="2993" xr:uid="{00000000-0005-0000-0000-000086070000}"/>
    <cellStyle name="Normal 28 2 3 3" xfId="1674" xr:uid="{00000000-0005-0000-0000-000087070000}"/>
    <cellStyle name="Normal 28 2 3 3 2" xfId="3433" xr:uid="{00000000-0005-0000-0000-000088070000}"/>
    <cellStyle name="Normal 28 2 3 4" xfId="2557" xr:uid="{00000000-0005-0000-0000-000089070000}"/>
    <cellStyle name="Normal 28 2 4" xfId="1006" xr:uid="{00000000-0005-0000-0000-00008A070000}"/>
    <cellStyle name="Normal 28 2 4 2" xfId="1882" xr:uid="{00000000-0005-0000-0000-00008B070000}"/>
    <cellStyle name="Normal 28 2 4 2 2" xfId="3641" xr:uid="{00000000-0005-0000-0000-00008C070000}"/>
    <cellStyle name="Normal 28 2 4 3" xfId="2765" xr:uid="{00000000-0005-0000-0000-00008D070000}"/>
    <cellStyle name="Normal 28 2 5" xfId="1446" xr:uid="{00000000-0005-0000-0000-00008E070000}"/>
    <cellStyle name="Normal 28 2 5 2" xfId="3205" xr:uid="{00000000-0005-0000-0000-00008F070000}"/>
    <cellStyle name="Normal 28 2 6" xfId="2329" xr:uid="{00000000-0005-0000-0000-000090070000}"/>
    <cellStyle name="Normal 28 3" xfId="605" xr:uid="{00000000-0005-0000-0000-000091070000}"/>
    <cellStyle name="Normal 28 3 2" xfId="799" xr:uid="{00000000-0005-0000-0000-000092070000}"/>
    <cellStyle name="Normal 28 3 2 2" xfId="1235" xr:uid="{00000000-0005-0000-0000-000093070000}"/>
    <cellStyle name="Normal 28 3 2 2 2" xfId="2111" xr:uid="{00000000-0005-0000-0000-000094070000}"/>
    <cellStyle name="Normal 28 3 2 2 2 2" xfId="3870" xr:uid="{00000000-0005-0000-0000-000095070000}"/>
    <cellStyle name="Normal 28 3 2 2 3" xfId="2994" xr:uid="{00000000-0005-0000-0000-000096070000}"/>
    <cellStyle name="Normal 28 3 2 3" xfId="1675" xr:uid="{00000000-0005-0000-0000-000097070000}"/>
    <cellStyle name="Normal 28 3 2 3 2" xfId="3434" xr:uid="{00000000-0005-0000-0000-000098070000}"/>
    <cellStyle name="Normal 28 3 2 4" xfId="2558" xr:uid="{00000000-0005-0000-0000-000099070000}"/>
    <cellStyle name="Normal 28 3 3" xfId="1059" xr:uid="{00000000-0005-0000-0000-00009A070000}"/>
    <cellStyle name="Normal 28 3 3 2" xfId="1935" xr:uid="{00000000-0005-0000-0000-00009B070000}"/>
    <cellStyle name="Normal 28 3 3 2 2" xfId="3694" xr:uid="{00000000-0005-0000-0000-00009C070000}"/>
    <cellStyle name="Normal 28 3 3 3" xfId="2818" xr:uid="{00000000-0005-0000-0000-00009D070000}"/>
    <cellStyle name="Normal 28 3 4" xfId="1499" xr:uid="{00000000-0005-0000-0000-00009E070000}"/>
    <cellStyle name="Normal 28 3 4 2" xfId="3258" xr:uid="{00000000-0005-0000-0000-00009F070000}"/>
    <cellStyle name="Normal 28 3 5" xfId="2382" xr:uid="{00000000-0005-0000-0000-0000A0070000}"/>
    <cellStyle name="Normal 28 4" xfId="800" xr:uid="{00000000-0005-0000-0000-0000A1070000}"/>
    <cellStyle name="Normal 28 4 2" xfId="1236" xr:uid="{00000000-0005-0000-0000-0000A2070000}"/>
    <cellStyle name="Normal 28 4 2 2" xfId="2112" xr:uid="{00000000-0005-0000-0000-0000A3070000}"/>
    <cellStyle name="Normal 28 4 2 2 2" xfId="3871" xr:uid="{00000000-0005-0000-0000-0000A4070000}"/>
    <cellStyle name="Normal 28 4 2 3" xfId="2995" xr:uid="{00000000-0005-0000-0000-0000A5070000}"/>
    <cellStyle name="Normal 28 4 3" xfId="1676" xr:uid="{00000000-0005-0000-0000-0000A6070000}"/>
    <cellStyle name="Normal 28 4 3 2" xfId="3435" xr:uid="{00000000-0005-0000-0000-0000A7070000}"/>
    <cellStyle name="Normal 28 4 4" xfId="2559" xr:uid="{00000000-0005-0000-0000-0000A8070000}"/>
    <cellStyle name="Normal 28 5" xfId="951" xr:uid="{00000000-0005-0000-0000-0000A9070000}"/>
    <cellStyle name="Normal 28 5 2" xfId="1827" xr:uid="{00000000-0005-0000-0000-0000AA070000}"/>
    <cellStyle name="Normal 28 5 2 2" xfId="3586" xr:uid="{00000000-0005-0000-0000-0000AB070000}"/>
    <cellStyle name="Normal 28 5 3" xfId="2710" xr:uid="{00000000-0005-0000-0000-0000AC070000}"/>
    <cellStyle name="Normal 28 6" xfId="1391" xr:uid="{00000000-0005-0000-0000-0000AD070000}"/>
    <cellStyle name="Normal 28 6 2" xfId="3150" xr:uid="{00000000-0005-0000-0000-0000AE070000}"/>
    <cellStyle name="Normal 28 7" xfId="2274" xr:uid="{00000000-0005-0000-0000-0000AF070000}"/>
    <cellStyle name="Normal 29" xfId="490" xr:uid="{00000000-0005-0000-0000-0000B0070000}"/>
    <cellStyle name="Normal 29 2" xfId="552" xr:uid="{00000000-0005-0000-0000-0000B1070000}"/>
    <cellStyle name="Normal 29 2 2" xfId="661" xr:uid="{00000000-0005-0000-0000-0000B2070000}"/>
    <cellStyle name="Normal 29 2 2 2" xfId="801" xr:uid="{00000000-0005-0000-0000-0000B3070000}"/>
    <cellStyle name="Normal 29 2 2 2 2" xfId="1237" xr:uid="{00000000-0005-0000-0000-0000B4070000}"/>
    <cellStyle name="Normal 29 2 2 2 2 2" xfId="2113" xr:uid="{00000000-0005-0000-0000-0000B5070000}"/>
    <cellStyle name="Normal 29 2 2 2 2 2 2" xfId="3872" xr:uid="{00000000-0005-0000-0000-0000B6070000}"/>
    <cellStyle name="Normal 29 2 2 2 2 3" xfId="2996" xr:uid="{00000000-0005-0000-0000-0000B7070000}"/>
    <cellStyle name="Normal 29 2 2 2 3" xfId="1677" xr:uid="{00000000-0005-0000-0000-0000B8070000}"/>
    <cellStyle name="Normal 29 2 2 2 3 2" xfId="3436" xr:uid="{00000000-0005-0000-0000-0000B9070000}"/>
    <cellStyle name="Normal 29 2 2 2 4" xfId="2560" xr:uid="{00000000-0005-0000-0000-0000BA070000}"/>
    <cellStyle name="Normal 29 2 2 3" xfId="1115" xr:uid="{00000000-0005-0000-0000-0000BB070000}"/>
    <cellStyle name="Normal 29 2 2 3 2" xfId="1991" xr:uid="{00000000-0005-0000-0000-0000BC070000}"/>
    <cellStyle name="Normal 29 2 2 3 2 2" xfId="3750" xr:uid="{00000000-0005-0000-0000-0000BD070000}"/>
    <cellStyle name="Normal 29 2 2 3 3" xfId="2874" xr:uid="{00000000-0005-0000-0000-0000BE070000}"/>
    <cellStyle name="Normal 29 2 2 4" xfId="1555" xr:uid="{00000000-0005-0000-0000-0000BF070000}"/>
    <cellStyle name="Normal 29 2 2 4 2" xfId="3314" xr:uid="{00000000-0005-0000-0000-0000C0070000}"/>
    <cellStyle name="Normal 29 2 2 5" xfId="2438" xr:uid="{00000000-0005-0000-0000-0000C1070000}"/>
    <cellStyle name="Normal 29 2 3" xfId="802" xr:uid="{00000000-0005-0000-0000-0000C2070000}"/>
    <cellStyle name="Normal 29 2 3 2" xfId="1238" xr:uid="{00000000-0005-0000-0000-0000C3070000}"/>
    <cellStyle name="Normal 29 2 3 2 2" xfId="2114" xr:uid="{00000000-0005-0000-0000-0000C4070000}"/>
    <cellStyle name="Normal 29 2 3 2 2 2" xfId="3873" xr:uid="{00000000-0005-0000-0000-0000C5070000}"/>
    <cellStyle name="Normal 29 2 3 2 3" xfId="2997" xr:uid="{00000000-0005-0000-0000-0000C6070000}"/>
    <cellStyle name="Normal 29 2 3 3" xfId="1678" xr:uid="{00000000-0005-0000-0000-0000C7070000}"/>
    <cellStyle name="Normal 29 2 3 3 2" xfId="3437" xr:uid="{00000000-0005-0000-0000-0000C8070000}"/>
    <cellStyle name="Normal 29 2 3 4" xfId="2561" xr:uid="{00000000-0005-0000-0000-0000C9070000}"/>
    <cellStyle name="Normal 29 2 4" xfId="1007" xr:uid="{00000000-0005-0000-0000-0000CA070000}"/>
    <cellStyle name="Normal 29 2 4 2" xfId="1883" xr:uid="{00000000-0005-0000-0000-0000CB070000}"/>
    <cellStyle name="Normal 29 2 4 2 2" xfId="3642" xr:uid="{00000000-0005-0000-0000-0000CC070000}"/>
    <cellStyle name="Normal 29 2 4 3" xfId="2766" xr:uid="{00000000-0005-0000-0000-0000CD070000}"/>
    <cellStyle name="Normal 29 2 5" xfId="1447" xr:uid="{00000000-0005-0000-0000-0000CE070000}"/>
    <cellStyle name="Normal 29 2 5 2" xfId="3206" xr:uid="{00000000-0005-0000-0000-0000CF070000}"/>
    <cellStyle name="Normal 29 2 6" xfId="2330" xr:uid="{00000000-0005-0000-0000-0000D0070000}"/>
    <cellStyle name="Normal 29 3" xfId="606" xr:uid="{00000000-0005-0000-0000-0000D1070000}"/>
    <cellStyle name="Normal 29 3 2" xfId="803" xr:uid="{00000000-0005-0000-0000-0000D2070000}"/>
    <cellStyle name="Normal 29 3 2 2" xfId="1239" xr:uid="{00000000-0005-0000-0000-0000D3070000}"/>
    <cellStyle name="Normal 29 3 2 2 2" xfId="2115" xr:uid="{00000000-0005-0000-0000-0000D4070000}"/>
    <cellStyle name="Normal 29 3 2 2 2 2" xfId="3874" xr:uid="{00000000-0005-0000-0000-0000D5070000}"/>
    <cellStyle name="Normal 29 3 2 2 3" xfId="2998" xr:uid="{00000000-0005-0000-0000-0000D6070000}"/>
    <cellStyle name="Normal 29 3 2 3" xfId="1679" xr:uid="{00000000-0005-0000-0000-0000D7070000}"/>
    <cellStyle name="Normal 29 3 2 3 2" xfId="3438" xr:uid="{00000000-0005-0000-0000-0000D8070000}"/>
    <cellStyle name="Normal 29 3 2 4" xfId="2562" xr:uid="{00000000-0005-0000-0000-0000D9070000}"/>
    <cellStyle name="Normal 29 3 3" xfId="1060" xr:uid="{00000000-0005-0000-0000-0000DA070000}"/>
    <cellStyle name="Normal 29 3 3 2" xfId="1936" xr:uid="{00000000-0005-0000-0000-0000DB070000}"/>
    <cellStyle name="Normal 29 3 3 2 2" xfId="3695" xr:uid="{00000000-0005-0000-0000-0000DC070000}"/>
    <cellStyle name="Normal 29 3 3 3" xfId="2819" xr:uid="{00000000-0005-0000-0000-0000DD070000}"/>
    <cellStyle name="Normal 29 3 4" xfId="1500" xr:uid="{00000000-0005-0000-0000-0000DE070000}"/>
    <cellStyle name="Normal 29 3 4 2" xfId="3259" xr:uid="{00000000-0005-0000-0000-0000DF070000}"/>
    <cellStyle name="Normal 29 3 5" xfId="2383" xr:uid="{00000000-0005-0000-0000-0000E0070000}"/>
    <cellStyle name="Normal 29 4" xfId="804" xr:uid="{00000000-0005-0000-0000-0000E1070000}"/>
    <cellStyle name="Normal 29 4 2" xfId="1240" xr:uid="{00000000-0005-0000-0000-0000E2070000}"/>
    <cellStyle name="Normal 29 4 2 2" xfId="2116" xr:uid="{00000000-0005-0000-0000-0000E3070000}"/>
    <cellStyle name="Normal 29 4 2 2 2" xfId="3875" xr:uid="{00000000-0005-0000-0000-0000E4070000}"/>
    <cellStyle name="Normal 29 4 2 3" xfId="2999" xr:uid="{00000000-0005-0000-0000-0000E5070000}"/>
    <cellStyle name="Normal 29 4 3" xfId="1680" xr:uid="{00000000-0005-0000-0000-0000E6070000}"/>
    <cellStyle name="Normal 29 4 3 2" xfId="3439" xr:uid="{00000000-0005-0000-0000-0000E7070000}"/>
    <cellStyle name="Normal 29 4 4" xfId="2563" xr:uid="{00000000-0005-0000-0000-0000E8070000}"/>
    <cellStyle name="Normal 29 5" xfId="952" xr:uid="{00000000-0005-0000-0000-0000E9070000}"/>
    <cellStyle name="Normal 29 5 2" xfId="1828" xr:uid="{00000000-0005-0000-0000-0000EA070000}"/>
    <cellStyle name="Normal 29 5 2 2" xfId="3587" xr:uid="{00000000-0005-0000-0000-0000EB070000}"/>
    <cellStyle name="Normal 29 5 3" xfId="2711" xr:uid="{00000000-0005-0000-0000-0000EC070000}"/>
    <cellStyle name="Normal 29 6" xfId="1392" xr:uid="{00000000-0005-0000-0000-0000ED070000}"/>
    <cellStyle name="Normal 29 6 2" xfId="3151" xr:uid="{00000000-0005-0000-0000-0000EE070000}"/>
    <cellStyle name="Normal 29 7" xfId="2275" xr:uid="{00000000-0005-0000-0000-0000EF070000}"/>
    <cellStyle name="Normal 3" xfId="23" xr:uid="{00000000-0005-0000-0000-0000F0070000}"/>
    <cellStyle name="Normal 3 10" xfId="2247" xr:uid="{00000000-0005-0000-0000-0000F1070000}"/>
    <cellStyle name="Normal 3 2" xfId="65" xr:uid="{00000000-0005-0000-0000-0000F2070000}"/>
    <cellStyle name="Normal 3 2 10" xfId="2248" xr:uid="{00000000-0005-0000-0000-0000F3070000}"/>
    <cellStyle name="Normal 3 2 2" xfId="66" xr:uid="{00000000-0005-0000-0000-0000F4070000}"/>
    <cellStyle name="Normal 3 2 2 2" xfId="526" xr:uid="{00000000-0005-0000-0000-0000F5070000}"/>
    <cellStyle name="Normal 3 2 2 2 2" xfId="635" xr:uid="{00000000-0005-0000-0000-0000F6070000}"/>
    <cellStyle name="Normal 3 2 2 2 2 2" xfId="805" xr:uid="{00000000-0005-0000-0000-0000F7070000}"/>
    <cellStyle name="Normal 3 2 2 2 2 2 2" xfId="1241" xr:uid="{00000000-0005-0000-0000-0000F8070000}"/>
    <cellStyle name="Normal 3 2 2 2 2 2 2 2" xfId="2117" xr:uid="{00000000-0005-0000-0000-0000F9070000}"/>
    <cellStyle name="Normal 3 2 2 2 2 2 2 2 2" xfId="3876" xr:uid="{00000000-0005-0000-0000-0000FA070000}"/>
    <cellStyle name="Normal 3 2 2 2 2 2 2 3" xfId="3000" xr:uid="{00000000-0005-0000-0000-0000FB070000}"/>
    <cellStyle name="Normal 3 2 2 2 2 2 3" xfId="1681" xr:uid="{00000000-0005-0000-0000-0000FC070000}"/>
    <cellStyle name="Normal 3 2 2 2 2 2 3 2" xfId="3440" xr:uid="{00000000-0005-0000-0000-0000FD070000}"/>
    <cellStyle name="Normal 3 2 2 2 2 2 4" xfId="2564" xr:uid="{00000000-0005-0000-0000-0000FE070000}"/>
    <cellStyle name="Normal 3 2 2 2 2 3" xfId="1089" xr:uid="{00000000-0005-0000-0000-0000FF070000}"/>
    <cellStyle name="Normal 3 2 2 2 2 3 2" xfId="1965" xr:uid="{00000000-0005-0000-0000-000000080000}"/>
    <cellStyle name="Normal 3 2 2 2 2 3 2 2" xfId="3724" xr:uid="{00000000-0005-0000-0000-000001080000}"/>
    <cellStyle name="Normal 3 2 2 2 2 3 3" xfId="2848" xr:uid="{00000000-0005-0000-0000-000002080000}"/>
    <cellStyle name="Normal 3 2 2 2 2 4" xfId="1529" xr:uid="{00000000-0005-0000-0000-000003080000}"/>
    <cellStyle name="Normal 3 2 2 2 2 4 2" xfId="3288" xr:uid="{00000000-0005-0000-0000-000004080000}"/>
    <cellStyle name="Normal 3 2 2 2 2 5" xfId="2412" xr:uid="{00000000-0005-0000-0000-000005080000}"/>
    <cellStyle name="Normal 3 2 2 2 3" xfId="806" xr:uid="{00000000-0005-0000-0000-000006080000}"/>
    <cellStyle name="Normal 3 2 2 2 3 2" xfId="1242" xr:uid="{00000000-0005-0000-0000-000007080000}"/>
    <cellStyle name="Normal 3 2 2 2 3 2 2" xfId="2118" xr:uid="{00000000-0005-0000-0000-000008080000}"/>
    <cellStyle name="Normal 3 2 2 2 3 2 2 2" xfId="3877" xr:uid="{00000000-0005-0000-0000-000009080000}"/>
    <cellStyle name="Normal 3 2 2 2 3 2 3" xfId="3001" xr:uid="{00000000-0005-0000-0000-00000A080000}"/>
    <cellStyle name="Normal 3 2 2 2 3 3" xfId="1682" xr:uid="{00000000-0005-0000-0000-00000B080000}"/>
    <cellStyle name="Normal 3 2 2 2 3 3 2" xfId="3441" xr:uid="{00000000-0005-0000-0000-00000C080000}"/>
    <cellStyle name="Normal 3 2 2 2 3 4" xfId="2565" xr:uid="{00000000-0005-0000-0000-00000D080000}"/>
    <cellStyle name="Normal 3 2 2 2 4" xfId="981" xr:uid="{00000000-0005-0000-0000-00000E080000}"/>
    <cellStyle name="Normal 3 2 2 2 4 2" xfId="1857" xr:uid="{00000000-0005-0000-0000-00000F080000}"/>
    <cellStyle name="Normal 3 2 2 2 4 2 2" xfId="3616" xr:uid="{00000000-0005-0000-0000-000010080000}"/>
    <cellStyle name="Normal 3 2 2 2 4 3" xfId="2740" xr:uid="{00000000-0005-0000-0000-000011080000}"/>
    <cellStyle name="Normal 3 2 2 2 5" xfId="1421" xr:uid="{00000000-0005-0000-0000-000012080000}"/>
    <cellStyle name="Normal 3 2 2 2 5 2" xfId="3180" xr:uid="{00000000-0005-0000-0000-000013080000}"/>
    <cellStyle name="Normal 3 2 2 2 6" xfId="2304" xr:uid="{00000000-0005-0000-0000-000014080000}"/>
    <cellStyle name="Normal 3 2 2 3" xfId="580" xr:uid="{00000000-0005-0000-0000-000015080000}"/>
    <cellStyle name="Normal 3 2 2 3 2" xfId="807" xr:uid="{00000000-0005-0000-0000-000016080000}"/>
    <cellStyle name="Normal 3 2 2 3 2 2" xfId="1243" xr:uid="{00000000-0005-0000-0000-000017080000}"/>
    <cellStyle name="Normal 3 2 2 3 2 2 2" xfId="2119" xr:uid="{00000000-0005-0000-0000-000018080000}"/>
    <cellStyle name="Normal 3 2 2 3 2 2 2 2" xfId="3878" xr:uid="{00000000-0005-0000-0000-000019080000}"/>
    <cellStyle name="Normal 3 2 2 3 2 2 3" xfId="3002" xr:uid="{00000000-0005-0000-0000-00001A080000}"/>
    <cellStyle name="Normal 3 2 2 3 2 3" xfId="1683" xr:uid="{00000000-0005-0000-0000-00001B080000}"/>
    <cellStyle name="Normal 3 2 2 3 2 3 2" xfId="3442" xr:uid="{00000000-0005-0000-0000-00001C080000}"/>
    <cellStyle name="Normal 3 2 2 3 2 4" xfId="2566" xr:uid="{00000000-0005-0000-0000-00001D080000}"/>
    <cellStyle name="Normal 3 2 2 3 3" xfId="1034" xr:uid="{00000000-0005-0000-0000-00001E080000}"/>
    <cellStyle name="Normal 3 2 2 3 3 2" xfId="1910" xr:uid="{00000000-0005-0000-0000-00001F080000}"/>
    <cellStyle name="Normal 3 2 2 3 3 2 2" xfId="3669" xr:uid="{00000000-0005-0000-0000-000020080000}"/>
    <cellStyle name="Normal 3 2 2 3 3 3" xfId="2793" xr:uid="{00000000-0005-0000-0000-000021080000}"/>
    <cellStyle name="Normal 3 2 2 3 4" xfId="1474" xr:uid="{00000000-0005-0000-0000-000022080000}"/>
    <cellStyle name="Normal 3 2 2 3 4 2" xfId="3233" xr:uid="{00000000-0005-0000-0000-000023080000}"/>
    <cellStyle name="Normal 3 2 2 3 5" xfId="2357" xr:uid="{00000000-0005-0000-0000-000024080000}"/>
    <cellStyle name="Normal 3 2 2 4" xfId="808" xr:uid="{00000000-0005-0000-0000-000025080000}"/>
    <cellStyle name="Normal 3 2 2 4 2" xfId="1244" xr:uid="{00000000-0005-0000-0000-000026080000}"/>
    <cellStyle name="Normal 3 2 2 4 2 2" xfId="2120" xr:uid="{00000000-0005-0000-0000-000027080000}"/>
    <cellStyle name="Normal 3 2 2 4 2 2 2" xfId="3879" xr:uid="{00000000-0005-0000-0000-000028080000}"/>
    <cellStyle name="Normal 3 2 2 4 2 3" xfId="3003" xr:uid="{00000000-0005-0000-0000-000029080000}"/>
    <cellStyle name="Normal 3 2 2 4 3" xfId="1684" xr:uid="{00000000-0005-0000-0000-00002A080000}"/>
    <cellStyle name="Normal 3 2 2 4 3 2" xfId="3443" xr:uid="{00000000-0005-0000-0000-00002B080000}"/>
    <cellStyle name="Normal 3 2 2 4 4" xfId="2567" xr:uid="{00000000-0005-0000-0000-00002C080000}"/>
    <cellStyle name="Normal 3 2 2 5" xfId="926" xr:uid="{00000000-0005-0000-0000-00002D080000}"/>
    <cellStyle name="Normal 3 2 2 5 2" xfId="1802" xr:uid="{00000000-0005-0000-0000-00002E080000}"/>
    <cellStyle name="Normal 3 2 2 5 2 2" xfId="3561" xr:uid="{00000000-0005-0000-0000-00002F080000}"/>
    <cellStyle name="Normal 3 2 2 5 3" xfId="2685" xr:uid="{00000000-0005-0000-0000-000030080000}"/>
    <cellStyle name="Normal 3 2 2 6" xfId="1366" xr:uid="{00000000-0005-0000-0000-000031080000}"/>
    <cellStyle name="Normal 3 2 2 6 2" xfId="3125" xr:uid="{00000000-0005-0000-0000-000032080000}"/>
    <cellStyle name="Normal 3 2 2 7" xfId="2249" xr:uid="{00000000-0005-0000-0000-000033080000}"/>
    <cellStyle name="Normal 3 2 3" xfId="427" xr:uid="{00000000-0005-0000-0000-000034080000}"/>
    <cellStyle name="Normal 3 2 4" xfId="428" xr:uid="{00000000-0005-0000-0000-000035080000}"/>
    <cellStyle name="Normal 3 2 5" xfId="525" xr:uid="{00000000-0005-0000-0000-000036080000}"/>
    <cellStyle name="Normal 3 2 5 2" xfId="634" xr:uid="{00000000-0005-0000-0000-000037080000}"/>
    <cellStyle name="Normal 3 2 5 2 2" xfId="809" xr:uid="{00000000-0005-0000-0000-000038080000}"/>
    <cellStyle name="Normal 3 2 5 2 2 2" xfId="1245" xr:uid="{00000000-0005-0000-0000-000039080000}"/>
    <cellStyle name="Normal 3 2 5 2 2 2 2" xfId="2121" xr:uid="{00000000-0005-0000-0000-00003A080000}"/>
    <cellStyle name="Normal 3 2 5 2 2 2 2 2" xfId="3880" xr:uid="{00000000-0005-0000-0000-00003B080000}"/>
    <cellStyle name="Normal 3 2 5 2 2 2 3" xfId="3004" xr:uid="{00000000-0005-0000-0000-00003C080000}"/>
    <cellStyle name="Normal 3 2 5 2 2 3" xfId="1685" xr:uid="{00000000-0005-0000-0000-00003D080000}"/>
    <cellStyle name="Normal 3 2 5 2 2 3 2" xfId="3444" xr:uid="{00000000-0005-0000-0000-00003E080000}"/>
    <cellStyle name="Normal 3 2 5 2 2 4" xfId="2568" xr:uid="{00000000-0005-0000-0000-00003F080000}"/>
    <cellStyle name="Normal 3 2 5 2 3" xfId="1088" xr:uid="{00000000-0005-0000-0000-000040080000}"/>
    <cellStyle name="Normal 3 2 5 2 3 2" xfId="1964" xr:uid="{00000000-0005-0000-0000-000041080000}"/>
    <cellStyle name="Normal 3 2 5 2 3 2 2" xfId="3723" xr:uid="{00000000-0005-0000-0000-000042080000}"/>
    <cellStyle name="Normal 3 2 5 2 3 3" xfId="2847" xr:uid="{00000000-0005-0000-0000-000043080000}"/>
    <cellStyle name="Normal 3 2 5 2 4" xfId="1528" xr:uid="{00000000-0005-0000-0000-000044080000}"/>
    <cellStyle name="Normal 3 2 5 2 4 2" xfId="3287" xr:uid="{00000000-0005-0000-0000-000045080000}"/>
    <cellStyle name="Normal 3 2 5 2 5" xfId="2411" xr:uid="{00000000-0005-0000-0000-000046080000}"/>
    <cellStyle name="Normal 3 2 5 3" xfId="810" xr:uid="{00000000-0005-0000-0000-000047080000}"/>
    <cellStyle name="Normal 3 2 5 3 2" xfId="1246" xr:uid="{00000000-0005-0000-0000-000048080000}"/>
    <cellStyle name="Normal 3 2 5 3 2 2" xfId="2122" xr:uid="{00000000-0005-0000-0000-000049080000}"/>
    <cellStyle name="Normal 3 2 5 3 2 2 2" xfId="3881" xr:uid="{00000000-0005-0000-0000-00004A080000}"/>
    <cellStyle name="Normal 3 2 5 3 2 3" xfId="3005" xr:uid="{00000000-0005-0000-0000-00004B080000}"/>
    <cellStyle name="Normal 3 2 5 3 3" xfId="1686" xr:uid="{00000000-0005-0000-0000-00004C080000}"/>
    <cellStyle name="Normal 3 2 5 3 3 2" xfId="3445" xr:uid="{00000000-0005-0000-0000-00004D080000}"/>
    <cellStyle name="Normal 3 2 5 3 4" xfId="2569" xr:uid="{00000000-0005-0000-0000-00004E080000}"/>
    <cellStyle name="Normal 3 2 5 4" xfId="980" xr:uid="{00000000-0005-0000-0000-00004F080000}"/>
    <cellStyle name="Normal 3 2 5 4 2" xfId="1856" xr:uid="{00000000-0005-0000-0000-000050080000}"/>
    <cellStyle name="Normal 3 2 5 4 2 2" xfId="3615" xr:uid="{00000000-0005-0000-0000-000051080000}"/>
    <cellStyle name="Normal 3 2 5 4 3" xfId="2739" xr:uid="{00000000-0005-0000-0000-000052080000}"/>
    <cellStyle name="Normal 3 2 5 5" xfId="1420" xr:uid="{00000000-0005-0000-0000-000053080000}"/>
    <cellStyle name="Normal 3 2 5 5 2" xfId="3179" xr:uid="{00000000-0005-0000-0000-000054080000}"/>
    <cellStyle name="Normal 3 2 5 6" xfId="2303" xr:uid="{00000000-0005-0000-0000-000055080000}"/>
    <cellStyle name="Normal 3 2 6" xfId="579" xr:uid="{00000000-0005-0000-0000-000056080000}"/>
    <cellStyle name="Normal 3 2 6 2" xfId="811" xr:uid="{00000000-0005-0000-0000-000057080000}"/>
    <cellStyle name="Normal 3 2 6 2 2" xfId="1247" xr:uid="{00000000-0005-0000-0000-000058080000}"/>
    <cellStyle name="Normal 3 2 6 2 2 2" xfId="2123" xr:uid="{00000000-0005-0000-0000-000059080000}"/>
    <cellStyle name="Normal 3 2 6 2 2 2 2" xfId="3882" xr:uid="{00000000-0005-0000-0000-00005A080000}"/>
    <cellStyle name="Normal 3 2 6 2 2 3" xfId="3006" xr:uid="{00000000-0005-0000-0000-00005B080000}"/>
    <cellStyle name="Normal 3 2 6 2 3" xfId="1687" xr:uid="{00000000-0005-0000-0000-00005C080000}"/>
    <cellStyle name="Normal 3 2 6 2 3 2" xfId="3446" xr:uid="{00000000-0005-0000-0000-00005D080000}"/>
    <cellStyle name="Normal 3 2 6 2 4" xfId="2570" xr:uid="{00000000-0005-0000-0000-00005E080000}"/>
    <cellStyle name="Normal 3 2 6 3" xfId="1033" xr:uid="{00000000-0005-0000-0000-00005F080000}"/>
    <cellStyle name="Normal 3 2 6 3 2" xfId="1909" xr:uid="{00000000-0005-0000-0000-000060080000}"/>
    <cellStyle name="Normal 3 2 6 3 2 2" xfId="3668" xr:uid="{00000000-0005-0000-0000-000061080000}"/>
    <cellStyle name="Normal 3 2 6 3 3" xfId="2792" xr:uid="{00000000-0005-0000-0000-000062080000}"/>
    <cellStyle name="Normal 3 2 6 4" xfId="1473" xr:uid="{00000000-0005-0000-0000-000063080000}"/>
    <cellStyle name="Normal 3 2 6 4 2" xfId="3232" xr:uid="{00000000-0005-0000-0000-000064080000}"/>
    <cellStyle name="Normal 3 2 6 5" xfId="2356" xr:uid="{00000000-0005-0000-0000-000065080000}"/>
    <cellStyle name="Normal 3 2 7" xfId="812" xr:uid="{00000000-0005-0000-0000-000066080000}"/>
    <cellStyle name="Normal 3 2 7 2" xfId="1248" xr:uid="{00000000-0005-0000-0000-000067080000}"/>
    <cellStyle name="Normal 3 2 7 2 2" xfId="2124" xr:uid="{00000000-0005-0000-0000-000068080000}"/>
    <cellStyle name="Normal 3 2 7 2 2 2" xfId="3883" xr:uid="{00000000-0005-0000-0000-000069080000}"/>
    <cellStyle name="Normal 3 2 7 2 3" xfId="3007" xr:uid="{00000000-0005-0000-0000-00006A080000}"/>
    <cellStyle name="Normal 3 2 7 3" xfId="1688" xr:uid="{00000000-0005-0000-0000-00006B080000}"/>
    <cellStyle name="Normal 3 2 7 3 2" xfId="3447" xr:uid="{00000000-0005-0000-0000-00006C080000}"/>
    <cellStyle name="Normal 3 2 7 4" xfId="2571" xr:uid="{00000000-0005-0000-0000-00006D080000}"/>
    <cellStyle name="Normal 3 2 8" xfId="925" xr:uid="{00000000-0005-0000-0000-00006E080000}"/>
    <cellStyle name="Normal 3 2 8 2" xfId="1801" xr:uid="{00000000-0005-0000-0000-00006F080000}"/>
    <cellStyle name="Normal 3 2 8 2 2" xfId="3560" xr:uid="{00000000-0005-0000-0000-000070080000}"/>
    <cellStyle name="Normal 3 2 8 3" xfId="2684" xr:uid="{00000000-0005-0000-0000-000071080000}"/>
    <cellStyle name="Normal 3 2 9" xfId="1365" xr:uid="{00000000-0005-0000-0000-000072080000}"/>
    <cellStyle name="Normal 3 2 9 2" xfId="3124" xr:uid="{00000000-0005-0000-0000-000073080000}"/>
    <cellStyle name="Normal 3 3" xfId="429" xr:uid="{00000000-0005-0000-0000-000074080000}"/>
    <cellStyle name="Normal 3 4" xfId="430" xr:uid="{00000000-0005-0000-0000-000075080000}"/>
    <cellStyle name="Normal 3 5" xfId="524" xr:uid="{00000000-0005-0000-0000-000076080000}"/>
    <cellStyle name="Normal 3 5 2" xfId="633" xr:uid="{00000000-0005-0000-0000-000077080000}"/>
    <cellStyle name="Normal 3 5 2 2" xfId="813" xr:uid="{00000000-0005-0000-0000-000078080000}"/>
    <cellStyle name="Normal 3 5 2 2 2" xfId="1249" xr:uid="{00000000-0005-0000-0000-000079080000}"/>
    <cellStyle name="Normal 3 5 2 2 2 2" xfId="2125" xr:uid="{00000000-0005-0000-0000-00007A080000}"/>
    <cellStyle name="Normal 3 5 2 2 2 2 2" xfId="3884" xr:uid="{00000000-0005-0000-0000-00007B080000}"/>
    <cellStyle name="Normal 3 5 2 2 2 3" xfId="3008" xr:uid="{00000000-0005-0000-0000-00007C080000}"/>
    <cellStyle name="Normal 3 5 2 2 3" xfId="1689" xr:uid="{00000000-0005-0000-0000-00007D080000}"/>
    <cellStyle name="Normal 3 5 2 2 3 2" xfId="3448" xr:uid="{00000000-0005-0000-0000-00007E080000}"/>
    <cellStyle name="Normal 3 5 2 2 4" xfId="2572" xr:uid="{00000000-0005-0000-0000-00007F080000}"/>
    <cellStyle name="Normal 3 5 2 3" xfId="1087" xr:uid="{00000000-0005-0000-0000-000080080000}"/>
    <cellStyle name="Normal 3 5 2 3 2" xfId="1963" xr:uid="{00000000-0005-0000-0000-000081080000}"/>
    <cellStyle name="Normal 3 5 2 3 2 2" xfId="3722" xr:uid="{00000000-0005-0000-0000-000082080000}"/>
    <cellStyle name="Normal 3 5 2 3 3" xfId="2846" xr:uid="{00000000-0005-0000-0000-000083080000}"/>
    <cellStyle name="Normal 3 5 2 4" xfId="1527" xr:uid="{00000000-0005-0000-0000-000084080000}"/>
    <cellStyle name="Normal 3 5 2 4 2" xfId="3286" xr:uid="{00000000-0005-0000-0000-000085080000}"/>
    <cellStyle name="Normal 3 5 2 5" xfId="2410" xr:uid="{00000000-0005-0000-0000-000086080000}"/>
    <cellStyle name="Normal 3 5 3" xfId="814" xr:uid="{00000000-0005-0000-0000-000087080000}"/>
    <cellStyle name="Normal 3 5 3 2" xfId="1250" xr:uid="{00000000-0005-0000-0000-000088080000}"/>
    <cellStyle name="Normal 3 5 3 2 2" xfId="2126" xr:uid="{00000000-0005-0000-0000-000089080000}"/>
    <cellStyle name="Normal 3 5 3 2 2 2" xfId="3885" xr:uid="{00000000-0005-0000-0000-00008A080000}"/>
    <cellStyle name="Normal 3 5 3 2 3" xfId="3009" xr:uid="{00000000-0005-0000-0000-00008B080000}"/>
    <cellStyle name="Normal 3 5 3 3" xfId="1690" xr:uid="{00000000-0005-0000-0000-00008C080000}"/>
    <cellStyle name="Normal 3 5 3 3 2" xfId="3449" xr:uid="{00000000-0005-0000-0000-00008D080000}"/>
    <cellStyle name="Normal 3 5 3 4" xfId="2573" xr:uid="{00000000-0005-0000-0000-00008E080000}"/>
    <cellStyle name="Normal 3 5 4" xfId="979" xr:uid="{00000000-0005-0000-0000-00008F080000}"/>
    <cellStyle name="Normal 3 5 4 2" xfId="1855" xr:uid="{00000000-0005-0000-0000-000090080000}"/>
    <cellStyle name="Normal 3 5 4 2 2" xfId="3614" xr:uid="{00000000-0005-0000-0000-000091080000}"/>
    <cellStyle name="Normal 3 5 4 3" xfId="2738" xr:uid="{00000000-0005-0000-0000-000092080000}"/>
    <cellStyle name="Normal 3 5 5" xfId="1419" xr:uid="{00000000-0005-0000-0000-000093080000}"/>
    <cellStyle name="Normal 3 5 5 2" xfId="3178" xr:uid="{00000000-0005-0000-0000-000094080000}"/>
    <cellStyle name="Normal 3 5 6" xfId="2302" xr:uid="{00000000-0005-0000-0000-000095080000}"/>
    <cellStyle name="Normal 3 6" xfId="578" xr:uid="{00000000-0005-0000-0000-000096080000}"/>
    <cellStyle name="Normal 3 6 2" xfId="815" xr:uid="{00000000-0005-0000-0000-000097080000}"/>
    <cellStyle name="Normal 3 6 2 2" xfId="1251" xr:uid="{00000000-0005-0000-0000-000098080000}"/>
    <cellStyle name="Normal 3 6 2 2 2" xfId="2127" xr:uid="{00000000-0005-0000-0000-000099080000}"/>
    <cellStyle name="Normal 3 6 2 2 2 2" xfId="3886" xr:uid="{00000000-0005-0000-0000-00009A080000}"/>
    <cellStyle name="Normal 3 6 2 2 3" xfId="3010" xr:uid="{00000000-0005-0000-0000-00009B080000}"/>
    <cellStyle name="Normal 3 6 2 3" xfId="1691" xr:uid="{00000000-0005-0000-0000-00009C080000}"/>
    <cellStyle name="Normal 3 6 2 3 2" xfId="3450" xr:uid="{00000000-0005-0000-0000-00009D080000}"/>
    <cellStyle name="Normal 3 6 2 4" xfId="2574" xr:uid="{00000000-0005-0000-0000-00009E080000}"/>
    <cellStyle name="Normal 3 6 3" xfId="1032" xr:uid="{00000000-0005-0000-0000-00009F080000}"/>
    <cellStyle name="Normal 3 6 3 2" xfId="1908" xr:uid="{00000000-0005-0000-0000-0000A0080000}"/>
    <cellStyle name="Normal 3 6 3 2 2" xfId="3667" xr:uid="{00000000-0005-0000-0000-0000A1080000}"/>
    <cellStyle name="Normal 3 6 3 3" xfId="2791" xr:uid="{00000000-0005-0000-0000-0000A2080000}"/>
    <cellStyle name="Normal 3 6 4" xfId="1472" xr:uid="{00000000-0005-0000-0000-0000A3080000}"/>
    <cellStyle name="Normal 3 6 4 2" xfId="3231" xr:uid="{00000000-0005-0000-0000-0000A4080000}"/>
    <cellStyle name="Normal 3 6 5" xfId="2355" xr:uid="{00000000-0005-0000-0000-0000A5080000}"/>
    <cellStyle name="Normal 3 7" xfId="816" xr:uid="{00000000-0005-0000-0000-0000A6080000}"/>
    <cellStyle name="Normal 3 7 2" xfId="1252" xr:uid="{00000000-0005-0000-0000-0000A7080000}"/>
    <cellStyle name="Normal 3 7 2 2" xfId="2128" xr:uid="{00000000-0005-0000-0000-0000A8080000}"/>
    <cellStyle name="Normal 3 7 2 2 2" xfId="3887" xr:uid="{00000000-0005-0000-0000-0000A9080000}"/>
    <cellStyle name="Normal 3 7 2 3" xfId="3011" xr:uid="{00000000-0005-0000-0000-0000AA080000}"/>
    <cellStyle name="Normal 3 7 3" xfId="1692" xr:uid="{00000000-0005-0000-0000-0000AB080000}"/>
    <cellStyle name="Normal 3 7 3 2" xfId="3451" xr:uid="{00000000-0005-0000-0000-0000AC080000}"/>
    <cellStyle name="Normal 3 7 4" xfId="2575" xr:uid="{00000000-0005-0000-0000-0000AD080000}"/>
    <cellStyle name="Normal 3 8" xfId="924" xr:uid="{00000000-0005-0000-0000-0000AE080000}"/>
    <cellStyle name="Normal 3 8 2" xfId="1800" xr:uid="{00000000-0005-0000-0000-0000AF080000}"/>
    <cellStyle name="Normal 3 8 2 2" xfId="3559" xr:uid="{00000000-0005-0000-0000-0000B0080000}"/>
    <cellStyle name="Normal 3 8 3" xfId="2683" xr:uid="{00000000-0005-0000-0000-0000B1080000}"/>
    <cellStyle name="Normal 3 9" xfId="1364" xr:uid="{00000000-0005-0000-0000-0000B2080000}"/>
    <cellStyle name="Normal 3 9 2" xfId="3123" xr:uid="{00000000-0005-0000-0000-0000B3080000}"/>
    <cellStyle name="Normal 30" xfId="491" xr:uid="{00000000-0005-0000-0000-0000B4080000}"/>
    <cellStyle name="Normal 30 2" xfId="553" xr:uid="{00000000-0005-0000-0000-0000B5080000}"/>
    <cellStyle name="Normal 30 2 2" xfId="662" xr:uid="{00000000-0005-0000-0000-0000B6080000}"/>
    <cellStyle name="Normal 30 2 2 2" xfId="817" xr:uid="{00000000-0005-0000-0000-0000B7080000}"/>
    <cellStyle name="Normal 30 2 2 2 2" xfId="1253" xr:uid="{00000000-0005-0000-0000-0000B8080000}"/>
    <cellStyle name="Normal 30 2 2 2 2 2" xfId="2129" xr:uid="{00000000-0005-0000-0000-0000B9080000}"/>
    <cellStyle name="Normal 30 2 2 2 2 2 2" xfId="3888" xr:uid="{00000000-0005-0000-0000-0000BA080000}"/>
    <cellStyle name="Normal 30 2 2 2 2 3" xfId="3012" xr:uid="{00000000-0005-0000-0000-0000BB080000}"/>
    <cellStyle name="Normal 30 2 2 2 3" xfId="1693" xr:uid="{00000000-0005-0000-0000-0000BC080000}"/>
    <cellStyle name="Normal 30 2 2 2 3 2" xfId="3452" xr:uid="{00000000-0005-0000-0000-0000BD080000}"/>
    <cellStyle name="Normal 30 2 2 2 4" xfId="2576" xr:uid="{00000000-0005-0000-0000-0000BE080000}"/>
    <cellStyle name="Normal 30 2 2 3" xfId="1116" xr:uid="{00000000-0005-0000-0000-0000BF080000}"/>
    <cellStyle name="Normal 30 2 2 3 2" xfId="1992" xr:uid="{00000000-0005-0000-0000-0000C0080000}"/>
    <cellStyle name="Normal 30 2 2 3 2 2" xfId="3751" xr:uid="{00000000-0005-0000-0000-0000C1080000}"/>
    <cellStyle name="Normal 30 2 2 3 3" xfId="2875" xr:uid="{00000000-0005-0000-0000-0000C2080000}"/>
    <cellStyle name="Normal 30 2 2 4" xfId="1556" xr:uid="{00000000-0005-0000-0000-0000C3080000}"/>
    <cellStyle name="Normal 30 2 2 4 2" xfId="3315" xr:uid="{00000000-0005-0000-0000-0000C4080000}"/>
    <cellStyle name="Normal 30 2 2 5" xfId="2439" xr:uid="{00000000-0005-0000-0000-0000C5080000}"/>
    <cellStyle name="Normal 30 2 3" xfId="818" xr:uid="{00000000-0005-0000-0000-0000C6080000}"/>
    <cellStyle name="Normal 30 2 3 2" xfId="1254" xr:uid="{00000000-0005-0000-0000-0000C7080000}"/>
    <cellStyle name="Normal 30 2 3 2 2" xfId="2130" xr:uid="{00000000-0005-0000-0000-0000C8080000}"/>
    <cellStyle name="Normal 30 2 3 2 2 2" xfId="3889" xr:uid="{00000000-0005-0000-0000-0000C9080000}"/>
    <cellStyle name="Normal 30 2 3 2 3" xfId="3013" xr:uid="{00000000-0005-0000-0000-0000CA080000}"/>
    <cellStyle name="Normal 30 2 3 3" xfId="1694" xr:uid="{00000000-0005-0000-0000-0000CB080000}"/>
    <cellStyle name="Normal 30 2 3 3 2" xfId="3453" xr:uid="{00000000-0005-0000-0000-0000CC080000}"/>
    <cellStyle name="Normal 30 2 3 4" xfId="2577" xr:uid="{00000000-0005-0000-0000-0000CD080000}"/>
    <cellStyle name="Normal 30 2 4" xfId="1008" xr:uid="{00000000-0005-0000-0000-0000CE080000}"/>
    <cellStyle name="Normal 30 2 4 2" xfId="1884" xr:uid="{00000000-0005-0000-0000-0000CF080000}"/>
    <cellStyle name="Normal 30 2 4 2 2" xfId="3643" xr:uid="{00000000-0005-0000-0000-0000D0080000}"/>
    <cellStyle name="Normal 30 2 4 3" xfId="2767" xr:uid="{00000000-0005-0000-0000-0000D1080000}"/>
    <cellStyle name="Normal 30 2 5" xfId="1448" xr:uid="{00000000-0005-0000-0000-0000D2080000}"/>
    <cellStyle name="Normal 30 2 5 2" xfId="3207" xr:uid="{00000000-0005-0000-0000-0000D3080000}"/>
    <cellStyle name="Normal 30 2 6" xfId="2331" xr:uid="{00000000-0005-0000-0000-0000D4080000}"/>
    <cellStyle name="Normal 30 3" xfId="607" xr:uid="{00000000-0005-0000-0000-0000D5080000}"/>
    <cellStyle name="Normal 30 3 2" xfId="819" xr:uid="{00000000-0005-0000-0000-0000D6080000}"/>
    <cellStyle name="Normal 30 3 2 2" xfId="1255" xr:uid="{00000000-0005-0000-0000-0000D7080000}"/>
    <cellStyle name="Normal 30 3 2 2 2" xfId="2131" xr:uid="{00000000-0005-0000-0000-0000D8080000}"/>
    <cellStyle name="Normal 30 3 2 2 2 2" xfId="3890" xr:uid="{00000000-0005-0000-0000-0000D9080000}"/>
    <cellStyle name="Normal 30 3 2 2 3" xfId="3014" xr:uid="{00000000-0005-0000-0000-0000DA080000}"/>
    <cellStyle name="Normal 30 3 2 3" xfId="1695" xr:uid="{00000000-0005-0000-0000-0000DB080000}"/>
    <cellStyle name="Normal 30 3 2 3 2" xfId="3454" xr:uid="{00000000-0005-0000-0000-0000DC080000}"/>
    <cellStyle name="Normal 30 3 2 4" xfId="2578" xr:uid="{00000000-0005-0000-0000-0000DD080000}"/>
    <cellStyle name="Normal 30 3 3" xfId="1061" xr:uid="{00000000-0005-0000-0000-0000DE080000}"/>
    <cellStyle name="Normal 30 3 3 2" xfId="1937" xr:uid="{00000000-0005-0000-0000-0000DF080000}"/>
    <cellStyle name="Normal 30 3 3 2 2" xfId="3696" xr:uid="{00000000-0005-0000-0000-0000E0080000}"/>
    <cellStyle name="Normal 30 3 3 3" xfId="2820" xr:uid="{00000000-0005-0000-0000-0000E1080000}"/>
    <cellStyle name="Normal 30 3 4" xfId="1501" xr:uid="{00000000-0005-0000-0000-0000E2080000}"/>
    <cellStyle name="Normal 30 3 4 2" xfId="3260" xr:uid="{00000000-0005-0000-0000-0000E3080000}"/>
    <cellStyle name="Normal 30 3 5" xfId="2384" xr:uid="{00000000-0005-0000-0000-0000E4080000}"/>
    <cellStyle name="Normal 30 4" xfId="820" xr:uid="{00000000-0005-0000-0000-0000E5080000}"/>
    <cellStyle name="Normal 30 4 2" xfId="1256" xr:uid="{00000000-0005-0000-0000-0000E6080000}"/>
    <cellStyle name="Normal 30 4 2 2" xfId="2132" xr:uid="{00000000-0005-0000-0000-0000E7080000}"/>
    <cellStyle name="Normal 30 4 2 2 2" xfId="3891" xr:uid="{00000000-0005-0000-0000-0000E8080000}"/>
    <cellStyle name="Normal 30 4 2 3" xfId="3015" xr:uid="{00000000-0005-0000-0000-0000E9080000}"/>
    <cellStyle name="Normal 30 4 3" xfId="1696" xr:uid="{00000000-0005-0000-0000-0000EA080000}"/>
    <cellStyle name="Normal 30 4 3 2" xfId="3455" xr:uid="{00000000-0005-0000-0000-0000EB080000}"/>
    <cellStyle name="Normal 30 4 4" xfId="2579" xr:uid="{00000000-0005-0000-0000-0000EC080000}"/>
    <cellStyle name="Normal 30 5" xfId="953" xr:uid="{00000000-0005-0000-0000-0000ED080000}"/>
    <cellStyle name="Normal 30 5 2" xfId="1829" xr:uid="{00000000-0005-0000-0000-0000EE080000}"/>
    <cellStyle name="Normal 30 5 2 2" xfId="3588" xr:uid="{00000000-0005-0000-0000-0000EF080000}"/>
    <cellStyle name="Normal 30 5 3" xfId="2712" xr:uid="{00000000-0005-0000-0000-0000F0080000}"/>
    <cellStyle name="Normal 30 6" xfId="1393" xr:uid="{00000000-0005-0000-0000-0000F1080000}"/>
    <cellStyle name="Normal 30 6 2" xfId="3152" xr:uid="{00000000-0005-0000-0000-0000F2080000}"/>
    <cellStyle name="Normal 30 7" xfId="2276" xr:uid="{00000000-0005-0000-0000-0000F3080000}"/>
    <cellStyle name="Normal 31" xfId="492" xr:uid="{00000000-0005-0000-0000-0000F4080000}"/>
    <cellStyle name="Normal 31 2" xfId="554" xr:uid="{00000000-0005-0000-0000-0000F5080000}"/>
    <cellStyle name="Normal 31 2 2" xfId="663" xr:uid="{00000000-0005-0000-0000-0000F6080000}"/>
    <cellStyle name="Normal 31 2 2 2" xfId="821" xr:uid="{00000000-0005-0000-0000-0000F7080000}"/>
    <cellStyle name="Normal 31 2 2 2 2" xfId="1257" xr:uid="{00000000-0005-0000-0000-0000F8080000}"/>
    <cellStyle name="Normal 31 2 2 2 2 2" xfId="2133" xr:uid="{00000000-0005-0000-0000-0000F9080000}"/>
    <cellStyle name="Normal 31 2 2 2 2 2 2" xfId="3892" xr:uid="{00000000-0005-0000-0000-0000FA080000}"/>
    <cellStyle name="Normal 31 2 2 2 2 3" xfId="3016" xr:uid="{00000000-0005-0000-0000-0000FB080000}"/>
    <cellStyle name="Normal 31 2 2 2 3" xfId="1697" xr:uid="{00000000-0005-0000-0000-0000FC080000}"/>
    <cellStyle name="Normal 31 2 2 2 3 2" xfId="3456" xr:uid="{00000000-0005-0000-0000-0000FD080000}"/>
    <cellStyle name="Normal 31 2 2 2 4" xfId="2580" xr:uid="{00000000-0005-0000-0000-0000FE080000}"/>
    <cellStyle name="Normal 31 2 2 3" xfId="1117" xr:uid="{00000000-0005-0000-0000-0000FF080000}"/>
    <cellStyle name="Normal 31 2 2 3 2" xfId="1993" xr:uid="{00000000-0005-0000-0000-000000090000}"/>
    <cellStyle name="Normal 31 2 2 3 2 2" xfId="3752" xr:uid="{00000000-0005-0000-0000-000001090000}"/>
    <cellStyle name="Normal 31 2 2 3 3" xfId="2876" xr:uid="{00000000-0005-0000-0000-000002090000}"/>
    <cellStyle name="Normal 31 2 2 4" xfId="1557" xr:uid="{00000000-0005-0000-0000-000003090000}"/>
    <cellStyle name="Normal 31 2 2 4 2" xfId="3316" xr:uid="{00000000-0005-0000-0000-000004090000}"/>
    <cellStyle name="Normal 31 2 2 5" xfId="2440" xr:uid="{00000000-0005-0000-0000-000005090000}"/>
    <cellStyle name="Normal 31 2 3" xfId="822" xr:uid="{00000000-0005-0000-0000-000006090000}"/>
    <cellStyle name="Normal 31 2 3 2" xfId="1258" xr:uid="{00000000-0005-0000-0000-000007090000}"/>
    <cellStyle name="Normal 31 2 3 2 2" xfId="2134" xr:uid="{00000000-0005-0000-0000-000008090000}"/>
    <cellStyle name="Normal 31 2 3 2 2 2" xfId="3893" xr:uid="{00000000-0005-0000-0000-000009090000}"/>
    <cellStyle name="Normal 31 2 3 2 3" xfId="3017" xr:uid="{00000000-0005-0000-0000-00000A090000}"/>
    <cellStyle name="Normal 31 2 3 3" xfId="1698" xr:uid="{00000000-0005-0000-0000-00000B090000}"/>
    <cellStyle name="Normal 31 2 3 3 2" xfId="3457" xr:uid="{00000000-0005-0000-0000-00000C090000}"/>
    <cellStyle name="Normal 31 2 3 4" xfId="2581" xr:uid="{00000000-0005-0000-0000-00000D090000}"/>
    <cellStyle name="Normal 31 2 4" xfId="1009" xr:uid="{00000000-0005-0000-0000-00000E090000}"/>
    <cellStyle name="Normal 31 2 4 2" xfId="1885" xr:uid="{00000000-0005-0000-0000-00000F090000}"/>
    <cellStyle name="Normal 31 2 4 2 2" xfId="3644" xr:uid="{00000000-0005-0000-0000-000010090000}"/>
    <cellStyle name="Normal 31 2 4 3" xfId="2768" xr:uid="{00000000-0005-0000-0000-000011090000}"/>
    <cellStyle name="Normal 31 2 5" xfId="1449" xr:uid="{00000000-0005-0000-0000-000012090000}"/>
    <cellStyle name="Normal 31 2 5 2" xfId="3208" xr:uid="{00000000-0005-0000-0000-000013090000}"/>
    <cellStyle name="Normal 31 2 6" xfId="2332" xr:uid="{00000000-0005-0000-0000-000014090000}"/>
    <cellStyle name="Normal 31 3" xfId="608" xr:uid="{00000000-0005-0000-0000-000015090000}"/>
    <cellStyle name="Normal 31 3 2" xfId="823" xr:uid="{00000000-0005-0000-0000-000016090000}"/>
    <cellStyle name="Normal 31 3 2 2" xfId="1259" xr:uid="{00000000-0005-0000-0000-000017090000}"/>
    <cellStyle name="Normal 31 3 2 2 2" xfId="2135" xr:uid="{00000000-0005-0000-0000-000018090000}"/>
    <cellStyle name="Normal 31 3 2 2 2 2" xfId="3894" xr:uid="{00000000-0005-0000-0000-000019090000}"/>
    <cellStyle name="Normal 31 3 2 2 3" xfId="3018" xr:uid="{00000000-0005-0000-0000-00001A090000}"/>
    <cellStyle name="Normal 31 3 2 3" xfId="1699" xr:uid="{00000000-0005-0000-0000-00001B090000}"/>
    <cellStyle name="Normal 31 3 2 3 2" xfId="3458" xr:uid="{00000000-0005-0000-0000-00001C090000}"/>
    <cellStyle name="Normal 31 3 2 4" xfId="2582" xr:uid="{00000000-0005-0000-0000-00001D090000}"/>
    <cellStyle name="Normal 31 3 3" xfId="1062" xr:uid="{00000000-0005-0000-0000-00001E090000}"/>
    <cellStyle name="Normal 31 3 3 2" xfId="1938" xr:uid="{00000000-0005-0000-0000-00001F090000}"/>
    <cellStyle name="Normal 31 3 3 2 2" xfId="3697" xr:uid="{00000000-0005-0000-0000-000020090000}"/>
    <cellStyle name="Normal 31 3 3 3" xfId="2821" xr:uid="{00000000-0005-0000-0000-000021090000}"/>
    <cellStyle name="Normal 31 3 4" xfId="1502" xr:uid="{00000000-0005-0000-0000-000022090000}"/>
    <cellStyle name="Normal 31 3 4 2" xfId="3261" xr:uid="{00000000-0005-0000-0000-000023090000}"/>
    <cellStyle name="Normal 31 3 5" xfId="2385" xr:uid="{00000000-0005-0000-0000-000024090000}"/>
    <cellStyle name="Normal 31 4" xfId="824" xr:uid="{00000000-0005-0000-0000-000025090000}"/>
    <cellStyle name="Normal 31 4 2" xfId="1260" xr:uid="{00000000-0005-0000-0000-000026090000}"/>
    <cellStyle name="Normal 31 4 2 2" xfId="2136" xr:uid="{00000000-0005-0000-0000-000027090000}"/>
    <cellStyle name="Normal 31 4 2 2 2" xfId="3895" xr:uid="{00000000-0005-0000-0000-000028090000}"/>
    <cellStyle name="Normal 31 4 2 3" xfId="3019" xr:uid="{00000000-0005-0000-0000-000029090000}"/>
    <cellStyle name="Normal 31 4 3" xfId="1700" xr:uid="{00000000-0005-0000-0000-00002A090000}"/>
    <cellStyle name="Normal 31 4 3 2" xfId="3459" xr:uid="{00000000-0005-0000-0000-00002B090000}"/>
    <cellStyle name="Normal 31 4 4" xfId="2583" xr:uid="{00000000-0005-0000-0000-00002C090000}"/>
    <cellStyle name="Normal 31 5" xfId="954" xr:uid="{00000000-0005-0000-0000-00002D090000}"/>
    <cellStyle name="Normal 31 5 2" xfId="1830" xr:uid="{00000000-0005-0000-0000-00002E090000}"/>
    <cellStyle name="Normal 31 5 2 2" xfId="3589" xr:uid="{00000000-0005-0000-0000-00002F090000}"/>
    <cellStyle name="Normal 31 5 3" xfId="2713" xr:uid="{00000000-0005-0000-0000-000030090000}"/>
    <cellStyle name="Normal 31 6" xfId="1394" xr:uid="{00000000-0005-0000-0000-000031090000}"/>
    <cellStyle name="Normal 31 6 2" xfId="3153" xr:uid="{00000000-0005-0000-0000-000032090000}"/>
    <cellStyle name="Normal 31 7" xfId="2277" xr:uid="{00000000-0005-0000-0000-000033090000}"/>
    <cellStyle name="Normal 32" xfId="493" xr:uid="{00000000-0005-0000-0000-000034090000}"/>
    <cellStyle name="Normal 32 2" xfId="555" xr:uid="{00000000-0005-0000-0000-000035090000}"/>
    <cellStyle name="Normal 32 2 2" xfId="664" xr:uid="{00000000-0005-0000-0000-000036090000}"/>
    <cellStyle name="Normal 32 2 2 2" xfId="825" xr:uid="{00000000-0005-0000-0000-000037090000}"/>
    <cellStyle name="Normal 32 2 2 2 2" xfId="1261" xr:uid="{00000000-0005-0000-0000-000038090000}"/>
    <cellStyle name="Normal 32 2 2 2 2 2" xfId="2137" xr:uid="{00000000-0005-0000-0000-000039090000}"/>
    <cellStyle name="Normal 32 2 2 2 2 2 2" xfId="3896" xr:uid="{00000000-0005-0000-0000-00003A090000}"/>
    <cellStyle name="Normal 32 2 2 2 2 3" xfId="3020" xr:uid="{00000000-0005-0000-0000-00003B090000}"/>
    <cellStyle name="Normal 32 2 2 2 3" xfId="1701" xr:uid="{00000000-0005-0000-0000-00003C090000}"/>
    <cellStyle name="Normal 32 2 2 2 3 2" xfId="3460" xr:uid="{00000000-0005-0000-0000-00003D090000}"/>
    <cellStyle name="Normal 32 2 2 2 4" xfId="2584" xr:uid="{00000000-0005-0000-0000-00003E090000}"/>
    <cellStyle name="Normal 32 2 2 3" xfId="1118" xr:uid="{00000000-0005-0000-0000-00003F090000}"/>
    <cellStyle name="Normal 32 2 2 3 2" xfId="1994" xr:uid="{00000000-0005-0000-0000-000040090000}"/>
    <cellStyle name="Normal 32 2 2 3 2 2" xfId="3753" xr:uid="{00000000-0005-0000-0000-000041090000}"/>
    <cellStyle name="Normal 32 2 2 3 3" xfId="2877" xr:uid="{00000000-0005-0000-0000-000042090000}"/>
    <cellStyle name="Normal 32 2 2 4" xfId="1558" xr:uid="{00000000-0005-0000-0000-000043090000}"/>
    <cellStyle name="Normal 32 2 2 4 2" xfId="3317" xr:uid="{00000000-0005-0000-0000-000044090000}"/>
    <cellStyle name="Normal 32 2 2 5" xfId="2441" xr:uid="{00000000-0005-0000-0000-000045090000}"/>
    <cellStyle name="Normal 32 2 3" xfId="826" xr:uid="{00000000-0005-0000-0000-000046090000}"/>
    <cellStyle name="Normal 32 2 3 2" xfId="1262" xr:uid="{00000000-0005-0000-0000-000047090000}"/>
    <cellStyle name="Normal 32 2 3 2 2" xfId="2138" xr:uid="{00000000-0005-0000-0000-000048090000}"/>
    <cellStyle name="Normal 32 2 3 2 2 2" xfId="3897" xr:uid="{00000000-0005-0000-0000-000049090000}"/>
    <cellStyle name="Normal 32 2 3 2 3" xfId="3021" xr:uid="{00000000-0005-0000-0000-00004A090000}"/>
    <cellStyle name="Normal 32 2 3 3" xfId="1702" xr:uid="{00000000-0005-0000-0000-00004B090000}"/>
    <cellStyle name="Normal 32 2 3 3 2" xfId="3461" xr:uid="{00000000-0005-0000-0000-00004C090000}"/>
    <cellStyle name="Normal 32 2 3 4" xfId="2585" xr:uid="{00000000-0005-0000-0000-00004D090000}"/>
    <cellStyle name="Normal 32 2 4" xfId="1010" xr:uid="{00000000-0005-0000-0000-00004E090000}"/>
    <cellStyle name="Normal 32 2 4 2" xfId="1886" xr:uid="{00000000-0005-0000-0000-00004F090000}"/>
    <cellStyle name="Normal 32 2 4 2 2" xfId="3645" xr:uid="{00000000-0005-0000-0000-000050090000}"/>
    <cellStyle name="Normal 32 2 4 3" xfId="2769" xr:uid="{00000000-0005-0000-0000-000051090000}"/>
    <cellStyle name="Normal 32 2 5" xfId="1450" xr:uid="{00000000-0005-0000-0000-000052090000}"/>
    <cellStyle name="Normal 32 2 5 2" xfId="3209" xr:uid="{00000000-0005-0000-0000-000053090000}"/>
    <cellStyle name="Normal 32 2 6" xfId="2333" xr:uid="{00000000-0005-0000-0000-000054090000}"/>
    <cellStyle name="Normal 32 3" xfId="609" xr:uid="{00000000-0005-0000-0000-000055090000}"/>
    <cellStyle name="Normal 32 3 2" xfId="827" xr:uid="{00000000-0005-0000-0000-000056090000}"/>
    <cellStyle name="Normal 32 3 2 2" xfId="1263" xr:uid="{00000000-0005-0000-0000-000057090000}"/>
    <cellStyle name="Normal 32 3 2 2 2" xfId="2139" xr:uid="{00000000-0005-0000-0000-000058090000}"/>
    <cellStyle name="Normal 32 3 2 2 2 2" xfId="3898" xr:uid="{00000000-0005-0000-0000-000059090000}"/>
    <cellStyle name="Normal 32 3 2 2 3" xfId="3022" xr:uid="{00000000-0005-0000-0000-00005A090000}"/>
    <cellStyle name="Normal 32 3 2 3" xfId="1703" xr:uid="{00000000-0005-0000-0000-00005B090000}"/>
    <cellStyle name="Normal 32 3 2 3 2" xfId="3462" xr:uid="{00000000-0005-0000-0000-00005C090000}"/>
    <cellStyle name="Normal 32 3 2 4" xfId="2586" xr:uid="{00000000-0005-0000-0000-00005D090000}"/>
    <cellStyle name="Normal 32 3 3" xfId="1063" xr:uid="{00000000-0005-0000-0000-00005E090000}"/>
    <cellStyle name="Normal 32 3 3 2" xfId="1939" xr:uid="{00000000-0005-0000-0000-00005F090000}"/>
    <cellStyle name="Normal 32 3 3 2 2" xfId="3698" xr:uid="{00000000-0005-0000-0000-000060090000}"/>
    <cellStyle name="Normal 32 3 3 3" xfId="2822" xr:uid="{00000000-0005-0000-0000-000061090000}"/>
    <cellStyle name="Normal 32 3 4" xfId="1503" xr:uid="{00000000-0005-0000-0000-000062090000}"/>
    <cellStyle name="Normal 32 3 4 2" xfId="3262" xr:uid="{00000000-0005-0000-0000-000063090000}"/>
    <cellStyle name="Normal 32 3 5" xfId="2386" xr:uid="{00000000-0005-0000-0000-000064090000}"/>
    <cellStyle name="Normal 32 4" xfId="828" xr:uid="{00000000-0005-0000-0000-000065090000}"/>
    <cellStyle name="Normal 32 4 2" xfId="1264" xr:uid="{00000000-0005-0000-0000-000066090000}"/>
    <cellStyle name="Normal 32 4 2 2" xfId="2140" xr:uid="{00000000-0005-0000-0000-000067090000}"/>
    <cellStyle name="Normal 32 4 2 2 2" xfId="3899" xr:uid="{00000000-0005-0000-0000-000068090000}"/>
    <cellStyle name="Normal 32 4 2 3" xfId="3023" xr:uid="{00000000-0005-0000-0000-000069090000}"/>
    <cellStyle name="Normal 32 4 3" xfId="1704" xr:uid="{00000000-0005-0000-0000-00006A090000}"/>
    <cellStyle name="Normal 32 4 3 2" xfId="3463" xr:uid="{00000000-0005-0000-0000-00006B090000}"/>
    <cellStyle name="Normal 32 4 4" xfId="2587" xr:uid="{00000000-0005-0000-0000-00006C090000}"/>
    <cellStyle name="Normal 32 5" xfId="955" xr:uid="{00000000-0005-0000-0000-00006D090000}"/>
    <cellStyle name="Normal 32 5 2" xfId="1831" xr:uid="{00000000-0005-0000-0000-00006E090000}"/>
    <cellStyle name="Normal 32 5 2 2" xfId="3590" xr:uid="{00000000-0005-0000-0000-00006F090000}"/>
    <cellStyle name="Normal 32 5 3" xfId="2714" xr:uid="{00000000-0005-0000-0000-000070090000}"/>
    <cellStyle name="Normal 32 6" xfId="1395" xr:uid="{00000000-0005-0000-0000-000071090000}"/>
    <cellStyle name="Normal 32 6 2" xfId="3154" xr:uid="{00000000-0005-0000-0000-000072090000}"/>
    <cellStyle name="Normal 32 7" xfId="2278" xr:uid="{00000000-0005-0000-0000-000073090000}"/>
    <cellStyle name="Normal 33" xfId="496" xr:uid="{00000000-0005-0000-0000-000074090000}"/>
    <cellStyle name="Normal 33 2" xfId="558" xr:uid="{00000000-0005-0000-0000-000075090000}"/>
    <cellStyle name="Normal 33 2 2" xfId="667" xr:uid="{00000000-0005-0000-0000-000076090000}"/>
    <cellStyle name="Normal 33 2 2 2" xfId="829" xr:uid="{00000000-0005-0000-0000-000077090000}"/>
    <cellStyle name="Normal 33 2 2 2 2" xfId="1265" xr:uid="{00000000-0005-0000-0000-000078090000}"/>
    <cellStyle name="Normal 33 2 2 2 2 2" xfId="2141" xr:uid="{00000000-0005-0000-0000-000079090000}"/>
    <cellStyle name="Normal 33 2 2 2 2 2 2" xfId="3900" xr:uid="{00000000-0005-0000-0000-00007A090000}"/>
    <cellStyle name="Normal 33 2 2 2 2 3" xfId="3024" xr:uid="{00000000-0005-0000-0000-00007B090000}"/>
    <cellStyle name="Normal 33 2 2 2 3" xfId="1705" xr:uid="{00000000-0005-0000-0000-00007C090000}"/>
    <cellStyle name="Normal 33 2 2 2 3 2" xfId="3464" xr:uid="{00000000-0005-0000-0000-00007D090000}"/>
    <cellStyle name="Normal 33 2 2 2 4" xfId="2588" xr:uid="{00000000-0005-0000-0000-00007E090000}"/>
    <cellStyle name="Normal 33 2 2 3" xfId="1121" xr:uid="{00000000-0005-0000-0000-00007F090000}"/>
    <cellStyle name="Normal 33 2 2 3 2" xfId="1997" xr:uid="{00000000-0005-0000-0000-000080090000}"/>
    <cellStyle name="Normal 33 2 2 3 2 2" xfId="3756" xr:uid="{00000000-0005-0000-0000-000081090000}"/>
    <cellStyle name="Normal 33 2 2 3 3" xfId="2880" xr:uid="{00000000-0005-0000-0000-000082090000}"/>
    <cellStyle name="Normal 33 2 2 4" xfId="1561" xr:uid="{00000000-0005-0000-0000-000083090000}"/>
    <cellStyle name="Normal 33 2 2 4 2" xfId="3320" xr:uid="{00000000-0005-0000-0000-000084090000}"/>
    <cellStyle name="Normal 33 2 2 5" xfId="2444" xr:uid="{00000000-0005-0000-0000-000085090000}"/>
    <cellStyle name="Normal 33 2 3" xfId="830" xr:uid="{00000000-0005-0000-0000-000086090000}"/>
    <cellStyle name="Normal 33 2 3 2" xfId="1266" xr:uid="{00000000-0005-0000-0000-000087090000}"/>
    <cellStyle name="Normal 33 2 3 2 2" xfId="2142" xr:uid="{00000000-0005-0000-0000-000088090000}"/>
    <cellStyle name="Normal 33 2 3 2 2 2" xfId="3901" xr:uid="{00000000-0005-0000-0000-000089090000}"/>
    <cellStyle name="Normal 33 2 3 2 3" xfId="3025" xr:uid="{00000000-0005-0000-0000-00008A090000}"/>
    <cellStyle name="Normal 33 2 3 3" xfId="1706" xr:uid="{00000000-0005-0000-0000-00008B090000}"/>
    <cellStyle name="Normal 33 2 3 3 2" xfId="3465" xr:uid="{00000000-0005-0000-0000-00008C090000}"/>
    <cellStyle name="Normal 33 2 3 4" xfId="2589" xr:uid="{00000000-0005-0000-0000-00008D090000}"/>
    <cellStyle name="Normal 33 2 4" xfId="1013" xr:uid="{00000000-0005-0000-0000-00008E090000}"/>
    <cellStyle name="Normal 33 2 4 2" xfId="1889" xr:uid="{00000000-0005-0000-0000-00008F090000}"/>
    <cellStyle name="Normal 33 2 4 2 2" xfId="3648" xr:uid="{00000000-0005-0000-0000-000090090000}"/>
    <cellStyle name="Normal 33 2 4 3" xfId="2772" xr:uid="{00000000-0005-0000-0000-000091090000}"/>
    <cellStyle name="Normal 33 2 5" xfId="1453" xr:uid="{00000000-0005-0000-0000-000092090000}"/>
    <cellStyle name="Normal 33 2 5 2" xfId="3212" xr:uid="{00000000-0005-0000-0000-000093090000}"/>
    <cellStyle name="Normal 33 2 6" xfId="2336" xr:uid="{00000000-0005-0000-0000-000094090000}"/>
    <cellStyle name="Normal 33 3" xfId="612" xr:uid="{00000000-0005-0000-0000-000095090000}"/>
    <cellStyle name="Normal 33 3 2" xfId="831" xr:uid="{00000000-0005-0000-0000-000096090000}"/>
    <cellStyle name="Normal 33 3 2 2" xfId="1267" xr:uid="{00000000-0005-0000-0000-000097090000}"/>
    <cellStyle name="Normal 33 3 2 2 2" xfId="2143" xr:uid="{00000000-0005-0000-0000-000098090000}"/>
    <cellStyle name="Normal 33 3 2 2 2 2" xfId="3902" xr:uid="{00000000-0005-0000-0000-000099090000}"/>
    <cellStyle name="Normal 33 3 2 2 3" xfId="3026" xr:uid="{00000000-0005-0000-0000-00009A090000}"/>
    <cellStyle name="Normal 33 3 2 3" xfId="1707" xr:uid="{00000000-0005-0000-0000-00009B090000}"/>
    <cellStyle name="Normal 33 3 2 3 2" xfId="3466" xr:uid="{00000000-0005-0000-0000-00009C090000}"/>
    <cellStyle name="Normal 33 3 2 4" xfId="2590" xr:uid="{00000000-0005-0000-0000-00009D090000}"/>
    <cellStyle name="Normal 33 3 3" xfId="1066" xr:uid="{00000000-0005-0000-0000-00009E090000}"/>
    <cellStyle name="Normal 33 3 3 2" xfId="1942" xr:uid="{00000000-0005-0000-0000-00009F090000}"/>
    <cellStyle name="Normal 33 3 3 2 2" xfId="3701" xr:uid="{00000000-0005-0000-0000-0000A0090000}"/>
    <cellStyle name="Normal 33 3 3 3" xfId="2825" xr:uid="{00000000-0005-0000-0000-0000A1090000}"/>
    <cellStyle name="Normal 33 3 4" xfId="1506" xr:uid="{00000000-0005-0000-0000-0000A2090000}"/>
    <cellStyle name="Normal 33 3 4 2" xfId="3265" xr:uid="{00000000-0005-0000-0000-0000A3090000}"/>
    <cellStyle name="Normal 33 3 5" xfId="2389" xr:uid="{00000000-0005-0000-0000-0000A4090000}"/>
    <cellStyle name="Normal 33 4" xfId="832" xr:uid="{00000000-0005-0000-0000-0000A5090000}"/>
    <cellStyle name="Normal 33 4 2" xfId="1268" xr:uid="{00000000-0005-0000-0000-0000A6090000}"/>
    <cellStyle name="Normal 33 4 2 2" xfId="2144" xr:uid="{00000000-0005-0000-0000-0000A7090000}"/>
    <cellStyle name="Normal 33 4 2 2 2" xfId="3903" xr:uid="{00000000-0005-0000-0000-0000A8090000}"/>
    <cellStyle name="Normal 33 4 2 3" xfId="3027" xr:uid="{00000000-0005-0000-0000-0000A9090000}"/>
    <cellStyle name="Normal 33 4 3" xfId="1708" xr:uid="{00000000-0005-0000-0000-0000AA090000}"/>
    <cellStyle name="Normal 33 4 3 2" xfId="3467" xr:uid="{00000000-0005-0000-0000-0000AB090000}"/>
    <cellStyle name="Normal 33 4 4" xfId="2591" xr:uid="{00000000-0005-0000-0000-0000AC090000}"/>
    <cellStyle name="Normal 33 5" xfId="958" xr:uid="{00000000-0005-0000-0000-0000AD090000}"/>
    <cellStyle name="Normal 33 5 2" xfId="1834" xr:uid="{00000000-0005-0000-0000-0000AE090000}"/>
    <cellStyle name="Normal 33 5 2 2" xfId="3593" xr:uid="{00000000-0005-0000-0000-0000AF090000}"/>
    <cellStyle name="Normal 33 5 3" xfId="2717" xr:uid="{00000000-0005-0000-0000-0000B0090000}"/>
    <cellStyle name="Normal 33 6" xfId="1398" xr:uid="{00000000-0005-0000-0000-0000B1090000}"/>
    <cellStyle name="Normal 33 6 2" xfId="3157" xr:uid="{00000000-0005-0000-0000-0000B2090000}"/>
    <cellStyle name="Normal 33 7" xfId="2281" xr:uid="{00000000-0005-0000-0000-0000B3090000}"/>
    <cellStyle name="Normal 34" xfId="497" xr:uid="{00000000-0005-0000-0000-0000B4090000}"/>
    <cellStyle name="Normal 34 2" xfId="559" xr:uid="{00000000-0005-0000-0000-0000B5090000}"/>
    <cellStyle name="Normal 34 2 2" xfId="668" xr:uid="{00000000-0005-0000-0000-0000B6090000}"/>
    <cellStyle name="Normal 34 2 2 2" xfId="833" xr:uid="{00000000-0005-0000-0000-0000B7090000}"/>
    <cellStyle name="Normal 34 2 2 2 2" xfId="1269" xr:uid="{00000000-0005-0000-0000-0000B8090000}"/>
    <cellStyle name="Normal 34 2 2 2 2 2" xfId="2145" xr:uid="{00000000-0005-0000-0000-0000B9090000}"/>
    <cellStyle name="Normal 34 2 2 2 2 2 2" xfId="3904" xr:uid="{00000000-0005-0000-0000-0000BA090000}"/>
    <cellStyle name="Normal 34 2 2 2 2 3" xfId="3028" xr:uid="{00000000-0005-0000-0000-0000BB090000}"/>
    <cellStyle name="Normal 34 2 2 2 3" xfId="1709" xr:uid="{00000000-0005-0000-0000-0000BC090000}"/>
    <cellStyle name="Normal 34 2 2 2 3 2" xfId="3468" xr:uid="{00000000-0005-0000-0000-0000BD090000}"/>
    <cellStyle name="Normal 34 2 2 2 4" xfId="2592" xr:uid="{00000000-0005-0000-0000-0000BE090000}"/>
    <cellStyle name="Normal 34 2 2 3" xfId="1122" xr:uid="{00000000-0005-0000-0000-0000BF090000}"/>
    <cellStyle name="Normal 34 2 2 3 2" xfId="1998" xr:uid="{00000000-0005-0000-0000-0000C0090000}"/>
    <cellStyle name="Normal 34 2 2 3 2 2" xfId="3757" xr:uid="{00000000-0005-0000-0000-0000C1090000}"/>
    <cellStyle name="Normal 34 2 2 3 3" xfId="2881" xr:uid="{00000000-0005-0000-0000-0000C2090000}"/>
    <cellStyle name="Normal 34 2 2 4" xfId="1562" xr:uid="{00000000-0005-0000-0000-0000C3090000}"/>
    <cellStyle name="Normal 34 2 2 4 2" xfId="3321" xr:uid="{00000000-0005-0000-0000-0000C4090000}"/>
    <cellStyle name="Normal 34 2 2 5" xfId="2445" xr:uid="{00000000-0005-0000-0000-0000C5090000}"/>
    <cellStyle name="Normal 34 2 3" xfId="834" xr:uid="{00000000-0005-0000-0000-0000C6090000}"/>
    <cellStyle name="Normal 34 2 3 2" xfId="1270" xr:uid="{00000000-0005-0000-0000-0000C7090000}"/>
    <cellStyle name="Normal 34 2 3 2 2" xfId="2146" xr:uid="{00000000-0005-0000-0000-0000C8090000}"/>
    <cellStyle name="Normal 34 2 3 2 2 2" xfId="3905" xr:uid="{00000000-0005-0000-0000-0000C9090000}"/>
    <cellStyle name="Normal 34 2 3 2 3" xfId="3029" xr:uid="{00000000-0005-0000-0000-0000CA090000}"/>
    <cellStyle name="Normal 34 2 3 3" xfId="1710" xr:uid="{00000000-0005-0000-0000-0000CB090000}"/>
    <cellStyle name="Normal 34 2 3 3 2" xfId="3469" xr:uid="{00000000-0005-0000-0000-0000CC090000}"/>
    <cellStyle name="Normal 34 2 3 4" xfId="2593" xr:uid="{00000000-0005-0000-0000-0000CD090000}"/>
    <cellStyle name="Normal 34 2 4" xfId="1014" xr:uid="{00000000-0005-0000-0000-0000CE090000}"/>
    <cellStyle name="Normal 34 2 4 2" xfId="1890" xr:uid="{00000000-0005-0000-0000-0000CF090000}"/>
    <cellStyle name="Normal 34 2 4 2 2" xfId="3649" xr:uid="{00000000-0005-0000-0000-0000D0090000}"/>
    <cellStyle name="Normal 34 2 4 3" xfId="2773" xr:uid="{00000000-0005-0000-0000-0000D1090000}"/>
    <cellStyle name="Normal 34 2 5" xfId="1454" xr:uid="{00000000-0005-0000-0000-0000D2090000}"/>
    <cellStyle name="Normal 34 2 5 2" xfId="3213" xr:uid="{00000000-0005-0000-0000-0000D3090000}"/>
    <cellStyle name="Normal 34 2 6" xfId="2337" xr:uid="{00000000-0005-0000-0000-0000D4090000}"/>
    <cellStyle name="Normal 34 3" xfId="613" xr:uid="{00000000-0005-0000-0000-0000D5090000}"/>
    <cellStyle name="Normal 34 3 2" xfId="835" xr:uid="{00000000-0005-0000-0000-0000D6090000}"/>
    <cellStyle name="Normal 34 3 2 2" xfId="1271" xr:uid="{00000000-0005-0000-0000-0000D7090000}"/>
    <cellStyle name="Normal 34 3 2 2 2" xfId="2147" xr:uid="{00000000-0005-0000-0000-0000D8090000}"/>
    <cellStyle name="Normal 34 3 2 2 2 2" xfId="3906" xr:uid="{00000000-0005-0000-0000-0000D9090000}"/>
    <cellStyle name="Normal 34 3 2 2 3" xfId="3030" xr:uid="{00000000-0005-0000-0000-0000DA090000}"/>
    <cellStyle name="Normal 34 3 2 3" xfId="1711" xr:uid="{00000000-0005-0000-0000-0000DB090000}"/>
    <cellStyle name="Normal 34 3 2 3 2" xfId="3470" xr:uid="{00000000-0005-0000-0000-0000DC090000}"/>
    <cellStyle name="Normal 34 3 2 4" xfId="2594" xr:uid="{00000000-0005-0000-0000-0000DD090000}"/>
    <cellStyle name="Normal 34 3 3" xfId="1067" xr:uid="{00000000-0005-0000-0000-0000DE090000}"/>
    <cellStyle name="Normal 34 3 3 2" xfId="1943" xr:uid="{00000000-0005-0000-0000-0000DF090000}"/>
    <cellStyle name="Normal 34 3 3 2 2" xfId="3702" xr:uid="{00000000-0005-0000-0000-0000E0090000}"/>
    <cellStyle name="Normal 34 3 3 3" xfId="2826" xr:uid="{00000000-0005-0000-0000-0000E1090000}"/>
    <cellStyle name="Normal 34 3 4" xfId="1507" xr:uid="{00000000-0005-0000-0000-0000E2090000}"/>
    <cellStyle name="Normal 34 3 4 2" xfId="3266" xr:uid="{00000000-0005-0000-0000-0000E3090000}"/>
    <cellStyle name="Normal 34 3 5" xfId="2390" xr:uid="{00000000-0005-0000-0000-0000E4090000}"/>
    <cellStyle name="Normal 34 4" xfId="836" xr:uid="{00000000-0005-0000-0000-0000E5090000}"/>
    <cellStyle name="Normal 34 4 2" xfId="1272" xr:uid="{00000000-0005-0000-0000-0000E6090000}"/>
    <cellStyle name="Normal 34 4 2 2" xfId="2148" xr:uid="{00000000-0005-0000-0000-0000E7090000}"/>
    <cellStyle name="Normal 34 4 2 2 2" xfId="3907" xr:uid="{00000000-0005-0000-0000-0000E8090000}"/>
    <cellStyle name="Normal 34 4 2 3" xfId="3031" xr:uid="{00000000-0005-0000-0000-0000E9090000}"/>
    <cellStyle name="Normal 34 4 3" xfId="1712" xr:uid="{00000000-0005-0000-0000-0000EA090000}"/>
    <cellStyle name="Normal 34 4 3 2" xfId="3471" xr:uid="{00000000-0005-0000-0000-0000EB090000}"/>
    <cellStyle name="Normal 34 4 4" xfId="2595" xr:uid="{00000000-0005-0000-0000-0000EC090000}"/>
    <cellStyle name="Normal 34 5" xfId="959" xr:uid="{00000000-0005-0000-0000-0000ED090000}"/>
    <cellStyle name="Normal 34 5 2" xfId="1835" xr:uid="{00000000-0005-0000-0000-0000EE090000}"/>
    <cellStyle name="Normal 34 5 2 2" xfId="3594" xr:uid="{00000000-0005-0000-0000-0000EF090000}"/>
    <cellStyle name="Normal 34 5 3" xfId="2718" xr:uid="{00000000-0005-0000-0000-0000F0090000}"/>
    <cellStyle name="Normal 34 6" xfId="1399" xr:uid="{00000000-0005-0000-0000-0000F1090000}"/>
    <cellStyle name="Normal 34 6 2" xfId="3158" xr:uid="{00000000-0005-0000-0000-0000F2090000}"/>
    <cellStyle name="Normal 34 7" xfId="2282" xr:uid="{00000000-0005-0000-0000-0000F3090000}"/>
    <cellStyle name="Normal 35" xfId="498" xr:uid="{00000000-0005-0000-0000-0000F4090000}"/>
    <cellStyle name="Normal 35 2" xfId="560" xr:uid="{00000000-0005-0000-0000-0000F5090000}"/>
    <cellStyle name="Normal 35 2 2" xfId="669" xr:uid="{00000000-0005-0000-0000-0000F6090000}"/>
    <cellStyle name="Normal 35 2 2 2" xfId="837" xr:uid="{00000000-0005-0000-0000-0000F7090000}"/>
    <cellStyle name="Normal 35 2 2 2 2" xfId="1273" xr:uid="{00000000-0005-0000-0000-0000F8090000}"/>
    <cellStyle name="Normal 35 2 2 2 2 2" xfId="2149" xr:uid="{00000000-0005-0000-0000-0000F9090000}"/>
    <cellStyle name="Normal 35 2 2 2 2 2 2" xfId="3908" xr:uid="{00000000-0005-0000-0000-0000FA090000}"/>
    <cellStyle name="Normal 35 2 2 2 2 3" xfId="3032" xr:uid="{00000000-0005-0000-0000-0000FB090000}"/>
    <cellStyle name="Normal 35 2 2 2 3" xfId="1713" xr:uid="{00000000-0005-0000-0000-0000FC090000}"/>
    <cellStyle name="Normal 35 2 2 2 3 2" xfId="3472" xr:uid="{00000000-0005-0000-0000-0000FD090000}"/>
    <cellStyle name="Normal 35 2 2 2 4" xfId="2596" xr:uid="{00000000-0005-0000-0000-0000FE090000}"/>
    <cellStyle name="Normal 35 2 2 3" xfId="1123" xr:uid="{00000000-0005-0000-0000-0000FF090000}"/>
    <cellStyle name="Normal 35 2 2 3 2" xfId="1999" xr:uid="{00000000-0005-0000-0000-0000000A0000}"/>
    <cellStyle name="Normal 35 2 2 3 2 2" xfId="3758" xr:uid="{00000000-0005-0000-0000-0000010A0000}"/>
    <cellStyle name="Normal 35 2 2 3 3" xfId="2882" xr:uid="{00000000-0005-0000-0000-0000020A0000}"/>
    <cellStyle name="Normal 35 2 2 4" xfId="1563" xr:uid="{00000000-0005-0000-0000-0000030A0000}"/>
    <cellStyle name="Normal 35 2 2 4 2" xfId="3322" xr:uid="{00000000-0005-0000-0000-0000040A0000}"/>
    <cellStyle name="Normal 35 2 2 5" xfId="2446" xr:uid="{00000000-0005-0000-0000-0000050A0000}"/>
    <cellStyle name="Normal 35 2 3" xfId="838" xr:uid="{00000000-0005-0000-0000-0000060A0000}"/>
    <cellStyle name="Normal 35 2 3 2" xfId="1274" xr:uid="{00000000-0005-0000-0000-0000070A0000}"/>
    <cellStyle name="Normal 35 2 3 2 2" xfId="2150" xr:uid="{00000000-0005-0000-0000-0000080A0000}"/>
    <cellStyle name="Normal 35 2 3 2 2 2" xfId="3909" xr:uid="{00000000-0005-0000-0000-0000090A0000}"/>
    <cellStyle name="Normal 35 2 3 2 3" xfId="3033" xr:uid="{00000000-0005-0000-0000-00000A0A0000}"/>
    <cellStyle name="Normal 35 2 3 3" xfId="1714" xr:uid="{00000000-0005-0000-0000-00000B0A0000}"/>
    <cellStyle name="Normal 35 2 3 3 2" xfId="3473" xr:uid="{00000000-0005-0000-0000-00000C0A0000}"/>
    <cellStyle name="Normal 35 2 3 4" xfId="2597" xr:uid="{00000000-0005-0000-0000-00000D0A0000}"/>
    <cellStyle name="Normal 35 2 4" xfId="1015" xr:uid="{00000000-0005-0000-0000-00000E0A0000}"/>
    <cellStyle name="Normal 35 2 4 2" xfId="1891" xr:uid="{00000000-0005-0000-0000-00000F0A0000}"/>
    <cellStyle name="Normal 35 2 4 2 2" xfId="3650" xr:uid="{00000000-0005-0000-0000-0000100A0000}"/>
    <cellStyle name="Normal 35 2 4 3" xfId="2774" xr:uid="{00000000-0005-0000-0000-0000110A0000}"/>
    <cellStyle name="Normal 35 2 5" xfId="1455" xr:uid="{00000000-0005-0000-0000-0000120A0000}"/>
    <cellStyle name="Normal 35 2 5 2" xfId="3214" xr:uid="{00000000-0005-0000-0000-0000130A0000}"/>
    <cellStyle name="Normal 35 2 6" xfId="2338" xr:uid="{00000000-0005-0000-0000-0000140A0000}"/>
    <cellStyle name="Normal 35 3" xfId="614" xr:uid="{00000000-0005-0000-0000-0000150A0000}"/>
    <cellStyle name="Normal 35 3 2" xfId="839" xr:uid="{00000000-0005-0000-0000-0000160A0000}"/>
    <cellStyle name="Normal 35 3 2 2" xfId="1275" xr:uid="{00000000-0005-0000-0000-0000170A0000}"/>
    <cellStyle name="Normal 35 3 2 2 2" xfId="2151" xr:uid="{00000000-0005-0000-0000-0000180A0000}"/>
    <cellStyle name="Normal 35 3 2 2 2 2" xfId="3910" xr:uid="{00000000-0005-0000-0000-0000190A0000}"/>
    <cellStyle name="Normal 35 3 2 2 3" xfId="3034" xr:uid="{00000000-0005-0000-0000-00001A0A0000}"/>
    <cellStyle name="Normal 35 3 2 3" xfId="1715" xr:uid="{00000000-0005-0000-0000-00001B0A0000}"/>
    <cellStyle name="Normal 35 3 2 3 2" xfId="3474" xr:uid="{00000000-0005-0000-0000-00001C0A0000}"/>
    <cellStyle name="Normal 35 3 2 4" xfId="2598" xr:uid="{00000000-0005-0000-0000-00001D0A0000}"/>
    <cellStyle name="Normal 35 3 3" xfId="1068" xr:uid="{00000000-0005-0000-0000-00001E0A0000}"/>
    <cellStyle name="Normal 35 3 3 2" xfId="1944" xr:uid="{00000000-0005-0000-0000-00001F0A0000}"/>
    <cellStyle name="Normal 35 3 3 2 2" xfId="3703" xr:uid="{00000000-0005-0000-0000-0000200A0000}"/>
    <cellStyle name="Normal 35 3 3 3" xfId="2827" xr:uid="{00000000-0005-0000-0000-0000210A0000}"/>
    <cellStyle name="Normal 35 3 4" xfId="1508" xr:uid="{00000000-0005-0000-0000-0000220A0000}"/>
    <cellStyle name="Normal 35 3 4 2" xfId="3267" xr:uid="{00000000-0005-0000-0000-0000230A0000}"/>
    <cellStyle name="Normal 35 3 5" xfId="2391" xr:uid="{00000000-0005-0000-0000-0000240A0000}"/>
    <cellStyle name="Normal 35 4" xfId="840" xr:uid="{00000000-0005-0000-0000-0000250A0000}"/>
    <cellStyle name="Normal 35 4 2" xfId="1276" xr:uid="{00000000-0005-0000-0000-0000260A0000}"/>
    <cellStyle name="Normal 35 4 2 2" xfId="2152" xr:uid="{00000000-0005-0000-0000-0000270A0000}"/>
    <cellStyle name="Normal 35 4 2 2 2" xfId="3911" xr:uid="{00000000-0005-0000-0000-0000280A0000}"/>
    <cellStyle name="Normal 35 4 2 3" xfId="3035" xr:uid="{00000000-0005-0000-0000-0000290A0000}"/>
    <cellStyle name="Normal 35 4 3" xfId="1716" xr:uid="{00000000-0005-0000-0000-00002A0A0000}"/>
    <cellStyle name="Normal 35 4 3 2" xfId="3475" xr:uid="{00000000-0005-0000-0000-00002B0A0000}"/>
    <cellStyle name="Normal 35 4 4" xfId="2599" xr:uid="{00000000-0005-0000-0000-00002C0A0000}"/>
    <cellStyle name="Normal 35 5" xfId="960" xr:uid="{00000000-0005-0000-0000-00002D0A0000}"/>
    <cellStyle name="Normal 35 5 2" xfId="1836" xr:uid="{00000000-0005-0000-0000-00002E0A0000}"/>
    <cellStyle name="Normal 35 5 2 2" xfId="3595" xr:uid="{00000000-0005-0000-0000-00002F0A0000}"/>
    <cellStyle name="Normal 35 5 3" xfId="2719" xr:uid="{00000000-0005-0000-0000-0000300A0000}"/>
    <cellStyle name="Normal 35 6" xfId="1400" xr:uid="{00000000-0005-0000-0000-0000310A0000}"/>
    <cellStyle name="Normal 35 6 2" xfId="3159" xr:uid="{00000000-0005-0000-0000-0000320A0000}"/>
    <cellStyle name="Normal 35 7" xfId="2283" xr:uid="{00000000-0005-0000-0000-0000330A0000}"/>
    <cellStyle name="Normal 36" xfId="499" xr:uid="{00000000-0005-0000-0000-0000340A0000}"/>
    <cellStyle name="Normal 36 2" xfId="561" xr:uid="{00000000-0005-0000-0000-0000350A0000}"/>
    <cellStyle name="Normal 36 2 2" xfId="670" xr:uid="{00000000-0005-0000-0000-0000360A0000}"/>
    <cellStyle name="Normal 36 2 2 2" xfId="841" xr:uid="{00000000-0005-0000-0000-0000370A0000}"/>
    <cellStyle name="Normal 36 2 2 2 2" xfId="1277" xr:uid="{00000000-0005-0000-0000-0000380A0000}"/>
    <cellStyle name="Normal 36 2 2 2 2 2" xfId="2153" xr:uid="{00000000-0005-0000-0000-0000390A0000}"/>
    <cellStyle name="Normal 36 2 2 2 2 2 2" xfId="3912" xr:uid="{00000000-0005-0000-0000-00003A0A0000}"/>
    <cellStyle name="Normal 36 2 2 2 2 3" xfId="3036" xr:uid="{00000000-0005-0000-0000-00003B0A0000}"/>
    <cellStyle name="Normal 36 2 2 2 3" xfId="1717" xr:uid="{00000000-0005-0000-0000-00003C0A0000}"/>
    <cellStyle name="Normal 36 2 2 2 3 2" xfId="3476" xr:uid="{00000000-0005-0000-0000-00003D0A0000}"/>
    <cellStyle name="Normal 36 2 2 2 4" xfId="2600" xr:uid="{00000000-0005-0000-0000-00003E0A0000}"/>
    <cellStyle name="Normal 36 2 2 3" xfId="1124" xr:uid="{00000000-0005-0000-0000-00003F0A0000}"/>
    <cellStyle name="Normal 36 2 2 3 2" xfId="2000" xr:uid="{00000000-0005-0000-0000-0000400A0000}"/>
    <cellStyle name="Normal 36 2 2 3 2 2" xfId="3759" xr:uid="{00000000-0005-0000-0000-0000410A0000}"/>
    <cellStyle name="Normal 36 2 2 3 3" xfId="2883" xr:uid="{00000000-0005-0000-0000-0000420A0000}"/>
    <cellStyle name="Normal 36 2 2 4" xfId="1564" xr:uid="{00000000-0005-0000-0000-0000430A0000}"/>
    <cellStyle name="Normal 36 2 2 4 2" xfId="3323" xr:uid="{00000000-0005-0000-0000-0000440A0000}"/>
    <cellStyle name="Normal 36 2 2 5" xfId="2447" xr:uid="{00000000-0005-0000-0000-0000450A0000}"/>
    <cellStyle name="Normal 36 2 3" xfId="842" xr:uid="{00000000-0005-0000-0000-0000460A0000}"/>
    <cellStyle name="Normal 36 2 3 2" xfId="1278" xr:uid="{00000000-0005-0000-0000-0000470A0000}"/>
    <cellStyle name="Normal 36 2 3 2 2" xfId="2154" xr:uid="{00000000-0005-0000-0000-0000480A0000}"/>
    <cellStyle name="Normal 36 2 3 2 2 2" xfId="3913" xr:uid="{00000000-0005-0000-0000-0000490A0000}"/>
    <cellStyle name="Normal 36 2 3 2 3" xfId="3037" xr:uid="{00000000-0005-0000-0000-00004A0A0000}"/>
    <cellStyle name="Normal 36 2 3 3" xfId="1718" xr:uid="{00000000-0005-0000-0000-00004B0A0000}"/>
    <cellStyle name="Normal 36 2 3 3 2" xfId="3477" xr:uid="{00000000-0005-0000-0000-00004C0A0000}"/>
    <cellStyle name="Normal 36 2 3 4" xfId="2601" xr:uid="{00000000-0005-0000-0000-00004D0A0000}"/>
    <cellStyle name="Normal 36 2 4" xfId="1016" xr:uid="{00000000-0005-0000-0000-00004E0A0000}"/>
    <cellStyle name="Normal 36 2 4 2" xfId="1892" xr:uid="{00000000-0005-0000-0000-00004F0A0000}"/>
    <cellStyle name="Normal 36 2 4 2 2" xfId="3651" xr:uid="{00000000-0005-0000-0000-0000500A0000}"/>
    <cellStyle name="Normal 36 2 4 3" xfId="2775" xr:uid="{00000000-0005-0000-0000-0000510A0000}"/>
    <cellStyle name="Normal 36 2 5" xfId="1456" xr:uid="{00000000-0005-0000-0000-0000520A0000}"/>
    <cellStyle name="Normal 36 2 5 2" xfId="3215" xr:uid="{00000000-0005-0000-0000-0000530A0000}"/>
    <cellStyle name="Normal 36 2 6" xfId="2339" xr:uid="{00000000-0005-0000-0000-0000540A0000}"/>
    <cellStyle name="Normal 36 3" xfId="615" xr:uid="{00000000-0005-0000-0000-0000550A0000}"/>
    <cellStyle name="Normal 36 3 2" xfId="843" xr:uid="{00000000-0005-0000-0000-0000560A0000}"/>
    <cellStyle name="Normal 36 3 2 2" xfId="1279" xr:uid="{00000000-0005-0000-0000-0000570A0000}"/>
    <cellStyle name="Normal 36 3 2 2 2" xfId="2155" xr:uid="{00000000-0005-0000-0000-0000580A0000}"/>
    <cellStyle name="Normal 36 3 2 2 2 2" xfId="3914" xr:uid="{00000000-0005-0000-0000-0000590A0000}"/>
    <cellStyle name="Normal 36 3 2 2 3" xfId="3038" xr:uid="{00000000-0005-0000-0000-00005A0A0000}"/>
    <cellStyle name="Normal 36 3 2 3" xfId="1719" xr:uid="{00000000-0005-0000-0000-00005B0A0000}"/>
    <cellStyle name="Normal 36 3 2 3 2" xfId="3478" xr:uid="{00000000-0005-0000-0000-00005C0A0000}"/>
    <cellStyle name="Normal 36 3 2 4" xfId="2602" xr:uid="{00000000-0005-0000-0000-00005D0A0000}"/>
    <cellStyle name="Normal 36 3 3" xfId="1069" xr:uid="{00000000-0005-0000-0000-00005E0A0000}"/>
    <cellStyle name="Normal 36 3 3 2" xfId="1945" xr:uid="{00000000-0005-0000-0000-00005F0A0000}"/>
    <cellStyle name="Normal 36 3 3 2 2" xfId="3704" xr:uid="{00000000-0005-0000-0000-0000600A0000}"/>
    <cellStyle name="Normal 36 3 3 3" xfId="2828" xr:uid="{00000000-0005-0000-0000-0000610A0000}"/>
    <cellStyle name="Normal 36 3 4" xfId="1509" xr:uid="{00000000-0005-0000-0000-0000620A0000}"/>
    <cellStyle name="Normal 36 3 4 2" xfId="3268" xr:uid="{00000000-0005-0000-0000-0000630A0000}"/>
    <cellStyle name="Normal 36 3 5" xfId="2392" xr:uid="{00000000-0005-0000-0000-0000640A0000}"/>
    <cellStyle name="Normal 36 4" xfId="844" xr:uid="{00000000-0005-0000-0000-0000650A0000}"/>
    <cellStyle name="Normal 36 4 2" xfId="1280" xr:uid="{00000000-0005-0000-0000-0000660A0000}"/>
    <cellStyle name="Normal 36 4 2 2" xfId="2156" xr:uid="{00000000-0005-0000-0000-0000670A0000}"/>
    <cellStyle name="Normal 36 4 2 2 2" xfId="3915" xr:uid="{00000000-0005-0000-0000-0000680A0000}"/>
    <cellStyle name="Normal 36 4 2 3" xfId="3039" xr:uid="{00000000-0005-0000-0000-0000690A0000}"/>
    <cellStyle name="Normal 36 4 3" xfId="1720" xr:uid="{00000000-0005-0000-0000-00006A0A0000}"/>
    <cellStyle name="Normal 36 4 3 2" xfId="3479" xr:uid="{00000000-0005-0000-0000-00006B0A0000}"/>
    <cellStyle name="Normal 36 4 4" xfId="2603" xr:uid="{00000000-0005-0000-0000-00006C0A0000}"/>
    <cellStyle name="Normal 36 5" xfId="961" xr:uid="{00000000-0005-0000-0000-00006D0A0000}"/>
    <cellStyle name="Normal 36 5 2" xfId="1837" xr:uid="{00000000-0005-0000-0000-00006E0A0000}"/>
    <cellStyle name="Normal 36 5 2 2" xfId="3596" xr:uid="{00000000-0005-0000-0000-00006F0A0000}"/>
    <cellStyle name="Normal 36 5 3" xfId="2720" xr:uid="{00000000-0005-0000-0000-0000700A0000}"/>
    <cellStyle name="Normal 36 6" xfId="1401" xr:uid="{00000000-0005-0000-0000-0000710A0000}"/>
    <cellStyle name="Normal 36 6 2" xfId="3160" xr:uid="{00000000-0005-0000-0000-0000720A0000}"/>
    <cellStyle name="Normal 36 7" xfId="2284" xr:uid="{00000000-0005-0000-0000-0000730A0000}"/>
    <cellStyle name="Normal 37" xfId="500" xr:uid="{00000000-0005-0000-0000-0000740A0000}"/>
    <cellStyle name="Normal 37 2" xfId="562" xr:uid="{00000000-0005-0000-0000-0000750A0000}"/>
    <cellStyle name="Normal 37 2 2" xfId="671" xr:uid="{00000000-0005-0000-0000-0000760A0000}"/>
    <cellStyle name="Normal 37 2 2 2" xfId="845" xr:uid="{00000000-0005-0000-0000-0000770A0000}"/>
    <cellStyle name="Normal 37 2 2 2 2" xfId="1281" xr:uid="{00000000-0005-0000-0000-0000780A0000}"/>
    <cellStyle name="Normal 37 2 2 2 2 2" xfId="2157" xr:uid="{00000000-0005-0000-0000-0000790A0000}"/>
    <cellStyle name="Normal 37 2 2 2 2 2 2" xfId="3916" xr:uid="{00000000-0005-0000-0000-00007A0A0000}"/>
    <cellStyle name="Normal 37 2 2 2 2 3" xfId="3040" xr:uid="{00000000-0005-0000-0000-00007B0A0000}"/>
    <cellStyle name="Normal 37 2 2 2 3" xfId="1721" xr:uid="{00000000-0005-0000-0000-00007C0A0000}"/>
    <cellStyle name="Normal 37 2 2 2 3 2" xfId="3480" xr:uid="{00000000-0005-0000-0000-00007D0A0000}"/>
    <cellStyle name="Normal 37 2 2 2 4" xfId="2604" xr:uid="{00000000-0005-0000-0000-00007E0A0000}"/>
    <cellStyle name="Normal 37 2 2 3" xfId="1125" xr:uid="{00000000-0005-0000-0000-00007F0A0000}"/>
    <cellStyle name="Normal 37 2 2 3 2" xfId="2001" xr:uid="{00000000-0005-0000-0000-0000800A0000}"/>
    <cellStyle name="Normal 37 2 2 3 2 2" xfId="3760" xr:uid="{00000000-0005-0000-0000-0000810A0000}"/>
    <cellStyle name="Normal 37 2 2 3 3" xfId="2884" xr:uid="{00000000-0005-0000-0000-0000820A0000}"/>
    <cellStyle name="Normal 37 2 2 4" xfId="1565" xr:uid="{00000000-0005-0000-0000-0000830A0000}"/>
    <cellStyle name="Normal 37 2 2 4 2" xfId="3324" xr:uid="{00000000-0005-0000-0000-0000840A0000}"/>
    <cellStyle name="Normal 37 2 2 5" xfId="2448" xr:uid="{00000000-0005-0000-0000-0000850A0000}"/>
    <cellStyle name="Normal 37 2 3" xfId="846" xr:uid="{00000000-0005-0000-0000-0000860A0000}"/>
    <cellStyle name="Normal 37 2 3 2" xfId="1282" xr:uid="{00000000-0005-0000-0000-0000870A0000}"/>
    <cellStyle name="Normal 37 2 3 2 2" xfId="2158" xr:uid="{00000000-0005-0000-0000-0000880A0000}"/>
    <cellStyle name="Normal 37 2 3 2 2 2" xfId="3917" xr:uid="{00000000-0005-0000-0000-0000890A0000}"/>
    <cellStyle name="Normal 37 2 3 2 3" xfId="3041" xr:uid="{00000000-0005-0000-0000-00008A0A0000}"/>
    <cellStyle name="Normal 37 2 3 3" xfId="1722" xr:uid="{00000000-0005-0000-0000-00008B0A0000}"/>
    <cellStyle name="Normal 37 2 3 3 2" xfId="3481" xr:uid="{00000000-0005-0000-0000-00008C0A0000}"/>
    <cellStyle name="Normal 37 2 3 4" xfId="2605" xr:uid="{00000000-0005-0000-0000-00008D0A0000}"/>
    <cellStyle name="Normal 37 2 4" xfId="1017" xr:uid="{00000000-0005-0000-0000-00008E0A0000}"/>
    <cellStyle name="Normal 37 2 4 2" xfId="1893" xr:uid="{00000000-0005-0000-0000-00008F0A0000}"/>
    <cellStyle name="Normal 37 2 4 2 2" xfId="3652" xr:uid="{00000000-0005-0000-0000-0000900A0000}"/>
    <cellStyle name="Normal 37 2 4 3" xfId="2776" xr:uid="{00000000-0005-0000-0000-0000910A0000}"/>
    <cellStyle name="Normal 37 2 5" xfId="1457" xr:uid="{00000000-0005-0000-0000-0000920A0000}"/>
    <cellStyle name="Normal 37 2 5 2" xfId="3216" xr:uid="{00000000-0005-0000-0000-0000930A0000}"/>
    <cellStyle name="Normal 37 2 6" xfId="2340" xr:uid="{00000000-0005-0000-0000-0000940A0000}"/>
    <cellStyle name="Normal 37 3" xfId="616" xr:uid="{00000000-0005-0000-0000-0000950A0000}"/>
    <cellStyle name="Normal 37 3 2" xfId="847" xr:uid="{00000000-0005-0000-0000-0000960A0000}"/>
    <cellStyle name="Normal 37 3 2 2" xfId="1283" xr:uid="{00000000-0005-0000-0000-0000970A0000}"/>
    <cellStyle name="Normal 37 3 2 2 2" xfId="2159" xr:uid="{00000000-0005-0000-0000-0000980A0000}"/>
    <cellStyle name="Normal 37 3 2 2 2 2" xfId="3918" xr:uid="{00000000-0005-0000-0000-0000990A0000}"/>
    <cellStyle name="Normal 37 3 2 2 3" xfId="3042" xr:uid="{00000000-0005-0000-0000-00009A0A0000}"/>
    <cellStyle name="Normal 37 3 2 3" xfId="1723" xr:uid="{00000000-0005-0000-0000-00009B0A0000}"/>
    <cellStyle name="Normal 37 3 2 3 2" xfId="3482" xr:uid="{00000000-0005-0000-0000-00009C0A0000}"/>
    <cellStyle name="Normal 37 3 2 4" xfId="2606" xr:uid="{00000000-0005-0000-0000-00009D0A0000}"/>
    <cellStyle name="Normal 37 3 3" xfId="1070" xr:uid="{00000000-0005-0000-0000-00009E0A0000}"/>
    <cellStyle name="Normal 37 3 3 2" xfId="1946" xr:uid="{00000000-0005-0000-0000-00009F0A0000}"/>
    <cellStyle name="Normal 37 3 3 2 2" xfId="3705" xr:uid="{00000000-0005-0000-0000-0000A00A0000}"/>
    <cellStyle name="Normal 37 3 3 3" xfId="2829" xr:uid="{00000000-0005-0000-0000-0000A10A0000}"/>
    <cellStyle name="Normal 37 3 4" xfId="1510" xr:uid="{00000000-0005-0000-0000-0000A20A0000}"/>
    <cellStyle name="Normal 37 3 4 2" xfId="3269" xr:uid="{00000000-0005-0000-0000-0000A30A0000}"/>
    <cellStyle name="Normal 37 3 5" xfId="2393" xr:uid="{00000000-0005-0000-0000-0000A40A0000}"/>
    <cellStyle name="Normal 37 4" xfId="848" xr:uid="{00000000-0005-0000-0000-0000A50A0000}"/>
    <cellStyle name="Normal 37 4 2" xfId="1284" xr:uid="{00000000-0005-0000-0000-0000A60A0000}"/>
    <cellStyle name="Normal 37 4 2 2" xfId="2160" xr:uid="{00000000-0005-0000-0000-0000A70A0000}"/>
    <cellStyle name="Normal 37 4 2 2 2" xfId="3919" xr:uid="{00000000-0005-0000-0000-0000A80A0000}"/>
    <cellStyle name="Normal 37 4 2 3" xfId="3043" xr:uid="{00000000-0005-0000-0000-0000A90A0000}"/>
    <cellStyle name="Normal 37 4 3" xfId="1724" xr:uid="{00000000-0005-0000-0000-0000AA0A0000}"/>
    <cellStyle name="Normal 37 4 3 2" xfId="3483" xr:uid="{00000000-0005-0000-0000-0000AB0A0000}"/>
    <cellStyle name="Normal 37 4 4" xfId="2607" xr:uid="{00000000-0005-0000-0000-0000AC0A0000}"/>
    <cellStyle name="Normal 37 5" xfId="962" xr:uid="{00000000-0005-0000-0000-0000AD0A0000}"/>
    <cellStyle name="Normal 37 5 2" xfId="1838" xr:uid="{00000000-0005-0000-0000-0000AE0A0000}"/>
    <cellStyle name="Normal 37 5 2 2" xfId="3597" xr:uid="{00000000-0005-0000-0000-0000AF0A0000}"/>
    <cellStyle name="Normal 37 5 3" xfId="2721" xr:uid="{00000000-0005-0000-0000-0000B00A0000}"/>
    <cellStyle name="Normal 37 6" xfId="1402" xr:uid="{00000000-0005-0000-0000-0000B10A0000}"/>
    <cellStyle name="Normal 37 6 2" xfId="3161" xr:uid="{00000000-0005-0000-0000-0000B20A0000}"/>
    <cellStyle name="Normal 37 7" xfId="2285" xr:uid="{00000000-0005-0000-0000-0000B30A0000}"/>
    <cellStyle name="Normal 38" xfId="503" xr:uid="{00000000-0005-0000-0000-0000B40A0000}"/>
    <cellStyle name="Normal 38 2" xfId="564" xr:uid="{00000000-0005-0000-0000-0000B50A0000}"/>
    <cellStyle name="Normal 38 2 2" xfId="673" xr:uid="{00000000-0005-0000-0000-0000B60A0000}"/>
    <cellStyle name="Normal 38 2 2 2" xfId="849" xr:uid="{00000000-0005-0000-0000-0000B70A0000}"/>
    <cellStyle name="Normal 38 2 2 2 2" xfId="1285" xr:uid="{00000000-0005-0000-0000-0000B80A0000}"/>
    <cellStyle name="Normal 38 2 2 2 2 2" xfId="2161" xr:uid="{00000000-0005-0000-0000-0000B90A0000}"/>
    <cellStyle name="Normal 38 2 2 2 2 2 2" xfId="3920" xr:uid="{00000000-0005-0000-0000-0000BA0A0000}"/>
    <cellStyle name="Normal 38 2 2 2 2 3" xfId="3044" xr:uid="{00000000-0005-0000-0000-0000BB0A0000}"/>
    <cellStyle name="Normal 38 2 2 2 3" xfId="1725" xr:uid="{00000000-0005-0000-0000-0000BC0A0000}"/>
    <cellStyle name="Normal 38 2 2 2 3 2" xfId="3484" xr:uid="{00000000-0005-0000-0000-0000BD0A0000}"/>
    <cellStyle name="Normal 38 2 2 2 4" xfId="2608" xr:uid="{00000000-0005-0000-0000-0000BE0A0000}"/>
    <cellStyle name="Normal 38 2 2 3" xfId="1127" xr:uid="{00000000-0005-0000-0000-0000BF0A0000}"/>
    <cellStyle name="Normal 38 2 2 3 2" xfId="2003" xr:uid="{00000000-0005-0000-0000-0000C00A0000}"/>
    <cellStyle name="Normal 38 2 2 3 2 2" xfId="3762" xr:uid="{00000000-0005-0000-0000-0000C10A0000}"/>
    <cellStyle name="Normal 38 2 2 3 3" xfId="2886" xr:uid="{00000000-0005-0000-0000-0000C20A0000}"/>
    <cellStyle name="Normal 38 2 2 4" xfId="1567" xr:uid="{00000000-0005-0000-0000-0000C30A0000}"/>
    <cellStyle name="Normal 38 2 2 4 2" xfId="3326" xr:uid="{00000000-0005-0000-0000-0000C40A0000}"/>
    <cellStyle name="Normal 38 2 2 5" xfId="2450" xr:uid="{00000000-0005-0000-0000-0000C50A0000}"/>
    <cellStyle name="Normal 38 2 3" xfId="850" xr:uid="{00000000-0005-0000-0000-0000C60A0000}"/>
    <cellStyle name="Normal 38 2 3 2" xfId="1286" xr:uid="{00000000-0005-0000-0000-0000C70A0000}"/>
    <cellStyle name="Normal 38 2 3 2 2" xfId="2162" xr:uid="{00000000-0005-0000-0000-0000C80A0000}"/>
    <cellStyle name="Normal 38 2 3 2 2 2" xfId="3921" xr:uid="{00000000-0005-0000-0000-0000C90A0000}"/>
    <cellStyle name="Normal 38 2 3 2 3" xfId="3045" xr:uid="{00000000-0005-0000-0000-0000CA0A0000}"/>
    <cellStyle name="Normal 38 2 3 3" xfId="1726" xr:uid="{00000000-0005-0000-0000-0000CB0A0000}"/>
    <cellStyle name="Normal 38 2 3 3 2" xfId="3485" xr:uid="{00000000-0005-0000-0000-0000CC0A0000}"/>
    <cellStyle name="Normal 38 2 3 4" xfId="2609" xr:uid="{00000000-0005-0000-0000-0000CD0A0000}"/>
    <cellStyle name="Normal 38 2 4" xfId="1019" xr:uid="{00000000-0005-0000-0000-0000CE0A0000}"/>
    <cellStyle name="Normal 38 2 4 2" xfId="1895" xr:uid="{00000000-0005-0000-0000-0000CF0A0000}"/>
    <cellStyle name="Normal 38 2 4 2 2" xfId="3654" xr:uid="{00000000-0005-0000-0000-0000D00A0000}"/>
    <cellStyle name="Normal 38 2 4 3" xfId="2778" xr:uid="{00000000-0005-0000-0000-0000D10A0000}"/>
    <cellStyle name="Normal 38 2 5" xfId="1459" xr:uid="{00000000-0005-0000-0000-0000D20A0000}"/>
    <cellStyle name="Normal 38 2 5 2" xfId="3218" xr:uid="{00000000-0005-0000-0000-0000D30A0000}"/>
    <cellStyle name="Normal 38 2 6" xfId="2342" xr:uid="{00000000-0005-0000-0000-0000D40A0000}"/>
    <cellStyle name="Normal 38 3" xfId="618" xr:uid="{00000000-0005-0000-0000-0000D50A0000}"/>
    <cellStyle name="Normal 38 3 2" xfId="851" xr:uid="{00000000-0005-0000-0000-0000D60A0000}"/>
    <cellStyle name="Normal 38 3 2 2" xfId="1287" xr:uid="{00000000-0005-0000-0000-0000D70A0000}"/>
    <cellStyle name="Normal 38 3 2 2 2" xfId="2163" xr:uid="{00000000-0005-0000-0000-0000D80A0000}"/>
    <cellStyle name="Normal 38 3 2 2 2 2" xfId="3922" xr:uid="{00000000-0005-0000-0000-0000D90A0000}"/>
    <cellStyle name="Normal 38 3 2 2 3" xfId="3046" xr:uid="{00000000-0005-0000-0000-0000DA0A0000}"/>
    <cellStyle name="Normal 38 3 2 3" xfId="1727" xr:uid="{00000000-0005-0000-0000-0000DB0A0000}"/>
    <cellStyle name="Normal 38 3 2 3 2" xfId="3486" xr:uid="{00000000-0005-0000-0000-0000DC0A0000}"/>
    <cellStyle name="Normal 38 3 2 4" xfId="2610" xr:uid="{00000000-0005-0000-0000-0000DD0A0000}"/>
    <cellStyle name="Normal 38 3 3" xfId="1072" xr:uid="{00000000-0005-0000-0000-0000DE0A0000}"/>
    <cellStyle name="Normal 38 3 3 2" xfId="1948" xr:uid="{00000000-0005-0000-0000-0000DF0A0000}"/>
    <cellStyle name="Normal 38 3 3 2 2" xfId="3707" xr:uid="{00000000-0005-0000-0000-0000E00A0000}"/>
    <cellStyle name="Normal 38 3 3 3" xfId="2831" xr:uid="{00000000-0005-0000-0000-0000E10A0000}"/>
    <cellStyle name="Normal 38 3 4" xfId="1512" xr:uid="{00000000-0005-0000-0000-0000E20A0000}"/>
    <cellStyle name="Normal 38 3 4 2" xfId="3271" xr:uid="{00000000-0005-0000-0000-0000E30A0000}"/>
    <cellStyle name="Normal 38 3 5" xfId="2395" xr:uid="{00000000-0005-0000-0000-0000E40A0000}"/>
    <cellStyle name="Normal 38 4" xfId="852" xr:uid="{00000000-0005-0000-0000-0000E50A0000}"/>
    <cellStyle name="Normal 38 4 2" xfId="1288" xr:uid="{00000000-0005-0000-0000-0000E60A0000}"/>
    <cellStyle name="Normal 38 4 2 2" xfId="2164" xr:uid="{00000000-0005-0000-0000-0000E70A0000}"/>
    <cellStyle name="Normal 38 4 2 2 2" xfId="3923" xr:uid="{00000000-0005-0000-0000-0000E80A0000}"/>
    <cellStyle name="Normal 38 4 2 3" xfId="3047" xr:uid="{00000000-0005-0000-0000-0000E90A0000}"/>
    <cellStyle name="Normal 38 4 3" xfId="1728" xr:uid="{00000000-0005-0000-0000-0000EA0A0000}"/>
    <cellStyle name="Normal 38 4 3 2" xfId="3487" xr:uid="{00000000-0005-0000-0000-0000EB0A0000}"/>
    <cellStyle name="Normal 38 4 4" xfId="2611" xr:uid="{00000000-0005-0000-0000-0000EC0A0000}"/>
    <cellStyle name="Normal 38 5" xfId="964" xr:uid="{00000000-0005-0000-0000-0000ED0A0000}"/>
    <cellStyle name="Normal 38 5 2" xfId="1840" xr:uid="{00000000-0005-0000-0000-0000EE0A0000}"/>
    <cellStyle name="Normal 38 5 2 2" xfId="3599" xr:uid="{00000000-0005-0000-0000-0000EF0A0000}"/>
    <cellStyle name="Normal 38 5 3" xfId="2723" xr:uid="{00000000-0005-0000-0000-0000F00A0000}"/>
    <cellStyle name="Normal 38 6" xfId="1404" xr:uid="{00000000-0005-0000-0000-0000F10A0000}"/>
    <cellStyle name="Normal 38 6 2" xfId="3163" xr:uid="{00000000-0005-0000-0000-0000F20A0000}"/>
    <cellStyle name="Normal 38 7" xfId="2287" xr:uid="{00000000-0005-0000-0000-0000F30A0000}"/>
    <cellStyle name="Normal 39" xfId="504" xr:uid="{00000000-0005-0000-0000-0000F40A0000}"/>
    <cellStyle name="Normal 39 2" xfId="565" xr:uid="{00000000-0005-0000-0000-0000F50A0000}"/>
    <cellStyle name="Normal 39 2 2" xfId="674" xr:uid="{00000000-0005-0000-0000-0000F60A0000}"/>
    <cellStyle name="Normal 39 2 2 2" xfId="853" xr:uid="{00000000-0005-0000-0000-0000F70A0000}"/>
    <cellStyle name="Normal 39 2 2 2 2" xfId="1289" xr:uid="{00000000-0005-0000-0000-0000F80A0000}"/>
    <cellStyle name="Normal 39 2 2 2 2 2" xfId="2165" xr:uid="{00000000-0005-0000-0000-0000F90A0000}"/>
    <cellStyle name="Normal 39 2 2 2 2 2 2" xfId="3924" xr:uid="{00000000-0005-0000-0000-0000FA0A0000}"/>
    <cellStyle name="Normal 39 2 2 2 2 3" xfId="3048" xr:uid="{00000000-0005-0000-0000-0000FB0A0000}"/>
    <cellStyle name="Normal 39 2 2 2 3" xfId="1729" xr:uid="{00000000-0005-0000-0000-0000FC0A0000}"/>
    <cellStyle name="Normal 39 2 2 2 3 2" xfId="3488" xr:uid="{00000000-0005-0000-0000-0000FD0A0000}"/>
    <cellStyle name="Normal 39 2 2 2 4" xfId="2612" xr:uid="{00000000-0005-0000-0000-0000FE0A0000}"/>
    <cellStyle name="Normal 39 2 2 3" xfId="1128" xr:uid="{00000000-0005-0000-0000-0000FF0A0000}"/>
    <cellStyle name="Normal 39 2 2 3 2" xfId="2004" xr:uid="{00000000-0005-0000-0000-0000000B0000}"/>
    <cellStyle name="Normal 39 2 2 3 2 2" xfId="3763" xr:uid="{00000000-0005-0000-0000-0000010B0000}"/>
    <cellStyle name="Normal 39 2 2 3 3" xfId="2887" xr:uid="{00000000-0005-0000-0000-0000020B0000}"/>
    <cellStyle name="Normal 39 2 2 4" xfId="1568" xr:uid="{00000000-0005-0000-0000-0000030B0000}"/>
    <cellStyle name="Normal 39 2 2 4 2" xfId="3327" xr:uid="{00000000-0005-0000-0000-0000040B0000}"/>
    <cellStyle name="Normal 39 2 2 5" xfId="2451" xr:uid="{00000000-0005-0000-0000-0000050B0000}"/>
    <cellStyle name="Normal 39 2 3" xfId="854" xr:uid="{00000000-0005-0000-0000-0000060B0000}"/>
    <cellStyle name="Normal 39 2 3 2" xfId="1290" xr:uid="{00000000-0005-0000-0000-0000070B0000}"/>
    <cellStyle name="Normal 39 2 3 2 2" xfId="2166" xr:uid="{00000000-0005-0000-0000-0000080B0000}"/>
    <cellStyle name="Normal 39 2 3 2 2 2" xfId="3925" xr:uid="{00000000-0005-0000-0000-0000090B0000}"/>
    <cellStyle name="Normal 39 2 3 2 3" xfId="3049" xr:uid="{00000000-0005-0000-0000-00000A0B0000}"/>
    <cellStyle name="Normal 39 2 3 3" xfId="1730" xr:uid="{00000000-0005-0000-0000-00000B0B0000}"/>
    <cellStyle name="Normal 39 2 3 3 2" xfId="3489" xr:uid="{00000000-0005-0000-0000-00000C0B0000}"/>
    <cellStyle name="Normal 39 2 3 4" xfId="2613" xr:uid="{00000000-0005-0000-0000-00000D0B0000}"/>
    <cellStyle name="Normal 39 2 4" xfId="1020" xr:uid="{00000000-0005-0000-0000-00000E0B0000}"/>
    <cellStyle name="Normal 39 2 4 2" xfId="1896" xr:uid="{00000000-0005-0000-0000-00000F0B0000}"/>
    <cellStyle name="Normal 39 2 4 2 2" xfId="3655" xr:uid="{00000000-0005-0000-0000-0000100B0000}"/>
    <cellStyle name="Normal 39 2 4 3" xfId="2779" xr:uid="{00000000-0005-0000-0000-0000110B0000}"/>
    <cellStyle name="Normal 39 2 5" xfId="1460" xr:uid="{00000000-0005-0000-0000-0000120B0000}"/>
    <cellStyle name="Normal 39 2 5 2" xfId="3219" xr:uid="{00000000-0005-0000-0000-0000130B0000}"/>
    <cellStyle name="Normal 39 2 6" xfId="2343" xr:uid="{00000000-0005-0000-0000-0000140B0000}"/>
    <cellStyle name="Normal 39 3" xfId="619" xr:uid="{00000000-0005-0000-0000-0000150B0000}"/>
    <cellStyle name="Normal 39 3 2" xfId="855" xr:uid="{00000000-0005-0000-0000-0000160B0000}"/>
    <cellStyle name="Normal 39 3 2 2" xfId="1291" xr:uid="{00000000-0005-0000-0000-0000170B0000}"/>
    <cellStyle name="Normal 39 3 2 2 2" xfId="2167" xr:uid="{00000000-0005-0000-0000-0000180B0000}"/>
    <cellStyle name="Normal 39 3 2 2 2 2" xfId="3926" xr:uid="{00000000-0005-0000-0000-0000190B0000}"/>
    <cellStyle name="Normal 39 3 2 2 3" xfId="3050" xr:uid="{00000000-0005-0000-0000-00001A0B0000}"/>
    <cellStyle name="Normal 39 3 2 3" xfId="1731" xr:uid="{00000000-0005-0000-0000-00001B0B0000}"/>
    <cellStyle name="Normal 39 3 2 3 2" xfId="3490" xr:uid="{00000000-0005-0000-0000-00001C0B0000}"/>
    <cellStyle name="Normal 39 3 2 4" xfId="2614" xr:uid="{00000000-0005-0000-0000-00001D0B0000}"/>
    <cellStyle name="Normal 39 3 3" xfId="1073" xr:uid="{00000000-0005-0000-0000-00001E0B0000}"/>
    <cellStyle name="Normal 39 3 3 2" xfId="1949" xr:uid="{00000000-0005-0000-0000-00001F0B0000}"/>
    <cellStyle name="Normal 39 3 3 2 2" xfId="3708" xr:uid="{00000000-0005-0000-0000-0000200B0000}"/>
    <cellStyle name="Normal 39 3 3 3" xfId="2832" xr:uid="{00000000-0005-0000-0000-0000210B0000}"/>
    <cellStyle name="Normal 39 3 4" xfId="1513" xr:uid="{00000000-0005-0000-0000-0000220B0000}"/>
    <cellStyle name="Normal 39 3 4 2" xfId="3272" xr:uid="{00000000-0005-0000-0000-0000230B0000}"/>
    <cellStyle name="Normal 39 3 5" xfId="2396" xr:uid="{00000000-0005-0000-0000-0000240B0000}"/>
    <cellStyle name="Normal 39 4" xfId="856" xr:uid="{00000000-0005-0000-0000-0000250B0000}"/>
    <cellStyle name="Normal 39 4 2" xfId="1292" xr:uid="{00000000-0005-0000-0000-0000260B0000}"/>
    <cellStyle name="Normal 39 4 2 2" xfId="2168" xr:uid="{00000000-0005-0000-0000-0000270B0000}"/>
    <cellStyle name="Normal 39 4 2 2 2" xfId="3927" xr:uid="{00000000-0005-0000-0000-0000280B0000}"/>
    <cellStyle name="Normal 39 4 2 3" xfId="3051" xr:uid="{00000000-0005-0000-0000-0000290B0000}"/>
    <cellStyle name="Normal 39 4 3" xfId="1732" xr:uid="{00000000-0005-0000-0000-00002A0B0000}"/>
    <cellStyle name="Normal 39 4 3 2" xfId="3491" xr:uid="{00000000-0005-0000-0000-00002B0B0000}"/>
    <cellStyle name="Normal 39 4 4" xfId="2615" xr:uid="{00000000-0005-0000-0000-00002C0B0000}"/>
    <cellStyle name="Normal 39 5" xfId="965" xr:uid="{00000000-0005-0000-0000-00002D0B0000}"/>
    <cellStyle name="Normal 39 5 2" xfId="1841" xr:uid="{00000000-0005-0000-0000-00002E0B0000}"/>
    <cellStyle name="Normal 39 5 2 2" xfId="3600" xr:uid="{00000000-0005-0000-0000-00002F0B0000}"/>
    <cellStyle name="Normal 39 5 3" xfId="2724" xr:uid="{00000000-0005-0000-0000-0000300B0000}"/>
    <cellStyle name="Normal 39 6" xfId="1405" xr:uid="{00000000-0005-0000-0000-0000310B0000}"/>
    <cellStyle name="Normal 39 6 2" xfId="3164" xr:uid="{00000000-0005-0000-0000-0000320B0000}"/>
    <cellStyle name="Normal 39 7" xfId="2288" xr:uid="{00000000-0005-0000-0000-0000330B0000}"/>
    <cellStyle name="Normal 4" xfId="67" xr:uid="{00000000-0005-0000-0000-0000340B0000}"/>
    <cellStyle name="Normal 4 2" xfId="510" xr:uid="{00000000-0005-0000-0000-0000350B0000}"/>
    <cellStyle name="Normal 40" xfId="505" xr:uid="{00000000-0005-0000-0000-0000360B0000}"/>
    <cellStyle name="Normal 40 2" xfId="566" xr:uid="{00000000-0005-0000-0000-0000370B0000}"/>
    <cellStyle name="Normal 40 2 2" xfId="675" xr:uid="{00000000-0005-0000-0000-0000380B0000}"/>
    <cellStyle name="Normal 40 2 2 2" xfId="857" xr:uid="{00000000-0005-0000-0000-0000390B0000}"/>
    <cellStyle name="Normal 40 2 2 2 2" xfId="1293" xr:uid="{00000000-0005-0000-0000-00003A0B0000}"/>
    <cellStyle name="Normal 40 2 2 2 2 2" xfId="2169" xr:uid="{00000000-0005-0000-0000-00003B0B0000}"/>
    <cellStyle name="Normal 40 2 2 2 2 2 2" xfId="3928" xr:uid="{00000000-0005-0000-0000-00003C0B0000}"/>
    <cellStyle name="Normal 40 2 2 2 2 3" xfId="3052" xr:uid="{00000000-0005-0000-0000-00003D0B0000}"/>
    <cellStyle name="Normal 40 2 2 2 3" xfId="1733" xr:uid="{00000000-0005-0000-0000-00003E0B0000}"/>
    <cellStyle name="Normal 40 2 2 2 3 2" xfId="3492" xr:uid="{00000000-0005-0000-0000-00003F0B0000}"/>
    <cellStyle name="Normal 40 2 2 2 4" xfId="2616" xr:uid="{00000000-0005-0000-0000-0000400B0000}"/>
    <cellStyle name="Normal 40 2 2 3" xfId="1129" xr:uid="{00000000-0005-0000-0000-0000410B0000}"/>
    <cellStyle name="Normal 40 2 2 3 2" xfId="2005" xr:uid="{00000000-0005-0000-0000-0000420B0000}"/>
    <cellStyle name="Normal 40 2 2 3 2 2" xfId="3764" xr:uid="{00000000-0005-0000-0000-0000430B0000}"/>
    <cellStyle name="Normal 40 2 2 3 3" xfId="2888" xr:uid="{00000000-0005-0000-0000-0000440B0000}"/>
    <cellStyle name="Normal 40 2 2 4" xfId="1569" xr:uid="{00000000-0005-0000-0000-0000450B0000}"/>
    <cellStyle name="Normal 40 2 2 4 2" xfId="3328" xr:uid="{00000000-0005-0000-0000-0000460B0000}"/>
    <cellStyle name="Normal 40 2 2 5" xfId="2452" xr:uid="{00000000-0005-0000-0000-0000470B0000}"/>
    <cellStyle name="Normal 40 2 3" xfId="858" xr:uid="{00000000-0005-0000-0000-0000480B0000}"/>
    <cellStyle name="Normal 40 2 3 2" xfId="1294" xr:uid="{00000000-0005-0000-0000-0000490B0000}"/>
    <cellStyle name="Normal 40 2 3 2 2" xfId="2170" xr:uid="{00000000-0005-0000-0000-00004A0B0000}"/>
    <cellStyle name="Normal 40 2 3 2 2 2" xfId="3929" xr:uid="{00000000-0005-0000-0000-00004B0B0000}"/>
    <cellStyle name="Normal 40 2 3 2 3" xfId="3053" xr:uid="{00000000-0005-0000-0000-00004C0B0000}"/>
    <cellStyle name="Normal 40 2 3 3" xfId="1734" xr:uid="{00000000-0005-0000-0000-00004D0B0000}"/>
    <cellStyle name="Normal 40 2 3 3 2" xfId="3493" xr:uid="{00000000-0005-0000-0000-00004E0B0000}"/>
    <cellStyle name="Normal 40 2 3 4" xfId="2617" xr:uid="{00000000-0005-0000-0000-00004F0B0000}"/>
    <cellStyle name="Normal 40 2 4" xfId="1021" xr:uid="{00000000-0005-0000-0000-0000500B0000}"/>
    <cellStyle name="Normal 40 2 4 2" xfId="1897" xr:uid="{00000000-0005-0000-0000-0000510B0000}"/>
    <cellStyle name="Normal 40 2 4 2 2" xfId="3656" xr:uid="{00000000-0005-0000-0000-0000520B0000}"/>
    <cellStyle name="Normal 40 2 4 3" xfId="2780" xr:uid="{00000000-0005-0000-0000-0000530B0000}"/>
    <cellStyle name="Normal 40 2 5" xfId="1461" xr:uid="{00000000-0005-0000-0000-0000540B0000}"/>
    <cellStyle name="Normal 40 2 5 2" xfId="3220" xr:uid="{00000000-0005-0000-0000-0000550B0000}"/>
    <cellStyle name="Normal 40 2 6" xfId="2344" xr:uid="{00000000-0005-0000-0000-0000560B0000}"/>
    <cellStyle name="Normal 40 3" xfId="620" xr:uid="{00000000-0005-0000-0000-0000570B0000}"/>
    <cellStyle name="Normal 40 3 2" xfId="859" xr:uid="{00000000-0005-0000-0000-0000580B0000}"/>
    <cellStyle name="Normal 40 3 2 2" xfId="1295" xr:uid="{00000000-0005-0000-0000-0000590B0000}"/>
    <cellStyle name="Normal 40 3 2 2 2" xfId="2171" xr:uid="{00000000-0005-0000-0000-00005A0B0000}"/>
    <cellStyle name="Normal 40 3 2 2 2 2" xfId="3930" xr:uid="{00000000-0005-0000-0000-00005B0B0000}"/>
    <cellStyle name="Normal 40 3 2 2 3" xfId="3054" xr:uid="{00000000-0005-0000-0000-00005C0B0000}"/>
    <cellStyle name="Normal 40 3 2 3" xfId="1735" xr:uid="{00000000-0005-0000-0000-00005D0B0000}"/>
    <cellStyle name="Normal 40 3 2 3 2" xfId="3494" xr:uid="{00000000-0005-0000-0000-00005E0B0000}"/>
    <cellStyle name="Normal 40 3 2 4" xfId="2618" xr:uid="{00000000-0005-0000-0000-00005F0B0000}"/>
    <cellStyle name="Normal 40 3 3" xfId="1074" xr:uid="{00000000-0005-0000-0000-0000600B0000}"/>
    <cellStyle name="Normal 40 3 3 2" xfId="1950" xr:uid="{00000000-0005-0000-0000-0000610B0000}"/>
    <cellStyle name="Normal 40 3 3 2 2" xfId="3709" xr:uid="{00000000-0005-0000-0000-0000620B0000}"/>
    <cellStyle name="Normal 40 3 3 3" xfId="2833" xr:uid="{00000000-0005-0000-0000-0000630B0000}"/>
    <cellStyle name="Normal 40 3 4" xfId="1514" xr:uid="{00000000-0005-0000-0000-0000640B0000}"/>
    <cellStyle name="Normal 40 3 4 2" xfId="3273" xr:uid="{00000000-0005-0000-0000-0000650B0000}"/>
    <cellStyle name="Normal 40 3 5" xfId="2397" xr:uid="{00000000-0005-0000-0000-0000660B0000}"/>
    <cellStyle name="Normal 40 4" xfId="860" xr:uid="{00000000-0005-0000-0000-0000670B0000}"/>
    <cellStyle name="Normal 40 4 2" xfId="1296" xr:uid="{00000000-0005-0000-0000-0000680B0000}"/>
    <cellStyle name="Normal 40 4 2 2" xfId="2172" xr:uid="{00000000-0005-0000-0000-0000690B0000}"/>
    <cellStyle name="Normal 40 4 2 2 2" xfId="3931" xr:uid="{00000000-0005-0000-0000-00006A0B0000}"/>
    <cellStyle name="Normal 40 4 2 3" xfId="3055" xr:uid="{00000000-0005-0000-0000-00006B0B0000}"/>
    <cellStyle name="Normal 40 4 3" xfId="1736" xr:uid="{00000000-0005-0000-0000-00006C0B0000}"/>
    <cellStyle name="Normal 40 4 3 2" xfId="3495" xr:uid="{00000000-0005-0000-0000-00006D0B0000}"/>
    <cellStyle name="Normal 40 4 4" xfId="2619" xr:uid="{00000000-0005-0000-0000-00006E0B0000}"/>
    <cellStyle name="Normal 40 5" xfId="966" xr:uid="{00000000-0005-0000-0000-00006F0B0000}"/>
    <cellStyle name="Normal 40 5 2" xfId="1842" xr:uid="{00000000-0005-0000-0000-0000700B0000}"/>
    <cellStyle name="Normal 40 5 2 2" xfId="3601" xr:uid="{00000000-0005-0000-0000-0000710B0000}"/>
    <cellStyle name="Normal 40 5 3" xfId="2725" xr:uid="{00000000-0005-0000-0000-0000720B0000}"/>
    <cellStyle name="Normal 40 6" xfId="1406" xr:uid="{00000000-0005-0000-0000-0000730B0000}"/>
    <cellStyle name="Normal 40 6 2" xfId="3165" xr:uid="{00000000-0005-0000-0000-0000740B0000}"/>
    <cellStyle name="Normal 40 7" xfId="2289" xr:uid="{00000000-0005-0000-0000-0000750B0000}"/>
    <cellStyle name="Normal 41" xfId="506" xr:uid="{00000000-0005-0000-0000-0000760B0000}"/>
    <cellStyle name="Normal 41 2" xfId="567" xr:uid="{00000000-0005-0000-0000-0000770B0000}"/>
    <cellStyle name="Normal 41 2 2" xfId="676" xr:uid="{00000000-0005-0000-0000-0000780B0000}"/>
    <cellStyle name="Normal 41 2 2 2" xfId="861" xr:uid="{00000000-0005-0000-0000-0000790B0000}"/>
    <cellStyle name="Normal 41 2 2 2 2" xfId="1297" xr:uid="{00000000-0005-0000-0000-00007A0B0000}"/>
    <cellStyle name="Normal 41 2 2 2 2 2" xfId="2173" xr:uid="{00000000-0005-0000-0000-00007B0B0000}"/>
    <cellStyle name="Normal 41 2 2 2 2 2 2" xfId="3932" xr:uid="{00000000-0005-0000-0000-00007C0B0000}"/>
    <cellStyle name="Normal 41 2 2 2 2 3" xfId="3056" xr:uid="{00000000-0005-0000-0000-00007D0B0000}"/>
    <cellStyle name="Normal 41 2 2 2 3" xfId="1737" xr:uid="{00000000-0005-0000-0000-00007E0B0000}"/>
    <cellStyle name="Normal 41 2 2 2 3 2" xfId="3496" xr:uid="{00000000-0005-0000-0000-00007F0B0000}"/>
    <cellStyle name="Normal 41 2 2 2 4" xfId="2620" xr:uid="{00000000-0005-0000-0000-0000800B0000}"/>
    <cellStyle name="Normal 41 2 2 3" xfId="1130" xr:uid="{00000000-0005-0000-0000-0000810B0000}"/>
    <cellStyle name="Normal 41 2 2 3 2" xfId="2006" xr:uid="{00000000-0005-0000-0000-0000820B0000}"/>
    <cellStyle name="Normal 41 2 2 3 2 2" xfId="3765" xr:uid="{00000000-0005-0000-0000-0000830B0000}"/>
    <cellStyle name="Normal 41 2 2 3 3" xfId="2889" xr:uid="{00000000-0005-0000-0000-0000840B0000}"/>
    <cellStyle name="Normal 41 2 2 4" xfId="1570" xr:uid="{00000000-0005-0000-0000-0000850B0000}"/>
    <cellStyle name="Normal 41 2 2 4 2" xfId="3329" xr:uid="{00000000-0005-0000-0000-0000860B0000}"/>
    <cellStyle name="Normal 41 2 2 5" xfId="2453" xr:uid="{00000000-0005-0000-0000-0000870B0000}"/>
    <cellStyle name="Normal 41 2 3" xfId="862" xr:uid="{00000000-0005-0000-0000-0000880B0000}"/>
    <cellStyle name="Normal 41 2 3 2" xfId="1298" xr:uid="{00000000-0005-0000-0000-0000890B0000}"/>
    <cellStyle name="Normal 41 2 3 2 2" xfId="2174" xr:uid="{00000000-0005-0000-0000-00008A0B0000}"/>
    <cellStyle name="Normal 41 2 3 2 2 2" xfId="3933" xr:uid="{00000000-0005-0000-0000-00008B0B0000}"/>
    <cellStyle name="Normal 41 2 3 2 3" xfId="3057" xr:uid="{00000000-0005-0000-0000-00008C0B0000}"/>
    <cellStyle name="Normal 41 2 3 3" xfId="1738" xr:uid="{00000000-0005-0000-0000-00008D0B0000}"/>
    <cellStyle name="Normal 41 2 3 3 2" xfId="3497" xr:uid="{00000000-0005-0000-0000-00008E0B0000}"/>
    <cellStyle name="Normal 41 2 3 4" xfId="2621" xr:uid="{00000000-0005-0000-0000-00008F0B0000}"/>
    <cellStyle name="Normal 41 2 4" xfId="1022" xr:uid="{00000000-0005-0000-0000-0000900B0000}"/>
    <cellStyle name="Normal 41 2 4 2" xfId="1898" xr:uid="{00000000-0005-0000-0000-0000910B0000}"/>
    <cellStyle name="Normal 41 2 4 2 2" xfId="3657" xr:uid="{00000000-0005-0000-0000-0000920B0000}"/>
    <cellStyle name="Normal 41 2 4 3" xfId="2781" xr:uid="{00000000-0005-0000-0000-0000930B0000}"/>
    <cellStyle name="Normal 41 2 5" xfId="1462" xr:uid="{00000000-0005-0000-0000-0000940B0000}"/>
    <cellStyle name="Normal 41 2 5 2" xfId="3221" xr:uid="{00000000-0005-0000-0000-0000950B0000}"/>
    <cellStyle name="Normal 41 2 6" xfId="2345" xr:uid="{00000000-0005-0000-0000-0000960B0000}"/>
    <cellStyle name="Normal 41 3" xfId="621" xr:uid="{00000000-0005-0000-0000-0000970B0000}"/>
    <cellStyle name="Normal 41 3 2" xfId="863" xr:uid="{00000000-0005-0000-0000-0000980B0000}"/>
    <cellStyle name="Normal 41 3 2 2" xfId="1299" xr:uid="{00000000-0005-0000-0000-0000990B0000}"/>
    <cellStyle name="Normal 41 3 2 2 2" xfId="2175" xr:uid="{00000000-0005-0000-0000-00009A0B0000}"/>
    <cellStyle name="Normal 41 3 2 2 2 2" xfId="3934" xr:uid="{00000000-0005-0000-0000-00009B0B0000}"/>
    <cellStyle name="Normal 41 3 2 2 3" xfId="3058" xr:uid="{00000000-0005-0000-0000-00009C0B0000}"/>
    <cellStyle name="Normal 41 3 2 3" xfId="1739" xr:uid="{00000000-0005-0000-0000-00009D0B0000}"/>
    <cellStyle name="Normal 41 3 2 3 2" xfId="3498" xr:uid="{00000000-0005-0000-0000-00009E0B0000}"/>
    <cellStyle name="Normal 41 3 2 4" xfId="2622" xr:uid="{00000000-0005-0000-0000-00009F0B0000}"/>
    <cellStyle name="Normal 41 3 3" xfId="1075" xr:uid="{00000000-0005-0000-0000-0000A00B0000}"/>
    <cellStyle name="Normal 41 3 3 2" xfId="1951" xr:uid="{00000000-0005-0000-0000-0000A10B0000}"/>
    <cellStyle name="Normal 41 3 3 2 2" xfId="3710" xr:uid="{00000000-0005-0000-0000-0000A20B0000}"/>
    <cellStyle name="Normal 41 3 3 3" xfId="2834" xr:uid="{00000000-0005-0000-0000-0000A30B0000}"/>
    <cellStyle name="Normal 41 3 4" xfId="1515" xr:uid="{00000000-0005-0000-0000-0000A40B0000}"/>
    <cellStyle name="Normal 41 3 4 2" xfId="3274" xr:uid="{00000000-0005-0000-0000-0000A50B0000}"/>
    <cellStyle name="Normal 41 3 5" xfId="2398" xr:uid="{00000000-0005-0000-0000-0000A60B0000}"/>
    <cellStyle name="Normal 41 4" xfId="864" xr:uid="{00000000-0005-0000-0000-0000A70B0000}"/>
    <cellStyle name="Normal 41 4 2" xfId="1300" xr:uid="{00000000-0005-0000-0000-0000A80B0000}"/>
    <cellStyle name="Normal 41 4 2 2" xfId="2176" xr:uid="{00000000-0005-0000-0000-0000A90B0000}"/>
    <cellStyle name="Normal 41 4 2 2 2" xfId="3935" xr:uid="{00000000-0005-0000-0000-0000AA0B0000}"/>
    <cellStyle name="Normal 41 4 2 3" xfId="3059" xr:uid="{00000000-0005-0000-0000-0000AB0B0000}"/>
    <cellStyle name="Normal 41 4 3" xfId="1740" xr:uid="{00000000-0005-0000-0000-0000AC0B0000}"/>
    <cellStyle name="Normal 41 4 3 2" xfId="3499" xr:uid="{00000000-0005-0000-0000-0000AD0B0000}"/>
    <cellStyle name="Normal 41 4 4" xfId="2623" xr:uid="{00000000-0005-0000-0000-0000AE0B0000}"/>
    <cellStyle name="Normal 41 5" xfId="967" xr:uid="{00000000-0005-0000-0000-0000AF0B0000}"/>
    <cellStyle name="Normal 41 5 2" xfId="1843" xr:uid="{00000000-0005-0000-0000-0000B00B0000}"/>
    <cellStyle name="Normal 41 5 2 2" xfId="3602" xr:uid="{00000000-0005-0000-0000-0000B10B0000}"/>
    <cellStyle name="Normal 41 5 3" xfId="2726" xr:uid="{00000000-0005-0000-0000-0000B20B0000}"/>
    <cellStyle name="Normal 41 6" xfId="1407" xr:uid="{00000000-0005-0000-0000-0000B30B0000}"/>
    <cellStyle name="Normal 41 6 2" xfId="3166" xr:uid="{00000000-0005-0000-0000-0000B40B0000}"/>
    <cellStyle name="Normal 41 7" xfId="2290" xr:uid="{00000000-0005-0000-0000-0000B50B0000}"/>
    <cellStyle name="Normal 42" xfId="507" xr:uid="{00000000-0005-0000-0000-0000B60B0000}"/>
    <cellStyle name="Normal 42 2" xfId="508" xr:uid="{00000000-0005-0000-0000-0000B70B0000}"/>
    <cellStyle name="Normal 42 2 2" xfId="569" xr:uid="{00000000-0005-0000-0000-0000B80B0000}"/>
    <cellStyle name="Normal 42 2 2 2" xfId="678" xr:uid="{00000000-0005-0000-0000-0000B90B0000}"/>
    <cellStyle name="Normal 42 2 2 2 2" xfId="865" xr:uid="{00000000-0005-0000-0000-0000BA0B0000}"/>
    <cellStyle name="Normal 42 2 2 2 2 2" xfId="1301" xr:uid="{00000000-0005-0000-0000-0000BB0B0000}"/>
    <cellStyle name="Normal 42 2 2 2 2 2 2" xfId="2177" xr:uid="{00000000-0005-0000-0000-0000BC0B0000}"/>
    <cellStyle name="Normal 42 2 2 2 2 2 2 2" xfId="3936" xr:uid="{00000000-0005-0000-0000-0000BD0B0000}"/>
    <cellStyle name="Normal 42 2 2 2 2 2 3" xfId="3060" xr:uid="{00000000-0005-0000-0000-0000BE0B0000}"/>
    <cellStyle name="Normal 42 2 2 2 2 3" xfId="1741" xr:uid="{00000000-0005-0000-0000-0000BF0B0000}"/>
    <cellStyle name="Normal 42 2 2 2 2 3 2" xfId="3500" xr:uid="{00000000-0005-0000-0000-0000C00B0000}"/>
    <cellStyle name="Normal 42 2 2 2 2 4" xfId="2624" xr:uid="{00000000-0005-0000-0000-0000C10B0000}"/>
    <cellStyle name="Normal 42 2 2 2 3" xfId="1132" xr:uid="{00000000-0005-0000-0000-0000C20B0000}"/>
    <cellStyle name="Normal 42 2 2 2 3 2" xfId="2008" xr:uid="{00000000-0005-0000-0000-0000C30B0000}"/>
    <cellStyle name="Normal 42 2 2 2 3 2 2" xfId="3767" xr:uid="{00000000-0005-0000-0000-0000C40B0000}"/>
    <cellStyle name="Normal 42 2 2 2 3 3" xfId="2891" xr:uid="{00000000-0005-0000-0000-0000C50B0000}"/>
    <cellStyle name="Normal 42 2 2 2 4" xfId="1572" xr:uid="{00000000-0005-0000-0000-0000C60B0000}"/>
    <cellStyle name="Normal 42 2 2 2 4 2" xfId="3331" xr:uid="{00000000-0005-0000-0000-0000C70B0000}"/>
    <cellStyle name="Normal 42 2 2 2 5" xfId="2455" xr:uid="{00000000-0005-0000-0000-0000C80B0000}"/>
    <cellStyle name="Normal 42 2 2 3" xfId="866" xr:uid="{00000000-0005-0000-0000-0000C90B0000}"/>
    <cellStyle name="Normal 42 2 2 3 2" xfId="1302" xr:uid="{00000000-0005-0000-0000-0000CA0B0000}"/>
    <cellStyle name="Normal 42 2 2 3 2 2" xfId="2178" xr:uid="{00000000-0005-0000-0000-0000CB0B0000}"/>
    <cellStyle name="Normal 42 2 2 3 2 2 2" xfId="3937" xr:uid="{00000000-0005-0000-0000-0000CC0B0000}"/>
    <cellStyle name="Normal 42 2 2 3 2 3" xfId="3061" xr:uid="{00000000-0005-0000-0000-0000CD0B0000}"/>
    <cellStyle name="Normal 42 2 2 3 3" xfId="1742" xr:uid="{00000000-0005-0000-0000-0000CE0B0000}"/>
    <cellStyle name="Normal 42 2 2 3 3 2" xfId="3501" xr:uid="{00000000-0005-0000-0000-0000CF0B0000}"/>
    <cellStyle name="Normal 42 2 2 3 4" xfId="2625" xr:uid="{00000000-0005-0000-0000-0000D00B0000}"/>
    <cellStyle name="Normal 42 2 2 4" xfId="1024" xr:uid="{00000000-0005-0000-0000-0000D10B0000}"/>
    <cellStyle name="Normal 42 2 2 4 2" xfId="1900" xr:uid="{00000000-0005-0000-0000-0000D20B0000}"/>
    <cellStyle name="Normal 42 2 2 4 2 2" xfId="3659" xr:uid="{00000000-0005-0000-0000-0000D30B0000}"/>
    <cellStyle name="Normal 42 2 2 4 3" xfId="2783" xr:uid="{00000000-0005-0000-0000-0000D40B0000}"/>
    <cellStyle name="Normal 42 2 2 5" xfId="1464" xr:uid="{00000000-0005-0000-0000-0000D50B0000}"/>
    <cellStyle name="Normal 42 2 2 5 2" xfId="3223" xr:uid="{00000000-0005-0000-0000-0000D60B0000}"/>
    <cellStyle name="Normal 42 2 2 6" xfId="2347" xr:uid="{00000000-0005-0000-0000-0000D70B0000}"/>
    <cellStyle name="Normal 42 2 3" xfId="623" xr:uid="{00000000-0005-0000-0000-0000D80B0000}"/>
    <cellStyle name="Normal 42 2 3 2" xfId="867" xr:uid="{00000000-0005-0000-0000-0000D90B0000}"/>
    <cellStyle name="Normal 42 2 3 2 2" xfId="1303" xr:uid="{00000000-0005-0000-0000-0000DA0B0000}"/>
    <cellStyle name="Normal 42 2 3 2 2 2" xfId="2179" xr:uid="{00000000-0005-0000-0000-0000DB0B0000}"/>
    <cellStyle name="Normal 42 2 3 2 2 2 2" xfId="3938" xr:uid="{00000000-0005-0000-0000-0000DC0B0000}"/>
    <cellStyle name="Normal 42 2 3 2 2 3" xfId="3062" xr:uid="{00000000-0005-0000-0000-0000DD0B0000}"/>
    <cellStyle name="Normal 42 2 3 2 3" xfId="1743" xr:uid="{00000000-0005-0000-0000-0000DE0B0000}"/>
    <cellStyle name="Normal 42 2 3 2 3 2" xfId="3502" xr:uid="{00000000-0005-0000-0000-0000DF0B0000}"/>
    <cellStyle name="Normal 42 2 3 2 4" xfId="2626" xr:uid="{00000000-0005-0000-0000-0000E00B0000}"/>
    <cellStyle name="Normal 42 2 3 3" xfId="1077" xr:uid="{00000000-0005-0000-0000-0000E10B0000}"/>
    <cellStyle name="Normal 42 2 3 3 2" xfId="1953" xr:uid="{00000000-0005-0000-0000-0000E20B0000}"/>
    <cellStyle name="Normal 42 2 3 3 2 2" xfId="3712" xr:uid="{00000000-0005-0000-0000-0000E30B0000}"/>
    <cellStyle name="Normal 42 2 3 3 3" xfId="2836" xr:uid="{00000000-0005-0000-0000-0000E40B0000}"/>
    <cellStyle name="Normal 42 2 3 4" xfId="1517" xr:uid="{00000000-0005-0000-0000-0000E50B0000}"/>
    <cellStyle name="Normal 42 2 3 4 2" xfId="3276" xr:uid="{00000000-0005-0000-0000-0000E60B0000}"/>
    <cellStyle name="Normal 42 2 3 5" xfId="2400" xr:uid="{00000000-0005-0000-0000-0000E70B0000}"/>
    <cellStyle name="Normal 42 2 4" xfId="868" xr:uid="{00000000-0005-0000-0000-0000E80B0000}"/>
    <cellStyle name="Normal 42 2 4 2" xfId="1304" xr:uid="{00000000-0005-0000-0000-0000E90B0000}"/>
    <cellStyle name="Normal 42 2 4 2 2" xfId="2180" xr:uid="{00000000-0005-0000-0000-0000EA0B0000}"/>
    <cellStyle name="Normal 42 2 4 2 2 2" xfId="3939" xr:uid="{00000000-0005-0000-0000-0000EB0B0000}"/>
    <cellStyle name="Normal 42 2 4 2 3" xfId="3063" xr:uid="{00000000-0005-0000-0000-0000EC0B0000}"/>
    <cellStyle name="Normal 42 2 4 3" xfId="1744" xr:uid="{00000000-0005-0000-0000-0000ED0B0000}"/>
    <cellStyle name="Normal 42 2 4 3 2" xfId="3503" xr:uid="{00000000-0005-0000-0000-0000EE0B0000}"/>
    <cellStyle name="Normal 42 2 4 4" xfId="2627" xr:uid="{00000000-0005-0000-0000-0000EF0B0000}"/>
    <cellStyle name="Normal 42 2 5" xfId="969" xr:uid="{00000000-0005-0000-0000-0000F00B0000}"/>
    <cellStyle name="Normal 42 2 5 2" xfId="1845" xr:uid="{00000000-0005-0000-0000-0000F10B0000}"/>
    <cellStyle name="Normal 42 2 5 2 2" xfId="3604" xr:uid="{00000000-0005-0000-0000-0000F20B0000}"/>
    <cellStyle name="Normal 42 2 5 3" xfId="2728" xr:uid="{00000000-0005-0000-0000-0000F30B0000}"/>
    <cellStyle name="Normal 42 2 6" xfId="1409" xr:uid="{00000000-0005-0000-0000-0000F40B0000}"/>
    <cellStyle name="Normal 42 2 6 2" xfId="3168" xr:uid="{00000000-0005-0000-0000-0000F50B0000}"/>
    <cellStyle name="Normal 42 2 7" xfId="2292" xr:uid="{00000000-0005-0000-0000-0000F60B0000}"/>
    <cellStyle name="Normal 42 3" xfId="568" xr:uid="{00000000-0005-0000-0000-0000F70B0000}"/>
    <cellStyle name="Normal 42 3 2" xfId="677" xr:uid="{00000000-0005-0000-0000-0000F80B0000}"/>
    <cellStyle name="Normal 42 3 2 2" xfId="869" xr:uid="{00000000-0005-0000-0000-0000F90B0000}"/>
    <cellStyle name="Normal 42 3 2 2 2" xfId="1305" xr:uid="{00000000-0005-0000-0000-0000FA0B0000}"/>
    <cellStyle name="Normal 42 3 2 2 2 2" xfId="2181" xr:uid="{00000000-0005-0000-0000-0000FB0B0000}"/>
    <cellStyle name="Normal 42 3 2 2 2 2 2" xfId="3940" xr:uid="{00000000-0005-0000-0000-0000FC0B0000}"/>
    <cellStyle name="Normal 42 3 2 2 2 3" xfId="3064" xr:uid="{00000000-0005-0000-0000-0000FD0B0000}"/>
    <cellStyle name="Normal 42 3 2 2 3" xfId="1745" xr:uid="{00000000-0005-0000-0000-0000FE0B0000}"/>
    <cellStyle name="Normal 42 3 2 2 3 2" xfId="3504" xr:uid="{00000000-0005-0000-0000-0000FF0B0000}"/>
    <cellStyle name="Normal 42 3 2 2 4" xfId="2628" xr:uid="{00000000-0005-0000-0000-0000000C0000}"/>
    <cellStyle name="Normal 42 3 2 3" xfId="1131" xr:uid="{00000000-0005-0000-0000-0000010C0000}"/>
    <cellStyle name="Normal 42 3 2 3 2" xfId="2007" xr:uid="{00000000-0005-0000-0000-0000020C0000}"/>
    <cellStyle name="Normal 42 3 2 3 2 2" xfId="3766" xr:uid="{00000000-0005-0000-0000-0000030C0000}"/>
    <cellStyle name="Normal 42 3 2 3 3" xfId="2890" xr:uid="{00000000-0005-0000-0000-0000040C0000}"/>
    <cellStyle name="Normal 42 3 2 4" xfId="1571" xr:uid="{00000000-0005-0000-0000-0000050C0000}"/>
    <cellStyle name="Normal 42 3 2 4 2" xfId="3330" xr:uid="{00000000-0005-0000-0000-0000060C0000}"/>
    <cellStyle name="Normal 42 3 2 5" xfId="2454" xr:uid="{00000000-0005-0000-0000-0000070C0000}"/>
    <cellStyle name="Normal 42 3 3" xfId="870" xr:uid="{00000000-0005-0000-0000-0000080C0000}"/>
    <cellStyle name="Normal 42 3 3 2" xfId="1306" xr:uid="{00000000-0005-0000-0000-0000090C0000}"/>
    <cellStyle name="Normal 42 3 3 2 2" xfId="2182" xr:uid="{00000000-0005-0000-0000-00000A0C0000}"/>
    <cellStyle name="Normal 42 3 3 2 2 2" xfId="3941" xr:uid="{00000000-0005-0000-0000-00000B0C0000}"/>
    <cellStyle name="Normal 42 3 3 2 3" xfId="3065" xr:uid="{00000000-0005-0000-0000-00000C0C0000}"/>
    <cellStyle name="Normal 42 3 3 3" xfId="1746" xr:uid="{00000000-0005-0000-0000-00000D0C0000}"/>
    <cellStyle name="Normal 42 3 3 3 2" xfId="3505" xr:uid="{00000000-0005-0000-0000-00000E0C0000}"/>
    <cellStyle name="Normal 42 3 3 4" xfId="2629" xr:uid="{00000000-0005-0000-0000-00000F0C0000}"/>
    <cellStyle name="Normal 42 3 4" xfId="1023" xr:uid="{00000000-0005-0000-0000-0000100C0000}"/>
    <cellStyle name="Normal 42 3 4 2" xfId="1899" xr:uid="{00000000-0005-0000-0000-0000110C0000}"/>
    <cellStyle name="Normal 42 3 4 2 2" xfId="3658" xr:uid="{00000000-0005-0000-0000-0000120C0000}"/>
    <cellStyle name="Normal 42 3 4 3" xfId="2782" xr:uid="{00000000-0005-0000-0000-0000130C0000}"/>
    <cellStyle name="Normal 42 3 5" xfId="1463" xr:uid="{00000000-0005-0000-0000-0000140C0000}"/>
    <cellStyle name="Normal 42 3 5 2" xfId="3222" xr:uid="{00000000-0005-0000-0000-0000150C0000}"/>
    <cellStyle name="Normal 42 3 6" xfId="2346" xr:uid="{00000000-0005-0000-0000-0000160C0000}"/>
    <cellStyle name="Normal 42 4" xfId="622" xr:uid="{00000000-0005-0000-0000-0000170C0000}"/>
    <cellStyle name="Normal 42 4 2" xfId="871" xr:uid="{00000000-0005-0000-0000-0000180C0000}"/>
    <cellStyle name="Normal 42 4 2 2" xfId="1307" xr:uid="{00000000-0005-0000-0000-0000190C0000}"/>
    <cellStyle name="Normal 42 4 2 2 2" xfId="2183" xr:uid="{00000000-0005-0000-0000-00001A0C0000}"/>
    <cellStyle name="Normal 42 4 2 2 2 2" xfId="3942" xr:uid="{00000000-0005-0000-0000-00001B0C0000}"/>
    <cellStyle name="Normal 42 4 2 2 3" xfId="3066" xr:uid="{00000000-0005-0000-0000-00001C0C0000}"/>
    <cellStyle name="Normal 42 4 2 3" xfId="1747" xr:uid="{00000000-0005-0000-0000-00001D0C0000}"/>
    <cellStyle name="Normal 42 4 2 3 2" xfId="3506" xr:uid="{00000000-0005-0000-0000-00001E0C0000}"/>
    <cellStyle name="Normal 42 4 2 4" xfId="2630" xr:uid="{00000000-0005-0000-0000-00001F0C0000}"/>
    <cellStyle name="Normal 42 4 3" xfId="1076" xr:uid="{00000000-0005-0000-0000-0000200C0000}"/>
    <cellStyle name="Normal 42 4 3 2" xfId="1952" xr:uid="{00000000-0005-0000-0000-0000210C0000}"/>
    <cellStyle name="Normal 42 4 3 2 2" xfId="3711" xr:uid="{00000000-0005-0000-0000-0000220C0000}"/>
    <cellStyle name="Normal 42 4 3 3" xfId="2835" xr:uid="{00000000-0005-0000-0000-0000230C0000}"/>
    <cellStyle name="Normal 42 4 4" xfId="1516" xr:uid="{00000000-0005-0000-0000-0000240C0000}"/>
    <cellStyle name="Normal 42 4 4 2" xfId="3275" xr:uid="{00000000-0005-0000-0000-0000250C0000}"/>
    <cellStyle name="Normal 42 4 5" xfId="2399" xr:uid="{00000000-0005-0000-0000-0000260C0000}"/>
    <cellStyle name="Normal 42 5" xfId="872" xr:uid="{00000000-0005-0000-0000-0000270C0000}"/>
    <cellStyle name="Normal 42 5 2" xfId="1308" xr:uid="{00000000-0005-0000-0000-0000280C0000}"/>
    <cellStyle name="Normal 42 5 2 2" xfId="2184" xr:uid="{00000000-0005-0000-0000-0000290C0000}"/>
    <cellStyle name="Normal 42 5 2 2 2" xfId="3943" xr:uid="{00000000-0005-0000-0000-00002A0C0000}"/>
    <cellStyle name="Normal 42 5 2 3" xfId="3067" xr:uid="{00000000-0005-0000-0000-00002B0C0000}"/>
    <cellStyle name="Normal 42 5 3" xfId="1748" xr:uid="{00000000-0005-0000-0000-00002C0C0000}"/>
    <cellStyle name="Normal 42 5 3 2" xfId="3507" xr:uid="{00000000-0005-0000-0000-00002D0C0000}"/>
    <cellStyle name="Normal 42 5 4" xfId="2631" xr:uid="{00000000-0005-0000-0000-00002E0C0000}"/>
    <cellStyle name="Normal 42 6" xfId="968" xr:uid="{00000000-0005-0000-0000-00002F0C0000}"/>
    <cellStyle name="Normal 42 6 2" xfId="1844" xr:uid="{00000000-0005-0000-0000-0000300C0000}"/>
    <cellStyle name="Normal 42 6 2 2" xfId="3603" xr:uid="{00000000-0005-0000-0000-0000310C0000}"/>
    <cellStyle name="Normal 42 6 3" xfId="2727" xr:uid="{00000000-0005-0000-0000-0000320C0000}"/>
    <cellStyle name="Normal 42 7" xfId="1408" xr:uid="{00000000-0005-0000-0000-0000330C0000}"/>
    <cellStyle name="Normal 42 7 2" xfId="3167" xr:uid="{00000000-0005-0000-0000-0000340C0000}"/>
    <cellStyle name="Normal 42 8" xfId="2291" xr:uid="{00000000-0005-0000-0000-0000350C0000}"/>
    <cellStyle name="Normal 43" xfId="509" xr:uid="{00000000-0005-0000-0000-0000360C0000}"/>
    <cellStyle name="Normal 43 2" xfId="570" xr:uid="{00000000-0005-0000-0000-0000370C0000}"/>
    <cellStyle name="Normal 43 2 2" xfId="679" xr:uid="{00000000-0005-0000-0000-0000380C0000}"/>
    <cellStyle name="Normal 43 2 2 2" xfId="873" xr:uid="{00000000-0005-0000-0000-0000390C0000}"/>
    <cellStyle name="Normal 43 2 2 2 2" xfId="1309" xr:uid="{00000000-0005-0000-0000-00003A0C0000}"/>
    <cellStyle name="Normal 43 2 2 2 2 2" xfId="2185" xr:uid="{00000000-0005-0000-0000-00003B0C0000}"/>
    <cellStyle name="Normal 43 2 2 2 2 2 2" xfId="3944" xr:uid="{00000000-0005-0000-0000-00003C0C0000}"/>
    <cellStyle name="Normal 43 2 2 2 2 3" xfId="3068" xr:uid="{00000000-0005-0000-0000-00003D0C0000}"/>
    <cellStyle name="Normal 43 2 2 2 3" xfId="1749" xr:uid="{00000000-0005-0000-0000-00003E0C0000}"/>
    <cellStyle name="Normal 43 2 2 2 3 2" xfId="3508" xr:uid="{00000000-0005-0000-0000-00003F0C0000}"/>
    <cellStyle name="Normal 43 2 2 2 4" xfId="2632" xr:uid="{00000000-0005-0000-0000-0000400C0000}"/>
    <cellStyle name="Normal 43 2 2 3" xfId="1133" xr:uid="{00000000-0005-0000-0000-0000410C0000}"/>
    <cellStyle name="Normal 43 2 2 3 2" xfId="2009" xr:uid="{00000000-0005-0000-0000-0000420C0000}"/>
    <cellStyle name="Normal 43 2 2 3 2 2" xfId="3768" xr:uid="{00000000-0005-0000-0000-0000430C0000}"/>
    <cellStyle name="Normal 43 2 2 3 3" xfId="2892" xr:uid="{00000000-0005-0000-0000-0000440C0000}"/>
    <cellStyle name="Normal 43 2 2 4" xfId="1573" xr:uid="{00000000-0005-0000-0000-0000450C0000}"/>
    <cellStyle name="Normal 43 2 2 4 2" xfId="3332" xr:uid="{00000000-0005-0000-0000-0000460C0000}"/>
    <cellStyle name="Normal 43 2 2 5" xfId="2456" xr:uid="{00000000-0005-0000-0000-0000470C0000}"/>
    <cellStyle name="Normal 43 2 3" xfId="874" xr:uid="{00000000-0005-0000-0000-0000480C0000}"/>
    <cellStyle name="Normal 43 2 3 2" xfId="1310" xr:uid="{00000000-0005-0000-0000-0000490C0000}"/>
    <cellStyle name="Normal 43 2 3 2 2" xfId="2186" xr:uid="{00000000-0005-0000-0000-00004A0C0000}"/>
    <cellStyle name="Normal 43 2 3 2 2 2" xfId="3945" xr:uid="{00000000-0005-0000-0000-00004B0C0000}"/>
    <cellStyle name="Normal 43 2 3 2 3" xfId="3069" xr:uid="{00000000-0005-0000-0000-00004C0C0000}"/>
    <cellStyle name="Normal 43 2 3 3" xfId="1750" xr:uid="{00000000-0005-0000-0000-00004D0C0000}"/>
    <cellStyle name="Normal 43 2 3 3 2" xfId="3509" xr:uid="{00000000-0005-0000-0000-00004E0C0000}"/>
    <cellStyle name="Normal 43 2 3 4" xfId="2633" xr:uid="{00000000-0005-0000-0000-00004F0C0000}"/>
    <cellStyle name="Normal 43 2 4" xfId="1025" xr:uid="{00000000-0005-0000-0000-0000500C0000}"/>
    <cellStyle name="Normal 43 2 4 2" xfId="1901" xr:uid="{00000000-0005-0000-0000-0000510C0000}"/>
    <cellStyle name="Normal 43 2 4 2 2" xfId="3660" xr:uid="{00000000-0005-0000-0000-0000520C0000}"/>
    <cellStyle name="Normal 43 2 4 3" xfId="2784" xr:uid="{00000000-0005-0000-0000-0000530C0000}"/>
    <cellStyle name="Normal 43 2 5" xfId="1465" xr:uid="{00000000-0005-0000-0000-0000540C0000}"/>
    <cellStyle name="Normal 43 2 5 2" xfId="3224" xr:uid="{00000000-0005-0000-0000-0000550C0000}"/>
    <cellStyle name="Normal 43 2 6" xfId="2348" xr:uid="{00000000-0005-0000-0000-0000560C0000}"/>
    <cellStyle name="Normal 43 3" xfId="624" xr:uid="{00000000-0005-0000-0000-0000570C0000}"/>
    <cellStyle name="Normal 43 3 2" xfId="875" xr:uid="{00000000-0005-0000-0000-0000580C0000}"/>
    <cellStyle name="Normal 43 3 2 2" xfId="1311" xr:uid="{00000000-0005-0000-0000-0000590C0000}"/>
    <cellStyle name="Normal 43 3 2 2 2" xfId="2187" xr:uid="{00000000-0005-0000-0000-00005A0C0000}"/>
    <cellStyle name="Normal 43 3 2 2 2 2" xfId="3946" xr:uid="{00000000-0005-0000-0000-00005B0C0000}"/>
    <cellStyle name="Normal 43 3 2 2 3" xfId="3070" xr:uid="{00000000-0005-0000-0000-00005C0C0000}"/>
    <cellStyle name="Normal 43 3 2 3" xfId="1751" xr:uid="{00000000-0005-0000-0000-00005D0C0000}"/>
    <cellStyle name="Normal 43 3 2 3 2" xfId="3510" xr:uid="{00000000-0005-0000-0000-00005E0C0000}"/>
    <cellStyle name="Normal 43 3 2 4" xfId="2634" xr:uid="{00000000-0005-0000-0000-00005F0C0000}"/>
    <cellStyle name="Normal 43 3 3" xfId="1078" xr:uid="{00000000-0005-0000-0000-0000600C0000}"/>
    <cellStyle name="Normal 43 3 3 2" xfId="1954" xr:uid="{00000000-0005-0000-0000-0000610C0000}"/>
    <cellStyle name="Normal 43 3 3 2 2" xfId="3713" xr:uid="{00000000-0005-0000-0000-0000620C0000}"/>
    <cellStyle name="Normal 43 3 3 3" xfId="2837" xr:uid="{00000000-0005-0000-0000-0000630C0000}"/>
    <cellStyle name="Normal 43 3 4" xfId="1518" xr:uid="{00000000-0005-0000-0000-0000640C0000}"/>
    <cellStyle name="Normal 43 3 4 2" xfId="3277" xr:uid="{00000000-0005-0000-0000-0000650C0000}"/>
    <cellStyle name="Normal 43 3 5" xfId="2401" xr:uid="{00000000-0005-0000-0000-0000660C0000}"/>
    <cellStyle name="Normal 43 4" xfId="876" xr:uid="{00000000-0005-0000-0000-0000670C0000}"/>
    <cellStyle name="Normal 43 4 2" xfId="1312" xr:uid="{00000000-0005-0000-0000-0000680C0000}"/>
    <cellStyle name="Normal 43 4 2 2" xfId="2188" xr:uid="{00000000-0005-0000-0000-0000690C0000}"/>
    <cellStyle name="Normal 43 4 2 2 2" xfId="3947" xr:uid="{00000000-0005-0000-0000-00006A0C0000}"/>
    <cellStyle name="Normal 43 4 2 3" xfId="3071" xr:uid="{00000000-0005-0000-0000-00006B0C0000}"/>
    <cellStyle name="Normal 43 4 3" xfId="1752" xr:uid="{00000000-0005-0000-0000-00006C0C0000}"/>
    <cellStyle name="Normal 43 4 3 2" xfId="3511" xr:uid="{00000000-0005-0000-0000-00006D0C0000}"/>
    <cellStyle name="Normal 43 4 4" xfId="2635" xr:uid="{00000000-0005-0000-0000-00006E0C0000}"/>
    <cellStyle name="Normal 43 5" xfId="970" xr:uid="{00000000-0005-0000-0000-00006F0C0000}"/>
    <cellStyle name="Normal 43 5 2" xfId="1846" xr:uid="{00000000-0005-0000-0000-0000700C0000}"/>
    <cellStyle name="Normal 43 5 2 2" xfId="3605" xr:uid="{00000000-0005-0000-0000-0000710C0000}"/>
    <cellStyle name="Normal 43 5 3" xfId="2729" xr:uid="{00000000-0005-0000-0000-0000720C0000}"/>
    <cellStyle name="Normal 43 6" xfId="1410" xr:uid="{00000000-0005-0000-0000-0000730C0000}"/>
    <cellStyle name="Normal 43 6 2" xfId="3169" xr:uid="{00000000-0005-0000-0000-0000740C0000}"/>
    <cellStyle name="Normal 43 7" xfId="2293" xr:uid="{00000000-0005-0000-0000-0000750C0000}"/>
    <cellStyle name="Normal 44" xfId="514" xr:uid="{00000000-0005-0000-0000-0000760C0000}"/>
    <cellStyle name="Normal 44 2" xfId="571" xr:uid="{00000000-0005-0000-0000-0000770C0000}"/>
    <cellStyle name="Normal 44 2 2" xfId="680" xr:uid="{00000000-0005-0000-0000-0000780C0000}"/>
    <cellStyle name="Normal 44 2 2 2" xfId="877" xr:uid="{00000000-0005-0000-0000-0000790C0000}"/>
    <cellStyle name="Normal 44 2 2 2 2" xfId="1313" xr:uid="{00000000-0005-0000-0000-00007A0C0000}"/>
    <cellStyle name="Normal 44 2 2 2 2 2" xfId="2189" xr:uid="{00000000-0005-0000-0000-00007B0C0000}"/>
    <cellStyle name="Normal 44 2 2 2 2 2 2" xfId="3948" xr:uid="{00000000-0005-0000-0000-00007C0C0000}"/>
    <cellStyle name="Normal 44 2 2 2 2 3" xfId="3072" xr:uid="{00000000-0005-0000-0000-00007D0C0000}"/>
    <cellStyle name="Normal 44 2 2 2 3" xfId="1753" xr:uid="{00000000-0005-0000-0000-00007E0C0000}"/>
    <cellStyle name="Normal 44 2 2 2 3 2" xfId="3512" xr:uid="{00000000-0005-0000-0000-00007F0C0000}"/>
    <cellStyle name="Normal 44 2 2 2 4" xfId="2636" xr:uid="{00000000-0005-0000-0000-0000800C0000}"/>
    <cellStyle name="Normal 44 2 2 3" xfId="1134" xr:uid="{00000000-0005-0000-0000-0000810C0000}"/>
    <cellStyle name="Normal 44 2 2 3 2" xfId="2010" xr:uid="{00000000-0005-0000-0000-0000820C0000}"/>
    <cellStyle name="Normal 44 2 2 3 2 2" xfId="3769" xr:uid="{00000000-0005-0000-0000-0000830C0000}"/>
    <cellStyle name="Normal 44 2 2 3 3" xfId="2893" xr:uid="{00000000-0005-0000-0000-0000840C0000}"/>
    <cellStyle name="Normal 44 2 2 4" xfId="1574" xr:uid="{00000000-0005-0000-0000-0000850C0000}"/>
    <cellStyle name="Normal 44 2 2 4 2" xfId="3333" xr:uid="{00000000-0005-0000-0000-0000860C0000}"/>
    <cellStyle name="Normal 44 2 2 5" xfId="2457" xr:uid="{00000000-0005-0000-0000-0000870C0000}"/>
    <cellStyle name="Normal 44 2 3" xfId="878" xr:uid="{00000000-0005-0000-0000-0000880C0000}"/>
    <cellStyle name="Normal 44 2 3 2" xfId="1314" xr:uid="{00000000-0005-0000-0000-0000890C0000}"/>
    <cellStyle name="Normal 44 2 3 2 2" xfId="2190" xr:uid="{00000000-0005-0000-0000-00008A0C0000}"/>
    <cellStyle name="Normal 44 2 3 2 2 2" xfId="3949" xr:uid="{00000000-0005-0000-0000-00008B0C0000}"/>
    <cellStyle name="Normal 44 2 3 2 3" xfId="3073" xr:uid="{00000000-0005-0000-0000-00008C0C0000}"/>
    <cellStyle name="Normal 44 2 3 3" xfId="1754" xr:uid="{00000000-0005-0000-0000-00008D0C0000}"/>
    <cellStyle name="Normal 44 2 3 3 2" xfId="3513" xr:uid="{00000000-0005-0000-0000-00008E0C0000}"/>
    <cellStyle name="Normal 44 2 3 4" xfId="2637" xr:uid="{00000000-0005-0000-0000-00008F0C0000}"/>
    <cellStyle name="Normal 44 2 4" xfId="1026" xr:uid="{00000000-0005-0000-0000-0000900C0000}"/>
    <cellStyle name="Normal 44 2 4 2" xfId="1902" xr:uid="{00000000-0005-0000-0000-0000910C0000}"/>
    <cellStyle name="Normal 44 2 4 2 2" xfId="3661" xr:uid="{00000000-0005-0000-0000-0000920C0000}"/>
    <cellStyle name="Normal 44 2 4 3" xfId="2785" xr:uid="{00000000-0005-0000-0000-0000930C0000}"/>
    <cellStyle name="Normal 44 2 5" xfId="1466" xr:uid="{00000000-0005-0000-0000-0000940C0000}"/>
    <cellStyle name="Normal 44 2 5 2" xfId="3225" xr:uid="{00000000-0005-0000-0000-0000950C0000}"/>
    <cellStyle name="Normal 44 2 6" xfId="2349" xr:uid="{00000000-0005-0000-0000-0000960C0000}"/>
    <cellStyle name="Normal 44 3" xfId="625" xr:uid="{00000000-0005-0000-0000-0000970C0000}"/>
    <cellStyle name="Normal 44 3 2" xfId="879" xr:uid="{00000000-0005-0000-0000-0000980C0000}"/>
    <cellStyle name="Normal 44 3 2 2" xfId="1315" xr:uid="{00000000-0005-0000-0000-0000990C0000}"/>
    <cellStyle name="Normal 44 3 2 2 2" xfId="2191" xr:uid="{00000000-0005-0000-0000-00009A0C0000}"/>
    <cellStyle name="Normal 44 3 2 2 2 2" xfId="3950" xr:uid="{00000000-0005-0000-0000-00009B0C0000}"/>
    <cellStyle name="Normal 44 3 2 2 3" xfId="3074" xr:uid="{00000000-0005-0000-0000-00009C0C0000}"/>
    <cellStyle name="Normal 44 3 2 3" xfId="1755" xr:uid="{00000000-0005-0000-0000-00009D0C0000}"/>
    <cellStyle name="Normal 44 3 2 3 2" xfId="3514" xr:uid="{00000000-0005-0000-0000-00009E0C0000}"/>
    <cellStyle name="Normal 44 3 2 4" xfId="2638" xr:uid="{00000000-0005-0000-0000-00009F0C0000}"/>
    <cellStyle name="Normal 44 3 3" xfId="1079" xr:uid="{00000000-0005-0000-0000-0000A00C0000}"/>
    <cellStyle name="Normal 44 3 3 2" xfId="1955" xr:uid="{00000000-0005-0000-0000-0000A10C0000}"/>
    <cellStyle name="Normal 44 3 3 2 2" xfId="3714" xr:uid="{00000000-0005-0000-0000-0000A20C0000}"/>
    <cellStyle name="Normal 44 3 3 3" xfId="2838" xr:uid="{00000000-0005-0000-0000-0000A30C0000}"/>
    <cellStyle name="Normal 44 3 4" xfId="1519" xr:uid="{00000000-0005-0000-0000-0000A40C0000}"/>
    <cellStyle name="Normal 44 3 4 2" xfId="3278" xr:uid="{00000000-0005-0000-0000-0000A50C0000}"/>
    <cellStyle name="Normal 44 3 5" xfId="2402" xr:uid="{00000000-0005-0000-0000-0000A60C0000}"/>
    <cellStyle name="Normal 44 4" xfId="880" xr:uid="{00000000-0005-0000-0000-0000A70C0000}"/>
    <cellStyle name="Normal 44 4 2" xfId="1316" xr:uid="{00000000-0005-0000-0000-0000A80C0000}"/>
    <cellStyle name="Normal 44 4 2 2" xfId="2192" xr:uid="{00000000-0005-0000-0000-0000A90C0000}"/>
    <cellStyle name="Normal 44 4 2 2 2" xfId="3951" xr:uid="{00000000-0005-0000-0000-0000AA0C0000}"/>
    <cellStyle name="Normal 44 4 2 3" xfId="3075" xr:uid="{00000000-0005-0000-0000-0000AB0C0000}"/>
    <cellStyle name="Normal 44 4 3" xfId="1756" xr:uid="{00000000-0005-0000-0000-0000AC0C0000}"/>
    <cellStyle name="Normal 44 4 3 2" xfId="3515" xr:uid="{00000000-0005-0000-0000-0000AD0C0000}"/>
    <cellStyle name="Normal 44 4 4" xfId="2639" xr:uid="{00000000-0005-0000-0000-0000AE0C0000}"/>
    <cellStyle name="Normal 44 5" xfId="971" xr:uid="{00000000-0005-0000-0000-0000AF0C0000}"/>
    <cellStyle name="Normal 44 5 2" xfId="1847" xr:uid="{00000000-0005-0000-0000-0000B00C0000}"/>
    <cellStyle name="Normal 44 5 2 2" xfId="3606" xr:uid="{00000000-0005-0000-0000-0000B10C0000}"/>
    <cellStyle name="Normal 44 5 3" xfId="2730" xr:uid="{00000000-0005-0000-0000-0000B20C0000}"/>
    <cellStyle name="Normal 44 6" xfId="1411" xr:uid="{00000000-0005-0000-0000-0000B30C0000}"/>
    <cellStyle name="Normal 44 6 2" xfId="3170" xr:uid="{00000000-0005-0000-0000-0000B40C0000}"/>
    <cellStyle name="Normal 44 7" xfId="2294" xr:uid="{00000000-0005-0000-0000-0000B50C0000}"/>
    <cellStyle name="Normal 45" xfId="515" xr:uid="{00000000-0005-0000-0000-0000B60C0000}"/>
    <cellStyle name="Normal 45 2" xfId="572" xr:uid="{00000000-0005-0000-0000-0000B70C0000}"/>
    <cellStyle name="Normal 45 2 2" xfId="681" xr:uid="{00000000-0005-0000-0000-0000B80C0000}"/>
    <cellStyle name="Normal 45 2 2 2" xfId="881" xr:uid="{00000000-0005-0000-0000-0000B90C0000}"/>
    <cellStyle name="Normal 45 2 2 2 2" xfId="1317" xr:uid="{00000000-0005-0000-0000-0000BA0C0000}"/>
    <cellStyle name="Normal 45 2 2 2 2 2" xfId="2193" xr:uid="{00000000-0005-0000-0000-0000BB0C0000}"/>
    <cellStyle name="Normal 45 2 2 2 2 2 2" xfId="3952" xr:uid="{00000000-0005-0000-0000-0000BC0C0000}"/>
    <cellStyle name="Normal 45 2 2 2 2 3" xfId="3076" xr:uid="{00000000-0005-0000-0000-0000BD0C0000}"/>
    <cellStyle name="Normal 45 2 2 2 3" xfId="1757" xr:uid="{00000000-0005-0000-0000-0000BE0C0000}"/>
    <cellStyle name="Normal 45 2 2 2 3 2" xfId="3516" xr:uid="{00000000-0005-0000-0000-0000BF0C0000}"/>
    <cellStyle name="Normal 45 2 2 2 4" xfId="2640" xr:uid="{00000000-0005-0000-0000-0000C00C0000}"/>
    <cellStyle name="Normal 45 2 2 3" xfId="1135" xr:uid="{00000000-0005-0000-0000-0000C10C0000}"/>
    <cellStyle name="Normal 45 2 2 3 2" xfId="2011" xr:uid="{00000000-0005-0000-0000-0000C20C0000}"/>
    <cellStyle name="Normal 45 2 2 3 2 2" xfId="3770" xr:uid="{00000000-0005-0000-0000-0000C30C0000}"/>
    <cellStyle name="Normal 45 2 2 3 3" xfId="2894" xr:uid="{00000000-0005-0000-0000-0000C40C0000}"/>
    <cellStyle name="Normal 45 2 2 4" xfId="1575" xr:uid="{00000000-0005-0000-0000-0000C50C0000}"/>
    <cellStyle name="Normal 45 2 2 4 2" xfId="3334" xr:uid="{00000000-0005-0000-0000-0000C60C0000}"/>
    <cellStyle name="Normal 45 2 2 5" xfId="2458" xr:uid="{00000000-0005-0000-0000-0000C70C0000}"/>
    <cellStyle name="Normal 45 2 3" xfId="882" xr:uid="{00000000-0005-0000-0000-0000C80C0000}"/>
    <cellStyle name="Normal 45 2 3 2" xfId="1318" xr:uid="{00000000-0005-0000-0000-0000C90C0000}"/>
    <cellStyle name="Normal 45 2 3 2 2" xfId="2194" xr:uid="{00000000-0005-0000-0000-0000CA0C0000}"/>
    <cellStyle name="Normal 45 2 3 2 2 2" xfId="3953" xr:uid="{00000000-0005-0000-0000-0000CB0C0000}"/>
    <cellStyle name="Normal 45 2 3 2 3" xfId="3077" xr:uid="{00000000-0005-0000-0000-0000CC0C0000}"/>
    <cellStyle name="Normal 45 2 3 3" xfId="1758" xr:uid="{00000000-0005-0000-0000-0000CD0C0000}"/>
    <cellStyle name="Normal 45 2 3 3 2" xfId="3517" xr:uid="{00000000-0005-0000-0000-0000CE0C0000}"/>
    <cellStyle name="Normal 45 2 3 4" xfId="2641" xr:uid="{00000000-0005-0000-0000-0000CF0C0000}"/>
    <cellStyle name="Normal 45 2 4" xfId="1027" xr:uid="{00000000-0005-0000-0000-0000D00C0000}"/>
    <cellStyle name="Normal 45 2 4 2" xfId="1903" xr:uid="{00000000-0005-0000-0000-0000D10C0000}"/>
    <cellStyle name="Normal 45 2 4 2 2" xfId="3662" xr:uid="{00000000-0005-0000-0000-0000D20C0000}"/>
    <cellStyle name="Normal 45 2 4 3" xfId="2786" xr:uid="{00000000-0005-0000-0000-0000D30C0000}"/>
    <cellStyle name="Normal 45 2 5" xfId="1467" xr:uid="{00000000-0005-0000-0000-0000D40C0000}"/>
    <cellStyle name="Normal 45 2 5 2" xfId="3226" xr:uid="{00000000-0005-0000-0000-0000D50C0000}"/>
    <cellStyle name="Normal 45 2 6" xfId="2350" xr:uid="{00000000-0005-0000-0000-0000D60C0000}"/>
    <cellStyle name="Normal 45 3" xfId="626" xr:uid="{00000000-0005-0000-0000-0000D70C0000}"/>
    <cellStyle name="Normal 45 3 2" xfId="883" xr:uid="{00000000-0005-0000-0000-0000D80C0000}"/>
    <cellStyle name="Normal 45 3 2 2" xfId="1319" xr:uid="{00000000-0005-0000-0000-0000D90C0000}"/>
    <cellStyle name="Normal 45 3 2 2 2" xfId="2195" xr:uid="{00000000-0005-0000-0000-0000DA0C0000}"/>
    <cellStyle name="Normal 45 3 2 2 2 2" xfId="3954" xr:uid="{00000000-0005-0000-0000-0000DB0C0000}"/>
    <cellStyle name="Normal 45 3 2 2 3" xfId="3078" xr:uid="{00000000-0005-0000-0000-0000DC0C0000}"/>
    <cellStyle name="Normal 45 3 2 3" xfId="1759" xr:uid="{00000000-0005-0000-0000-0000DD0C0000}"/>
    <cellStyle name="Normal 45 3 2 3 2" xfId="3518" xr:uid="{00000000-0005-0000-0000-0000DE0C0000}"/>
    <cellStyle name="Normal 45 3 2 4" xfId="2642" xr:uid="{00000000-0005-0000-0000-0000DF0C0000}"/>
    <cellStyle name="Normal 45 3 3" xfId="1080" xr:uid="{00000000-0005-0000-0000-0000E00C0000}"/>
    <cellStyle name="Normal 45 3 3 2" xfId="1956" xr:uid="{00000000-0005-0000-0000-0000E10C0000}"/>
    <cellStyle name="Normal 45 3 3 2 2" xfId="3715" xr:uid="{00000000-0005-0000-0000-0000E20C0000}"/>
    <cellStyle name="Normal 45 3 3 3" xfId="2839" xr:uid="{00000000-0005-0000-0000-0000E30C0000}"/>
    <cellStyle name="Normal 45 3 4" xfId="1520" xr:uid="{00000000-0005-0000-0000-0000E40C0000}"/>
    <cellStyle name="Normal 45 3 4 2" xfId="3279" xr:uid="{00000000-0005-0000-0000-0000E50C0000}"/>
    <cellStyle name="Normal 45 3 5" xfId="2403" xr:uid="{00000000-0005-0000-0000-0000E60C0000}"/>
    <cellStyle name="Normal 45 4" xfId="884" xr:uid="{00000000-0005-0000-0000-0000E70C0000}"/>
    <cellStyle name="Normal 45 4 2" xfId="1320" xr:uid="{00000000-0005-0000-0000-0000E80C0000}"/>
    <cellStyle name="Normal 45 4 2 2" xfId="2196" xr:uid="{00000000-0005-0000-0000-0000E90C0000}"/>
    <cellStyle name="Normal 45 4 2 2 2" xfId="3955" xr:uid="{00000000-0005-0000-0000-0000EA0C0000}"/>
    <cellStyle name="Normal 45 4 2 3" xfId="3079" xr:uid="{00000000-0005-0000-0000-0000EB0C0000}"/>
    <cellStyle name="Normal 45 4 3" xfId="1760" xr:uid="{00000000-0005-0000-0000-0000EC0C0000}"/>
    <cellStyle name="Normal 45 4 3 2" xfId="3519" xr:uid="{00000000-0005-0000-0000-0000ED0C0000}"/>
    <cellStyle name="Normal 45 4 4" xfId="2643" xr:uid="{00000000-0005-0000-0000-0000EE0C0000}"/>
    <cellStyle name="Normal 45 5" xfId="972" xr:uid="{00000000-0005-0000-0000-0000EF0C0000}"/>
    <cellStyle name="Normal 45 5 2" xfId="1848" xr:uid="{00000000-0005-0000-0000-0000F00C0000}"/>
    <cellStyle name="Normal 45 5 2 2" xfId="3607" xr:uid="{00000000-0005-0000-0000-0000F10C0000}"/>
    <cellStyle name="Normal 45 5 3" xfId="2731" xr:uid="{00000000-0005-0000-0000-0000F20C0000}"/>
    <cellStyle name="Normal 45 6" xfId="1412" xr:uid="{00000000-0005-0000-0000-0000F30C0000}"/>
    <cellStyle name="Normal 45 6 2" xfId="3171" xr:uid="{00000000-0005-0000-0000-0000F40C0000}"/>
    <cellStyle name="Normal 45 7" xfId="2295" xr:uid="{00000000-0005-0000-0000-0000F50C0000}"/>
    <cellStyle name="Normal 46" xfId="516" xr:uid="{00000000-0005-0000-0000-0000F60C0000}"/>
    <cellStyle name="Normal 46 2" xfId="573" xr:uid="{00000000-0005-0000-0000-0000F70C0000}"/>
    <cellStyle name="Normal 46 2 2" xfId="682" xr:uid="{00000000-0005-0000-0000-0000F80C0000}"/>
    <cellStyle name="Normal 46 2 2 2" xfId="885" xr:uid="{00000000-0005-0000-0000-0000F90C0000}"/>
    <cellStyle name="Normal 46 2 2 2 2" xfId="1321" xr:uid="{00000000-0005-0000-0000-0000FA0C0000}"/>
    <cellStyle name="Normal 46 2 2 2 2 2" xfId="2197" xr:uid="{00000000-0005-0000-0000-0000FB0C0000}"/>
    <cellStyle name="Normal 46 2 2 2 2 2 2" xfId="3956" xr:uid="{00000000-0005-0000-0000-0000FC0C0000}"/>
    <cellStyle name="Normal 46 2 2 2 2 3" xfId="3080" xr:uid="{00000000-0005-0000-0000-0000FD0C0000}"/>
    <cellStyle name="Normal 46 2 2 2 3" xfId="1761" xr:uid="{00000000-0005-0000-0000-0000FE0C0000}"/>
    <cellStyle name="Normal 46 2 2 2 3 2" xfId="3520" xr:uid="{00000000-0005-0000-0000-0000FF0C0000}"/>
    <cellStyle name="Normal 46 2 2 2 4" xfId="2644" xr:uid="{00000000-0005-0000-0000-0000000D0000}"/>
    <cellStyle name="Normal 46 2 2 3" xfId="1136" xr:uid="{00000000-0005-0000-0000-0000010D0000}"/>
    <cellStyle name="Normal 46 2 2 3 2" xfId="2012" xr:uid="{00000000-0005-0000-0000-0000020D0000}"/>
    <cellStyle name="Normal 46 2 2 3 2 2" xfId="3771" xr:uid="{00000000-0005-0000-0000-0000030D0000}"/>
    <cellStyle name="Normal 46 2 2 3 3" xfId="2895" xr:uid="{00000000-0005-0000-0000-0000040D0000}"/>
    <cellStyle name="Normal 46 2 2 4" xfId="1576" xr:uid="{00000000-0005-0000-0000-0000050D0000}"/>
    <cellStyle name="Normal 46 2 2 4 2" xfId="3335" xr:uid="{00000000-0005-0000-0000-0000060D0000}"/>
    <cellStyle name="Normal 46 2 2 5" xfId="2459" xr:uid="{00000000-0005-0000-0000-0000070D0000}"/>
    <cellStyle name="Normal 46 2 3" xfId="886" xr:uid="{00000000-0005-0000-0000-0000080D0000}"/>
    <cellStyle name="Normal 46 2 3 2" xfId="1322" xr:uid="{00000000-0005-0000-0000-0000090D0000}"/>
    <cellStyle name="Normal 46 2 3 2 2" xfId="2198" xr:uid="{00000000-0005-0000-0000-00000A0D0000}"/>
    <cellStyle name="Normal 46 2 3 2 2 2" xfId="3957" xr:uid="{00000000-0005-0000-0000-00000B0D0000}"/>
    <cellStyle name="Normal 46 2 3 2 3" xfId="3081" xr:uid="{00000000-0005-0000-0000-00000C0D0000}"/>
    <cellStyle name="Normal 46 2 3 3" xfId="1762" xr:uid="{00000000-0005-0000-0000-00000D0D0000}"/>
    <cellStyle name="Normal 46 2 3 3 2" xfId="3521" xr:uid="{00000000-0005-0000-0000-00000E0D0000}"/>
    <cellStyle name="Normal 46 2 3 4" xfId="2645" xr:uid="{00000000-0005-0000-0000-00000F0D0000}"/>
    <cellStyle name="Normal 46 2 4" xfId="1028" xr:uid="{00000000-0005-0000-0000-0000100D0000}"/>
    <cellStyle name="Normal 46 2 4 2" xfId="1904" xr:uid="{00000000-0005-0000-0000-0000110D0000}"/>
    <cellStyle name="Normal 46 2 4 2 2" xfId="3663" xr:uid="{00000000-0005-0000-0000-0000120D0000}"/>
    <cellStyle name="Normal 46 2 4 3" xfId="2787" xr:uid="{00000000-0005-0000-0000-0000130D0000}"/>
    <cellStyle name="Normal 46 2 5" xfId="1468" xr:uid="{00000000-0005-0000-0000-0000140D0000}"/>
    <cellStyle name="Normal 46 2 5 2" xfId="3227" xr:uid="{00000000-0005-0000-0000-0000150D0000}"/>
    <cellStyle name="Normal 46 2 6" xfId="2351" xr:uid="{00000000-0005-0000-0000-0000160D0000}"/>
    <cellStyle name="Normal 46 3" xfId="627" xr:uid="{00000000-0005-0000-0000-0000170D0000}"/>
    <cellStyle name="Normal 46 3 2" xfId="887" xr:uid="{00000000-0005-0000-0000-0000180D0000}"/>
    <cellStyle name="Normal 46 3 2 2" xfId="1323" xr:uid="{00000000-0005-0000-0000-0000190D0000}"/>
    <cellStyle name="Normal 46 3 2 2 2" xfId="2199" xr:uid="{00000000-0005-0000-0000-00001A0D0000}"/>
    <cellStyle name="Normal 46 3 2 2 2 2" xfId="3958" xr:uid="{00000000-0005-0000-0000-00001B0D0000}"/>
    <cellStyle name="Normal 46 3 2 2 3" xfId="3082" xr:uid="{00000000-0005-0000-0000-00001C0D0000}"/>
    <cellStyle name="Normal 46 3 2 3" xfId="1763" xr:uid="{00000000-0005-0000-0000-00001D0D0000}"/>
    <cellStyle name="Normal 46 3 2 3 2" xfId="3522" xr:uid="{00000000-0005-0000-0000-00001E0D0000}"/>
    <cellStyle name="Normal 46 3 2 4" xfId="2646" xr:uid="{00000000-0005-0000-0000-00001F0D0000}"/>
    <cellStyle name="Normal 46 3 3" xfId="1081" xr:uid="{00000000-0005-0000-0000-0000200D0000}"/>
    <cellStyle name="Normal 46 3 3 2" xfId="1957" xr:uid="{00000000-0005-0000-0000-0000210D0000}"/>
    <cellStyle name="Normal 46 3 3 2 2" xfId="3716" xr:uid="{00000000-0005-0000-0000-0000220D0000}"/>
    <cellStyle name="Normal 46 3 3 3" xfId="2840" xr:uid="{00000000-0005-0000-0000-0000230D0000}"/>
    <cellStyle name="Normal 46 3 4" xfId="1521" xr:uid="{00000000-0005-0000-0000-0000240D0000}"/>
    <cellStyle name="Normal 46 3 4 2" xfId="3280" xr:uid="{00000000-0005-0000-0000-0000250D0000}"/>
    <cellStyle name="Normal 46 3 5" xfId="2404" xr:uid="{00000000-0005-0000-0000-0000260D0000}"/>
    <cellStyle name="Normal 46 4" xfId="888" xr:uid="{00000000-0005-0000-0000-0000270D0000}"/>
    <cellStyle name="Normal 46 4 2" xfId="1324" xr:uid="{00000000-0005-0000-0000-0000280D0000}"/>
    <cellStyle name="Normal 46 4 2 2" xfId="2200" xr:uid="{00000000-0005-0000-0000-0000290D0000}"/>
    <cellStyle name="Normal 46 4 2 2 2" xfId="3959" xr:uid="{00000000-0005-0000-0000-00002A0D0000}"/>
    <cellStyle name="Normal 46 4 2 3" xfId="3083" xr:uid="{00000000-0005-0000-0000-00002B0D0000}"/>
    <cellStyle name="Normal 46 4 3" xfId="1764" xr:uid="{00000000-0005-0000-0000-00002C0D0000}"/>
    <cellStyle name="Normal 46 4 3 2" xfId="3523" xr:uid="{00000000-0005-0000-0000-00002D0D0000}"/>
    <cellStyle name="Normal 46 4 4" xfId="2647" xr:uid="{00000000-0005-0000-0000-00002E0D0000}"/>
    <cellStyle name="Normal 46 5" xfId="973" xr:uid="{00000000-0005-0000-0000-00002F0D0000}"/>
    <cellStyle name="Normal 46 5 2" xfId="1849" xr:uid="{00000000-0005-0000-0000-0000300D0000}"/>
    <cellStyle name="Normal 46 5 2 2" xfId="3608" xr:uid="{00000000-0005-0000-0000-0000310D0000}"/>
    <cellStyle name="Normal 46 5 3" xfId="2732" xr:uid="{00000000-0005-0000-0000-0000320D0000}"/>
    <cellStyle name="Normal 46 6" xfId="1413" xr:uid="{00000000-0005-0000-0000-0000330D0000}"/>
    <cellStyle name="Normal 46 6 2" xfId="3172" xr:uid="{00000000-0005-0000-0000-0000340D0000}"/>
    <cellStyle name="Normal 46 7" xfId="2296" xr:uid="{00000000-0005-0000-0000-0000350D0000}"/>
    <cellStyle name="Normal 47" xfId="517" xr:uid="{00000000-0005-0000-0000-0000360D0000}"/>
    <cellStyle name="Normal 47 2" xfId="574" xr:uid="{00000000-0005-0000-0000-0000370D0000}"/>
    <cellStyle name="Normal 47 2 2" xfId="683" xr:uid="{00000000-0005-0000-0000-0000380D0000}"/>
    <cellStyle name="Normal 47 2 2 2" xfId="889" xr:uid="{00000000-0005-0000-0000-0000390D0000}"/>
    <cellStyle name="Normal 47 2 2 2 2" xfId="1325" xr:uid="{00000000-0005-0000-0000-00003A0D0000}"/>
    <cellStyle name="Normal 47 2 2 2 2 2" xfId="2201" xr:uid="{00000000-0005-0000-0000-00003B0D0000}"/>
    <cellStyle name="Normal 47 2 2 2 2 2 2" xfId="3960" xr:uid="{00000000-0005-0000-0000-00003C0D0000}"/>
    <cellStyle name="Normal 47 2 2 2 2 3" xfId="3084" xr:uid="{00000000-0005-0000-0000-00003D0D0000}"/>
    <cellStyle name="Normal 47 2 2 2 3" xfId="1765" xr:uid="{00000000-0005-0000-0000-00003E0D0000}"/>
    <cellStyle name="Normal 47 2 2 2 3 2" xfId="3524" xr:uid="{00000000-0005-0000-0000-00003F0D0000}"/>
    <cellStyle name="Normal 47 2 2 2 4" xfId="2648" xr:uid="{00000000-0005-0000-0000-0000400D0000}"/>
    <cellStyle name="Normal 47 2 2 3" xfId="1137" xr:uid="{00000000-0005-0000-0000-0000410D0000}"/>
    <cellStyle name="Normal 47 2 2 3 2" xfId="2013" xr:uid="{00000000-0005-0000-0000-0000420D0000}"/>
    <cellStyle name="Normal 47 2 2 3 2 2" xfId="3772" xr:uid="{00000000-0005-0000-0000-0000430D0000}"/>
    <cellStyle name="Normal 47 2 2 3 3" xfId="2896" xr:uid="{00000000-0005-0000-0000-0000440D0000}"/>
    <cellStyle name="Normal 47 2 2 4" xfId="1577" xr:uid="{00000000-0005-0000-0000-0000450D0000}"/>
    <cellStyle name="Normal 47 2 2 4 2" xfId="3336" xr:uid="{00000000-0005-0000-0000-0000460D0000}"/>
    <cellStyle name="Normal 47 2 2 5" xfId="2460" xr:uid="{00000000-0005-0000-0000-0000470D0000}"/>
    <cellStyle name="Normal 47 2 3" xfId="890" xr:uid="{00000000-0005-0000-0000-0000480D0000}"/>
    <cellStyle name="Normal 47 2 3 2" xfId="1326" xr:uid="{00000000-0005-0000-0000-0000490D0000}"/>
    <cellStyle name="Normal 47 2 3 2 2" xfId="2202" xr:uid="{00000000-0005-0000-0000-00004A0D0000}"/>
    <cellStyle name="Normal 47 2 3 2 2 2" xfId="3961" xr:uid="{00000000-0005-0000-0000-00004B0D0000}"/>
    <cellStyle name="Normal 47 2 3 2 3" xfId="3085" xr:uid="{00000000-0005-0000-0000-00004C0D0000}"/>
    <cellStyle name="Normal 47 2 3 3" xfId="1766" xr:uid="{00000000-0005-0000-0000-00004D0D0000}"/>
    <cellStyle name="Normal 47 2 3 3 2" xfId="3525" xr:uid="{00000000-0005-0000-0000-00004E0D0000}"/>
    <cellStyle name="Normal 47 2 3 4" xfId="2649" xr:uid="{00000000-0005-0000-0000-00004F0D0000}"/>
    <cellStyle name="Normal 47 2 4" xfId="1029" xr:uid="{00000000-0005-0000-0000-0000500D0000}"/>
    <cellStyle name="Normal 47 2 4 2" xfId="1905" xr:uid="{00000000-0005-0000-0000-0000510D0000}"/>
    <cellStyle name="Normal 47 2 4 2 2" xfId="3664" xr:uid="{00000000-0005-0000-0000-0000520D0000}"/>
    <cellStyle name="Normal 47 2 4 3" xfId="2788" xr:uid="{00000000-0005-0000-0000-0000530D0000}"/>
    <cellStyle name="Normal 47 2 5" xfId="1469" xr:uid="{00000000-0005-0000-0000-0000540D0000}"/>
    <cellStyle name="Normal 47 2 5 2" xfId="3228" xr:uid="{00000000-0005-0000-0000-0000550D0000}"/>
    <cellStyle name="Normal 47 2 6" xfId="2352" xr:uid="{00000000-0005-0000-0000-0000560D0000}"/>
    <cellStyle name="Normal 47 3" xfId="628" xr:uid="{00000000-0005-0000-0000-0000570D0000}"/>
    <cellStyle name="Normal 47 3 2" xfId="891" xr:uid="{00000000-0005-0000-0000-0000580D0000}"/>
    <cellStyle name="Normal 47 3 2 2" xfId="1327" xr:uid="{00000000-0005-0000-0000-0000590D0000}"/>
    <cellStyle name="Normal 47 3 2 2 2" xfId="2203" xr:uid="{00000000-0005-0000-0000-00005A0D0000}"/>
    <cellStyle name="Normal 47 3 2 2 2 2" xfId="3962" xr:uid="{00000000-0005-0000-0000-00005B0D0000}"/>
    <cellStyle name="Normal 47 3 2 2 3" xfId="3086" xr:uid="{00000000-0005-0000-0000-00005C0D0000}"/>
    <cellStyle name="Normal 47 3 2 3" xfId="1767" xr:uid="{00000000-0005-0000-0000-00005D0D0000}"/>
    <cellStyle name="Normal 47 3 2 3 2" xfId="3526" xr:uid="{00000000-0005-0000-0000-00005E0D0000}"/>
    <cellStyle name="Normal 47 3 2 4" xfId="2650" xr:uid="{00000000-0005-0000-0000-00005F0D0000}"/>
    <cellStyle name="Normal 47 3 3" xfId="1082" xr:uid="{00000000-0005-0000-0000-0000600D0000}"/>
    <cellStyle name="Normal 47 3 3 2" xfId="1958" xr:uid="{00000000-0005-0000-0000-0000610D0000}"/>
    <cellStyle name="Normal 47 3 3 2 2" xfId="3717" xr:uid="{00000000-0005-0000-0000-0000620D0000}"/>
    <cellStyle name="Normal 47 3 3 3" xfId="2841" xr:uid="{00000000-0005-0000-0000-0000630D0000}"/>
    <cellStyle name="Normal 47 3 4" xfId="1522" xr:uid="{00000000-0005-0000-0000-0000640D0000}"/>
    <cellStyle name="Normal 47 3 4 2" xfId="3281" xr:uid="{00000000-0005-0000-0000-0000650D0000}"/>
    <cellStyle name="Normal 47 3 5" xfId="2405" xr:uid="{00000000-0005-0000-0000-0000660D0000}"/>
    <cellStyle name="Normal 47 4" xfId="892" xr:uid="{00000000-0005-0000-0000-0000670D0000}"/>
    <cellStyle name="Normal 47 4 2" xfId="1328" xr:uid="{00000000-0005-0000-0000-0000680D0000}"/>
    <cellStyle name="Normal 47 4 2 2" xfId="2204" xr:uid="{00000000-0005-0000-0000-0000690D0000}"/>
    <cellStyle name="Normal 47 4 2 2 2" xfId="3963" xr:uid="{00000000-0005-0000-0000-00006A0D0000}"/>
    <cellStyle name="Normal 47 4 2 3" xfId="3087" xr:uid="{00000000-0005-0000-0000-00006B0D0000}"/>
    <cellStyle name="Normal 47 4 3" xfId="1768" xr:uid="{00000000-0005-0000-0000-00006C0D0000}"/>
    <cellStyle name="Normal 47 4 3 2" xfId="3527" xr:uid="{00000000-0005-0000-0000-00006D0D0000}"/>
    <cellStyle name="Normal 47 4 4" xfId="2651" xr:uid="{00000000-0005-0000-0000-00006E0D0000}"/>
    <cellStyle name="Normal 47 5" xfId="974" xr:uid="{00000000-0005-0000-0000-00006F0D0000}"/>
    <cellStyle name="Normal 47 5 2" xfId="1850" xr:uid="{00000000-0005-0000-0000-0000700D0000}"/>
    <cellStyle name="Normal 47 5 2 2" xfId="3609" xr:uid="{00000000-0005-0000-0000-0000710D0000}"/>
    <cellStyle name="Normal 47 5 3" xfId="2733" xr:uid="{00000000-0005-0000-0000-0000720D0000}"/>
    <cellStyle name="Normal 47 6" xfId="1414" xr:uid="{00000000-0005-0000-0000-0000730D0000}"/>
    <cellStyle name="Normal 47 6 2" xfId="3173" xr:uid="{00000000-0005-0000-0000-0000740D0000}"/>
    <cellStyle name="Normal 47 7" xfId="2297" xr:uid="{00000000-0005-0000-0000-0000750D0000}"/>
    <cellStyle name="Normal 48" xfId="520" xr:uid="{00000000-0005-0000-0000-0000760D0000}"/>
    <cellStyle name="Normal 48 2" xfId="630" xr:uid="{00000000-0005-0000-0000-0000770D0000}"/>
    <cellStyle name="Normal 48 2 2" xfId="893" xr:uid="{00000000-0005-0000-0000-0000780D0000}"/>
    <cellStyle name="Normal 48 2 2 2" xfId="1329" xr:uid="{00000000-0005-0000-0000-0000790D0000}"/>
    <cellStyle name="Normal 48 2 2 2 2" xfId="2205" xr:uid="{00000000-0005-0000-0000-00007A0D0000}"/>
    <cellStyle name="Normal 48 2 2 2 2 2" xfId="3964" xr:uid="{00000000-0005-0000-0000-00007B0D0000}"/>
    <cellStyle name="Normal 48 2 2 2 3" xfId="3088" xr:uid="{00000000-0005-0000-0000-00007C0D0000}"/>
    <cellStyle name="Normal 48 2 2 3" xfId="1769" xr:uid="{00000000-0005-0000-0000-00007D0D0000}"/>
    <cellStyle name="Normal 48 2 2 3 2" xfId="3528" xr:uid="{00000000-0005-0000-0000-00007E0D0000}"/>
    <cellStyle name="Normal 48 2 2 4" xfId="2652" xr:uid="{00000000-0005-0000-0000-00007F0D0000}"/>
    <cellStyle name="Normal 48 2 3" xfId="1084" xr:uid="{00000000-0005-0000-0000-0000800D0000}"/>
    <cellStyle name="Normal 48 2 3 2" xfId="1960" xr:uid="{00000000-0005-0000-0000-0000810D0000}"/>
    <cellStyle name="Normal 48 2 3 2 2" xfId="3719" xr:uid="{00000000-0005-0000-0000-0000820D0000}"/>
    <cellStyle name="Normal 48 2 3 3" xfId="2843" xr:uid="{00000000-0005-0000-0000-0000830D0000}"/>
    <cellStyle name="Normal 48 2 4" xfId="1524" xr:uid="{00000000-0005-0000-0000-0000840D0000}"/>
    <cellStyle name="Normal 48 2 4 2" xfId="3283" xr:uid="{00000000-0005-0000-0000-0000850D0000}"/>
    <cellStyle name="Normal 48 2 5" xfId="2407" xr:uid="{00000000-0005-0000-0000-0000860D0000}"/>
    <cellStyle name="Normal 48 3" xfId="894" xr:uid="{00000000-0005-0000-0000-0000870D0000}"/>
    <cellStyle name="Normal 48 3 2" xfId="1330" xr:uid="{00000000-0005-0000-0000-0000880D0000}"/>
    <cellStyle name="Normal 48 3 2 2" xfId="2206" xr:uid="{00000000-0005-0000-0000-0000890D0000}"/>
    <cellStyle name="Normal 48 3 2 2 2" xfId="3965" xr:uid="{00000000-0005-0000-0000-00008A0D0000}"/>
    <cellStyle name="Normal 48 3 2 3" xfId="3089" xr:uid="{00000000-0005-0000-0000-00008B0D0000}"/>
    <cellStyle name="Normal 48 3 3" xfId="1770" xr:uid="{00000000-0005-0000-0000-00008C0D0000}"/>
    <cellStyle name="Normal 48 3 3 2" xfId="3529" xr:uid="{00000000-0005-0000-0000-00008D0D0000}"/>
    <cellStyle name="Normal 48 3 4" xfId="2653" xr:uid="{00000000-0005-0000-0000-00008E0D0000}"/>
    <cellStyle name="Normal 48 4" xfId="976" xr:uid="{00000000-0005-0000-0000-00008F0D0000}"/>
    <cellStyle name="Normal 48 4 2" xfId="1852" xr:uid="{00000000-0005-0000-0000-0000900D0000}"/>
    <cellStyle name="Normal 48 4 2 2" xfId="3611" xr:uid="{00000000-0005-0000-0000-0000910D0000}"/>
    <cellStyle name="Normal 48 4 3" xfId="2735" xr:uid="{00000000-0005-0000-0000-0000920D0000}"/>
    <cellStyle name="Normal 48 5" xfId="1416" xr:uid="{00000000-0005-0000-0000-0000930D0000}"/>
    <cellStyle name="Normal 48 5 2" xfId="3175" xr:uid="{00000000-0005-0000-0000-0000940D0000}"/>
    <cellStyle name="Normal 48 6" xfId="2299" xr:uid="{00000000-0005-0000-0000-0000950D0000}"/>
    <cellStyle name="Normal 49" xfId="685" xr:uid="{00000000-0005-0000-0000-0000960D0000}"/>
    <cellStyle name="Normal 49 2" xfId="895" xr:uid="{00000000-0005-0000-0000-0000970D0000}"/>
    <cellStyle name="Normal 49 2 2" xfId="1331" xr:uid="{00000000-0005-0000-0000-0000980D0000}"/>
    <cellStyle name="Normal 49 2 2 2" xfId="2207" xr:uid="{00000000-0005-0000-0000-0000990D0000}"/>
    <cellStyle name="Normal 49 2 2 2 2" xfId="3966" xr:uid="{00000000-0005-0000-0000-00009A0D0000}"/>
    <cellStyle name="Normal 49 2 2 3" xfId="3090" xr:uid="{00000000-0005-0000-0000-00009B0D0000}"/>
    <cellStyle name="Normal 49 2 3" xfId="1771" xr:uid="{00000000-0005-0000-0000-00009C0D0000}"/>
    <cellStyle name="Normal 49 2 3 2" xfId="3530" xr:uid="{00000000-0005-0000-0000-00009D0D0000}"/>
    <cellStyle name="Normal 49 2 4" xfId="2654" xr:uid="{00000000-0005-0000-0000-00009E0D0000}"/>
    <cellStyle name="Normal 49 3" xfId="1139" xr:uid="{00000000-0005-0000-0000-00009F0D0000}"/>
    <cellStyle name="Normal 49 3 2" xfId="2015" xr:uid="{00000000-0005-0000-0000-0000A00D0000}"/>
    <cellStyle name="Normal 49 3 2 2" xfId="3774" xr:uid="{00000000-0005-0000-0000-0000A10D0000}"/>
    <cellStyle name="Normal 49 3 3" xfId="2898" xr:uid="{00000000-0005-0000-0000-0000A20D0000}"/>
    <cellStyle name="Normal 49 4" xfId="1579" xr:uid="{00000000-0005-0000-0000-0000A30D0000}"/>
    <cellStyle name="Normal 49 4 2" xfId="3338" xr:uid="{00000000-0005-0000-0000-0000A40D0000}"/>
    <cellStyle name="Normal 49 5" xfId="2462" xr:uid="{00000000-0005-0000-0000-0000A50D0000}"/>
    <cellStyle name="Normal 5" xfId="68" xr:uid="{00000000-0005-0000-0000-0000A60D0000}"/>
    <cellStyle name="Normal 5 2" xfId="511" xr:uid="{00000000-0005-0000-0000-0000A70D0000}"/>
    <cellStyle name="Normal 5 3" xfId="527" xr:uid="{00000000-0005-0000-0000-0000A80D0000}"/>
    <cellStyle name="Normal 5 3 2" xfId="636" xr:uid="{00000000-0005-0000-0000-0000A90D0000}"/>
    <cellStyle name="Normal 5 3 2 2" xfId="896" xr:uid="{00000000-0005-0000-0000-0000AA0D0000}"/>
    <cellStyle name="Normal 5 3 2 2 2" xfId="1332" xr:uid="{00000000-0005-0000-0000-0000AB0D0000}"/>
    <cellStyle name="Normal 5 3 2 2 2 2" xfId="2208" xr:uid="{00000000-0005-0000-0000-0000AC0D0000}"/>
    <cellStyle name="Normal 5 3 2 2 2 2 2" xfId="3967" xr:uid="{00000000-0005-0000-0000-0000AD0D0000}"/>
    <cellStyle name="Normal 5 3 2 2 2 3" xfId="3091" xr:uid="{00000000-0005-0000-0000-0000AE0D0000}"/>
    <cellStyle name="Normal 5 3 2 2 3" xfId="1772" xr:uid="{00000000-0005-0000-0000-0000AF0D0000}"/>
    <cellStyle name="Normal 5 3 2 2 3 2" xfId="3531" xr:uid="{00000000-0005-0000-0000-0000B00D0000}"/>
    <cellStyle name="Normal 5 3 2 2 4" xfId="2655" xr:uid="{00000000-0005-0000-0000-0000B10D0000}"/>
    <cellStyle name="Normal 5 3 2 3" xfId="1090" xr:uid="{00000000-0005-0000-0000-0000B20D0000}"/>
    <cellStyle name="Normal 5 3 2 3 2" xfId="1966" xr:uid="{00000000-0005-0000-0000-0000B30D0000}"/>
    <cellStyle name="Normal 5 3 2 3 2 2" xfId="3725" xr:uid="{00000000-0005-0000-0000-0000B40D0000}"/>
    <cellStyle name="Normal 5 3 2 3 3" xfId="2849" xr:uid="{00000000-0005-0000-0000-0000B50D0000}"/>
    <cellStyle name="Normal 5 3 2 4" xfId="1530" xr:uid="{00000000-0005-0000-0000-0000B60D0000}"/>
    <cellStyle name="Normal 5 3 2 4 2" xfId="3289" xr:uid="{00000000-0005-0000-0000-0000B70D0000}"/>
    <cellStyle name="Normal 5 3 2 5" xfId="2413" xr:uid="{00000000-0005-0000-0000-0000B80D0000}"/>
    <cellStyle name="Normal 5 3 3" xfId="897" xr:uid="{00000000-0005-0000-0000-0000B90D0000}"/>
    <cellStyle name="Normal 5 3 3 2" xfId="1333" xr:uid="{00000000-0005-0000-0000-0000BA0D0000}"/>
    <cellStyle name="Normal 5 3 3 2 2" xfId="2209" xr:uid="{00000000-0005-0000-0000-0000BB0D0000}"/>
    <cellStyle name="Normal 5 3 3 2 2 2" xfId="3968" xr:uid="{00000000-0005-0000-0000-0000BC0D0000}"/>
    <cellStyle name="Normal 5 3 3 2 3" xfId="3092" xr:uid="{00000000-0005-0000-0000-0000BD0D0000}"/>
    <cellStyle name="Normal 5 3 3 3" xfId="1773" xr:uid="{00000000-0005-0000-0000-0000BE0D0000}"/>
    <cellStyle name="Normal 5 3 3 3 2" xfId="3532" xr:uid="{00000000-0005-0000-0000-0000BF0D0000}"/>
    <cellStyle name="Normal 5 3 3 4" xfId="2656" xr:uid="{00000000-0005-0000-0000-0000C00D0000}"/>
    <cellStyle name="Normal 5 3 4" xfId="982" xr:uid="{00000000-0005-0000-0000-0000C10D0000}"/>
    <cellStyle name="Normal 5 3 4 2" xfId="1858" xr:uid="{00000000-0005-0000-0000-0000C20D0000}"/>
    <cellStyle name="Normal 5 3 4 2 2" xfId="3617" xr:uid="{00000000-0005-0000-0000-0000C30D0000}"/>
    <cellStyle name="Normal 5 3 4 3" xfId="2741" xr:uid="{00000000-0005-0000-0000-0000C40D0000}"/>
    <cellStyle name="Normal 5 3 5" xfId="1422" xr:uid="{00000000-0005-0000-0000-0000C50D0000}"/>
    <cellStyle name="Normal 5 3 5 2" xfId="3181" xr:uid="{00000000-0005-0000-0000-0000C60D0000}"/>
    <cellStyle name="Normal 5 3 6" xfId="2305" xr:uid="{00000000-0005-0000-0000-0000C70D0000}"/>
    <cellStyle name="Normal 5 4" xfId="581" xr:uid="{00000000-0005-0000-0000-0000C80D0000}"/>
    <cellStyle name="Normal 5 4 2" xfId="898" xr:uid="{00000000-0005-0000-0000-0000C90D0000}"/>
    <cellStyle name="Normal 5 4 2 2" xfId="1334" xr:uid="{00000000-0005-0000-0000-0000CA0D0000}"/>
    <cellStyle name="Normal 5 4 2 2 2" xfId="2210" xr:uid="{00000000-0005-0000-0000-0000CB0D0000}"/>
    <cellStyle name="Normal 5 4 2 2 2 2" xfId="3969" xr:uid="{00000000-0005-0000-0000-0000CC0D0000}"/>
    <cellStyle name="Normal 5 4 2 2 3" xfId="3093" xr:uid="{00000000-0005-0000-0000-0000CD0D0000}"/>
    <cellStyle name="Normal 5 4 2 3" xfId="1774" xr:uid="{00000000-0005-0000-0000-0000CE0D0000}"/>
    <cellStyle name="Normal 5 4 2 3 2" xfId="3533" xr:uid="{00000000-0005-0000-0000-0000CF0D0000}"/>
    <cellStyle name="Normal 5 4 2 4" xfId="2657" xr:uid="{00000000-0005-0000-0000-0000D00D0000}"/>
    <cellStyle name="Normal 5 4 3" xfId="1035" xr:uid="{00000000-0005-0000-0000-0000D10D0000}"/>
    <cellStyle name="Normal 5 4 3 2" xfId="1911" xr:uid="{00000000-0005-0000-0000-0000D20D0000}"/>
    <cellStyle name="Normal 5 4 3 2 2" xfId="3670" xr:uid="{00000000-0005-0000-0000-0000D30D0000}"/>
    <cellStyle name="Normal 5 4 3 3" xfId="2794" xr:uid="{00000000-0005-0000-0000-0000D40D0000}"/>
    <cellStyle name="Normal 5 4 4" xfId="1475" xr:uid="{00000000-0005-0000-0000-0000D50D0000}"/>
    <cellStyle name="Normal 5 4 4 2" xfId="3234" xr:uid="{00000000-0005-0000-0000-0000D60D0000}"/>
    <cellStyle name="Normal 5 4 5" xfId="2358" xr:uid="{00000000-0005-0000-0000-0000D70D0000}"/>
    <cellStyle name="Normal 5 5" xfId="899" xr:uid="{00000000-0005-0000-0000-0000D80D0000}"/>
    <cellStyle name="Normal 5 5 2" xfId="1335" xr:uid="{00000000-0005-0000-0000-0000D90D0000}"/>
    <cellStyle name="Normal 5 5 2 2" xfId="2211" xr:uid="{00000000-0005-0000-0000-0000DA0D0000}"/>
    <cellStyle name="Normal 5 5 2 2 2" xfId="3970" xr:uid="{00000000-0005-0000-0000-0000DB0D0000}"/>
    <cellStyle name="Normal 5 5 2 3" xfId="3094" xr:uid="{00000000-0005-0000-0000-0000DC0D0000}"/>
    <cellStyle name="Normal 5 5 3" xfId="1775" xr:uid="{00000000-0005-0000-0000-0000DD0D0000}"/>
    <cellStyle name="Normal 5 5 3 2" xfId="3534" xr:uid="{00000000-0005-0000-0000-0000DE0D0000}"/>
    <cellStyle name="Normal 5 5 4" xfId="2658" xr:uid="{00000000-0005-0000-0000-0000DF0D0000}"/>
    <cellStyle name="Normal 5 6" xfId="927" xr:uid="{00000000-0005-0000-0000-0000E00D0000}"/>
    <cellStyle name="Normal 5 6 2" xfId="1803" xr:uid="{00000000-0005-0000-0000-0000E10D0000}"/>
    <cellStyle name="Normal 5 6 2 2" xfId="3562" xr:uid="{00000000-0005-0000-0000-0000E20D0000}"/>
    <cellStyle name="Normal 5 6 3" xfId="2686" xr:uid="{00000000-0005-0000-0000-0000E30D0000}"/>
    <cellStyle name="Normal 5 7" xfId="1367" xr:uid="{00000000-0005-0000-0000-0000E40D0000}"/>
    <cellStyle name="Normal 5 7 2" xfId="3126" xr:uid="{00000000-0005-0000-0000-0000E50D0000}"/>
    <cellStyle name="Normal 5 8" xfId="2250" xr:uid="{00000000-0005-0000-0000-0000E60D0000}"/>
    <cellStyle name="Normal 50" xfId="2239" xr:uid="{00000000-0005-0000-0000-0000E70D0000}"/>
    <cellStyle name="Normal 50 2" xfId="2242" xr:uid="{00000000-0005-0000-0000-0000E80D0000}"/>
    <cellStyle name="Normal 51" xfId="2240" xr:uid="{00000000-0005-0000-0000-0000E90D0000}"/>
    <cellStyle name="Normal 51 2" xfId="2244" xr:uid="{00000000-0005-0000-0000-0000EA0D0000}"/>
    <cellStyle name="Normal 51 2 2" xfId="4001" xr:uid="{00000000-0005-0000-0000-0000EB0D0000}"/>
    <cellStyle name="Normal 51 3" xfId="3999" xr:uid="{00000000-0005-0000-0000-0000EC0D0000}"/>
    <cellStyle name="Normal 6" xfId="69" xr:uid="{00000000-0005-0000-0000-0000ED0D0000}"/>
    <cellStyle name="Normal 6 2" xfId="512" xr:uid="{00000000-0005-0000-0000-0000EE0D0000}"/>
    <cellStyle name="Normal 6 3" xfId="528" xr:uid="{00000000-0005-0000-0000-0000EF0D0000}"/>
    <cellStyle name="Normal 6 3 2" xfId="637" xr:uid="{00000000-0005-0000-0000-0000F00D0000}"/>
    <cellStyle name="Normal 6 3 2 2" xfId="900" xr:uid="{00000000-0005-0000-0000-0000F10D0000}"/>
    <cellStyle name="Normal 6 3 2 2 2" xfId="1336" xr:uid="{00000000-0005-0000-0000-0000F20D0000}"/>
    <cellStyle name="Normal 6 3 2 2 2 2" xfId="2212" xr:uid="{00000000-0005-0000-0000-0000F30D0000}"/>
    <cellStyle name="Normal 6 3 2 2 2 2 2" xfId="3971" xr:uid="{00000000-0005-0000-0000-0000F40D0000}"/>
    <cellStyle name="Normal 6 3 2 2 2 3" xfId="3095" xr:uid="{00000000-0005-0000-0000-0000F50D0000}"/>
    <cellStyle name="Normal 6 3 2 2 3" xfId="1776" xr:uid="{00000000-0005-0000-0000-0000F60D0000}"/>
    <cellStyle name="Normal 6 3 2 2 3 2" xfId="3535" xr:uid="{00000000-0005-0000-0000-0000F70D0000}"/>
    <cellStyle name="Normal 6 3 2 2 4" xfId="2659" xr:uid="{00000000-0005-0000-0000-0000F80D0000}"/>
    <cellStyle name="Normal 6 3 2 3" xfId="1091" xr:uid="{00000000-0005-0000-0000-0000F90D0000}"/>
    <cellStyle name="Normal 6 3 2 3 2" xfId="1967" xr:uid="{00000000-0005-0000-0000-0000FA0D0000}"/>
    <cellStyle name="Normal 6 3 2 3 2 2" xfId="3726" xr:uid="{00000000-0005-0000-0000-0000FB0D0000}"/>
    <cellStyle name="Normal 6 3 2 3 3" xfId="2850" xr:uid="{00000000-0005-0000-0000-0000FC0D0000}"/>
    <cellStyle name="Normal 6 3 2 4" xfId="1531" xr:uid="{00000000-0005-0000-0000-0000FD0D0000}"/>
    <cellStyle name="Normal 6 3 2 4 2" xfId="3290" xr:uid="{00000000-0005-0000-0000-0000FE0D0000}"/>
    <cellStyle name="Normal 6 3 2 5" xfId="2414" xr:uid="{00000000-0005-0000-0000-0000FF0D0000}"/>
    <cellStyle name="Normal 6 3 3" xfId="901" xr:uid="{00000000-0005-0000-0000-0000000E0000}"/>
    <cellStyle name="Normal 6 3 3 2" xfId="1337" xr:uid="{00000000-0005-0000-0000-0000010E0000}"/>
    <cellStyle name="Normal 6 3 3 2 2" xfId="2213" xr:uid="{00000000-0005-0000-0000-0000020E0000}"/>
    <cellStyle name="Normal 6 3 3 2 2 2" xfId="3972" xr:uid="{00000000-0005-0000-0000-0000030E0000}"/>
    <cellStyle name="Normal 6 3 3 2 3" xfId="3096" xr:uid="{00000000-0005-0000-0000-0000040E0000}"/>
    <cellStyle name="Normal 6 3 3 3" xfId="1777" xr:uid="{00000000-0005-0000-0000-0000050E0000}"/>
    <cellStyle name="Normal 6 3 3 3 2" xfId="3536" xr:uid="{00000000-0005-0000-0000-0000060E0000}"/>
    <cellStyle name="Normal 6 3 3 4" xfId="2660" xr:uid="{00000000-0005-0000-0000-0000070E0000}"/>
    <cellStyle name="Normal 6 3 4" xfId="983" xr:uid="{00000000-0005-0000-0000-0000080E0000}"/>
    <cellStyle name="Normal 6 3 4 2" xfId="1859" xr:uid="{00000000-0005-0000-0000-0000090E0000}"/>
    <cellStyle name="Normal 6 3 4 2 2" xfId="3618" xr:uid="{00000000-0005-0000-0000-00000A0E0000}"/>
    <cellStyle name="Normal 6 3 4 3" xfId="2742" xr:uid="{00000000-0005-0000-0000-00000B0E0000}"/>
    <cellStyle name="Normal 6 3 5" xfId="1423" xr:uid="{00000000-0005-0000-0000-00000C0E0000}"/>
    <cellStyle name="Normal 6 3 5 2" xfId="3182" xr:uid="{00000000-0005-0000-0000-00000D0E0000}"/>
    <cellStyle name="Normal 6 3 6" xfId="2306" xr:uid="{00000000-0005-0000-0000-00000E0E0000}"/>
    <cellStyle name="Normal 6 4" xfId="582" xr:uid="{00000000-0005-0000-0000-00000F0E0000}"/>
    <cellStyle name="Normal 6 4 2" xfId="902" xr:uid="{00000000-0005-0000-0000-0000100E0000}"/>
    <cellStyle name="Normal 6 4 2 2" xfId="1338" xr:uid="{00000000-0005-0000-0000-0000110E0000}"/>
    <cellStyle name="Normal 6 4 2 2 2" xfId="2214" xr:uid="{00000000-0005-0000-0000-0000120E0000}"/>
    <cellStyle name="Normal 6 4 2 2 2 2" xfId="3973" xr:uid="{00000000-0005-0000-0000-0000130E0000}"/>
    <cellStyle name="Normal 6 4 2 2 3" xfId="3097" xr:uid="{00000000-0005-0000-0000-0000140E0000}"/>
    <cellStyle name="Normal 6 4 2 3" xfId="1778" xr:uid="{00000000-0005-0000-0000-0000150E0000}"/>
    <cellStyle name="Normal 6 4 2 3 2" xfId="3537" xr:uid="{00000000-0005-0000-0000-0000160E0000}"/>
    <cellStyle name="Normal 6 4 2 4" xfId="2661" xr:uid="{00000000-0005-0000-0000-0000170E0000}"/>
    <cellStyle name="Normal 6 4 3" xfId="1036" xr:uid="{00000000-0005-0000-0000-0000180E0000}"/>
    <cellStyle name="Normal 6 4 3 2" xfId="1912" xr:uid="{00000000-0005-0000-0000-0000190E0000}"/>
    <cellStyle name="Normal 6 4 3 2 2" xfId="3671" xr:uid="{00000000-0005-0000-0000-00001A0E0000}"/>
    <cellStyle name="Normal 6 4 3 3" xfId="2795" xr:uid="{00000000-0005-0000-0000-00001B0E0000}"/>
    <cellStyle name="Normal 6 4 4" xfId="1476" xr:uid="{00000000-0005-0000-0000-00001C0E0000}"/>
    <cellStyle name="Normal 6 4 4 2" xfId="3235" xr:uid="{00000000-0005-0000-0000-00001D0E0000}"/>
    <cellStyle name="Normal 6 4 5" xfId="2359" xr:uid="{00000000-0005-0000-0000-00001E0E0000}"/>
    <cellStyle name="Normal 6 5" xfId="903" xr:uid="{00000000-0005-0000-0000-00001F0E0000}"/>
    <cellStyle name="Normal 6 5 2" xfId="1339" xr:uid="{00000000-0005-0000-0000-0000200E0000}"/>
    <cellStyle name="Normal 6 5 2 2" xfId="2215" xr:uid="{00000000-0005-0000-0000-0000210E0000}"/>
    <cellStyle name="Normal 6 5 2 2 2" xfId="3974" xr:uid="{00000000-0005-0000-0000-0000220E0000}"/>
    <cellStyle name="Normal 6 5 2 3" xfId="3098" xr:uid="{00000000-0005-0000-0000-0000230E0000}"/>
    <cellStyle name="Normal 6 5 3" xfId="1779" xr:uid="{00000000-0005-0000-0000-0000240E0000}"/>
    <cellStyle name="Normal 6 5 3 2" xfId="3538" xr:uid="{00000000-0005-0000-0000-0000250E0000}"/>
    <cellStyle name="Normal 6 5 4" xfId="2662" xr:uid="{00000000-0005-0000-0000-0000260E0000}"/>
    <cellStyle name="Normal 6 6" xfId="928" xr:uid="{00000000-0005-0000-0000-0000270E0000}"/>
    <cellStyle name="Normal 6 6 2" xfId="1804" xr:uid="{00000000-0005-0000-0000-0000280E0000}"/>
    <cellStyle name="Normal 6 6 2 2" xfId="3563" xr:uid="{00000000-0005-0000-0000-0000290E0000}"/>
    <cellStyle name="Normal 6 6 3" xfId="2687" xr:uid="{00000000-0005-0000-0000-00002A0E0000}"/>
    <cellStyle name="Normal 6 7" xfId="1368" xr:uid="{00000000-0005-0000-0000-00002B0E0000}"/>
    <cellStyle name="Normal 6 7 2" xfId="3127" xr:uid="{00000000-0005-0000-0000-00002C0E0000}"/>
    <cellStyle name="Normal 6 8" xfId="2251" xr:uid="{00000000-0005-0000-0000-00002D0E0000}"/>
    <cellStyle name="Normal 7" xfId="70" xr:uid="{00000000-0005-0000-0000-00002E0E0000}"/>
    <cellStyle name="Normal 7 2" xfId="513" xr:uid="{00000000-0005-0000-0000-00002F0E0000}"/>
    <cellStyle name="Normal 7 3" xfId="529" xr:uid="{00000000-0005-0000-0000-0000300E0000}"/>
    <cellStyle name="Normal 7 3 2" xfId="638" xr:uid="{00000000-0005-0000-0000-0000310E0000}"/>
    <cellStyle name="Normal 7 3 2 2" xfId="904" xr:uid="{00000000-0005-0000-0000-0000320E0000}"/>
    <cellStyle name="Normal 7 3 2 2 2" xfId="1340" xr:uid="{00000000-0005-0000-0000-0000330E0000}"/>
    <cellStyle name="Normal 7 3 2 2 2 2" xfId="2216" xr:uid="{00000000-0005-0000-0000-0000340E0000}"/>
    <cellStyle name="Normal 7 3 2 2 2 2 2" xfId="3975" xr:uid="{00000000-0005-0000-0000-0000350E0000}"/>
    <cellStyle name="Normal 7 3 2 2 2 3" xfId="3099" xr:uid="{00000000-0005-0000-0000-0000360E0000}"/>
    <cellStyle name="Normal 7 3 2 2 3" xfId="1780" xr:uid="{00000000-0005-0000-0000-0000370E0000}"/>
    <cellStyle name="Normal 7 3 2 2 3 2" xfId="3539" xr:uid="{00000000-0005-0000-0000-0000380E0000}"/>
    <cellStyle name="Normal 7 3 2 2 4" xfId="2663" xr:uid="{00000000-0005-0000-0000-0000390E0000}"/>
    <cellStyle name="Normal 7 3 2 3" xfId="1092" xr:uid="{00000000-0005-0000-0000-00003A0E0000}"/>
    <cellStyle name="Normal 7 3 2 3 2" xfId="1968" xr:uid="{00000000-0005-0000-0000-00003B0E0000}"/>
    <cellStyle name="Normal 7 3 2 3 2 2" xfId="3727" xr:uid="{00000000-0005-0000-0000-00003C0E0000}"/>
    <cellStyle name="Normal 7 3 2 3 3" xfId="2851" xr:uid="{00000000-0005-0000-0000-00003D0E0000}"/>
    <cellStyle name="Normal 7 3 2 4" xfId="1532" xr:uid="{00000000-0005-0000-0000-00003E0E0000}"/>
    <cellStyle name="Normal 7 3 2 4 2" xfId="3291" xr:uid="{00000000-0005-0000-0000-00003F0E0000}"/>
    <cellStyle name="Normal 7 3 2 5" xfId="2415" xr:uid="{00000000-0005-0000-0000-0000400E0000}"/>
    <cellStyle name="Normal 7 3 3" xfId="905" xr:uid="{00000000-0005-0000-0000-0000410E0000}"/>
    <cellStyle name="Normal 7 3 3 2" xfId="1341" xr:uid="{00000000-0005-0000-0000-0000420E0000}"/>
    <cellStyle name="Normal 7 3 3 2 2" xfId="2217" xr:uid="{00000000-0005-0000-0000-0000430E0000}"/>
    <cellStyle name="Normal 7 3 3 2 2 2" xfId="3976" xr:uid="{00000000-0005-0000-0000-0000440E0000}"/>
    <cellStyle name="Normal 7 3 3 2 3" xfId="3100" xr:uid="{00000000-0005-0000-0000-0000450E0000}"/>
    <cellStyle name="Normal 7 3 3 3" xfId="1781" xr:uid="{00000000-0005-0000-0000-0000460E0000}"/>
    <cellStyle name="Normal 7 3 3 3 2" xfId="3540" xr:uid="{00000000-0005-0000-0000-0000470E0000}"/>
    <cellStyle name="Normal 7 3 3 4" xfId="2664" xr:uid="{00000000-0005-0000-0000-0000480E0000}"/>
    <cellStyle name="Normal 7 3 4" xfId="984" xr:uid="{00000000-0005-0000-0000-0000490E0000}"/>
    <cellStyle name="Normal 7 3 4 2" xfId="1860" xr:uid="{00000000-0005-0000-0000-00004A0E0000}"/>
    <cellStyle name="Normal 7 3 4 2 2" xfId="3619" xr:uid="{00000000-0005-0000-0000-00004B0E0000}"/>
    <cellStyle name="Normal 7 3 4 3" xfId="2743" xr:uid="{00000000-0005-0000-0000-00004C0E0000}"/>
    <cellStyle name="Normal 7 3 5" xfId="1424" xr:uid="{00000000-0005-0000-0000-00004D0E0000}"/>
    <cellStyle name="Normal 7 3 5 2" xfId="3183" xr:uid="{00000000-0005-0000-0000-00004E0E0000}"/>
    <cellStyle name="Normal 7 3 6" xfId="2307" xr:uid="{00000000-0005-0000-0000-00004F0E0000}"/>
    <cellStyle name="Normal 7 4" xfId="583" xr:uid="{00000000-0005-0000-0000-0000500E0000}"/>
    <cellStyle name="Normal 7 4 2" xfId="906" xr:uid="{00000000-0005-0000-0000-0000510E0000}"/>
    <cellStyle name="Normal 7 4 2 2" xfId="1342" xr:uid="{00000000-0005-0000-0000-0000520E0000}"/>
    <cellStyle name="Normal 7 4 2 2 2" xfId="2218" xr:uid="{00000000-0005-0000-0000-0000530E0000}"/>
    <cellStyle name="Normal 7 4 2 2 2 2" xfId="3977" xr:uid="{00000000-0005-0000-0000-0000540E0000}"/>
    <cellStyle name="Normal 7 4 2 2 3" xfId="3101" xr:uid="{00000000-0005-0000-0000-0000550E0000}"/>
    <cellStyle name="Normal 7 4 2 3" xfId="1782" xr:uid="{00000000-0005-0000-0000-0000560E0000}"/>
    <cellStyle name="Normal 7 4 2 3 2" xfId="3541" xr:uid="{00000000-0005-0000-0000-0000570E0000}"/>
    <cellStyle name="Normal 7 4 2 4" xfId="2665" xr:uid="{00000000-0005-0000-0000-0000580E0000}"/>
    <cellStyle name="Normal 7 4 3" xfId="1037" xr:uid="{00000000-0005-0000-0000-0000590E0000}"/>
    <cellStyle name="Normal 7 4 3 2" xfId="1913" xr:uid="{00000000-0005-0000-0000-00005A0E0000}"/>
    <cellStyle name="Normal 7 4 3 2 2" xfId="3672" xr:uid="{00000000-0005-0000-0000-00005B0E0000}"/>
    <cellStyle name="Normal 7 4 3 3" xfId="2796" xr:uid="{00000000-0005-0000-0000-00005C0E0000}"/>
    <cellStyle name="Normal 7 4 4" xfId="1477" xr:uid="{00000000-0005-0000-0000-00005D0E0000}"/>
    <cellStyle name="Normal 7 4 4 2" xfId="3236" xr:uid="{00000000-0005-0000-0000-00005E0E0000}"/>
    <cellStyle name="Normal 7 4 5" xfId="2360" xr:uid="{00000000-0005-0000-0000-00005F0E0000}"/>
    <cellStyle name="Normal 7 5" xfId="907" xr:uid="{00000000-0005-0000-0000-0000600E0000}"/>
    <cellStyle name="Normal 7 5 2" xfId="1343" xr:uid="{00000000-0005-0000-0000-0000610E0000}"/>
    <cellStyle name="Normal 7 5 2 2" xfId="2219" xr:uid="{00000000-0005-0000-0000-0000620E0000}"/>
    <cellStyle name="Normal 7 5 2 2 2" xfId="3978" xr:uid="{00000000-0005-0000-0000-0000630E0000}"/>
    <cellStyle name="Normal 7 5 2 3" xfId="3102" xr:uid="{00000000-0005-0000-0000-0000640E0000}"/>
    <cellStyle name="Normal 7 5 3" xfId="1783" xr:uid="{00000000-0005-0000-0000-0000650E0000}"/>
    <cellStyle name="Normal 7 5 3 2" xfId="3542" xr:uid="{00000000-0005-0000-0000-0000660E0000}"/>
    <cellStyle name="Normal 7 5 4" xfId="2666" xr:uid="{00000000-0005-0000-0000-0000670E0000}"/>
    <cellStyle name="Normal 7 6" xfId="929" xr:uid="{00000000-0005-0000-0000-0000680E0000}"/>
    <cellStyle name="Normal 7 6 2" xfId="1805" xr:uid="{00000000-0005-0000-0000-0000690E0000}"/>
    <cellStyle name="Normal 7 6 2 2" xfId="3564" xr:uid="{00000000-0005-0000-0000-00006A0E0000}"/>
    <cellStyle name="Normal 7 6 3" xfId="2688" xr:uid="{00000000-0005-0000-0000-00006B0E0000}"/>
    <cellStyle name="Normal 7 7" xfId="1369" xr:uid="{00000000-0005-0000-0000-00006C0E0000}"/>
    <cellStyle name="Normal 7 7 2" xfId="3128" xr:uid="{00000000-0005-0000-0000-00006D0E0000}"/>
    <cellStyle name="Normal 7 8" xfId="2252" xr:uid="{00000000-0005-0000-0000-00006E0E0000}"/>
    <cellStyle name="Normal 8" xfId="71" xr:uid="{00000000-0005-0000-0000-00006F0E0000}"/>
    <cellStyle name="Normal 8 2" xfId="530" xr:uid="{00000000-0005-0000-0000-0000700E0000}"/>
    <cellStyle name="Normal 8 2 2" xfId="639" xr:uid="{00000000-0005-0000-0000-0000710E0000}"/>
    <cellStyle name="Normal 8 2 2 2" xfId="908" xr:uid="{00000000-0005-0000-0000-0000720E0000}"/>
    <cellStyle name="Normal 8 2 2 2 2" xfId="1344" xr:uid="{00000000-0005-0000-0000-0000730E0000}"/>
    <cellStyle name="Normal 8 2 2 2 2 2" xfId="2220" xr:uid="{00000000-0005-0000-0000-0000740E0000}"/>
    <cellStyle name="Normal 8 2 2 2 2 2 2" xfId="3979" xr:uid="{00000000-0005-0000-0000-0000750E0000}"/>
    <cellStyle name="Normal 8 2 2 2 2 3" xfId="3103" xr:uid="{00000000-0005-0000-0000-0000760E0000}"/>
    <cellStyle name="Normal 8 2 2 2 3" xfId="1784" xr:uid="{00000000-0005-0000-0000-0000770E0000}"/>
    <cellStyle name="Normal 8 2 2 2 3 2" xfId="3543" xr:uid="{00000000-0005-0000-0000-0000780E0000}"/>
    <cellStyle name="Normal 8 2 2 2 4" xfId="2667" xr:uid="{00000000-0005-0000-0000-0000790E0000}"/>
    <cellStyle name="Normal 8 2 2 3" xfId="1093" xr:uid="{00000000-0005-0000-0000-00007A0E0000}"/>
    <cellStyle name="Normal 8 2 2 3 2" xfId="1969" xr:uid="{00000000-0005-0000-0000-00007B0E0000}"/>
    <cellStyle name="Normal 8 2 2 3 2 2" xfId="3728" xr:uid="{00000000-0005-0000-0000-00007C0E0000}"/>
    <cellStyle name="Normal 8 2 2 3 3" xfId="2852" xr:uid="{00000000-0005-0000-0000-00007D0E0000}"/>
    <cellStyle name="Normal 8 2 2 4" xfId="1533" xr:uid="{00000000-0005-0000-0000-00007E0E0000}"/>
    <cellStyle name="Normal 8 2 2 4 2" xfId="3292" xr:uid="{00000000-0005-0000-0000-00007F0E0000}"/>
    <cellStyle name="Normal 8 2 2 5" xfId="2416" xr:uid="{00000000-0005-0000-0000-0000800E0000}"/>
    <cellStyle name="Normal 8 2 3" xfId="909" xr:uid="{00000000-0005-0000-0000-0000810E0000}"/>
    <cellStyle name="Normal 8 2 3 2" xfId="1345" xr:uid="{00000000-0005-0000-0000-0000820E0000}"/>
    <cellStyle name="Normal 8 2 3 2 2" xfId="2221" xr:uid="{00000000-0005-0000-0000-0000830E0000}"/>
    <cellStyle name="Normal 8 2 3 2 2 2" xfId="3980" xr:uid="{00000000-0005-0000-0000-0000840E0000}"/>
    <cellStyle name="Normal 8 2 3 2 3" xfId="3104" xr:uid="{00000000-0005-0000-0000-0000850E0000}"/>
    <cellStyle name="Normal 8 2 3 3" xfId="1785" xr:uid="{00000000-0005-0000-0000-0000860E0000}"/>
    <cellStyle name="Normal 8 2 3 3 2" xfId="3544" xr:uid="{00000000-0005-0000-0000-0000870E0000}"/>
    <cellStyle name="Normal 8 2 3 4" xfId="2668" xr:uid="{00000000-0005-0000-0000-0000880E0000}"/>
    <cellStyle name="Normal 8 2 4" xfId="985" xr:uid="{00000000-0005-0000-0000-0000890E0000}"/>
    <cellStyle name="Normal 8 2 4 2" xfId="1861" xr:uid="{00000000-0005-0000-0000-00008A0E0000}"/>
    <cellStyle name="Normal 8 2 4 2 2" xfId="3620" xr:uid="{00000000-0005-0000-0000-00008B0E0000}"/>
    <cellStyle name="Normal 8 2 4 3" xfId="2744" xr:uid="{00000000-0005-0000-0000-00008C0E0000}"/>
    <cellStyle name="Normal 8 2 5" xfId="1425" xr:uid="{00000000-0005-0000-0000-00008D0E0000}"/>
    <cellStyle name="Normal 8 2 5 2" xfId="3184" xr:uid="{00000000-0005-0000-0000-00008E0E0000}"/>
    <cellStyle name="Normal 8 2 6" xfId="2308" xr:uid="{00000000-0005-0000-0000-00008F0E0000}"/>
    <cellStyle name="Normal 8 3" xfId="584" xr:uid="{00000000-0005-0000-0000-0000900E0000}"/>
    <cellStyle name="Normal 8 3 2" xfId="910" xr:uid="{00000000-0005-0000-0000-0000910E0000}"/>
    <cellStyle name="Normal 8 3 2 2" xfId="1346" xr:uid="{00000000-0005-0000-0000-0000920E0000}"/>
    <cellStyle name="Normal 8 3 2 2 2" xfId="2222" xr:uid="{00000000-0005-0000-0000-0000930E0000}"/>
    <cellStyle name="Normal 8 3 2 2 2 2" xfId="3981" xr:uid="{00000000-0005-0000-0000-0000940E0000}"/>
    <cellStyle name="Normal 8 3 2 2 3" xfId="3105" xr:uid="{00000000-0005-0000-0000-0000950E0000}"/>
    <cellStyle name="Normal 8 3 2 3" xfId="1786" xr:uid="{00000000-0005-0000-0000-0000960E0000}"/>
    <cellStyle name="Normal 8 3 2 3 2" xfId="3545" xr:uid="{00000000-0005-0000-0000-0000970E0000}"/>
    <cellStyle name="Normal 8 3 2 4" xfId="2669" xr:uid="{00000000-0005-0000-0000-0000980E0000}"/>
    <cellStyle name="Normal 8 3 3" xfId="1038" xr:uid="{00000000-0005-0000-0000-0000990E0000}"/>
    <cellStyle name="Normal 8 3 3 2" xfId="1914" xr:uid="{00000000-0005-0000-0000-00009A0E0000}"/>
    <cellStyle name="Normal 8 3 3 2 2" xfId="3673" xr:uid="{00000000-0005-0000-0000-00009B0E0000}"/>
    <cellStyle name="Normal 8 3 3 3" xfId="2797" xr:uid="{00000000-0005-0000-0000-00009C0E0000}"/>
    <cellStyle name="Normal 8 3 4" xfId="1478" xr:uid="{00000000-0005-0000-0000-00009D0E0000}"/>
    <cellStyle name="Normal 8 3 4 2" xfId="3237" xr:uid="{00000000-0005-0000-0000-00009E0E0000}"/>
    <cellStyle name="Normal 8 3 5" xfId="2361" xr:uid="{00000000-0005-0000-0000-00009F0E0000}"/>
    <cellStyle name="Normal 8 4" xfId="911" xr:uid="{00000000-0005-0000-0000-0000A00E0000}"/>
    <cellStyle name="Normal 8 4 2" xfId="1347" xr:uid="{00000000-0005-0000-0000-0000A10E0000}"/>
    <cellStyle name="Normal 8 4 2 2" xfId="2223" xr:uid="{00000000-0005-0000-0000-0000A20E0000}"/>
    <cellStyle name="Normal 8 4 2 2 2" xfId="3982" xr:uid="{00000000-0005-0000-0000-0000A30E0000}"/>
    <cellStyle name="Normal 8 4 2 3" xfId="3106" xr:uid="{00000000-0005-0000-0000-0000A40E0000}"/>
    <cellStyle name="Normal 8 4 3" xfId="1787" xr:uid="{00000000-0005-0000-0000-0000A50E0000}"/>
    <cellStyle name="Normal 8 4 3 2" xfId="3546" xr:uid="{00000000-0005-0000-0000-0000A60E0000}"/>
    <cellStyle name="Normal 8 4 4" xfId="2670" xr:uid="{00000000-0005-0000-0000-0000A70E0000}"/>
    <cellStyle name="Normal 8 5" xfId="930" xr:uid="{00000000-0005-0000-0000-0000A80E0000}"/>
    <cellStyle name="Normal 8 5 2" xfId="1806" xr:uid="{00000000-0005-0000-0000-0000A90E0000}"/>
    <cellStyle name="Normal 8 5 2 2" xfId="3565" xr:uid="{00000000-0005-0000-0000-0000AA0E0000}"/>
    <cellStyle name="Normal 8 5 3" xfId="2689" xr:uid="{00000000-0005-0000-0000-0000AB0E0000}"/>
    <cellStyle name="Normal 8 6" xfId="1370" xr:uid="{00000000-0005-0000-0000-0000AC0E0000}"/>
    <cellStyle name="Normal 8 6 2" xfId="3129" xr:uid="{00000000-0005-0000-0000-0000AD0E0000}"/>
    <cellStyle name="Normal 8 7" xfId="2253" xr:uid="{00000000-0005-0000-0000-0000AE0E0000}"/>
    <cellStyle name="Normal 9" xfId="77" xr:uid="{00000000-0005-0000-0000-0000AF0E0000}"/>
    <cellStyle name="Normal 9 2" xfId="531" xr:uid="{00000000-0005-0000-0000-0000B00E0000}"/>
    <cellStyle name="Normal 9 2 2" xfId="640" xr:uid="{00000000-0005-0000-0000-0000B10E0000}"/>
    <cellStyle name="Normal 9 2 2 2" xfId="912" xr:uid="{00000000-0005-0000-0000-0000B20E0000}"/>
    <cellStyle name="Normal 9 2 2 2 2" xfId="1348" xr:uid="{00000000-0005-0000-0000-0000B30E0000}"/>
    <cellStyle name="Normal 9 2 2 2 2 2" xfId="2224" xr:uid="{00000000-0005-0000-0000-0000B40E0000}"/>
    <cellStyle name="Normal 9 2 2 2 2 2 2" xfId="3983" xr:uid="{00000000-0005-0000-0000-0000B50E0000}"/>
    <cellStyle name="Normal 9 2 2 2 2 3" xfId="3107" xr:uid="{00000000-0005-0000-0000-0000B60E0000}"/>
    <cellStyle name="Normal 9 2 2 2 3" xfId="1788" xr:uid="{00000000-0005-0000-0000-0000B70E0000}"/>
    <cellStyle name="Normal 9 2 2 2 3 2" xfId="3547" xr:uid="{00000000-0005-0000-0000-0000B80E0000}"/>
    <cellStyle name="Normal 9 2 2 2 4" xfId="2671" xr:uid="{00000000-0005-0000-0000-0000B90E0000}"/>
    <cellStyle name="Normal 9 2 2 3" xfId="1094" xr:uid="{00000000-0005-0000-0000-0000BA0E0000}"/>
    <cellStyle name="Normal 9 2 2 3 2" xfId="1970" xr:uid="{00000000-0005-0000-0000-0000BB0E0000}"/>
    <cellStyle name="Normal 9 2 2 3 2 2" xfId="3729" xr:uid="{00000000-0005-0000-0000-0000BC0E0000}"/>
    <cellStyle name="Normal 9 2 2 3 3" xfId="2853" xr:uid="{00000000-0005-0000-0000-0000BD0E0000}"/>
    <cellStyle name="Normal 9 2 2 4" xfId="1534" xr:uid="{00000000-0005-0000-0000-0000BE0E0000}"/>
    <cellStyle name="Normal 9 2 2 4 2" xfId="3293" xr:uid="{00000000-0005-0000-0000-0000BF0E0000}"/>
    <cellStyle name="Normal 9 2 2 5" xfId="2417" xr:uid="{00000000-0005-0000-0000-0000C00E0000}"/>
    <cellStyle name="Normal 9 2 3" xfId="913" xr:uid="{00000000-0005-0000-0000-0000C10E0000}"/>
    <cellStyle name="Normal 9 2 3 2" xfId="1349" xr:uid="{00000000-0005-0000-0000-0000C20E0000}"/>
    <cellStyle name="Normal 9 2 3 2 2" xfId="2225" xr:uid="{00000000-0005-0000-0000-0000C30E0000}"/>
    <cellStyle name="Normal 9 2 3 2 2 2" xfId="3984" xr:uid="{00000000-0005-0000-0000-0000C40E0000}"/>
    <cellStyle name="Normal 9 2 3 2 3" xfId="3108" xr:uid="{00000000-0005-0000-0000-0000C50E0000}"/>
    <cellStyle name="Normal 9 2 3 3" xfId="1789" xr:uid="{00000000-0005-0000-0000-0000C60E0000}"/>
    <cellStyle name="Normal 9 2 3 3 2" xfId="3548" xr:uid="{00000000-0005-0000-0000-0000C70E0000}"/>
    <cellStyle name="Normal 9 2 3 4" xfId="2672" xr:uid="{00000000-0005-0000-0000-0000C80E0000}"/>
    <cellStyle name="Normal 9 2 4" xfId="986" xr:uid="{00000000-0005-0000-0000-0000C90E0000}"/>
    <cellStyle name="Normal 9 2 4 2" xfId="1862" xr:uid="{00000000-0005-0000-0000-0000CA0E0000}"/>
    <cellStyle name="Normal 9 2 4 2 2" xfId="3621" xr:uid="{00000000-0005-0000-0000-0000CB0E0000}"/>
    <cellStyle name="Normal 9 2 4 3" xfId="2745" xr:uid="{00000000-0005-0000-0000-0000CC0E0000}"/>
    <cellStyle name="Normal 9 2 5" xfId="1426" xr:uid="{00000000-0005-0000-0000-0000CD0E0000}"/>
    <cellStyle name="Normal 9 2 5 2" xfId="3185" xr:uid="{00000000-0005-0000-0000-0000CE0E0000}"/>
    <cellStyle name="Normal 9 2 6" xfId="2309" xr:uid="{00000000-0005-0000-0000-0000CF0E0000}"/>
    <cellStyle name="Normal 9 3" xfId="585" xr:uid="{00000000-0005-0000-0000-0000D00E0000}"/>
    <cellStyle name="Normal 9 3 2" xfId="914" xr:uid="{00000000-0005-0000-0000-0000D10E0000}"/>
    <cellStyle name="Normal 9 3 2 2" xfId="1350" xr:uid="{00000000-0005-0000-0000-0000D20E0000}"/>
    <cellStyle name="Normal 9 3 2 2 2" xfId="2226" xr:uid="{00000000-0005-0000-0000-0000D30E0000}"/>
    <cellStyle name="Normal 9 3 2 2 2 2" xfId="3985" xr:uid="{00000000-0005-0000-0000-0000D40E0000}"/>
    <cellStyle name="Normal 9 3 2 2 3" xfId="3109" xr:uid="{00000000-0005-0000-0000-0000D50E0000}"/>
    <cellStyle name="Normal 9 3 2 3" xfId="1790" xr:uid="{00000000-0005-0000-0000-0000D60E0000}"/>
    <cellStyle name="Normal 9 3 2 3 2" xfId="3549" xr:uid="{00000000-0005-0000-0000-0000D70E0000}"/>
    <cellStyle name="Normal 9 3 2 4" xfId="2673" xr:uid="{00000000-0005-0000-0000-0000D80E0000}"/>
    <cellStyle name="Normal 9 3 3" xfId="1039" xr:uid="{00000000-0005-0000-0000-0000D90E0000}"/>
    <cellStyle name="Normal 9 3 3 2" xfId="1915" xr:uid="{00000000-0005-0000-0000-0000DA0E0000}"/>
    <cellStyle name="Normal 9 3 3 2 2" xfId="3674" xr:uid="{00000000-0005-0000-0000-0000DB0E0000}"/>
    <cellStyle name="Normal 9 3 3 3" xfId="2798" xr:uid="{00000000-0005-0000-0000-0000DC0E0000}"/>
    <cellStyle name="Normal 9 3 4" xfId="1479" xr:uid="{00000000-0005-0000-0000-0000DD0E0000}"/>
    <cellStyle name="Normal 9 3 4 2" xfId="3238" xr:uid="{00000000-0005-0000-0000-0000DE0E0000}"/>
    <cellStyle name="Normal 9 3 5" xfId="2362" xr:uid="{00000000-0005-0000-0000-0000DF0E0000}"/>
    <cellStyle name="Normal 9 4" xfId="915" xr:uid="{00000000-0005-0000-0000-0000E00E0000}"/>
    <cellStyle name="Normal 9 4 2" xfId="1351" xr:uid="{00000000-0005-0000-0000-0000E10E0000}"/>
    <cellStyle name="Normal 9 4 2 2" xfId="2227" xr:uid="{00000000-0005-0000-0000-0000E20E0000}"/>
    <cellStyle name="Normal 9 4 2 2 2" xfId="3986" xr:uid="{00000000-0005-0000-0000-0000E30E0000}"/>
    <cellStyle name="Normal 9 4 2 3" xfId="3110" xr:uid="{00000000-0005-0000-0000-0000E40E0000}"/>
    <cellStyle name="Normal 9 4 3" xfId="1791" xr:uid="{00000000-0005-0000-0000-0000E50E0000}"/>
    <cellStyle name="Normal 9 4 3 2" xfId="3550" xr:uid="{00000000-0005-0000-0000-0000E60E0000}"/>
    <cellStyle name="Normal 9 4 4" xfId="2674" xr:uid="{00000000-0005-0000-0000-0000E70E0000}"/>
    <cellStyle name="Normal 9 5" xfId="931" xr:uid="{00000000-0005-0000-0000-0000E80E0000}"/>
    <cellStyle name="Normal 9 5 2" xfId="1807" xr:uid="{00000000-0005-0000-0000-0000E90E0000}"/>
    <cellStyle name="Normal 9 5 2 2" xfId="3566" xr:uid="{00000000-0005-0000-0000-0000EA0E0000}"/>
    <cellStyle name="Normal 9 5 3" xfId="2690" xr:uid="{00000000-0005-0000-0000-0000EB0E0000}"/>
    <cellStyle name="Normal 9 6" xfId="1371" xr:uid="{00000000-0005-0000-0000-0000EC0E0000}"/>
    <cellStyle name="Normal 9 6 2" xfId="3130" xr:uid="{00000000-0005-0000-0000-0000ED0E0000}"/>
    <cellStyle name="Normal 9 7" xfId="2254" xr:uid="{00000000-0005-0000-0000-0000EE0E0000}"/>
    <cellStyle name="Note 2" xfId="60" xr:uid="{00000000-0005-0000-0000-0000EF0E0000}"/>
    <cellStyle name="Output 2" xfId="61" xr:uid="{00000000-0005-0000-0000-0000F00E0000}"/>
    <cellStyle name="Percent" xfId="519" builtinId="5"/>
    <cellStyle name="Percent 2" xfId="494" xr:uid="{00000000-0005-0000-0000-0000F20E0000}"/>
    <cellStyle name="Percent 2 2" xfId="556" xr:uid="{00000000-0005-0000-0000-0000F30E0000}"/>
    <cellStyle name="Percent 2 2 2" xfId="665" xr:uid="{00000000-0005-0000-0000-0000F40E0000}"/>
    <cellStyle name="Percent 2 2 2 2" xfId="916" xr:uid="{00000000-0005-0000-0000-0000F50E0000}"/>
    <cellStyle name="Percent 2 2 2 2 2" xfId="1352" xr:uid="{00000000-0005-0000-0000-0000F60E0000}"/>
    <cellStyle name="Percent 2 2 2 2 2 2" xfId="2228" xr:uid="{00000000-0005-0000-0000-0000F70E0000}"/>
    <cellStyle name="Percent 2 2 2 2 2 2 2" xfId="3987" xr:uid="{00000000-0005-0000-0000-0000F80E0000}"/>
    <cellStyle name="Percent 2 2 2 2 2 3" xfId="3111" xr:uid="{00000000-0005-0000-0000-0000F90E0000}"/>
    <cellStyle name="Percent 2 2 2 2 3" xfId="1792" xr:uid="{00000000-0005-0000-0000-0000FA0E0000}"/>
    <cellStyle name="Percent 2 2 2 2 3 2" xfId="3551" xr:uid="{00000000-0005-0000-0000-0000FB0E0000}"/>
    <cellStyle name="Percent 2 2 2 2 4" xfId="2675" xr:uid="{00000000-0005-0000-0000-0000FC0E0000}"/>
    <cellStyle name="Percent 2 2 2 3" xfId="1119" xr:uid="{00000000-0005-0000-0000-0000FD0E0000}"/>
    <cellStyle name="Percent 2 2 2 3 2" xfId="1995" xr:uid="{00000000-0005-0000-0000-0000FE0E0000}"/>
    <cellStyle name="Percent 2 2 2 3 2 2" xfId="3754" xr:uid="{00000000-0005-0000-0000-0000FF0E0000}"/>
    <cellStyle name="Percent 2 2 2 3 3" xfId="2878" xr:uid="{00000000-0005-0000-0000-0000000F0000}"/>
    <cellStyle name="Percent 2 2 2 4" xfId="1559" xr:uid="{00000000-0005-0000-0000-0000010F0000}"/>
    <cellStyle name="Percent 2 2 2 4 2" xfId="3318" xr:uid="{00000000-0005-0000-0000-0000020F0000}"/>
    <cellStyle name="Percent 2 2 2 5" xfId="2442" xr:uid="{00000000-0005-0000-0000-0000030F0000}"/>
    <cellStyle name="Percent 2 2 3" xfId="917" xr:uid="{00000000-0005-0000-0000-0000040F0000}"/>
    <cellStyle name="Percent 2 2 3 2" xfId="1353" xr:uid="{00000000-0005-0000-0000-0000050F0000}"/>
    <cellStyle name="Percent 2 2 3 2 2" xfId="2229" xr:uid="{00000000-0005-0000-0000-0000060F0000}"/>
    <cellStyle name="Percent 2 2 3 2 2 2" xfId="3988" xr:uid="{00000000-0005-0000-0000-0000070F0000}"/>
    <cellStyle name="Percent 2 2 3 2 3" xfId="3112" xr:uid="{00000000-0005-0000-0000-0000080F0000}"/>
    <cellStyle name="Percent 2 2 3 3" xfId="1793" xr:uid="{00000000-0005-0000-0000-0000090F0000}"/>
    <cellStyle name="Percent 2 2 3 3 2" xfId="3552" xr:uid="{00000000-0005-0000-0000-00000A0F0000}"/>
    <cellStyle name="Percent 2 2 3 4" xfId="2676" xr:uid="{00000000-0005-0000-0000-00000B0F0000}"/>
    <cellStyle name="Percent 2 2 4" xfId="1011" xr:uid="{00000000-0005-0000-0000-00000C0F0000}"/>
    <cellStyle name="Percent 2 2 4 2" xfId="1887" xr:uid="{00000000-0005-0000-0000-00000D0F0000}"/>
    <cellStyle name="Percent 2 2 4 2 2" xfId="3646" xr:uid="{00000000-0005-0000-0000-00000E0F0000}"/>
    <cellStyle name="Percent 2 2 4 3" xfId="2770" xr:uid="{00000000-0005-0000-0000-00000F0F0000}"/>
    <cellStyle name="Percent 2 2 5" xfId="1451" xr:uid="{00000000-0005-0000-0000-0000100F0000}"/>
    <cellStyle name="Percent 2 2 5 2" xfId="3210" xr:uid="{00000000-0005-0000-0000-0000110F0000}"/>
    <cellStyle name="Percent 2 2 6" xfId="2334" xr:uid="{00000000-0005-0000-0000-0000120F0000}"/>
    <cellStyle name="Percent 2 3" xfId="610" xr:uid="{00000000-0005-0000-0000-0000130F0000}"/>
    <cellStyle name="Percent 2 3 2" xfId="918" xr:uid="{00000000-0005-0000-0000-0000140F0000}"/>
    <cellStyle name="Percent 2 3 2 2" xfId="1354" xr:uid="{00000000-0005-0000-0000-0000150F0000}"/>
    <cellStyle name="Percent 2 3 2 2 2" xfId="2230" xr:uid="{00000000-0005-0000-0000-0000160F0000}"/>
    <cellStyle name="Percent 2 3 2 2 2 2" xfId="3989" xr:uid="{00000000-0005-0000-0000-0000170F0000}"/>
    <cellStyle name="Percent 2 3 2 2 3" xfId="3113" xr:uid="{00000000-0005-0000-0000-0000180F0000}"/>
    <cellStyle name="Percent 2 3 2 3" xfId="1794" xr:uid="{00000000-0005-0000-0000-0000190F0000}"/>
    <cellStyle name="Percent 2 3 2 3 2" xfId="3553" xr:uid="{00000000-0005-0000-0000-00001A0F0000}"/>
    <cellStyle name="Percent 2 3 2 4" xfId="2677" xr:uid="{00000000-0005-0000-0000-00001B0F0000}"/>
    <cellStyle name="Percent 2 3 3" xfId="1064" xr:uid="{00000000-0005-0000-0000-00001C0F0000}"/>
    <cellStyle name="Percent 2 3 3 2" xfId="1940" xr:uid="{00000000-0005-0000-0000-00001D0F0000}"/>
    <cellStyle name="Percent 2 3 3 2 2" xfId="3699" xr:uid="{00000000-0005-0000-0000-00001E0F0000}"/>
    <cellStyle name="Percent 2 3 3 3" xfId="2823" xr:uid="{00000000-0005-0000-0000-00001F0F0000}"/>
    <cellStyle name="Percent 2 3 4" xfId="1504" xr:uid="{00000000-0005-0000-0000-0000200F0000}"/>
    <cellStyle name="Percent 2 3 4 2" xfId="3263" xr:uid="{00000000-0005-0000-0000-0000210F0000}"/>
    <cellStyle name="Percent 2 3 5" xfId="2387" xr:uid="{00000000-0005-0000-0000-0000220F0000}"/>
    <cellStyle name="Percent 2 4" xfId="919" xr:uid="{00000000-0005-0000-0000-0000230F0000}"/>
    <cellStyle name="Percent 2 4 2" xfId="1355" xr:uid="{00000000-0005-0000-0000-0000240F0000}"/>
    <cellStyle name="Percent 2 4 2 2" xfId="2231" xr:uid="{00000000-0005-0000-0000-0000250F0000}"/>
    <cellStyle name="Percent 2 4 2 2 2" xfId="3990" xr:uid="{00000000-0005-0000-0000-0000260F0000}"/>
    <cellStyle name="Percent 2 4 2 3" xfId="3114" xr:uid="{00000000-0005-0000-0000-0000270F0000}"/>
    <cellStyle name="Percent 2 4 3" xfId="1795" xr:uid="{00000000-0005-0000-0000-0000280F0000}"/>
    <cellStyle name="Percent 2 4 3 2" xfId="3554" xr:uid="{00000000-0005-0000-0000-0000290F0000}"/>
    <cellStyle name="Percent 2 4 4" xfId="2678" xr:uid="{00000000-0005-0000-0000-00002A0F0000}"/>
    <cellStyle name="Percent 2 5" xfId="956" xr:uid="{00000000-0005-0000-0000-00002B0F0000}"/>
    <cellStyle name="Percent 2 5 2" xfId="1832" xr:uid="{00000000-0005-0000-0000-00002C0F0000}"/>
    <cellStyle name="Percent 2 5 2 2" xfId="3591" xr:uid="{00000000-0005-0000-0000-00002D0F0000}"/>
    <cellStyle name="Percent 2 5 3" xfId="2715" xr:uid="{00000000-0005-0000-0000-00002E0F0000}"/>
    <cellStyle name="Percent 2 6" xfId="1396" xr:uid="{00000000-0005-0000-0000-00002F0F0000}"/>
    <cellStyle name="Percent 2 6 2" xfId="3155" xr:uid="{00000000-0005-0000-0000-0000300F0000}"/>
    <cellStyle name="Percent 2 7" xfId="2279" xr:uid="{00000000-0005-0000-0000-0000310F0000}"/>
    <cellStyle name="Percent 3" xfId="521" xr:uid="{00000000-0005-0000-0000-0000320F0000}"/>
    <cellStyle name="Percent 3 2" xfId="631" xr:uid="{00000000-0005-0000-0000-0000330F0000}"/>
    <cellStyle name="Percent 3 2 2" xfId="920" xr:uid="{00000000-0005-0000-0000-0000340F0000}"/>
    <cellStyle name="Percent 3 2 2 2" xfId="1356" xr:uid="{00000000-0005-0000-0000-0000350F0000}"/>
    <cellStyle name="Percent 3 2 2 2 2" xfId="2232" xr:uid="{00000000-0005-0000-0000-0000360F0000}"/>
    <cellStyle name="Percent 3 2 2 2 2 2" xfId="3991" xr:uid="{00000000-0005-0000-0000-0000370F0000}"/>
    <cellStyle name="Percent 3 2 2 2 3" xfId="3115" xr:uid="{00000000-0005-0000-0000-0000380F0000}"/>
    <cellStyle name="Percent 3 2 2 3" xfId="1796" xr:uid="{00000000-0005-0000-0000-0000390F0000}"/>
    <cellStyle name="Percent 3 2 2 3 2" xfId="3555" xr:uid="{00000000-0005-0000-0000-00003A0F0000}"/>
    <cellStyle name="Percent 3 2 2 4" xfId="2679" xr:uid="{00000000-0005-0000-0000-00003B0F0000}"/>
    <cellStyle name="Percent 3 2 3" xfId="1085" xr:uid="{00000000-0005-0000-0000-00003C0F0000}"/>
    <cellStyle name="Percent 3 2 3 2" xfId="1961" xr:uid="{00000000-0005-0000-0000-00003D0F0000}"/>
    <cellStyle name="Percent 3 2 3 2 2" xfId="3720" xr:uid="{00000000-0005-0000-0000-00003E0F0000}"/>
    <cellStyle name="Percent 3 2 3 3" xfId="2844" xr:uid="{00000000-0005-0000-0000-00003F0F0000}"/>
    <cellStyle name="Percent 3 2 4" xfId="1525" xr:uid="{00000000-0005-0000-0000-0000400F0000}"/>
    <cellStyle name="Percent 3 2 4 2" xfId="3284" xr:uid="{00000000-0005-0000-0000-0000410F0000}"/>
    <cellStyle name="Percent 3 2 5" xfId="2408" xr:uid="{00000000-0005-0000-0000-0000420F0000}"/>
    <cellStyle name="Percent 3 3" xfId="921" xr:uid="{00000000-0005-0000-0000-0000430F0000}"/>
    <cellStyle name="Percent 3 3 2" xfId="1357" xr:uid="{00000000-0005-0000-0000-0000440F0000}"/>
    <cellStyle name="Percent 3 3 2 2" xfId="2233" xr:uid="{00000000-0005-0000-0000-0000450F0000}"/>
    <cellStyle name="Percent 3 3 2 2 2" xfId="3992" xr:uid="{00000000-0005-0000-0000-0000460F0000}"/>
    <cellStyle name="Percent 3 3 2 3" xfId="3116" xr:uid="{00000000-0005-0000-0000-0000470F0000}"/>
    <cellStyle name="Percent 3 3 3" xfId="1797" xr:uid="{00000000-0005-0000-0000-0000480F0000}"/>
    <cellStyle name="Percent 3 3 3 2" xfId="3556" xr:uid="{00000000-0005-0000-0000-0000490F0000}"/>
    <cellStyle name="Percent 3 3 4" xfId="2680" xr:uid="{00000000-0005-0000-0000-00004A0F0000}"/>
    <cellStyle name="Percent 3 4" xfId="977" xr:uid="{00000000-0005-0000-0000-00004B0F0000}"/>
    <cellStyle name="Percent 3 4 2" xfId="1853" xr:uid="{00000000-0005-0000-0000-00004C0F0000}"/>
    <cellStyle name="Percent 3 4 2 2" xfId="3612" xr:uid="{00000000-0005-0000-0000-00004D0F0000}"/>
    <cellStyle name="Percent 3 4 3" xfId="2736" xr:uid="{00000000-0005-0000-0000-00004E0F0000}"/>
    <cellStyle name="Percent 3 5" xfId="1417" xr:uid="{00000000-0005-0000-0000-00004F0F0000}"/>
    <cellStyle name="Percent 3 5 2" xfId="3176" xr:uid="{00000000-0005-0000-0000-0000500F0000}"/>
    <cellStyle name="Percent 3 6" xfId="2300" xr:uid="{00000000-0005-0000-0000-0000510F0000}"/>
    <cellStyle name="Percent 4" xfId="576" xr:uid="{00000000-0005-0000-0000-0000520F0000}"/>
    <cellStyle name="Percent 4 2" xfId="2241" xr:uid="{00000000-0005-0000-0000-0000530F0000}"/>
    <cellStyle name="Percent 5" xfId="686" xr:uid="{00000000-0005-0000-0000-0000540F0000}"/>
    <cellStyle name="Percent 5 2" xfId="922" xr:uid="{00000000-0005-0000-0000-0000550F0000}"/>
    <cellStyle name="Percent 5 2 2" xfId="1358" xr:uid="{00000000-0005-0000-0000-0000560F0000}"/>
    <cellStyle name="Percent 5 2 2 2" xfId="2234" xr:uid="{00000000-0005-0000-0000-0000570F0000}"/>
    <cellStyle name="Percent 5 2 2 2 2" xfId="3993" xr:uid="{00000000-0005-0000-0000-0000580F0000}"/>
    <cellStyle name="Percent 5 2 2 3" xfId="3117" xr:uid="{00000000-0005-0000-0000-0000590F0000}"/>
    <cellStyle name="Percent 5 2 3" xfId="1798" xr:uid="{00000000-0005-0000-0000-00005A0F0000}"/>
    <cellStyle name="Percent 5 2 3 2" xfId="3557" xr:uid="{00000000-0005-0000-0000-00005B0F0000}"/>
    <cellStyle name="Percent 5 2 4" xfId="2681" xr:uid="{00000000-0005-0000-0000-00005C0F0000}"/>
    <cellStyle name="Percent 5 3" xfId="1140" xr:uid="{00000000-0005-0000-0000-00005D0F0000}"/>
    <cellStyle name="Percent 5 3 2" xfId="2016" xr:uid="{00000000-0005-0000-0000-00005E0F0000}"/>
    <cellStyle name="Percent 5 3 2 2" xfId="3775" xr:uid="{00000000-0005-0000-0000-00005F0F0000}"/>
    <cellStyle name="Percent 5 3 3" xfId="2899" xr:uid="{00000000-0005-0000-0000-0000600F0000}"/>
    <cellStyle name="Percent 5 4" xfId="1580" xr:uid="{00000000-0005-0000-0000-0000610F0000}"/>
    <cellStyle name="Percent 5 4 2" xfId="3339" xr:uid="{00000000-0005-0000-0000-0000620F0000}"/>
    <cellStyle name="Percent 5 5" xfId="2463" xr:uid="{00000000-0005-0000-0000-0000630F0000}"/>
    <cellStyle name="Title" xfId="18" xr:uid="{00000000-0005-0000-0000-0000640F0000}"/>
    <cellStyle name="Title 10" xfId="431" xr:uid="{00000000-0005-0000-0000-0000650F0000}"/>
    <cellStyle name="Title 11" xfId="432" xr:uid="{00000000-0005-0000-0000-0000660F0000}"/>
    <cellStyle name="Title 2" xfId="62" xr:uid="{00000000-0005-0000-0000-0000670F0000}"/>
    <cellStyle name="Title 2 10" xfId="433" xr:uid="{00000000-0005-0000-0000-0000680F0000}"/>
    <cellStyle name="Title 2 11" xfId="434" xr:uid="{00000000-0005-0000-0000-0000690F0000}"/>
    <cellStyle name="Title 2 2" xfId="435" xr:uid="{00000000-0005-0000-0000-00006A0F0000}"/>
    <cellStyle name="Title 2 3" xfId="436" xr:uid="{00000000-0005-0000-0000-00006B0F0000}"/>
    <cellStyle name="Title 2 4" xfId="437" xr:uid="{00000000-0005-0000-0000-00006C0F0000}"/>
    <cellStyle name="Title 2 5" xfId="438" xr:uid="{00000000-0005-0000-0000-00006D0F0000}"/>
    <cellStyle name="Title 2 6" xfId="439" xr:uid="{00000000-0005-0000-0000-00006E0F0000}"/>
    <cellStyle name="Title 2 7" xfId="440" xr:uid="{00000000-0005-0000-0000-00006F0F0000}"/>
    <cellStyle name="Title 2 8" xfId="441" xr:uid="{00000000-0005-0000-0000-0000700F0000}"/>
    <cellStyle name="Title 2 9" xfId="442" xr:uid="{00000000-0005-0000-0000-0000710F0000}"/>
    <cellStyle name="Title 3" xfId="443" xr:uid="{00000000-0005-0000-0000-0000720F0000}"/>
    <cellStyle name="Title 4" xfId="444" xr:uid="{00000000-0005-0000-0000-0000730F0000}"/>
    <cellStyle name="Title 5" xfId="445" xr:uid="{00000000-0005-0000-0000-0000740F0000}"/>
    <cellStyle name="Title 6" xfId="446" xr:uid="{00000000-0005-0000-0000-0000750F0000}"/>
    <cellStyle name="Title 7" xfId="447" xr:uid="{00000000-0005-0000-0000-0000760F0000}"/>
    <cellStyle name="Title 8" xfId="448" xr:uid="{00000000-0005-0000-0000-0000770F0000}"/>
    <cellStyle name="Title 9" xfId="449" xr:uid="{00000000-0005-0000-0000-0000780F0000}"/>
    <cellStyle name="Total" xfId="19" xr:uid="{00000000-0005-0000-0000-0000790F0000}"/>
    <cellStyle name="Total 10" xfId="450" xr:uid="{00000000-0005-0000-0000-00007A0F0000}"/>
    <cellStyle name="Total 11" xfId="451" xr:uid="{00000000-0005-0000-0000-00007B0F0000}"/>
    <cellStyle name="Total 2" xfId="63" xr:uid="{00000000-0005-0000-0000-00007C0F0000}"/>
    <cellStyle name="Total 2 10" xfId="452" xr:uid="{00000000-0005-0000-0000-00007D0F0000}"/>
    <cellStyle name="Total 2 11" xfId="453" xr:uid="{00000000-0005-0000-0000-00007E0F0000}"/>
    <cellStyle name="Total 2 2" xfId="454" xr:uid="{00000000-0005-0000-0000-00007F0F0000}"/>
    <cellStyle name="Total 2 3" xfId="455" xr:uid="{00000000-0005-0000-0000-0000800F0000}"/>
    <cellStyle name="Total 2 4" xfId="456" xr:uid="{00000000-0005-0000-0000-0000810F0000}"/>
    <cellStyle name="Total 2 5" xfId="457" xr:uid="{00000000-0005-0000-0000-0000820F0000}"/>
    <cellStyle name="Total 2 6" xfId="458" xr:uid="{00000000-0005-0000-0000-0000830F0000}"/>
    <cellStyle name="Total 2 7" xfId="459" xr:uid="{00000000-0005-0000-0000-0000840F0000}"/>
    <cellStyle name="Total 2 8" xfId="460" xr:uid="{00000000-0005-0000-0000-0000850F0000}"/>
    <cellStyle name="Total 2 9" xfId="461" xr:uid="{00000000-0005-0000-0000-0000860F0000}"/>
    <cellStyle name="Total 3" xfId="462" xr:uid="{00000000-0005-0000-0000-0000870F0000}"/>
    <cellStyle name="Total 4" xfId="463" xr:uid="{00000000-0005-0000-0000-0000880F0000}"/>
    <cellStyle name="Total 5" xfId="464" xr:uid="{00000000-0005-0000-0000-0000890F0000}"/>
    <cellStyle name="Total 6" xfId="465" xr:uid="{00000000-0005-0000-0000-00008A0F0000}"/>
    <cellStyle name="Total 7" xfId="466" xr:uid="{00000000-0005-0000-0000-00008B0F0000}"/>
    <cellStyle name="Total 8" xfId="467" xr:uid="{00000000-0005-0000-0000-00008C0F0000}"/>
    <cellStyle name="Total 9" xfId="468" xr:uid="{00000000-0005-0000-0000-00008D0F0000}"/>
    <cellStyle name="Warning Text" xfId="20" xr:uid="{00000000-0005-0000-0000-00008E0F0000}"/>
    <cellStyle name="Warning Text 10" xfId="469" xr:uid="{00000000-0005-0000-0000-00008F0F0000}"/>
    <cellStyle name="Warning Text 11" xfId="470" xr:uid="{00000000-0005-0000-0000-0000900F0000}"/>
    <cellStyle name="Warning Text 2" xfId="64" xr:uid="{00000000-0005-0000-0000-0000910F0000}"/>
    <cellStyle name="Warning Text 2 10" xfId="471" xr:uid="{00000000-0005-0000-0000-0000920F0000}"/>
    <cellStyle name="Warning Text 2 11" xfId="472" xr:uid="{00000000-0005-0000-0000-0000930F0000}"/>
    <cellStyle name="Warning Text 2 2" xfId="473" xr:uid="{00000000-0005-0000-0000-0000940F0000}"/>
    <cellStyle name="Warning Text 2 3" xfId="474" xr:uid="{00000000-0005-0000-0000-0000950F0000}"/>
    <cellStyle name="Warning Text 2 4" xfId="475" xr:uid="{00000000-0005-0000-0000-0000960F0000}"/>
    <cellStyle name="Warning Text 2 5" xfId="476" xr:uid="{00000000-0005-0000-0000-0000970F0000}"/>
    <cellStyle name="Warning Text 2 6" xfId="477" xr:uid="{00000000-0005-0000-0000-0000980F0000}"/>
    <cellStyle name="Warning Text 2 7" xfId="478" xr:uid="{00000000-0005-0000-0000-0000990F0000}"/>
    <cellStyle name="Warning Text 2 8" xfId="479" xr:uid="{00000000-0005-0000-0000-00009A0F0000}"/>
    <cellStyle name="Warning Text 2 9" xfId="480" xr:uid="{00000000-0005-0000-0000-00009B0F0000}"/>
    <cellStyle name="Warning Text 3" xfId="481" xr:uid="{00000000-0005-0000-0000-00009C0F0000}"/>
    <cellStyle name="Warning Text 4" xfId="482" xr:uid="{00000000-0005-0000-0000-00009D0F0000}"/>
    <cellStyle name="Warning Text 5" xfId="483" xr:uid="{00000000-0005-0000-0000-00009E0F0000}"/>
    <cellStyle name="Warning Text 6" xfId="484" xr:uid="{00000000-0005-0000-0000-00009F0F0000}"/>
    <cellStyle name="Warning Text 7" xfId="485" xr:uid="{00000000-0005-0000-0000-0000A00F0000}"/>
    <cellStyle name="Warning Text 8" xfId="486" xr:uid="{00000000-0005-0000-0000-0000A10F0000}"/>
    <cellStyle name="Warning Text 9" xfId="487" xr:uid="{00000000-0005-0000-0000-0000A20F0000}"/>
  </cellStyles>
  <dxfs count="364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0066FF"/>
      <color rgb="FFFF00FF"/>
      <color rgb="FFCC00FF"/>
      <color rgb="FFFF0066"/>
      <color rgb="FF99CC00"/>
      <color rgb="FFFFCCFF"/>
      <color rgb="FFCCFF33"/>
      <color rgb="FF00CC00"/>
      <color rgb="FFCC33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1</xdr:col>
          <xdr:colOff>466725</xdr:colOff>
          <xdr:row>1</xdr:row>
          <xdr:rowOff>114300</xdr:rowOff>
        </xdr:to>
        <xdr:sp macro="" textlink="">
          <xdr:nvSpPr>
            <xdr:cNvPr id="62465" name="btnDyeingLogic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3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1</xdr:col>
          <xdr:colOff>466725</xdr:colOff>
          <xdr:row>1</xdr:row>
          <xdr:rowOff>114300</xdr:rowOff>
        </xdr:to>
        <xdr:sp macro="" textlink="">
          <xdr:nvSpPr>
            <xdr:cNvPr id="70657" name="btnDyeingLogic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06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alman\Desktop\New%20Posting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hekor\Desktop\New%20Job%20Posting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alman\Desktop\New%20Job%20Post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ster Copy"/>
      <sheetName val="Summary"/>
      <sheetName val="Tracking sheet"/>
      <sheetName val="August"/>
      <sheetName val="September"/>
      <sheetName val="April'26"/>
      <sheetName val="May'26"/>
      <sheetName val="June'26"/>
      <sheetName val="July'26"/>
      <sheetName val="January'26"/>
      <sheetName val="February'25"/>
      <sheetName val="February'26"/>
      <sheetName val="March'26"/>
    </sheetNames>
    <sheetDataSet>
      <sheetData sheetId="0"/>
      <sheetData sheetId="1" refreshError="1"/>
      <sheetData sheetId="2"/>
      <sheetData sheetId="3" refreshError="1"/>
      <sheetData sheetId="4" refreshError="1"/>
      <sheetData sheetId="5"/>
      <sheetData sheetId="6"/>
      <sheetData sheetId="7"/>
      <sheetData sheetId="8" refreshError="1"/>
      <sheetData sheetId="9"/>
      <sheetData sheetId="10"/>
      <sheetData sheetId="11" refreshError="1"/>
      <sheetData sheetId="1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September'26"/>
      <sheetName val="October'26"/>
      <sheetName val="November'26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July'26"/>
      <sheetName val="August'26"/>
      <sheetName val="September'26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FF"/>
  </sheetPr>
  <dimension ref="A1:CJ283"/>
  <sheetViews>
    <sheetView showGridLines="0" view="pageBreakPreview" zoomScaleNormal="100" zoomScaleSheetLayoutView="100" workbookViewId="0">
      <selection activeCell="O141" sqref="O141"/>
    </sheetView>
  </sheetViews>
  <sheetFormatPr defaultColWidth="9.140625" defaultRowHeight="12.75"/>
  <cols>
    <col min="1" max="1" width="16" customWidth="1"/>
    <col min="2" max="3" width="8.140625" customWidth="1"/>
    <col min="4" max="4" width="9.5703125" customWidth="1"/>
    <col min="5" max="5" width="8.28515625" customWidth="1"/>
    <col min="6" max="6" width="8.42578125" customWidth="1"/>
    <col min="7" max="7" width="9.5703125" customWidth="1"/>
    <col min="8" max="8" width="8.140625" customWidth="1"/>
    <col min="9" max="9" width="8.28515625" customWidth="1"/>
    <col min="10" max="10" width="9.140625" customWidth="1"/>
    <col min="11" max="11" width="9" customWidth="1"/>
    <col min="12" max="12" width="9.140625" customWidth="1"/>
    <col min="13" max="13" width="10.42578125" customWidth="1"/>
    <col min="14" max="14" width="10.140625" customWidth="1"/>
    <col min="15" max="15" width="20.28515625" customWidth="1"/>
    <col min="17" max="17" width="10" customWidth="1"/>
  </cols>
  <sheetData>
    <row r="1" spans="1:88" ht="16.5">
      <c r="A1" s="178" t="s">
        <v>11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</row>
    <row r="2" spans="1:88" ht="15">
      <c r="A2" s="179" t="s">
        <v>52</v>
      </c>
      <c r="B2" s="179"/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</row>
    <row r="3" spans="1:88" ht="20.25" customHeight="1">
      <c r="A3" s="180" t="s">
        <v>174</v>
      </c>
      <c r="B3" s="180"/>
      <c r="C3" s="180"/>
      <c r="D3" s="180"/>
      <c r="E3" s="180"/>
      <c r="F3" s="180"/>
      <c r="G3" s="180"/>
      <c r="H3" s="180"/>
      <c r="I3" s="180"/>
      <c r="J3" s="180"/>
      <c r="K3" s="180"/>
      <c r="L3" s="180"/>
      <c r="M3" s="180"/>
    </row>
    <row r="4" spans="1:88" ht="17.25" customHeight="1">
      <c r="K4" s="181" t="s">
        <v>76</v>
      </c>
      <c r="L4" s="181"/>
      <c r="M4" s="69" t="s">
        <v>3096</v>
      </c>
    </row>
    <row r="5" spans="1:88" s="70" customFormat="1" ht="34.5" customHeight="1">
      <c r="A5" s="89" t="s">
        <v>18</v>
      </c>
      <c r="B5" s="93" t="s">
        <v>332</v>
      </c>
      <c r="C5" s="93" t="s">
        <v>118</v>
      </c>
      <c r="D5" s="94" t="s">
        <v>119</v>
      </c>
      <c r="E5" s="96" t="s">
        <v>123</v>
      </c>
      <c r="F5" s="97" t="s">
        <v>120</v>
      </c>
      <c r="G5" s="98" t="s">
        <v>121</v>
      </c>
      <c r="H5" s="99" t="s">
        <v>123</v>
      </c>
      <c r="I5" s="100" t="s">
        <v>122</v>
      </c>
      <c r="J5" s="101" t="s">
        <v>121</v>
      </c>
      <c r="K5" s="91" t="s">
        <v>123</v>
      </c>
      <c r="L5" s="89" t="s">
        <v>122</v>
      </c>
      <c r="M5" s="89" t="s">
        <v>121</v>
      </c>
    </row>
    <row r="6" spans="1:88" ht="18" hidden="1" customHeight="1">
      <c r="A6" s="71" t="s">
        <v>426</v>
      </c>
      <c r="B6" s="172" t="s">
        <v>77</v>
      </c>
      <c r="C6" s="172"/>
      <c r="D6" s="173"/>
      <c r="E6" s="174" t="s">
        <v>78</v>
      </c>
      <c r="F6" s="175"/>
      <c r="G6" s="176"/>
      <c r="H6" s="177" t="s">
        <v>79</v>
      </c>
      <c r="I6" s="175"/>
      <c r="J6" s="176"/>
      <c r="K6" s="177" t="s">
        <v>80</v>
      </c>
      <c r="L6" s="175"/>
      <c r="M6" s="175"/>
      <c r="O6" s="6"/>
      <c r="P6" s="6"/>
      <c r="Q6" s="6"/>
      <c r="R6" s="6"/>
      <c r="S6" s="6"/>
      <c r="T6" s="6"/>
      <c r="U6" s="6"/>
      <c r="V6" s="6"/>
      <c r="W6" s="6"/>
      <c r="X6" s="6"/>
      <c r="Y6" s="20"/>
      <c r="Z6" s="20"/>
      <c r="AA6" s="20"/>
    </row>
    <row r="7" spans="1:88" ht="15" hidden="1" customHeight="1">
      <c r="A7" s="34" t="s">
        <v>50</v>
      </c>
      <c r="B7" s="34" t="e">
        <f>#REF!</f>
        <v>#REF!</v>
      </c>
      <c r="C7" s="34" t="e">
        <f t="shared" ref="C7:C20" si="0">B7+D7</f>
        <v>#REF!</v>
      </c>
      <c r="D7" s="140" t="e">
        <f>#REF!</f>
        <v>#REF!</v>
      </c>
      <c r="E7" s="139" t="e">
        <f>#REF!</f>
        <v>#REF!</v>
      </c>
      <c r="F7" s="34" t="e">
        <f>E7+G7</f>
        <v>#REF!</v>
      </c>
      <c r="G7" s="140" t="e">
        <f>#REF!</f>
        <v>#REF!</v>
      </c>
      <c r="H7" s="141" t="e">
        <f>#REF!</f>
        <v>#REF!</v>
      </c>
      <c r="I7" s="34" t="e">
        <f>H7+J7</f>
        <v>#REF!</v>
      </c>
      <c r="J7" s="140" t="e">
        <f>#REF!</f>
        <v>#REF!</v>
      </c>
      <c r="K7" s="72" t="e">
        <f t="shared" ref="K7:K22" si="1">+B7+E7+H7</f>
        <v>#REF!</v>
      </c>
      <c r="L7" s="73" t="e">
        <f t="shared" ref="L7:L22" si="2">+C7+F7+I7</f>
        <v>#REF!</v>
      </c>
      <c r="M7" s="73" t="e">
        <f t="shared" ref="M7:M22" si="3">+D7+G7+J7</f>
        <v>#REF!</v>
      </c>
      <c r="O7" s="6"/>
      <c r="P7" s="6"/>
      <c r="Q7" s="6"/>
      <c r="R7" s="6"/>
      <c r="S7" s="6"/>
      <c r="T7" s="6"/>
      <c r="U7" s="6"/>
      <c r="V7" s="6"/>
      <c r="W7" s="6"/>
      <c r="X7" s="6"/>
      <c r="Y7" s="20"/>
      <c r="Z7" s="20"/>
      <c r="AA7" s="20"/>
      <c r="CJ7" t="s">
        <v>1356</v>
      </c>
    </row>
    <row r="8" spans="1:88" ht="15" hidden="1" customHeight="1">
      <c r="A8" s="34" t="s">
        <v>51</v>
      </c>
      <c r="B8" s="34" t="e">
        <f>#REF!</f>
        <v>#REF!</v>
      </c>
      <c r="C8" s="34" t="e">
        <f t="shared" si="0"/>
        <v>#REF!</v>
      </c>
      <c r="D8" s="140" t="e">
        <f>#REF!</f>
        <v>#REF!</v>
      </c>
      <c r="E8" s="139" t="e">
        <f>#REF!</f>
        <v>#REF!</v>
      </c>
      <c r="F8" s="34" t="e">
        <f t="shared" ref="F8:F22" si="4">E8+G8</f>
        <v>#REF!</v>
      </c>
      <c r="G8" s="140" t="e">
        <f>#REF!</f>
        <v>#REF!</v>
      </c>
      <c r="H8" s="141" t="e">
        <f>#REF!</f>
        <v>#REF!</v>
      </c>
      <c r="I8" s="34" t="e">
        <f t="shared" ref="I8:I16" si="5">H8+J8</f>
        <v>#REF!</v>
      </c>
      <c r="J8" s="140" t="e">
        <f>#REF!</f>
        <v>#REF!</v>
      </c>
      <c r="K8" s="72" t="e">
        <f t="shared" si="1"/>
        <v>#REF!</v>
      </c>
      <c r="L8" s="73" t="e">
        <f t="shared" si="2"/>
        <v>#REF!</v>
      </c>
      <c r="M8" s="73" t="e">
        <f t="shared" si="3"/>
        <v>#REF!</v>
      </c>
      <c r="O8" s="6"/>
      <c r="P8" s="6"/>
      <c r="Q8" s="6"/>
      <c r="R8" s="6"/>
      <c r="S8" s="6"/>
      <c r="T8" s="6"/>
      <c r="U8" s="6"/>
      <c r="V8" s="6"/>
      <c r="W8" s="6"/>
      <c r="X8" s="6"/>
      <c r="Y8" s="20"/>
      <c r="Z8" s="20"/>
      <c r="AA8" s="20"/>
    </row>
    <row r="9" spans="1:88" ht="15" hidden="1" customHeight="1">
      <c r="A9" s="1" t="s">
        <v>387</v>
      </c>
      <c r="B9" s="34" t="e">
        <f>#REF!</f>
        <v>#REF!</v>
      </c>
      <c r="C9" s="34" t="e">
        <f t="shared" si="0"/>
        <v>#REF!</v>
      </c>
      <c r="D9" s="140" t="e">
        <f>#REF!</f>
        <v>#REF!</v>
      </c>
      <c r="E9" s="139" t="e">
        <f>#REF!</f>
        <v>#REF!</v>
      </c>
      <c r="F9" s="34" t="e">
        <f t="shared" si="4"/>
        <v>#REF!</v>
      </c>
      <c r="G9" s="140" t="e">
        <f>#REF!</f>
        <v>#REF!</v>
      </c>
      <c r="H9" s="141" t="e">
        <f>#REF!</f>
        <v>#REF!</v>
      </c>
      <c r="I9" s="34" t="e">
        <f t="shared" si="5"/>
        <v>#REF!</v>
      </c>
      <c r="J9" s="140" t="e">
        <f>#REF!</f>
        <v>#REF!</v>
      </c>
      <c r="K9" s="72" t="e">
        <f t="shared" si="1"/>
        <v>#REF!</v>
      </c>
      <c r="L9" s="73" t="e">
        <f t="shared" si="2"/>
        <v>#REF!</v>
      </c>
      <c r="M9" s="73" t="e">
        <f t="shared" si="3"/>
        <v>#REF!</v>
      </c>
      <c r="O9" s="2"/>
      <c r="P9" s="6"/>
      <c r="Q9" s="6"/>
      <c r="R9" s="6"/>
      <c r="S9" s="6"/>
      <c r="T9" s="6"/>
      <c r="U9" s="6"/>
      <c r="V9" s="6"/>
      <c r="W9" s="6"/>
      <c r="X9" s="6"/>
      <c r="Y9" s="20"/>
      <c r="Z9" s="20"/>
      <c r="AA9" s="20"/>
    </row>
    <row r="10" spans="1:88" ht="15" hidden="1" customHeight="1">
      <c r="A10" s="1" t="s">
        <v>388</v>
      </c>
      <c r="B10" s="34" t="e">
        <f>#REF!</f>
        <v>#REF!</v>
      </c>
      <c r="C10" s="34" t="e">
        <f t="shared" si="0"/>
        <v>#REF!</v>
      </c>
      <c r="D10" s="140" t="e">
        <f>#REF!</f>
        <v>#REF!</v>
      </c>
      <c r="E10" s="139" t="e">
        <f>#REF!</f>
        <v>#REF!</v>
      </c>
      <c r="F10" s="34" t="e">
        <f t="shared" si="4"/>
        <v>#REF!</v>
      </c>
      <c r="G10" s="140" t="e">
        <f>#REF!</f>
        <v>#REF!</v>
      </c>
      <c r="H10" s="141" t="e">
        <f>#REF!</f>
        <v>#REF!</v>
      </c>
      <c r="I10" s="34" t="e">
        <f t="shared" si="5"/>
        <v>#REF!</v>
      </c>
      <c r="J10" s="140" t="e">
        <f>#REF!</f>
        <v>#REF!</v>
      </c>
      <c r="K10" s="72" t="e">
        <f t="shared" si="1"/>
        <v>#REF!</v>
      </c>
      <c r="L10" s="73" t="e">
        <f t="shared" si="2"/>
        <v>#REF!</v>
      </c>
      <c r="M10" s="73" t="e">
        <f t="shared" si="3"/>
        <v>#REF!</v>
      </c>
      <c r="O10" s="2"/>
      <c r="P10" s="6"/>
      <c r="Q10" s="6"/>
      <c r="R10" s="6"/>
      <c r="S10" s="6"/>
      <c r="T10" s="6"/>
      <c r="U10" s="6"/>
      <c r="V10" s="6"/>
      <c r="W10" s="6"/>
      <c r="X10" s="6"/>
      <c r="Y10" s="20"/>
      <c r="Z10" s="20"/>
      <c r="AA10" s="20"/>
    </row>
    <row r="11" spans="1:88" ht="15" hidden="1" customHeight="1">
      <c r="A11" s="34" t="s">
        <v>494</v>
      </c>
      <c r="B11" s="34" t="e">
        <f>#REF!</f>
        <v>#REF!</v>
      </c>
      <c r="C11" s="34" t="e">
        <f t="shared" ref="C11" si="6">B11+D11</f>
        <v>#REF!</v>
      </c>
      <c r="D11" s="140" t="e">
        <f>#REF!</f>
        <v>#REF!</v>
      </c>
      <c r="E11" s="139" t="e">
        <f>#REF!</f>
        <v>#REF!</v>
      </c>
      <c r="F11" s="34" t="e">
        <f t="shared" ref="F11:F12" si="7">E11+G11</f>
        <v>#REF!</v>
      </c>
      <c r="G11" s="140" t="e">
        <f>#REF!</f>
        <v>#REF!</v>
      </c>
      <c r="H11" s="141" t="e">
        <f>#REF!</f>
        <v>#REF!</v>
      </c>
      <c r="I11" s="34" t="e">
        <f t="shared" ref="I11" si="8">H11+J11</f>
        <v>#REF!</v>
      </c>
      <c r="J11" s="140" t="e">
        <f>#REF!</f>
        <v>#REF!</v>
      </c>
      <c r="K11" s="72" t="e">
        <f t="shared" ref="K11" si="9">+B11+E11+H11</f>
        <v>#REF!</v>
      </c>
      <c r="L11" s="73" t="e">
        <f t="shared" ref="L11" si="10">+C11+F11+I11</f>
        <v>#REF!</v>
      </c>
      <c r="M11" s="73" t="e">
        <f t="shared" ref="M11" si="11">+D11+G11+J11</f>
        <v>#REF!</v>
      </c>
      <c r="O11" s="2"/>
      <c r="P11" s="6"/>
      <c r="Q11" s="6"/>
      <c r="R11" s="6"/>
      <c r="S11" s="6"/>
      <c r="T11" s="6"/>
      <c r="U11" s="6"/>
      <c r="V11" s="6"/>
      <c r="W11" s="6"/>
      <c r="X11" s="6"/>
      <c r="Y11" s="20"/>
      <c r="Z11" s="20"/>
      <c r="AA11" s="20"/>
    </row>
    <row r="12" spans="1:88" ht="15" hidden="1" customHeight="1">
      <c r="A12" s="34" t="s">
        <v>128</v>
      </c>
      <c r="B12" s="34" t="e">
        <f>#REF!</f>
        <v>#REF!</v>
      </c>
      <c r="C12" s="34" t="e">
        <f t="shared" si="0"/>
        <v>#REF!</v>
      </c>
      <c r="D12" s="140" t="e">
        <f>#REF!</f>
        <v>#REF!</v>
      </c>
      <c r="E12" s="139" t="e">
        <f>#REF!</f>
        <v>#REF!</v>
      </c>
      <c r="F12" s="34" t="e">
        <f t="shared" si="7"/>
        <v>#REF!</v>
      </c>
      <c r="G12" s="140" t="e">
        <f>#REF!</f>
        <v>#REF!</v>
      </c>
      <c r="H12" s="141" t="e">
        <f>#REF!</f>
        <v>#REF!</v>
      </c>
      <c r="I12" s="34" t="e">
        <f t="shared" si="5"/>
        <v>#REF!</v>
      </c>
      <c r="J12" s="140" t="e">
        <f>#REF!</f>
        <v>#REF!</v>
      </c>
      <c r="K12" s="72" t="e">
        <f t="shared" si="1"/>
        <v>#REF!</v>
      </c>
      <c r="L12" s="73" t="e">
        <f t="shared" si="2"/>
        <v>#REF!</v>
      </c>
      <c r="M12" s="73" t="e">
        <f t="shared" si="3"/>
        <v>#REF!</v>
      </c>
      <c r="O12" s="127"/>
      <c r="P12" s="20"/>
      <c r="Q12" s="20"/>
      <c r="R12" s="20"/>
      <c r="S12" s="20"/>
      <c r="T12" s="20"/>
      <c r="U12" s="20"/>
      <c r="V12" s="20"/>
      <c r="W12" s="20"/>
      <c r="X12" s="20"/>
      <c r="Y12" s="128"/>
      <c r="Z12" s="128"/>
      <c r="AA12" s="128"/>
    </row>
    <row r="13" spans="1:88" ht="15" hidden="1" customHeight="1">
      <c r="A13" s="34" t="s">
        <v>86</v>
      </c>
      <c r="B13" s="34" t="e">
        <f>#REF!</f>
        <v>#REF!</v>
      </c>
      <c r="C13" s="34" t="e">
        <f t="shared" si="0"/>
        <v>#REF!</v>
      </c>
      <c r="D13" s="140" t="e">
        <f>#REF!</f>
        <v>#REF!</v>
      </c>
      <c r="E13" s="139" t="e">
        <f>#REF!</f>
        <v>#REF!</v>
      </c>
      <c r="F13" s="34" t="e">
        <f>E13+G13</f>
        <v>#REF!</v>
      </c>
      <c r="G13" s="140" t="e">
        <f>#REF!</f>
        <v>#REF!</v>
      </c>
      <c r="H13" s="141" t="e">
        <f>#REF!</f>
        <v>#REF!</v>
      </c>
      <c r="I13" s="34" t="e">
        <f t="shared" si="5"/>
        <v>#REF!</v>
      </c>
      <c r="J13" s="140" t="e">
        <f>#REF!</f>
        <v>#REF!</v>
      </c>
      <c r="K13" s="72" t="e">
        <f t="shared" si="1"/>
        <v>#REF!</v>
      </c>
      <c r="L13" s="73" t="e">
        <f t="shared" si="2"/>
        <v>#REF!</v>
      </c>
      <c r="M13" s="73" t="e">
        <f t="shared" si="3"/>
        <v>#REF!</v>
      </c>
      <c r="N13" t="s">
        <v>19</v>
      </c>
      <c r="O13" s="2"/>
      <c r="Q13" s="75"/>
      <c r="R13" s="2"/>
      <c r="S13" s="125"/>
      <c r="T13" s="125"/>
      <c r="U13" s="125"/>
      <c r="V13" s="2"/>
      <c r="W13" s="75"/>
      <c r="X13" s="2"/>
      <c r="Y13" s="126"/>
      <c r="Z13" s="126"/>
      <c r="AA13" s="126"/>
    </row>
    <row r="14" spans="1:88" ht="15" hidden="1" customHeight="1">
      <c r="A14" s="34" t="s">
        <v>185</v>
      </c>
      <c r="B14" s="34" t="e">
        <f>#REF!</f>
        <v>#REF!</v>
      </c>
      <c r="C14" s="34" t="e">
        <f t="shared" si="0"/>
        <v>#REF!</v>
      </c>
      <c r="D14" s="140" t="e">
        <f>#REF!</f>
        <v>#REF!</v>
      </c>
      <c r="E14" s="139" t="e">
        <f>#REF!</f>
        <v>#REF!</v>
      </c>
      <c r="F14" s="34" t="e">
        <f t="shared" si="4"/>
        <v>#REF!</v>
      </c>
      <c r="G14" s="140" t="e">
        <f>#REF!</f>
        <v>#REF!</v>
      </c>
      <c r="H14" s="141" t="e">
        <f>#REF!</f>
        <v>#REF!</v>
      </c>
      <c r="I14" s="34" t="e">
        <f t="shared" si="5"/>
        <v>#REF!</v>
      </c>
      <c r="J14" s="140" t="e">
        <f>#REF!</f>
        <v>#REF!</v>
      </c>
      <c r="K14" s="72" t="e">
        <f t="shared" si="1"/>
        <v>#REF!</v>
      </c>
      <c r="L14" s="73" t="e">
        <f t="shared" si="2"/>
        <v>#REF!</v>
      </c>
      <c r="M14" s="73" t="e">
        <f t="shared" si="3"/>
        <v>#REF!</v>
      </c>
      <c r="N14" t="s">
        <v>19</v>
      </c>
      <c r="O14" s="121"/>
      <c r="P14" s="123"/>
      <c r="Q14" s="123"/>
      <c r="R14" s="123"/>
      <c r="S14" s="124"/>
      <c r="T14" s="124"/>
      <c r="U14" s="124"/>
      <c r="V14" s="124"/>
      <c r="W14" s="124"/>
      <c r="X14" s="124"/>
      <c r="Y14" s="124"/>
      <c r="Z14" s="124"/>
      <c r="AA14" s="124"/>
    </row>
    <row r="15" spans="1:88" ht="15" hidden="1" customHeight="1">
      <c r="A15" s="34" t="s">
        <v>85</v>
      </c>
      <c r="B15" s="34" t="e">
        <f>#REF!</f>
        <v>#REF!</v>
      </c>
      <c r="C15" s="34" t="e">
        <f t="shared" si="0"/>
        <v>#REF!</v>
      </c>
      <c r="D15" s="140" t="e">
        <f>#REF!</f>
        <v>#REF!</v>
      </c>
      <c r="E15" s="139" t="e">
        <f>#REF!</f>
        <v>#REF!</v>
      </c>
      <c r="F15" s="34" t="e">
        <f t="shared" si="4"/>
        <v>#REF!</v>
      </c>
      <c r="G15" s="140" t="e">
        <f>#REF!</f>
        <v>#REF!</v>
      </c>
      <c r="H15" s="141" t="e">
        <f>#REF!</f>
        <v>#REF!</v>
      </c>
      <c r="I15" s="34" t="e">
        <f t="shared" si="5"/>
        <v>#REF!</v>
      </c>
      <c r="J15" s="140" t="e">
        <f>#REF!</f>
        <v>#REF!</v>
      </c>
      <c r="K15" s="72" t="e">
        <f t="shared" si="1"/>
        <v>#REF!</v>
      </c>
      <c r="L15" s="73" t="e">
        <f t="shared" si="2"/>
        <v>#REF!</v>
      </c>
      <c r="M15" s="73" t="e">
        <f t="shared" si="3"/>
        <v>#REF!</v>
      </c>
      <c r="N15" s="70" t="s">
        <v>19</v>
      </c>
      <c r="O15" s="6"/>
      <c r="P15" s="6"/>
      <c r="Q15" s="6"/>
      <c r="R15" s="6"/>
      <c r="S15" s="6"/>
      <c r="T15" s="6"/>
      <c r="U15" s="6"/>
      <c r="V15" s="6"/>
      <c r="W15" s="6"/>
      <c r="X15" s="6"/>
      <c r="Y15" s="20"/>
      <c r="Z15" s="20"/>
      <c r="AA15" s="20"/>
    </row>
    <row r="16" spans="1:88" ht="15" hidden="1" customHeight="1">
      <c r="A16" s="34" t="s">
        <v>186</v>
      </c>
      <c r="B16" s="34" t="e">
        <f>#REF!</f>
        <v>#REF!</v>
      </c>
      <c r="C16" s="34" t="e">
        <f t="shared" si="0"/>
        <v>#REF!</v>
      </c>
      <c r="D16" s="140" t="e">
        <f>#REF!</f>
        <v>#REF!</v>
      </c>
      <c r="E16" s="139" t="e">
        <f>#REF!</f>
        <v>#REF!</v>
      </c>
      <c r="F16" s="34" t="e">
        <f t="shared" si="4"/>
        <v>#REF!</v>
      </c>
      <c r="G16" s="140" t="e">
        <f>#REF!</f>
        <v>#REF!</v>
      </c>
      <c r="H16" s="141" t="e">
        <f>#REF!</f>
        <v>#REF!</v>
      </c>
      <c r="I16" s="34" t="e">
        <f t="shared" si="5"/>
        <v>#REF!</v>
      </c>
      <c r="J16" s="140" t="e">
        <f>#REF!</f>
        <v>#REF!</v>
      </c>
      <c r="K16" s="72" t="e">
        <f t="shared" si="1"/>
        <v>#REF!</v>
      </c>
      <c r="L16" s="73" t="e">
        <f t="shared" si="2"/>
        <v>#REF!</v>
      </c>
      <c r="M16" s="73" t="e">
        <f t="shared" si="3"/>
        <v>#REF!</v>
      </c>
      <c r="N16" s="70" t="s">
        <v>19</v>
      </c>
      <c r="O16" s="6"/>
      <c r="P16" s="6"/>
      <c r="Q16" s="6"/>
      <c r="R16" s="6"/>
      <c r="S16" s="6"/>
      <c r="T16" s="6"/>
      <c r="U16" s="6"/>
      <c r="V16" s="6"/>
      <c r="W16" s="6"/>
      <c r="X16" s="6"/>
      <c r="Y16" s="20"/>
      <c r="Z16" s="20"/>
      <c r="AA16" s="20"/>
    </row>
    <row r="17" spans="1:27" ht="15" hidden="1" customHeight="1">
      <c r="A17" s="34" t="s">
        <v>84</v>
      </c>
      <c r="B17" s="34" t="e">
        <f>#REF!</f>
        <v>#REF!</v>
      </c>
      <c r="C17" s="34" t="e">
        <f t="shared" si="0"/>
        <v>#REF!</v>
      </c>
      <c r="D17" s="140" t="e">
        <f>#REF!</f>
        <v>#REF!</v>
      </c>
      <c r="E17" s="139" t="e">
        <f>#REF!</f>
        <v>#REF!</v>
      </c>
      <c r="F17" s="34" t="e">
        <f t="shared" si="4"/>
        <v>#REF!</v>
      </c>
      <c r="G17" s="140" t="e">
        <f>#REF!</f>
        <v>#REF!</v>
      </c>
      <c r="H17" s="141" t="e">
        <f>#REF!</f>
        <v>#REF!</v>
      </c>
      <c r="I17" s="34" t="e">
        <f>H17+J17</f>
        <v>#REF!</v>
      </c>
      <c r="J17" s="140" t="e">
        <f>#REF!</f>
        <v>#REF!</v>
      </c>
      <c r="K17" s="72" t="e">
        <f t="shared" si="1"/>
        <v>#REF!</v>
      </c>
      <c r="L17" s="73" t="e">
        <f t="shared" si="2"/>
        <v>#REF!</v>
      </c>
      <c r="M17" s="73" t="e">
        <f t="shared" si="3"/>
        <v>#REF!</v>
      </c>
      <c r="N17" s="70" t="s">
        <v>19</v>
      </c>
      <c r="O17" s="6"/>
      <c r="P17" s="6"/>
      <c r="Q17" s="6"/>
      <c r="R17" s="6"/>
      <c r="S17" s="6"/>
      <c r="T17" s="6"/>
      <c r="U17" s="6"/>
      <c r="V17" s="6"/>
      <c r="W17" s="6"/>
      <c r="X17" s="6"/>
      <c r="Y17" s="20"/>
      <c r="Z17" s="20"/>
      <c r="AA17" s="20"/>
    </row>
    <row r="18" spans="1:27" ht="15" hidden="1" customHeight="1">
      <c r="A18" s="34" t="s">
        <v>215</v>
      </c>
      <c r="B18" s="34" t="e">
        <f>#REF!</f>
        <v>#REF!</v>
      </c>
      <c r="C18" s="34" t="e">
        <f t="shared" si="0"/>
        <v>#REF!</v>
      </c>
      <c r="D18" s="140" t="e">
        <f>#REF!</f>
        <v>#REF!</v>
      </c>
      <c r="E18" s="139" t="e">
        <f>#REF!</f>
        <v>#REF!</v>
      </c>
      <c r="F18" s="34" t="e">
        <f t="shared" si="4"/>
        <v>#REF!</v>
      </c>
      <c r="G18" s="140" t="e">
        <f>#REF!</f>
        <v>#REF!</v>
      </c>
      <c r="H18" s="141" t="e">
        <f>#REF!</f>
        <v>#REF!</v>
      </c>
      <c r="I18" s="34" t="e">
        <f>H18+J18</f>
        <v>#REF!</v>
      </c>
      <c r="J18" s="140" t="e">
        <f>#REF!</f>
        <v>#REF!</v>
      </c>
      <c r="K18" s="72" t="e">
        <f t="shared" si="1"/>
        <v>#REF!</v>
      </c>
      <c r="L18" s="73" t="e">
        <f t="shared" si="2"/>
        <v>#REF!</v>
      </c>
      <c r="M18" s="73" t="e">
        <f t="shared" si="3"/>
        <v>#REF!</v>
      </c>
      <c r="N18" s="70"/>
      <c r="O18" s="6"/>
      <c r="P18" s="6"/>
      <c r="Q18" s="6"/>
      <c r="R18" s="6"/>
      <c r="S18" s="6"/>
      <c r="T18" s="6"/>
      <c r="U18" s="6"/>
      <c r="V18" s="6"/>
      <c r="W18" s="6"/>
      <c r="X18" s="6"/>
      <c r="Y18" s="20"/>
      <c r="Z18" s="20"/>
      <c r="AA18" s="20"/>
    </row>
    <row r="19" spans="1:27" ht="15" hidden="1" customHeight="1">
      <c r="A19" s="34" t="s">
        <v>303</v>
      </c>
      <c r="B19" s="34" t="e">
        <f>#REF!</f>
        <v>#REF!</v>
      </c>
      <c r="C19" s="34" t="e">
        <f t="shared" si="0"/>
        <v>#REF!</v>
      </c>
      <c r="D19" s="140" t="e">
        <f>#REF!</f>
        <v>#REF!</v>
      </c>
      <c r="E19" s="139" t="e">
        <f>#REF!</f>
        <v>#REF!</v>
      </c>
      <c r="F19" s="34" t="e">
        <f t="shared" si="4"/>
        <v>#REF!</v>
      </c>
      <c r="G19" s="140" t="e">
        <f>#REF!</f>
        <v>#REF!</v>
      </c>
      <c r="H19" s="141" t="e">
        <f>#REF!</f>
        <v>#REF!</v>
      </c>
      <c r="I19" s="34" t="e">
        <f>H19+J19</f>
        <v>#REF!</v>
      </c>
      <c r="J19" s="140" t="e">
        <f>#REF!</f>
        <v>#REF!</v>
      </c>
      <c r="K19" s="72" t="e">
        <f t="shared" si="1"/>
        <v>#REF!</v>
      </c>
      <c r="L19" s="73" t="e">
        <f t="shared" si="2"/>
        <v>#REF!</v>
      </c>
      <c r="M19" s="73" t="e">
        <f t="shared" si="3"/>
        <v>#REF!</v>
      </c>
      <c r="N19" s="70"/>
      <c r="O19" s="6"/>
      <c r="P19" s="6"/>
      <c r="Q19" s="6"/>
      <c r="R19" s="6"/>
      <c r="S19" s="6"/>
      <c r="T19" s="6"/>
      <c r="U19" s="6"/>
      <c r="V19" s="6"/>
      <c r="W19" s="6"/>
      <c r="X19" s="6"/>
      <c r="Y19" s="20"/>
      <c r="Z19" s="20"/>
      <c r="AA19" s="20"/>
    </row>
    <row r="20" spans="1:27" ht="15" hidden="1" customHeight="1">
      <c r="A20" s="34" t="s">
        <v>299</v>
      </c>
      <c r="B20" s="34" t="e">
        <f>#REF!</f>
        <v>#REF!</v>
      </c>
      <c r="C20" s="34" t="e">
        <f t="shared" si="0"/>
        <v>#REF!</v>
      </c>
      <c r="D20" s="140" t="e">
        <f>#REF!</f>
        <v>#REF!</v>
      </c>
      <c r="E20" s="139" t="e">
        <f>#REF!</f>
        <v>#REF!</v>
      </c>
      <c r="F20" s="34" t="e">
        <f t="shared" si="4"/>
        <v>#REF!</v>
      </c>
      <c r="G20" s="140" t="e">
        <f>#REF!</f>
        <v>#REF!</v>
      </c>
      <c r="H20" s="141" t="e">
        <f>#REF!</f>
        <v>#REF!</v>
      </c>
      <c r="I20" s="34" t="e">
        <f>H20+J20</f>
        <v>#REF!</v>
      </c>
      <c r="J20" s="140" t="e">
        <f>#REF!</f>
        <v>#REF!</v>
      </c>
      <c r="K20" s="72" t="e">
        <f t="shared" si="1"/>
        <v>#REF!</v>
      </c>
      <c r="L20" s="73" t="e">
        <f t="shared" si="2"/>
        <v>#REF!</v>
      </c>
      <c r="M20" s="73" t="e">
        <f t="shared" si="3"/>
        <v>#REF!</v>
      </c>
      <c r="N20" s="70" t="s">
        <v>19</v>
      </c>
      <c r="O20" s="6"/>
      <c r="P20" s="6"/>
      <c r="Q20" s="6"/>
      <c r="R20" s="6"/>
      <c r="S20" s="6"/>
      <c r="T20" s="6"/>
      <c r="U20" s="6"/>
      <c r="V20" s="6"/>
      <c r="W20" s="6"/>
      <c r="X20" s="6"/>
      <c r="Y20" s="20"/>
      <c r="Z20" s="20"/>
      <c r="AA20" s="20"/>
    </row>
    <row r="21" spans="1:27" ht="15" hidden="1" customHeight="1">
      <c r="A21" s="34" t="s">
        <v>20</v>
      </c>
      <c r="B21" s="34" t="e">
        <f>#REF!</f>
        <v>#REF!</v>
      </c>
      <c r="C21" s="34" t="e">
        <f>B21+D21</f>
        <v>#REF!</v>
      </c>
      <c r="D21" s="140" t="e">
        <f>#REF!</f>
        <v>#REF!</v>
      </c>
      <c r="E21" s="139" t="e">
        <f>#REF!</f>
        <v>#REF!</v>
      </c>
      <c r="F21" s="34" t="e">
        <f t="shared" si="4"/>
        <v>#REF!</v>
      </c>
      <c r="G21" s="140" t="e">
        <f>#REF!</f>
        <v>#REF!</v>
      </c>
      <c r="H21" s="141" t="e">
        <f>#REF!</f>
        <v>#REF!</v>
      </c>
      <c r="I21" s="34" t="e">
        <f t="shared" ref="I21:I22" si="12">H21+J21</f>
        <v>#REF!</v>
      </c>
      <c r="J21" s="140" t="e">
        <f>#REF!</f>
        <v>#REF!</v>
      </c>
      <c r="K21" s="72" t="e">
        <f t="shared" si="1"/>
        <v>#REF!</v>
      </c>
      <c r="L21" s="73" t="e">
        <f t="shared" si="2"/>
        <v>#REF!</v>
      </c>
      <c r="M21" s="73" t="e">
        <f t="shared" si="3"/>
        <v>#REF!</v>
      </c>
      <c r="N21" s="70" t="s">
        <v>19</v>
      </c>
      <c r="O21" s="6"/>
      <c r="P21" s="6"/>
      <c r="Q21" s="6"/>
      <c r="R21" s="6"/>
      <c r="S21" s="6"/>
      <c r="T21" s="6"/>
      <c r="U21" s="6"/>
      <c r="V21" s="6"/>
      <c r="W21" s="6"/>
      <c r="X21" s="6"/>
      <c r="Y21" s="20"/>
      <c r="Z21" s="20"/>
      <c r="AA21" s="20"/>
    </row>
    <row r="22" spans="1:27" ht="15" hidden="1" customHeight="1">
      <c r="A22" s="34" t="s">
        <v>46</v>
      </c>
      <c r="B22" s="34" t="e">
        <f>#REF!</f>
        <v>#REF!</v>
      </c>
      <c r="C22" s="34" t="e">
        <f>B22+D22</f>
        <v>#REF!</v>
      </c>
      <c r="D22" s="140" t="e">
        <f>#REF!</f>
        <v>#REF!</v>
      </c>
      <c r="E22" s="139" t="e">
        <f>#REF!</f>
        <v>#REF!</v>
      </c>
      <c r="F22" s="34" t="e">
        <f t="shared" si="4"/>
        <v>#REF!</v>
      </c>
      <c r="G22" s="140" t="e">
        <f>#REF!</f>
        <v>#REF!</v>
      </c>
      <c r="H22" s="141" t="e">
        <f>#REF!</f>
        <v>#REF!</v>
      </c>
      <c r="I22" s="34" t="e">
        <f t="shared" si="12"/>
        <v>#REF!</v>
      </c>
      <c r="J22" s="140" t="e">
        <f>#REF!</f>
        <v>#REF!</v>
      </c>
      <c r="K22" s="72" t="e">
        <f t="shared" si="1"/>
        <v>#REF!</v>
      </c>
      <c r="L22" s="73" t="e">
        <f t="shared" si="2"/>
        <v>#REF!</v>
      </c>
      <c r="M22" s="73" t="e">
        <f t="shared" si="3"/>
        <v>#REF!</v>
      </c>
      <c r="O22" s="6"/>
      <c r="P22" s="6" t="s">
        <v>19</v>
      </c>
      <c r="Q22" s="6"/>
      <c r="R22" s="6"/>
      <c r="S22" s="6"/>
      <c r="T22" s="6"/>
      <c r="U22" s="6"/>
      <c r="V22" s="6"/>
      <c r="W22" s="6"/>
      <c r="X22" s="6"/>
      <c r="Y22" s="20"/>
      <c r="Z22" s="20"/>
      <c r="AA22" s="20"/>
    </row>
    <row r="23" spans="1:27" ht="17.25" hidden="1" customHeight="1">
      <c r="A23" s="90" t="s">
        <v>74</v>
      </c>
      <c r="B23" s="95" t="e">
        <f t="shared" ref="B23:H23" si="13">SUM(B7:B22)</f>
        <v>#REF!</v>
      </c>
      <c r="C23" s="95" t="e">
        <f t="shared" si="13"/>
        <v>#REF!</v>
      </c>
      <c r="D23" s="134" t="e">
        <f t="shared" si="13"/>
        <v>#REF!</v>
      </c>
      <c r="E23" s="135" t="e">
        <f t="shared" si="13"/>
        <v>#REF!</v>
      </c>
      <c r="F23" s="135" t="e">
        <f t="shared" si="13"/>
        <v>#REF!</v>
      </c>
      <c r="G23" s="135" t="e">
        <f t="shared" si="13"/>
        <v>#REF!</v>
      </c>
      <c r="H23" s="136" t="e">
        <f t="shared" si="13"/>
        <v>#REF!</v>
      </c>
      <c r="I23" s="136" t="e">
        <f>SUM(I7:I22)</f>
        <v>#REF!</v>
      </c>
      <c r="J23" s="136" t="e">
        <f t="shared" ref="J23:M23" si="14">SUM(J7:J22)</f>
        <v>#REF!</v>
      </c>
      <c r="K23" s="92" t="e">
        <f t="shared" si="14"/>
        <v>#REF!</v>
      </c>
      <c r="L23" s="92" t="e">
        <f t="shared" si="14"/>
        <v>#REF!</v>
      </c>
      <c r="M23" s="92" t="e">
        <f t="shared" si="14"/>
        <v>#REF!</v>
      </c>
      <c r="N23" s="128" t="e">
        <f>M23</f>
        <v>#REF!</v>
      </c>
      <c r="O23" s="6"/>
      <c r="P23" s="6"/>
      <c r="Q23" s="6"/>
      <c r="R23" s="6"/>
      <c r="S23" s="6"/>
      <c r="T23" s="6"/>
      <c r="U23" s="6"/>
      <c r="V23" s="6"/>
      <c r="W23" s="6"/>
      <c r="X23" s="6"/>
      <c r="Y23" s="20"/>
      <c r="Z23" s="20"/>
      <c r="AA23" s="20"/>
    </row>
    <row r="24" spans="1:27" ht="19.5" hidden="1" customHeight="1">
      <c r="A24" s="74"/>
      <c r="C24" s="75" t="s">
        <v>40</v>
      </c>
      <c r="D24" s="2"/>
      <c r="E24" s="171" t="e">
        <f>(#REF!+M23)/1</f>
        <v>#REF!</v>
      </c>
      <c r="F24" s="171"/>
      <c r="G24" s="171"/>
      <c r="H24" s="2"/>
      <c r="I24" s="75" t="s">
        <v>70</v>
      </c>
      <c r="J24" s="2"/>
      <c r="K24" s="169">
        <f>396691/18</f>
        <v>22038.388888888891</v>
      </c>
      <c r="L24" s="169"/>
      <c r="M24" s="170"/>
      <c r="O24" s="70" t="s">
        <v>19</v>
      </c>
      <c r="Q24" s="70" t="s">
        <v>19</v>
      </c>
    </row>
    <row r="25" spans="1:27" ht="18" hidden="1" customHeight="1">
      <c r="A25" s="71" t="s">
        <v>435</v>
      </c>
      <c r="B25" s="172" t="s">
        <v>77</v>
      </c>
      <c r="C25" s="172"/>
      <c r="D25" s="173"/>
      <c r="E25" s="174" t="s">
        <v>78</v>
      </c>
      <c r="F25" s="175"/>
      <c r="G25" s="176"/>
      <c r="H25" s="177" t="s">
        <v>79</v>
      </c>
      <c r="I25" s="175"/>
      <c r="J25" s="176"/>
      <c r="K25" s="177" t="s">
        <v>80</v>
      </c>
      <c r="L25" s="175"/>
      <c r="M25" s="175"/>
      <c r="N25" s="70" t="s">
        <v>19</v>
      </c>
      <c r="O25" s="6"/>
      <c r="P25" s="6"/>
      <c r="Q25" s="6"/>
      <c r="R25" s="6"/>
      <c r="S25" s="6"/>
      <c r="T25" s="6"/>
      <c r="U25" s="6"/>
      <c r="V25" s="6"/>
      <c r="W25" s="6"/>
      <c r="X25" s="6"/>
      <c r="Y25" s="20"/>
      <c r="Z25" s="20"/>
      <c r="AA25" s="20"/>
    </row>
    <row r="26" spans="1:27" ht="15" hidden="1" customHeight="1">
      <c r="A26" s="34" t="s">
        <v>50</v>
      </c>
      <c r="B26" s="34" t="e">
        <f>#REF!</f>
        <v>#REF!</v>
      </c>
      <c r="C26" s="34" t="e">
        <f t="shared" ref="C26:C38" si="15">B26+D26</f>
        <v>#REF!</v>
      </c>
      <c r="D26" s="140" t="e">
        <f>#REF!</f>
        <v>#REF!</v>
      </c>
      <c r="E26" s="139" t="e">
        <f>#REF!</f>
        <v>#REF!</v>
      </c>
      <c r="F26" s="34" t="e">
        <f>E26+G26</f>
        <v>#REF!</v>
      </c>
      <c r="G26" s="140" t="e">
        <f>#REF!</f>
        <v>#REF!</v>
      </c>
      <c r="H26" s="141" t="e">
        <f>#REF!</f>
        <v>#REF!</v>
      </c>
      <c r="I26" s="34" t="e">
        <f>H26+J26</f>
        <v>#REF!</v>
      </c>
      <c r="J26" s="140" t="e">
        <f>#REF!</f>
        <v>#REF!</v>
      </c>
      <c r="K26" s="72" t="e">
        <f t="shared" ref="K26:K40" si="16">+B26+E26+H26</f>
        <v>#REF!</v>
      </c>
      <c r="L26" s="73" t="e">
        <f t="shared" ref="L26:L40" si="17">+C26+F26+I26</f>
        <v>#REF!</v>
      </c>
      <c r="M26" s="73" t="e">
        <f t="shared" ref="M26:M40" si="18">+D26+G26+J26</f>
        <v>#REF!</v>
      </c>
      <c r="O26" s="6"/>
      <c r="P26" s="6"/>
      <c r="Q26" s="6"/>
      <c r="R26" s="6"/>
      <c r="S26" s="6"/>
      <c r="T26" s="6"/>
      <c r="U26" s="6"/>
      <c r="V26" s="6"/>
      <c r="W26" s="6"/>
      <c r="X26" s="6"/>
      <c r="Y26" s="20"/>
      <c r="Z26" s="20"/>
      <c r="AA26" s="20"/>
    </row>
    <row r="27" spans="1:27" ht="15" hidden="1" customHeight="1">
      <c r="A27" s="34" t="s">
        <v>51</v>
      </c>
      <c r="B27" s="34" t="e">
        <f>#REF!</f>
        <v>#REF!</v>
      </c>
      <c r="C27" s="34" t="e">
        <f t="shared" si="15"/>
        <v>#REF!</v>
      </c>
      <c r="D27" s="140" t="e">
        <f>#REF!</f>
        <v>#REF!</v>
      </c>
      <c r="E27" s="139" t="e">
        <f>#REF!</f>
        <v>#REF!</v>
      </c>
      <c r="F27" s="34" t="e">
        <f t="shared" ref="F27:F40" si="19">E27+G27</f>
        <v>#REF!</v>
      </c>
      <c r="G27" s="140" t="e">
        <f>#REF!</f>
        <v>#REF!</v>
      </c>
      <c r="H27" s="141" t="e">
        <f>#REF!</f>
        <v>#REF!</v>
      </c>
      <c r="I27" s="34" t="e">
        <f t="shared" ref="I27:I34" si="20">H27+J27</f>
        <v>#REF!</v>
      </c>
      <c r="J27" s="140" t="e">
        <f>#REF!</f>
        <v>#REF!</v>
      </c>
      <c r="K27" s="72" t="e">
        <f t="shared" si="16"/>
        <v>#REF!</v>
      </c>
      <c r="L27" s="73" t="e">
        <f t="shared" si="17"/>
        <v>#REF!</v>
      </c>
      <c r="M27" s="73" t="e">
        <f t="shared" si="18"/>
        <v>#REF!</v>
      </c>
      <c r="O27" s="6"/>
      <c r="P27" s="6"/>
      <c r="Q27" s="6"/>
      <c r="R27" s="6"/>
      <c r="S27" s="6"/>
      <c r="T27" s="6"/>
      <c r="U27" s="6"/>
      <c r="V27" s="6"/>
      <c r="W27" s="6"/>
      <c r="X27" s="6"/>
      <c r="Y27" s="20"/>
      <c r="Z27" s="20"/>
      <c r="AA27" s="20"/>
    </row>
    <row r="28" spans="1:27" ht="15" hidden="1" customHeight="1">
      <c r="A28" s="1" t="s">
        <v>387</v>
      </c>
      <c r="B28" s="34" t="e">
        <f>#REF!</f>
        <v>#REF!</v>
      </c>
      <c r="C28" s="34" t="e">
        <f t="shared" si="15"/>
        <v>#REF!</v>
      </c>
      <c r="D28" s="140" t="e">
        <f>#REF!</f>
        <v>#REF!</v>
      </c>
      <c r="E28" s="139" t="e">
        <f>#REF!</f>
        <v>#REF!</v>
      </c>
      <c r="F28" s="34" t="e">
        <f t="shared" si="19"/>
        <v>#REF!</v>
      </c>
      <c r="G28" s="140" t="e">
        <f>#REF!</f>
        <v>#REF!</v>
      </c>
      <c r="H28" s="141" t="e">
        <f>#REF!</f>
        <v>#REF!</v>
      </c>
      <c r="I28" s="34" t="e">
        <f t="shared" si="20"/>
        <v>#REF!</v>
      </c>
      <c r="J28" s="140" t="e">
        <f>#REF!</f>
        <v>#REF!</v>
      </c>
      <c r="K28" s="72" t="e">
        <f t="shared" si="16"/>
        <v>#REF!</v>
      </c>
      <c r="L28" s="73" t="e">
        <f t="shared" si="17"/>
        <v>#REF!</v>
      </c>
      <c r="M28" s="73" t="e">
        <f t="shared" si="18"/>
        <v>#REF!</v>
      </c>
      <c r="O28" s="2"/>
      <c r="P28" s="6"/>
      <c r="Q28" s="6"/>
      <c r="R28" s="6"/>
      <c r="S28" s="6"/>
      <c r="T28" s="6"/>
      <c r="U28" s="6"/>
      <c r="V28" s="6"/>
      <c r="W28" s="6"/>
      <c r="X28" s="6"/>
      <c r="Y28" s="20"/>
      <c r="Z28" s="20"/>
      <c r="AA28" s="20"/>
    </row>
    <row r="29" spans="1:27" ht="15" hidden="1" customHeight="1">
      <c r="A29" s="1" t="s">
        <v>388</v>
      </c>
      <c r="B29" s="34" t="e">
        <f>#REF!</f>
        <v>#REF!</v>
      </c>
      <c r="C29" s="34" t="e">
        <f t="shared" si="15"/>
        <v>#REF!</v>
      </c>
      <c r="D29" s="140" t="e">
        <f>#REF!</f>
        <v>#REF!</v>
      </c>
      <c r="E29" s="139" t="e">
        <f>#REF!</f>
        <v>#REF!</v>
      </c>
      <c r="F29" s="34" t="e">
        <f t="shared" si="19"/>
        <v>#REF!</v>
      </c>
      <c r="G29" s="140" t="e">
        <f>#REF!</f>
        <v>#REF!</v>
      </c>
      <c r="H29" s="141" t="e">
        <f>#REF!</f>
        <v>#REF!</v>
      </c>
      <c r="I29" s="34" t="e">
        <f t="shared" si="20"/>
        <v>#REF!</v>
      </c>
      <c r="J29" s="140" t="e">
        <f>#REF!</f>
        <v>#REF!</v>
      </c>
      <c r="K29" s="72" t="e">
        <f t="shared" si="16"/>
        <v>#REF!</v>
      </c>
      <c r="L29" s="73" t="e">
        <f t="shared" si="17"/>
        <v>#REF!</v>
      </c>
      <c r="M29" s="73" t="e">
        <f t="shared" si="18"/>
        <v>#REF!</v>
      </c>
      <c r="O29" s="2"/>
      <c r="P29" s="6"/>
      <c r="Q29" s="6"/>
      <c r="R29" s="6"/>
      <c r="S29" s="6"/>
      <c r="T29" s="6"/>
      <c r="U29" s="6"/>
      <c r="V29" s="6"/>
      <c r="W29" s="6"/>
      <c r="X29" s="6"/>
      <c r="Y29" s="20"/>
      <c r="Z29" s="20"/>
      <c r="AA29" s="20"/>
    </row>
    <row r="30" spans="1:27" ht="15" hidden="1" customHeight="1">
      <c r="A30" s="34" t="s">
        <v>128</v>
      </c>
      <c r="B30" s="34" t="e">
        <f>#REF!</f>
        <v>#REF!</v>
      </c>
      <c r="C30" s="34" t="e">
        <f t="shared" si="15"/>
        <v>#REF!</v>
      </c>
      <c r="D30" s="140" t="e">
        <f>#REF!</f>
        <v>#REF!</v>
      </c>
      <c r="E30" s="139" t="e">
        <f>#REF!</f>
        <v>#REF!</v>
      </c>
      <c r="F30" s="34" t="e">
        <f t="shared" si="19"/>
        <v>#REF!</v>
      </c>
      <c r="G30" s="140" t="e">
        <f>#REF!</f>
        <v>#REF!</v>
      </c>
      <c r="H30" s="141" t="e">
        <f>#REF!</f>
        <v>#REF!</v>
      </c>
      <c r="I30" s="34" t="e">
        <f t="shared" si="20"/>
        <v>#REF!</v>
      </c>
      <c r="J30" s="140" t="e">
        <f>#REF!</f>
        <v>#REF!</v>
      </c>
      <c r="K30" s="72" t="e">
        <f t="shared" si="16"/>
        <v>#REF!</v>
      </c>
      <c r="L30" s="73" t="e">
        <f t="shared" si="17"/>
        <v>#REF!</v>
      </c>
      <c r="M30" s="73" t="e">
        <f t="shared" si="18"/>
        <v>#REF!</v>
      </c>
      <c r="O30" s="127"/>
      <c r="P30" s="20"/>
      <c r="Q30" s="20"/>
      <c r="R30" s="20"/>
      <c r="S30" s="20"/>
      <c r="T30" s="20"/>
      <c r="U30" s="20"/>
      <c r="V30" s="20"/>
      <c r="W30" s="20"/>
      <c r="X30" s="20"/>
      <c r="Y30" s="128"/>
      <c r="Z30" s="128"/>
      <c r="AA30" s="128"/>
    </row>
    <row r="31" spans="1:27" ht="15" hidden="1" customHeight="1">
      <c r="A31" s="34" t="s">
        <v>86</v>
      </c>
      <c r="B31" s="34" t="e">
        <f>#REF!</f>
        <v>#REF!</v>
      </c>
      <c r="C31" s="34" t="e">
        <f t="shared" si="15"/>
        <v>#REF!</v>
      </c>
      <c r="D31" s="140" t="e">
        <f>#REF!</f>
        <v>#REF!</v>
      </c>
      <c r="E31" s="139" t="e">
        <f>#REF!</f>
        <v>#REF!</v>
      </c>
      <c r="F31" s="34" t="e">
        <f t="shared" si="19"/>
        <v>#REF!</v>
      </c>
      <c r="G31" s="140" t="e">
        <f>#REF!</f>
        <v>#REF!</v>
      </c>
      <c r="H31" s="141" t="e">
        <f>#REF!</f>
        <v>#REF!</v>
      </c>
      <c r="I31" s="34" t="e">
        <f t="shared" si="20"/>
        <v>#REF!</v>
      </c>
      <c r="J31" s="140" t="e">
        <f>#REF!</f>
        <v>#REF!</v>
      </c>
      <c r="K31" s="72" t="e">
        <f t="shared" si="16"/>
        <v>#REF!</v>
      </c>
      <c r="L31" s="73" t="e">
        <f t="shared" si="17"/>
        <v>#REF!</v>
      </c>
      <c r="M31" s="73" t="e">
        <f t="shared" si="18"/>
        <v>#REF!</v>
      </c>
      <c r="N31" t="s">
        <v>19</v>
      </c>
      <c r="O31" s="2"/>
      <c r="Q31" s="75"/>
      <c r="R31" s="2"/>
      <c r="S31" s="125"/>
      <c r="T31" s="125"/>
      <c r="U31" s="125"/>
      <c r="V31" s="2"/>
      <c r="W31" s="75"/>
      <c r="X31" s="2"/>
      <c r="Y31" s="126"/>
      <c r="Z31" s="126"/>
      <c r="AA31" s="126"/>
    </row>
    <row r="32" spans="1:27" ht="15" hidden="1" customHeight="1">
      <c r="A32" s="34" t="s">
        <v>185</v>
      </c>
      <c r="B32" s="34" t="e">
        <f>#REF!</f>
        <v>#REF!</v>
      </c>
      <c r="C32" s="34" t="e">
        <f t="shared" si="15"/>
        <v>#REF!</v>
      </c>
      <c r="D32" s="140" t="e">
        <f>#REF!</f>
        <v>#REF!</v>
      </c>
      <c r="E32" s="139" t="e">
        <f>#REF!</f>
        <v>#REF!</v>
      </c>
      <c r="F32" s="34" t="e">
        <f t="shared" si="19"/>
        <v>#REF!</v>
      </c>
      <c r="G32" s="140" t="e">
        <f>#REF!</f>
        <v>#REF!</v>
      </c>
      <c r="H32" s="141" t="e">
        <f>#REF!</f>
        <v>#REF!</v>
      </c>
      <c r="I32" s="34" t="e">
        <f t="shared" si="20"/>
        <v>#REF!</v>
      </c>
      <c r="J32" s="140" t="e">
        <f>#REF!</f>
        <v>#REF!</v>
      </c>
      <c r="K32" s="72" t="e">
        <f t="shared" si="16"/>
        <v>#REF!</v>
      </c>
      <c r="L32" s="73" t="e">
        <f t="shared" si="17"/>
        <v>#REF!</v>
      </c>
      <c r="M32" s="73" t="e">
        <f t="shared" si="18"/>
        <v>#REF!</v>
      </c>
      <c r="N32" t="s">
        <v>19</v>
      </c>
      <c r="O32" s="121"/>
      <c r="P32" s="123"/>
      <c r="Q32" s="123"/>
      <c r="R32" s="123"/>
      <c r="S32" s="124"/>
      <c r="T32" s="124"/>
      <c r="U32" s="124"/>
      <c r="V32" s="124"/>
      <c r="W32" s="124"/>
      <c r="X32" s="124"/>
      <c r="Y32" s="124"/>
      <c r="Z32" s="124"/>
      <c r="AA32" s="124"/>
    </row>
    <row r="33" spans="1:27" ht="15" hidden="1" customHeight="1">
      <c r="A33" s="34" t="s">
        <v>85</v>
      </c>
      <c r="B33" s="34" t="e">
        <f>#REF!</f>
        <v>#REF!</v>
      </c>
      <c r="C33" s="34" t="e">
        <f t="shared" si="15"/>
        <v>#REF!</v>
      </c>
      <c r="D33" s="140" t="e">
        <f>#REF!</f>
        <v>#REF!</v>
      </c>
      <c r="E33" s="139" t="e">
        <f>#REF!</f>
        <v>#REF!</v>
      </c>
      <c r="F33" s="34" t="e">
        <f t="shared" si="19"/>
        <v>#REF!</v>
      </c>
      <c r="G33" s="140" t="e">
        <f>#REF!</f>
        <v>#REF!</v>
      </c>
      <c r="H33" s="141" t="e">
        <f>#REF!</f>
        <v>#REF!</v>
      </c>
      <c r="I33" s="34" t="e">
        <f t="shared" si="20"/>
        <v>#REF!</v>
      </c>
      <c r="J33" s="140" t="e">
        <f>#REF!</f>
        <v>#REF!</v>
      </c>
      <c r="K33" s="72" t="e">
        <f t="shared" si="16"/>
        <v>#REF!</v>
      </c>
      <c r="L33" s="73" t="e">
        <f t="shared" si="17"/>
        <v>#REF!</v>
      </c>
      <c r="M33" s="73" t="e">
        <f t="shared" si="18"/>
        <v>#REF!</v>
      </c>
      <c r="N33" s="70" t="s">
        <v>19</v>
      </c>
      <c r="O33" s="6"/>
      <c r="P33" s="6"/>
      <c r="Q33" s="6"/>
      <c r="R33" s="6"/>
      <c r="S33" s="6"/>
      <c r="T33" s="6"/>
      <c r="U33" s="6"/>
      <c r="V33" s="6"/>
      <c r="W33" s="6"/>
      <c r="X33" s="6"/>
      <c r="Y33" s="20"/>
      <c r="Z33" s="20"/>
      <c r="AA33" s="20"/>
    </row>
    <row r="34" spans="1:27" ht="15" hidden="1" customHeight="1">
      <c r="A34" s="34" t="s">
        <v>186</v>
      </c>
      <c r="B34" s="34" t="e">
        <f>#REF!</f>
        <v>#REF!</v>
      </c>
      <c r="C34" s="34" t="e">
        <f t="shared" si="15"/>
        <v>#REF!</v>
      </c>
      <c r="D34" s="140" t="e">
        <f>#REF!</f>
        <v>#REF!</v>
      </c>
      <c r="E34" s="139" t="e">
        <f>#REF!</f>
        <v>#REF!</v>
      </c>
      <c r="F34" s="34" t="e">
        <f t="shared" si="19"/>
        <v>#REF!</v>
      </c>
      <c r="G34" s="140" t="e">
        <f>#REF!</f>
        <v>#REF!</v>
      </c>
      <c r="H34" s="141" t="e">
        <f>#REF!</f>
        <v>#REF!</v>
      </c>
      <c r="I34" s="34" t="e">
        <f t="shared" si="20"/>
        <v>#REF!</v>
      </c>
      <c r="J34" s="140" t="e">
        <f>#REF!</f>
        <v>#REF!</v>
      </c>
      <c r="K34" s="72" t="e">
        <f t="shared" si="16"/>
        <v>#REF!</v>
      </c>
      <c r="L34" s="73" t="e">
        <f t="shared" si="17"/>
        <v>#REF!</v>
      </c>
      <c r="M34" s="73" t="e">
        <f t="shared" si="18"/>
        <v>#REF!</v>
      </c>
      <c r="N34" s="70" t="s">
        <v>19</v>
      </c>
      <c r="O34" s="6"/>
      <c r="P34" s="6"/>
      <c r="Q34" s="6"/>
      <c r="R34" s="6"/>
      <c r="S34" s="6"/>
      <c r="T34" s="6"/>
      <c r="U34" s="6"/>
      <c r="V34" s="6"/>
      <c r="W34" s="6"/>
      <c r="X34" s="6"/>
      <c r="Y34" s="20"/>
      <c r="Z34" s="20"/>
      <c r="AA34" s="20"/>
    </row>
    <row r="35" spans="1:27" ht="15" hidden="1" customHeight="1">
      <c r="A35" s="34" t="s">
        <v>500</v>
      </c>
      <c r="B35" s="34" t="e">
        <f>#REF!</f>
        <v>#REF!</v>
      </c>
      <c r="C35" s="34" t="e">
        <f t="shared" si="15"/>
        <v>#REF!</v>
      </c>
      <c r="D35" s="140" t="e">
        <f>#REF!</f>
        <v>#REF!</v>
      </c>
      <c r="E35" s="139" t="e">
        <f>#REF!</f>
        <v>#REF!</v>
      </c>
      <c r="F35" s="34" t="e">
        <f t="shared" si="19"/>
        <v>#REF!</v>
      </c>
      <c r="G35" s="140" t="e">
        <f>#REF!</f>
        <v>#REF!</v>
      </c>
      <c r="H35" s="141" t="e">
        <f>#REF!</f>
        <v>#REF!</v>
      </c>
      <c r="I35" s="34" t="e">
        <f>H35+J35</f>
        <v>#REF!</v>
      </c>
      <c r="J35" s="140" t="e">
        <f>#REF!</f>
        <v>#REF!</v>
      </c>
      <c r="K35" s="72" t="e">
        <f t="shared" si="16"/>
        <v>#REF!</v>
      </c>
      <c r="L35" s="73" t="e">
        <f t="shared" si="17"/>
        <v>#REF!</v>
      </c>
      <c r="M35" s="73" t="e">
        <f t="shared" si="18"/>
        <v>#REF!</v>
      </c>
      <c r="N35" s="70" t="s">
        <v>19</v>
      </c>
      <c r="O35" s="6"/>
      <c r="P35" s="6"/>
      <c r="Q35" s="6"/>
      <c r="R35" s="6"/>
      <c r="S35" s="6"/>
      <c r="T35" s="6"/>
      <c r="U35" s="6"/>
      <c r="V35" s="6"/>
      <c r="W35" s="6"/>
      <c r="X35" s="6"/>
      <c r="Y35" s="20"/>
      <c r="Z35" s="20"/>
      <c r="AA35" s="20"/>
    </row>
    <row r="36" spans="1:27" ht="15" hidden="1" customHeight="1">
      <c r="A36" s="34" t="s">
        <v>215</v>
      </c>
      <c r="B36" s="34" t="e">
        <f>#REF!</f>
        <v>#REF!</v>
      </c>
      <c r="C36" s="34" t="e">
        <f t="shared" si="15"/>
        <v>#REF!</v>
      </c>
      <c r="D36" s="140" t="e">
        <f>#REF!</f>
        <v>#REF!</v>
      </c>
      <c r="E36" s="139" t="e">
        <f>#REF!</f>
        <v>#REF!</v>
      </c>
      <c r="F36" s="34" t="e">
        <f t="shared" si="19"/>
        <v>#REF!</v>
      </c>
      <c r="G36" s="140" t="e">
        <f>#REF!</f>
        <v>#REF!</v>
      </c>
      <c r="H36" s="141" t="e">
        <f>#REF!</f>
        <v>#REF!</v>
      </c>
      <c r="I36" s="34" t="e">
        <f>H36+J36</f>
        <v>#REF!</v>
      </c>
      <c r="J36" s="140" t="e">
        <f>#REF!</f>
        <v>#REF!</v>
      </c>
      <c r="K36" s="72" t="e">
        <f t="shared" si="16"/>
        <v>#REF!</v>
      </c>
      <c r="L36" s="73" t="e">
        <f t="shared" si="17"/>
        <v>#REF!</v>
      </c>
      <c r="M36" s="73" t="e">
        <f t="shared" si="18"/>
        <v>#REF!</v>
      </c>
      <c r="N36" s="70"/>
      <c r="O36" s="6"/>
      <c r="P36" s="6"/>
      <c r="Q36" s="6"/>
      <c r="R36" s="6"/>
      <c r="S36" s="6"/>
      <c r="T36" s="6"/>
      <c r="U36" s="6"/>
      <c r="V36" s="6"/>
      <c r="W36" s="6"/>
      <c r="X36" s="6"/>
      <c r="Y36" s="20"/>
      <c r="Z36" s="20"/>
      <c r="AA36" s="20"/>
    </row>
    <row r="37" spans="1:27" ht="15" hidden="1" customHeight="1">
      <c r="A37" s="34" t="s">
        <v>303</v>
      </c>
      <c r="B37" s="34" t="e">
        <f>#REF!</f>
        <v>#REF!</v>
      </c>
      <c r="C37" s="34" t="e">
        <f t="shared" si="15"/>
        <v>#REF!</v>
      </c>
      <c r="D37" s="140" t="e">
        <f>#REF!</f>
        <v>#REF!</v>
      </c>
      <c r="E37" s="139" t="e">
        <f>#REF!</f>
        <v>#REF!</v>
      </c>
      <c r="F37" s="34" t="e">
        <f t="shared" si="19"/>
        <v>#REF!</v>
      </c>
      <c r="G37" s="140" t="e">
        <f>#REF!</f>
        <v>#REF!</v>
      </c>
      <c r="H37" s="141" t="e">
        <f>#REF!</f>
        <v>#REF!</v>
      </c>
      <c r="I37" s="34" t="e">
        <f>H37+J37</f>
        <v>#REF!</v>
      </c>
      <c r="J37" s="140" t="e">
        <f>#REF!</f>
        <v>#REF!</v>
      </c>
      <c r="K37" s="72" t="e">
        <f t="shared" si="16"/>
        <v>#REF!</v>
      </c>
      <c r="L37" s="73" t="e">
        <f t="shared" si="17"/>
        <v>#REF!</v>
      </c>
      <c r="M37" s="73" t="e">
        <f t="shared" si="18"/>
        <v>#REF!</v>
      </c>
      <c r="N37" s="70"/>
      <c r="O37" s="6"/>
      <c r="P37" s="6"/>
      <c r="Q37" s="6"/>
      <c r="R37" s="6"/>
      <c r="S37" s="6"/>
      <c r="T37" s="6"/>
      <c r="U37" s="6"/>
      <c r="V37" s="6"/>
      <c r="W37" s="6"/>
      <c r="X37" s="6"/>
      <c r="Y37" s="20"/>
      <c r="Z37" s="20"/>
      <c r="AA37" s="20"/>
    </row>
    <row r="38" spans="1:27" ht="15" hidden="1" customHeight="1">
      <c r="A38" s="34" t="s">
        <v>299</v>
      </c>
      <c r="B38" s="34" t="e">
        <f>#REF!</f>
        <v>#REF!</v>
      </c>
      <c r="C38" s="34" t="e">
        <f t="shared" si="15"/>
        <v>#REF!</v>
      </c>
      <c r="D38" s="140" t="e">
        <f>#REF!</f>
        <v>#REF!</v>
      </c>
      <c r="E38" s="139" t="e">
        <f>#REF!</f>
        <v>#REF!</v>
      </c>
      <c r="F38" s="34" t="e">
        <f t="shared" si="19"/>
        <v>#REF!</v>
      </c>
      <c r="G38" s="140" t="e">
        <f>#REF!</f>
        <v>#REF!</v>
      </c>
      <c r="H38" s="141" t="e">
        <f>#REF!</f>
        <v>#REF!</v>
      </c>
      <c r="I38" s="34" t="e">
        <f>H38+J38</f>
        <v>#REF!</v>
      </c>
      <c r="J38" s="140" t="e">
        <f>#REF!</f>
        <v>#REF!</v>
      </c>
      <c r="K38" s="72" t="e">
        <f t="shared" si="16"/>
        <v>#REF!</v>
      </c>
      <c r="L38" s="73" t="e">
        <f t="shared" si="17"/>
        <v>#REF!</v>
      </c>
      <c r="M38" s="73" t="e">
        <f t="shared" si="18"/>
        <v>#REF!</v>
      </c>
      <c r="N38" s="70" t="s">
        <v>19</v>
      </c>
      <c r="O38" s="6"/>
      <c r="P38" s="6"/>
      <c r="Q38" s="6"/>
      <c r="R38" s="6"/>
      <c r="S38" s="6"/>
      <c r="T38" s="6"/>
      <c r="U38" s="6"/>
      <c r="V38" s="6"/>
      <c r="W38" s="6"/>
      <c r="X38" s="6"/>
      <c r="Y38" s="20"/>
      <c r="Z38" s="20"/>
      <c r="AA38" s="20"/>
    </row>
    <row r="39" spans="1:27" ht="15" hidden="1" customHeight="1">
      <c r="A39" s="34" t="s">
        <v>20</v>
      </c>
      <c r="B39" s="34" t="e">
        <f>#REF!</f>
        <v>#REF!</v>
      </c>
      <c r="C39" s="34" t="e">
        <f>B39+D39</f>
        <v>#REF!</v>
      </c>
      <c r="D39" s="140" t="e">
        <f>#REF!</f>
        <v>#REF!</v>
      </c>
      <c r="E39" s="139" t="e">
        <f>#REF!</f>
        <v>#REF!</v>
      </c>
      <c r="F39" s="34" t="e">
        <f t="shared" si="19"/>
        <v>#REF!</v>
      </c>
      <c r="G39" s="140" t="e">
        <f>#REF!</f>
        <v>#REF!</v>
      </c>
      <c r="H39" s="141" t="e">
        <f>#REF!</f>
        <v>#REF!</v>
      </c>
      <c r="I39" s="34" t="e">
        <f t="shared" ref="I39:I40" si="21">H39+J39</f>
        <v>#REF!</v>
      </c>
      <c r="J39" s="140" t="e">
        <f>#REF!</f>
        <v>#REF!</v>
      </c>
      <c r="K39" s="72" t="e">
        <f t="shared" si="16"/>
        <v>#REF!</v>
      </c>
      <c r="L39" s="73" t="e">
        <f t="shared" si="17"/>
        <v>#REF!</v>
      </c>
      <c r="M39" s="73" t="e">
        <f t="shared" si="18"/>
        <v>#REF!</v>
      </c>
      <c r="N39" s="70" t="s">
        <v>19</v>
      </c>
      <c r="O39" s="6"/>
      <c r="P39" s="6"/>
      <c r="Q39" s="6"/>
      <c r="R39" s="6"/>
      <c r="S39" s="6"/>
      <c r="T39" s="6"/>
      <c r="U39" s="6"/>
      <c r="V39" s="6"/>
      <c r="W39" s="6"/>
      <c r="X39" s="6"/>
      <c r="Y39" s="20"/>
      <c r="Z39" s="20"/>
      <c r="AA39" s="20"/>
    </row>
    <row r="40" spans="1:27" ht="15" hidden="1" customHeight="1">
      <c r="A40" s="34" t="s">
        <v>46</v>
      </c>
      <c r="B40" s="34" t="e">
        <f>#REF!</f>
        <v>#REF!</v>
      </c>
      <c r="C40" s="34" t="e">
        <f>B40+D40</f>
        <v>#REF!</v>
      </c>
      <c r="D40" s="140" t="e">
        <f>#REF!</f>
        <v>#REF!</v>
      </c>
      <c r="E40" s="139" t="e">
        <f>#REF!</f>
        <v>#REF!</v>
      </c>
      <c r="F40" s="34" t="e">
        <f t="shared" si="19"/>
        <v>#REF!</v>
      </c>
      <c r="G40" s="140" t="e">
        <f>#REF!</f>
        <v>#REF!</v>
      </c>
      <c r="H40" s="141" t="e">
        <f>#REF!</f>
        <v>#REF!</v>
      </c>
      <c r="I40" s="34" t="e">
        <f t="shared" si="21"/>
        <v>#REF!</v>
      </c>
      <c r="J40" s="140" t="e">
        <f>#REF!</f>
        <v>#REF!</v>
      </c>
      <c r="K40" s="72" t="e">
        <f t="shared" si="16"/>
        <v>#REF!</v>
      </c>
      <c r="L40" s="73" t="e">
        <f t="shared" si="17"/>
        <v>#REF!</v>
      </c>
      <c r="M40" s="73" t="e">
        <f t="shared" si="18"/>
        <v>#REF!</v>
      </c>
      <c r="O40" s="6"/>
      <c r="P40" s="6"/>
      <c r="Q40" s="6"/>
      <c r="R40" s="6"/>
      <c r="S40" s="6"/>
      <c r="T40" s="6"/>
      <c r="U40" s="6"/>
      <c r="V40" s="6"/>
      <c r="W40" s="6"/>
      <c r="X40" s="6"/>
      <c r="Y40" s="20"/>
      <c r="Z40" s="20"/>
      <c r="AA40" s="20"/>
    </row>
    <row r="41" spans="1:27" ht="17.25" hidden="1" customHeight="1">
      <c r="A41" s="90" t="s">
        <v>74</v>
      </c>
      <c r="B41" s="95" t="e">
        <f t="shared" ref="B41:I41" si="22">SUM(B26:B40)</f>
        <v>#REF!</v>
      </c>
      <c r="C41" s="95" t="e">
        <f t="shared" si="22"/>
        <v>#REF!</v>
      </c>
      <c r="D41" s="134" t="e">
        <f t="shared" si="22"/>
        <v>#REF!</v>
      </c>
      <c r="E41" s="135" t="e">
        <f t="shared" si="22"/>
        <v>#REF!</v>
      </c>
      <c r="F41" s="135" t="e">
        <f t="shared" si="22"/>
        <v>#REF!</v>
      </c>
      <c r="G41" s="135" t="e">
        <f t="shared" si="22"/>
        <v>#REF!</v>
      </c>
      <c r="H41" s="136" t="e">
        <f t="shared" si="22"/>
        <v>#REF!</v>
      </c>
      <c r="I41" s="136" t="e">
        <f t="shared" si="22"/>
        <v>#REF!</v>
      </c>
      <c r="J41" s="136" t="e">
        <f t="shared" ref="J41:M41" si="23">SUM(J26:J40)</f>
        <v>#REF!</v>
      </c>
      <c r="K41" s="92" t="e">
        <f t="shared" si="23"/>
        <v>#REF!</v>
      </c>
      <c r="L41" s="92" t="e">
        <f t="shared" si="23"/>
        <v>#REF!</v>
      </c>
      <c r="M41" s="92" t="e">
        <f t="shared" si="23"/>
        <v>#REF!</v>
      </c>
      <c r="N41" s="128" t="e">
        <f>M41</f>
        <v>#REF!</v>
      </c>
      <c r="O41" s="6"/>
      <c r="P41" s="6"/>
      <c r="Q41" s="6"/>
      <c r="R41" s="6"/>
      <c r="S41" s="6"/>
      <c r="T41" s="6"/>
      <c r="U41" s="6"/>
      <c r="V41" s="6"/>
      <c r="W41" s="6"/>
      <c r="X41" s="6"/>
      <c r="Y41" s="20"/>
      <c r="Z41" s="20"/>
      <c r="AA41" s="20"/>
    </row>
    <row r="42" spans="1:27" ht="19.5" hidden="1" customHeight="1">
      <c r="A42" s="74"/>
      <c r="C42" s="75" t="s">
        <v>40</v>
      </c>
      <c r="D42" s="2"/>
      <c r="E42" s="171" t="e">
        <f>(#REF!+M23+M41)/1</f>
        <v>#REF!</v>
      </c>
      <c r="F42" s="171"/>
      <c r="G42" s="171"/>
      <c r="H42" s="2"/>
      <c r="I42" s="75" t="s">
        <v>70</v>
      </c>
      <c r="J42" s="2"/>
      <c r="K42" s="169">
        <f>489189/25</f>
        <v>19567.560000000001</v>
      </c>
      <c r="L42" s="169"/>
      <c r="M42" s="170"/>
      <c r="O42" s="70" t="s">
        <v>19</v>
      </c>
      <c r="Q42" s="70" t="s">
        <v>19</v>
      </c>
    </row>
    <row r="43" spans="1:27" ht="18" hidden="1" customHeight="1">
      <c r="A43" s="71" t="s">
        <v>515</v>
      </c>
      <c r="B43" s="172" t="s">
        <v>77</v>
      </c>
      <c r="C43" s="172"/>
      <c r="D43" s="173"/>
      <c r="E43" s="174" t="s">
        <v>78</v>
      </c>
      <c r="F43" s="175"/>
      <c r="G43" s="176"/>
      <c r="H43" s="177" t="s">
        <v>79</v>
      </c>
      <c r="I43" s="175"/>
      <c r="J43" s="176"/>
      <c r="K43" s="177" t="s">
        <v>80</v>
      </c>
      <c r="L43" s="175"/>
      <c r="M43" s="175"/>
      <c r="O43" s="6"/>
      <c r="P43" s="6"/>
      <c r="Q43" s="6"/>
      <c r="R43" s="6"/>
      <c r="S43" s="6"/>
      <c r="T43" s="6"/>
      <c r="U43" s="6"/>
      <c r="V43" s="6"/>
      <c r="W43" s="6"/>
      <c r="X43" s="6"/>
      <c r="Y43" s="20"/>
      <c r="Z43" s="20"/>
      <c r="AA43" s="20"/>
    </row>
    <row r="44" spans="1:27" ht="15" hidden="1" customHeight="1">
      <c r="A44" s="34" t="s">
        <v>50</v>
      </c>
      <c r="B44" s="34" t="e">
        <f>#REF!</f>
        <v>#REF!</v>
      </c>
      <c r="C44" s="34" t="e">
        <f t="shared" ref="C44:C57" si="24">B44+D44</f>
        <v>#REF!</v>
      </c>
      <c r="D44" s="140" t="e">
        <f>#REF!</f>
        <v>#REF!</v>
      </c>
      <c r="E44" s="139" t="e">
        <f>#REF!</f>
        <v>#REF!</v>
      </c>
      <c r="F44" s="34" t="e">
        <f>E44+G44</f>
        <v>#REF!</v>
      </c>
      <c r="G44" s="140" t="e">
        <f>#REF!</f>
        <v>#REF!</v>
      </c>
      <c r="H44" s="141" t="e">
        <f>#REF!</f>
        <v>#REF!</v>
      </c>
      <c r="I44" s="34" t="e">
        <f>H44+J44</f>
        <v>#REF!</v>
      </c>
      <c r="J44" s="140" t="e">
        <f>#REF!</f>
        <v>#REF!</v>
      </c>
      <c r="K44" s="72" t="e">
        <f t="shared" ref="K44:K59" si="25">+B44+E44+H44</f>
        <v>#REF!</v>
      </c>
      <c r="L44" s="73" t="e">
        <f t="shared" ref="L44:L59" si="26">+C44+F44+I44</f>
        <v>#REF!</v>
      </c>
      <c r="M44" s="73" t="e">
        <f t="shared" ref="M44:M59" si="27">+D44+G44+J44</f>
        <v>#REF!</v>
      </c>
      <c r="O44" s="6"/>
      <c r="P44" s="6"/>
      <c r="Q44" s="6"/>
      <c r="R44" s="6"/>
      <c r="S44" s="6"/>
      <c r="T44" s="6"/>
      <c r="U44" s="6"/>
      <c r="V44" s="6"/>
      <c r="W44" s="6"/>
      <c r="X44" s="6"/>
      <c r="Y44" s="20"/>
      <c r="Z44" s="20"/>
      <c r="AA44" s="20"/>
    </row>
    <row r="45" spans="1:27" ht="15" hidden="1" customHeight="1">
      <c r="A45" s="34" t="s">
        <v>51</v>
      </c>
      <c r="B45" s="34" t="e">
        <f>#REF!</f>
        <v>#REF!</v>
      </c>
      <c r="C45" s="34" t="e">
        <f t="shared" si="24"/>
        <v>#REF!</v>
      </c>
      <c r="D45" s="140" t="e">
        <f>#REF!</f>
        <v>#REF!</v>
      </c>
      <c r="E45" s="139" t="e">
        <f>#REF!</f>
        <v>#REF!</v>
      </c>
      <c r="F45" s="34" t="e">
        <f t="shared" ref="F45:F59" si="28">E45+G45</f>
        <v>#REF!</v>
      </c>
      <c r="G45" s="140" t="e">
        <f>#REF!</f>
        <v>#REF!</v>
      </c>
      <c r="H45" s="141" t="e">
        <f>#REF!</f>
        <v>#REF!</v>
      </c>
      <c r="I45" s="34" t="e">
        <f t="shared" ref="I45:I53" si="29">H45+J45</f>
        <v>#REF!</v>
      </c>
      <c r="J45" s="140" t="e">
        <f>#REF!</f>
        <v>#REF!</v>
      </c>
      <c r="K45" s="72" t="e">
        <f t="shared" si="25"/>
        <v>#REF!</v>
      </c>
      <c r="L45" s="73" t="e">
        <f t="shared" si="26"/>
        <v>#REF!</v>
      </c>
      <c r="M45" s="73" t="e">
        <f t="shared" si="27"/>
        <v>#REF!</v>
      </c>
      <c r="O45" s="6"/>
      <c r="P45" s="6"/>
      <c r="Q45" s="6"/>
      <c r="R45" s="6"/>
      <c r="S45" s="6"/>
      <c r="T45" s="6"/>
      <c r="U45" s="6"/>
      <c r="V45" s="6"/>
      <c r="W45" s="6"/>
      <c r="X45" s="6"/>
      <c r="Y45" s="20"/>
      <c r="Z45" s="20"/>
      <c r="AA45" s="20"/>
    </row>
    <row r="46" spans="1:27" ht="15" hidden="1" customHeight="1">
      <c r="A46" s="1" t="s">
        <v>387</v>
      </c>
      <c r="B46" s="34" t="e">
        <f>#REF!</f>
        <v>#REF!</v>
      </c>
      <c r="C46" s="34" t="e">
        <f t="shared" si="24"/>
        <v>#REF!</v>
      </c>
      <c r="D46" s="140" t="e">
        <f>#REF!</f>
        <v>#REF!</v>
      </c>
      <c r="E46" s="139" t="e">
        <f>#REF!</f>
        <v>#REF!</v>
      </c>
      <c r="F46" s="34" t="e">
        <f t="shared" si="28"/>
        <v>#REF!</v>
      </c>
      <c r="G46" s="140" t="e">
        <f>#REF!</f>
        <v>#REF!</v>
      </c>
      <c r="H46" s="141" t="e">
        <f>#REF!</f>
        <v>#REF!</v>
      </c>
      <c r="I46" s="34" t="e">
        <f t="shared" si="29"/>
        <v>#REF!</v>
      </c>
      <c r="J46" s="140" t="e">
        <f>#REF!</f>
        <v>#REF!</v>
      </c>
      <c r="K46" s="72" t="e">
        <f t="shared" si="25"/>
        <v>#REF!</v>
      </c>
      <c r="L46" s="73" t="e">
        <f t="shared" si="26"/>
        <v>#REF!</v>
      </c>
      <c r="M46" s="73" t="e">
        <f t="shared" si="27"/>
        <v>#REF!</v>
      </c>
      <c r="O46" s="2"/>
      <c r="P46" s="6"/>
      <c r="Q46" s="6"/>
      <c r="R46" s="6"/>
      <c r="S46" s="6"/>
      <c r="T46" s="6"/>
      <c r="U46" s="6"/>
      <c r="V46" s="6"/>
      <c r="W46" s="6"/>
      <c r="X46" s="6"/>
      <c r="Y46" s="20"/>
      <c r="Z46" s="20"/>
      <c r="AA46" s="20"/>
    </row>
    <row r="47" spans="1:27" ht="15" hidden="1" customHeight="1">
      <c r="A47" s="1" t="s">
        <v>388</v>
      </c>
      <c r="B47" s="34" t="e">
        <f>#REF!</f>
        <v>#REF!</v>
      </c>
      <c r="C47" s="34" t="e">
        <f t="shared" si="24"/>
        <v>#REF!</v>
      </c>
      <c r="D47" s="140" t="e">
        <f>#REF!</f>
        <v>#REF!</v>
      </c>
      <c r="E47" s="139" t="e">
        <f>#REF!</f>
        <v>#REF!</v>
      </c>
      <c r="F47" s="34" t="e">
        <f t="shared" si="28"/>
        <v>#REF!</v>
      </c>
      <c r="G47" s="140" t="e">
        <f>#REF!</f>
        <v>#REF!</v>
      </c>
      <c r="H47" s="141" t="e">
        <f>#REF!</f>
        <v>#REF!</v>
      </c>
      <c r="I47" s="34" t="e">
        <f t="shared" si="29"/>
        <v>#REF!</v>
      </c>
      <c r="J47" s="140" t="e">
        <f>#REF!</f>
        <v>#REF!</v>
      </c>
      <c r="K47" s="72" t="e">
        <f t="shared" si="25"/>
        <v>#REF!</v>
      </c>
      <c r="L47" s="73" t="e">
        <f t="shared" si="26"/>
        <v>#REF!</v>
      </c>
      <c r="M47" s="73" t="e">
        <f t="shared" si="27"/>
        <v>#REF!</v>
      </c>
      <c r="O47" s="2"/>
      <c r="P47" s="6"/>
      <c r="Q47" s="6"/>
      <c r="R47" s="6"/>
      <c r="S47" s="6"/>
      <c r="T47" s="6"/>
      <c r="U47" s="6"/>
      <c r="V47" s="6"/>
      <c r="W47" s="6"/>
      <c r="X47" s="6"/>
      <c r="Y47" s="20"/>
      <c r="Z47" s="20"/>
      <c r="AA47" s="20"/>
    </row>
    <row r="48" spans="1:27" ht="15" hidden="1" customHeight="1">
      <c r="A48" s="34" t="s">
        <v>494</v>
      </c>
      <c r="B48" s="34" t="e">
        <f>#REF!</f>
        <v>#REF!</v>
      </c>
      <c r="C48" s="34" t="e">
        <f t="shared" si="24"/>
        <v>#REF!</v>
      </c>
      <c r="D48" s="140" t="e">
        <f>#REF!</f>
        <v>#REF!</v>
      </c>
      <c r="E48" s="139" t="e">
        <f>#REF!</f>
        <v>#REF!</v>
      </c>
      <c r="F48" s="34" t="e">
        <f t="shared" si="28"/>
        <v>#REF!</v>
      </c>
      <c r="G48" s="140" t="e">
        <f>#REF!</f>
        <v>#REF!</v>
      </c>
      <c r="H48" s="141" t="e">
        <f>#REF!</f>
        <v>#REF!</v>
      </c>
      <c r="I48" s="34" t="e">
        <f t="shared" si="29"/>
        <v>#REF!</v>
      </c>
      <c r="J48" s="140" t="e">
        <f>#REF!</f>
        <v>#REF!</v>
      </c>
      <c r="K48" s="72" t="e">
        <f t="shared" si="25"/>
        <v>#REF!</v>
      </c>
      <c r="L48" s="73" t="e">
        <f t="shared" si="26"/>
        <v>#REF!</v>
      </c>
      <c r="M48" s="73" t="e">
        <f t="shared" si="27"/>
        <v>#REF!</v>
      </c>
      <c r="O48" s="2"/>
      <c r="P48" s="6"/>
      <c r="Q48" s="6"/>
      <c r="R48" s="6"/>
      <c r="S48" s="6"/>
      <c r="T48" s="6"/>
      <c r="U48" s="6"/>
      <c r="V48" s="6"/>
      <c r="W48" s="6"/>
      <c r="X48" s="6"/>
      <c r="Y48" s="20"/>
      <c r="Z48" s="20"/>
      <c r="AA48" s="20"/>
    </row>
    <row r="49" spans="1:27" ht="15" hidden="1" customHeight="1">
      <c r="A49" s="34" t="s">
        <v>128</v>
      </c>
      <c r="B49" s="34" t="e">
        <f>#REF!</f>
        <v>#REF!</v>
      </c>
      <c r="C49" s="34" t="e">
        <f t="shared" si="24"/>
        <v>#REF!</v>
      </c>
      <c r="D49" s="140" t="e">
        <f>#REF!</f>
        <v>#REF!</v>
      </c>
      <c r="E49" s="139" t="e">
        <f>#REF!</f>
        <v>#REF!</v>
      </c>
      <c r="F49" s="34" t="e">
        <f t="shared" si="28"/>
        <v>#REF!</v>
      </c>
      <c r="G49" s="140" t="e">
        <f>#REF!</f>
        <v>#REF!</v>
      </c>
      <c r="H49" s="141" t="e">
        <f>#REF!</f>
        <v>#REF!</v>
      </c>
      <c r="I49" s="34" t="e">
        <f t="shared" si="29"/>
        <v>#REF!</v>
      </c>
      <c r="J49" s="140" t="e">
        <f>#REF!</f>
        <v>#REF!</v>
      </c>
      <c r="K49" s="72" t="e">
        <f t="shared" si="25"/>
        <v>#REF!</v>
      </c>
      <c r="L49" s="73" t="e">
        <f t="shared" si="26"/>
        <v>#REF!</v>
      </c>
      <c r="M49" s="73" t="e">
        <f t="shared" si="27"/>
        <v>#REF!</v>
      </c>
      <c r="O49" s="127"/>
      <c r="P49" s="20"/>
      <c r="Q49" s="20"/>
      <c r="R49" s="20"/>
      <c r="S49" s="20"/>
      <c r="T49" s="20"/>
      <c r="U49" s="20"/>
      <c r="V49" s="20"/>
      <c r="W49" s="20"/>
      <c r="X49" s="20"/>
      <c r="Y49" s="128"/>
      <c r="Z49" s="128"/>
      <c r="AA49" s="128"/>
    </row>
    <row r="50" spans="1:27" ht="15" hidden="1" customHeight="1">
      <c r="A50" s="34" t="s">
        <v>86</v>
      </c>
      <c r="B50" s="34" t="e">
        <f>#REF!</f>
        <v>#REF!</v>
      </c>
      <c r="C50" s="34" t="e">
        <f t="shared" si="24"/>
        <v>#REF!</v>
      </c>
      <c r="D50" s="140" t="e">
        <f>#REF!</f>
        <v>#REF!</v>
      </c>
      <c r="E50" s="139" t="e">
        <f>#REF!</f>
        <v>#REF!</v>
      </c>
      <c r="F50" s="34" t="e">
        <f t="shared" si="28"/>
        <v>#REF!</v>
      </c>
      <c r="G50" s="140" t="e">
        <f>#REF!</f>
        <v>#REF!</v>
      </c>
      <c r="H50" s="141" t="e">
        <f>#REF!</f>
        <v>#REF!</v>
      </c>
      <c r="I50" s="34" t="e">
        <f t="shared" si="29"/>
        <v>#REF!</v>
      </c>
      <c r="J50" s="140" t="e">
        <f>#REF!</f>
        <v>#REF!</v>
      </c>
      <c r="K50" s="72" t="e">
        <f t="shared" si="25"/>
        <v>#REF!</v>
      </c>
      <c r="L50" s="73" t="e">
        <f t="shared" si="26"/>
        <v>#REF!</v>
      </c>
      <c r="M50" s="73" t="e">
        <f t="shared" si="27"/>
        <v>#REF!</v>
      </c>
      <c r="N50" t="s">
        <v>19</v>
      </c>
      <c r="O50" s="2"/>
      <c r="Q50" s="75"/>
      <c r="R50" s="2"/>
      <c r="S50" s="125"/>
      <c r="T50" s="125"/>
      <c r="U50" s="125"/>
      <c r="V50" s="2"/>
      <c r="W50" s="75"/>
      <c r="X50" s="2"/>
      <c r="Y50" s="126"/>
      <c r="Z50" s="126"/>
      <c r="AA50" s="126"/>
    </row>
    <row r="51" spans="1:27" ht="15" hidden="1" customHeight="1">
      <c r="A51" s="34" t="s">
        <v>185</v>
      </c>
      <c r="B51" s="34" t="e">
        <f>#REF!</f>
        <v>#REF!</v>
      </c>
      <c r="C51" s="34" t="e">
        <f t="shared" si="24"/>
        <v>#REF!</v>
      </c>
      <c r="D51" s="140" t="e">
        <f>#REF!</f>
        <v>#REF!</v>
      </c>
      <c r="E51" s="139" t="e">
        <f>#REF!</f>
        <v>#REF!</v>
      </c>
      <c r="F51" s="34" t="e">
        <f t="shared" si="28"/>
        <v>#REF!</v>
      </c>
      <c r="G51" s="140" t="e">
        <f>#REF!</f>
        <v>#REF!</v>
      </c>
      <c r="H51" s="141" t="e">
        <f>#REF!</f>
        <v>#REF!</v>
      </c>
      <c r="I51" s="34" t="e">
        <f t="shared" si="29"/>
        <v>#REF!</v>
      </c>
      <c r="J51" s="140" t="e">
        <f>#REF!</f>
        <v>#REF!</v>
      </c>
      <c r="K51" s="72" t="e">
        <f t="shared" si="25"/>
        <v>#REF!</v>
      </c>
      <c r="L51" s="73" t="e">
        <f t="shared" si="26"/>
        <v>#REF!</v>
      </c>
      <c r="M51" s="73" t="e">
        <f t="shared" si="27"/>
        <v>#REF!</v>
      </c>
      <c r="N51" t="s">
        <v>19</v>
      </c>
      <c r="O51" s="121"/>
      <c r="P51" s="123"/>
      <c r="Q51" s="123"/>
      <c r="R51" s="123"/>
      <c r="S51" s="124"/>
      <c r="T51" s="124"/>
      <c r="U51" s="124"/>
      <c r="V51" s="124"/>
      <c r="W51" s="124"/>
      <c r="X51" s="124"/>
      <c r="Y51" s="124"/>
      <c r="Z51" s="124"/>
      <c r="AA51" s="124"/>
    </row>
    <row r="52" spans="1:27" ht="15" hidden="1" customHeight="1">
      <c r="A52" s="34" t="s">
        <v>85</v>
      </c>
      <c r="B52" s="34" t="e">
        <f>#REF!</f>
        <v>#REF!</v>
      </c>
      <c r="C52" s="34" t="e">
        <f t="shared" si="24"/>
        <v>#REF!</v>
      </c>
      <c r="D52" s="140" t="e">
        <f>#REF!</f>
        <v>#REF!</v>
      </c>
      <c r="E52" s="139" t="e">
        <f>#REF!</f>
        <v>#REF!</v>
      </c>
      <c r="F52" s="34" t="e">
        <f t="shared" si="28"/>
        <v>#REF!</v>
      </c>
      <c r="G52" s="140" t="e">
        <f>#REF!</f>
        <v>#REF!</v>
      </c>
      <c r="H52" s="141" t="e">
        <f>#REF!</f>
        <v>#REF!</v>
      </c>
      <c r="I52" s="34" t="e">
        <f t="shared" si="29"/>
        <v>#REF!</v>
      </c>
      <c r="J52" s="140" t="e">
        <f>#REF!</f>
        <v>#REF!</v>
      </c>
      <c r="K52" s="72" t="e">
        <f t="shared" si="25"/>
        <v>#REF!</v>
      </c>
      <c r="L52" s="73" t="e">
        <f t="shared" si="26"/>
        <v>#REF!</v>
      </c>
      <c r="M52" s="73" t="e">
        <f t="shared" si="27"/>
        <v>#REF!</v>
      </c>
      <c r="N52" s="70" t="s">
        <v>19</v>
      </c>
      <c r="O52" s="6"/>
      <c r="P52" s="6"/>
      <c r="Q52" s="6"/>
      <c r="R52" s="6"/>
      <c r="S52" s="6"/>
      <c r="T52" s="6"/>
      <c r="U52" s="6"/>
      <c r="V52" s="6"/>
      <c r="W52" s="6"/>
      <c r="X52" s="6"/>
      <c r="Y52" s="20"/>
      <c r="Z52" s="20"/>
      <c r="AA52" s="20"/>
    </row>
    <row r="53" spans="1:27" ht="15" hidden="1" customHeight="1">
      <c r="A53" s="34" t="s">
        <v>186</v>
      </c>
      <c r="B53" s="34" t="e">
        <f>#REF!</f>
        <v>#REF!</v>
      </c>
      <c r="C53" s="34" t="e">
        <f t="shared" si="24"/>
        <v>#REF!</v>
      </c>
      <c r="D53" s="140" t="e">
        <f>#REF!</f>
        <v>#REF!</v>
      </c>
      <c r="E53" s="139" t="e">
        <f>#REF!</f>
        <v>#REF!</v>
      </c>
      <c r="F53" s="34" t="e">
        <f t="shared" si="28"/>
        <v>#REF!</v>
      </c>
      <c r="G53" s="140" t="e">
        <f>#REF!</f>
        <v>#REF!</v>
      </c>
      <c r="H53" s="141" t="e">
        <f>#REF!</f>
        <v>#REF!</v>
      </c>
      <c r="I53" s="34" t="e">
        <f t="shared" si="29"/>
        <v>#REF!</v>
      </c>
      <c r="J53" s="140" t="e">
        <f>#REF!</f>
        <v>#REF!</v>
      </c>
      <c r="K53" s="72" t="e">
        <f t="shared" si="25"/>
        <v>#REF!</v>
      </c>
      <c r="L53" s="73" t="e">
        <f t="shared" si="26"/>
        <v>#REF!</v>
      </c>
      <c r="M53" s="73" t="e">
        <f t="shared" si="27"/>
        <v>#REF!</v>
      </c>
      <c r="N53" s="70" t="s">
        <v>19</v>
      </c>
      <c r="O53" s="6"/>
      <c r="P53" s="6"/>
      <c r="Q53" s="6"/>
      <c r="R53" s="6"/>
      <c r="S53" s="6"/>
      <c r="T53" s="6"/>
      <c r="U53" s="6"/>
      <c r="V53" s="6"/>
      <c r="W53" s="6"/>
      <c r="X53" s="6"/>
      <c r="Y53" s="20"/>
      <c r="Z53" s="20"/>
      <c r="AA53" s="20"/>
    </row>
    <row r="54" spans="1:27" ht="15" hidden="1" customHeight="1">
      <c r="A54" s="34" t="s">
        <v>500</v>
      </c>
      <c r="B54" s="34" t="e">
        <f>#REF!</f>
        <v>#REF!</v>
      </c>
      <c r="C54" s="34" t="e">
        <f t="shared" si="24"/>
        <v>#REF!</v>
      </c>
      <c r="D54" s="140" t="e">
        <f>#REF!</f>
        <v>#REF!</v>
      </c>
      <c r="E54" s="139" t="e">
        <f>#REF!</f>
        <v>#REF!</v>
      </c>
      <c r="F54" s="34" t="e">
        <f t="shared" si="28"/>
        <v>#REF!</v>
      </c>
      <c r="G54" s="140" t="e">
        <f>#REF!</f>
        <v>#REF!</v>
      </c>
      <c r="H54" s="141" t="e">
        <f>#REF!</f>
        <v>#REF!</v>
      </c>
      <c r="I54" s="34" t="e">
        <f>H54+J54</f>
        <v>#REF!</v>
      </c>
      <c r="J54" s="140" t="e">
        <f>#REF!</f>
        <v>#REF!</v>
      </c>
      <c r="K54" s="72" t="e">
        <f t="shared" si="25"/>
        <v>#REF!</v>
      </c>
      <c r="L54" s="73" t="e">
        <f t="shared" si="26"/>
        <v>#REF!</v>
      </c>
      <c r="M54" s="73" t="e">
        <f t="shared" si="27"/>
        <v>#REF!</v>
      </c>
      <c r="N54" s="70" t="s">
        <v>19</v>
      </c>
      <c r="O54" s="6"/>
      <c r="P54" s="6"/>
      <c r="Q54" s="6"/>
      <c r="R54" s="6"/>
      <c r="S54" s="6"/>
      <c r="T54" s="6"/>
      <c r="U54" s="6"/>
      <c r="V54" s="6"/>
      <c r="W54" s="6"/>
      <c r="X54" s="6"/>
      <c r="Y54" s="20"/>
      <c r="Z54" s="20"/>
      <c r="AA54" s="20"/>
    </row>
    <row r="55" spans="1:27" ht="15" hidden="1" customHeight="1">
      <c r="A55" s="34" t="s">
        <v>215</v>
      </c>
      <c r="B55" s="34" t="e">
        <f>#REF!</f>
        <v>#REF!</v>
      </c>
      <c r="C55" s="34" t="e">
        <f t="shared" si="24"/>
        <v>#REF!</v>
      </c>
      <c r="D55" s="140" t="e">
        <f>#REF!</f>
        <v>#REF!</v>
      </c>
      <c r="E55" s="139" t="e">
        <f>#REF!</f>
        <v>#REF!</v>
      </c>
      <c r="F55" s="34" t="e">
        <f t="shared" si="28"/>
        <v>#REF!</v>
      </c>
      <c r="G55" s="140" t="e">
        <f>#REF!</f>
        <v>#REF!</v>
      </c>
      <c r="H55" s="141" t="e">
        <f>#REF!</f>
        <v>#REF!</v>
      </c>
      <c r="I55" s="34" t="e">
        <f>H55+J55</f>
        <v>#REF!</v>
      </c>
      <c r="J55" s="140" t="e">
        <f>#REF!</f>
        <v>#REF!</v>
      </c>
      <c r="K55" s="72" t="e">
        <f t="shared" si="25"/>
        <v>#REF!</v>
      </c>
      <c r="L55" s="73" t="e">
        <f t="shared" si="26"/>
        <v>#REF!</v>
      </c>
      <c r="M55" s="73" t="e">
        <f t="shared" si="27"/>
        <v>#REF!</v>
      </c>
      <c r="N55" s="70"/>
      <c r="O55" s="6"/>
      <c r="P55" s="6"/>
      <c r="Q55" s="6"/>
      <c r="R55" s="6"/>
      <c r="S55" s="6"/>
      <c r="T55" s="6"/>
      <c r="U55" s="6"/>
      <c r="V55" s="6"/>
      <c r="W55" s="6"/>
      <c r="X55" s="6"/>
      <c r="Y55" s="20"/>
      <c r="Z55" s="20"/>
      <c r="AA55" s="20"/>
    </row>
    <row r="56" spans="1:27" ht="15" hidden="1" customHeight="1">
      <c r="A56" s="34" t="s">
        <v>303</v>
      </c>
      <c r="B56" s="34" t="e">
        <f>#REF!</f>
        <v>#REF!</v>
      </c>
      <c r="C56" s="34" t="e">
        <f t="shared" si="24"/>
        <v>#REF!</v>
      </c>
      <c r="D56" s="140" t="e">
        <f>#REF!</f>
        <v>#REF!</v>
      </c>
      <c r="E56" s="139" t="e">
        <f>#REF!</f>
        <v>#REF!</v>
      </c>
      <c r="F56" s="34" t="e">
        <f t="shared" si="28"/>
        <v>#REF!</v>
      </c>
      <c r="G56" s="140" t="e">
        <f>#REF!</f>
        <v>#REF!</v>
      </c>
      <c r="H56" s="141" t="e">
        <f>#REF!</f>
        <v>#REF!</v>
      </c>
      <c r="I56" s="34" t="e">
        <f>H56+J56</f>
        <v>#REF!</v>
      </c>
      <c r="J56" s="140" t="e">
        <f>#REF!</f>
        <v>#REF!</v>
      </c>
      <c r="K56" s="72" t="e">
        <f t="shared" si="25"/>
        <v>#REF!</v>
      </c>
      <c r="L56" s="73" t="e">
        <f t="shared" si="26"/>
        <v>#REF!</v>
      </c>
      <c r="M56" s="73" t="e">
        <f t="shared" si="27"/>
        <v>#REF!</v>
      </c>
      <c r="N56" s="70"/>
      <c r="O56" s="6"/>
      <c r="P56" s="6"/>
      <c r="Q56" s="6"/>
      <c r="R56" s="6"/>
      <c r="S56" s="6"/>
      <c r="T56" s="6"/>
      <c r="U56" s="6"/>
      <c r="V56" s="6"/>
      <c r="W56" s="6"/>
      <c r="X56" s="6"/>
      <c r="Y56" s="20"/>
      <c r="Z56" s="20"/>
      <c r="AA56" s="20"/>
    </row>
    <row r="57" spans="1:27" ht="15" hidden="1" customHeight="1">
      <c r="A57" s="34" t="s">
        <v>299</v>
      </c>
      <c r="B57" s="34" t="e">
        <f>#REF!</f>
        <v>#REF!</v>
      </c>
      <c r="C57" s="34" t="e">
        <f t="shared" si="24"/>
        <v>#REF!</v>
      </c>
      <c r="D57" s="140" t="e">
        <f>#REF!</f>
        <v>#REF!</v>
      </c>
      <c r="E57" s="139" t="e">
        <f>#REF!</f>
        <v>#REF!</v>
      </c>
      <c r="F57" s="34" t="e">
        <f t="shared" si="28"/>
        <v>#REF!</v>
      </c>
      <c r="G57" s="140" t="e">
        <f>#REF!</f>
        <v>#REF!</v>
      </c>
      <c r="H57" s="141" t="e">
        <f>#REF!</f>
        <v>#REF!</v>
      </c>
      <c r="I57" s="34" t="e">
        <f>H57+J57</f>
        <v>#REF!</v>
      </c>
      <c r="J57" s="140" t="e">
        <f>#REF!</f>
        <v>#REF!</v>
      </c>
      <c r="K57" s="72" t="e">
        <f t="shared" si="25"/>
        <v>#REF!</v>
      </c>
      <c r="L57" s="73" t="e">
        <f t="shared" si="26"/>
        <v>#REF!</v>
      </c>
      <c r="M57" s="73" t="e">
        <f t="shared" si="27"/>
        <v>#REF!</v>
      </c>
      <c r="N57" s="70" t="s">
        <v>19</v>
      </c>
      <c r="O57" s="6"/>
      <c r="P57" s="6"/>
      <c r="Q57" s="6"/>
      <c r="R57" s="6"/>
      <c r="S57" s="6"/>
      <c r="T57" s="6"/>
      <c r="U57" s="6"/>
      <c r="V57" s="6"/>
      <c r="W57" s="6"/>
      <c r="X57" s="6"/>
      <c r="Y57" s="20"/>
      <c r="Z57" s="20"/>
      <c r="AA57" s="20"/>
    </row>
    <row r="58" spans="1:27" ht="15" hidden="1" customHeight="1">
      <c r="A58" s="34" t="s">
        <v>20</v>
      </c>
      <c r="B58" s="34" t="e">
        <f>#REF!</f>
        <v>#REF!</v>
      </c>
      <c r="C58" s="34" t="e">
        <f>B58+D58</f>
        <v>#REF!</v>
      </c>
      <c r="D58" s="140" t="e">
        <f>#REF!</f>
        <v>#REF!</v>
      </c>
      <c r="E58" s="139" t="e">
        <f>#REF!</f>
        <v>#REF!</v>
      </c>
      <c r="F58" s="34" t="e">
        <f t="shared" si="28"/>
        <v>#REF!</v>
      </c>
      <c r="G58" s="140" t="e">
        <f>#REF!</f>
        <v>#REF!</v>
      </c>
      <c r="H58" s="141" t="e">
        <f>#REF!</f>
        <v>#REF!</v>
      </c>
      <c r="I58" s="34" t="e">
        <f t="shared" ref="I58:I59" si="30">H58+J58</f>
        <v>#REF!</v>
      </c>
      <c r="J58" s="140" t="e">
        <f>#REF!</f>
        <v>#REF!</v>
      </c>
      <c r="K58" s="72" t="e">
        <f t="shared" si="25"/>
        <v>#REF!</v>
      </c>
      <c r="L58" s="73" t="e">
        <f t="shared" si="26"/>
        <v>#REF!</v>
      </c>
      <c r="M58" s="73" t="e">
        <f t="shared" si="27"/>
        <v>#REF!</v>
      </c>
      <c r="N58" s="70" t="s">
        <v>19</v>
      </c>
      <c r="O58" s="6"/>
      <c r="P58" s="6"/>
      <c r="Q58" s="6"/>
      <c r="R58" s="6"/>
      <c r="S58" s="6"/>
      <c r="T58" s="6"/>
      <c r="U58" s="6"/>
      <c r="V58" s="6"/>
      <c r="W58" s="6"/>
      <c r="X58" s="6"/>
      <c r="Y58" s="20"/>
      <c r="Z58" s="20"/>
      <c r="AA58" s="20"/>
    </row>
    <row r="59" spans="1:27" ht="15" hidden="1" customHeight="1">
      <c r="A59" s="34" t="s">
        <v>46</v>
      </c>
      <c r="B59" s="34" t="e">
        <f>#REF!</f>
        <v>#REF!</v>
      </c>
      <c r="C59" s="34" t="e">
        <f>B59+D59</f>
        <v>#REF!</v>
      </c>
      <c r="D59" s="140" t="e">
        <f>#REF!</f>
        <v>#REF!</v>
      </c>
      <c r="E59" s="139" t="e">
        <f>#REF!</f>
        <v>#REF!</v>
      </c>
      <c r="F59" s="34" t="e">
        <f t="shared" si="28"/>
        <v>#REF!</v>
      </c>
      <c r="G59" s="140" t="e">
        <f>#REF!</f>
        <v>#REF!</v>
      </c>
      <c r="H59" s="141" t="e">
        <f>#REF!</f>
        <v>#REF!</v>
      </c>
      <c r="I59" s="34" t="e">
        <f t="shared" si="30"/>
        <v>#REF!</v>
      </c>
      <c r="J59" s="140" t="e">
        <f>#REF!</f>
        <v>#REF!</v>
      </c>
      <c r="K59" s="72" t="e">
        <f t="shared" si="25"/>
        <v>#REF!</v>
      </c>
      <c r="L59" s="73" t="e">
        <f t="shared" si="26"/>
        <v>#REF!</v>
      </c>
      <c r="M59" s="73" t="e">
        <f t="shared" si="27"/>
        <v>#REF!</v>
      </c>
      <c r="O59" s="6"/>
      <c r="P59" s="6"/>
      <c r="Q59" s="6"/>
      <c r="R59" s="6"/>
      <c r="S59" s="6"/>
      <c r="T59" s="6"/>
      <c r="U59" s="6"/>
      <c r="V59" s="6"/>
      <c r="W59" s="6"/>
      <c r="X59" s="6"/>
      <c r="Y59" s="20"/>
      <c r="Z59" s="20"/>
      <c r="AA59" s="20"/>
    </row>
    <row r="60" spans="1:27" ht="17.25" hidden="1" customHeight="1">
      <c r="A60" s="90" t="s">
        <v>74</v>
      </c>
      <c r="B60" s="95" t="e">
        <f t="shared" ref="B60:H60" si="31">SUM(B44:B59)</f>
        <v>#REF!</v>
      </c>
      <c r="C60" s="95" t="e">
        <f t="shared" si="31"/>
        <v>#REF!</v>
      </c>
      <c r="D60" s="134" t="e">
        <f t="shared" si="31"/>
        <v>#REF!</v>
      </c>
      <c r="E60" s="135" t="e">
        <f t="shared" si="31"/>
        <v>#REF!</v>
      </c>
      <c r="F60" s="135" t="e">
        <f t="shared" si="31"/>
        <v>#REF!</v>
      </c>
      <c r="G60" s="135" t="e">
        <f t="shared" si="31"/>
        <v>#REF!</v>
      </c>
      <c r="H60" s="136" t="e">
        <f t="shared" si="31"/>
        <v>#REF!</v>
      </c>
      <c r="I60" s="136" t="e">
        <f>SUM(I44:I59)</f>
        <v>#REF!</v>
      </c>
      <c r="J60" s="136" t="e">
        <f t="shared" ref="J60:M60" si="32">SUM(J44:J59)</f>
        <v>#REF!</v>
      </c>
      <c r="K60" s="92" t="e">
        <f t="shared" si="32"/>
        <v>#REF!</v>
      </c>
      <c r="L60" s="92" t="e">
        <f t="shared" si="32"/>
        <v>#REF!</v>
      </c>
      <c r="M60" s="92" t="e">
        <f t="shared" si="32"/>
        <v>#REF!</v>
      </c>
      <c r="N60" s="128" t="e">
        <f>M60</f>
        <v>#REF!</v>
      </c>
      <c r="O60" s="6"/>
      <c r="P60" s="6"/>
      <c r="Q60" s="6"/>
      <c r="R60" s="6"/>
      <c r="S60" s="6"/>
      <c r="T60" s="6"/>
      <c r="U60" s="6"/>
      <c r="V60" s="6"/>
      <c r="W60" s="6"/>
      <c r="X60" s="6"/>
      <c r="Y60" s="20"/>
      <c r="Z60" s="20"/>
      <c r="AA60" s="20"/>
    </row>
    <row r="61" spans="1:27" ht="19.5" hidden="1" customHeight="1">
      <c r="A61" s="74"/>
      <c r="C61" s="75" t="s">
        <v>40</v>
      </c>
      <c r="D61" s="2"/>
      <c r="E61" s="171" t="e">
        <f>(M41+M60)/1</f>
        <v>#REF!</v>
      </c>
      <c r="F61" s="171"/>
      <c r="G61" s="171"/>
      <c r="H61" s="2"/>
      <c r="I61" s="75" t="s">
        <v>70</v>
      </c>
      <c r="J61" s="2"/>
      <c r="K61" s="169">
        <f>573166/23</f>
        <v>24920.260869565216</v>
      </c>
      <c r="L61" s="169"/>
      <c r="M61" s="170"/>
      <c r="O61" s="70" t="s">
        <v>19</v>
      </c>
      <c r="Q61" s="70" t="s">
        <v>19</v>
      </c>
    </row>
    <row r="62" spans="1:27" ht="18" hidden="1" customHeight="1">
      <c r="A62" s="71" t="s">
        <v>692</v>
      </c>
      <c r="B62" s="172" t="s">
        <v>77</v>
      </c>
      <c r="C62" s="172"/>
      <c r="D62" s="173"/>
      <c r="E62" s="174" t="s">
        <v>78</v>
      </c>
      <c r="F62" s="175"/>
      <c r="G62" s="176"/>
      <c r="H62" s="177" t="s">
        <v>79</v>
      </c>
      <c r="I62" s="175"/>
      <c r="J62" s="176"/>
      <c r="K62" s="177" t="s">
        <v>80</v>
      </c>
      <c r="L62" s="175"/>
      <c r="M62" s="175"/>
      <c r="O62" s="6"/>
      <c r="P62" s="6"/>
      <c r="Q62" s="6"/>
      <c r="R62" s="6"/>
      <c r="S62" s="6"/>
      <c r="T62" s="6"/>
      <c r="U62" s="6"/>
      <c r="V62" s="6"/>
      <c r="W62" s="6"/>
      <c r="X62" s="6"/>
      <c r="Y62" s="20"/>
      <c r="Z62" s="20"/>
      <c r="AA62" s="20"/>
    </row>
    <row r="63" spans="1:27" ht="15" hidden="1" customHeight="1">
      <c r="A63" s="34" t="s">
        <v>50</v>
      </c>
      <c r="B63" s="34">
        <f>'June''26'!CX2</f>
        <v>30996</v>
      </c>
      <c r="C63" s="34">
        <f t="shared" ref="C63:C76" si="33">B63+D63</f>
        <v>30857</v>
      </c>
      <c r="D63" s="140">
        <f>'June''26'!CY2</f>
        <v>-139</v>
      </c>
      <c r="E63" s="139">
        <f>'June''26'!DF2</f>
        <v>11696</v>
      </c>
      <c r="F63" s="34">
        <f>E63+G63</f>
        <v>11648</v>
      </c>
      <c r="G63" s="140">
        <f>'June''26'!DG2</f>
        <v>-48</v>
      </c>
      <c r="H63" s="141">
        <f>'June''26'!DN2</f>
        <v>4825</v>
      </c>
      <c r="I63" s="34">
        <f>H63+J63</f>
        <v>4825</v>
      </c>
      <c r="J63" s="140">
        <f>'June''26'!DO2</f>
        <v>0</v>
      </c>
      <c r="K63" s="72">
        <f t="shared" ref="K63:K78" si="34">+B63+E63+H63</f>
        <v>47517</v>
      </c>
      <c r="L63" s="73">
        <f t="shared" ref="L63:L78" si="35">+C63+F63+I63</f>
        <v>47330</v>
      </c>
      <c r="M63" s="73">
        <f t="shared" ref="M63:M78" si="36">+D63+G63+J63</f>
        <v>-187</v>
      </c>
      <c r="O63" s="6"/>
      <c r="P63" s="6"/>
      <c r="Q63" s="6"/>
      <c r="R63" s="6"/>
      <c r="S63" s="6"/>
      <c r="T63" s="6"/>
      <c r="U63" s="6"/>
      <c r="V63" s="6"/>
      <c r="W63" s="6"/>
      <c r="X63" s="6"/>
      <c r="Y63" s="20"/>
      <c r="Z63" s="20"/>
      <c r="AA63" s="20"/>
    </row>
    <row r="64" spans="1:27" ht="15" hidden="1" customHeight="1">
      <c r="A64" s="34" t="s">
        <v>51</v>
      </c>
      <c r="B64" s="34">
        <f>'June''26'!CX3</f>
        <v>6742</v>
      </c>
      <c r="C64" s="34">
        <f t="shared" si="33"/>
        <v>6742</v>
      </c>
      <c r="D64" s="140">
        <f>'June''26'!CY3</f>
        <v>0</v>
      </c>
      <c r="E64" s="139">
        <f>'June''26'!DF3</f>
        <v>40527</v>
      </c>
      <c r="F64" s="34">
        <f t="shared" ref="F64:F78" si="37">E64+G64</f>
        <v>40527</v>
      </c>
      <c r="G64" s="140">
        <f>'June''26'!DG3</f>
        <v>0</v>
      </c>
      <c r="H64" s="141">
        <f>'June''26'!DN3</f>
        <v>13285</v>
      </c>
      <c r="I64" s="34">
        <f t="shared" ref="I64:I72" si="38">H64+J64</f>
        <v>13285</v>
      </c>
      <c r="J64" s="140">
        <f>'June''26'!DO3</f>
        <v>0</v>
      </c>
      <c r="K64" s="72">
        <f t="shared" si="34"/>
        <v>60554</v>
      </c>
      <c r="L64" s="73">
        <f t="shared" si="35"/>
        <v>60554</v>
      </c>
      <c r="M64" s="73">
        <f t="shared" si="36"/>
        <v>0</v>
      </c>
      <c r="O64" s="6"/>
      <c r="P64" s="6"/>
      <c r="Q64" s="6"/>
      <c r="R64" s="6"/>
      <c r="S64" s="6"/>
      <c r="T64" s="6"/>
      <c r="U64" s="6"/>
      <c r="V64" s="6"/>
      <c r="W64" s="6"/>
      <c r="X64" s="6"/>
      <c r="Y64" s="20"/>
      <c r="Z64" s="20"/>
      <c r="AA64" s="20"/>
    </row>
    <row r="65" spans="1:27" ht="15" hidden="1" customHeight="1">
      <c r="A65" s="1" t="s">
        <v>387</v>
      </c>
      <c r="B65" s="34">
        <f>'June''26'!CX4</f>
        <v>10125</v>
      </c>
      <c r="C65" s="34">
        <f t="shared" si="33"/>
        <v>10092</v>
      </c>
      <c r="D65" s="140">
        <f>'June''26'!CY4</f>
        <v>-33</v>
      </c>
      <c r="E65" s="139">
        <f>'June''26'!DF4</f>
        <v>17369</v>
      </c>
      <c r="F65" s="34">
        <f t="shared" si="37"/>
        <v>17333</v>
      </c>
      <c r="G65" s="140">
        <f>'June''26'!DG4</f>
        <v>-36</v>
      </c>
      <c r="H65" s="141">
        <f>'June''26'!DN4</f>
        <v>19868</v>
      </c>
      <c r="I65" s="34">
        <f t="shared" si="38"/>
        <v>19835</v>
      </c>
      <c r="J65" s="140">
        <f>'June''26'!DO4</f>
        <v>-33</v>
      </c>
      <c r="K65" s="72">
        <f t="shared" si="34"/>
        <v>47362</v>
      </c>
      <c r="L65" s="73">
        <f t="shared" si="35"/>
        <v>47260</v>
      </c>
      <c r="M65" s="73">
        <f t="shared" si="36"/>
        <v>-102</v>
      </c>
      <c r="O65" s="2"/>
      <c r="P65" s="6"/>
      <c r="Q65" s="6"/>
      <c r="R65" s="6"/>
      <c r="S65" s="6"/>
      <c r="T65" s="6"/>
      <c r="U65" s="6"/>
      <c r="V65" s="6"/>
      <c r="W65" s="6"/>
      <c r="X65" s="6"/>
      <c r="Y65" s="20"/>
      <c r="Z65" s="20"/>
      <c r="AA65" s="20"/>
    </row>
    <row r="66" spans="1:27" ht="15" hidden="1" customHeight="1">
      <c r="A66" s="1" t="s">
        <v>388</v>
      </c>
      <c r="B66" s="34">
        <f>'June''26'!CX5</f>
        <v>6462</v>
      </c>
      <c r="C66" s="34">
        <f t="shared" si="33"/>
        <v>6462</v>
      </c>
      <c r="D66" s="140">
        <f>'June''26'!CY5</f>
        <v>0</v>
      </c>
      <c r="E66" s="139">
        <f>'June''26'!DF5</f>
        <v>6664</v>
      </c>
      <c r="F66" s="34">
        <f t="shared" si="37"/>
        <v>6664</v>
      </c>
      <c r="G66" s="140">
        <f>'June''26'!DG5</f>
        <v>0</v>
      </c>
      <c r="H66" s="141">
        <f>'June''26'!DN5</f>
        <v>2774</v>
      </c>
      <c r="I66" s="34">
        <f t="shared" si="38"/>
        <v>2762</v>
      </c>
      <c r="J66" s="140">
        <f>'June''26'!DO5</f>
        <v>-12</v>
      </c>
      <c r="K66" s="72">
        <f t="shared" si="34"/>
        <v>15900</v>
      </c>
      <c r="L66" s="73">
        <f t="shared" si="35"/>
        <v>15888</v>
      </c>
      <c r="M66" s="73">
        <f t="shared" si="36"/>
        <v>-12</v>
      </c>
      <c r="O66" s="2"/>
      <c r="P66" s="6"/>
      <c r="Q66" s="6"/>
      <c r="R66" s="6"/>
      <c r="S66" s="6"/>
      <c r="T66" s="6"/>
      <c r="U66" s="6"/>
      <c r="V66" s="6"/>
      <c r="W66" s="6"/>
      <c r="X66" s="6"/>
      <c r="Y66" s="20"/>
      <c r="Z66" s="20"/>
      <c r="AA66" s="20"/>
    </row>
    <row r="67" spans="1:27" ht="15" hidden="1" customHeight="1">
      <c r="A67" s="34" t="s">
        <v>494</v>
      </c>
      <c r="B67" s="34">
        <f>'June''26'!CX6</f>
        <v>0</v>
      </c>
      <c r="C67" s="34">
        <f t="shared" si="33"/>
        <v>0</v>
      </c>
      <c r="D67" s="140">
        <f>'June''26'!CY6</f>
        <v>0</v>
      </c>
      <c r="E67" s="139">
        <f>'June''26'!DF6</f>
        <v>0</v>
      </c>
      <c r="F67" s="34">
        <f t="shared" si="37"/>
        <v>0</v>
      </c>
      <c r="G67" s="140">
        <f>'June''26'!DG6</f>
        <v>0</v>
      </c>
      <c r="H67" s="141">
        <f>'June''26'!DN6</f>
        <v>0</v>
      </c>
      <c r="I67" s="34">
        <f t="shared" si="38"/>
        <v>0</v>
      </c>
      <c r="J67" s="140">
        <f>'June''26'!DO6</f>
        <v>0</v>
      </c>
      <c r="K67" s="72">
        <f t="shared" si="34"/>
        <v>0</v>
      </c>
      <c r="L67" s="73">
        <f t="shared" si="35"/>
        <v>0</v>
      </c>
      <c r="M67" s="73">
        <f t="shared" si="36"/>
        <v>0</v>
      </c>
      <c r="O67" s="2"/>
      <c r="P67" s="6"/>
      <c r="Q67" s="6"/>
      <c r="R67" s="6"/>
      <c r="S67" s="6"/>
      <c r="T67" s="6"/>
      <c r="U67" s="6"/>
      <c r="V67" s="6"/>
      <c r="W67" s="6"/>
      <c r="X67" s="6"/>
      <c r="Y67" s="20"/>
      <c r="Z67" s="20"/>
      <c r="AA67" s="20"/>
    </row>
    <row r="68" spans="1:27" ht="15" hidden="1" customHeight="1">
      <c r="A68" s="34" t="s">
        <v>128</v>
      </c>
      <c r="B68" s="34">
        <f>'June''26'!DB2</f>
        <v>579</v>
      </c>
      <c r="C68" s="34">
        <f t="shared" si="33"/>
        <v>201</v>
      </c>
      <c r="D68" s="140">
        <f>'June''26'!DC2</f>
        <v>-378</v>
      </c>
      <c r="E68" s="139">
        <f>'June''26'!DJ2</f>
        <v>0</v>
      </c>
      <c r="F68" s="34">
        <f t="shared" si="37"/>
        <v>0</v>
      </c>
      <c r="G68" s="140">
        <f>'June''26'!DK2</f>
        <v>0</v>
      </c>
      <c r="H68" s="141">
        <f>'June''26'!DR2</f>
        <v>0</v>
      </c>
      <c r="I68" s="34">
        <f t="shared" si="38"/>
        <v>0</v>
      </c>
      <c r="J68" s="140">
        <f>'June''26'!DS2</f>
        <v>0</v>
      </c>
      <c r="K68" s="72">
        <f t="shared" si="34"/>
        <v>579</v>
      </c>
      <c r="L68" s="73">
        <f t="shared" si="35"/>
        <v>201</v>
      </c>
      <c r="M68" s="73">
        <f t="shared" si="36"/>
        <v>-378</v>
      </c>
      <c r="O68" s="127"/>
      <c r="P68" s="20"/>
      <c r="Q68" s="20"/>
      <c r="R68" s="20"/>
      <c r="S68" s="20"/>
      <c r="T68" s="20"/>
      <c r="U68" s="20"/>
      <c r="V68" s="20"/>
      <c r="W68" s="20"/>
      <c r="X68" s="20"/>
      <c r="Y68" s="128"/>
      <c r="Z68" s="128"/>
      <c r="AA68" s="128"/>
    </row>
    <row r="69" spans="1:27" ht="15" hidden="1" customHeight="1">
      <c r="A69" s="34" t="s">
        <v>86</v>
      </c>
      <c r="B69" s="34">
        <f>'June''26'!DB3</f>
        <v>17485</v>
      </c>
      <c r="C69" s="34">
        <f t="shared" si="33"/>
        <v>17485</v>
      </c>
      <c r="D69" s="140">
        <f>'June''26'!DC3</f>
        <v>0</v>
      </c>
      <c r="E69" s="139">
        <f>'June''26'!DJ3</f>
        <v>0</v>
      </c>
      <c r="F69" s="34">
        <f t="shared" si="37"/>
        <v>0</v>
      </c>
      <c r="G69" s="140">
        <f>'June''26'!DK3</f>
        <v>0</v>
      </c>
      <c r="H69" s="141">
        <f>'June''26'!DR3</f>
        <v>0</v>
      </c>
      <c r="I69" s="34">
        <f t="shared" si="38"/>
        <v>0</v>
      </c>
      <c r="J69" s="140">
        <f>'June''26'!DS3</f>
        <v>0</v>
      </c>
      <c r="K69" s="72">
        <f t="shared" si="34"/>
        <v>17485</v>
      </c>
      <c r="L69" s="73">
        <f t="shared" si="35"/>
        <v>17485</v>
      </c>
      <c r="M69" s="73">
        <f t="shared" si="36"/>
        <v>0</v>
      </c>
      <c r="N69" t="s">
        <v>19</v>
      </c>
      <c r="O69" s="2"/>
      <c r="Q69" s="75"/>
      <c r="R69" s="2"/>
      <c r="S69" s="125"/>
      <c r="T69" s="125"/>
      <c r="U69" s="125"/>
      <c r="V69" s="2"/>
      <c r="W69" s="75"/>
      <c r="X69" s="2"/>
      <c r="Y69" s="126"/>
      <c r="Z69" s="126"/>
      <c r="AA69" s="126"/>
    </row>
    <row r="70" spans="1:27" ht="15" hidden="1" customHeight="1">
      <c r="A70" s="34" t="s">
        <v>185</v>
      </c>
      <c r="B70" s="34">
        <f>'June''26'!DB4</f>
        <v>0</v>
      </c>
      <c r="C70" s="34">
        <f t="shared" si="33"/>
        <v>0</v>
      </c>
      <c r="D70" s="140">
        <f>'June''26'!DC4</f>
        <v>0</v>
      </c>
      <c r="E70" s="139">
        <f>'June''26'!DJ4</f>
        <v>0</v>
      </c>
      <c r="F70" s="34">
        <f t="shared" si="37"/>
        <v>0</v>
      </c>
      <c r="G70" s="140">
        <f>'June''26'!DK4</f>
        <v>0</v>
      </c>
      <c r="H70" s="141">
        <f>'June''26'!DR4</f>
        <v>0</v>
      </c>
      <c r="I70" s="34">
        <f t="shared" si="38"/>
        <v>0</v>
      </c>
      <c r="J70" s="140">
        <f>'June''26'!DS4</f>
        <v>0</v>
      </c>
      <c r="K70" s="72">
        <f t="shared" si="34"/>
        <v>0</v>
      </c>
      <c r="L70" s="73">
        <f t="shared" si="35"/>
        <v>0</v>
      </c>
      <c r="M70" s="73">
        <f t="shared" si="36"/>
        <v>0</v>
      </c>
      <c r="N70" t="s">
        <v>19</v>
      </c>
      <c r="O70" s="121"/>
      <c r="P70" s="123"/>
      <c r="Q70" s="123"/>
      <c r="R70" s="123"/>
      <c r="S70" s="124"/>
      <c r="T70" s="124"/>
      <c r="U70" s="124"/>
      <c r="V70" s="124"/>
      <c r="W70" s="124"/>
      <c r="X70" s="124"/>
      <c r="Y70" s="124"/>
      <c r="Z70" s="124"/>
      <c r="AA70" s="124"/>
    </row>
    <row r="71" spans="1:27" ht="15" hidden="1" customHeight="1">
      <c r="A71" s="34" t="s">
        <v>85</v>
      </c>
      <c r="B71" s="34">
        <f>'June''26'!DB5</f>
        <v>3142</v>
      </c>
      <c r="C71" s="34">
        <f t="shared" si="33"/>
        <v>3142</v>
      </c>
      <c r="D71" s="140">
        <f>'June''26'!DC5</f>
        <v>0</v>
      </c>
      <c r="E71" s="139">
        <f>'June''26'!DJ5</f>
        <v>2484</v>
      </c>
      <c r="F71" s="34">
        <f t="shared" si="37"/>
        <v>2426</v>
      </c>
      <c r="G71" s="140">
        <f>'June''26'!DK5</f>
        <v>-58</v>
      </c>
      <c r="H71" s="141">
        <f>'June''26'!DR5</f>
        <v>3498</v>
      </c>
      <c r="I71" s="34">
        <f t="shared" si="38"/>
        <v>3426</v>
      </c>
      <c r="J71" s="140">
        <f>'June''26'!DS5</f>
        <v>-72</v>
      </c>
      <c r="K71" s="72">
        <f t="shared" si="34"/>
        <v>9124</v>
      </c>
      <c r="L71" s="73">
        <f t="shared" si="35"/>
        <v>8994</v>
      </c>
      <c r="M71" s="73">
        <f t="shared" si="36"/>
        <v>-130</v>
      </c>
      <c r="N71" s="70" t="s">
        <v>19</v>
      </c>
      <c r="O71" s="6"/>
      <c r="P71" s="6"/>
      <c r="Q71" s="6"/>
      <c r="R71" s="6"/>
      <c r="S71" s="6"/>
      <c r="T71" s="6"/>
      <c r="U71" s="6"/>
      <c r="V71" s="6"/>
      <c r="W71" s="6"/>
      <c r="X71" s="6"/>
      <c r="Y71" s="20"/>
      <c r="Z71" s="20"/>
      <c r="AA71" s="20"/>
    </row>
    <row r="72" spans="1:27" ht="15" hidden="1" customHeight="1">
      <c r="A72" s="34" t="s">
        <v>186</v>
      </c>
      <c r="B72" s="34">
        <f>'June''26'!DB6</f>
        <v>0</v>
      </c>
      <c r="C72" s="34">
        <f t="shared" si="33"/>
        <v>0</v>
      </c>
      <c r="D72" s="140">
        <f>'June''26'!DC6</f>
        <v>0</v>
      </c>
      <c r="E72" s="139">
        <f>'June''26'!DJ6</f>
        <v>0</v>
      </c>
      <c r="F72" s="34">
        <f t="shared" si="37"/>
        <v>0</v>
      </c>
      <c r="G72" s="140">
        <f>'June''26'!DK6</f>
        <v>0</v>
      </c>
      <c r="H72" s="141">
        <f>'June''26'!DR6</f>
        <v>0</v>
      </c>
      <c r="I72" s="34">
        <f t="shared" si="38"/>
        <v>0</v>
      </c>
      <c r="J72" s="140">
        <f>'June''26'!DS6</f>
        <v>0</v>
      </c>
      <c r="K72" s="72">
        <f t="shared" si="34"/>
        <v>0</v>
      </c>
      <c r="L72" s="73">
        <f t="shared" si="35"/>
        <v>0</v>
      </c>
      <c r="M72" s="73">
        <f t="shared" si="36"/>
        <v>0</v>
      </c>
      <c r="N72" s="70" t="s">
        <v>19</v>
      </c>
      <c r="O72" s="6"/>
      <c r="P72" s="6"/>
      <c r="Q72" s="6"/>
      <c r="R72" s="6"/>
      <c r="S72" s="6"/>
      <c r="T72" s="6"/>
      <c r="U72" s="6"/>
      <c r="V72" s="6"/>
      <c r="W72" s="6"/>
      <c r="X72" s="6"/>
      <c r="Y72" s="20"/>
      <c r="Z72" s="20"/>
      <c r="AA72" s="20"/>
    </row>
    <row r="73" spans="1:27" ht="15" hidden="1" customHeight="1">
      <c r="A73" s="34" t="s">
        <v>500</v>
      </c>
      <c r="B73" s="34">
        <f>'June''26'!DV2</f>
        <v>0</v>
      </c>
      <c r="C73" s="34">
        <f t="shared" si="33"/>
        <v>0</v>
      </c>
      <c r="D73" s="140">
        <f>'June''26'!DW2</f>
        <v>0</v>
      </c>
      <c r="E73" s="139">
        <f>'June''26'!ED2</f>
        <v>764</v>
      </c>
      <c r="F73" s="34">
        <f t="shared" si="37"/>
        <v>754</v>
      </c>
      <c r="G73" s="140">
        <f>'June''26'!EE2</f>
        <v>-10</v>
      </c>
      <c r="H73" s="141">
        <f>'June''26'!EL2</f>
        <v>0</v>
      </c>
      <c r="I73" s="34">
        <f>H73+J73</f>
        <v>0</v>
      </c>
      <c r="J73" s="140">
        <f>'June''26'!EM2</f>
        <v>0</v>
      </c>
      <c r="K73" s="72">
        <f t="shared" si="34"/>
        <v>764</v>
      </c>
      <c r="L73" s="73">
        <f t="shared" si="35"/>
        <v>754</v>
      </c>
      <c r="M73" s="73">
        <f t="shared" si="36"/>
        <v>-10</v>
      </c>
      <c r="N73" s="70" t="s">
        <v>19</v>
      </c>
      <c r="O73" s="6"/>
      <c r="P73" s="6"/>
      <c r="Q73" s="6"/>
      <c r="R73" s="6"/>
      <c r="S73" s="6"/>
      <c r="T73" s="6"/>
      <c r="U73" s="6"/>
      <c r="V73" s="6"/>
      <c r="W73" s="6"/>
      <c r="X73" s="6"/>
      <c r="Y73" s="20"/>
      <c r="Z73" s="20"/>
      <c r="AA73" s="20"/>
    </row>
    <row r="74" spans="1:27" ht="15" hidden="1" customHeight="1">
      <c r="A74" s="34" t="s">
        <v>215</v>
      </c>
      <c r="B74" s="34">
        <f>'June''26'!DV3</f>
        <v>0</v>
      </c>
      <c r="C74" s="34">
        <f t="shared" si="33"/>
        <v>0</v>
      </c>
      <c r="D74" s="140">
        <f>'June''26'!DW3</f>
        <v>0</v>
      </c>
      <c r="E74" s="139">
        <f>'June''26'!ED3</f>
        <v>0</v>
      </c>
      <c r="F74" s="34">
        <f t="shared" si="37"/>
        <v>0</v>
      </c>
      <c r="G74" s="140">
        <f>'June''26'!EE3</f>
        <v>0</v>
      </c>
      <c r="H74" s="141">
        <f>'June''26'!EL3</f>
        <v>0</v>
      </c>
      <c r="I74" s="34">
        <f>H74+J74</f>
        <v>0</v>
      </c>
      <c r="J74" s="140">
        <f>'June''26'!EM3</f>
        <v>0</v>
      </c>
      <c r="K74" s="72">
        <f t="shared" si="34"/>
        <v>0</v>
      </c>
      <c r="L74" s="73">
        <f t="shared" si="35"/>
        <v>0</v>
      </c>
      <c r="M74" s="73">
        <f t="shared" si="36"/>
        <v>0</v>
      </c>
      <c r="N74" s="70"/>
      <c r="O74" s="6"/>
      <c r="P74" s="6"/>
      <c r="Q74" s="6"/>
      <c r="R74" s="6"/>
      <c r="S74" s="6"/>
      <c r="T74" s="6"/>
      <c r="U74" s="6"/>
      <c r="V74" s="6"/>
      <c r="W74" s="6"/>
      <c r="X74" s="6"/>
      <c r="Y74" s="20"/>
      <c r="Z74" s="20"/>
      <c r="AA74" s="20"/>
    </row>
    <row r="75" spans="1:27" ht="15" hidden="1" customHeight="1">
      <c r="A75" s="34" t="s">
        <v>303</v>
      </c>
      <c r="B75" s="34">
        <f>'June''26'!DV4</f>
        <v>6719</v>
      </c>
      <c r="C75" s="34">
        <f t="shared" si="33"/>
        <v>6632</v>
      </c>
      <c r="D75" s="140">
        <f>'June''26'!DW4</f>
        <v>-87</v>
      </c>
      <c r="E75" s="139">
        <f>'June''26'!ED4</f>
        <v>2494</v>
      </c>
      <c r="F75" s="34">
        <f t="shared" si="37"/>
        <v>2491</v>
      </c>
      <c r="G75" s="140">
        <f>'June''26'!EE4</f>
        <v>-3</v>
      </c>
      <c r="H75" s="141">
        <f>'June''26'!EL4</f>
        <v>6441</v>
      </c>
      <c r="I75" s="34">
        <f>H75+J75</f>
        <v>6436</v>
      </c>
      <c r="J75" s="140">
        <f>'June''26'!EM4</f>
        <v>-5</v>
      </c>
      <c r="K75" s="72">
        <f t="shared" si="34"/>
        <v>15654</v>
      </c>
      <c r="L75" s="73">
        <f t="shared" si="35"/>
        <v>15559</v>
      </c>
      <c r="M75" s="73">
        <f t="shared" si="36"/>
        <v>-95</v>
      </c>
      <c r="N75" s="70"/>
      <c r="O75" s="6"/>
      <c r="P75" s="6"/>
      <c r="Q75" s="6"/>
      <c r="R75" s="6"/>
      <c r="S75" s="6"/>
      <c r="T75" s="6"/>
      <c r="U75" s="6"/>
      <c r="V75" s="6"/>
      <c r="W75" s="6"/>
      <c r="X75" s="6"/>
      <c r="Y75" s="20"/>
      <c r="Z75" s="20"/>
      <c r="AA75" s="20"/>
    </row>
    <row r="76" spans="1:27" ht="15" hidden="1" customHeight="1">
      <c r="A76" s="34" t="s">
        <v>299</v>
      </c>
      <c r="B76" s="34">
        <f>'June''26'!DV5</f>
        <v>0</v>
      </c>
      <c r="C76" s="34">
        <f t="shared" si="33"/>
        <v>0</v>
      </c>
      <c r="D76" s="140">
        <f>'June''26'!DW5</f>
        <v>0</v>
      </c>
      <c r="E76" s="139">
        <f>'June''26'!ED5</f>
        <v>0</v>
      </c>
      <c r="F76" s="34">
        <f t="shared" si="37"/>
        <v>0</v>
      </c>
      <c r="G76" s="140">
        <f>'June''26'!EE5</f>
        <v>0</v>
      </c>
      <c r="H76" s="141">
        <f>'June''26'!EL5</f>
        <v>0</v>
      </c>
      <c r="I76" s="34">
        <f>H76+J76</f>
        <v>0</v>
      </c>
      <c r="J76" s="140">
        <f>'June''26'!EM5</f>
        <v>0</v>
      </c>
      <c r="K76" s="72">
        <f t="shared" si="34"/>
        <v>0</v>
      </c>
      <c r="L76" s="73">
        <f t="shared" si="35"/>
        <v>0</v>
      </c>
      <c r="M76" s="73">
        <f t="shared" si="36"/>
        <v>0</v>
      </c>
      <c r="N76" s="70" t="s">
        <v>19</v>
      </c>
      <c r="O76" s="6"/>
      <c r="P76" s="6"/>
      <c r="Q76" s="6"/>
      <c r="R76" s="6"/>
      <c r="S76" s="6"/>
      <c r="T76" s="6"/>
      <c r="U76" s="6"/>
      <c r="V76" s="6"/>
      <c r="W76" s="6"/>
      <c r="X76" s="6"/>
      <c r="Y76" s="20"/>
      <c r="Z76" s="20"/>
      <c r="AA76" s="20"/>
    </row>
    <row r="77" spans="1:27" ht="15" hidden="1" customHeight="1">
      <c r="A77" s="34" t="s">
        <v>20</v>
      </c>
      <c r="B77" s="34">
        <f>'June''26'!DV6</f>
        <v>720</v>
      </c>
      <c r="C77" s="34">
        <f>B77+D77</f>
        <v>720</v>
      </c>
      <c r="D77" s="140">
        <f>'June''26'!DW6</f>
        <v>0</v>
      </c>
      <c r="E77" s="139">
        <f>'June''26'!ED6</f>
        <v>46442</v>
      </c>
      <c r="F77" s="34">
        <f t="shared" si="37"/>
        <v>46334</v>
      </c>
      <c r="G77" s="140">
        <f>'June''26'!EE6</f>
        <v>-108</v>
      </c>
      <c r="H77" s="141">
        <f>'June''26'!EL6</f>
        <v>7618</v>
      </c>
      <c r="I77" s="34">
        <f t="shared" ref="I77:I78" si="39">H77+J77</f>
        <v>7618</v>
      </c>
      <c r="J77" s="140">
        <f>'June''26'!EM6</f>
        <v>0</v>
      </c>
      <c r="K77" s="72">
        <f t="shared" si="34"/>
        <v>54780</v>
      </c>
      <c r="L77" s="73">
        <f t="shared" si="35"/>
        <v>54672</v>
      </c>
      <c r="M77" s="73">
        <f t="shared" si="36"/>
        <v>-108</v>
      </c>
      <c r="N77" s="70" t="s">
        <v>19</v>
      </c>
      <c r="O77" s="6"/>
      <c r="P77" s="6"/>
      <c r="Q77" s="6"/>
      <c r="R77" s="6"/>
      <c r="S77" s="6"/>
      <c r="T77" s="6"/>
      <c r="U77" s="6"/>
      <c r="V77" s="6"/>
      <c r="W77" s="6"/>
      <c r="X77" s="6"/>
      <c r="Y77" s="20"/>
      <c r="Z77" s="20"/>
      <c r="AA77" s="20"/>
    </row>
    <row r="78" spans="1:27" ht="15" hidden="1" customHeight="1">
      <c r="A78" s="34" t="s">
        <v>46</v>
      </c>
      <c r="B78" s="34">
        <f>'June''26'!DZ2</f>
        <v>49745</v>
      </c>
      <c r="C78" s="34">
        <f>B78+D78</f>
        <v>49733</v>
      </c>
      <c r="D78" s="140">
        <f>'June''26'!EA2</f>
        <v>-12</v>
      </c>
      <c r="E78" s="139">
        <f>'June''26'!EH2</f>
        <v>16980</v>
      </c>
      <c r="F78" s="34">
        <f t="shared" si="37"/>
        <v>16972</v>
      </c>
      <c r="G78" s="140">
        <f>'June''26'!EI2</f>
        <v>-8</v>
      </c>
      <c r="H78" s="141">
        <f>'June''26'!EP2</f>
        <v>355</v>
      </c>
      <c r="I78" s="34">
        <f t="shared" si="39"/>
        <v>355</v>
      </c>
      <c r="J78" s="140">
        <f>'June''26'!EQ2</f>
        <v>0</v>
      </c>
      <c r="K78" s="72">
        <f t="shared" si="34"/>
        <v>67080</v>
      </c>
      <c r="L78" s="73">
        <f t="shared" si="35"/>
        <v>67060</v>
      </c>
      <c r="M78" s="73">
        <f t="shared" si="36"/>
        <v>-20</v>
      </c>
      <c r="O78" s="6"/>
      <c r="P78" s="6"/>
      <c r="Q78" s="6"/>
      <c r="R78" s="6"/>
      <c r="S78" s="6"/>
      <c r="T78" s="6"/>
      <c r="U78" s="6"/>
      <c r="V78" s="6"/>
      <c r="W78" s="6"/>
      <c r="X78" s="6"/>
      <c r="Y78" s="20"/>
      <c r="Z78" s="20"/>
      <c r="AA78" s="20"/>
    </row>
    <row r="79" spans="1:27" ht="22.5" hidden="1" customHeight="1">
      <c r="A79" s="90" t="s">
        <v>74</v>
      </c>
      <c r="B79" s="95">
        <f t="shared" ref="B79:H79" si="40">SUM(B63:B78)</f>
        <v>132715</v>
      </c>
      <c r="C79" s="95">
        <f t="shared" si="40"/>
        <v>132066</v>
      </c>
      <c r="D79" s="134">
        <f t="shared" si="40"/>
        <v>-649</v>
      </c>
      <c r="E79" s="135">
        <f t="shared" si="40"/>
        <v>145420</v>
      </c>
      <c r="F79" s="135">
        <f t="shared" si="40"/>
        <v>145149</v>
      </c>
      <c r="G79" s="135">
        <f t="shared" si="40"/>
        <v>-271</v>
      </c>
      <c r="H79" s="136">
        <f t="shared" si="40"/>
        <v>58664</v>
      </c>
      <c r="I79" s="136">
        <f>SUM(I63:I78)</f>
        <v>58542</v>
      </c>
      <c r="J79" s="136">
        <f t="shared" ref="J79:M79" si="41">SUM(J63:J78)</f>
        <v>-122</v>
      </c>
      <c r="K79" s="92">
        <f t="shared" si="41"/>
        <v>336799</v>
      </c>
      <c r="L79" s="92">
        <f t="shared" si="41"/>
        <v>335757</v>
      </c>
      <c r="M79" s="92">
        <f t="shared" si="41"/>
        <v>-1042</v>
      </c>
      <c r="N79" s="128">
        <f>M79</f>
        <v>-1042</v>
      </c>
      <c r="O79" s="6"/>
      <c r="P79" s="6"/>
      <c r="Q79" s="6"/>
      <c r="R79" s="6"/>
      <c r="S79" s="6"/>
      <c r="T79" s="6"/>
      <c r="U79" s="6"/>
      <c r="V79" s="6"/>
      <c r="W79" s="6"/>
      <c r="X79" s="6"/>
      <c r="Y79" s="20"/>
      <c r="Z79" s="20"/>
      <c r="AA79" s="20"/>
    </row>
    <row r="80" spans="1:27" ht="17.25" hidden="1" customHeight="1">
      <c r="A80" s="74"/>
      <c r="C80" s="75" t="s">
        <v>40</v>
      </c>
      <c r="D80" s="2"/>
      <c r="E80" s="171" t="e">
        <f>(M41+M60+M79)/1</f>
        <v>#REF!</v>
      </c>
      <c r="F80" s="171"/>
      <c r="G80" s="171"/>
      <c r="H80" s="2"/>
      <c r="I80" s="75" t="s">
        <v>70</v>
      </c>
      <c r="J80" s="2"/>
      <c r="K80" s="169">
        <f>382461/24</f>
        <v>15935.875</v>
      </c>
      <c r="L80" s="169"/>
      <c r="M80" s="170"/>
      <c r="O80" s="70" t="s">
        <v>19</v>
      </c>
      <c r="Q80" s="70" t="s">
        <v>19</v>
      </c>
    </row>
    <row r="81" spans="1:27" ht="18" hidden="1" customHeight="1">
      <c r="A81" s="71" t="s">
        <v>928</v>
      </c>
      <c r="B81" s="172" t="s">
        <v>77</v>
      </c>
      <c r="C81" s="172"/>
      <c r="D81" s="173"/>
      <c r="E81" s="174" t="s">
        <v>78</v>
      </c>
      <c r="F81" s="175"/>
      <c r="G81" s="176"/>
      <c r="H81" s="177" t="s">
        <v>79</v>
      </c>
      <c r="I81" s="175"/>
      <c r="J81" s="176"/>
      <c r="K81" s="177" t="s">
        <v>80</v>
      </c>
      <c r="L81" s="175"/>
      <c r="M81" s="175"/>
      <c r="O81" s="6"/>
      <c r="P81" s="6"/>
      <c r="Q81" s="6"/>
      <c r="R81" s="6"/>
      <c r="S81" s="6"/>
      <c r="T81" s="6"/>
      <c r="U81" s="6"/>
      <c r="V81" s="6"/>
      <c r="W81" s="6"/>
      <c r="X81" s="6"/>
      <c r="Y81" s="20"/>
      <c r="Z81" s="20"/>
      <c r="AA81" s="20"/>
    </row>
    <row r="82" spans="1:27" ht="15" hidden="1" customHeight="1">
      <c r="A82" s="34" t="s">
        <v>50</v>
      </c>
      <c r="B82" s="34" t="e">
        <f>#REF!</f>
        <v>#REF!</v>
      </c>
      <c r="C82" s="34" t="e">
        <f t="shared" ref="C82:C95" si="42">B82+D82</f>
        <v>#REF!</v>
      </c>
      <c r="D82" s="140" t="e">
        <f>#REF!</f>
        <v>#REF!</v>
      </c>
      <c r="E82" s="139" t="e">
        <f>#REF!</f>
        <v>#REF!</v>
      </c>
      <c r="F82" s="34" t="e">
        <f>E82+G82</f>
        <v>#REF!</v>
      </c>
      <c r="G82" s="140" t="e">
        <f>#REF!</f>
        <v>#REF!</v>
      </c>
      <c r="H82" s="141" t="e">
        <f>#REF!</f>
        <v>#REF!</v>
      </c>
      <c r="I82" s="34" t="e">
        <f>H82+J82</f>
        <v>#REF!</v>
      </c>
      <c r="J82" s="140" t="e">
        <f>#REF!</f>
        <v>#REF!</v>
      </c>
      <c r="K82" s="72" t="e">
        <f t="shared" ref="K82:K97" si="43">+B82+E82+H82</f>
        <v>#REF!</v>
      </c>
      <c r="L82" s="73" t="e">
        <f t="shared" ref="L82:L97" si="44">+C82+F82+I82</f>
        <v>#REF!</v>
      </c>
      <c r="M82" s="73" t="e">
        <f t="shared" ref="M82:M97" si="45">+D82+G82+J82</f>
        <v>#REF!</v>
      </c>
      <c r="O82" s="6"/>
      <c r="P82" s="6"/>
      <c r="Q82" s="6"/>
      <c r="R82" s="6"/>
      <c r="S82" s="6"/>
      <c r="T82" s="6"/>
      <c r="U82" s="6"/>
      <c r="V82" s="6"/>
      <c r="W82" s="6"/>
      <c r="X82" s="6"/>
      <c r="Y82" s="20"/>
      <c r="Z82" s="20"/>
      <c r="AA82" s="20"/>
    </row>
    <row r="83" spans="1:27" ht="15" hidden="1" customHeight="1">
      <c r="A83" s="34" t="s">
        <v>51</v>
      </c>
      <c r="B83" s="34" t="e">
        <f>#REF!</f>
        <v>#REF!</v>
      </c>
      <c r="C83" s="34" t="e">
        <f t="shared" si="42"/>
        <v>#REF!</v>
      </c>
      <c r="D83" s="140" t="e">
        <f>#REF!</f>
        <v>#REF!</v>
      </c>
      <c r="E83" s="139" t="e">
        <f>#REF!</f>
        <v>#REF!</v>
      </c>
      <c r="F83" s="34" t="e">
        <f t="shared" ref="F83:F97" si="46">E83+G83</f>
        <v>#REF!</v>
      </c>
      <c r="G83" s="140" t="e">
        <f>#REF!</f>
        <v>#REF!</v>
      </c>
      <c r="H83" s="141" t="e">
        <f>#REF!</f>
        <v>#REF!</v>
      </c>
      <c r="I83" s="34" t="e">
        <f t="shared" ref="I83:I91" si="47">H83+J83</f>
        <v>#REF!</v>
      </c>
      <c r="J83" s="140" t="e">
        <f>#REF!</f>
        <v>#REF!</v>
      </c>
      <c r="K83" s="72" t="e">
        <f t="shared" si="43"/>
        <v>#REF!</v>
      </c>
      <c r="L83" s="73" t="e">
        <f t="shared" si="44"/>
        <v>#REF!</v>
      </c>
      <c r="M83" s="73" t="e">
        <f t="shared" si="45"/>
        <v>#REF!</v>
      </c>
      <c r="O83" s="6"/>
      <c r="P83" s="6"/>
      <c r="Q83" s="6"/>
      <c r="R83" s="6"/>
      <c r="S83" s="6"/>
      <c r="T83" s="6"/>
      <c r="U83" s="6"/>
      <c r="V83" s="6"/>
      <c r="W83" s="6"/>
      <c r="X83" s="6"/>
      <c r="Y83" s="20"/>
      <c r="Z83" s="20"/>
      <c r="AA83" s="20"/>
    </row>
    <row r="84" spans="1:27" ht="15" hidden="1" customHeight="1">
      <c r="A84" s="1" t="s">
        <v>387</v>
      </c>
      <c r="B84" s="34" t="e">
        <f>#REF!</f>
        <v>#REF!</v>
      </c>
      <c r="C84" s="34" t="e">
        <f t="shared" si="42"/>
        <v>#REF!</v>
      </c>
      <c r="D84" s="140" t="e">
        <f>#REF!</f>
        <v>#REF!</v>
      </c>
      <c r="E84" s="139" t="e">
        <f>#REF!</f>
        <v>#REF!</v>
      </c>
      <c r="F84" s="34" t="e">
        <f t="shared" si="46"/>
        <v>#REF!</v>
      </c>
      <c r="G84" s="140" t="e">
        <f>#REF!</f>
        <v>#REF!</v>
      </c>
      <c r="H84" s="141" t="e">
        <f>#REF!</f>
        <v>#REF!</v>
      </c>
      <c r="I84" s="34" t="e">
        <f t="shared" si="47"/>
        <v>#REF!</v>
      </c>
      <c r="J84" s="140" t="e">
        <f>#REF!</f>
        <v>#REF!</v>
      </c>
      <c r="K84" s="72" t="e">
        <f t="shared" si="43"/>
        <v>#REF!</v>
      </c>
      <c r="L84" s="73" t="e">
        <f t="shared" si="44"/>
        <v>#REF!</v>
      </c>
      <c r="M84" s="73" t="e">
        <f t="shared" si="45"/>
        <v>#REF!</v>
      </c>
      <c r="O84" s="2"/>
      <c r="P84" s="6"/>
      <c r="Q84" s="6"/>
      <c r="R84" s="6"/>
      <c r="S84" s="6"/>
      <c r="T84" s="6"/>
      <c r="U84" s="6"/>
      <c r="V84" s="6"/>
      <c r="W84" s="6"/>
      <c r="X84" s="6"/>
      <c r="Y84" s="20"/>
      <c r="Z84" s="20"/>
      <c r="AA84" s="20"/>
    </row>
    <row r="85" spans="1:27" ht="15" hidden="1" customHeight="1">
      <c r="A85" s="1" t="s">
        <v>388</v>
      </c>
      <c r="B85" s="34" t="e">
        <f>#REF!</f>
        <v>#REF!</v>
      </c>
      <c r="C85" s="34" t="e">
        <f t="shared" si="42"/>
        <v>#REF!</v>
      </c>
      <c r="D85" s="140" t="e">
        <f>#REF!</f>
        <v>#REF!</v>
      </c>
      <c r="E85" s="139" t="e">
        <f>#REF!</f>
        <v>#REF!</v>
      </c>
      <c r="F85" s="34" t="e">
        <f t="shared" si="46"/>
        <v>#REF!</v>
      </c>
      <c r="G85" s="140" t="e">
        <f>#REF!</f>
        <v>#REF!</v>
      </c>
      <c r="H85" s="141" t="e">
        <f>#REF!</f>
        <v>#REF!</v>
      </c>
      <c r="I85" s="34" t="e">
        <f t="shared" si="47"/>
        <v>#REF!</v>
      </c>
      <c r="J85" s="140" t="e">
        <f>#REF!</f>
        <v>#REF!</v>
      </c>
      <c r="K85" s="72" t="e">
        <f t="shared" si="43"/>
        <v>#REF!</v>
      </c>
      <c r="L85" s="73" t="e">
        <f t="shared" si="44"/>
        <v>#REF!</v>
      </c>
      <c r="M85" s="73" t="e">
        <f t="shared" si="45"/>
        <v>#REF!</v>
      </c>
      <c r="O85" s="2"/>
      <c r="P85" s="6"/>
      <c r="Q85" s="6"/>
      <c r="R85" s="6"/>
      <c r="S85" s="6"/>
      <c r="T85" s="6"/>
      <c r="U85" s="6"/>
      <c r="V85" s="6"/>
      <c r="W85" s="6"/>
      <c r="X85" s="6"/>
      <c r="Y85" s="20"/>
      <c r="Z85" s="20"/>
      <c r="AA85" s="20"/>
    </row>
    <row r="86" spans="1:27" ht="15" hidden="1" customHeight="1">
      <c r="A86" s="34" t="s">
        <v>494</v>
      </c>
      <c r="B86" s="34" t="e">
        <f>#REF!</f>
        <v>#REF!</v>
      </c>
      <c r="C86" s="34" t="e">
        <f t="shared" si="42"/>
        <v>#REF!</v>
      </c>
      <c r="D86" s="140" t="e">
        <f>#REF!</f>
        <v>#REF!</v>
      </c>
      <c r="E86" s="139" t="e">
        <f>#REF!</f>
        <v>#REF!</v>
      </c>
      <c r="F86" s="34" t="e">
        <f t="shared" si="46"/>
        <v>#REF!</v>
      </c>
      <c r="G86" s="140" t="e">
        <f>#REF!</f>
        <v>#REF!</v>
      </c>
      <c r="H86" s="141" t="e">
        <f>#REF!</f>
        <v>#REF!</v>
      </c>
      <c r="I86" s="34" t="e">
        <f t="shared" si="47"/>
        <v>#REF!</v>
      </c>
      <c r="J86" s="140" t="e">
        <f>#REF!</f>
        <v>#REF!</v>
      </c>
      <c r="K86" s="72" t="e">
        <f t="shared" si="43"/>
        <v>#REF!</v>
      </c>
      <c r="L86" s="73" t="e">
        <f t="shared" si="44"/>
        <v>#REF!</v>
      </c>
      <c r="M86" s="73" t="e">
        <f t="shared" si="45"/>
        <v>#REF!</v>
      </c>
      <c r="O86" s="2"/>
      <c r="P86" s="6"/>
      <c r="Q86" s="6"/>
      <c r="R86" s="6"/>
      <c r="S86" s="6"/>
      <c r="T86" s="6"/>
      <c r="U86" s="6"/>
      <c r="V86" s="6"/>
      <c r="W86" s="6"/>
      <c r="X86" s="6"/>
      <c r="Y86" s="20"/>
      <c r="Z86" s="20"/>
      <c r="AA86" s="20"/>
    </row>
    <row r="87" spans="1:27" ht="15" hidden="1" customHeight="1">
      <c r="A87" s="34" t="s">
        <v>128</v>
      </c>
      <c r="B87" s="34" t="e">
        <f>#REF!</f>
        <v>#REF!</v>
      </c>
      <c r="C87" s="34" t="e">
        <f t="shared" si="42"/>
        <v>#REF!</v>
      </c>
      <c r="D87" s="140" t="e">
        <f>#REF!</f>
        <v>#REF!</v>
      </c>
      <c r="E87" s="139" t="e">
        <f>#REF!</f>
        <v>#REF!</v>
      </c>
      <c r="F87" s="34" t="e">
        <f t="shared" si="46"/>
        <v>#REF!</v>
      </c>
      <c r="G87" s="140" t="e">
        <f>#REF!</f>
        <v>#REF!</v>
      </c>
      <c r="H87" s="141" t="e">
        <f>#REF!</f>
        <v>#REF!</v>
      </c>
      <c r="I87" s="34" t="e">
        <f t="shared" si="47"/>
        <v>#REF!</v>
      </c>
      <c r="J87" s="140" t="e">
        <f>#REF!</f>
        <v>#REF!</v>
      </c>
      <c r="K87" s="72" t="e">
        <f t="shared" si="43"/>
        <v>#REF!</v>
      </c>
      <c r="L87" s="73" t="e">
        <f t="shared" si="44"/>
        <v>#REF!</v>
      </c>
      <c r="M87" s="73" t="e">
        <f t="shared" si="45"/>
        <v>#REF!</v>
      </c>
      <c r="O87" s="127"/>
      <c r="P87" s="20"/>
      <c r="Q87" s="20"/>
      <c r="R87" s="20"/>
      <c r="S87" s="20"/>
      <c r="T87" s="20"/>
      <c r="U87" s="20"/>
      <c r="V87" s="20"/>
      <c r="W87" s="20"/>
      <c r="X87" s="20"/>
      <c r="Y87" s="128"/>
      <c r="Z87" s="128"/>
      <c r="AA87" s="128"/>
    </row>
    <row r="88" spans="1:27" ht="15" hidden="1" customHeight="1">
      <c r="A88" s="34" t="s">
        <v>86</v>
      </c>
      <c r="B88" s="34" t="e">
        <f>#REF!</f>
        <v>#REF!</v>
      </c>
      <c r="C88" s="34" t="e">
        <f t="shared" si="42"/>
        <v>#REF!</v>
      </c>
      <c r="D88" s="140" t="e">
        <f>#REF!</f>
        <v>#REF!</v>
      </c>
      <c r="E88" s="139" t="e">
        <f>#REF!</f>
        <v>#REF!</v>
      </c>
      <c r="F88" s="34" t="e">
        <f t="shared" si="46"/>
        <v>#REF!</v>
      </c>
      <c r="G88" s="140" t="e">
        <f>#REF!</f>
        <v>#REF!</v>
      </c>
      <c r="H88" s="141" t="e">
        <f>#REF!</f>
        <v>#REF!</v>
      </c>
      <c r="I88" s="34" t="e">
        <f t="shared" si="47"/>
        <v>#REF!</v>
      </c>
      <c r="J88" s="140" t="e">
        <f>#REF!</f>
        <v>#REF!</v>
      </c>
      <c r="K88" s="72" t="e">
        <f t="shared" si="43"/>
        <v>#REF!</v>
      </c>
      <c r="L88" s="73" t="e">
        <f t="shared" si="44"/>
        <v>#REF!</v>
      </c>
      <c r="M88" s="73" t="e">
        <f t="shared" si="45"/>
        <v>#REF!</v>
      </c>
      <c r="N88" t="s">
        <v>19</v>
      </c>
      <c r="O88" s="2"/>
      <c r="Q88" s="75"/>
      <c r="R88" s="2"/>
      <c r="S88" s="125"/>
      <c r="T88" s="125"/>
      <c r="U88" s="125"/>
      <c r="V88" s="2"/>
      <c r="W88" s="75"/>
      <c r="X88" s="2"/>
      <c r="Y88" s="126"/>
      <c r="Z88" s="126"/>
      <c r="AA88" s="126"/>
    </row>
    <row r="89" spans="1:27" ht="15" hidden="1" customHeight="1">
      <c r="A89" s="34" t="s">
        <v>185</v>
      </c>
      <c r="B89" s="34" t="e">
        <f>#REF!</f>
        <v>#REF!</v>
      </c>
      <c r="C89" s="34" t="e">
        <f t="shared" si="42"/>
        <v>#REF!</v>
      </c>
      <c r="D89" s="140" t="e">
        <f>#REF!</f>
        <v>#REF!</v>
      </c>
      <c r="E89" s="139" t="e">
        <f>#REF!</f>
        <v>#REF!</v>
      </c>
      <c r="F89" s="34" t="e">
        <f t="shared" si="46"/>
        <v>#REF!</v>
      </c>
      <c r="G89" s="140" t="e">
        <f>#REF!</f>
        <v>#REF!</v>
      </c>
      <c r="H89" s="141" t="e">
        <f>#REF!</f>
        <v>#REF!</v>
      </c>
      <c r="I89" s="34" t="e">
        <f t="shared" si="47"/>
        <v>#REF!</v>
      </c>
      <c r="J89" s="140" t="e">
        <f>#REF!</f>
        <v>#REF!</v>
      </c>
      <c r="K89" s="72" t="e">
        <f t="shared" si="43"/>
        <v>#REF!</v>
      </c>
      <c r="L89" s="73" t="e">
        <f t="shared" si="44"/>
        <v>#REF!</v>
      </c>
      <c r="M89" s="73" t="e">
        <f t="shared" si="45"/>
        <v>#REF!</v>
      </c>
      <c r="N89" t="s">
        <v>19</v>
      </c>
      <c r="O89" s="121"/>
      <c r="P89" s="123"/>
      <c r="Q89" s="123"/>
      <c r="R89" s="123"/>
      <c r="S89" s="124"/>
      <c r="T89" s="124"/>
      <c r="U89" s="124"/>
      <c r="V89" s="124"/>
      <c r="W89" s="124"/>
      <c r="X89" s="124"/>
      <c r="Y89" s="124"/>
      <c r="Z89" s="124"/>
      <c r="AA89" s="124"/>
    </row>
    <row r="90" spans="1:27" ht="15" hidden="1" customHeight="1">
      <c r="A90" s="34" t="s">
        <v>85</v>
      </c>
      <c r="B90" s="34" t="e">
        <f>#REF!</f>
        <v>#REF!</v>
      </c>
      <c r="C90" s="34" t="e">
        <f t="shared" si="42"/>
        <v>#REF!</v>
      </c>
      <c r="D90" s="140" t="e">
        <f>#REF!</f>
        <v>#REF!</v>
      </c>
      <c r="E90" s="139" t="e">
        <f>#REF!</f>
        <v>#REF!</v>
      </c>
      <c r="F90" s="34" t="e">
        <f t="shared" si="46"/>
        <v>#REF!</v>
      </c>
      <c r="G90" s="140" t="e">
        <f>#REF!</f>
        <v>#REF!</v>
      </c>
      <c r="H90" s="141" t="e">
        <f>#REF!</f>
        <v>#REF!</v>
      </c>
      <c r="I90" s="34" t="e">
        <f t="shared" si="47"/>
        <v>#REF!</v>
      </c>
      <c r="J90" s="140" t="e">
        <f>#REF!</f>
        <v>#REF!</v>
      </c>
      <c r="K90" s="72" t="e">
        <f t="shared" si="43"/>
        <v>#REF!</v>
      </c>
      <c r="L90" s="73" t="e">
        <f t="shared" si="44"/>
        <v>#REF!</v>
      </c>
      <c r="M90" s="73" t="e">
        <f t="shared" si="45"/>
        <v>#REF!</v>
      </c>
      <c r="N90" s="70" t="s">
        <v>19</v>
      </c>
      <c r="O90" s="6"/>
      <c r="P90" s="6"/>
      <c r="Q90" s="6"/>
      <c r="R90" s="6"/>
      <c r="S90" s="6"/>
      <c r="T90" s="6"/>
      <c r="U90" s="6"/>
      <c r="V90" s="6"/>
      <c r="W90" s="6"/>
      <c r="X90" s="6"/>
      <c r="Y90" s="20"/>
      <c r="Z90" s="20"/>
      <c r="AA90" s="20"/>
    </row>
    <row r="91" spans="1:27" ht="15" hidden="1" customHeight="1">
      <c r="A91" s="34" t="s">
        <v>186</v>
      </c>
      <c r="B91" s="34" t="e">
        <f>#REF!</f>
        <v>#REF!</v>
      </c>
      <c r="C91" s="34" t="e">
        <f t="shared" si="42"/>
        <v>#REF!</v>
      </c>
      <c r="D91" s="140" t="e">
        <f>#REF!</f>
        <v>#REF!</v>
      </c>
      <c r="E91" s="139" t="e">
        <f>#REF!</f>
        <v>#REF!</v>
      </c>
      <c r="F91" s="34" t="e">
        <f t="shared" si="46"/>
        <v>#REF!</v>
      </c>
      <c r="G91" s="140" t="e">
        <f>#REF!</f>
        <v>#REF!</v>
      </c>
      <c r="H91" s="141" t="e">
        <f>#REF!</f>
        <v>#REF!</v>
      </c>
      <c r="I91" s="34" t="e">
        <f t="shared" si="47"/>
        <v>#REF!</v>
      </c>
      <c r="J91" s="140">
        <f>'June''26'!DS25</f>
        <v>0</v>
      </c>
      <c r="K91" s="72" t="e">
        <f t="shared" si="43"/>
        <v>#REF!</v>
      </c>
      <c r="L91" s="73" t="e">
        <f t="shared" si="44"/>
        <v>#REF!</v>
      </c>
      <c r="M91" s="73" t="e">
        <f t="shared" si="45"/>
        <v>#REF!</v>
      </c>
      <c r="N91" s="70" t="s">
        <v>19</v>
      </c>
      <c r="O91" s="6"/>
      <c r="P91" s="6"/>
      <c r="Q91" s="6"/>
      <c r="R91" s="6"/>
      <c r="S91" s="6"/>
      <c r="T91" s="6"/>
      <c r="U91" s="6"/>
      <c r="V91" s="6"/>
      <c r="W91" s="6"/>
      <c r="X91" s="6"/>
      <c r="Y91" s="20"/>
      <c r="Z91" s="20"/>
      <c r="AA91" s="20"/>
    </row>
    <row r="92" spans="1:27" ht="15" hidden="1" customHeight="1">
      <c r="A92" s="34" t="s">
        <v>500</v>
      </c>
      <c r="B92" s="34" t="e">
        <f>#REF!</f>
        <v>#REF!</v>
      </c>
      <c r="C92" s="34" t="e">
        <f t="shared" si="42"/>
        <v>#REF!</v>
      </c>
      <c r="D92" s="140" t="e">
        <f>#REF!</f>
        <v>#REF!</v>
      </c>
      <c r="E92" s="139" t="e">
        <f>#REF!</f>
        <v>#REF!</v>
      </c>
      <c r="F92" s="34" t="e">
        <f t="shared" si="46"/>
        <v>#REF!</v>
      </c>
      <c r="G92" s="140" t="e">
        <f>#REF!</f>
        <v>#REF!</v>
      </c>
      <c r="H92" s="141" t="e">
        <f>#REF!</f>
        <v>#REF!</v>
      </c>
      <c r="I92" s="34" t="e">
        <f>H92+J92</f>
        <v>#REF!</v>
      </c>
      <c r="J92" s="140" t="e">
        <f>#REF!</f>
        <v>#REF!</v>
      </c>
      <c r="K92" s="72" t="e">
        <f t="shared" si="43"/>
        <v>#REF!</v>
      </c>
      <c r="L92" s="73" t="e">
        <f t="shared" si="44"/>
        <v>#REF!</v>
      </c>
      <c r="M92" s="73" t="e">
        <f t="shared" si="45"/>
        <v>#REF!</v>
      </c>
      <c r="N92" s="70" t="s">
        <v>19</v>
      </c>
      <c r="O92" s="6"/>
      <c r="P92" s="6"/>
      <c r="Q92" s="6"/>
      <c r="R92" s="6"/>
      <c r="S92" s="6"/>
      <c r="T92" s="6"/>
      <c r="U92" s="6"/>
      <c r="V92" s="6"/>
      <c r="W92" s="6"/>
      <c r="X92" s="6"/>
      <c r="Y92" s="20"/>
      <c r="Z92" s="20"/>
      <c r="AA92" s="20"/>
    </row>
    <row r="93" spans="1:27" ht="15" hidden="1" customHeight="1">
      <c r="A93" s="34" t="s">
        <v>215</v>
      </c>
      <c r="B93" s="34" t="e">
        <f>#REF!</f>
        <v>#REF!</v>
      </c>
      <c r="C93" s="34" t="e">
        <f t="shared" si="42"/>
        <v>#REF!</v>
      </c>
      <c r="D93" s="140" t="e">
        <f>#REF!</f>
        <v>#REF!</v>
      </c>
      <c r="E93" s="139" t="e">
        <f>#REF!</f>
        <v>#REF!</v>
      </c>
      <c r="F93" s="34" t="e">
        <f t="shared" si="46"/>
        <v>#REF!</v>
      </c>
      <c r="G93" s="140" t="e">
        <f>#REF!</f>
        <v>#REF!</v>
      </c>
      <c r="H93" s="141" t="e">
        <f>#REF!</f>
        <v>#REF!</v>
      </c>
      <c r="I93" s="34" t="e">
        <f>H93+J93</f>
        <v>#REF!</v>
      </c>
      <c r="J93" s="140" t="e">
        <f>#REF!</f>
        <v>#REF!</v>
      </c>
      <c r="K93" s="72" t="e">
        <f t="shared" si="43"/>
        <v>#REF!</v>
      </c>
      <c r="L93" s="73" t="e">
        <f t="shared" si="44"/>
        <v>#REF!</v>
      </c>
      <c r="M93" s="73" t="e">
        <f t="shared" si="45"/>
        <v>#REF!</v>
      </c>
      <c r="N93" s="70"/>
      <c r="O93" s="6"/>
      <c r="P93" s="6"/>
      <c r="Q93" s="6"/>
      <c r="R93" s="6"/>
      <c r="S93" s="6"/>
      <c r="T93" s="6"/>
      <c r="U93" s="6"/>
      <c r="V93" s="6"/>
      <c r="W93" s="6"/>
      <c r="X93" s="6"/>
      <c r="Y93" s="20"/>
      <c r="Z93" s="20"/>
      <c r="AA93" s="20"/>
    </row>
    <row r="94" spans="1:27" ht="15" hidden="1" customHeight="1">
      <c r="A94" s="34" t="s">
        <v>303</v>
      </c>
      <c r="B94" s="34" t="e">
        <f>#REF!</f>
        <v>#REF!</v>
      </c>
      <c r="C94" s="34" t="e">
        <f t="shared" si="42"/>
        <v>#REF!</v>
      </c>
      <c r="D94" s="140" t="e">
        <f>#REF!</f>
        <v>#REF!</v>
      </c>
      <c r="E94" s="139" t="e">
        <f>#REF!</f>
        <v>#REF!</v>
      </c>
      <c r="F94" s="34" t="e">
        <f t="shared" si="46"/>
        <v>#REF!</v>
      </c>
      <c r="G94" s="140" t="e">
        <f>#REF!</f>
        <v>#REF!</v>
      </c>
      <c r="H94" s="141" t="e">
        <f>#REF!</f>
        <v>#REF!</v>
      </c>
      <c r="I94" s="34" t="e">
        <f>H94+J94</f>
        <v>#REF!</v>
      </c>
      <c r="J94" s="140" t="e">
        <f>#REF!</f>
        <v>#REF!</v>
      </c>
      <c r="K94" s="72" t="e">
        <f t="shared" si="43"/>
        <v>#REF!</v>
      </c>
      <c r="L94" s="73" t="e">
        <f t="shared" si="44"/>
        <v>#REF!</v>
      </c>
      <c r="M94" s="73" t="e">
        <f t="shared" si="45"/>
        <v>#REF!</v>
      </c>
      <c r="N94" s="70"/>
      <c r="O94" s="6"/>
      <c r="P94" s="6"/>
      <c r="Q94" s="6"/>
      <c r="R94" s="6"/>
      <c r="S94" s="6"/>
      <c r="T94" s="6"/>
      <c r="U94" s="6"/>
      <c r="V94" s="6"/>
      <c r="W94" s="6"/>
      <c r="X94" s="6"/>
      <c r="Y94" s="20"/>
      <c r="Z94" s="20"/>
      <c r="AA94" s="20"/>
    </row>
    <row r="95" spans="1:27" ht="15" hidden="1" customHeight="1">
      <c r="A95" s="34" t="s">
        <v>299</v>
      </c>
      <c r="B95" s="34" t="e">
        <f>#REF!</f>
        <v>#REF!</v>
      </c>
      <c r="C95" s="34" t="e">
        <f t="shared" si="42"/>
        <v>#REF!</v>
      </c>
      <c r="D95" s="140" t="e">
        <f>#REF!</f>
        <v>#REF!</v>
      </c>
      <c r="E95" s="139" t="e">
        <f>#REF!</f>
        <v>#REF!</v>
      </c>
      <c r="F95" s="34" t="e">
        <f t="shared" si="46"/>
        <v>#REF!</v>
      </c>
      <c r="G95" s="140" t="e">
        <f>#REF!</f>
        <v>#REF!</v>
      </c>
      <c r="H95" s="141" t="e">
        <f>#REF!</f>
        <v>#REF!</v>
      </c>
      <c r="I95" s="34" t="e">
        <f>H95+J95</f>
        <v>#REF!</v>
      </c>
      <c r="J95" s="140" t="e">
        <f>#REF!</f>
        <v>#REF!</v>
      </c>
      <c r="K95" s="72" t="e">
        <f t="shared" si="43"/>
        <v>#REF!</v>
      </c>
      <c r="L95" s="73" t="e">
        <f t="shared" si="44"/>
        <v>#REF!</v>
      </c>
      <c r="M95" s="73" t="e">
        <f t="shared" si="45"/>
        <v>#REF!</v>
      </c>
      <c r="N95" s="70" t="s">
        <v>19</v>
      </c>
      <c r="O95" s="6"/>
      <c r="P95" s="6"/>
      <c r="Q95" s="6"/>
      <c r="R95" s="6"/>
      <c r="S95" s="6"/>
      <c r="T95" s="6"/>
      <c r="U95" s="6"/>
      <c r="V95" s="6"/>
      <c r="W95" s="6"/>
      <c r="X95" s="6"/>
      <c r="Y95" s="20"/>
      <c r="Z95" s="20"/>
      <c r="AA95" s="20"/>
    </row>
    <row r="96" spans="1:27" ht="15" hidden="1" customHeight="1">
      <c r="A96" s="34" t="s">
        <v>20</v>
      </c>
      <c r="B96" s="34" t="e">
        <f>#REF!</f>
        <v>#REF!</v>
      </c>
      <c r="C96" s="34" t="e">
        <f>B96+D96</f>
        <v>#REF!</v>
      </c>
      <c r="D96" s="140" t="e">
        <f>#REF!</f>
        <v>#REF!</v>
      </c>
      <c r="E96" s="139" t="e">
        <f>#REF!</f>
        <v>#REF!</v>
      </c>
      <c r="F96" s="34" t="e">
        <f t="shared" si="46"/>
        <v>#REF!</v>
      </c>
      <c r="G96" s="140" t="e">
        <f>#REF!</f>
        <v>#REF!</v>
      </c>
      <c r="H96" s="141" t="e">
        <f>#REF!</f>
        <v>#REF!</v>
      </c>
      <c r="I96" s="34" t="e">
        <f t="shared" ref="I96:I97" si="48">H96+J96</f>
        <v>#REF!</v>
      </c>
      <c r="J96" s="140" t="e">
        <f>#REF!</f>
        <v>#REF!</v>
      </c>
      <c r="K96" s="72" t="e">
        <f t="shared" si="43"/>
        <v>#REF!</v>
      </c>
      <c r="L96" s="73" t="e">
        <f t="shared" si="44"/>
        <v>#REF!</v>
      </c>
      <c r="M96" s="73" t="e">
        <f t="shared" si="45"/>
        <v>#REF!</v>
      </c>
      <c r="N96" s="70" t="s">
        <v>19</v>
      </c>
      <c r="O96" s="6"/>
      <c r="P96" s="6"/>
      <c r="Q96" s="6"/>
      <c r="R96" s="6"/>
      <c r="S96" s="6"/>
      <c r="T96" s="6"/>
      <c r="U96" s="6"/>
      <c r="V96" s="6"/>
      <c r="W96" s="6"/>
      <c r="X96" s="6"/>
      <c r="Y96" s="20"/>
      <c r="Z96" s="20"/>
      <c r="AA96" s="20"/>
    </row>
    <row r="97" spans="1:27" ht="15" hidden="1" customHeight="1">
      <c r="A97" s="34" t="s">
        <v>46</v>
      </c>
      <c r="B97" s="34" t="e">
        <f>#REF!</f>
        <v>#REF!</v>
      </c>
      <c r="C97" s="34" t="e">
        <f>B97+D97</f>
        <v>#REF!</v>
      </c>
      <c r="D97" s="140" t="e">
        <f>#REF!</f>
        <v>#REF!</v>
      </c>
      <c r="E97" s="139" t="e">
        <f>#REF!</f>
        <v>#REF!</v>
      </c>
      <c r="F97" s="34" t="e">
        <f t="shared" si="46"/>
        <v>#REF!</v>
      </c>
      <c r="G97" s="140" t="e">
        <f>#REF!</f>
        <v>#REF!</v>
      </c>
      <c r="H97" s="141" t="e">
        <f>#REF!</f>
        <v>#REF!</v>
      </c>
      <c r="I97" s="34" t="e">
        <f t="shared" si="48"/>
        <v>#REF!</v>
      </c>
      <c r="J97" s="140" t="e">
        <f>#REF!</f>
        <v>#REF!</v>
      </c>
      <c r="K97" s="72" t="e">
        <f t="shared" si="43"/>
        <v>#REF!</v>
      </c>
      <c r="L97" s="73" t="e">
        <f t="shared" si="44"/>
        <v>#REF!</v>
      </c>
      <c r="M97" s="73" t="e">
        <f t="shared" si="45"/>
        <v>#REF!</v>
      </c>
      <c r="O97" s="6"/>
      <c r="P97" s="6"/>
      <c r="Q97" s="6"/>
      <c r="R97" s="6"/>
      <c r="S97" s="6"/>
      <c r="T97" s="6"/>
      <c r="U97" s="6"/>
      <c r="V97" s="6"/>
      <c r="W97" s="6"/>
      <c r="X97" s="6"/>
      <c r="Y97" s="20"/>
      <c r="Z97" s="20"/>
      <c r="AA97" s="20"/>
    </row>
    <row r="98" spans="1:27" ht="17.25" hidden="1" customHeight="1">
      <c r="A98" s="90" t="s">
        <v>74</v>
      </c>
      <c r="B98" s="95" t="e">
        <f t="shared" ref="B98:H98" si="49">SUM(B82:B97)</f>
        <v>#REF!</v>
      </c>
      <c r="C98" s="95" t="e">
        <f t="shared" si="49"/>
        <v>#REF!</v>
      </c>
      <c r="D98" s="134" t="e">
        <f t="shared" si="49"/>
        <v>#REF!</v>
      </c>
      <c r="E98" s="135" t="e">
        <f t="shared" si="49"/>
        <v>#REF!</v>
      </c>
      <c r="F98" s="135" t="e">
        <f t="shared" si="49"/>
        <v>#REF!</v>
      </c>
      <c r="G98" s="135" t="e">
        <f t="shared" si="49"/>
        <v>#REF!</v>
      </c>
      <c r="H98" s="136" t="e">
        <f t="shared" si="49"/>
        <v>#REF!</v>
      </c>
      <c r="I98" s="136" t="e">
        <f>SUM(I82:I97)</f>
        <v>#REF!</v>
      </c>
      <c r="J98" s="136" t="e">
        <f t="shared" ref="J98:M98" si="50">SUM(J82:J97)</f>
        <v>#REF!</v>
      </c>
      <c r="K98" s="92" t="e">
        <f t="shared" si="50"/>
        <v>#REF!</v>
      </c>
      <c r="L98" s="92" t="e">
        <f t="shared" si="50"/>
        <v>#REF!</v>
      </c>
      <c r="M98" s="92" t="e">
        <f t="shared" si="50"/>
        <v>#REF!</v>
      </c>
      <c r="N98" s="128" t="e">
        <f>M98</f>
        <v>#REF!</v>
      </c>
      <c r="O98" s="6"/>
      <c r="P98" s="6"/>
      <c r="Q98" s="6"/>
      <c r="R98" s="6"/>
      <c r="S98" s="6"/>
      <c r="T98" s="6"/>
      <c r="U98" s="6"/>
      <c r="V98" s="6"/>
      <c r="W98" s="6"/>
      <c r="X98" s="6"/>
      <c r="Y98" s="20"/>
      <c r="Z98" s="20"/>
      <c r="AA98" s="20"/>
    </row>
    <row r="99" spans="1:27" ht="19.5" hidden="1" customHeight="1">
      <c r="A99" s="74"/>
      <c r="C99" s="75" t="s">
        <v>40</v>
      </c>
      <c r="D99" s="2"/>
      <c r="E99" s="171" t="e">
        <f>(M60+M79+M98)/1</f>
        <v>#REF!</v>
      </c>
      <c r="F99" s="171"/>
      <c r="G99" s="171"/>
      <c r="H99" s="2"/>
      <c r="I99" s="75" t="s">
        <v>70</v>
      </c>
      <c r="J99" s="2"/>
      <c r="K99" s="169">
        <f>483700/28</f>
        <v>17275</v>
      </c>
      <c r="L99" s="169"/>
      <c r="M99" s="170"/>
      <c r="O99" s="70" t="s">
        <v>19</v>
      </c>
      <c r="Q99" s="70" t="s">
        <v>19</v>
      </c>
    </row>
    <row r="100" spans="1:27" ht="18" customHeight="1">
      <c r="A100" s="71" t="s">
        <v>1460</v>
      </c>
      <c r="B100" s="172" t="s">
        <v>77</v>
      </c>
      <c r="C100" s="172"/>
      <c r="D100" s="173"/>
      <c r="E100" s="174" t="s">
        <v>78</v>
      </c>
      <c r="F100" s="175"/>
      <c r="G100" s="176"/>
      <c r="H100" s="177" t="s">
        <v>79</v>
      </c>
      <c r="I100" s="175"/>
      <c r="J100" s="176"/>
      <c r="K100" s="177" t="s">
        <v>80</v>
      </c>
      <c r="L100" s="175"/>
      <c r="M100" s="175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20"/>
      <c r="Z100" s="20"/>
      <c r="AA100" s="20"/>
    </row>
    <row r="101" spans="1:27" ht="15" customHeight="1">
      <c r="A101" s="34" t="s">
        <v>50</v>
      </c>
      <c r="B101" s="34" t="e">
        <f>#REF!</f>
        <v>#REF!</v>
      </c>
      <c r="C101" s="34" t="e">
        <f t="shared" ref="C101:C114" si="51">B101+D101</f>
        <v>#REF!</v>
      </c>
      <c r="D101" s="140" t="e">
        <f>#REF!</f>
        <v>#REF!</v>
      </c>
      <c r="E101" s="139" t="e">
        <f>#REF!</f>
        <v>#REF!</v>
      </c>
      <c r="F101" s="34" t="e">
        <f>E101+G101</f>
        <v>#REF!</v>
      </c>
      <c r="G101" s="140" t="e">
        <f>#REF!</f>
        <v>#REF!</v>
      </c>
      <c r="H101" s="141" t="e">
        <f>#REF!</f>
        <v>#REF!</v>
      </c>
      <c r="I101" s="34" t="e">
        <f>H101+J101</f>
        <v>#REF!</v>
      </c>
      <c r="J101" s="140" t="e">
        <f>#REF!</f>
        <v>#REF!</v>
      </c>
      <c r="K101" s="72" t="e">
        <f t="shared" ref="K101:K116" si="52">+B101+E101+H101</f>
        <v>#REF!</v>
      </c>
      <c r="L101" s="73" t="e">
        <f t="shared" ref="L101:L116" si="53">+C101+F101+I101</f>
        <v>#REF!</v>
      </c>
      <c r="M101" s="73" t="e">
        <f t="shared" ref="M101:M116" si="54">+D101+G101+J101</f>
        <v>#REF!</v>
      </c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20"/>
      <c r="Z101" s="20"/>
      <c r="AA101" s="20"/>
    </row>
    <row r="102" spans="1:27" ht="15" customHeight="1">
      <c r="A102" s="34" t="s">
        <v>51</v>
      </c>
      <c r="B102" s="34" t="e">
        <f>#REF!</f>
        <v>#REF!</v>
      </c>
      <c r="C102" s="34" t="e">
        <f t="shared" si="51"/>
        <v>#REF!</v>
      </c>
      <c r="D102" s="140" t="e">
        <f>#REF!</f>
        <v>#REF!</v>
      </c>
      <c r="E102" s="139" t="e">
        <f>#REF!</f>
        <v>#REF!</v>
      </c>
      <c r="F102" s="34" t="e">
        <f t="shared" ref="F102:F116" si="55">E102+G102</f>
        <v>#REF!</v>
      </c>
      <c r="G102" s="140" t="e">
        <f>#REF!</f>
        <v>#REF!</v>
      </c>
      <c r="H102" s="141" t="e">
        <f>#REF!</f>
        <v>#REF!</v>
      </c>
      <c r="I102" s="34" t="e">
        <f t="shared" ref="I102:I110" si="56">H102+J102</f>
        <v>#REF!</v>
      </c>
      <c r="J102" s="140" t="e">
        <f>#REF!</f>
        <v>#REF!</v>
      </c>
      <c r="K102" s="72" t="e">
        <f t="shared" si="52"/>
        <v>#REF!</v>
      </c>
      <c r="L102" s="73" t="e">
        <f t="shared" si="53"/>
        <v>#REF!</v>
      </c>
      <c r="M102" s="73" t="e">
        <f t="shared" si="54"/>
        <v>#REF!</v>
      </c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20"/>
      <c r="Z102" s="20"/>
      <c r="AA102" s="20"/>
    </row>
    <row r="103" spans="1:27" ht="15" customHeight="1">
      <c r="A103" s="1" t="s">
        <v>387</v>
      </c>
      <c r="B103" s="34" t="e">
        <f>#REF!</f>
        <v>#REF!</v>
      </c>
      <c r="C103" s="34" t="e">
        <f t="shared" si="51"/>
        <v>#REF!</v>
      </c>
      <c r="D103" s="140" t="e">
        <f>#REF!</f>
        <v>#REF!</v>
      </c>
      <c r="E103" s="139" t="e">
        <f>#REF!</f>
        <v>#REF!</v>
      </c>
      <c r="F103" s="34" t="e">
        <f t="shared" si="55"/>
        <v>#REF!</v>
      </c>
      <c r="G103" s="140" t="e">
        <f>#REF!</f>
        <v>#REF!</v>
      </c>
      <c r="H103" s="141" t="e">
        <f>#REF!</f>
        <v>#REF!</v>
      </c>
      <c r="I103" s="34" t="e">
        <f t="shared" si="56"/>
        <v>#REF!</v>
      </c>
      <c r="J103" s="140" t="e">
        <f>#REF!</f>
        <v>#REF!</v>
      </c>
      <c r="K103" s="72" t="e">
        <f t="shared" si="52"/>
        <v>#REF!</v>
      </c>
      <c r="L103" s="73" t="e">
        <f t="shared" si="53"/>
        <v>#REF!</v>
      </c>
      <c r="M103" s="73" t="e">
        <f t="shared" si="54"/>
        <v>#REF!</v>
      </c>
      <c r="O103" s="2"/>
      <c r="P103" s="6"/>
      <c r="Q103" s="6"/>
      <c r="R103" s="6"/>
      <c r="S103" s="6"/>
      <c r="T103" s="6"/>
      <c r="U103" s="6"/>
      <c r="V103" s="6"/>
      <c r="W103" s="6"/>
      <c r="X103" s="6"/>
      <c r="Y103" s="20"/>
      <c r="Z103" s="20"/>
      <c r="AA103" s="20"/>
    </row>
    <row r="104" spans="1:27" ht="15" customHeight="1">
      <c r="A104" s="1" t="s">
        <v>388</v>
      </c>
      <c r="B104" s="34" t="e">
        <f>#REF!</f>
        <v>#REF!</v>
      </c>
      <c r="C104" s="34" t="e">
        <f t="shared" si="51"/>
        <v>#REF!</v>
      </c>
      <c r="D104" s="140" t="e">
        <f>#REF!</f>
        <v>#REF!</v>
      </c>
      <c r="E104" s="139" t="e">
        <f>#REF!</f>
        <v>#REF!</v>
      </c>
      <c r="F104" s="34" t="e">
        <f t="shared" si="55"/>
        <v>#REF!</v>
      </c>
      <c r="G104" s="140" t="e">
        <f>#REF!</f>
        <v>#REF!</v>
      </c>
      <c r="H104" s="141" t="e">
        <f>#REF!</f>
        <v>#REF!</v>
      </c>
      <c r="I104" s="34" t="e">
        <f t="shared" si="56"/>
        <v>#REF!</v>
      </c>
      <c r="J104" s="140" t="e">
        <f>#REF!</f>
        <v>#REF!</v>
      </c>
      <c r="K104" s="72" t="e">
        <f t="shared" si="52"/>
        <v>#REF!</v>
      </c>
      <c r="L104" s="73" t="e">
        <f t="shared" si="53"/>
        <v>#REF!</v>
      </c>
      <c r="M104" s="73" t="e">
        <f t="shared" si="54"/>
        <v>#REF!</v>
      </c>
      <c r="O104" s="2"/>
      <c r="P104" s="6"/>
      <c r="Q104" s="6"/>
      <c r="R104" s="6"/>
      <c r="S104" s="6"/>
      <c r="T104" s="6"/>
      <c r="U104" s="6"/>
      <c r="V104" s="6"/>
      <c r="W104" s="6"/>
      <c r="X104" s="6"/>
      <c r="Y104" s="20"/>
      <c r="Z104" s="20"/>
      <c r="AA104" s="20"/>
    </row>
    <row r="105" spans="1:27" ht="15" hidden="1" customHeight="1">
      <c r="A105" s="34" t="s">
        <v>494</v>
      </c>
      <c r="B105" s="34" t="e">
        <f>#REF!</f>
        <v>#REF!</v>
      </c>
      <c r="C105" s="34" t="e">
        <f t="shared" si="51"/>
        <v>#REF!</v>
      </c>
      <c r="D105" s="140" t="e">
        <f>#REF!</f>
        <v>#REF!</v>
      </c>
      <c r="E105" s="139" t="e">
        <f>#REF!</f>
        <v>#REF!</v>
      </c>
      <c r="F105" s="34" t="e">
        <f t="shared" si="55"/>
        <v>#REF!</v>
      </c>
      <c r="G105" s="140" t="e">
        <f>#REF!</f>
        <v>#REF!</v>
      </c>
      <c r="H105" s="141" t="e">
        <f>#REF!</f>
        <v>#REF!</v>
      </c>
      <c r="I105" s="34" t="e">
        <f t="shared" si="56"/>
        <v>#REF!</v>
      </c>
      <c r="J105" s="140" t="e">
        <f>#REF!</f>
        <v>#REF!</v>
      </c>
      <c r="K105" s="72" t="e">
        <f t="shared" si="52"/>
        <v>#REF!</v>
      </c>
      <c r="L105" s="73" t="e">
        <f t="shared" si="53"/>
        <v>#REF!</v>
      </c>
      <c r="M105" s="73" t="e">
        <f t="shared" si="54"/>
        <v>#REF!</v>
      </c>
      <c r="O105" s="2"/>
      <c r="P105" s="6"/>
      <c r="Q105" s="6"/>
      <c r="R105" s="6"/>
      <c r="S105" s="6"/>
      <c r="T105" s="6"/>
      <c r="U105" s="6"/>
      <c r="V105" s="6"/>
      <c r="W105" s="6"/>
      <c r="X105" s="6"/>
      <c r="Y105" s="20"/>
      <c r="Z105" s="20"/>
      <c r="AA105" s="20"/>
    </row>
    <row r="106" spans="1:27" ht="15" hidden="1" customHeight="1">
      <c r="A106" s="34" t="s">
        <v>128</v>
      </c>
      <c r="B106" s="34" t="e">
        <f>#REF!</f>
        <v>#REF!</v>
      </c>
      <c r="C106" s="34" t="e">
        <f t="shared" si="51"/>
        <v>#REF!</v>
      </c>
      <c r="D106" s="140" t="e">
        <f>#REF!</f>
        <v>#REF!</v>
      </c>
      <c r="E106" s="139" t="e">
        <f>#REF!</f>
        <v>#REF!</v>
      </c>
      <c r="F106" s="34" t="e">
        <f t="shared" si="55"/>
        <v>#REF!</v>
      </c>
      <c r="G106" s="140" t="e">
        <f>#REF!</f>
        <v>#REF!</v>
      </c>
      <c r="H106" s="141" t="e">
        <f>#REF!</f>
        <v>#REF!</v>
      </c>
      <c r="I106" s="34" t="e">
        <f t="shared" si="56"/>
        <v>#REF!</v>
      </c>
      <c r="J106" s="140" t="e">
        <f>#REF!</f>
        <v>#REF!</v>
      </c>
      <c r="K106" s="72" t="e">
        <f t="shared" si="52"/>
        <v>#REF!</v>
      </c>
      <c r="L106" s="73" t="e">
        <f t="shared" si="53"/>
        <v>#REF!</v>
      </c>
      <c r="M106" s="73" t="e">
        <f t="shared" si="54"/>
        <v>#REF!</v>
      </c>
      <c r="O106" s="127"/>
      <c r="P106" s="20"/>
      <c r="Q106" s="20"/>
      <c r="R106" s="20"/>
      <c r="S106" s="20"/>
      <c r="T106" s="20"/>
      <c r="U106" s="20"/>
      <c r="V106" s="20"/>
      <c r="W106" s="20"/>
      <c r="X106" s="20"/>
      <c r="Y106" s="128"/>
      <c r="Z106" s="128"/>
      <c r="AA106" s="128"/>
    </row>
    <row r="107" spans="1:27" ht="15" customHeight="1">
      <c r="A107" s="34" t="s">
        <v>86</v>
      </c>
      <c r="B107" s="34" t="e">
        <f>#REF!</f>
        <v>#REF!</v>
      </c>
      <c r="C107" s="34" t="e">
        <f t="shared" si="51"/>
        <v>#REF!</v>
      </c>
      <c r="D107" s="140" t="e">
        <f>#REF!</f>
        <v>#REF!</v>
      </c>
      <c r="E107" s="139" t="e">
        <f>#REF!</f>
        <v>#REF!</v>
      </c>
      <c r="F107" s="34" t="e">
        <f t="shared" si="55"/>
        <v>#REF!</v>
      </c>
      <c r="G107" s="140" t="e">
        <f>#REF!</f>
        <v>#REF!</v>
      </c>
      <c r="H107" s="141" t="e">
        <f>#REF!</f>
        <v>#REF!</v>
      </c>
      <c r="I107" s="34" t="e">
        <f t="shared" si="56"/>
        <v>#REF!</v>
      </c>
      <c r="J107" s="140" t="e">
        <f>#REF!</f>
        <v>#REF!</v>
      </c>
      <c r="K107" s="72" t="e">
        <f t="shared" si="52"/>
        <v>#REF!</v>
      </c>
      <c r="L107" s="73" t="e">
        <f t="shared" si="53"/>
        <v>#REF!</v>
      </c>
      <c r="M107" s="73" t="e">
        <f t="shared" si="54"/>
        <v>#REF!</v>
      </c>
      <c r="N107" t="s">
        <v>19</v>
      </c>
      <c r="O107" s="2"/>
      <c r="Q107" s="75"/>
      <c r="R107" s="2"/>
      <c r="S107" s="125"/>
      <c r="T107" s="125"/>
      <c r="U107" s="125"/>
      <c r="V107" s="2"/>
      <c r="W107" s="75"/>
      <c r="X107" s="2"/>
      <c r="Y107" s="126"/>
      <c r="Z107" s="126"/>
      <c r="AA107" s="126"/>
    </row>
    <row r="108" spans="1:27" ht="15" hidden="1" customHeight="1">
      <c r="A108" s="34" t="s">
        <v>185</v>
      </c>
      <c r="B108" s="34" t="e">
        <f>#REF!</f>
        <v>#REF!</v>
      </c>
      <c r="C108" s="34" t="e">
        <f t="shared" si="51"/>
        <v>#REF!</v>
      </c>
      <c r="D108" s="140" t="e">
        <f>#REF!</f>
        <v>#REF!</v>
      </c>
      <c r="E108" s="139" t="e">
        <f>#REF!</f>
        <v>#REF!</v>
      </c>
      <c r="F108" s="34" t="e">
        <f t="shared" si="55"/>
        <v>#REF!</v>
      </c>
      <c r="G108" s="140" t="e">
        <f>#REF!</f>
        <v>#REF!</v>
      </c>
      <c r="H108" s="141" t="e">
        <f>#REF!</f>
        <v>#REF!</v>
      </c>
      <c r="I108" s="34" t="e">
        <f t="shared" si="56"/>
        <v>#REF!</v>
      </c>
      <c r="J108" s="140" t="e">
        <f>#REF!</f>
        <v>#REF!</v>
      </c>
      <c r="K108" s="72" t="e">
        <f t="shared" si="52"/>
        <v>#REF!</v>
      </c>
      <c r="L108" s="73" t="e">
        <f t="shared" si="53"/>
        <v>#REF!</v>
      </c>
      <c r="M108" s="73" t="e">
        <f t="shared" si="54"/>
        <v>#REF!</v>
      </c>
      <c r="N108" t="s">
        <v>19</v>
      </c>
      <c r="O108" s="121"/>
      <c r="P108" s="123"/>
      <c r="Q108" s="123"/>
      <c r="R108" s="123"/>
      <c r="S108" s="124"/>
      <c r="T108" s="124"/>
      <c r="U108" s="124"/>
      <c r="V108" s="124"/>
      <c r="W108" s="124"/>
      <c r="X108" s="124"/>
      <c r="Y108" s="124"/>
      <c r="Z108" s="124"/>
      <c r="AA108" s="124"/>
    </row>
    <row r="109" spans="1:27" ht="15" customHeight="1">
      <c r="A109" s="34" t="s">
        <v>85</v>
      </c>
      <c r="B109" s="34" t="e">
        <f>#REF!</f>
        <v>#REF!</v>
      </c>
      <c r="C109" s="34" t="e">
        <f t="shared" si="51"/>
        <v>#REF!</v>
      </c>
      <c r="D109" s="140" t="e">
        <f>#REF!</f>
        <v>#REF!</v>
      </c>
      <c r="E109" s="139" t="e">
        <f>#REF!</f>
        <v>#REF!</v>
      </c>
      <c r="F109" s="34" t="e">
        <f t="shared" si="55"/>
        <v>#REF!</v>
      </c>
      <c r="G109" s="140" t="e">
        <f>#REF!</f>
        <v>#REF!</v>
      </c>
      <c r="H109" s="141" t="e">
        <f>#REF!</f>
        <v>#REF!</v>
      </c>
      <c r="I109" s="34" t="e">
        <f t="shared" si="56"/>
        <v>#REF!</v>
      </c>
      <c r="J109" s="140" t="e">
        <f>#REF!</f>
        <v>#REF!</v>
      </c>
      <c r="K109" s="72" t="e">
        <f t="shared" si="52"/>
        <v>#REF!</v>
      </c>
      <c r="L109" s="73" t="e">
        <f t="shared" si="53"/>
        <v>#REF!</v>
      </c>
      <c r="M109" s="73" t="e">
        <f t="shared" si="54"/>
        <v>#REF!</v>
      </c>
      <c r="N109" s="70" t="s">
        <v>19</v>
      </c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20"/>
      <c r="Z109" s="20"/>
      <c r="AA109" s="20"/>
    </row>
    <row r="110" spans="1:27" ht="15" hidden="1" customHeight="1">
      <c r="A110" s="34" t="s">
        <v>186</v>
      </c>
      <c r="B110" s="34" t="e">
        <f>#REF!</f>
        <v>#REF!</v>
      </c>
      <c r="C110" s="34" t="e">
        <f t="shared" si="51"/>
        <v>#REF!</v>
      </c>
      <c r="D110" s="140" t="e">
        <f>#REF!</f>
        <v>#REF!</v>
      </c>
      <c r="E110" s="139" t="e">
        <f>#REF!</f>
        <v>#REF!</v>
      </c>
      <c r="F110" s="34" t="e">
        <f t="shared" si="55"/>
        <v>#REF!</v>
      </c>
      <c r="G110" s="140" t="e">
        <f>#REF!</f>
        <v>#REF!</v>
      </c>
      <c r="H110" s="141" t="e">
        <f>#REF!</f>
        <v>#REF!</v>
      </c>
      <c r="I110" s="34" t="e">
        <f t="shared" si="56"/>
        <v>#REF!</v>
      </c>
      <c r="J110" s="140" t="e">
        <f>#REF!</f>
        <v>#REF!</v>
      </c>
      <c r="K110" s="72" t="e">
        <f t="shared" si="52"/>
        <v>#REF!</v>
      </c>
      <c r="L110" s="73" t="e">
        <f t="shared" si="53"/>
        <v>#REF!</v>
      </c>
      <c r="M110" s="73" t="e">
        <f t="shared" si="54"/>
        <v>#REF!</v>
      </c>
      <c r="N110" s="70" t="s">
        <v>19</v>
      </c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20"/>
      <c r="Z110" s="20"/>
      <c r="AA110" s="20"/>
    </row>
    <row r="111" spans="1:27" ht="15" hidden="1" customHeight="1">
      <c r="A111" s="34" t="s">
        <v>500</v>
      </c>
      <c r="B111" s="34" t="e">
        <f>#REF!</f>
        <v>#REF!</v>
      </c>
      <c r="C111" s="34" t="e">
        <f t="shared" si="51"/>
        <v>#REF!</v>
      </c>
      <c r="D111" s="140" t="e">
        <f>#REF!</f>
        <v>#REF!</v>
      </c>
      <c r="E111" s="139" t="e">
        <f>#REF!</f>
        <v>#REF!</v>
      </c>
      <c r="F111" s="34" t="e">
        <f t="shared" si="55"/>
        <v>#REF!</v>
      </c>
      <c r="G111" s="140" t="e">
        <f>#REF!</f>
        <v>#REF!</v>
      </c>
      <c r="H111" s="141" t="e">
        <f>#REF!</f>
        <v>#REF!</v>
      </c>
      <c r="I111" s="34" t="e">
        <f>H111+J111</f>
        <v>#REF!</v>
      </c>
      <c r="J111" s="140" t="e">
        <f>#REF!</f>
        <v>#REF!</v>
      </c>
      <c r="K111" s="72" t="e">
        <f t="shared" si="52"/>
        <v>#REF!</v>
      </c>
      <c r="L111" s="73" t="e">
        <f t="shared" si="53"/>
        <v>#REF!</v>
      </c>
      <c r="M111" s="73" t="e">
        <f t="shared" si="54"/>
        <v>#REF!</v>
      </c>
      <c r="N111" s="70" t="s">
        <v>19</v>
      </c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20"/>
      <c r="Z111" s="20"/>
      <c r="AA111" s="20"/>
    </row>
    <row r="112" spans="1:27" ht="15" hidden="1" customHeight="1">
      <c r="A112" s="34" t="s">
        <v>215</v>
      </c>
      <c r="B112" s="34" t="e">
        <f>#REF!</f>
        <v>#REF!</v>
      </c>
      <c r="C112" s="34" t="e">
        <f t="shared" si="51"/>
        <v>#REF!</v>
      </c>
      <c r="D112" s="140" t="e">
        <f>#REF!</f>
        <v>#REF!</v>
      </c>
      <c r="E112" s="139" t="e">
        <f>#REF!</f>
        <v>#REF!</v>
      </c>
      <c r="F112" s="34" t="e">
        <f t="shared" si="55"/>
        <v>#REF!</v>
      </c>
      <c r="G112" s="140" t="e">
        <f>#REF!</f>
        <v>#REF!</v>
      </c>
      <c r="H112" s="141" t="e">
        <f>#REF!</f>
        <v>#REF!</v>
      </c>
      <c r="I112" s="34" t="e">
        <f>H112+J112</f>
        <v>#REF!</v>
      </c>
      <c r="J112" s="140" t="e">
        <f>#REF!</f>
        <v>#REF!</v>
      </c>
      <c r="K112" s="72" t="e">
        <f t="shared" si="52"/>
        <v>#REF!</v>
      </c>
      <c r="L112" s="73" t="e">
        <f t="shared" si="53"/>
        <v>#REF!</v>
      </c>
      <c r="M112" s="73" t="e">
        <f t="shared" si="54"/>
        <v>#REF!</v>
      </c>
      <c r="N112" s="70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20"/>
      <c r="Z112" s="20"/>
      <c r="AA112" s="20"/>
    </row>
    <row r="113" spans="1:27" ht="15" hidden="1" customHeight="1">
      <c r="A113" s="34" t="s">
        <v>303</v>
      </c>
      <c r="B113" s="34" t="e">
        <f>#REF!</f>
        <v>#REF!</v>
      </c>
      <c r="C113" s="34" t="e">
        <f t="shared" si="51"/>
        <v>#REF!</v>
      </c>
      <c r="D113" s="140" t="e">
        <f>#REF!</f>
        <v>#REF!</v>
      </c>
      <c r="E113" s="139" t="e">
        <f>#REF!</f>
        <v>#REF!</v>
      </c>
      <c r="F113" s="34" t="e">
        <f t="shared" si="55"/>
        <v>#REF!</v>
      </c>
      <c r="G113" s="140" t="e">
        <f>#REF!</f>
        <v>#REF!</v>
      </c>
      <c r="H113" s="141" t="e">
        <f>#REF!</f>
        <v>#REF!</v>
      </c>
      <c r="I113" s="34" t="e">
        <f>H113+J113</f>
        <v>#REF!</v>
      </c>
      <c r="J113" s="140" t="e">
        <f>#REF!</f>
        <v>#REF!</v>
      </c>
      <c r="K113" s="72" t="e">
        <f t="shared" si="52"/>
        <v>#REF!</v>
      </c>
      <c r="L113" s="73" t="e">
        <f t="shared" si="53"/>
        <v>#REF!</v>
      </c>
      <c r="M113" s="73" t="e">
        <f t="shared" si="54"/>
        <v>#REF!</v>
      </c>
      <c r="N113" s="70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20"/>
      <c r="Z113" s="20"/>
      <c r="AA113" s="20"/>
    </row>
    <row r="114" spans="1:27" ht="15" hidden="1" customHeight="1">
      <c r="A114" s="34" t="s">
        <v>299</v>
      </c>
      <c r="B114" s="34" t="e">
        <f>#REF!</f>
        <v>#REF!</v>
      </c>
      <c r="C114" s="34" t="e">
        <f t="shared" si="51"/>
        <v>#REF!</v>
      </c>
      <c r="D114" s="140" t="e">
        <f>#REF!</f>
        <v>#REF!</v>
      </c>
      <c r="E114" s="139" t="e">
        <f>#REF!</f>
        <v>#REF!</v>
      </c>
      <c r="F114" s="34" t="e">
        <f t="shared" si="55"/>
        <v>#REF!</v>
      </c>
      <c r="G114" s="140" t="e">
        <f>#REF!</f>
        <v>#REF!</v>
      </c>
      <c r="H114" s="141" t="e">
        <f>#REF!</f>
        <v>#REF!</v>
      </c>
      <c r="I114" s="34" t="e">
        <f>H114+J114</f>
        <v>#REF!</v>
      </c>
      <c r="J114" s="140" t="e">
        <f>#REF!</f>
        <v>#REF!</v>
      </c>
      <c r="K114" s="72" t="e">
        <f t="shared" si="52"/>
        <v>#REF!</v>
      </c>
      <c r="L114" s="73" t="e">
        <f t="shared" si="53"/>
        <v>#REF!</v>
      </c>
      <c r="M114" s="73" t="e">
        <f t="shared" si="54"/>
        <v>#REF!</v>
      </c>
      <c r="N114" s="70" t="s">
        <v>19</v>
      </c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20"/>
      <c r="Z114" s="20"/>
      <c r="AA114" s="20"/>
    </row>
    <row r="115" spans="1:27" ht="15" customHeight="1">
      <c r="A115" s="34" t="s">
        <v>20</v>
      </c>
      <c r="B115" s="34" t="e">
        <f>#REF!</f>
        <v>#REF!</v>
      </c>
      <c r="C115" s="34" t="e">
        <f>B115+D115</f>
        <v>#REF!</v>
      </c>
      <c r="D115" s="140" t="e">
        <f>#REF!</f>
        <v>#REF!</v>
      </c>
      <c r="E115" s="139" t="e">
        <f>#REF!</f>
        <v>#REF!</v>
      </c>
      <c r="F115" s="34" t="e">
        <f t="shared" si="55"/>
        <v>#REF!</v>
      </c>
      <c r="G115" s="140" t="e">
        <f>#REF!</f>
        <v>#REF!</v>
      </c>
      <c r="H115" s="141" t="e">
        <f>#REF!</f>
        <v>#REF!</v>
      </c>
      <c r="I115" s="34" t="e">
        <f t="shared" ref="I115:I116" si="57">H115+J115</f>
        <v>#REF!</v>
      </c>
      <c r="J115" s="140" t="e">
        <f>#REF!</f>
        <v>#REF!</v>
      </c>
      <c r="K115" s="72" t="e">
        <f t="shared" si="52"/>
        <v>#REF!</v>
      </c>
      <c r="L115" s="73" t="e">
        <f t="shared" si="53"/>
        <v>#REF!</v>
      </c>
      <c r="M115" s="73" t="e">
        <f t="shared" si="54"/>
        <v>#REF!</v>
      </c>
      <c r="N115" s="70" t="s">
        <v>19</v>
      </c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20"/>
      <c r="Z115" s="20"/>
      <c r="AA115" s="20"/>
    </row>
    <row r="116" spans="1:27" ht="15" customHeight="1">
      <c r="A116" s="34" t="s">
        <v>46</v>
      </c>
      <c r="B116" s="34" t="e">
        <f>#REF!</f>
        <v>#REF!</v>
      </c>
      <c r="C116" s="34" t="e">
        <f>B116+D116</f>
        <v>#REF!</v>
      </c>
      <c r="D116" s="140" t="e">
        <f>#REF!</f>
        <v>#REF!</v>
      </c>
      <c r="E116" s="139" t="e">
        <f>#REF!</f>
        <v>#REF!</v>
      </c>
      <c r="F116" s="34" t="e">
        <f t="shared" si="55"/>
        <v>#REF!</v>
      </c>
      <c r="G116" s="140" t="e">
        <f>#REF!</f>
        <v>#REF!</v>
      </c>
      <c r="H116" s="141" t="e">
        <f>#REF!</f>
        <v>#REF!</v>
      </c>
      <c r="I116" s="34" t="e">
        <f t="shared" si="57"/>
        <v>#REF!</v>
      </c>
      <c r="J116" s="140" t="e">
        <f>#REF!</f>
        <v>#REF!</v>
      </c>
      <c r="K116" s="72" t="e">
        <f t="shared" si="52"/>
        <v>#REF!</v>
      </c>
      <c r="L116" s="73" t="e">
        <f t="shared" si="53"/>
        <v>#REF!</v>
      </c>
      <c r="M116" s="73" t="e">
        <f t="shared" si="54"/>
        <v>#REF!</v>
      </c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20"/>
      <c r="Z116" s="20"/>
      <c r="AA116" s="20"/>
    </row>
    <row r="117" spans="1:27" ht="17.25" customHeight="1">
      <c r="A117" s="90" t="s">
        <v>74</v>
      </c>
      <c r="B117" s="95" t="e">
        <f t="shared" ref="B117:H117" si="58">SUM(B101:B116)</f>
        <v>#REF!</v>
      </c>
      <c r="C117" s="95" t="e">
        <f t="shared" si="58"/>
        <v>#REF!</v>
      </c>
      <c r="D117" s="134" t="e">
        <f t="shared" si="58"/>
        <v>#REF!</v>
      </c>
      <c r="E117" s="135" t="e">
        <f t="shared" si="58"/>
        <v>#REF!</v>
      </c>
      <c r="F117" s="135" t="e">
        <f t="shared" si="58"/>
        <v>#REF!</v>
      </c>
      <c r="G117" s="135" t="e">
        <f t="shared" si="58"/>
        <v>#REF!</v>
      </c>
      <c r="H117" s="136" t="e">
        <f t="shared" si="58"/>
        <v>#REF!</v>
      </c>
      <c r="I117" s="136" t="e">
        <f>SUM(I101:I116)</f>
        <v>#REF!</v>
      </c>
      <c r="J117" s="136" t="e">
        <f t="shared" ref="J117:M117" si="59">SUM(J101:J116)</f>
        <v>#REF!</v>
      </c>
      <c r="K117" s="92" t="e">
        <f t="shared" si="59"/>
        <v>#REF!</v>
      </c>
      <c r="L117" s="92" t="e">
        <f t="shared" si="59"/>
        <v>#REF!</v>
      </c>
      <c r="M117" s="92" t="e">
        <f t="shared" si="59"/>
        <v>#REF!</v>
      </c>
      <c r="N117" s="128" t="e">
        <f>M117</f>
        <v>#REF!</v>
      </c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20"/>
      <c r="Z117" s="20"/>
      <c r="AA117" s="20"/>
    </row>
    <row r="118" spans="1:27" ht="19.5" hidden="1" customHeight="1">
      <c r="A118" s="74"/>
      <c r="C118" s="75" t="s">
        <v>40</v>
      </c>
      <c r="D118" s="2"/>
      <c r="E118" s="171" t="e">
        <f>(M79+M98+M117)/1</f>
        <v>#REF!</v>
      </c>
      <c r="F118" s="171"/>
      <c r="G118" s="171"/>
      <c r="H118" s="2"/>
      <c r="I118" s="75" t="s">
        <v>70</v>
      </c>
      <c r="J118" s="2"/>
      <c r="K118" s="169">
        <f>430566/25</f>
        <v>17222.64</v>
      </c>
      <c r="L118" s="169"/>
      <c r="M118" s="170"/>
      <c r="O118" s="70" t="s">
        <v>19</v>
      </c>
      <c r="Q118" s="70" t="s">
        <v>19</v>
      </c>
    </row>
    <row r="119" spans="1:27" ht="18" customHeight="1">
      <c r="A119" s="71" t="s">
        <v>2143</v>
      </c>
      <c r="B119" s="172" t="s">
        <v>77</v>
      </c>
      <c r="C119" s="172"/>
      <c r="D119" s="173"/>
      <c r="E119" s="174" t="s">
        <v>78</v>
      </c>
      <c r="F119" s="175"/>
      <c r="G119" s="176"/>
      <c r="H119" s="177" t="s">
        <v>79</v>
      </c>
      <c r="I119" s="175"/>
      <c r="J119" s="176"/>
      <c r="K119" s="177" t="s">
        <v>80</v>
      </c>
      <c r="L119" s="175"/>
      <c r="M119" s="175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20"/>
      <c r="Z119" s="20"/>
      <c r="AA119" s="20"/>
    </row>
    <row r="120" spans="1:27" ht="15" customHeight="1">
      <c r="A120" s="34" t="s">
        <v>50</v>
      </c>
      <c r="B120" s="34">
        <f>'September''26'!CX2</f>
        <v>19222</v>
      </c>
      <c r="C120" s="34">
        <f t="shared" ref="C120:C133" si="60">B120+D120</f>
        <v>7901</v>
      </c>
      <c r="D120" s="140">
        <f>'September''26'!CY2</f>
        <v>-11321</v>
      </c>
      <c r="E120" s="139">
        <f>'September''26'!DF2</f>
        <v>3780</v>
      </c>
      <c r="F120" s="34">
        <f>E120+G120</f>
        <v>545</v>
      </c>
      <c r="G120" s="140">
        <f>'September''26'!DG2</f>
        <v>-3235</v>
      </c>
      <c r="H120" s="141">
        <f>'September''26'!DN2</f>
        <v>23773</v>
      </c>
      <c r="I120" s="34">
        <f>H120+J120</f>
        <v>0</v>
      </c>
      <c r="J120" s="140">
        <f>'September''26'!DO2</f>
        <v>-23773</v>
      </c>
      <c r="K120" s="72">
        <f t="shared" ref="K120:K135" si="61">+B120+E120+H120</f>
        <v>46775</v>
      </c>
      <c r="L120" s="73">
        <f t="shared" ref="L120:L135" si="62">+C120+F120+I120</f>
        <v>8446</v>
      </c>
      <c r="M120" s="73">
        <f t="shared" ref="M120:M135" si="63">+D120+G120+J120</f>
        <v>-38329</v>
      </c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20"/>
      <c r="Z120" s="20"/>
      <c r="AA120" s="20"/>
    </row>
    <row r="121" spans="1:27" ht="15" customHeight="1">
      <c r="A121" s="34" t="s">
        <v>51</v>
      </c>
      <c r="B121" s="34">
        <f>'September''26'!CX3</f>
        <v>26775</v>
      </c>
      <c r="C121" s="34">
        <f t="shared" si="60"/>
        <v>15039</v>
      </c>
      <c r="D121" s="140">
        <f>'September''26'!CY3</f>
        <v>-11736</v>
      </c>
      <c r="E121" s="139">
        <f>'September''26'!DF3</f>
        <v>29669</v>
      </c>
      <c r="F121" s="34">
        <f t="shared" ref="F121:F135" si="64">E121+G121</f>
        <v>1547</v>
      </c>
      <c r="G121" s="140">
        <f>'September''26'!DG3</f>
        <v>-28122</v>
      </c>
      <c r="H121" s="141">
        <f>'September''26'!DN3</f>
        <v>45342</v>
      </c>
      <c r="I121" s="34">
        <f t="shared" ref="I121:I129" si="65">H121+J121</f>
        <v>0</v>
      </c>
      <c r="J121" s="140">
        <f>'September''26'!DO3</f>
        <v>-45342</v>
      </c>
      <c r="K121" s="72">
        <f t="shared" si="61"/>
        <v>101786</v>
      </c>
      <c r="L121" s="73">
        <f t="shared" si="62"/>
        <v>16586</v>
      </c>
      <c r="M121" s="73">
        <f t="shared" si="63"/>
        <v>-85200</v>
      </c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20"/>
      <c r="Z121" s="20"/>
      <c r="AA121" s="20"/>
    </row>
    <row r="122" spans="1:27" ht="15" customHeight="1">
      <c r="A122" s="1" t="s">
        <v>387</v>
      </c>
      <c r="B122" s="34">
        <f>'September''26'!CX4</f>
        <v>78932</v>
      </c>
      <c r="C122" s="34">
        <f t="shared" si="60"/>
        <v>24560</v>
      </c>
      <c r="D122" s="140">
        <f>'September''26'!CY4</f>
        <v>-54372</v>
      </c>
      <c r="E122" s="139">
        <f>'September''26'!DF4</f>
        <v>24006</v>
      </c>
      <c r="F122" s="34">
        <f t="shared" si="64"/>
        <v>7647</v>
      </c>
      <c r="G122" s="140">
        <f>'September''26'!DG4</f>
        <v>-16359</v>
      </c>
      <c r="H122" s="141">
        <f>'September''26'!DN4</f>
        <v>9394</v>
      </c>
      <c r="I122" s="34">
        <f t="shared" si="65"/>
        <v>1563</v>
      </c>
      <c r="J122" s="140">
        <f>'September''26'!DO4</f>
        <v>-7831</v>
      </c>
      <c r="K122" s="72">
        <f t="shared" si="61"/>
        <v>112332</v>
      </c>
      <c r="L122" s="73">
        <f t="shared" si="62"/>
        <v>33770</v>
      </c>
      <c r="M122" s="73">
        <f t="shared" si="63"/>
        <v>-78562</v>
      </c>
      <c r="O122" s="2"/>
      <c r="P122" s="6"/>
      <c r="Q122" s="6"/>
      <c r="R122" s="6"/>
      <c r="S122" s="6"/>
      <c r="T122" s="6"/>
      <c r="U122" s="6"/>
      <c r="V122" s="6"/>
      <c r="W122" s="6"/>
      <c r="X122" s="6"/>
      <c r="Y122" s="20"/>
      <c r="Z122" s="20"/>
      <c r="AA122" s="20"/>
    </row>
    <row r="123" spans="1:27" ht="15" customHeight="1">
      <c r="A123" s="1" t="s">
        <v>388</v>
      </c>
      <c r="B123" s="34">
        <f>'September''26'!CX5</f>
        <v>40418</v>
      </c>
      <c r="C123" s="34">
        <f t="shared" si="60"/>
        <v>15288</v>
      </c>
      <c r="D123" s="140">
        <f>'September''26'!CY5</f>
        <v>-25130</v>
      </c>
      <c r="E123" s="139">
        <f>'September''26'!DF5</f>
        <v>31025</v>
      </c>
      <c r="F123" s="34">
        <f t="shared" si="64"/>
        <v>7071</v>
      </c>
      <c r="G123" s="140">
        <f>'September''26'!DG5</f>
        <v>-23954</v>
      </c>
      <c r="H123" s="141">
        <f>'September''26'!DN5</f>
        <v>19082</v>
      </c>
      <c r="I123" s="34">
        <f t="shared" si="65"/>
        <v>1921</v>
      </c>
      <c r="J123" s="140">
        <f>'September''26'!DO5</f>
        <v>-17161</v>
      </c>
      <c r="K123" s="72">
        <f t="shared" si="61"/>
        <v>90525</v>
      </c>
      <c r="L123" s="73">
        <f t="shared" si="62"/>
        <v>24280</v>
      </c>
      <c r="M123" s="73">
        <f t="shared" si="63"/>
        <v>-66245</v>
      </c>
      <c r="O123" s="2"/>
      <c r="P123" s="6"/>
      <c r="Q123" s="6"/>
      <c r="R123" s="6"/>
      <c r="S123" s="6"/>
      <c r="T123" s="6"/>
      <c r="U123" s="6"/>
      <c r="V123" s="6"/>
      <c r="W123" s="6"/>
      <c r="X123" s="6"/>
      <c r="Y123" s="20"/>
      <c r="Z123" s="20"/>
      <c r="AA123" s="20"/>
    </row>
    <row r="124" spans="1:27" ht="15" hidden="1" customHeight="1">
      <c r="A124" s="34" t="s">
        <v>494</v>
      </c>
      <c r="B124" s="34">
        <f>'September''26'!CX6</f>
        <v>0</v>
      </c>
      <c r="C124" s="34">
        <f t="shared" si="60"/>
        <v>0</v>
      </c>
      <c r="D124" s="140">
        <f>'September''26'!CY6</f>
        <v>0</v>
      </c>
      <c r="E124" s="139">
        <f>'September''26'!DF6</f>
        <v>0</v>
      </c>
      <c r="F124" s="34">
        <f t="shared" si="64"/>
        <v>0</v>
      </c>
      <c r="G124" s="140">
        <f>'September''26'!DG6</f>
        <v>0</v>
      </c>
      <c r="H124" s="141">
        <f>'September''26'!DN6</f>
        <v>0</v>
      </c>
      <c r="I124" s="34">
        <f t="shared" si="65"/>
        <v>0</v>
      </c>
      <c r="J124" s="140">
        <f>'September''26'!DO6</f>
        <v>0</v>
      </c>
      <c r="K124" s="72">
        <f t="shared" si="61"/>
        <v>0</v>
      </c>
      <c r="L124" s="73">
        <f t="shared" si="62"/>
        <v>0</v>
      </c>
      <c r="M124" s="73">
        <f t="shared" si="63"/>
        <v>0</v>
      </c>
      <c r="O124" s="2"/>
      <c r="P124" s="6"/>
      <c r="Q124" s="6"/>
      <c r="R124" s="6"/>
      <c r="S124" s="6"/>
      <c r="T124" s="6"/>
      <c r="U124" s="6"/>
      <c r="V124" s="6"/>
      <c r="W124" s="6"/>
      <c r="X124" s="6"/>
      <c r="Y124" s="20"/>
      <c r="Z124" s="20"/>
      <c r="AA124" s="20"/>
    </row>
    <row r="125" spans="1:27" ht="15" hidden="1" customHeight="1">
      <c r="A125" s="34" t="s">
        <v>128</v>
      </c>
      <c r="B125" s="34">
        <f>'September''26'!DB2</f>
        <v>0</v>
      </c>
      <c r="C125" s="34">
        <f t="shared" si="60"/>
        <v>0</v>
      </c>
      <c r="D125" s="140">
        <f>'September''26'!DC2</f>
        <v>0</v>
      </c>
      <c r="E125" s="139">
        <f>'September''26'!DJ2</f>
        <v>0</v>
      </c>
      <c r="F125" s="34">
        <f t="shared" si="64"/>
        <v>0</v>
      </c>
      <c r="G125" s="140">
        <f>'September''26'!DK2</f>
        <v>0</v>
      </c>
      <c r="H125" s="141">
        <f>'September''26'!DR2</f>
        <v>0</v>
      </c>
      <c r="I125" s="34">
        <f t="shared" si="65"/>
        <v>0</v>
      </c>
      <c r="J125" s="140">
        <f>'September''26'!DS2</f>
        <v>0</v>
      </c>
      <c r="K125" s="72">
        <f t="shared" si="61"/>
        <v>0</v>
      </c>
      <c r="L125" s="73">
        <f t="shared" si="62"/>
        <v>0</v>
      </c>
      <c r="M125" s="73">
        <f t="shared" si="63"/>
        <v>0</v>
      </c>
      <c r="O125" s="127"/>
      <c r="P125" s="20"/>
      <c r="Q125" s="20"/>
      <c r="R125" s="20"/>
      <c r="S125" s="20"/>
      <c r="T125" s="20"/>
      <c r="U125" s="20"/>
      <c r="V125" s="20"/>
      <c r="W125" s="20"/>
      <c r="X125" s="20"/>
      <c r="Y125" s="128"/>
      <c r="Z125" s="128"/>
      <c r="AA125" s="128"/>
    </row>
    <row r="126" spans="1:27" ht="15" customHeight="1">
      <c r="A126" s="34" t="s">
        <v>86</v>
      </c>
      <c r="B126" s="34">
        <f>'September''26'!DB3</f>
        <v>0</v>
      </c>
      <c r="C126" s="34">
        <f t="shared" si="60"/>
        <v>0</v>
      </c>
      <c r="D126" s="140">
        <f>'September''26'!DC3</f>
        <v>0</v>
      </c>
      <c r="E126" s="139">
        <f>'September''26'!DJ3</f>
        <v>21345</v>
      </c>
      <c r="F126" s="34">
        <f t="shared" si="64"/>
        <v>0</v>
      </c>
      <c r="G126" s="140">
        <f>'September''26'!DK3</f>
        <v>-21345</v>
      </c>
      <c r="H126" s="141">
        <f>'September''26'!DR3</f>
        <v>25250</v>
      </c>
      <c r="I126" s="34">
        <f t="shared" si="65"/>
        <v>0</v>
      </c>
      <c r="J126" s="140">
        <f>'September''26'!DS3</f>
        <v>-25250</v>
      </c>
      <c r="K126" s="72">
        <f t="shared" si="61"/>
        <v>46595</v>
      </c>
      <c r="L126" s="73">
        <f t="shared" si="62"/>
        <v>0</v>
      </c>
      <c r="M126" s="73">
        <f t="shared" si="63"/>
        <v>-46595</v>
      </c>
      <c r="N126" t="s">
        <v>19</v>
      </c>
      <c r="O126" s="2"/>
      <c r="Q126" s="75"/>
      <c r="R126" s="2"/>
      <c r="S126" s="125"/>
      <c r="T126" s="125"/>
      <c r="U126" s="125"/>
      <c r="V126" s="2"/>
      <c r="W126" s="75"/>
      <c r="X126" s="2"/>
      <c r="Y126" s="126"/>
      <c r="Z126" s="126"/>
      <c r="AA126" s="126"/>
    </row>
    <row r="127" spans="1:27" ht="15" customHeight="1">
      <c r="A127" s="34" t="s">
        <v>185</v>
      </c>
      <c r="B127" s="34">
        <f>'September''26'!DB4</f>
        <v>0</v>
      </c>
      <c r="C127" s="34">
        <f t="shared" si="60"/>
        <v>0</v>
      </c>
      <c r="D127" s="140">
        <f>'September''26'!DC4</f>
        <v>0</v>
      </c>
      <c r="E127" s="139">
        <f>'September''26'!DJ4</f>
        <v>0</v>
      </c>
      <c r="F127" s="34">
        <f t="shared" si="64"/>
        <v>0</v>
      </c>
      <c r="G127" s="140">
        <f>'September''26'!DK4</f>
        <v>0</v>
      </c>
      <c r="H127" s="141">
        <f>'September''26'!DR4</f>
        <v>3263</v>
      </c>
      <c r="I127" s="34">
        <f t="shared" si="65"/>
        <v>0</v>
      </c>
      <c r="J127" s="140">
        <f>'September''26'!DS4</f>
        <v>-3263</v>
      </c>
      <c r="K127" s="72">
        <f t="shared" si="61"/>
        <v>3263</v>
      </c>
      <c r="L127" s="73">
        <f t="shared" si="62"/>
        <v>0</v>
      </c>
      <c r="M127" s="73">
        <f t="shared" si="63"/>
        <v>-3263</v>
      </c>
      <c r="N127" t="s">
        <v>19</v>
      </c>
      <c r="O127" s="121"/>
      <c r="P127" s="123"/>
      <c r="Q127" s="123"/>
      <c r="R127" s="123"/>
      <c r="S127" s="124"/>
      <c r="T127" s="124"/>
      <c r="U127" s="124"/>
      <c r="V127" s="124"/>
      <c r="W127" s="124"/>
      <c r="X127" s="124"/>
      <c r="Y127" s="124"/>
      <c r="Z127" s="124"/>
      <c r="AA127" s="124"/>
    </row>
    <row r="128" spans="1:27" ht="15" customHeight="1">
      <c r="A128" s="34" t="s">
        <v>85</v>
      </c>
      <c r="B128" s="34">
        <f>'September''26'!DB5</f>
        <v>17417</v>
      </c>
      <c r="C128" s="34">
        <f t="shared" si="60"/>
        <v>621</v>
      </c>
      <c r="D128" s="140">
        <f>'September''26'!DC5</f>
        <v>-16796</v>
      </c>
      <c r="E128" s="139">
        <f>'September''26'!DJ5</f>
        <v>15488</v>
      </c>
      <c r="F128" s="34">
        <f t="shared" si="64"/>
        <v>0</v>
      </c>
      <c r="G128" s="140">
        <f>'September''26'!DK5</f>
        <v>-15488</v>
      </c>
      <c r="H128" s="141">
        <f>'September''26'!DR5</f>
        <v>9144</v>
      </c>
      <c r="I128" s="34">
        <f t="shared" si="65"/>
        <v>0</v>
      </c>
      <c r="J128" s="140">
        <f>'September''26'!DS5</f>
        <v>-9144</v>
      </c>
      <c r="K128" s="72">
        <f t="shared" si="61"/>
        <v>42049</v>
      </c>
      <c r="L128" s="73">
        <f t="shared" si="62"/>
        <v>621</v>
      </c>
      <c r="M128" s="73">
        <f t="shared" si="63"/>
        <v>-41428</v>
      </c>
      <c r="N128" s="70" t="s">
        <v>19</v>
      </c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20"/>
      <c r="Z128" s="20"/>
      <c r="AA128" s="20"/>
    </row>
    <row r="129" spans="1:27" ht="15" hidden="1" customHeight="1">
      <c r="A129" s="34" t="s">
        <v>186</v>
      </c>
      <c r="B129" s="34">
        <f>'September''26'!DB6</f>
        <v>0</v>
      </c>
      <c r="C129" s="34">
        <f t="shared" si="60"/>
        <v>0</v>
      </c>
      <c r="D129" s="140">
        <f>'September''26'!DC6</f>
        <v>0</v>
      </c>
      <c r="E129" s="139">
        <f>'September''26'!DJ6</f>
        <v>0</v>
      </c>
      <c r="F129" s="34">
        <f t="shared" si="64"/>
        <v>0</v>
      </c>
      <c r="G129" s="140">
        <f>'September''26'!DK6</f>
        <v>0</v>
      </c>
      <c r="H129" s="141">
        <f>'September''26'!DR6</f>
        <v>0</v>
      </c>
      <c r="I129" s="34">
        <f t="shared" si="65"/>
        <v>0</v>
      </c>
      <c r="J129" s="140">
        <f>'September''26'!DS6</f>
        <v>0</v>
      </c>
      <c r="K129" s="72">
        <f t="shared" si="61"/>
        <v>0</v>
      </c>
      <c r="L129" s="73">
        <f t="shared" si="62"/>
        <v>0</v>
      </c>
      <c r="M129" s="73">
        <f t="shared" si="63"/>
        <v>0</v>
      </c>
      <c r="N129" s="70" t="s">
        <v>19</v>
      </c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20"/>
      <c r="Z129" s="20"/>
      <c r="AA129" s="20"/>
    </row>
    <row r="130" spans="1:27" ht="15" hidden="1" customHeight="1">
      <c r="A130" s="34" t="s">
        <v>500</v>
      </c>
      <c r="B130" s="34">
        <f>'September''26'!DV2</f>
        <v>0</v>
      </c>
      <c r="C130" s="34">
        <f t="shared" si="60"/>
        <v>0</v>
      </c>
      <c r="D130" s="140">
        <f>'September''26'!DW2</f>
        <v>0</v>
      </c>
      <c r="E130" s="139">
        <f>'September''26'!ED2</f>
        <v>0</v>
      </c>
      <c r="F130" s="34">
        <f t="shared" si="64"/>
        <v>0</v>
      </c>
      <c r="G130" s="140">
        <f>'September''26'!EE2</f>
        <v>0</v>
      </c>
      <c r="H130" s="141">
        <f>'September''26'!EL2</f>
        <v>0</v>
      </c>
      <c r="I130" s="34">
        <f>H130+J130</f>
        <v>0</v>
      </c>
      <c r="J130" s="140">
        <f>'September''26'!EM2</f>
        <v>0</v>
      </c>
      <c r="K130" s="72">
        <f t="shared" si="61"/>
        <v>0</v>
      </c>
      <c r="L130" s="73">
        <f t="shared" si="62"/>
        <v>0</v>
      </c>
      <c r="M130" s="73">
        <f t="shared" si="63"/>
        <v>0</v>
      </c>
      <c r="N130" s="70" t="s">
        <v>19</v>
      </c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20"/>
      <c r="Z130" s="20"/>
      <c r="AA130" s="20"/>
    </row>
    <row r="131" spans="1:27" ht="15" hidden="1" customHeight="1">
      <c r="A131" s="34" t="s">
        <v>215</v>
      </c>
      <c r="B131" s="34">
        <f>'September''26'!DV3</f>
        <v>0</v>
      </c>
      <c r="C131" s="34">
        <f t="shared" si="60"/>
        <v>0</v>
      </c>
      <c r="D131" s="140">
        <f>'September''26'!DW3</f>
        <v>0</v>
      </c>
      <c r="E131" s="139">
        <f>'September''26'!ED3</f>
        <v>0</v>
      </c>
      <c r="F131" s="34">
        <f t="shared" si="64"/>
        <v>0</v>
      </c>
      <c r="G131" s="140">
        <f>'September''26'!EE3</f>
        <v>0</v>
      </c>
      <c r="H131" s="141">
        <f>'September''26'!EL3</f>
        <v>0</v>
      </c>
      <c r="I131" s="34">
        <f>H131+J131</f>
        <v>0</v>
      </c>
      <c r="J131" s="140">
        <f>'September''26'!EM3</f>
        <v>0</v>
      </c>
      <c r="K131" s="72">
        <f t="shared" si="61"/>
        <v>0</v>
      </c>
      <c r="L131" s="73">
        <f t="shared" si="62"/>
        <v>0</v>
      </c>
      <c r="M131" s="73">
        <f t="shared" si="63"/>
        <v>0</v>
      </c>
      <c r="N131" s="70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20"/>
      <c r="Z131" s="20"/>
      <c r="AA131" s="20"/>
    </row>
    <row r="132" spans="1:27" ht="15" customHeight="1">
      <c r="A132" s="34" t="s">
        <v>303</v>
      </c>
      <c r="B132" s="34">
        <f>'September''26'!DV4</f>
        <v>0</v>
      </c>
      <c r="C132" s="34">
        <f t="shared" si="60"/>
        <v>0</v>
      </c>
      <c r="D132" s="140">
        <f>'September''26'!DW4</f>
        <v>0</v>
      </c>
      <c r="E132" s="139">
        <f>'September''26'!ED4</f>
        <v>7655</v>
      </c>
      <c r="F132" s="34">
        <f t="shared" si="64"/>
        <v>0</v>
      </c>
      <c r="G132" s="140">
        <f>'September''26'!EE4</f>
        <v>-7655</v>
      </c>
      <c r="H132" s="141">
        <f>'September''26'!EL4</f>
        <v>7877</v>
      </c>
      <c r="I132" s="34">
        <f>H132+J132</f>
        <v>0</v>
      </c>
      <c r="J132" s="140">
        <f>'September''26'!EM4</f>
        <v>-7877</v>
      </c>
      <c r="K132" s="72">
        <f t="shared" si="61"/>
        <v>15532</v>
      </c>
      <c r="L132" s="73">
        <f t="shared" si="62"/>
        <v>0</v>
      </c>
      <c r="M132" s="73">
        <f t="shared" si="63"/>
        <v>-15532</v>
      </c>
      <c r="N132" s="70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20"/>
      <c r="Z132" s="20"/>
      <c r="AA132" s="20"/>
    </row>
    <row r="133" spans="1:27" ht="15" hidden="1" customHeight="1">
      <c r="A133" s="34" t="s">
        <v>299</v>
      </c>
      <c r="B133" s="34">
        <f>'September''26'!DV5</f>
        <v>0</v>
      </c>
      <c r="C133" s="34">
        <f t="shared" si="60"/>
        <v>0</v>
      </c>
      <c r="D133" s="140">
        <f>'September''26'!DW5</f>
        <v>0</v>
      </c>
      <c r="E133" s="139">
        <f>'September''26'!ED5</f>
        <v>0</v>
      </c>
      <c r="F133" s="34">
        <f t="shared" si="64"/>
        <v>0</v>
      </c>
      <c r="G133" s="140">
        <f>'September''26'!EE5</f>
        <v>0</v>
      </c>
      <c r="H133" s="141">
        <f>'September''26'!EL5</f>
        <v>0</v>
      </c>
      <c r="I133" s="34">
        <f>H133+J133</f>
        <v>0</v>
      </c>
      <c r="J133" s="140">
        <f>'September''26'!EM5</f>
        <v>0</v>
      </c>
      <c r="K133" s="72">
        <f t="shared" si="61"/>
        <v>0</v>
      </c>
      <c r="L133" s="73">
        <f t="shared" si="62"/>
        <v>0</v>
      </c>
      <c r="M133" s="73">
        <f t="shared" si="63"/>
        <v>0</v>
      </c>
      <c r="N133" s="70" t="s">
        <v>19</v>
      </c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20"/>
      <c r="Z133" s="20"/>
      <c r="AA133" s="20"/>
    </row>
    <row r="134" spans="1:27" ht="15" customHeight="1">
      <c r="A134" s="34" t="s">
        <v>20</v>
      </c>
      <c r="B134" s="34">
        <f>'September''26'!DV6</f>
        <v>38034</v>
      </c>
      <c r="C134" s="34">
        <f>B134+D134</f>
        <v>26458</v>
      </c>
      <c r="D134" s="140">
        <f>'September''26'!DW6</f>
        <v>-11576</v>
      </c>
      <c r="E134" s="139">
        <f>'September''26'!ED6</f>
        <v>8241</v>
      </c>
      <c r="F134" s="34">
        <f t="shared" si="64"/>
        <v>4130</v>
      </c>
      <c r="G134" s="140">
        <f>'September''26'!EE6</f>
        <v>-4111</v>
      </c>
      <c r="H134" s="141">
        <f>'September''26'!EL6</f>
        <v>3183</v>
      </c>
      <c r="I134" s="34">
        <f t="shared" ref="I134:I135" si="66">H134+J134</f>
        <v>0</v>
      </c>
      <c r="J134" s="140">
        <f>'September''26'!EM6</f>
        <v>-3183</v>
      </c>
      <c r="K134" s="72">
        <f t="shared" si="61"/>
        <v>49458</v>
      </c>
      <c r="L134" s="73">
        <f t="shared" si="62"/>
        <v>30588</v>
      </c>
      <c r="M134" s="73">
        <f t="shared" si="63"/>
        <v>-18870</v>
      </c>
      <c r="N134" s="70" t="s">
        <v>19</v>
      </c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20"/>
      <c r="Z134" s="20"/>
      <c r="AA134" s="20"/>
    </row>
    <row r="135" spans="1:27" ht="15" customHeight="1">
      <c r="A135" s="34" t="s">
        <v>46</v>
      </c>
      <c r="B135" s="34">
        <f>'September''26'!DZ2</f>
        <v>77770</v>
      </c>
      <c r="C135" s="34">
        <f>B135+D135</f>
        <v>33320</v>
      </c>
      <c r="D135" s="140">
        <f>'September''26'!EA2</f>
        <v>-44450</v>
      </c>
      <c r="E135" s="139">
        <f>'September''26'!EH2</f>
        <v>54975</v>
      </c>
      <c r="F135" s="34">
        <f t="shared" si="64"/>
        <v>11737</v>
      </c>
      <c r="G135" s="140">
        <f>'September''26'!EI2</f>
        <v>-43238</v>
      </c>
      <c r="H135" s="141">
        <f>'September''26'!EP2</f>
        <v>19754</v>
      </c>
      <c r="I135" s="34">
        <f t="shared" si="66"/>
        <v>3094</v>
      </c>
      <c r="J135" s="140">
        <f>'September''26'!EQ2</f>
        <v>-16660</v>
      </c>
      <c r="K135" s="72">
        <f t="shared" si="61"/>
        <v>152499</v>
      </c>
      <c r="L135" s="73">
        <f t="shared" si="62"/>
        <v>48151</v>
      </c>
      <c r="M135" s="73">
        <f t="shared" si="63"/>
        <v>-104348</v>
      </c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20"/>
      <c r="Z135" s="20"/>
      <c r="AA135" s="20"/>
    </row>
    <row r="136" spans="1:27" ht="17.25" customHeight="1">
      <c r="A136" s="90" t="s">
        <v>74</v>
      </c>
      <c r="B136" s="95">
        <f t="shared" ref="B136:H136" si="67">SUM(B120:B135)</f>
        <v>298568</v>
      </c>
      <c r="C136" s="95">
        <f t="shared" si="67"/>
        <v>123187</v>
      </c>
      <c r="D136" s="134">
        <f t="shared" si="67"/>
        <v>-175381</v>
      </c>
      <c r="E136" s="135">
        <f t="shared" si="67"/>
        <v>196184</v>
      </c>
      <c r="F136" s="135">
        <f t="shared" si="67"/>
        <v>32677</v>
      </c>
      <c r="G136" s="135">
        <f t="shared" si="67"/>
        <v>-163507</v>
      </c>
      <c r="H136" s="136">
        <f t="shared" si="67"/>
        <v>166062</v>
      </c>
      <c r="I136" s="136">
        <f>SUM(I120:I135)</f>
        <v>6578</v>
      </c>
      <c r="J136" s="136">
        <f t="shared" ref="J136:M136" si="68">SUM(J120:J135)</f>
        <v>-159484</v>
      </c>
      <c r="K136" s="92">
        <f t="shared" si="68"/>
        <v>660814</v>
      </c>
      <c r="L136" s="92">
        <f t="shared" si="68"/>
        <v>162442</v>
      </c>
      <c r="M136" s="92">
        <f t="shared" si="68"/>
        <v>-498372</v>
      </c>
      <c r="N136" s="128">
        <v>-76653</v>
      </c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20"/>
      <c r="Z136" s="20"/>
      <c r="AA136" s="20"/>
    </row>
    <row r="137" spans="1:27" ht="19.5" customHeight="1">
      <c r="A137" s="74"/>
      <c r="C137" s="75" t="s">
        <v>40</v>
      </c>
      <c r="D137" s="2"/>
      <c r="E137" s="171" t="e">
        <f>(M98+M117+M136)/11</f>
        <v>#REF!</v>
      </c>
      <c r="F137" s="171"/>
      <c r="G137" s="171"/>
      <c r="H137" s="2"/>
      <c r="I137" s="75" t="s">
        <v>70</v>
      </c>
      <c r="J137" s="2"/>
      <c r="K137" s="169">
        <f>269637/15</f>
        <v>17975.8</v>
      </c>
      <c r="L137" s="169"/>
      <c r="M137" s="170"/>
      <c r="O137" s="70" t="s">
        <v>19</v>
      </c>
      <c r="Q137" s="70" t="s">
        <v>19</v>
      </c>
    </row>
    <row r="138" spans="1:27" ht="18" customHeight="1">
      <c r="A138" s="71" t="s">
        <v>2819</v>
      </c>
      <c r="B138" s="172" t="s">
        <v>77</v>
      </c>
      <c r="C138" s="172"/>
      <c r="D138" s="173"/>
      <c r="E138" s="174" t="s">
        <v>78</v>
      </c>
      <c r="F138" s="175"/>
      <c r="G138" s="176"/>
      <c r="H138" s="177" t="s">
        <v>79</v>
      </c>
      <c r="I138" s="175"/>
      <c r="J138" s="176"/>
      <c r="K138" s="177" t="s">
        <v>80</v>
      </c>
      <c r="L138" s="175"/>
      <c r="M138" s="175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20"/>
      <c r="Z138" s="20"/>
      <c r="AA138" s="20"/>
    </row>
    <row r="139" spans="1:27" ht="15" customHeight="1">
      <c r="A139" s="34" t="s">
        <v>50</v>
      </c>
      <c r="B139" s="34" t="e">
        <f>#REF!</f>
        <v>#REF!</v>
      </c>
      <c r="C139" s="34" t="e">
        <f t="shared" ref="C139:C152" si="69">B139+D139</f>
        <v>#REF!</v>
      </c>
      <c r="D139" s="140" t="e">
        <f>#REF!</f>
        <v>#REF!</v>
      </c>
      <c r="E139" s="139" t="e">
        <f>#REF!</f>
        <v>#REF!</v>
      </c>
      <c r="F139" s="34" t="e">
        <f>E139+G139</f>
        <v>#REF!</v>
      </c>
      <c r="G139" s="140" t="e">
        <f>#REF!</f>
        <v>#REF!</v>
      </c>
      <c r="H139" s="141" t="e">
        <f>#REF!</f>
        <v>#REF!</v>
      </c>
      <c r="I139" s="34" t="e">
        <f>H139+J139</f>
        <v>#REF!</v>
      </c>
      <c r="J139" s="140" t="e">
        <f>#REF!</f>
        <v>#REF!</v>
      </c>
      <c r="K139" s="72" t="e">
        <f t="shared" ref="K139:K154" si="70">+B139+E139+H139</f>
        <v>#REF!</v>
      </c>
      <c r="L139" s="73" t="e">
        <f t="shared" ref="L139:L154" si="71">+C139+F139+I139</f>
        <v>#REF!</v>
      </c>
      <c r="M139" s="73" t="e">
        <f t="shared" ref="M139:M154" si="72">+D139+G139+J139</f>
        <v>#REF!</v>
      </c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20"/>
      <c r="Z139" s="20"/>
      <c r="AA139" s="20"/>
    </row>
    <row r="140" spans="1:27" ht="15" customHeight="1">
      <c r="A140" s="34" t="s">
        <v>51</v>
      </c>
      <c r="B140" s="34" t="e">
        <f>#REF!</f>
        <v>#REF!</v>
      </c>
      <c r="C140" s="34" t="e">
        <f t="shared" si="69"/>
        <v>#REF!</v>
      </c>
      <c r="D140" s="140" t="e">
        <f>#REF!</f>
        <v>#REF!</v>
      </c>
      <c r="E140" s="139" t="e">
        <f>#REF!</f>
        <v>#REF!</v>
      </c>
      <c r="F140" s="34" t="e">
        <f t="shared" ref="F140:F154" si="73">E140+G140</f>
        <v>#REF!</v>
      </c>
      <c r="G140" s="140" t="e">
        <f>#REF!</f>
        <v>#REF!</v>
      </c>
      <c r="H140" s="141" t="e">
        <f>#REF!</f>
        <v>#REF!</v>
      </c>
      <c r="I140" s="34" t="e">
        <f t="shared" ref="I140:I148" si="74">H140+J140</f>
        <v>#REF!</v>
      </c>
      <c r="J140" s="140" t="e">
        <f>#REF!</f>
        <v>#REF!</v>
      </c>
      <c r="K140" s="72" t="e">
        <f t="shared" si="70"/>
        <v>#REF!</v>
      </c>
      <c r="L140" s="73" t="e">
        <f t="shared" si="71"/>
        <v>#REF!</v>
      </c>
      <c r="M140" s="73" t="e">
        <f t="shared" si="72"/>
        <v>#REF!</v>
      </c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20"/>
      <c r="Z140" s="20"/>
      <c r="AA140" s="20"/>
    </row>
    <row r="141" spans="1:27" ht="15" customHeight="1">
      <c r="A141" s="1" t="s">
        <v>387</v>
      </c>
      <c r="B141" s="34" t="e">
        <f>#REF!</f>
        <v>#REF!</v>
      </c>
      <c r="C141" s="34" t="e">
        <f t="shared" si="69"/>
        <v>#REF!</v>
      </c>
      <c r="D141" s="140" t="e">
        <f>#REF!</f>
        <v>#REF!</v>
      </c>
      <c r="E141" s="139" t="e">
        <f>#REF!</f>
        <v>#REF!</v>
      </c>
      <c r="F141" s="34" t="e">
        <f t="shared" si="73"/>
        <v>#REF!</v>
      </c>
      <c r="G141" s="140" t="e">
        <f>#REF!</f>
        <v>#REF!</v>
      </c>
      <c r="H141" s="141" t="e">
        <f>#REF!</f>
        <v>#REF!</v>
      </c>
      <c r="I141" s="34" t="e">
        <f t="shared" si="74"/>
        <v>#REF!</v>
      </c>
      <c r="J141" s="140" t="e">
        <f>#REF!</f>
        <v>#REF!</v>
      </c>
      <c r="K141" s="72" t="e">
        <f t="shared" si="70"/>
        <v>#REF!</v>
      </c>
      <c r="L141" s="73" t="e">
        <f t="shared" si="71"/>
        <v>#REF!</v>
      </c>
      <c r="M141" s="73" t="e">
        <f t="shared" si="72"/>
        <v>#REF!</v>
      </c>
      <c r="O141" s="2"/>
      <c r="P141" s="6"/>
      <c r="Q141" s="6"/>
      <c r="R141" s="6"/>
      <c r="S141" s="6"/>
      <c r="T141" s="6"/>
      <c r="U141" s="6"/>
      <c r="V141" s="6"/>
      <c r="W141" s="6"/>
      <c r="X141" s="6"/>
      <c r="Y141" s="20"/>
      <c r="Z141" s="20"/>
      <c r="AA141" s="20"/>
    </row>
    <row r="142" spans="1:27" ht="15" customHeight="1">
      <c r="A142" s="1" t="s">
        <v>388</v>
      </c>
      <c r="B142" s="34" t="e">
        <f>#REF!</f>
        <v>#REF!</v>
      </c>
      <c r="C142" s="34" t="e">
        <f t="shared" si="69"/>
        <v>#REF!</v>
      </c>
      <c r="D142" s="140" t="e">
        <f>#REF!</f>
        <v>#REF!</v>
      </c>
      <c r="E142" s="139" t="e">
        <f>#REF!</f>
        <v>#REF!</v>
      </c>
      <c r="F142" s="34" t="e">
        <f t="shared" si="73"/>
        <v>#REF!</v>
      </c>
      <c r="G142" s="140" t="e">
        <f>#REF!</f>
        <v>#REF!</v>
      </c>
      <c r="H142" s="141" t="e">
        <f>#REF!</f>
        <v>#REF!</v>
      </c>
      <c r="I142" s="34" t="e">
        <f t="shared" si="74"/>
        <v>#REF!</v>
      </c>
      <c r="J142" s="140" t="e">
        <f>#REF!</f>
        <v>#REF!</v>
      </c>
      <c r="K142" s="72" t="e">
        <f t="shared" si="70"/>
        <v>#REF!</v>
      </c>
      <c r="L142" s="73" t="e">
        <f t="shared" si="71"/>
        <v>#REF!</v>
      </c>
      <c r="M142" s="73" t="e">
        <f t="shared" si="72"/>
        <v>#REF!</v>
      </c>
      <c r="O142" s="2"/>
      <c r="P142" s="6"/>
      <c r="Q142" s="6"/>
      <c r="R142" s="6"/>
      <c r="S142" s="6"/>
      <c r="T142" s="6"/>
      <c r="U142" s="6"/>
      <c r="V142" s="6"/>
      <c r="W142" s="6"/>
      <c r="X142" s="6"/>
      <c r="Y142" s="20"/>
      <c r="Z142" s="20"/>
      <c r="AA142" s="20"/>
    </row>
    <row r="143" spans="1:27" ht="15" hidden="1" customHeight="1">
      <c r="A143" s="34" t="s">
        <v>494</v>
      </c>
      <c r="B143" s="34" t="e">
        <f>#REF!</f>
        <v>#REF!</v>
      </c>
      <c r="C143" s="34" t="e">
        <f t="shared" si="69"/>
        <v>#REF!</v>
      </c>
      <c r="D143" s="140" t="e">
        <f>#REF!</f>
        <v>#REF!</v>
      </c>
      <c r="E143" s="139" t="e">
        <f>#REF!</f>
        <v>#REF!</v>
      </c>
      <c r="F143" s="34" t="e">
        <f t="shared" si="73"/>
        <v>#REF!</v>
      </c>
      <c r="G143" s="140" t="e">
        <f>#REF!</f>
        <v>#REF!</v>
      </c>
      <c r="H143" s="141" t="e">
        <f>#REF!</f>
        <v>#REF!</v>
      </c>
      <c r="I143" s="34" t="e">
        <f t="shared" si="74"/>
        <v>#REF!</v>
      </c>
      <c r="J143" s="140" t="e">
        <f>#REF!</f>
        <v>#REF!</v>
      </c>
      <c r="K143" s="72" t="e">
        <f t="shared" si="70"/>
        <v>#REF!</v>
      </c>
      <c r="L143" s="73" t="e">
        <f t="shared" si="71"/>
        <v>#REF!</v>
      </c>
      <c r="M143" s="73" t="e">
        <f t="shared" si="72"/>
        <v>#REF!</v>
      </c>
      <c r="O143" s="2"/>
      <c r="P143" s="6"/>
      <c r="Q143" s="6"/>
      <c r="R143" s="6"/>
      <c r="S143" s="6"/>
      <c r="T143" s="6"/>
      <c r="U143" s="6"/>
      <c r="V143" s="6"/>
      <c r="W143" s="6"/>
      <c r="X143" s="6"/>
      <c r="Y143" s="20"/>
      <c r="Z143" s="20"/>
      <c r="AA143" s="20"/>
    </row>
    <row r="144" spans="1:27" ht="15" customHeight="1">
      <c r="A144" s="34" t="s">
        <v>128</v>
      </c>
      <c r="B144" s="34" t="e">
        <f>#REF!</f>
        <v>#REF!</v>
      </c>
      <c r="C144" s="34" t="e">
        <f t="shared" si="69"/>
        <v>#REF!</v>
      </c>
      <c r="D144" s="140" t="e">
        <f>#REF!</f>
        <v>#REF!</v>
      </c>
      <c r="E144" s="139" t="e">
        <f>#REF!</f>
        <v>#REF!</v>
      </c>
      <c r="F144" s="34" t="e">
        <f t="shared" si="73"/>
        <v>#REF!</v>
      </c>
      <c r="G144" s="140" t="e">
        <f>#REF!</f>
        <v>#REF!</v>
      </c>
      <c r="H144" s="141" t="e">
        <f>#REF!</f>
        <v>#REF!</v>
      </c>
      <c r="I144" s="34" t="e">
        <f t="shared" si="74"/>
        <v>#REF!</v>
      </c>
      <c r="J144" s="140" t="e">
        <f>#REF!</f>
        <v>#REF!</v>
      </c>
      <c r="K144" s="72" t="e">
        <f t="shared" si="70"/>
        <v>#REF!</v>
      </c>
      <c r="L144" s="73" t="e">
        <f t="shared" si="71"/>
        <v>#REF!</v>
      </c>
      <c r="M144" s="73" t="e">
        <f t="shared" si="72"/>
        <v>#REF!</v>
      </c>
      <c r="O144" s="127"/>
      <c r="P144" s="20"/>
      <c r="Q144" s="20"/>
      <c r="R144" s="20"/>
      <c r="S144" s="20"/>
      <c r="T144" s="20"/>
      <c r="U144" s="20"/>
      <c r="V144" s="20"/>
      <c r="W144" s="20"/>
      <c r="X144" s="20"/>
      <c r="Y144" s="128"/>
      <c r="Z144" s="128"/>
      <c r="AA144" s="128"/>
    </row>
    <row r="145" spans="1:27" ht="15" customHeight="1">
      <c r="A145" s="34" t="s">
        <v>86</v>
      </c>
      <c r="B145" s="34" t="e">
        <f>#REF!</f>
        <v>#REF!</v>
      </c>
      <c r="C145" s="34" t="e">
        <f t="shared" si="69"/>
        <v>#REF!</v>
      </c>
      <c r="D145" s="140" t="e">
        <f>#REF!</f>
        <v>#REF!</v>
      </c>
      <c r="E145" s="139" t="e">
        <f>#REF!</f>
        <v>#REF!</v>
      </c>
      <c r="F145" s="34" t="e">
        <f t="shared" si="73"/>
        <v>#REF!</v>
      </c>
      <c r="G145" s="140" t="e">
        <f>#REF!</f>
        <v>#REF!</v>
      </c>
      <c r="H145" s="141" t="e">
        <f>#REF!</f>
        <v>#REF!</v>
      </c>
      <c r="I145" s="34" t="e">
        <f t="shared" si="74"/>
        <v>#REF!</v>
      </c>
      <c r="J145" s="140" t="e">
        <f>#REF!</f>
        <v>#REF!</v>
      </c>
      <c r="K145" s="72" t="e">
        <f t="shared" si="70"/>
        <v>#REF!</v>
      </c>
      <c r="L145" s="73" t="e">
        <f t="shared" si="71"/>
        <v>#REF!</v>
      </c>
      <c r="M145" s="73" t="e">
        <f t="shared" si="72"/>
        <v>#REF!</v>
      </c>
      <c r="N145" t="s">
        <v>19</v>
      </c>
      <c r="O145" s="2"/>
      <c r="Q145" s="75"/>
      <c r="R145" s="2"/>
      <c r="S145" s="125"/>
      <c r="T145" s="125"/>
      <c r="U145" s="125"/>
      <c r="V145" s="2"/>
      <c r="W145" s="75"/>
      <c r="X145" s="2"/>
      <c r="Y145" s="126"/>
      <c r="Z145" s="126"/>
      <c r="AA145" s="126"/>
    </row>
    <row r="146" spans="1:27" ht="15" hidden="1" customHeight="1">
      <c r="A146" s="34" t="s">
        <v>185</v>
      </c>
      <c r="B146" s="34" t="e">
        <f>#REF!</f>
        <v>#REF!</v>
      </c>
      <c r="C146" s="34" t="e">
        <f t="shared" si="69"/>
        <v>#REF!</v>
      </c>
      <c r="D146" s="140" t="e">
        <f>#REF!</f>
        <v>#REF!</v>
      </c>
      <c r="E146" s="139" t="e">
        <f>#REF!</f>
        <v>#REF!</v>
      </c>
      <c r="F146" s="34" t="e">
        <f t="shared" si="73"/>
        <v>#REF!</v>
      </c>
      <c r="G146" s="140" t="e">
        <f>#REF!</f>
        <v>#REF!</v>
      </c>
      <c r="H146" s="141" t="e">
        <f>#REF!</f>
        <v>#REF!</v>
      </c>
      <c r="I146" s="34" t="e">
        <f t="shared" si="74"/>
        <v>#REF!</v>
      </c>
      <c r="J146" s="140" t="e">
        <f>#REF!</f>
        <v>#REF!</v>
      </c>
      <c r="K146" s="72" t="e">
        <f t="shared" si="70"/>
        <v>#REF!</v>
      </c>
      <c r="L146" s="73" t="e">
        <f t="shared" si="71"/>
        <v>#REF!</v>
      </c>
      <c r="M146" s="73" t="e">
        <f t="shared" si="72"/>
        <v>#REF!</v>
      </c>
      <c r="N146" t="s">
        <v>19</v>
      </c>
      <c r="O146" s="121"/>
      <c r="P146" s="123"/>
      <c r="Q146" s="123"/>
      <c r="R146" s="123"/>
      <c r="S146" s="124"/>
      <c r="T146" s="124"/>
      <c r="U146" s="124"/>
      <c r="V146" s="124"/>
      <c r="W146" s="124"/>
      <c r="X146" s="124"/>
      <c r="Y146" s="124"/>
      <c r="Z146" s="124"/>
      <c r="AA146" s="124"/>
    </row>
    <row r="147" spans="1:27" ht="15" customHeight="1">
      <c r="A147" s="34" t="s">
        <v>85</v>
      </c>
      <c r="B147" s="34" t="e">
        <f>#REF!</f>
        <v>#REF!</v>
      </c>
      <c r="C147" s="34" t="e">
        <f t="shared" si="69"/>
        <v>#REF!</v>
      </c>
      <c r="D147" s="140" t="e">
        <f>#REF!</f>
        <v>#REF!</v>
      </c>
      <c r="E147" s="139" t="e">
        <f>#REF!</f>
        <v>#REF!</v>
      </c>
      <c r="F147" s="34" t="e">
        <f t="shared" si="73"/>
        <v>#REF!</v>
      </c>
      <c r="G147" s="140" t="e">
        <f>#REF!</f>
        <v>#REF!</v>
      </c>
      <c r="H147" s="141" t="e">
        <f>#REF!</f>
        <v>#REF!</v>
      </c>
      <c r="I147" s="34" t="e">
        <f t="shared" si="74"/>
        <v>#REF!</v>
      </c>
      <c r="J147" s="140" t="e">
        <f>#REF!</f>
        <v>#REF!</v>
      </c>
      <c r="K147" s="72" t="e">
        <f t="shared" si="70"/>
        <v>#REF!</v>
      </c>
      <c r="L147" s="73" t="e">
        <f t="shared" si="71"/>
        <v>#REF!</v>
      </c>
      <c r="M147" s="73" t="e">
        <f t="shared" si="72"/>
        <v>#REF!</v>
      </c>
      <c r="N147" s="70" t="s">
        <v>19</v>
      </c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20"/>
      <c r="Z147" s="20"/>
      <c r="AA147" s="20"/>
    </row>
    <row r="148" spans="1:27" ht="15" hidden="1" customHeight="1">
      <c r="A148" s="34" t="s">
        <v>186</v>
      </c>
      <c r="B148" s="34" t="e">
        <f>#REF!</f>
        <v>#REF!</v>
      </c>
      <c r="C148" s="34" t="e">
        <f t="shared" si="69"/>
        <v>#REF!</v>
      </c>
      <c r="D148" s="140" t="e">
        <f>#REF!</f>
        <v>#REF!</v>
      </c>
      <c r="E148" s="139" t="e">
        <f>#REF!</f>
        <v>#REF!</v>
      </c>
      <c r="F148" s="34" t="e">
        <f t="shared" si="73"/>
        <v>#REF!</v>
      </c>
      <c r="G148" s="140" t="e">
        <f>#REF!</f>
        <v>#REF!</v>
      </c>
      <c r="H148" s="141">
        <f>'September''26'!DR25</f>
        <v>0</v>
      </c>
      <c r="I148" s="34" t="e">
        <f t="shared" si="74"/>
        <v>#REF!</v>
      </c>
      <c r="J148" s="140" t="e">
        <f>#REF!</f>
        <v>#REF!</v>
      </c>
      <c r="K148" s="72" t="e">
        <f t="shared" si="70"/>
        <v>#REF!</v>
      </c>
      <c r="L148" s="73" t="e">
        <f t="shared" si="71"/>
        <v>#REF!</v>
      </c>
      <c r="M148" s="73" t="e">
        <f t="shared" si="72"/>
        <v>#REF!</v>
      </c>
      <c r="N148" s="70" t="s">
        <v>19</v>
      </c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20"/>
      <c r="Z148" s="20"/>
      <c r="AA148" s="20"/>
    </row>
    <row r="149" spans="1:27" ht="15" hidden="1" customHeight="1">
      <c r="A149" s="34" t="s">
        <v>500</v>
      </c>
      <c r="B149" s="34" t="e">
        <f>#REF!</f>
        <v>#REF!</v>
      </c>
      <c r="C149" s="34" t="e">
        <f t="shared" si="69"/>
        <v>#REF!</v>
      </c>
      <c r="D149" s="140" t="e">
        <f>#REF!</f>
        <v>#REF!</v>
      </c>
      <c r="E149" s="139" t="e">
        <f>#REF!</f>
        <v>#REF!</v>
      </c>
      <c r="F149" s="34" t="e">
        <f t="shared" si="73"/>
        <v>#REF!</v>
      </c>
      <c r="G149" s="140" t="e">
        <f>#REF!</f>
        <v>#REF!</v>
      </c>
      <c r="H149" s="141" t="e">
        <f>#REF!</f>
        <v>#REF!</v>
      </c>
      <c r="I149" s="34" t="e">
        <f>H149+J149</f>
        <v>#REF!</v>
      </c>
      <c r="J149" s="140" t="e">
        <f>#REF!</f>
        <v>#REF!</v>
      </c>
      <c r="K149" s="72" t="e">
        <f t="shared" si="70"/>
        <v>#REF!</v>
      </c>
      <c r="L149" s="73" t="e">
        <f t="shared" si="71"/>
        <v>#REF!</v>
      </c>
      <c r="M149" s="73" t="e">
        <f t="shared" si="72"/>
        <v>#REF!</v>
      </c>
      <c r="N149" s="70" t="s">
        <v>19</v>
      </c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20"/>
      <c r="Z149" s="20"/>
      <c r="AA149" s="20"/>
    </row>
    <row r="150" spans="1:27" ht="15" hidden="1" customHeight="1">
      <c r="A150" s="34" t="s">
        <v>215</v>
      </c>
      <c r="B150" s="34" t="e">
        <f>#REF!</f>
        <v>#REF!</v>
      </c>
      <c r="C150" s="34" t="e">
        <f t="shared" si="69"/>
        <v>#REF!</v>
      </c>
      <c r="D150" s="140" t="e">
        <f>#REF!</f>
        <v>#REF!</v>
      </c>
      <c r="E150" s="139" t="e">
        <f>#REF!</f>
        <v>#REF!</v>
      </c>
      <c r="F150" s="34" t="e">
        <f t="shared" si="73"/>
        <v>#REF!</v>
      </c>
      <c r="G150" s="140" t="e">
        <f>#REF!</f>
        <v>#REF!</v>
      </c>
      <c r="H150" s="141" t="e">
        <f>#REF!</f>
        <v>#REF!</v>
      </c>
      <c r="I150" s="34" t="e">
        <f>H150+J150</f>
        <v>#REF!</v>
      </c>
      <c r="J150" s="140" t="e">
        <f>#REF!</f>
        <v>#REF!</v>
      </c>
      <c r="K150" s="72" t="e">
        <f t="shared" si="70"/>
        <v>#REF!</v>
      </c>
      <c r="L150" s="73" t="e">
        <f t="shared" si="71"/>
        <v>#REF!</v>
      </c>
      <c r="M150" s="73" t="e">
        <f t="shared" si="72"/>
        <v>#REF!</v>
      </c>
      <c r="N150" s="70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20"/>
      <c r="Z150" s="20"/>
      <c r="AA150" s="20"/>
    </row>
    <row r="151" spans="1:27" ht="15" customHeight="1">
      <c r="A151" s="34" t="s">
        <v>303</v>
      </c>
      <c r="B151" s="34" t="e">
        <f>#REF!</f>
        <v>#REF!</v>
      </c>
      <c r="C151" s="34" t="e">
        <f t="shared" si="69"/>
        <v>#REF!</v>
      </c>
      <c r="D151" s="140" t="e">
        <f>#REF!</f>
        <v>#REF!</v>
      </c>
      <c r="E151" s="139" t="e">
        <f>#REF!</f>
        <v>#REF!</v>
      </c>
      <c r="F151" s="34" t="e">
        <f t="shared" si="73"/>
        <v>#REF!</v>
      </c>
      <c r="G151" s="140" t="e">
        <f>#REF!</f>
        <v>#REF!</v>
      </c>
      <c r="H151" s="141" t="e">
        <f>#REF!</f>
        <v>#REF!</v>
      </c>
      <c r="I151" s="34" t="e">
        <f>H151+J151</f>
        <v>#REF!</v>
      </c>
      <c r="J151" s="140" t="e">
        <f>#REF!</f>
        <v>#REF!</v>
      </c>
      <c r="K151" s="72" t="e">
        <f t="shared" si="70"/>
        <v>#REF!</v>
      </c>
      <c r="L151" s="73" t="e">
        <f t="shared" si="71"/>
        <v>#REF!</v>
      </c>
      <c r="M151" s="73" t="e">
        <f t="shared" si="72"/>
        <v>#REF!</v>
      </c>
      <c r="N151" s="70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20"/>
      <c r="Z151" s="20"/>
      <c r="AA151" s="20"/>
    </row>
    <row r="152" spans="1:27" ht="15" hidden="1" customHeight="1">
      <c r="A152" s="34" t="s">
        <v>299</v>
      </c>
      <c r="B152" s="34" t="e">
        <f>#REF!</f>
        <v>#REF!</v>
      </c>
      <c r="C152" s="34" t="e">
        <f t="shared" si="69"/>
        <v>#REF!</v>
      </c>
      <c r="D152" s="140" t="e">
        <f>#REF!</f>
        <v>#REF!</v>
      </c>
      <c r="E152" s="139" t="e">
        <f>#REF!</f>
        <v>#REF!</v>
      </c>
      <c r="F152" s="34" t="e">
        <f t="shared" si="73"/>
        <v>#REF!</v>
      </c>
      <c r="G152" s="140" t="e">
        <f>#REF!</f>
        <v>#REF!</v>
      </c>
      <c r="H152" s="141" t="e">
        <f>#REF!</f>
        <v>#REF!</v>
      </c>
      <c r="I152" s="34" t="e">
        <f>H152+J152</f>
        <v>#REF!</v>
      </c>
      <c r="J152" s="140" t="e">
        <f>#REF!</f>
        <v>#REF!</v>
      </c>
      <c r="K152" s="72" t="e">
        <f t="shared" si="70"/>
        <v>#REF!</v>
      </c>
      <c r="L152" s="73" t="e">
        <f t="shared" si="71"/>
        <v>#REF!</v>
      </c>
      <c r="M152" s="73" t="e">
        <f t="shared" si="72"/>
        <v>#REF!</v>
      </c>
      <c r="N152" s="70" t="s">
        <v>19</v>
      </c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20"/>
      <c r="Z152" s="20"/>
      <c r="AA152" s="20"/>
    </row>
    <row r="153" spans="1:27" ht="15" customHeight="1">
      <c r="A153" s="34" t="s">
        <v>20</v>
      </c>
      <c r="B153" s="34" t="e">
        <f>#REF!</f>
        <v>#REF!</v>
      </c>
      <c r="C153" s="34" t="e">
        <f>B153+D153</f>
        <v>#REF!</v>
      </c>
      <c r="D153" s="140" t="e">
        <f>#REF!</f>
        <v>#REF!</v>
      </c>
      <c r="E153" s="139" t="e">
        <f>#REF!</f>
        <v>#REF!</v>
      </c>
      <c r="F153" s="34" t="e">
        <f t="shared" si="73"/>
        <v>#REF!</v>
      </c>
      <c r="G153" s="140" t="e">
        <f>#REF!</f>
        <v>#REF!</v>
      </c>
      <c r="H153" s="141" t="e">
        <f>#REF!</f>
        <v>#REF!</v>
      </c>
      <c r="I153" s="34" t="e">
        <f t="shared" ref="I153:I154" si="75">H153+J153</f>
        <v>#REF!</v>
      </c>
      <c r="J153" s="140" t="e">
        <f>#REF!</f>
        <v>#REF!</v>
      </c>
      <c r="K153" s="72" t="e">
        <f t="shared" si="70"/>
        <v>#REF!</v>
      </c>
      <c r="L153" s="73" t="e">
        <f t="shared" si="71"/>
        <v>#REF!</v>
      </c>
      <c r="M153" s="73" t="e">
        <f t="shared" si="72"/>
        <v>#REF!</v>
      </c>
      <c r="N153" s="70" t="s">
        <v>19</v>
      </c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20"/>
      <c r="Z153" s="20"/>
      <c r="AA153" s="20"/>
    </row>
    <row r="154" spans="1:27" ht="15" customHeight="1">
      <c r="A154" s="34" t="s">
        <v>46</v>
      </c>
      <c r="B154" s="34" t="e">
        <f>#REF!</f>
        <v>#REF!</v>
      </c>
      <c r="C154" s="34" t="e">
        <f>B154+D154</f>
        <v>#REF!</v>
      </c>
      <c r="D154" s="140" t="e">
        <f>#REF!</f>
        <v>#REF!</v>
      </c>
      <c r="E154" s="139" t="e">
        <f>#REF!</f>
        <v>#REF!</v>
      </c>
      <c r="F154" s="34" t="e">
        <f t="shared" si="73"/>
        <v>#REF!</v>
      </c>
      <c r="G154" s="140" t="e">
        <f>#REF!</f>
        <v>#REF!</v>
      </c>
      <c r="H154" s="141" t="e">
        <f>#REF!</f>
        <v>#REF!</v>
      </c>
      <c r="I154" s="34" t="e">
        <f t="shared" si="75"/>
        <v>#REF!</v>
      </c>
      <c r="J154" s="140" t="e">
        <f>#REF!</f>
        <v>#REF!</v>
      </c>
      <c r="K154" s="72" t="e">
        <f t="shared" si="70"/>
        <v>#REF!</v>
      </c>
      <c r="L154" s="73" t="e">
        <f t="shared" si="71"/>
        <v>#REF!</v>
      </c>
      <c r="M154" s="73" t="e">
        <f t="shared" si="72"/>
        <v>#REF!</v>
      </c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20"/>
      <c r="Z154" s="20"/>
      <c r="AA154" s="20"/>
    </row>
    <row r="155" spans="1:27" ht="17.25" customHeight="1">
      <c r="A155" s="90" t="s">
        <v>74</v>
      </c>
      <c r="B155" s="95" t="e">
        <f t="shared" ref="B155:H155" si="76">SUM(B139:B154)</f>
        <v>#REF!</v>
      </c>
      <c r="C155" s="95" t="e">
        <f t="shared" si="76"/>
        <v>#REF!</v>
      </c>
      <c r="D155" s="134" t="e">
        <f t="shared" si="76"/>
        <v>#REF!</v>
      </c>
      <c r="E155" s="135" t="e">
        <f t="shared" si="76"/>
        <v>#REF!</v>
      </c>
      <c r="F155" s="135" t="e">
        <f t="shared" si="76"/>
        <v>#REF!</v>
      </c>
      <c r="G155" s="135" t="e">
        <f t="shared" si="76"/>
        <v>#REF!</v>
      </c>
      <c r="H155" s="136" t="e">
        <f t="shared" si="76"/>
        <v>#REF!</v>
      </c>
      <c r="I155" s="136" t="e">
        <f>SUM(I139:I154)</f>
        <v>#REF!</v>
      </c>
      <c r="J155" s="136" t="e">
        <f t="shared" ref="J155:M155" si="77">SUM(J139:J154)</f>
        <v>#REF!</v>
      </c>
      <c r="K155" s="92" t="e">
        <f t="shared" si="77"/>
        <v>#REF!</v>
      </c>
      <c r="L155" s="92" t="e">
        <f t="shared" si="77"/>
        <v>#REF!</v>
      </c>
      <c r="M155" s="92" t="e">
        <f t="shared" si="77"/>
        <v>#REF!</v>
      </c>
      <c r="N155" s="128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20"/>
      <c r="Z155" s="20"/>
      <c r="AA155" s="20"/>
    </row>
    <row r="156" spans="1:27" ht="24" customHeight="1">
      <c r="A156" s="194" t="s">
        <v>267</v>
      </c>
      <c r="B156" s="195"/>
      <c r="C156" s="195"/>
      <c r="D156" s="196"/>
      <c r="E156" s="184" t="e">
        <f>K117+K136</f>
        <v>#REF!</v>
      </c>
      <c r="F156" s="185"/>
      <c r="G156" s="186"/>
      <c r="H156" s="184" t="e">
        <f>L117+L136</f>
        <v>#REF!</v>
      </c>
      <c r="I156" s="185"/>
      <c r="J156" s="186"/>
      <c r="K156" s="184" t="e">
        <f>M117+M136</f>
        <v>#REF!</v>
      </c>
      <c r="L156" s="185"/>
      <c r="M156" s="186"/>
      <c r="N156" s="130" t="e">
        <f>N117+N136</f>
        <v>#REF!</v>
      </c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20"/>
      <c r="Z156" s="20"/>
      <c r="AA156" s="20"/>
    </row>
    <row r="157" spans="1:27"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20"/>
      <c r="Z157" s="20"/>
      <c r="AA157" s="20"/>
    </row>
    <row r="158" spans="1:27"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20"/>
      <c r="Z158" s="20"/>
      <c r="AA158" s="20"/>
    </row>
    <row r="159" spans="1:27">
      <c r="I159" s="158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20"/>
      <c r="Z159" s="20"/>
      <c r="AA159" s="20"/>
    </row>
    <row r="160" spans="1:27">
      <c r="O160" s="2"/>
      <c r="P160" s="6"/>
      <c r="Q160" s="6"/>
      <c r="R160" s="6"/>
      <c r="S160" s="6"/>
      <c r="T160" s="6"/>
      <c r="U160" s="6"/>
      <c r="V160" s="6"/>
      <c r="W160" s="6"/>
      <c r="X160" s="6"/>
      <c r="Y160" s="20"/>
      <c r="Z160" s="20"/>
      <c r="AA160" s="20"/>
    </row>
    <row r="161" spans="6:27" ht="14.25">
      <c r="O161" s="127"/>
      <c r="P161" s="20"/>
      <c r="Q161" s="20"/>
      <c r="R161" s="20"/>
      <c r="S161" s="20"/>
      <c r="T161" s="20"/>
      <c r="U161" s="20"/>
      <c r="V161" s="20"/>
      <c r="W161" s="20"/>
      <c r="X161" s="20"/>
      <c r="Y161" s="128"/>
      <c r="Z161" s="128"/>
      <c r="AA161" s="128"/>
    </row>
    <row r="162" spans="6:27" ht="18">
      <c r="O162" s="2"/>
      <c r="Q162" s="75"/>
      <c r="R162" s="2"/>
      <c r="S162" s="188"/>
      <c r="T162" s="188"/>
      <c r="U162" s="188"/>
      <c r="V162" s="2"/>
      <c r="W162" s="75"/>
      <c r="X162" s="2"/>
      <c r="Y162" s="193"/>
      <c r="Z162" s="193"/>
      <c r="AA162" s="193"/>
    </row>
    <row r="163" spans="6:27">
      <c r="O163" s="121"/>
      <c r="P163" s="187"/>
      <c r="Q163" s="187"/>
      <c r="R163" s="187"/>
      <c r="S163" s="191"/>
      <c r="T163" s="191"/>
      <c r="U163" s="191"/>
      <c r="V163" s="191"/>
      <c r="W163" s="191"/>
      <c r="X163" s="191"/>
      <c r="Y163" s="191"/>
      <c r="Z163" s="191"/>
      <c r="AA163" s="191"/>
    </row>
    <row r="164" spans="6:27"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20"/>
      <c r="Z164" s="20"/>
      <c r="AA164" s="20"/>
    </row>
    <row r="165" spans="6:27"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20"/>
      <c r="Z165" s="20"/>
      <c r="AA165" s="20"/>
    </row>
    <row r="166" spans="6:27"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20"/>
      <c r="Z166" s="20"/>
      <c r="AA166" s="20"/>
    </row>
    <row r="167" spans="6:27">
      <c r="N167" t="s">
        <v>19</v>
      </c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20"/>
      <c r="Z167" s="20"/>
      <c r="AA167" s="20"/>
    </row>
    <row r="168" spans="6:27"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20"/>
      <c r="Z168" s="20"/>
      <c r="AA168" s="20"/>
    </row>
    <row r="169" spans="6:27"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20"/>
      <c r="Z169" s="20"/>
      <c r="AA169" s="20"/>
    </row>
    <row r="170" spans="6:27">
      <c r="F170" s="70" t="s">
        <v>19</v>
      </c>
      <c r="M170" t="s">
        <v>19</v>
      </c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20"/>
      <c r="Z170" s="20"/>
      <c r="AA170" s="20"/>
    </row>
    <row r="171" spans="6:27"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20"/>
      <c r="Z171" s="20"/>
      <c r="AA171" s="20"/>
    </row>
    <row r="172" spans="6:27"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20"/>
      <c r="Z172" s="20"/>
      <c r="AA172" s="20"/>
    </row>
    <row r="173" spans="6:27"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20"/>
      <c r="Z173" s="20"/>
      <c r="AA173" s="20"/>
    </row>
    <row r="174" spans="6:27"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20"/>
      <c r="Z174" s="20"/>
      <c r="AA174" s="20"/>
    </row>
    <row r="175" spans="6:27"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20"/>
      <c r="Z175" s="20"/>
      <c r="AA175" s="20"/>
    </row>
    <row r="176" spans="6:27"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20"/>
      <c r="Z176" s="20"/>
      <c r="AA176" s="20"/>
    </row>
    <row r="177" spans="1:27"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20"/>
      <c r="Z177" s="20"/>
      <c r="AA177" s="20"/>
    </row>
    <row r="178" spans="1:27">
      <c r="A178" s="77" t="s">
        <v>18</v>
      </c>
      <c r="B178" s="76"/>
      <c r="C178" s="189" t="s">
        <v>155</v>
      </c>
      <c r="D178" s="190"/>
      <c r="E178" s="70"/>
      <c r="F178" s="189" t="s">
        <v>145</v>
      </c>
      <c r="G178" s="190"/>
      <c r="H178" s="78"/>
      <c r="I178" s="183" t="s">
        <v>253</v>
      </c>
      <c r="J178" s="183"/>
      <c r="K178" s="76"/>
      <c r="L178" s="189" t="s">
        <v>157</v>
      </c>
      <c r="M178" s="190"/>
      <c r="O178" s="77" t="s">
        <v>333</v>
      </c>
      <c r="P178" s="6"/>
      <c r="Q178" s="6"/>
      <c r="R178" s="6"/>
      <c r="S178" s="6"/>
      <c r="T178" s="6"/>
      <c r="U178" s="6"/>
      <c r="V178" s="6"/>
      <c r="W178" s="6"/>
      <c r="X178" s="6"/>
      <c r="Y178" s="20"/>
      <c r="Z178" s="20"/>
      <c r="AA178" s="20"/>
    </row>
    <row r="179" spans="1:27" ht="13.5" customHeight="1">
      <c r="A179" s="68" t="s">
        <v>50</v>
      </c>
      <c r="B179" s="70"/>
      <c r="C179" s="79" t="s">
        <v>130</v>
      </c>
      <c r="F179" s="79" t="s">
        <v>156</v>
      </c>
      <c r="G179" s="70"/>
      <c r="H179" s="70"/>
      <c r="I179" s="80" t="s">
        <v>130</v>
      </c>
      <c r="J179" s="70"/>
      <c r="K179" s="70"/>
      <c r="L179" s="79" t="s">
        <v>158</v>
      </c>
      <c r="O179" s="68" t="s">
        <v>37</v>
      </c>
      <c r="P179" s="6"/>
      <c r="Q179" s="6"/>
      <c r="R179" s="6"/>
      <c r="S179" s="6"/>
      <c r="T179" s="6"/>
      <c r="U179" s="6"/>
      <c r="V179" s="6"/>
      <c r="W179" s="6"/>
      <c r="X179" s="6"/>
      <c r="Y179" s="20"/>
      <c r="Z179" s="20"/>
      <c r="AA179" s="20"/>
    </row>
    <row r="180" spans="1:27" ht="13.5" customHeight="1">
      <c r="A180" s="68" t="s">
        <v>51</v>
      </c>
      <c r="B180" s="70"/>
      <c r="C180" s="81" t="s">
        <v>100</v>
      </c>
      <c r="F180" s="79" t="s">
        <v>142</v>
      </c>
      <c r="G180" s="70"/>
      <c r="I180" s="68" t="s">
        <v>162</v>
      </c>
      <c r="J180" s="70"/>
      <c r="K180" s="70"/>
      <c r="L180" s="79" t="s">
        <v>159</v>
      </c>
      <c r="O180" s="68" t="s">
        <v>110</v>
      </c>
      <c r="P180" s="6"/>
      <c r="Q180" s="6"/>
      <c r="R180" s="6"/>
      <c r="S180" s="6"/>
      <c r="T180" s="6"/>
      <c r="U180" s="6"/>
      <c r="V180" s="6"/>
      <c r="W180" s="6"/>
      <c r="X180" s="6"/>
      <c r="Y180" s="20"/>
      <c r="Z180" s="20"/>
      <c r="AA180" s="20"/>
    </row>
    <row r="181" spans="1:27" ht="13.5" customHeight="1">
      <c r="A181" s="83" t="s">
        <v>387</v>
      </c>
      <c r="B181" s="70"/>
      <c r="C181" s="79" t="s">
        <v>28</v>
      </c>
      <c r="F181" s="79" t="s">
        <v>140</v>
      </c>
      <c r="G181" s="70"/>
      <c r="I181" s="68" t="s">
        <v>141</v>
      </c>
      <c r="J181" s="70"/>
      <c r="K181" s="70"/>
      <c r="L181" s="79" t="s">
        <v>160</v>
      </c>
      <c r="O181" s="68" t="s">
        <v>83</v>
      </c>
      <c r="P181" s="6"/>
      <c r="Q181" s="6"/>
      <c r="R181" s="6"/>
      <c r="S181" s="6"/>
      <c r="T181" s="6"/>
      <c r="U181" s="6"/>
      <c r="V181" s="6"/>
      <c r="W181" s="6"/>
      <c r="X181" s="6"/>
      <c r="Y181" s="20"/>
      <c r="Z181" s="20"/>
      <c r="AA181" s="20"/>
    </row>
    <row r="182" spans="1:27" ht="13.5" customHeight="1">
      <c r="A182" s="83" t="s">
        <v>388</v>
      </c>
      <c r="C182" s="79" t="s">
        <v>2997</v>
      </c>
      <c r="F182" s="79" t="s">
        <v>139</v>
      </c>
      <c r="G182" s="70"/>
      <c r="I182" s="68" t="s">
        <v>163</v>
      </c>
      <c r="J182" s="70"/>
      <c r="K182" s="70"/>
      <c r="L182" s="79" t="s">
        <v>161</v>
      </c>
      <c r="O182" s="68" t="s">
        <v>143</v>
      </c>
      <c r="P182" s="20"/>
      <c r="Q182" s="20"/>
      <c r="R182" s="20"/>
      <c r="S182" s="20"/>
      <c r="T182" s="20"/>
      <c r="U182" s="20"/>
      <c r="V182" s="20"/>
      <c r="W182" s="20"/>
      <c r="X182" s="20"/>
      <c r="Y182" s="128"/>
      <c r="Z182" s="128"/>
      <c r="AA182" s="128"/>
    </row>
    <row r="183" spans="1:27" ht="13.5" customHeight="1">
      <c r="A183" s="84" t="s">
        <v>494</v>
      </c>
      <c r="B183" s="82"/>
      <c r="C183" s="83" t="s">
        <v>113</v>
      </c>
      <c r="I183" s="68" t="s">
        <v>256</v>
      </c>
      <c r="L183" s="68" t="s">
        <v>167</v>
      </c>
      <c r="O183" s="68" t="s">
        <v>716</v>
      </c>
      <c r="Q183" s="75"/>
      <c r="R183" s="2"/>
      <c r="S183" s="188"/>
      <c r="T183" s="188"/>
      <c r="U183" s="188"/>
      <c r="V183" s="2"/>
      <c r="W183" s="75"/>
      <c r="X183" s="2"/>
      <c r="Y183" s="193"/>
      <c r="Z183" s="193"/>
      <c r="AA183" s="193"/>
    </row>
    <row r="184" spans="1:27" ht="13.5" customHeight="1">
      <c r="A184" s="84" t="s">
        <v>185</v>
      </c>
      <c r="B184" s="70"/>
      <c r="C184" s="79" t="s">
        <v>31</v>
      </c>
      <c r="I184" s="68" t="s">
        <v>257</v>
      </c>
      <c r="L184" s="68" t="s">
        <v>168</v>
      </c>
      <c r="O184" s="68" t="s">
        <v>717</v>
      </c>
      <c r="P184" s="187"/>
      <c r="Q184" s="187"/>
      <c r="R184" s="187"/>
      <c r="S184" s="191"/>
      <c r="T184" s="191"/>
      <c r="U184" s="191"/>
      <c r="V184" s="191"/>
      <c r="W184" s="191"/>
      <c r="X184" s="191"/>
      <c r="Y184" s="191"/>
      <c r="Z184" s="191"/>
      <c r="AA184" s="191"/>
    </row>
    <row r="185" spans="1:27" ht="13.5" customHeight="1">
      <c r="A185" s="83" t="s">
        <v>128</v>
      </c>
      <c r="C185" s="68" t="s">
        <v>326</v>
      </c>
      <c r="I185" s="70"/>
      <c r="L185" s="68" t="s">
        <v>169</v>
      </c>
      <c r="O185" s="68" t="s">
        <v>276</v>
      </c>
      <c r="P185" s="6"/>
      <c r="Q185" s="6"/>
      <c r="R185" s="6"/>
      <c r="S185" s="6"/>
      <c r="T185" s="6"/>
      <c r="U185" s="6"/>
      <c r="V185" s="6"/>
      <c r="W185" s="6"/>
      <c r="X185" s="6"/>
      <c r="Y185" s="20"/>
      <c r="Z185" s="20"/>
      <c r="AA185" s="20"/>
    </row>
    <row r="186" spans="1:27" ht="13.5" customHeight="1">
      <c r="A186" s="68" t="s">
        <v>86</v>
      </c>
      <c r="B186" s="82"/>
      <c r="C186" s="84" t="s">
        <v>270</v>
      </c>
      <c r="O186" s="68" t="s">
        <v>436</v>
      </c>
      <c r="P186" s="6"/>
      <c r="Q186" s="6"/>
      <c r="R186" s="6"/>
      <c r="S186" s="6"/>
      <c r="T186" s="6"/>
      <c r="U186" s="6"/>
      <c r="V186" s="6"/>
      <c r="W186" s="6"/>
      <c r="X186" s="6"/>
      <c r="Y186" s="20"/>
      <c r="Z186" s="20"/>
      <c r="AA186" s="20"/>
    </row>
    <row r="187" spans="1:27" ht="13.5" customHeight="1">
      <c r="A187" s="68" t="s">
        <v>85</v>
      </c>
      <c r="B187" s="6"/>
      <c r="C187" s="79" t="s">
        <v>289</v>
      </c>
      <c r="I187" s="70"/>
      <c r="O187" s="79" t="s">
        <v>718</v>
      </c>
      <c r="P187" s="6"/>
      <c r="Q187" s="6"/>
      <c r="R187" s="6"/>
      <c r="S187" s="6"/>
      <c r="T187" s="6"/>
      <c r="U187" s="6"/>
      <c r="V187" s="6"/>
      <c r="W187" s="6"/>
      <c r="X187" s="6"/>
      <c r="Y187" s="20"/>
      <c r="Z187" s="20"/>
      <c r="AA187" s="20"/>
    </row>
    <row r="188" spans="1:27" ht="13.5" customHeight="1">
      <c r="A188" s="79" t="s">
        <v>215</v>
      </c>
      <c r="C188" s="79" t="s">
        <v>265</v>
      </c>
      <c r="I188" s="70"/>
      <c r="O188" s="68" t="s">
        <v>24</v>
      </c>
      <c r="P188" s="6"/>
      <c r="Q188" s="6"/>
      <c r="R188" s="6"/>
      <c r="S188" s="6"/>
      <c r="T188" s="6"/>
      <c r="U188" s="6"/>
      <c r="V188" s="6"/>
      <c r="W188" s="6"/>
      <c r="X188" s="6"/>
      <c r="Y188" s="20"/>
      <c r="Z188" s="20"/>
      <c r="AA188" s="20"/>
    </row>
    <row r="189" spans="1:27" ht="13.5" customHeight="1">
      <c r="A189" s="79" t="s">
        <v>186</v>
      </c>
      <c r="B189" s="70"/>
      <c r="C189" s="84" t="s">
        <v>262</v>
      </c>
      <c r="H189" s="182"/>
      <c r="I189" s="182"/>
      <c r="O189" s="68" t="s">
        <v>81</v>
      </c>
      <c r="P189" s="6"/>
      <c r="Q189" s="6"/>
      <c r="R189" s="6"/>
      <c r="S189" s="6"/>
      <c r="T189" s="6"/>
      <c r="U189" s="6"/>
      <c r="V189" s="6"/>
      <c r="W189" s="6"/>
      <c r="X189" s="6"/>
      <c r="Y189" s="20"/>
      <c r="Z189" s="20"/>
      <c r="AA189" s="20"/>
    </row>
    <row r="190" spans="1:27" ht="13.5" customHeight="1">
      <c r="A190" s="79" t="s">
        <v>299</v>
      </c>
      <c r="C190" s="68" t="s">
        <v>363</v>
      </c>
      <c r="H190" s="70"/>
      <c r="I190" s="70"/>
      <c r="K190" s="182"/>
      <c r="L190" s="182"/>
      <c r="O190" s="68" t="s">
        <v>166</v>
      </c>
      <c r="P190" s="6"/>
      <c r="Q190" s="6"/>
      <c r="R190" s="6"/>
      <c r="S190" s="6"/>
      <c r="T190" s="6"/>
      <c r="U190" s="6"/>
      <c r="V190" s="6"/>
      <c r="W190" s="6"/>
      <c r="X190" s="6"/>
      <c r="Y190" s="20"/>
      <c r="Z190" s="20"/>
      <c r="AA190" s="20"/>
    </row>
    <row r="191" spans="1:27" ht="13.5" customHeight="1">
      <c r="A191" s="84" t="s">
        <v>303</v>
      </c>
      <c r="B191" s="70"/>
      <c r="C191" s="68" t="s">
        <v>284</v>
      </c>
      <c r="I191" s="70"/>
      <c r="K191" s="70"/>
      <c r="O191" s="68" t="s">
        <v>370</v>
      </c>
      <c r="P191" s="6"/>
      <c r="Q191" s="6"/>
      <c r="R191" s="6"/>
      <c r="S191" s="6"/>
      <c r="T191" s="6"/>
      <c r="U191" s="6"/>
      <c r="V191" s="6"/>
      <c r="W191" s="6"/>
      <c r="X191" s="6"/>
      <c r="Y191" s="20"/>
      <c r="Z191" s="20"/>
      <c r="AA191" s="20"/>
    </row>
    <row r="192" spans="1:27" ht="13.5" customHeight="1">
      <c r="A192" s="114" t="s">
        <v>84</v>
      </c>
      <c r="B192" s="70"/>
      <c r="C192" s="68" t="s">
        <v>211</v>
      </c>
      <c r="I192" s="70"/>
      <c r="K192" s="70"/>
      <c r="O192" s="68" t="s">
        <v>719</v>
      </c>
      <c r="P192" s="6"/>
      <c r="Q192" s="6"/>
      <c r="R192" s="6"/>
      <c r="S192" s="6"/>
      <c r="T192" s="6"/>
      <c r="U192" s="6"/>
      <c r="V192" s="6"/>
      <c r="W192" s="6"/>
      <c r="X192" s="6"/>
      <c r="Y192" s="20"/>
      <c r="Z192" s="20"/>
      <c r="AA192" s="20"/>
    </row>
    <row r="193" spans="1:27" ht="13.5" customHeight="1">
      <c r="A193" s="84" t="s">
        <v>500</v>
      </c>
      <c r="C193" s="79" t="s">
        <v>190</v>
      </c>
      <c r="I193" s="70"/>
      <c r="K193" s="70"/>
      <c r="O193" s="68" t="s">
        <v>107</v>
      </c>
      <c r="P193" s="6"/>
      <c r="Q193" s="6"/>
      <c r="R193" s="6"/>
      <c r="S193" s="6"/>
      <c r="T193" s="6"/>
      <c r="U193" s="6"/>
      <c r="V193" s="6"/>
      <c r="W193" s="6"/>
      <c r="X193" s="6"/>
      <c r="Y193" s="20"/>
      <c r="Z193" s="20"/>
      <c r="AA193" s="20"/>
    </row>
    <row r="194" spans="1:27" ht="13.5" customHeight="1">
      <c r="A194" s="68" t="s">
        <v>20</v>
      </c>
      <c r="B194" s="6"/>
      <c r="C194" s="68" t="s">
        <v>285</v>
      </c>
      <c r="I194" s="70"/>
      <c r="K194" s="70"/>
      <c r="O194" s="68" t="s">
        <v>164</v>
      </c>
      <c r="P194" s="6"/>
      <c r="Q194" s="6"/>
      <c r="R194" s="6"/>
      <c r="S194" s="6"/>
      <c r="T194" s="6"/>
      <c r="U194" s="6"/>
      <c r="V194" s="6"/>
      <c r="W194" s="6"/>
      <c r="X194" s="6"/>
      <c r="Y194" s="20"/>
      <c r="Z194" s="20"/>
      <c r="AA194" s="20"/>
    </row>
    <row r="195" spans="1:27" ht="13.5" customHeight="1">
      <c r="A195" s="68" t="s">
        <v>46</v>
      </c>
      <c r="B195" s="2"/>
      <c r="C195" s="79" t="s">
        <v>214</v>
      </c>
      <c r="I195" s="70"/>
      <c r="O195" s="68" t="s">
        <v>49</v>
      </c>
      <c r="P195" s="6"/>
      <c r="Q195" s="6"/>
      <c r="R195" s="6"/>
      <c r="S195" s="6"/>
      <c r="T195" s="6"/>
      <c r="U195" s="6"/>
      <c r="V195" s="6"/>
      <c r="W195" s="6"/>
      <c r="X195" s="6"/>
      <c r="Y195" s="20"/>
      <c r="Z195" s="20"/>
      <c r="AA195" s="20"/>
    </row>
    <row r="196" spans="1:27" ht="13.5" customHeight="1">
      <c r="C196" s="79" t="s">
        <v>115</v>
      </c>
      <c r="G196" s="76"/>
      <c r="O196" s="68" t="s">
        <v>335</v>
      </c>
      <c r="P196" s="6"/>
      <c r="Q196" s="6"/>
      <c r="R196" s="6"/>
      <c r="S196" s="6"/>
      <c r="T196" s="6"/>
      <c r="U196" s="6"/>
      <c r="V196" s="6"/>
      <c r="W196" s="6"/>
      <c r="X196" s="6"/>
      <c r="Y196" s="20"/>
      <c r="Z196" s="20"/>
      <c r="AA196" s="20"/>
    </row>
    <row r="197" spans="1:27" ht="13.5" customHeight="1">
      <c r="C197" s="68" t="s">
        <v>170</v>
      </c>
      <c r="F197" s="103"/>
      <c r="G197" s="70"/>
      <c r="O197" s="68" t="s">
        <v>263</v>
      </c>
      <c r="P197" s="6"/>
      <c r="Q197" s="6"/>
      <c r="R197" s="6"/>
      <c r="S197" s="6"/>
      <c r="T197" s="6"/>
      <c r="U197" s="6"/>
      <c r="V197" s="6"/>
      <c r="W197" s="6"/>
      <c r="X197" s="6"/>
      <c r="Y197" s="20"/>
      <c r="Z197" s="20"/>
      <c r="AA197" s="20"/>
    </row>
    <row r="198" spans="1:27" ht="15.75">
      <c r="A198" s="111"/>
      <c r="C198" s="68" t="s">
        <v>171</v>
      </c>
      <c r="E198" s="22"/>
      <c r="G198" s="70"/>
      <c r="O198" s="68" t="s">
        <v>336</v>
      </c>
      <c r="P198" s="6"/>
      <c r="Q198" s="6"/>
      <c r="R198" s="6"/>
      <c r="S198" s="6"/>
      <c r="T198" s="6"/>
      <c r="U198" s="6"/>
      <c r="V198" s="6"/>
      <c r="W198" s="6"/>
      <c r="X198" s="6"/>
      <c r="Y198" s="20"/>
      <c r="Z198" s="20"/>
      <c r="AA198" s="20"/>
    </row>
    <row r="199" spans="1:27" ht="15">
      <c r="A199" s="85"/>
      <c r="C199" s="68" t="s">
        <v>590</v>
      </c>
      <c r="F199" s="103"/>
      <c r="G199" s="70"/>
      <c r="O199" s="68" t="s">
        <v>45</v>
      </c>
      <c r="P199" s="6"/>
      <c r="Q199" s="6"/>
      <c r="R199" s="6"/>
      <c r="S199" s="6"/>
      <c r="T199" s="6"/>
      <c r="U199" s="6"/>
      <c r="V199" s="6"/>
      <c r="W199" s="6"/>
      <c r="X199" s="6"/>
      <c r="Y199" s="20"/>
      <c r="Z199" s="20"/>
      <c r="AA199" s="20"/>
    </row>
    <row r="200" spans="1:27" ht="15">
      <c r="A200" s="85"/>
      <c r="F200" s="115"/>
      <c r="O200" s="68" t="s">
        <v>98</v>
      </c>
      <c r="P200" s="6"/>
      <c r="Q200" s="6"/>
      <c r="R200" s="6"/>
      <c r="S200" s="6"/>
      <c r="T200" s="6"/>
      <c r="U200" s="6"/>
      <c r="V200" s="6"/>
      <c r="W200" s="6"/>
      <c r="X200" s="6"/>
      <c r="Y200" s="20"/>
      <c r="Z200" s="20"/>
      <c r="AA200" s="20"/>
    </row>
    <row r="201" spans="1:27" ht="15">
      <c r="A201" s="85"/>
      <c r="G201" s="82"/>
      <c r="O201" s="68" t="s">
        <v>104</v>
      </c>
      <c r="P201" s="6"/>
      <c r="Q201" s="6"/>
      <c r="R201" s="6"/>
      <c r="S201" s="6"/>
      <c r="T201" s="6"/>
      <c r="U201" s="6"/>
      <c r="V201" s="6"/>
      <c r="W201" s="6"/>
      <c r="X201" s="6"/>
      <c r="Y201" s="20"/>
      <c r="Z201" s="20"/>
      <c r="AA201" s="20"/>
    </row>
    <row r="202" spans="1:27" ht="15.75">
      <c r="A202" s="86" t="s">
        <v>247</v>
      </c>
      <c r="G202" s="70"/>
      <c r="O202" s="68" t="s">
        <v>82</v>
      </c>
      <c r="P202" s="6"/>
      <c r="Q202" s="6"/>
      <c r="R202" s="6"/>
      <c r="S202" s="6"/>
      <c r="T202" s="6"/>
      <c r="U202" s="6"/>
      <c r="V202" s="6"/>
      <c r="W202" s="6"/>
      <c r="X202" s="6"/>
      <c r="Y202" s="20"/>
      <c r="Z202" s="20"/>
      <c r="AA202" s="20"/>
    </row>
    <row r="203" spans="1:27" ht="15">
      <c r="A203" s="87" t="s">
        <v>295</v>
      </c>
      <c r="O203" s="68" t="s">
        <v>715</v>
      </c>
      <c r="P203" s="20"/>
      <c r="Q203" s="20"/>
      <c r="R203" s="20"/>
      <c r="S203" s="20"/>
      <c r="T203" s="20"/>
      <c r="U203" s="20"/>
      <c r="V203" s="20"/>
      <c r="W203" s="20"/>
      <c r="X203" s="20"/>
      <c r="Y203" s="128"/>
      <c r="Z203" s="128"/>
      <c r="AA203" s="128"/>
    </row>
    <row r="204" spans="1:27" ht="15">
      <c r="A204" s="87" t="s">
        <v>252</v>
      </c>
      <c r="G204" s="82"/>
      <c r="O204" s="68" t="s">
        <v>126</v>
      </c>
      <c r="P204" s="187"/>
      <c r="Q204" s="187"/>
      <c r="R204" s="187"/>
      <c r="S204" s="191"/>
      <c r="T204" s="191"/>
      <c r="U204" s="191"/>
      <c r="V204" s="191"/>
      <c r="W204" s="191"/>
      <c r="X204" s="191"/>
      <c r="Y204" s="191"/>
      <c r="Z204" s="191"/>
      <c r="AA204" s="191"/>
    </row>
    <row r="205" spans="1:27" ht="15">
      <c r="A205" s="87" t="s">
        <v>294</v>
      </c>
      <c r="G205" s="6"/>
      <c r="O205" s="68" t="s">
        <v>108</v>
      </c>
      <c r="P205" s="6"/>
      <c r="Q205" s="6"/>
      <c r="R205" s="6"/>
      <c r="S205" s="6"/>
      <c r="T205" s="6"/>
      <c r="U205" s="6"/>
      <c r="V205" s="6"/>
      <c r="W205" s="6"/>
      <c r="X205" s="6"/>
      <c r="Y205" s="20"/>
      <c r="Z205" s="20"/>
      <c r="AA205" s="20"/>
    </row>
    <row r="206" spans="1:27" ht="15">
      <c r="A206" s="87" t="s">
        <v>296</v>
      </c>
      <c r="O206" s="68" t="s">
        <v>271</v>
      </c>
      <c r="P206" s="6"/>
      <c r="Q206" s="6"/>
      <c r="R206" s="6"/>
      <c r="S206" s="6"/>
      <c r="T206" s="6"/>
      <c r="U206" s="6"/>
      <c r="V206" s="6"/>
      <c r="W206" s="6"/>
      <c r="X206" s="6"/>
      <c r="Y206" s="20"/>
      <c r="Z206" s="20"/>
      <c r="AA206" s="20"/>
    </row>
    <row r="207" spans="1:27" ht="15">
      <c r="A207" s="87" t="s">
        <v>251</v>
      </c>
      <c r="G207" s="70"/>
      <c r="O207" s="68" t="s">
        <v>109</v>
      </c>
      <c r="P207" s="6"/>
      <c r="Q207" s="6"/>
      <c r="R207" s="6"/>
      <c r="S207" s="6"/>
      <c r="T207" s="6"/>
      <c r="U207" s="6"/>
      <c r="V207" s="6"/>
      <c r="W207" s="6"/>
      <c r="X207" s="6"/>
      <c r="Y207" s="20"/>
      <c r="Z207" s="20"/>
      <c r="AA207" s="20"/>
    </row>
    <row r="208" spans="1:27" ht="15">
      <c r="A208" s="87" t="s">
        <v>249</v>
      </c>
      <c r="O208" s="68" t="s">
        <v>271</v>
      </c>
      <c r="P208" s="6"/>
      <c r="Q208" s="6"/>
      <c r="R208" s="6"/>
      <c r="S208" s="6"/>
      <c r="T208" s="6"/>
      <c r="U208" s="6"/>
      <c r="V208" s="6"/>
      <c r="W208" s="6"/>
      <c r="X208" s="6"/>
      <c r="Y208" s="20"/>
      <c r="Z208" s="20"/>
      <c r="AA208" s="20"/>
    </row>
    <row r="209" spans="1:27" ht="15">
      <c r="A209" s="87" t="s">
        <v>250</v>
      </c>
      <c r="G209" s="70"/>
      <c r="O209" s="68" t="s">
        <v>195</v>
      </c>
      <c r="P209" s="6"/>
      <c r="Q209" s="6"/>
      <c r="R209" s="6"/>
      <c r="S209" s="6"/>
      <c r="T209" s="6"/>
      <c r="U209" s="6"/>
      <c r="V209" s="6"/>
      <c r="W209" s="6"/>
      <c r="X209" s="6"/>
      <c r="Y209" s="20"/>
      <c r="Z209" s="20"/>
      <c r="AA209" s="20"/>
    </row>
    <row r="210" spans="1:27" ht="15">
      <c r="A210" s="87" t="s">
        <v>384</v>
      </c>
      <c r="E210" s="85"/>
      <c r="G210" s="70"/>
      <c r="O210" s="68" t="s">
        <v>254</v>
      </c>
      <c r="P210" s="6"/>
      <c r="Q210" s="6"/>
      <c r="R210" s="6"/>
      <c r="S210" s="6"/>
      <c r="T210" s="6"/>
      <c r="U210" s="6"/>
      <c r="V210" s="6"/>
      <c r="W210" s="6"/>
      <c r="X210" s="6"/>
      <c r="Y210" s="20"/>
      <c r="Z210" s="20"/>
      <c r="AA210" s="20"/>
    </row>
    <row r="211" spans="1:27" ht="15">
      <c r="A211" s="87" t="s">
        <v>293</v>
      </c>
      <c r="E211" s="85"/>
      <c r="O211" s="79" t="s">
        <v>334</v>
      </c>
      <c r="P211" s="6"/>
      <c r="Q211" s="6"/>
      <c r="R211" s="6"/>
      <c r="S211" s="6"/>
      <c r="T211" s="6"/>
      <c r="U211" s="6"/>
      <c r="V211" s="6"/>
      <c r="W211" s="6"/>
      <c r="X211" s="6"/>
      <c r="Y211" s="20"/>
      <c r="Z211" s="20"/>
      <c r="AA211" s="20"/>
    </row>
    <row r="212" spans="1:27" ht="15">
      <c r="A212" s="87" t="s">
        <v>294</v>
      </c>
      <c r="E212" s="85"/>
      <c r="O212" s="84" t="s">
        <v>194</v>
      </c>
      <c r="P212" s="6"/>
      <c r="Q212" s="6"/>
      <c r="R212" s="6"/>
      <c r="S212" s="6"/>
      <c r="T212" s="6"/>
      <c r="U212" s="6"/>
      <c r="V212" s="6"/>
      <c r="W212" s="6"/>
      <c r="X212" s="6"/>
      <c r="Y212" s="20"/>
      <c r="Z212" s="20"/>
      <c r="AA212" s="20"/>
    </row>
    <row r="213" spans="1:27" ht="15">
      <c r="A213" s="87" t="s">
        <v>248</v>
      </c>
      <c r="E213" s="85"/>
      <c r="O213" s="79" t="s">
        <v>255</v>
      </c>
      <c r="P213" s="6"/>
      <c r="Q213" s="6"/>
      <c r="R213" s="6"/>
      <c r="S213" s="6"/>
      <c r="T213" s="6"/>
      <c r="U213" s="6"/>
      <c r="V213" s="6"/>
      <c r="W213" s="6"/>
      <c r="X213" s="6"/>
      <c r="Y213" s="20"/>
      <c r="Z213" s="20"/>
      <c r="AA213" s="20"/>
    </row>
    <row r="214" spans="1:27" ht="15">
      <c r="A214" s="87" t="s">
        <v>297</v>
      </c>
      <c r="E214" s="85"/>
      <c r="O214" s="137" t="s">
        <v>365</v>
      </c>
      <c r="P214" s="6"/>
      <c r="Q214" s="6"/>
      <c r="R214" s="6"/>
      <c r="S214" s="6"/>
      <c r="T214" s="6"/>
      <c r="U214" s="6"/>
      <c r="V214" s="6"/>
      <c r="W214" s="6"/>
      <c r="X214" s="6"/>
      <c r="Y214" s="20"/>
      <c r="Z214" s="20"/>
      <c r="AA214" s="20"/>
    </row>
    <row r="215" spans="1:27" ht="15">
      <c r="A215" s="87" t="s">
        <v>259</v>
      </c>
      <c r="E215" s="85"/>
      <c r="O215" s="137" t="s">
        <v>3022</v>
      </c>
      <c r="P215" s="6"/>
      <c r="Q215" s="6"/>
      <c r="R215" s="6"/>
      <c r="S215" s="6"/>
      <c r="T215" s="6"/>
      <c r="U215" s="6"/>
      <c r="V215" s="6"/>
      <c r="W215" s="6"/>
      <c r="X215" s="6"/>
      <c r="Y215" s="20"/>
      <c r="Z215" s="20"/>
      <c r="AA215" s="20"/>
    </row>
    <row r="216" spans="1:27" ht="15">
      <c r="A216" s="87" t="s">
        <v>266</v>
      </c>
      <c r="E216" s="85"/>
      <c r="O216" s="149"/>
      <c r="P216" s="6"/>
      <c r="Q216" s="6"/>
      <c r="R216" s="6"/>
      <c r="S216" s="6"/>
      <c r="T216" s="6"/>
      <c r="U216" s="6"/>
      <c r="V216" s="6"/>
      <c r="W216" s="6"/>
      <c r="X216" s="6"/>
      <c r="Y216" s="20"/>
      <c r="Z216" s="20"/>
      <c r="AA216" s="20"/>
    </row>
    <row r="217" spans="1:27" ht="15.75">
      <c r="A217" s="87" t="s">
        <v>292</v>
      </c>
      <c r="E217" s="85"/>
      <c r="O217" s="86" t="s">
        <v>219</v>
      </c>
      <c r="P217" s="6"/>
      <c r="Q217" s="6"/>
      <c r="R217" s="6"/>
      <c r="S217" s="6"/>
      <c r="T217" s="6"/>
      <c r="U217" s="6"/>
      <c r="V217" s="6"/>
      <c r="W217" s="6"/>
      <c r="X217" s="6"/>
      <c r="Y217" s="20"/>
      <c r="Z217" s="20"/>
      <c r="AA217" s="20"/>
    </row>
    <row r="218" spans="1:27" ht="15">
      <c r="A218" s="87" t="s">
        <v>290</v>
      </c>
      <c r="E218" s="85"/>
      <c r="O218" s="87" t="s">
        <v>223</v>
      </c>
      <c r="P218" s="6"/>
      <c r="Q218" s="6"/>
      <c r="R218" s="6"/>
      <c r="S218" s="6"/>
      <c r="T218" s="6"/>
      <c r="U218" s="6"/>
      <c r="V218" s="6"/>
      <c r="W218" s="6"/>
      <c r="X218" s="6"/>
      <c r="Y218" s="20"/>
      <c r="Z218" s="20"/>
      <c r="AA218" s="20"/>
    </row>
    <row r="219" spans="1:27" ht="15">
      <c r="A219" s="87" t="s">
        <v>2481</v>
      </c>
      <c r="E219" s="85"/>
      <c r="O219" s="87" t="s">
        <v>224</v>
      </c>
      <c r="P219" s="6"/>
      <c r="Q219" s="6"/>
      <c r="R219" s="6"/>
      <c r="S219" s="6"/>
      <c r="T219" s="6"/>
      <c r="U219" s="6"/>
      <c r="V219" s="6"/>
      <c r="W219" s="6"/>
      <c r="X219" s="6"/>
      <c r="Y219" s="20"/>
      <c r="Z219" s="20"/>
      <c r="AA219" s="20"/>
    </row>
    <row r="220" spans="1:27" ht="15">
      <c r="A220" s="85"/>
      <c r="E220" s="85"/>
      <c r="O220" s="87" t="s">
        <v>231</v>
      </c>
      <c r="P220" s="6"/>
      <c r="Q220" s="6"/>
      <c r="R220" s="6"/>
      <c r="S220" s="6"/>
      <c r="T220" s="6"/>
      <c r="U220" s="6"/>
      <c r="V220" s="6"/>
      <c r="W220" s="6"/>
      <c r="X220" s="6"/>
      <c r="Y220" s="20"/>
      <c r="Z220" s="20"/>
      <c r="AA220" s="20"/>
    </row>
    <row r="221" spans="1:27" ht="15">
      <c r="A221" s="85"/>
      <c r="O221" s="87" t="s">
        <v>337</v>
      </c>
      <c r="P221" s="6"/>
      <c r="Q221" s="6"/>
      <c r="R221" s="6"/>
      <c r="S221" s="6"/>
      <c r="T221" s="6"/>
      <c r="U221" s="6"/>
      <c r="V221" s="6"/>
      <c r="W221" s="6"/>
      <c r="X221" s="6"/>
      <c r="Y221" s="20"/>
      <c r="Z221" s="20"/>
      <c r="AA221" s="20"/>
    </row>
    <row r="222" spans="1:27" ht="15">
      <c r="A222" s="85"/>
      <c r="O222" s="87" t="s">
        <v>226</v>
      </c>
      <c r="P222" s="6"/>
      <c r="Q222" s="6"/>
      <c r="R222" s="6"/>
      <c r="S222" s="6"/>
      <c r="T222" s="6"/>
      <c r="U222" s="6"/>
      <c r="V222" s="6"/>
      <c r="W222" s="6"/>
      <c r="X222" s="6"/>
      <c r="Y222" s="20"/>
      <c r="Z222" s="20"/>
      <c r="AA222" s="20"/>
    </row>
    <row r="223" spans="1:27" ht="15">
      <c r="O223" s="87" t="s">
        <v>220</v>
      </c>
      <c r="P223" s="20"/>
      <c r="Q223" s="20"/>
      <c r="R223" s="20"/>
      <c r="S223" s="20"/>
      <c r="T223" s="20"/>
      <c r="U223" s="20"/>
      <c r="V223" s="20"/>
      <c r="W223" s="20"/>
      <c r="X223" s="20"/>
      <c r="Y223" s="128"/>
      <c r="Z223" s="128"/>
      <c r="AA223" s="128"/>
    </row>
    <row r="224" spans="1:27" ht="15">
      <c r="O224" s="87" t="s">
        <v>225</v>
      </c>
      <c r="P224" s="122"/>
      <c r="Q224" s="122"/>
      <c r="R224" s="122"/>
      <c r="S224" s="192"/>
      <c r="T224" s="192"/>
      <c r="U224" s="192"/>
      <c r="V224" s="192"/>
      <c r="W224" s="192"/>
      <c r="X224" s="192"/>
      <c r="Y224" s="192"/>
      <c r="Z224" s="192"/>
      <c r="AA224" s="192"/>
    </row>
    <row r="225" spans="15:15" ht="15">
      <c r="O225" s="87" t="s">
        <v>1051</v>
      </c>
    </row>
    <row r="226" spans="15:15" ht="15">
      <c r="O226" s="87" t="s">
        <v>222</v>
      </c>
    </row>
    <row r="227" spans="15:15" ht="15">
      <c r="O227" s="87" t="s">
        <v>298</v>
      </c>
    </row>
    <row r="228" spans="15:15" ht="15">
      <c r="O228" s="87" t="s">
        <v>492</v>
      </c>
    </row>
    <row r="229" spans="15:15" ht="15">
      <c r="O229" s="87" t="s">
        <v>227</v>
      </c>
    </row>
    <row r="230" spans="15:15" ht="15">
      <c r="O230" s="87" t="s">
        <v>228</v>
      </c>
    </row>
    <row r="231" spans="15:15" ht="15">
      <c r="O231" s="87" t="s">
        <v>229</v>
      </c>
    </row>
    <row r="232" spans="15:15" ht="15.75">
      <c r="O232" s="88" t="s">
        <v>258</v>
      </c>
    </row>
    <row r="233" spans="15:15" ht="15">
      <c r="O233" s="87" t="s">
        <v>779</v>
      </c>
    </row>
    <row r="234" spans="15:15" ht="15">
      <c r="O234" s="87" t="s">
        <v>230</v>
      </c>
    </row>
    <row r="235" spans="15:15" ht="15">
      <c r="O235" s="87" t="s">
        <v>232</v>
      </c>
    </row>
    <row r="236" spans="15:15" ht="15">
      <c r="O236" s="87" t="s">
        <v>233</v>
      </c>
    </row>
    <row r="237" spans="15:15" ht="15">
      <c r="O237" s="87" t="s">
        <v>234</v>
      </c>
    </row>
    <row r="238" spans="15:15" ht="15">
      <c r="O238" s="87" t="s">
        <v>235</v>
      </c>
    </row>
    <row r="239" spans="15:15" ht="15">
      <c r="O239" s="87" t="s">
        <v>236</v>
      </c>
    </row>
    <row r="240" spans="15:15" ht="15">
      <c r="O240" s="87" t="s">
        <v>237</v>
      </c>
    </row>
    <row r="241" spans="15:15" ht="15">
      <c r="O241" s="87" t="s">
        <v>238</v>
      </c>
    </row>
    <row r="242" spans="15:15" ht="15">
      <c r="O242" s="87" t="s">
        <v>239</v>
      </c>
    </row>
    <row r="243" spans="15:15" ht="15">
      <c r="O243" s="87" t="s">
        <v>240</v>
      </c>
    </row>
    <row r="244" spans="15:15" ht="15">
      <c r="O244" s="87" t="s">
        <v>241</v>
      </c>
    </row>
    <row r="245" spans="15:15" ht="15">
      <c r="O245" s="87" t="s">
        <v>242</v>
      </c>
    </row>
    <row r="246" spans="15:15" ht="15">
      <c r="O246" s="87" t="s">
        <v>243</v>
      </c>
    </row>
    <row r="247" spans="15:15" ht="15">
      <c r="O247" s="87" t="s">
        <v>244</v>
      </c>
    </row>
    <row r="248" spans="15:15" ht="15">
      <c r="O248" s="87" t="s">
        <v>416</v>
      </c>
    </row>
    <row r="249" spans="15:15" ht="15">
      <c r="O249" s="87" t="s">
        <v>245</v>
      </c>
    </row>
    <row r="250" spans="15:15" ht="15">
      <c r="O250" s="87" t="s">
        <v>246</v>
      </c>
    </row>
    <row r="251" spans="15:15" ht="15.75">
      <c r="O251" s="88" t="s">
        <v>260</v>
      </c>
    </row>
    <row r="252" spans="15:15" ht="15">
      <c r="O252" s="87" t="s">
        <v>261</v>
      </c>
    </row>
    <row r="253" spans="15:15" ht="15">
      <c r="O253" s="87" t="s">
        <v>415</v>
      </c>
    </row>
    <row r="254" spans="15:15" ht="15">
      <c r="O254" s="87" t="s">
        <v>281</v>
      </c>
    </row>
    <row r="255" spans="15:15" ht="15">
      <c r="O255" s="87" t="s">
        <v>282</v>
      </c>
    </row>
    <row r="256" spans="15:15" ht="15">
      <c r="O256" s="87" t="s">
        <v>466</v>
      </c>
    </row>
    <row r="257" spans="15:15" ht="15">
      <c r="O257" s="87"/>
    </row>
    <row r="258" spans="15:15" ht="15">
      <c r="O258" s="87"/>
    </row>
    <row r="259" spans="15:15" ht="15">
      <c r="O259" s="87"/>
    </row>
    <row r="260" spans="15:15" ht="15">
      <c r="O260" s="87"/>
    </row>
    <row r="261" spans="15:15" ht="15">
      <c r="O261" s="85"/>
    </row>
    <row r="262" spans="15:15" ht="15">
      <c r="O262" s="85"/>
    </row>
    <row r="263" spans="15:15" ht="15">
      <c r="O263" s="85"/>
    </row>
    <row r="264" spans="15:15" ht="15">
      <c r="O264" s="85"/>
    </row>
    <row r="265" spans="15:15" ht="15">
      <c r="O265" s="85"/>
    </row>
    <row r="266" spans="15:15" ht="15">
      <c r="O266" s="85"/>
    </row>
    <row r="267" spans="15:15" ht="15">
      <c r="O267" s="85"/>
    </row>
    <row r="268" spans="15:15" ht="15">
      <c r="O268" s="85"/>
    </row>
    <row r="269" spans="15:15" ht="15">
      <c r="O269" s="85"/>
    </row>
    <row r="270" spans="15:15" ht="15">
      <c r="O270" s="85"/>
    </row>
    <row r="271" spans="15:15" ht="15">
      <c r="O271" s="85"/>
    </row>
    <row r="272" spans="15:15" ht="15">
      <c r="O272" s="85"/>
    </row>
    <row r="273" spans="15:15" ht="15">
      <c r="O273" s="85"/>
    </row>
    <row r="274" spans="15:15" ht="15">
      <c r="O274" s="85"/>
    </row>
    <row r="275" spans="15:15" ht="15">
      <c r="O275" s="85"/>
    </row>
    <row r="276" spans="15:15" ht="15">
      <c r="O276" s="85"/>
    </row>
    <row r="277" spans="15:15" ht="15">
      <c r="O277" s="85"/>
    </row>
    <row r="278" spans="15:15" ht="15">
      <c r="O278" s="85"/>
    </row>
    <row r="279" spans="15:15" ht="15">
      <c r="O279" s="85"/>
    </row>
    <row r="280" spans="15:15" ht="15">
      <c r="O280" s="85"/>
    </row>
    <row r="281" spans="15:15" ht="15">
      <c r="O281" s="85"/>
    </row>
    <row r="282" spans="15:15" ht="15">
      <c r="O282" s="85"/>
    </row>
    <row r="283" spans="15:15" ht="15">
      <c r="O283" s="85"/>
    </row>
  </sheetData>
  <customSheetViews>
    <customSheetView guid="{D997317D-46B4-4E93-AA86-F695F9635136}" showPageBreaks="1" showGridLines="0" printArea="1" hiddenRows="1" view="pageBreakPreview">
      <pane ySplit="63" topLeftCell="A65" activePane="bottomLeft" state="frozen"/>
      <selection pane="bottomLeft" activeCell="Q102" sqref="Q102"/>
      <pageMargins left="0.5" right="0.25" top="0.5" bottom="0" header="0" footer="0"/>
      <pageSetup paperSize="9" scale="80" orientation="portrait" blackAndWhite="1" verticalDpi="1200" r:id="rId1"/>
    </customSheetView>
    <customSheetView guid="{6826DE42-EC4E-4370-9C51-092514CB29F6}" showPageBreaks="1" showGridLines="0" printArea="1" hiddenRows="1" view="pageBreakPreview" topLeftCell="B1">
      <pane ySplit="267" topLeftCell="A269" activePane="bottomLeft" state="frozen"/>
      <selection pane="bottomLeft" activeCell="R320" sqref="R320"/>
      <pageMargins left="0.5" right="0.25" top="0.5" bottom="0" header="0" footer="0"/>
      <pageSetup paperSize="9" scale="80" orientation="portrait" blackAndWhite="1" verticalDpi="1200" r:id="rId2"/>
    </customSheetView>
    <customSheetView guid="{19823771-A49F-4071-A851-0608225F2D21}" showPageBreaks="1" showGridLines="0" printArea="1" hiddenRows="1" view="pageBreakPreview">
      <pane ySplit="63" topLeftCell="A65" activePane="bottomLeft" state="frozen"/>
      <selection pane="bottomLeft" activeCell="Q102" sqref="Q102"/>
      <pageMargins left="0.5" right="0.25" top="0.5" bottom="0" header="0" footer="0"/>
      <pageSetup paperSize="9" scale="80" orientation="portrait" blackAndWhite="1" verticalDpi="1200" r:id="rId3"/>
    </customSheetView>
  </customSheetViews>
  <mergeCells count="79">
    <mergeCell ref="B119:D119"/>
    <mergeCell ref="E119:G119"/>
    <mergeCell ref="H119:J119"/>
    <mergeCell ref="K119:M119"/>
    <mergeCell ref="C178:D178"/>
    <mergeCell ref="F178:G178"/>
    <mergeCell ref="A156:D156"/>
    <mergeCell ref="E156:G156"/>
    <mergeCell ref="E137:G137"/>
    <mergeCell ref="K137:M137"/>
    <mergeCell ref="B138:D138"/>
    <mergeCell ref="E138:G138"/>
    <mergeCell ref="H138:J138"/>
    <mergeCell ref="K138:M138"/>
    <mergeCell ref="B100:D100"/>
    <mergeCell ref="E100:G100"/>
    <mergeCell ref="B62:D62"/>
    <mergeCell ref="E62:G62"/>
    <mergeCell ref="E61:G61"/>
    <mergeCell ref="E99:G99"/>
    <mergeCell ref="B81:D81"/>
    <mergeCell ref="E81:G81"/>
    <mergeCell ref="E118:G118"/>
    <mergeCell ref="K62:M62"/>
    <mergeCell ref="K61:M61"/>
    <mergeCell ref="Y163:AA163"/>
    <mergeCell ref="P163:R163"/>
    <mergeCell ref="V163:X163"/>
    <mergeCell ref="K80:M80"/>
    <mergeCell ref="K100:M100"/>
    <mergeCell ref="Y162:AA162"/>
    <mergeCell ref="K81:M81"/>
    <mergeCell ref="K99:M99"/>
    <mergeCell ref="K118:M118"/>
    <mergeCell ref="E80:G80"/>
    <mergeCell ref="S224:U224"/>
    <mergeCell ref="V224:X224"/>
    <mergeCell ref="Y224:AA224"/>
    <mergeCell ref="S183:U183"/>
    <mergeCell ref="Y183:AA183"/>
    <mergeCell ref="S184:U184"/>
    <mergeCell ref="V184:X184"/>
    <mergeCell ref="Y184:AA184"/>
    <mergeCell ref="S204:U204"/>
    <mergeCell ref="V204:X204"/>
    <mergeCell ref="Y204:AA204"/>
    <mergeCell ref="P204:R204"/>
    <mergeCell ref="S162:U162"/>
    <mergeCell ref="K156:M156"/>
    <mergeCell ref="P184:R184"/>
    <mergeCell ref="K190:L190"/>
    <mergeCell ref="L178:M178"/>
    <mergeCell ref="S163:U163"/>
    <mergeCell ref="H189:I189"/>
    <mergeCell ref="I178:J178"/>
    <mergeCell ref="H43:J43"/>
    <mergeCell ref="H25:J25"/>
    <mergeCell ref="H62:J62"/>
    <mergeCell ref="H81:J81"/>
    <mergeCell ref="H100:J100"/>
    <mergeCell ref="H156:J156"/>
    <mergeCell ref="A1:M1"/>
    <mergeCell ref="A2:M2"/>
    <mergeCell ref="A3:M3"/>
    <mergeCell ref="K4:L4"/>
    <mergeCell ref="K6:M6"/>
    <mergeCell ref="B6:D6"/>
    <mergeCell ref="E6:G6"/>
    <mergeCell ref="H6:J6"/>
    <mergeCell ref="K24:M24"/>
    <mergeCell ref="E24:G24"/>
    <mergeCell ref="B25:D25"/>
    <mergeCell ref="E25:G25"/>
    <mergeCell ref="K43:M43"/>
    <mergeCell ref="K42:M42"/>
    <mergeCell ref="K25:M25"/>
    <mergeCell ref="E42:G42"/>
    <mergeCell ref="B43:D43"/>
    <mergeCell ref="E43:G43"/>
  </mergeCells>
  <dataValidations count="2">
    <dataValidation type="list" allowBlank="1" showInputMessage="1" showErrorMessage="1" sqref="C15 C71 Q191 Q170 Q211 C33 C52 C90 C109 C128 C147" xr:uid="{00000000-0002-0000-0100-000000000000}">
      <formula1>$B$179:$B$190</formula1>
    </dataValidation>
    <dataValidation type="list" allowBlank="1" showInputMessage="1" showErrorMessage="1" sqref="E198" xr:uid="{00000000-0002-0000-0100-000001000000}">
      <formula1>$B$179:$B$194</formula1>
    </dataValidation>
  </dataValidations>
  <pageMargins left="0.5" right="0.25" top="0.5" bottom="0" header="0" footer="0"/>
  <pageSetup paperSize="9" scale="78" orientation="portrait" blackAndWhite="1" verticalDpi="1200" r:id="rId4"/>
  <colBreaks count="1" manualBreakCount="1">
    <brk id="13" max="117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Q1229"/>
  <sheetViews>
    <sheetView showGridLines="0" view="pageBreakPreview" zoomScaleNormal="100" zoomScaleSheetLayoutView="100" workbookViewId="0">
      <pane xSplit="12" ySplit="7" topLeftCell="M549" activePane="bottomRight" state="frozen"/>
      <selection pane="topRight" activeCell="M1" sqref="M1"/>
      <selection pane="bottomLeft" activeCell="A8" sqref="A8"/>
      <selection pane="bottomRight" activeCell="T556" sqref="T556"/>
    </sheetView>
  </sheetViews>
  <sheetFormatPr defaultColWidth="9.140625" defaultRowHeight="12" customHeight="1"/>
  <cols>
    <col min="1" max="1" width="13.85546875" style="6" customWidth="1"/>
    <col min="2" max="2" width="13.140625" style="33" customWidth="1"/>
    <col min="3" max="3" width="14.5703125" style="6" customWidth="1"/>
    <col min="4" max="4" width="12.42578125" style="6" customWidth="1"/>
    <col min="5" max="5" width="4.5703125" style="6" customWidth="1"/>
    <col min="6" max="6" width="4" style="6" customWidth="1"/>
    <col min="7" max="7" width="19.28515625" style="107" customWidth="1"/>
    <col min="8" max="8" width="10.140625" style="6" customWidth="1"/>
    <col min="9" max="9" width="6.5703125" style="6" customWidth="1"/>
    <col min="10" max="10" width="5" style="6" customWidth="1"/>
    <col min="11" max="11" width="4.85546875" style="6" customWidth="1"/>
    <col min="12" max="12" width="7.5703125" style="20" customWidth="1"/>
    <col min="13" max="14" width="6.85546875" style="6" customWidth="1"/>
    <col min="15" max="15" width="6.5703125" style="6" hidden="1" customWidth="1"/>
    <col min="16" max="16" width="6" style="6" hidden="1" customWidth="1"/>
    <col min="17" max="17" width="4.42578125" style="6" hidden="1" customWidth="1"/>
    <col min="18" max="18" width="6.28515625" style="20" hidden="1" customWidth="1"/>
    <col min="19" max="19" width="9.28515625" style="6" customWidth="1"/>
    <col min="20" max="20" width="8.28515625" style="6" customWidth="1"/>
    <col min="21" max="21" width="7.28515625" style="17" customWidth="1"/>
    <col min="22" max="22" width="7.140625" style="17" hidden="1" customWidth="1"/>
    <col min="23" max="23" width="6.5703125" style="6" hidden="1" customWidth="1"/>
    <col min="24" max="24" width="7.85546875" style="17" hidden="1" customWidth="1"/>
    <col min="25" max="25" width="6.5703125" style="6" customWidth="1"/>
    <col min="26" max="26" width="5.28515625" style="6" customWidth="1"/>
    <col min="27" max="27" width="4.42578125" style="6" customWidth="1"/>
    <col min="28" max="28" width="6.7109375" style="6" customWidth="1"/>
    <col min="29" max="29" width="9.28515625" style="6" hidden="1" customWidth="1"/>
    <col min="30" max="30" width="6.85546875" style="17" hidden="1" customWidth="1"/>
    <col min="31" max="31" width="6.5703125" style="6" hidden="1" customWidth="1"/>
    <col min="32" max="32" width="6.7109375" style="17" hidden="1" customWidth="1"/>
    <col min="33" max="33" width="7.140625" style="6" hidden="1" customWidth="1"/>
    <col min="34" max="34" width="7.7109375" style="6" hidden="1" customWidth="1"/>
    <col min="35" max="35" width="9.28515625" style="6" hidden="1" customWidth="1"/>
    <col min="36" max="36" width="6.85546875" style="17" hidden="1" customWidth="1"/>
    <col min="37" max="37" width="6.5703125" style="6" hidden="1" customWidth="1"/>
    <col min="38" max="38" width="6.85546875" style="17" hidden="1" customWidth="1"/>
    <col min="39" max="39" width="7.140625" style="6" hidden="1" customWidth="1"/>
    <col min="40" max="40" width="7.7109375" style="6" hidden="1" customWidth="1"/>
    <col min="41" max="41" width="9.28515625" style="6" hidden="1" customWidth="1"/>
    <col min="42" max="42" width="6.85546875" style="17" hidden="1" customWidth="1"/>
    <col min="43" max="43" width="6.5703125" style="6" hidden="1" customWidth="1"/>
    <col min="44" max="44" width="7" style="17" hidden="1" customWidth="1"/>
    <col min="45" max="45" width="7.140625" style="6" hidden="1" customWidth="1"/>
    <col min="46" max="46" width="7.7109375" style="6" hidden="1" customWidth="1"/>
    <col min="47" max="47" width="9.28515625" style="6" hidden="1" customWidth="1"/>
    <col min="48" max="48" width="7" style="17" hidden="1" customWidth="1"/>
    <col min="49" max="49" width="6.5703125" style="6" hidden="1" customWidth="1"/>
    <col min="50" max="50" width="6.85546875" style="17" hidden="1" customWidth="1"/>
    <col min="51" max="51" width="7.140625" style="6" hidden="1" customWidth="1"/>
    <col min="52" max="52" width="7.7109375" style="6" hidden="1" customWidth="1"/>
    <col min="53" max="53" width="9.28515625" style="6" hidden="1" customWidth="1"/>
    <col min="54" max="54" width="6.7109375" style="17" hidden="1" customWidth="1"/>
    <col min="55" max="55" width="6.5703125" style="6" hidden="1" customWidth="1"/>
    <col min="56" max="56" width="6.7109375" style="17" hidden="1" customWidth="1"/>
    <col min="57" max="57" width="7.140625" style="6" hidden="1" customWidth="1"/>
    <col min="58" max="58" width="7.7109375" style="6" hidden="1" customWidth="1"/>
    <col min="59" max="59" width="9.28515625" style="6" hidden="1" customWidth="1"/>
    <col min="60" max="60" width="7" style="17" hidden="1" customWidth="1"/>
    <col min="61" max="61" width="6.5703125" style="6" hidden="1" customWidth="1"/>
    <col min="62" max="62" width="7" style="17" hidden="1" customWidth="1"/>
    <col min="63" max="63" width="7.140625" style="6" hidden="1" customWidth="1"/>
    <col min="64" max="65" width="7.7109375" style="6" hidden="1" customWidth="1"/>
    <col min="66" max="69" width="7.42578125" style="6" customWidth="1"/>
    <col min="70" max="71" width="4.7109375" style="6" customWidth="1"/>
    <col min="72" max="72" width="6.140625" style="6" customWidth="1"/>
    <col min="73" max="73" width="6.5703125" style="6" customWidth="1"/>
    <col min="74" max="74" width="6.140625" style="6" customWidth="1"/>
    <col min="75" max="75" width="6" style="6" customWidth="1"/>
    <col min="76" max="76" width="6.140625" style="6" customWidth="1"/>
    <col min="77" max="77" width="4.7109375" style="6" customWidth="1"/>
    <col min="78" max="78" width="5.7109375" style="6" customWidth="1"/>
    <col min="79" max="79" width="8" style="6" customWidth="1"/>
    <col min="80" max="80" width="6.140625" style="6" customWidth="1"/>
    <col min="81" max="81" width="5.5703125" style="6" customWidth="1"/>
    <col min="82" max="82" width="6.7109375" style="6" customWidth="1"/>
    <col min="83" max="83" width="9" style="6" customWidth="1"/>
    <col min="84" max="84" width="9.7109375" style="6" customWidth="1"/>
    <col min="85" max="85" width="12.7109375" style="6" customWidth="1"/>
    <col min="86" max="86" width="8.7109375" style="6" customWidth="1"/>
    <col min="87" max="87" width="7.85546875" style="18" customWidth="1"/>
    <col min="88" max="100" width="9.140625" style="6"/>
    <col min="101" max="101" width="15.85546875" style="6" bestFit="1" customWidth="1"/>
    <col min="102" max="102" width="9.140625" style="6"/>
    <col min="103" max="103" width="19" style="6" bestFit="1" customWidth="1"/>
    <col min="104" max="108" width="9.140625" style="6"/>
    <col min="109" max="109" width="15.140625" style="6" customWidth="1"/>
    <col min="110" max="112" width="9.140625" style="6"/>
    <col min="113" max="113" width="14.140625" style="6" customWidth="1"/>
    <col min="114" max="116" width="9.140625" style="6"/>
    <col min="117" max="117" width="15.140625" style="6" customWidth="1"/>
    <col min="118" max="120" width="9.140625" style="6"/>
    <col min="121" max="121" width="15.140625" style="6" customWidth="1"/>
    <col min="122" max="140" width="9.140625" style="6"/>
    <col min="141" max="141" width="14.140625" style="6" customWidth="1"/>
    <col min="142" max="16384" width="9.140625" style="6"/>
  </cols>
  <sheetData>
    <row r="1" spans="1:147" ht="25.5" customHeight="1">
      <c r="B1" s="213" t="s">
        <v>11</v>
      </c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178"/>
      <c r="BX1" s="178"/>
      <c r="BY1" s="178"/>
      <c r="BZ1" s="178"/>
      <c r="CA1" s="178"/>
      <c r="CB1" s="178"/>
      <c r="CC1" s="178"/>
      <c r="CD1" s="178"/>
      <c r="CE1" s="178"/>
      <c r="CF1" s="178"/>
      <c r="CG1" s="178"/>
      <c r="CH1" s="178"/>
      <c r="CI1" s="13"/>
      <c r="CO1" s="48">
        <f ca="1">TODAY()</f>
        <v>46283</v>
      </c>
      <c r="CP1" s="12"/>
      <c r="CQ1" s="12"/>
      <c r="CT1" s="214" t="s">
        <v>184</v>
      </c>
      <c r="CU1" s="214"/>
      <c r="CV1" s="7" t="s">
        <v>18</v>
      </c>
      <c r="CW1" s="7" t="s">
        <v>18</v>
      </c>
      <c r="CX1" s="8" t="s">
        <v>117</v>
      </c>
      <c r="CY1" s="9" t="s">
        <v>119</v>
      </c>
      <c r="CZ1" s="7" t="s">
        <v>131</v>
      </c>
      <c r="DA1" s="7" t="s">
        <v>18</v>
      </c>
      <c r="DB1" s="8" t="s">
        <v>117</v>
      </c>
      <c r="DC1" s="9" t="s">
        <v>121</v>
      </c>
      <c r="DD1" s="7" t="s">
        <v>131</v>
      </c>
      <c r="DE1" s="7" t="s">
        <v>18</v>
      </c>
      <c r="DF1" s="8" t="s">
        <v>117</v>
      </c>
      <c r="DG1" s="9" t="s">
        <v>121</v>
      </c>
      <c r="DH1" s="7"/>
      <c r="DI1" s="7" t="s">
        <v>18</v>
      </c>
      <c r="DJ1" s="8" t="s">
        <v>117</v>
      </c>
      <c r="DK1" s="8" t="s">
        <v>119</v>
      </c>
      <c r="DL1" s="7" t="s">
        <v>131</v>
      </c>
      <c r="DM1" s="7" t="s">
        <v>18</v>
      </c>
      <c r="DN1" s="8" t="s">
        <v>117</v>
      </c>
      <c r="DO1" s="9" t="s">
        <v>121</v>
      </c>
      <c r="DP1" s="7" t="s">
        <v>132</v>
      </c>
      <c r="DQ1" s="7" t="s">
        <v>18</v>
      </c>
      <c r="DR1" s="8" t="s">
        <v>117</v>
      </c>
      <c r="DS1" s="9" t="s">
        <v>119</v>
      </c>
      <c r="DT1" s="7" t="s">
        <v>18</v>
      </c>
      <c r="DU1" s="7" t="s">
        <v>18</v>
      </c>
      <c r="DV1" s="8" t="s">
        <v>117</v>
      </c>
      <c r="DW1" s="9" t="s">
        <v>119</v>
      </c>
      <c r="DX1" s="7" t="s">
        <v>131</v>
      </c>
      <c r="DY1" s="7" t="s">
        <v>18</v>
      </c>
      <c r="DZ1" s="8" t="s">
        <v>117</v>
      </c>
      <c r="EA1" s="9" t="s">
        <v>121</v>
      </c>
      <c r="EB1" s="7" t="s">
        <v>131</v>
      </c>
      <c r="EC1" s="7" t="s">
        <v>18</v>
      </c>
      <c r="ED1" s="8" t="s">
        <v>117</v>
      </c>
      <c r="EE1" s="9" t="s">
        <v>121</v>
      </c>
      <c r="EF1" s="7"/>
      <c r="EG1" s="7" t="s">
        <v>18</v>
      </c>
      <c r="EH1" s="8" t="s">
        <v>117</v>
      </c>
      <c r="EI1" s="8" t="s">
        <v>119</v>
      </c>
      <c r="EJ1" s="7" t="s">
        <v>131</v>
      </c>
      <c r="EK1" s="7" t="s">
        <v>18</v>
      </c>
      <c r="EL1" s="8" t="s">
        <v>117</v>
      </c>
      <c r="EM1" s="9" t="s">
        <v>121</v>
      </c>
      <c r="EN1" s="7" t="s">
        <v>132</v>
      </c>
      <c r="EO1" s="7" t="s">
        <v>18</v>
      </c>
      <c r="EP1" s="8" t="s">
        <v>117</v>
      </c>
      <c r="EQ1" s="9" t="s">
        <v>119</v>
      </c>
    </row>
    <row r="2" spans="1:147" ht="20.25" customHeight="1">
      <c r="B2" s="215" t="s">
        <v>569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79"/>
      <c r="AM2" s="179"/>
      <c r="AN2" s="179"/>
      <c r="AO2" s="179"/>
      <c r="AP2" s="179"/>
      <c r="AQ2" s="179"/>
      <c r="AR2" s="179"/>
      <c r="AS2" s="179"/>
      <c r="AT2" s="179"/>
      <c r="AU2" s="179"/>
      <c r="AV2" s="179"/>
      <c r="AW2" s="179"/>
      <c r="AX2" s="179"/>
      <c r="AY2" s="179"/>
      <c r="AZ2" s="179"/>
      <c r="BA2" s="179"/>
      <c r="BB2" s="179"/>
      <c r="BC2" s="179"/>
      <c r="BD2" s="179"/>
      <c r="BE2" s="179"/>
      <c r="BF2" s="179"/>
      <c r="BG2" s="179"/>
      <c r="BH2" s="179"/>
      <c r="BI2" s="179"/>
      <c r="BJ2" s="179"/>
      <c r="BK2" s="179"/>
      <c r="BL2" s="179"/>
      <c r="BM2" s="179"/>
      <c r="BN2" s="179"/>
      <c r="BO2" s="179"/>
      <c r="BP2" s="179"/>
      <c r="BQ2" s="179"/>
      <c r="BR2" s="179"/>
      <c r="BS2" s="179"/>
      <c r="BT2" s="179"/>
      <c r="BU2" s="179"/>
      <c r="BV2" s="179"/>
      <c r="BW2" s="179"/>
      <c r="BX2" s="179"/>
      <c r="BY2" s="179"/>
      <c r="BZ2" s="179"/>
      <c r="CA2" s="179"/>
      <c r="CB2" s="179"/>
      <c r="CC2" s="179"/>
      <c r="CD2" s="179"/>
      <c r="CE2" s="179"/>
      <c r="CF2" s="179"/>
      <c r="CG2" s="179"/>
      <c r="CH2" s="179"/>
      <c r="CI2" s="14"/>
      <c r="CP2" s="12"/>
      <c r="CQ2" s="12"/>
      <c r="CT2" s="214"/>
      <c r="CU2" s="214"/>
      <c r="CV2" s="10">
        <v>1</v>
      </c>
      <c r="CW2" s="11" t="s">
        <v>50</v>
      </c>
      <c r="CX2" s="24">
        <f>SUMIFS($L$7:$L$1245,$A$7:$A$1245,CW2,$CI$7:$CI$1245,CV2)</f>
        <v>30996</v>
      </c>
      <c r="CY2" s="24">
        <f>SUMIFS($CD$7:$CD$1245,$A$7:$A$1245,CW2,$CI$7:$CI$1245,CV2)</f>
        <v>-139</v>
      </c>
      <c r="CZ2" s="10">
        <v>1</v>
      </c>
      <c r="DA2" s="11" t="s">
        <v>128</v>
      </c>
      <c r="DB2" s="24">
        <f>SUMIFS($L$7:$L$1245,$A$7:$A$1245,DA2,$CI$7:$CI$1245,CZ2)</f>
        <v>579</v>
      </c>
      <c r="DC2" s="24">
        <f>SUMIFS($CD$7:$CD$1245,$A$7:$A$1245,DA2,$CI$7:$CI$1245,CZ2)</f>
        <v>-378</v>
      </c>
      <c r="DD2" s="10">
        <v>2</v>
      </c>
      <c r="DE2" s="11" t="s">
        <v>50</v>
      </c>
      <c r="DF2" s="24">
        <f>SUMIFS($L$7:$L$1245,$A$7:$A$1245,DE2,$CI$7:$CI$1245,DD2)</f>
        <v>11696</v>
      </c>
      <c r="DG2" s="24">
        <f>SUMIFS($CD$7:$CD$1245,$A$7:$A$1245,DE2,$CI$7:$CI$1245,DD2)</f>
        <v>-48</v>
      </c>
      <c r="DH2" s="10">
        <v>2</v>
      </c>
      <c r="DI2" s="11" t="s">
        <v>128</v>
      </c>
      <c r="DJ2" s="24">
        <f>SUMIFS($L$7:$L$1245,$A$7:$A$1245,DI2,$CI$7:$CI$1245,DH2)</f>
        <v>0</v>
      </c>
      <c r="DK2" s="24">
        <f>SUMIFS($CD$7:$CD$1245,$A$7:$A$1245,DI2,$CI$7:$CI$1245,DH2)</f>
        <v>0</v>
      </c>
      <c r="DL2" s="10">
        <v>3</v>
      </c>
      <c r="DM2" s="11" t="s">
        <v>50</v>
      </c>
      <c r="DN2" s="24">
        <f>SUMIFS($L$7:$L$1245,$A$7:$A$1245,DM2,$CI$7:$CI$1245,DL2)</f>
        <v>4825</v>
      </c>
      <c r="DO2" s="24">
        <f>SUMIFS($CD$7:$CD$1245,$A$7:$A$1245,DM2,$CI$7:$CI$1245,DL2)</f>
        <v>0</v>
      </c>
      <c r="DP2" s="10">
        <v>3</v>
      </c>
      <c r="DQ2" s="11" t="s">
        <v>128</v>
      </c>
      <c r="DR2" s="24">
        <f>SUMIFS($L$7:$L$1245,$A$7:$A$1245,DQ2,$CI$7:$CI$1245,DP2)</f>
        <v>0</v>
      </c>
      <c r="DS2" s="24">
        <f>SUMIFS($CD$7:$CD$1245,$A$7:$A$1245,DQ2,$CI$7:$CI$1245,DP2)</f>
        <v>0</v>
      </c>
      <c r="DT2" s="10">
        <v>1</v>
      </c>
      <c r="DU2" s="34" t="s">
        <v>500</v>
      </c>
      <c r="DV2" s="24">
        <f>SUMIFS($L$7:$L$1245,$A$7:$A$1245,DU2,$CI$7:$CI$1245,DT2)</f>
        <v>0</v>
      </c>
      <c r="DW2" s="24">
        <f>SUMIFS($CD$7:$CD$1245,$A$7:$A$1245,DU2,$CI$7:$CI$1245,DT2)</f>
        <v>0</v>
      </c>
      <c r="DX2" s="10">
        <v>1</v>
      </c>
      <c r="DY2" s="34" t="s">
        <v>46</v>
      </c>
      <c r="DZ2" s="24">
        <f>SUMIFS($L$7:$L$1245,$A$7:$A$1245,DY2,$CI$7:$CI$1245,DX2)</f>
        <v>49745</v>
      </c>
      <c r="EA2" s="24">
        <f>SUMIFS($CD$7:$CD$1245,$A$7:$A$1245,DY2,$CI$7:$CI$1245,DX2)</f>
        <v>-12</v>
      </c>
      <c r="EB2" s="10">
        <v>2</v>
      </c>
      <c r="EC2" s="34" t="s">
        <v>500</v>
      </c>
      <c r="ED2" s="24">
        <f>SUMIFS($L$7:$L$1245,$A$7:$A$1245,EC2,$CI$7:$CI$1245,EB2)</f>
        <v>764</v>
      </c>
      <c r="EE2" s="24">
        <f>SUMIFS($CD$7:$CD$1245,$A$7:$A$1245,EC2,$CI$7:$CI$1245,EB2)</f>
        <v>-10</v>
      </c>
      <c r="EF2" s="10">
        <v>2</v>
      </c>
      <c r="EG2" s="34" t="s">
        <v>46</v>
      </c>
      <c r="EH2" s="24">
        <f>SUMIFS($L$7:$L$1245,$A$7:$A$1245,EG2,$CI$7:$CI$1245,EF2)</f>
        <v>16980</v>
      </c>
      <c r="EI2" s="24">
        <f>SUMIFS($CD$7:$CD$1245,$A$7:$A$1245,EG2,$CI$7:$CI$1245,EF2)</f>
        <v>-8</v>
      </c>
      <c r="EJ2" s="10">
        <v>3</v>
      </c>
      <c r="EK2" s="34" t="s">
        <v>500</v>
      </c>
      <c r="EL2" s="24">
        <f>SUMIFS($L$7:$L$1245,$A$7:$A$1245,EK2,$CI$7:$CI$1245,EJ2)</f>
        <v>0</v>
      </c>
      <c r="EM2" s="24">
        <f>SUMIFS($CD$7:$CD$1245,$A$7:$A$1245,EK2,$CI$7:$CI$1245,EJ2)</f>
        <v>0</v>
      </c>
      <c r="EN2" s="10">
        <v>3</v>
      </c>
      <c r="EO2" s="34" t="s">
        <v>46</v>
      </c>
      <c r="EP2" s="24">
        <f>SUMIFS($L$7:$L$1245,$A$7:$A$1245,EO2,$CI$7:$CI$1245,EN2)</f>
        <v>355</v>
      </c>
      <c r="EQ2" s="24">
        <f>SUMIFS($CD$7:$CD$1245,$A$7:$A$1245,EO2,$CI$7:$CI$1245,EN2)</f>
        <v>0</v>
      </c>
    </row>
    <row r="3" spans="1:147" ht="15" customHeight="1">
      <c r="B3" s="215" t="s">
        <v>175</v>
      </c>
      <c r="C3" s="215"/>
      <c r="D3" s="215"/>
      <c r="E3" s="215"/>
      <c r="F3" s="215"/>
      <c r="G3" s="215"/>
      <c r="H3" s="215"/>
      <c r="I3" s="215"/>
      <c r="J3" s="215"/>
      <c r="K3" s="215"/>
      <c r="L3" s="215"/>
      <c r="M3" s="215"/>
      <c r="N3" s="215"/>
      <c r="O3" s="215"/>
      <c r="P3" s="215"/>
      <c r="Q3" s="215"/>
      <c r="R3" s="215"/>
      <c r="S3" s="215"/>
      <c r="T3" s="215"/>
      <c r="U3" s="215"/>
      <c r="V3" s="215"/>
      <c r="W3" s="215"/>
      <c r="X3" s="215"/>
      <c r="Y3" s="215"/>
      <c r="Z3" s="215"/>
      <c r="AA3" s="215"/>
      <c r="AB3" s="215"/>
      <c r="AC3" s="215"/>
      <c r="AD3" s="215"/>
      <c r="AE3" s="215"/>
      <c r="AF3" s="215"/>
      <c r="AG3" s="215"/>
      <c r="AH3" s="215"/>
      <c r="AI3" s="215"/>
      <c r="AJ3" s="215"/>
      <c r="AK3" s="215"/>
      <c r="AL3" s="215"/>
      <c r="AM3" s="215"/>
      <c r="AN3" s="215"/>
      <c r="AO3" s="215"/>
      <c r="AP3" s="215"/>
      <c r="AQ3" s="215"/>
      <c r="AR3" s="215"/>
      <c r="AS3" s="215"/>
      <c r="AT3" s="215"/>
      <c r="AU3" s="215"/>
      <c r="AV3" s="215"/>
      <c r="AW3" s="215"/>
      <c r="AX3" s="215"/>
      <c r="AY3" s="215"/>
      <c r="AZ3" s="215"/>
      <c r="BA3" s="215"/>
      <c r="BB3" s="215"/>
      <c r="BC3" s="215"/>
      <c r="BD3" s="215"/>
      <c r="BE3" s="215"/>
      <c r="BF3" s="215"/>
      <c r="BG3" s="215"/>
      <c r="BH3" s="215"/>
      <c r="BI3" s="215"/>
      <c r="BJ3" s="215"/>
      <c r="BK3" s="215"/>
      <c r="BL3" s="215"/>
      <c r="BM3" s="215"/>
      <c r="BN3" s="215"/>
      <c r="BO3" s="215"/>
      <c r="BP3" s="215"/>
      <c r="BQ3" s="215"/>
      <c r="BR3" s="215"/>
      <c r="BS3" s="215"/>
      <c r="BT3" s="215"/>
      <c r="BU3" s="215"/>
      <c r="BV3" s="215"/>
      <c r="BW3" s="215"/>
      <c r="BX3" s="215"/>
      <c r="BY3" s="215"/>
      <c r="BZ3" s="215"/>
      <c r="CA3" s="215"/>
      <c r="CB3" s="215"/>
      <c r="CC3" s="215"/>
      <c r="CD3" s="215"/>
      <c r="CE3" s="215"/>
      <c r="CF3" s="215"/>
      <c r="CG3" s="215"/>
      <c r="CH3" s="215"/>
      <c r="CI3" s="15"/>
      <c r="CP3" s="12"/>
      <c r="CQ3" s="12"/>
      <c r="CT3" s="214"/>
      <c r="CU3" s="214"/>
      <c r="CV3" s="10">
        <v>1</v>
      </c>
      <c r="CW3" s="11" t="s">
        <v>51</v>
      </c>
      <c r="CX3" s="24">
        <f>SUMIFS($L$7:$L$1245,$A$7:$A$1245,CW3,$CI$7:$CI$1245,CV3)</f>
        <v>6742</v>
      </c>
      <c r="CY3" s="24">
        <f>SUMIFS($CD$7:$CD$1245,$A$7:$A$1245,CW3,$CI$7:$CI$1245,CV3)</f>
        <v>0</v>
      </c>
      <c r="CZ3" s="10">
        <v>1</v>
      </c>
      <c r="DA3" s="11" t="s">
        <v>86</v>
      </c>
      <c r="DB3" s="24">
        <f>SUMIFS($L$7:$L$1245,$A$7:$A$1245,DA3,$CI$7:$CI$1245,CZ3)</f>
        <v>17485</v>
      </c>
      <c r="DC3" s="24">
        <f>SUMIFS($CD$7:$CD$1245,$A$7:$A$1245,DA3,$CI$7:$CI$1245,CZ3)</f>
        <v>0</v>
      </c>
      <c r="DD3" s="10">
        <v>2</v>
      </c>
      <c r="DE3" s="11" t="s">
        <v>51</v>
      </c>
      <c r="DF3" s="24">
        <f>SUMIFS($L$7:$L$1245,$A$7:$A$1245,DE3,$CI$7:$CI$1245,DD3)</f>
        <v>40527</v>
      </c>
      <c r="DG3" s="24">
        <f>SUMIFS($CD$7:$CD$1245,$A$7:$A$1245,DE3,$CI$7:$CI$1245,DD3)</f>
        <v>0</v>
      </c>
      <c r="DH3" s="10">
        <v>2</v>
      </c>
      <c r="DI3" s="11" t="s">
        <v>86</v>
      </c>
      <c r="DJ3" s="24">
        <f>SUMIFS($L$7:$L$1245,$A$7:$A$1245,DI3,$CI$7:$CI$1245,DH3)</f>
        <v>0</v>
      </c>
      <c r="DK3" s="24">
        <f>SUMIFS($CD$7:$CD$1245,$A$7:$A$1245,DI3,$CI$7:$CI$1245,DH3)</f>
        <v>0</v>
      </c>
      <c r="DL3" s="10">
        <v>3</v>
      </c>
      <c r="DM3" s="11" t="s">
        <v>51</v>
      </c>
      <c r="DN3" s="24">
        <f>SUMIFS($L$7:$L$1245,$A$7:$A$1245,DM3,$CI$7:$CI$1245,DL3)</f>
        <v>13285</v>
      </c>
      <c r="DO3" s="24">
        <f>SUMIFS($CD$7:$CD$1245,$A$7:$A$1245,DM3,$CI$7:$CI$1245,DL3)</f>
        <v>0</v>
      </c>
      <c r="DP3" s="10">
        <v>3</v>
      </c>
      <c r="DQ3" s="11" t="s">
        <v>86</v>
      </c>
      <c r="DR3" s="24">
        <f>SUMIFS($L$7:$L$1245,$A$7:$A$1245,DQ3,$CI$7:$CI$1245,DP3)</f>
        <v>0</v>
      </c>
      <c r="DS3" s="24">
        <f>SUMIFS($CD$7:$CD$1245,$A$7:$A$1245,DQ3,$CI$7:$CI$1245,DP3)</f>
        <v>0</v>
      </c>
      <c r="DT3" s="10">
        <v>1</v>
      </c>
      <c r="DU3" s="34" t="s">
        <v>215</v>
      </c>
      <c r="DV3" s="24">
        <f>SUMIFS($L$7:$L$1245,$A$7:$A$1245,DU3,$CI$7:$CI$1245,DT3)</f>
        <v>0</v>
      </c>
      <c r="DW3" s="24">
        <f>SUMIFS($CD$7:$CD$1245,$A$7:$A$1245,DU3,$CI$7:$CI$1245,DT3)</f>
        <v>0</v>
      </c>
      <c r="DX3" s="10">
        <v>1</v>
      </c>
      <c r="DY3" s="34"/>
      <c r="DZ3" s="24">
        <f>SUMIFS($L$7:$L$1245,$A$7:$A$1245,DY3,$CI$7:$CI$1245,DX3)</f>
        <v>0</v>
      </c>
      <c r="EA3" s="24">
        <f>SUMIFS($CD$7:$CD$1245,$A$7:$A$1245,DY3,$CI$7:$CI$1245,DX3)</f>
        <v>0</v>
      </c>
      <c r="EB3" s="10">
        <v>2</v>
      </c>
      <c r="EC3" s="34" t="s">
        <v>215</v>
      </c>
      <c r="ED3" s="24">
        <f>SUMIFS($L$7:$L$1245,$A$7:$A$1245,EC3,$CI$7:$CI$1245,EB3)</f>
        <v>0</v>
      </c>
      <c r="EE3" s="24">
        <f>SUMIFS($CD$7:$CD$1245,$A$7:$A$1245,EC3,$CI$7:$CI$1245,EB3)</f>
        <v>0</v>
      </c>
      <c r="EF3" s="10">
        <v>2</v>
      </c>
      <c r="EG3" s="34"/>
      <c r="EH3" s="24">
        <f>SUMIFS($L$7:$L$1245,$A$7:$A$1245,EG3,$CI$7:$CI$1245,EF3)</f>
        <v>0</v>
      </c>
      <c r="EI3" s="24">
        <f>SUMIFS($CD$7:$CD$1245,$A$7:$A$1245,EG3,$CI$7:$CI$1245,EF3)</f>
        <v>0</v>
      </c>
      <c r="EJ3" s="10">
        <v>3</v>
      </c>
      <c r="EK3" s="34" t="s">
        <v>215</v>
      </c>
      <c r="EL3" s="24">
        <f>SUMIFS($L$7:$L$1245,$A$7:$A$1245,EK3,$CI$7:$CI$1245,EJ3)</f>
        <v>0</v>
      </c>
      <c r="EM3" s="24">
        <f>SUMIFS($CD$7:$CD$1245,$A$7:$A$1245,EK3,$CI$7:$CI$1245,EJ3)</f>
        <v>0</v>
      </c>
      <c r="EN3" s="10">
        <v>3</v>
      </c>
      <c r="EO3" s="34"/>
      <c r="EP3" s="24">
        <f>SUMIFS($L$7:$L$1245,$A$7:$A$1245,EO3,$CI$7:$CI$1245,EN3)</f>
        <v>0</v>
      </c>
      <c r="EQ3" s="24">
        <f>SUMIFS($CD$7:$CD$1245,$A$7:$A$1245,EO3,$CI$7:$CI$1245,EN3)</f>
        <v>0</v>
      </c>
    </row>
    <row r="4" spans="1:147" ht="18" customHeight="1">
      <c r="A4" s="35"/>
      <c r="B4" s="38"/>
      <c r="C4" s="35"/>
      <c r="D4" s="35"/>
      <c r="E4" s="35"/>
      <c r="F4" s="35"/>
      <c r="G4" s="108"/>
      <c r="H4" s="35"/>
      <c r="I4" s="35"/>
      <c r="J4" s="35"/>
      <c r="K4" s="35"/>
      <c r="L4" s="19"/>
      <c r="M4" s="35"/>
      <c r="N4" s="35"/>
      <c r="O4" s="35"/>
      <c r="P4" s="35"/>
      <c r="Q4" s="35"/>
      <c r="R4" s="19"/>
      <c r="S4" s="35"/>
      <c r="T4" s="35"/>
      <c r="U4" s="4"/>
      <c r="V4" s="4"/>
      <c r="W4" s="35"/>
      <c r="X4" s="4"/>
      <c r="Y4" s="35"/>
      <c r="Z4" s="35"/>
      <c r="AA4" s="35"/>
      <c r="AB4" s="35"/>
      <c r="AC4" s="35"/>
      <c r="AD4" s="4"/>
      <c r="AE4" s="35"/>
      <c r="AF4" s="4"/>
      <c r="AG4" s="35"/>
      <c r="AH4" s="35"/>
      <c r="AI4" s="35"/>
      <c r="AJ4" s="4"/>
      <c r="AK4" s="35"/>
      <c r="AL4" s="4"/>
      <c r="AM4" s="35"/>
      <c r="AN4" s="35"/>
      <c r="AO4" s="35"/>
      <c r="AP4" s="4"/>
      <c r="AQ4" s="35"/>
      <c r="AR4" s="4"/>
      <c r="AS4" s="35"/>
      <c r="AT4" s="35"/>
      <c r="AU4" s="35"/>
      <c r="AV4" s="4"/>
      <c r="AW4" s="35"/>
      <c r="AX4" s="4"/>
      <c r="AY4" s="35"/>
      <c r="AZ4" s="35"/>
      <c r="BA4" s="35"/>
      <c r="BB4" s="4"/>
      <c r="BC4" s="35"/>
      <c r="BD4" s="4"/>
      <c r="BE4" s="35"/>
      <c r="BF4" s="35"/>
      <c r="BG4" s="35"/>
      <c r="BH4" s="4"/>
      <c r="BI4" s="35"/>
      <c r="BJ4" s="4"/>
      <c r="BK4" s="35"/>
      <c r="BL4" s="35"/>
      <c r="BM4" s="35"/>
      <c r="BN4" s="35"/>
      <c r="BO4" s="35"/>
      <c r="BP4" s="35"/>
      <c r="BQ4" s="35"/>
      <c r="BR4" s="35"/>
      <c r="BS4" s="35"/>
      <c r="BT4" s="35"/>
      <c r="BU4" s="35"/>
      <c r="BV4" s="35"/>
      <c r="BW4" s="35"/>
      <c r="BX4" s="35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15"/>
      <c r="CP4" s="12"/>
      <c r="CQ4" s="12"/>
      <c r="CT4" s="214"/>
      <c r="CU4" s="214"/>
      <c r="CV4" s="10">
        <v>1</v>
      </c>
      <c r="CW4" s="1" t="s">
        <v>387</v>
      </c>
      <c r="CX4" s="24">
        <f>SUMIFS($L$7:$L$1245,$A$7:$A$1245,CW4,$CI$7:$CI$1245,CV4)</f>
        <v>10125</v>
      </c>
      <c r="CY4" s="24">
        <f>SUMIFS($CD$7:$CD$1245,$A$7:$A$1245,CW4,$CI$7:$CI$1245,CV4)</f>
        <v>-33</v>
      </c>
      <c r="CZ4" s="10">
        <v>1</v>
      </c>
      <c r="DA4" s="34" t="s">
        <v>185</v>
      </c>
      <c r="DB4" s="24">
        <f>SUMIFS($L$7:$L$1245,$A$7:$A$1245,DA4,$CI$7:$CI$1245,CZ4)</f>
        <v>0</v>
      </c>
      <c r="DC4" s="24">
        <f>SUMIFS($CD$7:$CD$1245,$A$7:$A$1245,DA4,$CI$7:$CI$1245,CZ4)</f>
        <v>0</v>
      </c>
      <c r="DD4" s="10">
        <v>2</v>
      </c>
      <c r="DE4" s="1" t="s">
        <v>387</v>
      </c>
      <c r="DF4" s="24">
        <f>SUMIFS($L$7:$L$1245,$A$7:$A$1245,DE4,$CI$7:$CI$1245,DD4)</f>
        <v>17369</v>
      </c>
      <c r="DG4" s="24">
        <f>SUMIFS($CD$7:$CD$1245,$A$7:$A$1245,DE4,$CI$7:$CI$1245,DD4)</f>
        <v>-36</v>
      </c>
      <c r="DH4" s="10">
        <v>2</v>
      </c>
      <c r="DI4" s="34" t="s">
        <v>185</v>
      </c>
      <c r="DJ4" s="24">
        <f>SUMIFS($L$7:$L$1245,$A$7:$A$1245,DI4,$CI$7:$CI$1245,DH4)</f>
        <v>0</v>
      </c>
      <c r="DK4" s="24">
        <f>SUMIFS($CD$7:$CD$1245,$A$7:$A$1245,DI4,$CI$7:$CI$1245,DH4)</f>
        <v>0</v>
      </c>
      <c r="DL4" s="10">
        <v>3</v>
      </c>
      <c r="DM4" s="1" t="s">
        <v>387</v>
      </c>
      <c r="DN4" s="24">
        <f>SUMIFS($L$7:$L$1245,$A$7:$A$1245,DM4,$CI$7:$CI$1245,DL4)</f>
        <v>19868</v>
      </c>
      <c r="DO4" s="24">
        <f>SUMIFS($CD$7:$CD$1245,$A$7:$A$1245,DM4,$CI$7:$CI$1245,DL4)</f>
        <v>-33</v>
      </c>
      <c r="DP4" s="10">
        <v>3</v>
      </c>
      <c r="DQ4" s="34" t="s">
        <v>185</v>
      </c>
      <c r="DR4" s="24">
        <f>SUMIFS($L$7:$L$1245,$A$7:$A$1245,DQ4,$CI$7:$CI$1245,DP4)</f>
        <v>0</v>
      </c>
      <c r="DS4" s="24">
        <f>SUMIFS($CD$7:$CD$1245,$A$7:$A$1245,DQ4,$CI$7:$CI$1245,DP4)</f>
        <v>0</v>
      </c>
      <c r="DT4" s="10">
        <v>1</v>
      </c>
      <c r="DU4" s="34" t="s">
        <v>303</v>
      </c>
      <c r="DV4" s="24">
        <f>SUMIFS($L$7:$L$1245,$A$7:$A$1245,DU4,$CI$7:$CI$1245,DT4)</f>
        <v>6719</v>
      </c>
      <c r="DW4" s="24">
        <f>SUMIFS($CD$7:$CD$1245,$A$7:$A$1245,DU4,$CI$7:$CI$1245,DT4)</f>
        <v>-87</v>
      </c>
      <c r="DX4" s="10">
        <v>1</v>
      </c>
      <c r="DY4" s="1"/>
      <c r="DZ4" s="24">
        <f>SUMIFS($L$7:$L$1245,$A$7:$A$1245,DY4,$CI$7:$CI$1245,DX4)</f>
        <v>0</v>
      </c>
      <c r="EA4" s="24">
        <f>SUMIFS($CD$7:$CD$1245,$A$7:$A$1245,DY4,$CI$7:$CI$1245,DX4)</f>
        <v>0</v>
      </c>
      <c r="EB4" s="10">
        <v>2</v>
      </c>
      <c r="EC4" s="34" t="s">
        <v>303</v>
      </c>
      <c r="ED4" s="24">
        <f>SUMIFS($L$7:$L$1245,$A$7:$A$1245,EC4,$CI$7:$CI$1245,EB4)</f>
        <v>2494</v>
      </c>
      <c r="EE4" s="24">
        <f>SUMIFS($CD$7:$CD$1245,$A$7:$A$1245,EC4,$CI$7:$CI$1245,EB4)</f>
        <v>-3</v>
      </c>
      <c r="EF4" s="10">
        <v>2</v>
      </c>
      <c r="EG4" s="1"/>
      <c r="EH4" s="24">
        <f>SUMIFS($L$7:$L$1245,$A$7:$A$1245,EG4,$CI$7:$CI$1245,EF4)</f>
        <v>0</v>
      </c>
      <c r="EI4" s="24">
        <f>SUMIFS($CD$7:$CD$1245,$A$7:$A$1245,EG4,$CI$7:$CI$1245,EF4)</f>
        <v>0</v>
      </c>
      <c r="EJ4" s="10">
        <v>3</v>
      </c>
      <c r="EK4" s="34" t="s">
        <v>303</v>
      </c>
      <c r="EL4" s="24">
        <f>SUMIFS($L$7:$L$1245,$A$7:$A$1245,EK4,$CI$7:$CI$1245,EJ4)</f>
        <v>6441</v>
      </c>
      <c r="EM4" s="24">
        <f>SUMIFS($CD$7:$CD$1245,$A$7:$A$1245,EK4,$CI$7:$CI$1245,EJ4)</f>
        <v>-5</v>
      </c>
      <c r="EN4" s="10">
        <v>3</v>
      </c>
      <c r="EO4" s="1"/>
      <c r="EP4" s="24">
        <f>SUMIFS($L$7:$L$1245,$A$7:$A$1245,EO4,$CI$7:$CI$1245,EN4)</f>
        <v>0</v>
      </c>
      <c r="EQ4" s="24">
        <f>SUMIFS($CD$7:$CD$1245,$A$7:$A$1245,EO4,$CI$7:$CI$1245,EN4)</f>
        <v>0</v>
      </c>
    </row>
    <row r="5" spans="1:147" ht="18.75" customHeight="1">
      <c r="A5" s="21"/>
      <c r="B5" s="31"/>
      <c r="C5" s="21"/>
      <c r="D5" s="21"/>
      <c r="E5" s="21"/>
      <c r="F5" s="21"/>
      <c r="G5" s="21"/>
      <c r="H5" s="22"/>
      <c r="I5" s="216" t="s">
        <v>2</v>
      </c>
      <c r="J5" s="217"/>
      <c r="K5" s="217"/>
      <c r="L5" s="218"/>
      <c r="M5" s="222" t="s">
        <v>14</v>
      </c>
      <c r="N5" s="222"/>
      <c r="O5" s="223" t="s">
        <v>15</v>
      </c>
      <c r="P5" s="224"/>
      <c r="Q5" s="224"/>
      <c r="R5" s="225"/>
      <c r="S5" s="197" t="s">
        <v>3</v>
      </c>
      <c r="T5" s="198"/>
      <c r="U5" s="198"/>
      <c r="V5" s="198"/>
      <c r="W5" s="198"/>
      <c r="X5" s="198"/>
      <c r="Y5" s="198"/>
      <c r="Z5" s="198"/>
      <c r="AA5" s="198"/>
      <c r="AB5" s="199"/>
      <c r="AC5" s="197" t="s">
        <v>149</v>
      </c>
      <c r="AD5" s="198"/>
      <c r="AE5" s="198"/>
      <c r="AF5" s="198"/>
      <c r="AG5" s="198"/>
      <c r="AH5" s="199"/>
      <c r="AI5" s="197" t="s">
        <v>562</v>
      </c>
      <c r="AJ5" s="198"/>
      <c r="AK5" s="198"/>
      <c r="AL5" s="198"/>
      <c r="AM5" s="198"/>
      <c r="AN5" s="199"/>
      <c r="AO5" s="197" t="s">
        <v>563</v>
      </c>
      <c r="AP5" s="198"/>
      <c r="AQ5" s="198"/>
      <c r="AR5" s="198"/>
      <c r="AS5" s="198"/>
      <c r="AT5" s="199"/>
      <c r="AU5" s="197" t="s">
        <v>1652</v>
      </c>
      <c r="AV5" s="198"/>
      <c r="AW5" s="198"/>
      <c r="AX5" s="198"/>
      <c r="AY5" s="198"/>
      <c r="AZ5" s="199"/>
      <c r="BA5" s="197" t="s">
        <v>301</v>
      </c>
      <c r="BB5" s="198"/>
      <c r="BC5" s="198"/>
      <c r="BD5" s="198"/>
      <c r="BE5" s="198"/>
      <c r="BF5" s="199"/>
      <c r="BG5" s="197" t="s">
        <v>150</v>
      </c>
      <c r="BH5" s="198"/>
      <c r="BI5" s="198"/>
      <c r="BJ5" s="198"/>
      <c r="BK5" s="198"/>
      <c r="BL5" s="199"/>
      <c r="BM5" s="52"/>
      <c r="BN5" s="226" t="s">
        <v>14</v>
      </c>
      <c r="BO5" s="226"/>
      <c r="BP5" s="226"/>
      <c r="BQ5" s="226"/>
      <c r="BR5" s="226" t="s">
        <v>27</v>
      </c>
      <c r="BS5" s="226"/>
      <c r="BT5" s="197" t="s">
        <v>4</v>
      </c>
      <c r="BU5" s="198"/>
      <c r="BV5" s="198"/>
      <c r="BW5" s="198"/>
      <c r="BX5" s="198"/>
      <c r="BY5" s="198"/>
      <c r="BZ5" s="199"/>
      <c r="CA5" s="197" t="s">
        <v>17</v>
      </c>
      <c r="CB5" s="198"/>
      <c r="CC5" s="198"/>
      <c r="CD5" s="199"/>
      <c r="CE5" s="52"/>
      <c r="CF5" s="52"/>
      <c r="CG5" s="52"/>
      <c r="CH5" s="222"/>
      <c r="CI5" s="222" t="s">
        <v>165</v>
      </c>
      <c r="CP5" s="12"/>
      <c r="CT5" s="214"/>
      <c r="CU5" s="214"/>
      <c r="CV5" s="10">
        <v>1</v>
      </c>
      <c r="CW5" s="1" t="s">
        <v>388</v>
      </c>
      <c r="CX5" s="24">
        <f>SUMIFS($L$7:$L$1245,$A$7:$A$1245,CW5,$CI$7:$CI$1245,CV5)</f>
        <v>6462</v>
      </c>
      <c r="CY5" s="24">
        <f>SUMIFS($CD$7:$CD$1245,$A$7:$A$1245,CW5,$CI$7:$CI$1245,CV5)</f>
        <v>0</v>
      </c>
      <c r="CZ5" s="10">
        <v>1</v>
      </c>
      <c r="DA5" s="11" t="s">
        <v>85</v>
      </c>
      <c r="DB5" s="24">
        <f>SUMIFS($L$7:$L$1245,$A$7:$A$1245,DA5,$CI$7:$CI$1245,CZ5)</f>
        <v>3142</v>
      </c>
      <c r="DC5" s="24">
        <f>SUMIFS($CD$7:$CD$1245,$A$7:$A$1245,DA5,$CI$7:$CI$1245,CZ5)</f>
        <v>0</v>
      </c>
      <c r="DD5" s="10">
        <v>2</v>
      </c>
      <c r="DE5" s="1" t="s">
        <v>388</v>
      </c>
      <c r="DF5" s="24">
        <f>SUMIFS($L$7:$L$1245,$A$7:$A$1245,DE5,$CI$7:$CI$1245,DD5)</f>
        <v>6664</v>
      </c>
      <c r="DG5" s="24">
        <f>SUMIFS($CD$7:$CD$1245,$A$7:$A$1245,DE5,$CI$7:$CI$1245,DD5)</f>
        <v>0</v>
      </c>
      <c r="DH5" s="10">
        <v>2</v>
      </c>
      <c r="DI5" s="11" t="s">
        <v>85</v>
      </c>
      <c r="DJ5" s="24">
        <f>SUMIFS($L$7:$L$1245,$A$7:$A$1245,DI5,$CI$7:$CI$1245,DH5)</f>
        <v>2484</v>
      </c>
      <c r="DK5" s="24">
        <f>SUMIFS($CD$7:$CD$1245,$A$7:$A$1245,DI5,$CI$7:$CI$1245,DH5)</f>
        <v>-58</v>
      </c>
      <c r="DL5" s="10">
        <v>3</v>
      </c>
      <c r="DM5" s="1" t="s">
        <v>388</v>
      </c>
      <c r="DN5" s="24">
        <f>SUMIFS($L$7:$L$1245,$A$7:$A$1245,DM5,$CI$7:$CI$1245,DL5)</f>
        <v>2774</v>
      </c>
      <c r="DO5" s="24">
        <f>SUMIFS($CD$7:$CD$1245,$A$7:$A$1245,DM5,$CI$7:$CI$1245,DL5)</f>
        <v>-12</v>
      </c>
      <c r="DP5" s="10">
        <v>3</v>
      </c>
      <c r="DQ5" s="11" t="s">
        <v>85</v>
      </c>
      <c r="DR5" s="24">
        <f>SUMIFS($L$7:$L$1245,$A$7:$A$1245,DQ5,$CI$7:$CI$1245,DP5)</f>
        <v>3498</v>
      </c>
      <c r="DS5" s="24">
        <f>SUMIFS($CD$7:$CD$1245,$A$7:$A$1245,DQ5,$CI$7:$CI$1245,DP5)</f>
        <v>-72</v>
      </c>
      <c r="DT5" s="10">
        <v>1</v>
      </c>
      <c r="DU5" s="34" t="s">
        <v>299</v>
      </c>
      <c r="DV5" s="24">
        <f>SUMIFS($L$7:$L$1245,$A$7:$A$1245,DU5,$CI$7:$CI$1245,DT5)</f>
        <v>0</v>
      </c>
      <c r="DW5" s="24">
        <f>SUMIFS($CD$7:$CD$1245,$A$7:$A$1245,DU5,$CI$7:$CI$1245,DT5)</f>
        <v>0</v>
      </c>
      <c r="DX5" s="10">
        <v>1</v>
      </c>
      <c r="DY5" s="34"/>
      <c r="DZ5" s="24">
        <f>SUMIFS($L$7:$L$1245,$A$7:$A$1245,DY5,$CI$7:$CI$1245,DX5)</f>
        <v>0</v>
      </c>
      <c r="EA5" s="24">
        <f>SUMIFS($CD$7:$CD$1245,$A$7:$A$1245,DY5,$CI$7:$CI$1245,DX5)</f>
        <v>0</v>
      </c>
      <c r="EB5" s="10">
        <v>2</v>
      </c>
      <c r="EC5" s="34" t="s">
        <v>299</v>
      </c>
      <c r="ED5" s="24">
        <f>SUMIFS($L$7:$L$1245,$A$7:$A$1245,EC5,$CI$7:$CI$1245,EB5)</f>
        <v>0</v>
      </c>
      <c r="EE5" s="24">
        <f>SUMIFS($CD$7:$CD$1245,$A$7:$A$1245,EC5,$CI$7:$CI$1245,EB5)</f>
        <v>0</v>
      </c>
      <c r="EF5" s="10">
        <v>2</v>
      </c>
      <c r="EG5" s="34"/>
      <c r="EH5" s="24">
        <f>SUMIFS($L$7:$L$1245,$A$7:$A$1245,EG5,$CI$7:$CI$1245,EF5)</f>
        <v>0</v>
      </c>
      <c r="EI5" s="24">
        <f>SUMIFS($CD$7:$CD$1245,$A$7:$A$1245,EG5,$CI$7:$CI$1245,EF5)</f>
        <v>0</v>
      </c>
      <c r="EJ5" s="10">
        <v>3</v>
      </c>
      <c r="EK5" s="34" t="s">
        <v>299</v>
      </c>
      <c r="EL5" s="24">
        <f>SUMIFS($L$7:$L$1245,$A$7:$A$1245,EK5,$CI$7:$CI$1245,EJ5)</f>
        <v>0</v>
      </c>
      <c r="EM5" s="24">
        <f>SUMIFS($CD$7:$CD$1245,$A$7:$A$1245,EK5,$CI$7:$CI$1245,EJ5)</f>
        <v>0</v>
      </c>
      <c r="EN5" s="10">
        <v>3</v>
      </c>
      <c r="EO5" s="34"/>
      <c r="EP5" s="24">
        <f>SUMIFS($L$7:$L$1245,$A$7:$A$1245,EO5,$CI$7:$CI$1245,EN5)</f>
        <v>0</v>
      </c>
      <c r="EQ5" s="24">
        <f>SUMIFS($CD$7:$CD$1245,$A$7:$A$1245,EO5,$CI$7:$CI$1245,EN5)</f>
        <v>0</v>
      </c>
    </row>
    <row r="6" spans="1:147" ht="24.75" customHeight="1">
      <c r="A6" s="21"/>
      <c r="B6" s="31"/>
      <c r="C6" s="21"/>
      <c r="D6" s="21"/>
      <c r="E6" s="21"/>
      <c r="F6" s="21"/>
      <c r="G6" s="21"/>
      <c r="H6" s="22"/>
      <c r="I6" s="219"/>
      <c r="J6" s="220"/>
      <c r="K6" s="220"/>
      <c r="L6" s="221"/>
      <c r="M6" s="226" t="s">
        <v>71</v>
      </c>
      <c r="N6" s="226"/>
      <c r="O6" s="223" t="s">
        <v>16</v>
      </c>
      <c r="P6" s="224"/>
      <c r="Q6" s="224"/>
      <c r="R6" s="225"/>
      <c r="S6" s="200"/>
      <c r="T6" s="201"/>
      <c r="U6" s="201"/>
      <c r="V6" s="201"/>
      <c r="W6" s="201"/>
      <c r="X6" s="201"/>
      <c r="Y6" s="201"/>
      <c r="Z6" s="201"/>
      <c r="AA6" s="201"/>
      <c r="AB6" s="202"/>
      <c r="AC6" s="200"/>
      <c r="AD6" s="201"/>
      <c r="AE6" s="201"/>
      <c r="AF6" s="201"/>
      <c r="AG6" s="201"/>
      <c r="AH6" s="202"/>
      <c r="AI6" s="200"/>
      <c r="AJ6" s="201"/>
      <c r="AK6" s="201"/>
      <c r="AL6" s="201"/>
      <c r="AM6" s="201"/>
      <c r="AN6" s="202"/>
      <c r="AO6" s="200"/>
      <c r="AP6" s="201"/>
      <c r="AQ6" s="201"/>
      <c r="AR6" s="201"/>
      <c r="AS6" s="201"/>
      <c r="AT6" s="202"/>
      <c r="AU6" s="200"/>
      <c r="AV6" s="201"/>
      <c r="AW6" s="201"/>
      <c r="AX6" s="201"/>
      <c r="AY6" s="201"/>
      <c r="AZ6" s="202"/>
      <c r="BA6" s="200"/>
      <c r="BB6" s="201"/>
      <c r="BC6" s="201"/>
      <c r="BD6" s="201"/>
      <c r="BE6" s="201"/>
      <c r="BF6" s="202"/>
      <c r="BG6" s="200"/>
      <c r="BH6" s="201"/>
      <c r="BI6" s="201"/>
      <c r="BJ6" s="201"/>
      <c r="BK6" s="201"/>
      <c r="BL6" s="202"/>
      <c r="BM6" s="53"/>
      <c r="BN6" s="226" t="s">
        <v>369</v>
      </c>
      <c r="BO6" s="226"/>
      <c r="BP6" s="226"/>
      <c r="BQ6" s="226"/>
      <c r="BR6" s="226"/>
      <c r="BS6" s="226"/>
      <c r="BT6" s="200"/>
      <c r="BU6" s="201"/>
      <c r="BV6" s="201"/>
      <c r="BW6" s="201"/>
      <c r="BX6" s="201"/>
      <c r="BY6" s="201"/>
      <c r="BZ6" s="202"/>
      <c r="CA6" s="200"/>
      <c r="CB6" s="201"/>
      <c r="CC6" s="201"/>
      <c r="CD6" s="202"/>
      <c r="CE6" s="53"/>
      <c r="CF6" s="53"/>
      <c r="CG6" s="53"/>
      <c r="CH6" s="222"/>
      <c r="CI6" s="222"/>
      <c r="CT6" s="214"/>
      <c r="CU6" s="214"/>
      <c r="CV6" s="10">
        <v>1</v>
      </c>
      <c r="CW6" s="34" t="s">
        <v>494</v>
      </c>
      <c r="CX6" s="24">
        <f>SUMIFS($L$7:$L$1245,$A$7:$A$1245,CW6,$CI$7:$CI$1245,CV6)</f>
        <v>0</v>
      </c>
      <c r="CY6" s="24">
        <f>SUMIFS($CD$7:$CD$1245,$A$7:$A$1245,CW6,$CI$7:$CI$1245,CV6)</f>
        <v>0</v>
      </c>
      <c r="CZ6" s="10">
        <v>1</v>
      </c>
      <c r="DA6" s="34" t="s">
        <v>186</v>
      </c>
      <c r="DB6" s="24">
        <f>SUMIFS($L$7:$L$1245,$A$7:$A$1245,DA6,$CI$7:$CI$1245,CZ6)</f>
        <v>0</v>
      </c>
      <c r="DC6" s="24">
        <f>SUMIFS($CD$7:$CD$1245,$A$7:$A$1245,DA6,$CI$7:$CI$1245,CZ6)</f>
        <v>0</v>
      </c>
      <c r="DD6" s="10">
        <v>2</v>
      </c>
      <c r="DE6" s="34" t="s">
        <v>494</v>
      </c>
      <c r="DF6" s="24">
        <f>SUMIFS($L$7:$L$1245,$A$7:$A$1245,DE6,$CI$7:$CI$1245,DD6)</f>
        <v>0</v>
      </c>
      <c r="DG6" s="24">
        <f>SUMIFS($CD$7:$CD$1245,$A$7:$A$1245,DE6,$CI$7:$CI$1245,DD6)</f>
        <v>0</v>
      </c>
      <c r="DH6" s="10">
        <v>2</v>
      </c>
      <c r="DI6" s="34" t="s">
        <v>186</v>
      </c>
      <c r="DJ6" s="24">
        <f>SUMIFS($L$7:$L$1245,$A$7:$A$1245,DI6,$CI$7:$CI$1245,DH6)</f>
        <v>0</v>
      </c>
      <c r="DK6" s="24">
        <f>SUMIFS($CD$7:$CD$1245,$A$7:$A$1245,DI6,$CI$7:$CI$1245,DH6)</f>
        <v>0</v>
      </c>
      <c r="DL6" s="10">
        <v>3</v>
      </c>
      <c r="DM6" s="34" t="s">
        <v>494</v>
      </c>
      <c r="DN6" s="24">
        <f>SUMIFS($L$7:$L$1245,$A$7:$A$1245,DM6,$CI$7:$CI$1245,DL6)</f>
        <v>0</v>
      </c>
      <c r="DO6" s="24">
        <f>SUMIFS($CD$7:$CD$1245,$A$7:$A$1245,DM6,$CI$7:$CI$1245,DL6)</f>
        <v>0</v>
      </c>
      <c r="DP6" s="10">
        <v>3</v>
      </c>
      <c r="DQ6" s="34" t="s">
        <v>186</v>
      </c>
      <c r="DR6" s="24">
        <f>SUMIFS($L$7:$L$1245,$A$7:$A$1245,DQ6,$CI$7:$CI$1245,DP6)</f>
        <v>0</v>
      </c>
      <c r="DS6" s="24">
        <f>SUMIFS($CD$7:$CD$1245,$A$7:$A$1245,DQ6,$CI$7:$CI$1245,DP6)</f>
        <v>0</v>
      </c>
      <c r="DT6" s="10">
        <v>1</v>
      </c>
      <c r="DU6" s="34" t="s">
        <v>20</v>
      </c>
      <c r="DV6" s="24">
        <f>SUMIFS($L$7:$L$1245,$A$7:$A$1245,DU6,$CI$7:$CI$1245,DT6)</f>
        <v>720</v>
      </c>
      <c r="DW6" s="24">
        <f>SUMIFS($CD$7:$CD$1245,$A$7:$A$1245,DU6,$CI$7:$CI$1245,DT6)</f>
        <v>0</v>
      </c>
      <c r="DX6" s="10">
        <v>1</v>
      </c>
      <c r="DY6" s="34"/>
      <c r="DZ6" s="24">
        <f>SUMIFS($L$7:$L$1245,$A$7:$A$1245,DY6,$CI$7:$CI$1245,DX6)</f>
        <v>0</v>
      </c>
      <c r="EA6" s="24">
        <f>SUMIFS($CD$7:$CD$1245,$A$7:$A$1245,DY6,$CI$7:$CI$1245,DX6)</f>
        <v>0</v>
      </c>
      <c r="EB6" s="10">
        <v>2</v>
      </c>
      <c r="EC6" s="34" t="s">
        <v>20</v>
      </c>
      <c r="ED6" s="24">
        <f>SUMIFS($L$7:$L$1245,$A$7:$A$1245,EC6,$CI$7:$CI$1245,EB6)</f>
        <v>46442</v>
      </c>
      <c r="EE6" s="24">
        <f>SUMIFS($CD$7:$CD$1245,$A$7:$A$1245,EC6,$CI$7:$CI$1245,EB6)</f>
        <v>-108</v>
      </c>
      <c r="EF6" s="10">
        <v>2</v>
      </c>
      <c r="EG6" s="34"/>
      <c r="EH6" s="24">
        <f>SUMIFS($L$7:$L$1245,$A$7:$A$1245,EG6,$CI$7:$CI$1245,EF6)</f>
        <v>0</v>
      </c>
      <c r="EI6" s="24">
        <f>SUMIFS($CD$7:$CD$1245,$A$7:$A$1245,EG6,$CI$7:$CI$1245,EF6)</f>
        <v>0</v>
      </c>
      <c r="EJ6" s="10">
        <v>3</v>
      </c>
      <c r="EK6" s="34" t="s">
        <v>20</v>
      </c>
      <c r="EL6" s="24">
        <f>SUMIFS($L$7:$L$1245,$A$7:$A$1245,EK6,$CI$7:$CI$1245,EJ6)</f>
        <v>7618</v>
      </c>
      <c r="EM6" s="24">
        <f>SUMIFS($CD$7:$CD$1245,$A$7:$A$1245,EK6,$CI$7:$CI$1245,EJ6)</f>
        <v>0</v>
      </c>
      <c r="EN6" s="10">
        <v>3</v>
      </c>
      <c r="EO6" s="34"/>
      <c r="EP6" s="24">
        <f>SUMIFS($L$7:$L$1245,$A$7:$A$1245,EO6,$CI$7:$CI$1245,EN6)</f>
        <v>0</v>
      </c>
      <c r="EQ6" s="24">
        <f>SUMIFS($CD$7:$CD$1245,$A$7:$A$1245,EO6,$CI$7:$CI$1245,EN6)</f>
        <v>0</v>
      </c>
    </row>
    <row r="7" spans="1:147" ht="45" customHeight="1">
      <c r="A7" s="36" t="s">
        <v>18</v>
      </c>
      <c r="B7" s="32" t="s">
        <v>0</v>
      </c>
      <c r="C7" s="36" t="s">
        <v>12</v>
      </c>
      <c r="D7" s="36" t="s">
        <v>286</v>
      </c>
      <c r="E7" s="37" t="s">
        <v>5</v>
      </c>
      <c r="F7" s="36" t="s">
        <v>73</v>
      </c>
      <c r="G7" s="36" t="s">
        <v>1</v>
      </c>
      <c r="H7" s="36" t="s">
        <v>6</v>
      </c>
      <c r="I7" s="36" t="s">
        <v>7</v>
      </c>
      <c r="J7" s="36" t="s">
        <v>72</v>
      </c>
      <c r="K7" s="36" t="s">
        <v>13</v>
      </c>
      <c r="L7" s="36" t="s">
        <v>133</v>
      </c>
      <c r="M7" s="36" t="s">
        <v>8</v>
      </c>
      <c r="N7" s="36" t="s">
        <v>9</v>
      </c>
      <c r="O7" s="36" t="s">
        <v>7</v>
      </c>
      <c r="P7" s="36" t="s">
        <v>72</v>
      </c>
      <c r="Q7" s="36" t="s">
        <v>13</v>
      </c>
      <c r="R7" s="36" t="s">
        <v>144</v>
      </c>
      <c r="S7" s="36" t="s">
        <v>137</v>
      </c>
      <c r="T7" s="36" t="s">
        <v>134</v>
      </c>
      <c r="U7" s="36" t="s">
        <v>129</v>
      </c>
      <c r="V7" s="36" t="s">
        <v>147</v>
      </c>
      <c r="W7" s="36" t="s">
        <v>135</v>
      </c>
      <c r="X7" s="36" t="s">
        <v>154</v>
      </c>
      <c r="Y7" s="36" t="s">
        <v>7</v>
      </c>
      <c r="Z7" s="36" t="s">
        <v>72</v>
      </c>
      <c r="AA7" s="36" t="s">
        <v>13</v>
      </c>
      <c r="AB7" s="36" t="s">
        <v>136</v>
      </c>
      <c r="AC7" s="36" t="s">
        <v>137</v>
      </c>
      <c r="AD7" s="36" t="s">
        <v>147</v>
      </c>
      <c r="AE7" s="36" t="s">
        <v>135</v>
      </c>
      <c r="AF7" s="36" t="s">
        <v>148</v>
      </c>
      <c r="AG7" s="36" t="s">
        <v>146</v>
      </c>
      <c r="AH7" s="36" t="s">
        <v>153</v>
      </c>
      <c r="AI7" s="36" t="s">
        <v>137</v>
      </c>
      <c r="AJ7" s="36" t="s">
        <v>147</v>
      </c>
      <c r="AK7" s="36" t="s">
        <v>135</v>
      </c>
      <c r="AL7" s="36" t="s">
        <v>148</v>
      </c>
      <c r="AM7" s="36" t="s">
        <v>146</v>
      </c>
      <c r="AN7" s="36" t="s">
        <v>153</v>
      </c>
      <c r="AO7" s="36" t="s">
        <v>137</v>
      </c>
      <c r="AP7" s="36" t="s">
        <v>147</v>
      </c>
      <c r="AQ7" s="36" t="s">
        <v>135</v>
      </c>
      <c r="AR7" s="36" t="s">
        <v>148</v>
      </c>
      <c r="AS7" s="36" t="s">
        <v>146</v>
      </c>
      <c r="AT7" s="36" t="s">
        <v>153</v>
      </c>
      <c r="AU7" s="36" t="s">
        <v>137</v>
      </c>
      <c r="AV7" s="36" t="s">
        <v>147</v>
      </c>
      <c r="AW7" s="36" t="s">
        <v>135</v>
      </c>
      <c r="AX7" s="36" t="s">
        <v>148</v>
      </c>
      <c r="AY7" s="36" t="s">
        <v>146</v>
      </c>
      <c r="AZ7" s="36" t="s">
        <v>153</v>
      </c>
      <c r="BA7" s="36" t="s">
        <v>137</v>
      </c>
      <c r="BB7" s="36" t="s">
        <v>147</v>
      </c>
      <c r="BC7" s="36" t="s">
        <v>135</v>
      </c>
      <c r="BD7" s="36" t="s">
        <v>148</v>
      </c>
      <c r="BE7" s="36" t="s">
        <v>146</v>
      </c>
      <c r="BF7" s="36" t="s">
        <v>153</v>
      </c>
      <c r="BG7" s="36" t="s">
        <v>137</v>
      </c>
      <c r="BH7" s="36" t="s">
        <v>147</v>
      </c>
      <c r="BI7" s="36" t="s">
        <v>135</v>
      </c>
      <c r="BJ7" s="36" t="s">
        <v>148</v>
      </c>
      <c r="BK7" s="36" t="s">
        <v>146</v>
      </c>
      <c r="BL7" s="36" t="s">
        <v>153</v>
      </c>
      <c r="BM7" s="36" t="s">
        <v>191</v>
      </c>
      <c r="BN7" s="36" t="s">
        <v>8</v>
      </c>
      <c r="BO7" s="36" t="s">
        <v>9</v>
      </c>
      <c r="BP7" s="36" t="s">
        <v>330</v>
      </c>
      <c r="BQ7" s="36" t="s">
        <v>331</v>
      </c>
      <c r="BR7" s="36" t="s">
        <v>8</v>
      </c>
      <c r="BS7" s="36" t="s">
        <v>9</v>
      </c>
      <c r="BT7" s="36" t="s">
        <v>44</v>
      </c>
      <c r="BU7" s="36" t="s">
        <v>7</v>
      </c>
      <c r="BV7" s="36" t="s">
        <v>44</v>
      </c>
      <c r="BW7" s="36" t="s">
        <v>72</v>
      </c>
      <c r="BX7" s="36" t="s">
        <v>44</v>
      </c>
      <c r="BY7" s="36" t="s">
        <v>13</v>
      </c>
      <c r="BZ7" s="36" t="s">
        <v>152</v>
      </c>
      <c r="CA7" s="36" t="s">
        <v>7</v>
      </c>
      <c r="CB7" s="36" t="s">
        <v>72</v>
      </c>
      <c r="CC7" s="36" t="s">
        <v>13</v>
      </c>
      <c r="CD7" s="36" t="s">
        <v>138</v>
      </c>
      <c r="CE7" s="36" t="s">
        <v>204</v>
      </c>
      <c r="CF7" s="36" t="s">
        <v>218</v>
      </c>
      <c r="CG7" s="36" t="s">
        <v>219</v>
      </c>
      <c r="CH7" s="39" t="s">
        <v>10</v>
      </c>
      <c r="CI7" s="39" t="s">
        <v>151</v>
      </c>
      <c r="CZ7" s="191"/>
      <c r="DA7" s="191"/>
      <c r="DB7" s="191"/>
      <c r="DC7" s="191"/>
      <c r="DD7" s="191"/>
      <c r="DE7" s="191"/>
    </row>
    <row r="8" spans="1:147" ht="24.75" customHeight="1">
      <c r="A8" s="36" t="s">
        <v>50</v>
      </c>
      <c r="B8" s="26">
        <v>47658</v>
      </c>
      <c r="C8" s="227">
        <v>13258646</v>
      </c>
      <c r="D8" s="36" t="s">
        <v>24</v>
      </c>
      <c r="E8" s="39">
        <v>160</v>
      </c>
      <c r="F8" s="39" t="s">
        <v>53</v>
      </c>
      <c r="G8" s="36" t="s">
        <v>999</v>
      </c>
      <c r="H8" s="39" t="s">
        <v>22</v>
      </c>
      <c r="I8" s="39">
        <v>110</v>
      </c>
      <c r="J8" s="39">
        <v>10</v>
      </c>
      <c r="K8" s="39"/>
      <c r="L8" s="39">
        <f t="shared" ref="L8:L209" si="0">SUM(I8:K8)</f>
        <v>120</v>
      </c>
      <c r="M8" s="117">
        <v>46158</v>
      </c>
      <c r="N8" s="117">
        <v>46164</v>
      </c>
      <c r="O8" s="39"/>
      <c r="P8" s="39"/>
      <c r="Q8" s="39"/>
      <c r="R8" s="39">
        <f t="shared" ref="R8:R305" si="1">SUM(O8:Q8)</f>
        <v>0</v>
      </c>
      <c r="S8" s="39" t="s">
        <v>130</v>
      </c>
      <c r="T8" s="39">
        <v>106886</v>
      </c>
      <c r="U8" s="117">
        <v>46184</v>
      </c>
      <c r="V8" s="39"/>
      <c r="W8" s="39"/>
      <c r="X8" s="39"/>
      <c r="Y8" s="39">
        <v>128</v>
      </c>
      <c r="Z8" s="39">
        <v>13</v>
      </c>
      <c r="AA8" s="39"/>
      <c r="AB8" s="119">
        <f t="shared" ref="AB8:AB305" si="2">SUM(Y8:AA8)</f>
        <v>141</v>
      </c>
      <c r="AC8" s="39"/>
      <c r="AD8" s="39"/>
      <c r="AE8" s="39"/>
      <c r="AF8" s="39"/>
      <c r="AG8" s="39"/>
      <c r="AH8" s="39">
        <f t="shared" ref="AH8:AH434" si="3">AG8-AE8</f>
        <v>0</v>
      </c>
      <c r="AI8" s="39"/>
      <c r="AJ8" s="39"/>
      <c r="AK8" s="39"/>
      <c r="AL8" s="39"/>
      <c r="AM8" s="39"/>
      <c r="AN8" s="39">
        <f t="shared" ref="AN8:AN351" si="4">AM8-AK8</f>
        <v>0</v>
      </c>
      <c r="AO8" s="39"/>
      <c r="AP8" s="39"/>
      <c r="AQ8" s="39"/>
      <c r="AR8" s="39"/>
      <c r="AS8" s="39"/>
      <c r="AT8" s="39">
        <f t="shared" ref="AT8:AT434" si="5">AS8-AQ8</f>
        <v>0</v>
      </c>
      <c r="AU8" s="39"/>
      <c r="AV8" s="39"/>
      <c r="AW8" s="39"/>
      <c r="AX8" s="39"/>
      <c r="AY8" s="39"/>
      <c r="AZ8" s="39">
        <f t="shared" ref="AZ8:AZ434" si="6">AY8-AW8</f>
        <v>0</v>
      </c>
      <c r="BA8" s="39"/>
      <c r="BB8" s="39"/>
      <c r="BC8" s="39"/>
      <c r="BD8" s="39"/>
      <c r="BE8" s="39"/>
      <c r="BF8" s="39">
        <f t="shared" ref="BF8:BF434" si="7">BE8-BC8</f>
        <v>0</v>
      </c>
      <c r="BG8" s="39"/>
      <c r="BH8" s="39"/>
      <c r="BI8" s="39"/>
      <c r="BJ8" s="39"/>
      <c r="BK8" s="39"/>
      <c r="BL8" s="39">
        <f t="shared" ref="BL8:BL434" si="8">BK8-BI8</f>
        <v>0</v>
      </c>
      <c r="BM8" s="54" t="str">
        <f t="shared" ref="BM8:BM434" si="9">IF((BZ8/L8)&lt;0.9,$CO$1-U8,"")</f>
        <v/>
      </c>
      <c r="BN8" s="58">
        <v>46178</v>
      </c>
      <c r="BO8" s="57">
        <v>46183</v>
      </c>
      <c r="BP8" s="36"/>
      <c r="BQ8" s="36"/>
      <c r="BR8" s="229">
        <v>46186</v>
      </c>
      <c r="BS8" s="229">
        <v>46186</v>
      </c>
      <c r="BT8" s="39">
        <v>1721</v>
      </c>
      <c r="BU8" s="39">
        <v>117</v>
      </c>
      <c r="BV8" s="39">
        <v>1721</v>
      </c>
      <c r="BW8" s="39">
        <v>12</v>
      </c>
      <c r="BX8" s="39"/>
      <c r="BY8" s="39"/>
      <c r="BZ8" s="39">
        <f t="shared" ref="BZ8:BZ434" si="10">BU8+BW8+BY8</f>
        <v>129</v>
      </c>
      <c r="CA8" s="39">
        <f t="shared" ref="CA8:CA434" si="11">BU8-I8</f>
        <v>7</v>
      </c>
      <c r="CB8" s="39">
        <f t="shared" ref="CB8:CB434" si="12">BW8-J8</f>
        <v>2</v>
      </c>
      <c r="CC8" s="39">
        <f t="shared" ref="CC8:CC434" si="13">BY8-K8</f>
        <v>0</v>
      </c>
      <c r="CD8" s="39">
        <f t="shared" ref="CD8:CD434" si="14">SUMIF(CA8:CC8,"&lt;0")</f>
        <v>0</v>
      </c>
      <c r="CE8" s="102">
        <f t="shared" ref="CE8:CE434" si="15">CD8/L8</f>
        <v>0</v>
      </c>
      <c r="CF8" s="36"/>
      <c r="CG8" s="39" t="s">
        <v>228</v>
      </c>
      <c r="CH8" s="39"/>
      <c r="CI8" s="25">
        <v>1</v>
      </c>
    </row>
    <row r="9" spans="1:147" ht="24.75" customHeight="1">
      <c r="A9" s="36" t="s">
        <v>50</v>
      </c>
      <c r="B9" s="26">
        <v>47658</v>
      </c>
      <c r="C9" s="228"/>
      <c r="D9" s="36" t="s">
        <v>24</v>
      </c>
      <c r="E9" s="39">
        <v>160</v>
      </c>
      <c r="F9" s="39" t="s">
        <v>53</v>
      </c>
      <c r="G9" s="36" t="s">
        <v>623</v>
      </c>
      <c r="H9" s="39" t="s">
        <v>22</v>
      </c>
      <c r="I9" s="39">
        <v>110</v>
      </c>
      <c r="J9" s="39">
        <v>10</v>
      </c>
      <c r="K9" s="39"/>
      <c r="L9" s="39">
        <f t="shared" si="0"/>
        <v>120</v>
      </c>
      <c r="M9" s="117">
        <v>46158</v>
      </c>
      <c r="N9" s="117">
        <v>46164</v>
      </c>
      <c r="O9" s="39"/>
      <c r="P9" s="39"/>
      <c r="Q9" s="39"/>
      <c r="R9" s="39">
        <f t="shared" si="1"/>
        <v>0</v>
      </c>
      <c r="S9" s="39" t="s">
        <v>130</v>
      </c>
      <c r="T9" s="39">
        <v>106887</v>
      </c>
      <c r="U9" s="117">
        <v>46184</v>
      </c>
      <c r="V9" s="39"/>
      <c r="W9" s="39"/>
      <c r="X9" s="39"/>
      <c r="Y9" s="39">
        <v>127</v>
      </c>
      <c r="Z9" s="39">
        <v>13</v>
      </c>
      <c r="AA9" s="39"/>
      <c r="AB9" s="119">
        <f t="shared" si="2"/>
        <v>140</v>
      </c>
      <c r="AC9" s="39"/>
      <c r="AD9" s="39"/>
      <c r="AE9" s="39"/>
      <c r="AF9" s="39"/>
      <c r="AG9" s="39"/>
      <c r="AH9" s="39">
        <f t="shared" si="3"/>
        <v>0</v>
      </c>
      <c r="AI9" s="39"/>
      <c r="AJ9" s="39"/>
      <c r="AK9" s="39"/>
      <c r="AL9" s="39"/>
      <c r="AM9" s="39"/>
      <c r="AN9" s="39">
        <f t="shared" si="4"/>
        <v>0</v>
      </c>
      <c r="AO9" s="39"/>
      <c r="AP9" s="39"/>
      <c r="AQ9" s="39"/>
      <c r="AR9" s="39"/>
      <c r="AS9" s="39"/>
      <c r="AT9" s="39">
        <f t="shared" si="5"/>
        <v>0</v>
      </c>
      <c r="AU9" s="39"/>
      <c r="AV9" s="39"/>
      <c r="AW9" s="39"/>
      <c r="AX9" s="39"/>
      <c r="AY9" s="39"/>
      <c r="AZ9" s="39">
        <f t="shared" si="6"/>
        <v>0</v>
      </c>
      <c r="BA9" s="39"/>
      <c r="BB9" s="39"/>
      <c r="BC9" s="39"/>
      <c r="BD9" s="39"/>
      <c r="BE9" s="39"/>
      <c r="BF9" s="39">
        <f t="shared" si="7"/>
        <v>0</v>
      </c>
      <c r="BG9" s="39"/>
      <c r="BH9" s="39"/>
      <c r="BI9" s="39"/>
      <c r="BJ9" s="39"/>
      <c r="BK9" s="39"/>
      <c r="BL9" s="39">
        <f t="shared" si="8"/>
        <v>0</v>
      </c>
      <c r="BM9" s="54" t="str">
        <f t="shared" si="9"/>
        <v/>
      </c>
      <c r="BN9" s="58">
        <v>46178</v>
      </c>
      <c r="BO9" s="57">
        <v>46183</v>
      </c>
      <c r="BP9" s="36"/>
      <c r="BQ9" s="36"/>
      <c r="BR9" s="230"/>
      <c r="BS9" s="230"/>
      <c r="BT9" s="39">
        <v>1721</v>
      </c>
      <c r="BU9" s="39">
        <v>118</v>
      </c>
      <c r="BV9" s="39">
        <v>1721</v>
      </c>
      <c r="BW9" s="39">
        <v>12</v>
      </c>
      <c r="BX9" s="39"/>
      <c r="BY9" s="39"/>
      <c r="BZ9" s="39">
        <f t="shared" si="10"/>
        <v>130</v>
      </c>
      <c r="CA9" s="39">
        <f t="shared" si="11"/>
        <v>8</v>
      </c>
      <c r="CB9" s="39">
        <f t="shared" si="12"/>
        <v>2</v>
      </c>
      <c r="CC9" s="39">
        <f t="shared" si="13"/>
        <v>0</v>
      </c>
      <c r="CD9" s="39">
        <f t="shared" si="14"/>
        <v>0</v>
      </c>
      <c r="CE9" s="102">
        <f t="shared" si="15"/>
        <v>0</v>
      </c>
      <c r="CF9" s="36"/>
      <c r="CG9" s="39" t="s">
        <v>228</v>
      </c>
      <c r="CH9" s="39"/>
      <c r="CI9" s="25">
        <v>1</v>
      </c>
    </row>
    <row r="10" spans="1:147" ht="24.75" customHeight="1">
      <c r="A10" s="36" t="s">
        <v>50</v>
      </c>
      <c r="B10" s="104" t="s">
        <v>583</v>
      </c>
      <c r="C10" s="227">
        <v>13251205</v>
      </c>
      <c r="D10" s="36" t="s">
        <v>143</v>
      </c>
      <c r="E10" s="39">
        <v>240</v>
      </c>
      <c r="F10" s="39" t="s">
        <v>55</v>
      </c>
      <c r="G10" s="36" t="s">
        <v>202</v>
      </c>
      <c r="H10" s="36" t="s">
        <v>94</v>
      </c>
      <c r="I10" s="39">
        <v>271</v>
      </c>
      <c r="J10" s="39"/>
      <c r="K10" s="39"/>
      <c r="L10" s="39">
        <f t="shared" ref="L10:L11" si="16">SUM(I10:K10)</f>
        <v>271</v>
      </c>
      <c r="M10" s="117">
        <v>46144</v>
      </c>
      <c r="N10" s="117">
        <v>46149</v>
      </c>
      <c r="O10" s="39"/>
      <c r="P10" s="39"/>
      <c r="Q10" s="39"/>
      <c r="R10" s="39">
        <f t="shared" ref="R10:R11" si="17">SUM(O10:Q10)</f>
        <v>0</v>
      </c>
      <c r="S10" s="39" t="s">
        <v>31</v>
      </c>
      <c r="T10" s="39"/>
      <c r="U10" s="39"/>
      <c r="V10" s="117">
        <v>46137</v>
      </c>
      <c r="W10" s="39">
        <v>330</v>
      </c>
      <c r="X10" s="117">
        <v>46166</v>
      </c>
      <c r="Y10" s="39">
        <v>291</v>
      </c>
      <c r="Z10" s="39"/>
      <c r="AA10" s="39"/>
      <c r="AB10" s="119">
        <f t="shared" si="2"/>
        <v>291</v>
      </c>
      <c r="AC10" s="39" t="s">
        <v>268</v>
      </c>
      <c r="AD10" s="117">
        <v>46178</v>
      </c>
      <c r="AE10" s="39">
        <v>282</v>
      </c>
      <c r="AF10" s="117">
        <v>46192</v>
      </c>
      <c r="AG10" s="39">
        <f>253</f>
        <v>253</v>
      </c>
      <c r="AH10" s="39">
        <f t="shared" ref="AH10:AH39" si="18">AG10-AE10</f>
        <v>-29</v>
      </c>
      <c r="AI10" s="39"/>
      <c r="AJ10" s="39"/>
      <c r="AK10" s="39"/>
      <c r="AL10" s="39"/>
      <c r="AM10" s="39"/>
      <c r="AN10" s="39">
        <f t="shared" ref="AN10:AN39" si="19">AM10-AK10</f>
        <v>0</v>
      </c>
      <c r="AO10" s="39"/>
      <c r="AP10" s="39"/>
      <c r="AQ10" s="39"/>
      <c r="AR10" s="39"/>
      <c r="AS10" s="39"/>
      <c r="AT10" s="39">
        <f t="shared" ref="AT10:AT39" si="20">AS10-AQ10</f>
        <v>0</v>
      </c>
      <c r="AU10" s="39"/>
      <c r="AV10" s="39"/>
      <c r="AW10" s="39"/>
      <c r="AX10" s="39"/>
      <c r="AY10" s="39"/>
      <c r="AZ10" s="39">
        <f t="shared" ref="AZ10:AZ39" si="21">AY10-AW10</f>
        <v>0</v>
      </c>
      <c r="BA10" s="39"/>
      <c r="BB10" s="39"/>
      <c r="BC10" s="39"/>
      <c r="BD10" s="39"/>
      <c r="BE10" s="39"/>
      <c r="BF10" s="39">
        <f t="shared" ref="BF10:BF39" si="22">BE10-BC10</f>
        <v>0</v>
      </c>
      <c r="BG10" s="39"/>
      <c r="BH10" s="39"/>
      <c r="BI10" s="39"/>
      <c r="BJ10" s="39"/>
      <c r="BK10" s="39"/>
      <c r="BL10" s="39">
        <f t="shared" ref="BL10:BL39" si="23">BK10-BI10</f>
        <v>0</v>
      </c>
      <c r="BM10" s="54" t="str">
        <f t="shared" ref="BM10:BM39" si="24">IF((BZ10/L10)&lt;0.9,$CO$1-U10,"")</f>
        <v/>
      </c>
      <c r="BN10" s="58">
        <v>46152</v>
      </c>
      <c r="BO10" s="57">
        <v>46165</v>
      </c>
      <c r="BP10" s="57">
        <v>46178</v>
      </c>
      <c r="BQ10" s="57">
        <v>46184</v>
      </c>
      <c r="BR10" s="229">
        <v>46193</v>
      </c>
      <c r="BS10" s="243"/>
      <c r="BT10" s="39">
        <v>2203</v>
      </c>
      <c r="BU10" s="39">
        <f>252</f>
        <v>252</v>
      </c>
      <c r="BV10" s="39"/>
      <c r="BW10" s="39"/>
      <c r="BX10" s="39"/>
      <c r="BY10" s="39"/>
      <c r="BZ10" s="39">
        <f t="shared" ref="BZ10:BZ39" si="25">BU10+BW10+BY10</f>
        <v>252</v>
      </c>
      <c r="CA10" s="39">
        <f t="shared" si="11"/>
        <v>-19</v>
      </c>
      <c r="CB10" s="39">
        <f t="shared" ref="CB10:CB39" si="26">BW10-J10</f>
        <v>0</v>
      </c>
      <c r="CC10" s="39">
        <f t="shared" ref="CC10:CC39" si="27">BY10-K10</f>
        <v>0</v>
      </c>
      <c r="CD10" s="39">
        <f t="shared" ref="CD10:CD39" si="28">SUMIF(CA10:CC10,"&lt;0")</f>
        <v>-19</v>
      </c>
      <c r="CE10" s="47">
        <f t="shared" ref="CE10:CE39" si="29">CD10/L10</f>
        <v>-7.0110701107011064E-2</v>
      </c>
      <c r="CF10" s="36" t="s">
        <v>292</v>
      </c>
      <c r="CG10" s="39" t="s">
        <v>281</v>
      </c>
      <c r="CH10" s="39"/>
      <c r="CI10" s="25">
        <v>1</v>
      </c>
    </row>
    <row r="11" spans="1:147" ht="24.75" customHeight="1">
      <c r="A11" s="36" t="s">
        <v>50</v>
      </c>
      <c r="B11" s="104" t="s">
        <v>583</v>
      </c>
      <c r="C11" s="228"/>
      <c r="D11" s="36" t="s">
        <v>143</v>
      </c>
      <c r="E11" s="39">
        <v>240</v>
      </c>
      <c r="F11" s="39" t="s">
        <v>55</v>
      </c>
      <c r="G11" s="36" t="s">
        <v>400</v>
      </c>
      <c r="H11" s="36" t="s">
        <v>94</v>
      </c>
      <c r="I11" s="39">
        <v>271</v>
      </c>
      <c r="J11" s="39"/>
      <c r="K11" s="39"/>
      <c r="L11" s="39">
        <f t="shared" si="16"/>
        <v>271</v>
      </c>
      <c r="M11" s="117">
        <v>46144</v>
      </c>
      <c r="N11" s="117">
        <v>46149</v>
      </c>
      <c r="O11" s="39"/>
      <c r="P11" s="39"/>
      <c r="Q11" s="39"/>
      <c r="R11" s="39">
        <f t="shared" si="17"/>
        <v>0</v>
      </c>
      <c r="S11" s="39" t="s">
        <v>31</v>
      </c>
      <c r="T11" s="39">
        <v>107518</v>
      </c>
      <c r="U11" s="117">
        <v>46207</v>
      </c>
      <c r="V11" s="117">
        <v>46137</v>
      </c>
      <c r="W11" s="39">
        <v>331</v>
      </c>
      <c r="X11" s="117">
        <v>46188</v>
      </c>
      <c r="Y11" s="39">
        <f>285+328</f>
        <v>613</v>
      </c>
      <c r="Z11" s="39"/>
      <c r="AA11" s="39"/>
      <c r="AB11" s="119">
        <f t="shared" ref="AB11" si="30">SUM(Y11:AA11)</f>
        <v>613</v>
      </c>
      <c r="AC11" s="39" t="s">
        <v>139</v>
      </c>
      <c r="AD11" s="117">
        <v>46207</v>
      </c>
      <c r="AE11" s="39">
        <v>284</v>
      </c>
      <c r="AF11" s="117">
        <v>46209</v>
      </c>
      <c r="AG11" s="39">
        <v>283</v>
      </c>
      <c r="AH11" s="39">
        <f t="shared" si="18"/>
        <v>-1</v>
      </c>
      <c r="AI11" s="39" t="s">
        <v>257</v>
      </c>
      <c r="AJ11" s="117">
        <v>46207</v>
      </c>
      <c r="AK11" s="39">
        <v>296</v>
      </c>
      <c r="AL11" s="117">
        <v>46207</v>
      </c>
      <c r="AM11" s="39">
        <v>290</v>
      </c>
      <c r="AN11" s="39">
        <f t="shared" si="19"/>
        <v>-6</v>
      </c>
      <c r="AO11" s="39" t="s">
        <v>257</v>
      </c>
      <c r="AP11" s="117">
        <v>46207</v>
      </c>
      <c r="AQ11" s="39">
        <v>296</v>
      </c>
      <c r="AR11" s="117">
        <v>46207</v>
      </c>
      <c r="AS11" s="39">
        <v>290</v>
      </c>
      <c r="AT11" s="39">
        <f t="shared" si="20"/>
        <v>-6</v>
      </c>
      <c r="AU11" s="39" t="s">
        <v>257</v>
      </c>
      <c r="AV11" s="117">
        <v>46207</v>
      </c>
      <c r="AW11" s="39">
        <v>296</v>
      </c>
      <c r="AX11" s="117">
        <v>46207</v>
      </c>
      <c r="AY11" s="39">
        <v>290</v>
      </c>
      <c r="AZ11" s="39">
        <f t="shared" si="21"/>
        <v>-6</v>
      </c>
      <c r="BA11" s="39"/>
      <c r="BB11" s="39"/>
      <c r="BC11" s="39"/>
      <c r="BD11" s="39"/>
      <c r="BE11" s="39"/>
      <c r="BF11" s="39">
        <f t="shared" si="22"/>
        <v>0</v>
      </c>
      <c r="BG11" s="39"/>
      <c r="BH11" s="39"/>
      <c r="BI11" s="39"/>
      <c r="BJ11" s="39"/>
      <c r="BK11" s="39"/>
      <c r="BL11" s="39">
        <f t="shared" si="23"/>
        <v>0</v>
      </c>
      <c r="BM11" s="54" t="str">
        <f t="shared" si="24"/>
        <v/>
      </c>
      <c r="BN11" s="58">
        <v>46152</v>
      </c>
      <c r="BO11" s="57">
        <v>46165</v>
      </c>
      <c r="BP11" s="57">
        <v>46178</v>
      </c>
      <c r="BQ11" s="57">
        <v>46184</v>
      </c>
      <c r="BR11" s="230"/>
      <c r="BS11" s="230"/>
      <c r="BT11" s="39">
        <v>1574</v>
      </c>
      <c r="BU11" s="39">
        <f>280</f>
        <v>280</v>
      </c>
      <c r="BV11" s="39"/>
      <c r="BW11" s="39"/>
      <c r="BX11" s="39"/>
      <c r="BY11" s="39"/>
      <c r="BZ11" s="39">
        <f t="shared" si="25"/>
        <v>280</v>
      </c>
      <c r="CA11" s="39">
        <f t="shared" si="11"/>
        <v>9</v>
      </c>
      <c r="CB11" s="39">
        <f t="shared" si="26"/>
        <v>0</v>
      </c>
      <c r="CC11" s="39">
        <f t="shared" si="27"/>
        <v>0</v>
      </c>
      <c r="CD11" s="39">
        <f t="shared" si="28"/>
        <v>0</v>
      </c>
      <c r="CE11" s="47">
        <f t="shared" si="29"/>
        <v>0</v>
      </c>
      <c r="CF11" s="36" t="s">
        <v>292</v>
      </c>
      <c r="CG11" s="39" t="s">
        <v>281</v>
      </c>
      <c r="CH11" s="39"/>
      <c r="CI11" s="25">
        <v>1</v>
      </c>
    </row>
    <row r="12" spans="1:147" ht="24.75" customHeight="1">
      <c r="A12" s="36" t="s">
        <v>50</v>
      </c>
      <c r="B12" s="104">
        <v>47525</v>
      </c>
      <c r="C12" s="227">
        <v>13260594</v>
      </c>
      <c r="D12" s="36" t="s">
        <v>83</v>
      </c>
      <c r="E12" s="39">
        <v>240</v>
      </c>
      <c r="F12" s="39" t="s">
        <v>53</v>
      </c>
      <c r="G12" s="36" t="s">
        <v>606</v>
      </c>
      <c r="H12" s="39" t="s">
        <v>25</v>
      </c>
      <c r="I12" s="39">
        <v>324</v>
      </c>
      <c r="J12" s="39">
        <v>100</v>
      </c>
      <c r="K12" s="39">
        <v>8</v>
      </c>
      <c r="L12" s="39">
        <f t="shared" ref="L12:L39" si="31">SUM(I12:K12)</f>
        <v>432</v>
      </c>
      <c r="M12" s="117">
        <v>46147</v>
      </c>
      <c r="N12" s="117">
        <v>46155</v>
      </c>
      <c r="O12" s="39"/>
      <c r="P12" s="39"/>
      <c r="Q12" s="39"/>
      <c r="R12" s="39">
        <f t="shared" ref="R12:R39" si="32">SUM(O12:Q12)</f>
        <v>0</v>
      </c>
      <c r="S12" s="39" t="s">
        <v>130</v>
      </c>
      <c r="T12" s="39">
        <v>106612</v>
      </c>
      <c r="U12" s="117">
        <v>46165</v>
      </c>
      <c r="V12" s="117"/>
      <c r="W12" s="39"/>
      <c r="X12" s="39"/>
      <c r="Y12" s="39">
        <v>377</v>
      </c>
      <c r="Z12" s="39">
        <v>117</v>
      </c>
      <c r="AA12" s="39">
        <v>10</v>
      </c>
      <c r="AB12" s="119">
        <f t="shared" ref="AB12:AB39" si="33">SUM(Y12:AA12)</f>
        <v>504</v>
      </c>
      <c r="AC12" s="39" t="s">
        <v>269</v>
      </c>
      <c r="AD12" s="117">
        <v>46200</v>
      </c>
      <c r="AE12" s="39">
        <v>322</v>
      </c>
      <c r="AF12" s="117">
        <v>46211</v>
      </c>
      <c r="AG12" s="39">
        <f>304</f>
        <v>304</v>
      </c>
      <c r="AH12" s="39">
        <f t="shared" si="18"/>
        <v>-18</v>
      </c>
      <c r="AI12" s="39"/>
      <c r="AJ12" s="39"/>
      <c r="AK12" s="39"/>
      <c r="AL12" s="39"/>
      <c r="AM12" s="39"/>
      <c r="AN12" s="39">
        <f t="shared" si="19"/>
        <v>0</v>
      </c>
      <c r="AO12" s="39" t="s">
        <v>412</v>
      </c>
      <c r="AP12" s="117" t="s">
        <v>1560</v>
      </c>
      <c r="AQ12" s="39">
        <f>350+18</f>
        <v>368</v>
      </c>
      <c r="AR12" s="117" t="s">
        <v>1945</v>
      </c>
      <c r="AS12" s="39">
        <f>338+19</f>
        <v>357</v>
      </c>
      <c r="AT12" s="39">
        <f t="shared" si="20"/>
        <v>-11</v>
      </c>
      <c r="AU12" s="39" t="s">
        <v>257</v>
      </c>
      <c r="AV12" s="117">
        <v>46186</v>
      </c>
      <c r="AW12" s="39">
        <v>350</v>
      </c>
      <c r="AX12" s="117">
        <v>46188</v>
      </c>
      <c r="AY12" s="39">
        <v>338</v>
      </c>
      <c r="AZ12" s="39">
        <f t="shared" si="21"/>
        <v>-12</v>
      </c>
      <c r="BA12" s="39"/>
      <c r="BB12" s="39"/>
      <c r="BC12" s="39"/>
      <c r="BD12" s="39"/>
      <c r="BE12" s="39"/>
      <c r="BF12" s="39">
        <f t="shared" si="22"/>
        <v>0</v>
      </c>
      <c r="BG12" s="39"/>
      <c r="BH12" s="39"/>
      <c r="BI12" s="39"/>
      <c r="BJ12" s="39"/>
      <c r="BK12" s="39"/>
      <c r="BL12" s="39">
        <f t="shared" si="23"/>
        <v>0</v>
      </c>
      <c r="BM12" s="54" t="str">
        <f t="shared" si="24"/>
        <v/>
      </c>
      <c r="BN12" s="58">
        <v>46157</v>
      </c>
      <c r="BO12" s="57">
        <v>46181</v>
      </c>
      <c r="BP12" s="57">
        <v>46181</v>
      </c>
      <c r="BQ12" s="57">
        <v>46189</v>
      </c>
      <c r="BR12" s="229">
        <v>46211</v>
      </c>
      <c r="BS12" s="229">
        <v>46214</v>
      </c>
      <c r="BT12" s="39">
        <v>1595</v>
      </c>
      <c r="BU12" s="39">
        <f>299</f>
        <v>299</v>
      </c>
      <c r="BV12" s="39">
        <v>1591</v>
      </c>
      <c r="BW12" s="39">
        <v>106</v>
      </c>
      <c r="BX12" s="39">
        <v>1591</v>
      </c>
      <c r="BY12" s="39">
        <v>10</v>
      </c>
      <c r="BZ12" s="39">
        <f t="shared" si="25"/>
        <v>415</v>
      </c>
      <c r="CA12" s="39">
        <f t="shared" si="11"/>
        <v>-25</v>
      </c>
      <c r="CB12" s="39">
        <f t="shared" si="26"/>
        <v>6</v>
      </c>
      <c r="CC12" s="39">
        <f t="shared" si="27"/>
        <v>2</v>
      </c>
      <c r="CD12" s="39">
        <f t="shared" si="28"/>
        <v>-25</v>
      </c>
      <c r="CE12" s="47">
        <f t="shared" si="29"/>
        <v>-5.7870370370370371E-2</v>
      </c>
      <c r="CF12" s="36" t="s">
        <v>293</v>
      </c>
      <c r="CG12" s="39" t="s">
        <v>258</v>
      </c>
      <c r="CH12" s="39"/>
      <c r="CI12" s="25">
        <v>1</v>
      </c>
    </row>
    <row r="13" spans="1:147" ht="24.75" customHeight="1">
      <c r="A13" s="36" t="s">
        <v>50</v>
      </c>
      <c r="B13" s="104">
        <v>47525</v>
      </c>
      <c r="C13" s="228"/>
      <c r="D13" s="36" t="s">
        <v>83</v>
      </c>
      <c r="E13" s="39">
        <v>240</v>
      </c>
      <c r="F13" s="39" t="s">
        <v>53</v>
      </c>
      <c r="G13" s="36" t="s">
        <v>608</v>
      </c>
      <c r="H13" s="39" t="s">
        <v>25</v>
      </c>
      <c r="I13" s="39">
        <v>401</v>
      </c>
      <c r="J13" s="39">
        <v>124</v>
      </c>
      <c r="K13" s="39">
        <v>10</v>
      </c>
      <c r="L13" s="39">
        <f t="shared" si="31"/>
        <v>535</v>
      </c>
      <c r="M13" s="117">
        <v>46147</v>
      </c>
      <c r="N13" s="117">
        <v>46155</v>
      </c>
      <c r="O13" s="39"/>
      <c r="P13" s="39"/>
      <c r="Q13" s="39"/>
      <c r="R13" s="39">
        <f t="shared" si="32"/>
        <v>0</v>
      </c>
      <c r="S13" s="39" t="s">
        <v>590</v>
      </c>
      <c r="T13" s="39"/>
      <c r="U13" s="39"/>
      <c r="V13" s="117">
        <v>46157</v>
      </c>
      <c r="W13" s="39">
        <f>465+145+12</f>
        <v>622</v>
      </c>
      <c r="X13" s="117" t="s">
        <v>1033</v>
      </c>
      <c r="Y13" s="39">
        <v>408</v>
      </c>
      <c r="Z13" s="39">
        <v>132</v>
      </c>
      <c r="AA13" s="39">
        <v>10</v>
      </c>
      <c r="AB13" s="119">
        <f t="shared" si="33"/>
        <v>550</v>
      </c>
      <c r="AC13" s="39" t="s">
        <v>269</v>
      </c>
      <c r="AD13" s="117">
        <v>46200</v>
      </c>
      <c r="AE13" s="39">
        <v>405</v>
      </c>
      <c r="AF13" s="117">
        <v>46210</v>
      </c>
      <c r="AG13" s="39">
        <v>400</v>
      </c>
      <c r="AH13" s="39">
        <f t="shared" si="18"/>
        <v>-5</v>
      </c>
      <c r="AI13" s="39"/>
      <c r="AJ13" s="39"/>
      <c r="AK13" s="39"/>
      <c r="AL13" s="39"/>
      <c r="AM13" s="39"/>
      <c r="AN13" s="39">
        <f t="shared" si="19"/>
        <v>0</v>
      </c>
      <c r="AO13" s="39"/>
      <c r="AP13" s="39"/>
      <c r="AQ13" s="39"/>
      <c r="AR13" s="39"/>
      <c r="AS13" s="39"/>
      <c r="AT13" s="39">
        <f t="shared" si="20"/>
        <v>0</v>
      </c>
      <c r="AU13" s="39"/>
      <c r="AV13" s="39"/>
      <c r="AW13" s="39"/>
      <c r="AX13" s="39"/>
      <c r="AY13" s="39"/>
      <c r="AZ13" s="39">
        <f t="shared" si="21"/>
        <v>0</v>
      </c>
      <c r="BA13" s="39"/>
      <c r="BB13" s="39"/>
      <c r="BC13" s="39"/>
      <c r="BD13" s="39"/>
      <c r="BE13" s="39"/>
      <c r="BF13" s="39">
        <f t="shared" si="22"/>
        <v>0</v>
      </c>
      <c r="BG13" s="39"/>
      <c r="BH13" s="39"/>
      <c r="BI13" s="39"/>
      <c r="BJ13" s="39"/>
      <c r="BK13" s="39"/>
      <c r="BL13" s="39">
        <f t="shared" si="23"/>
        <v>0</v>
      </c>
      <c r="BM13" s="54" t="str">
        <f t="shared" si="24"/>
        <v/>
      </c>
      <c r="BN13" s="58">
        <v>46157</v>
      </c>
      <c r="BO13" s="57">
        <v>46181</v>
      </c>
      <c r="BP13" s="57">
        <v>46181</v>
      </c>
      <c r="BQ13" s="57">
        <v>46189</v>
      </c>
      <c r="BR13" s="230"/>
      <c r="BS13" s="230"/>
      <c r="BT13" s="39">
        <v>2226</v>
      </c>
      <c r="BU13" s="39">
        <v>399</v>
      </c>
      <c r="BV13" s="39">
        <v>1771</v>
      </c>
      <c r="BW13" s="39">
        <v>132</v>
      </c>
      <c r="BX13" s="39">
        <v>1771</v>
      </c>
      <c r="BY13" s="39">
        <v>10</v>
      </c>
      <c r="BZ13" s="39">
        <f t="shared" si="25"/>
        <v>541</v>
      </c>
      <c r="CA13" s="39">
        <f t="shared" si="11"/>
        <v>-2</v>
      </c>
      <c r="CB13" s="39">
        <f t="shared" si="26"/>
        <v>8</v>
      </c>
      <c r="CC13" s="39">
        <f t="shared" si="27"/>
        <v>0</v>
      </c>
      <c r="CD13" s="39">
        <v>0</v>
      </c>
      <c r="CE13" s="47">
        <f t="shared" si="29"/>
        <v>0</v>
      </c>
      <c r="CF13" s="36" t="s">
        <v>293</v>
      </c>
      <c r="CG13" s="39" t="s">
        <v>258</v>
      </c>
      <c r="CH13" s="39" t="s">
        <v>630</v>
      </c>
      <c r="CI13" s="25">
        <v>1</v>
      </c>
    </row>
    <row r="14" spans="1:147" ht="24.75" customHeight="1">
      <c r="A14" s="36" t="s">
        <v>50</v>
      </c>
      <c r="B14" s="104">
        <v>47524</v>
      </c>
      <c r="C14" s="227">
        <v>13260598</v>
      </c>
      <c r="D14" s="36" t="s">
        <v>83</v>
      </c>
      <c r="E14" s="39">
        <v>240</v>
      </c>
      <c r="F14" s="39" t="s">
        <v>53</v>
      </c>
      <c r="G14" s="36" t="s">
        <v>606</v>
      </c>
      <c r="H14" s="39" t="s">
        <v>25</v>
      </c>
      <c r="I14" s="39">
        <v>254</v>
      </c>
      <c r="J14" s="39">
        <v>62</v>
      </c>
      <c r="K14" s="39">
        <v>4</v>
      </c>
      <c r="L14" s="39">
        <f t="shared" si="31"/>
        <v>320</v>
      </c>
      <c r="M14" s="117">
        <v>46149</v>
      </c>
      <c r="N14" s="117">
        <v>46154</v>
      </c>
      <c r="O14" s="39"/>
      <c r="P14" s="39"/>
      <c r="Q14" s="39"/>
      <c r="R14" s="39">
        <f t="shared" si="32"/>
        <v>0</v>
      </c>
      <c r="S14" s="39" t="s">
        <v>130</v>
      </c>
      <c r="T14" s="39" t="s">
        <v>1565</v>
      </c>
      <c r="U14" s="117" t="s">
        <v>1566</v>
      </c>
      <c r="V14" s="117"/>
      <c r="W14" s="39"/>
      <c r="X14" s="39"/>
      <c r="Y14" s="39">
        <f>297+41</f>
        <v>338</v>
      </c>
      <c r="Z14" s="39">
        <v>73</v>
      </c>
      <c r="AA14" s="39">
        <v>6</v>
      </c>
      <c r="AB14" s="119">
        <f t="shared" si="33"/>
        <v>417</v>
      </c>
      <c r="AC14" s="39" t="s">
        <v>269</v>
      </c>
      <c r="AD14" s="117">
        <v>46200</v>
      </c>
      <c r="AE14" s="39">
        <v>252</v>
      </c>
      <c r="AF14" s="117">
        <v>46210</v>
      </c>
      <c r="AG14" s="39">
        <v>250</v>
      </c>
      <c r="AH14" s="39">
        <f t="shared" si="18"/>
        <v>-2</v>
      </c>
      <c r="AI14" s="39"/>
      <c r="AJ14" s="39"/>
      <c r="AK14" s="39"/>
      <c r="AL14" s="39"/>
      <c r="AM14" s="39"/>
      <c r="AN14" s="39">
        <f t="shared" si="19"/>
        <v>0</v>
      </c>
      <c r="AO14" s="39" t="s">
        <v>412</v>
      </c>
      <c r="AP14" s="117" t="s">
        <v>1560</v>
      </c>
      <c r="AQ14" s="39">
        <f>280+17</f>
        <v>297</v>
      </c>
      <c r="AR14" s="117" t="s">
        <v>1945</v>
      </c>
      <c r="AS14" s="39">
        <f>270+16</f>
        <v>286</v>
      </c>
      <c r="AT14" s="39">
        <f t="shared" si="20"/>
        <v>-11</v>
      </c>
      <c r="AU14" s="39" t="s">
        <v>257</v>
      </c>
      <c r="AV14" s="117">
        <v>46186</v>
      </c>
      <c r="AW14" s="39">
        <v>280</v>
      </c>
      <c r="AX14" s="117">
        <v>46188</v>
      </c>
      <c r="AY14" s="39">
        <v>270</v>
      </c>
      <c r="AZ14" s="39">
        <f t="shared" si="21"/>
        <v>-10</v>
      </c>
      <c r="BA14" s="39"/>
      <c r="BB14" s="39"/>
      <c r="BC14" s="39"/>
      <c r="BD14" s="39"/>
      <c r="BE14" s="39"/>
      <c r="BF14" s="39">
        <f t="shared" si="22"/>
        <v>0</v>
      </c>
      <c r="BG14" s="39"/>
      <c r="BH14" s="39"/>
      <c r="BI14" s="39"/>
      <c r="BJ14" s="39"/>
      <c r="BK14" s="39"/>
      <c r="BL14" s="39">
        <f t="shared" si="23"/>
        <v>0</v>
      </c>
      <c r="BM14" s="54" t="str">
        <f t="shared" si="24"/>
        <v/>
      </c>
      <c r="BN14" s="58">
        <v>46158</v>
      </c>
      <c r="BO14" s="57">
        <v>46179</v>
      </c>
      <c r="BP14" s="57">
        <v>46179</v>
      </c>
      <c r="BQ14" s="57">
        <v>46185</v>
      </c>
      <c r="BR14" s="229">
        <v>46211</v>
      </c>
      <c r="BS14" s="229">
        <v>46211</v>
      </c>
      <c r="BT14" s="39">
        <v>2226</v>
      </c>
      <c r="BU14" s="39">
        <v>249</v>
      </c>
      <c r="BV14" s="39">
        <v>1585</v>
      </c>
      <c r="BW14" s="39">
        <v>74</v>
      </c>
      <c r="BX14" s="39">
        <v>1585</v>
      </c>
      <c r="BY14" s="39">
        <v>6</v>
      </c>
      <c r="BZ14" s="39">
        <f t="shared" si="25"/>
        <v>329</v>
      </c>
      <c r="CA14" s="39">
        <f t="shared" si="11"/>
        <v>-5</v>
      </c>
      <c r="CB14" s="39">
        <f t="shared" si="26"/>
        <v>12</v>
      </c>
      <c r="CC14" s="39">
        <f t="shared" si="27"/>
        <v>2</v>
      </c>
      <c r="CD14" s="39">
        <v>0</v>
      </c>
      <c r="CE14" s="47">
        <f t="shared" si="29"/>
        <v>0</v>
      </c>
      <c r="CF14" s="36"/>
      <c r="CG14" s="39" t="s">
        <v>258</v>
      </c>
      <c r="CH14" s="39"/>
      <c r="CI14" s="25">
        <v>1</v>
      </c>
    </row>
    <row r="15" spans="1:147" ht="24.75" customHeight="1">
      <c r="A15" s="36" t="s">
        <v>50</v>
      </c>
      <c r="B15" s="104">
        <v>47524</v>
      </c>
      <c r="C15" s="228"/>
      <c r="D15" s="36" t="s">
        <v>83</v>
      </c>
      <c r="E15" s="39">
        <v>240</v>
      </c>
      <c r="F15" s="39" t="s">
        <v>53</v>
      </c>
      <c r="G15" s="36" t="s">
        <v>608</v>
      </c>
      <c r="H15" s="39" t="s">
        <v>25</v>
      </c>
      <c r="I15" s="39">
        <v>254</v>
      </c>
      <c r="J15" s="39">
        <v>62</v>
      </c>
      <c r="K15" s="39">
        <v>4</v>
      </c>
      <c r="L15" s="39">
        <f t="shared" si="31"/>
        <v>320</v>
      </c>
      <c r="M15" s="117">
        <v>46149</v>
      </c>
      <c r="N15" s="117">
        <v>46154</v>
      </c>
      <c r="O15" s="39"/>
      <c r="P15" s="39"/>
      <c r="Q15" s="39"/>
      <c r="R15" s="39">
        <f t="shared" si="32"/>
        <v>0</v>
      </c>
      <c r="S15" s="39" t="s">
        <v>590</v>
      </c>
      <c r="T15" s="39"/>
      <c r="U15" s="39"/>
      <c r="V15" s="117">
        <v>46157</v>
      </c>
      <c r="W15" s="39">
        <f>295+73+6</f>
        <v>374</v>
      </c>
      <c r="X15" s="117" t="s">
        <v>1363</v>
      </c>
      <c r="Y15" s="39">
        <v>260</v>
      </c>
      <c r="Z15" s="39">
        <v>65</v>
      </c>
      <c r="AA15" s="39">
        <v>5</v>
      </c>
      <c r="AB15" s="119">
        <f t="shared" si="33"/>
        <v>330</v>
      </c>
      <c r="AC15" s="39" t="s">
        <v>269</v>
      </c>
      <c r="AD15" s="117">
        <v>46205</v>
      </c>
      <c r="AE15" s="39">
        <v>249</v>
      </c>
      <c r="AF15" s="117">
        <v>46210</v>
      </c>
      <c r="AG15" s="39">
        <v>247</v>
      </c>
      <c r="AH15" s="39">
        <f t="shared" si="18"/>
        <v>-2</v>
      </c>
      <c r="AI15" s="39"/>
      <c r="AJ15" s="39"/>
      <c r="AK15" s="39"/>
      <c r="AL15" s="39"/>
      <c r="AM15" s="39"/>
      <c r="AN15" s="39">
        <f t="shared" si="19"/>
        <v>0</v>
      </c>
      <c r="AO15" s="39" t="s">
        <v>256</v>
      </c>
      <c r="AP15" s="117">
        <v>46204</v>
      </c>
      <c r="AQ15" s="39">
        <v>263</v>
      </c>
      <c r="AR15" s="117">
        <v>46204</v>
      </c>
      <c r="AS15" s="39">
        <v>258</v>
      </c>
      <c r="AT15" s="39">
        <f t="shared" si="20"/>
        <v>-5</v>
      </c>
      <c r="AU15" s="39" t="s">
        <v>256</v>
      </c>
      <c r="AV15" s="117">
        <v>46204</v>
      </c>
      <c r="AW15" s="39">
        <v>263</v>
      </c>
      <c r="AX15" s="117">
        <v>46204</v>
      </c>
      <c r="AY15" s="39">
        <v>258</v>
      </c>
      <c r="AZ15" s="39">
        <f t="shared" si="21"/>
        <v>-5</v>
      </c>
      <c r="BA15" s="39"/>
      <c r="BB15" s="39"/>
      <c r="BC15" s="39"/>
      <c r="BD15" s="39"/>
      <c r="BE15" s="39"/>
      <c r="BF15" s="39">
        <f t="shared" si="22"/>
        <v>0</v>
      </c>
      <c r="BG15" s="39"/>
      <c r="BH15" s="39"/>
      <c r="BI15" s="39"/>
      <c r="BJ15" s="39"/>
      <c r="BK15" s="39"/>
      <c r="BL15" s="39">
        <f t="shared" si="23"/>
        <v>0</v>
      </c>
      <c r="BM15" s="54" t="str">
        <f t="shared" si="24"/>
        <v/>
      </c>
      <c r="BN15" s="58">
        <v>46158</v>
      </c>
      <c r="BO15" s="57">
        <v>46179</v>
      </c>
      <c r="BP15" s="57">
        <v>46179</v>
      </c>
      <c r="BQ15" s="57">
        <v>46185</v>
      </c>
      <c r="BR15" s="230"/>
      <c r="BS15" s="230"/>
      <c r="BT15" s="39">
        <v>2226</v>
      </c>
      <c r="BU15" s="39">
        <f>246</f>
        <v>246</v>
      </c>
      <c r="BV15" s="39">
        <v>1771</v>
      </c>
      <c r="BW15" s="39">
        <v>65</v>
      </c>
      <c r="BX15" s="39">
        <v>1771</v>
      </c>
      <c r="BY15" s="39">
        <v>5</v>
      </c>
      <c r="BZ15" s="39">
        <f t="shared" si="25"/>
        <v>316</v>
      </c>
      <c r="CA15" s="39">
        <f t="shared" si="11"/>
        <v>-8</v>
      </c>
      <c r="CB15" s="39">
        <f t="shared" si="26"/>
        <v>3</v>
      </c>
      <c r="CC15" s="39">
        <f t="shared" si="27"/>
        <v>1</v>
      </c>
      <c r="CD15" s="39">
        <v>0</v>
      </c>
      <c r="CE15" s="47">
        <f t="shared" si="29"/>
        <v>0</v>
      </c>
      <c r="CF15" s="36"/>
      <c r="CG15" s="39" t="s">
        <v>258</v>
      </c>
      <c r="CH15" s="39"/>
      <c r="CI15" s="25">
        <v>1</v>
      </c>
    </row>
    <row r="16" spans="1:147" ht="24.75" customHeight="1">
      <c r="A16" s="36" t="s">
        <v>50</v>
      </c>
      <c r="B16" s="104">
        <v>47532</v>
      </c>
      <c r="C16" s="227">
        <v>13260636</v>
      </c>
      <c r="D16" s="36" t="s">
        <v>45</v>
      </c>
      <c r="E16" s="39">
        <v>240</v>
      </c>
      <c r="F16" s="39" t="s">
        <v>53</v>
      </c>
      <c r="G16" s="36" t="s">
        <v>609</v>
      </c>
      <c r="H16" s="39" t="s">
        <v>25</v>
      </c>
      <c r="I16" s="39">
        <v>127</v>
      </c>
      <c r="J16" s="39">
        <v>38</v>
      </c>
      <c r="K16" s="39">
        <v>3</v>
      </c>
      <c r="L16" s="39">
        <f t="shared" si="31"/>
        <v>168</v>
      </c>
      <c r="M16" s="117">
        <v>46147</v>
      </c>
      <c r="N16" s="117">
        <v>46155</v>
      </c>
      <c r="O16" s="39"/>
      <c r="P16" s="39"/>
      <c r="Q16" s="39"/>
      <c r="R16" s="39">
        <f t="shared" si="32"/>
        <v>0</v>
      </c>
      <c r="S16" s="39" t="s">
        <v>130</v>
      </c>
      <c r="T16" s="39">
        <v>106671</v>
      </c>
      <c r="U16" s="117">
        <v>46166</v>
      </c>
      <c r="V16" s="117"/>
      <c r="W16" s="39"/>
      <c r="X16" s="39"/>
      <c r="Y16" s="39">
        <v>159</v>
      </c>
      <c r="Z16" s="39">
        <v>45</v>
      </c>
      <c r="AA16" s="39">
        <v>5</v>
      </c>
      <c r="AB16" s="119">
        <f t="shared" si="33"/>
        <v>209</v>
      </c>
      <c r="AC16" s="39"/>
      <c r="AD16" s="39"/>
      <c r="AE16" s="39"/>
      <c r="AF16" s="39"/>
      <c r="AG16" s="39"/>
      <c r="AH16" s="39">
        <f t="shared" si="18"/>
        <v>0</v>
      </c>
      <c r="AI16" s="39"/>
      <c r="AJ16" s="39"/>
      <c r="AK16" s="39"/>
      <c r="AL16" s="39"/>
      <c r="AM16" s="39"/>
      <c r="AN16" s="39">
        <f t="shared" si="19"/>
        <v>0</v>
      </c>
      <c r="AO16" s="39" t="s">
        <v>257</v>
      </c>
      <c r="AP16" s="117">
        <v>46178</v>
      </c>
      <c r="AQ16" s="39">
        <v>140</v>
      </c>
      <c r="AR16" s="117">
        <v>46181</v>
      </c>
      <c r="AS16" s="39">
        <v>126</v>
      </c>
      <c r="AT16" s="39">
        <f t="shared" si="20"/>
        <v>-14</v>
      </c>
      <c r="AU16" s="39" t="s">
        <v>257</v>
      </c>
      <c r="AV16" s="117">
        <v>46178</v>
      </c>
      <c r="AW16" s="39">
        <v>140</v>
      </c>
      <c r="AX16" s="117">
        <v>46181</v>
      </c>
      <c r="AY16" s="39">
        <v>126</v>
      </c>
      <c r="AZ16" s="39">
        <f t="shared" si="21"/>
        <v>-14</v>
      </c>
      <c r="BA16" s="39"/>
      <c r="BB16" s="39"/>
      <c r="BC16" s="39"/>
      <c r="BD16" s="39"/>
      <c r="BE16" s="39"/>
      <c r="BF16" s="39">
        <f t="shared" si="22"/>
        <v>0</v>
      </c>
      <c r="BG16" s="39"/>
      <c r="BH16" s="39"/>
      <c r="BI16" s="39"/>
      <c r="BJ16" s="39"/>
      <c r="BK16" s="39"/>
      <c r="BL16" s="39">
        <f t="shared" si="23"/>
        <v>0</v>
      </c>
      <c r="BM16" s="54" t="str">
        <f t="shared" si="24"/>
        <v/>
      </c>
      <c r="BN16" s="58">
        <v>46157</v>
      </c>
      <c r="BO16" s="57">
        <v>46183</v>
      </c>
      <c r="BP16" s="57"/>
      <c r="BQ16" s="57"/>
      <c r="BR16" s="229">
        <v>46182</v>
      </c>
      <c r="BS16" s="229">
        <v>46217</v>
      </c>
      <c r="BT16" s="39">
        <v>1671</v>
      </c>
      <c r="BU16" s="39">
        <v>129</v>
      </c>
      <c r="BV16" s="39">
        <v>1712</v>
      </c>
      <c r="BW16" s="39">
        <v>47</v>
      </c>
      <c r="BX16" s="39">
        <v>1712</v>
      </c>
      <c r="BY16" s="39">
        <v>4</v>
      </c>
      <c r="BZ16" s="39">
        <f t="shared" si="25"/>
        <v>180</v>
      </c>
      <c r="CA16" s="39">
        <f t="shared" si="11"/>
        <v>2</v>
      </c>
      <c r="CB16" s="39">
        <f t="shared" si="26"/>
        <v>9</v>
      </c>
      <c r="CC16" s="39">
        <f t="shared" si="27"/>
        <v>1</v>
      </c>
      <c r="CD16" s="39">
        <f t="shared" si="28"/>
        <v>0</v>
      </c>
      <c r="CE16" s="47">
        <f t="shared" si="29"/>
        <v>0</v>
      </c>
      <c r="CF16" s="36"/>
      <c r="CG16" s="39" t="s">
        <v>258</v>
      </c>
      <c r="CH16" s="39"/>
      <c r="CI16" s="25">
        <v>1</v>
      </c>
    </row>
    <row r="17" spans="1:87" ht="24.75" customHeight="1">
      <c r="A17" s="36" t="s">
        <v>50</v>
      </c>
      <c r="B17" s="104">
        <v>47532</v>
      </c>
      <c r="C17" s="231"/>
      <c r="D17" s="36" t="s">
        <v>83</v>
      </c>
      <c r="E17" s="39">
        <v>240</v>
      </c>
      <c r="F17" s="39" t="s">
        <v>53</v>
      </c>
      <c r="G17" s="36" t="s">
        <v>521</v>
      </c>
      <c r="H17" s="39" t="s">
        <v>25</v>
      </c>
      <c r="I17" s="39">
        <v>137</v>
      </c>
      <c r="J17" s="39">
        <v>39</v>
      </c>
      <c r="K17" s="39">
        <v>3</v>
      </c>
      <c r="L17" s="39">
        <f t="shared" si="31"/>
        <v>179</v>
      </c>
      <c r="M17" s="117">
        <v>46147</v>
      </c>
      <c r="N17" s="117">
        <v>46155</v>
      </c>
      <c r="O17" s="39"/>
      <c r="P17" s="39"/>
      <c r="Q17" s="39"/>
      <c r="R17" s="39">
        <f t="shared" si="32"/>
        <v>0</v>
      </c>
      <c r="S17" s="39" t="s">
        <v>590</v>
      </c>
      <c r="T17" s="39">
        <v>107405</v>
      </c>
      <c r="U17" s="117">
        <v>46204</v>
      </c>
      <c r="V17" s="117">
        <v>46157</v>
      </c>
      <c r="W17" s="39">
        <f>170+46+5</f>
        <v>221</v>
      </c>
      <c r="X17" s="117" t="s">
        <v>1231</v>
      </c>
      <c r="Y17" s="39">
        <f>119+33</f>
        <v>152</v>
      </c>
      <c r="Z17" s="39">
        <v>41</v>
      </c>
      <c r="AA17" s="39">
        <v>4</v>
      </c>
      <c r="AB17" s="119">
        <f t="shared" si="33"/>
        <v>197</v>
      </c>
      <c r="AC17" s="39" t="s">
        <v>269</v>
      </c>
      <c r="AD17" s="117" t="s">
        <v>1357</v>
      </c>
      <c r="AE17" s="39">
        <f>105+17+16</f>
        <v>138</v>
      </c>
      <c r="AF17" s="117" t="s">
        <v>1561</v>
      </c>
      <c r="AG17" s="39">
        <f>94+15+14</f>
        <v>123</v>
      </c>
      <c r="AH17" s="39">
        <f t="shared" si="18"/>
        <v>-15</v>
      </c>
      <c r="AI17" s="39"/>
      <c r="AJ17" s="39"/>
      <c r="AK17" s="39"/>
      <c r="AL17" s="39"/>
      <c r="AM17" s="39"/>
      <c r="AN17" s="39">
        <f t="shared" si="19"/>
        <v>0</v>
      </c>
      <c r="AO17" s="39" t="s">
        <v>256</v>
      </c>
      <c r="AP17" s="117">
        <v>46204</v>
      </c>
      <c r="AQ17" s="39">
        <f>28</f>
        <v>28</v>
      </c>
      <c r="AR17" s="117">
        <v>46205</v>
      </c>
      <c r="AS17" s="39">
        <f>28</f>
        <v>28</v>
      </c>
      <c r="AT17" s="39">
        <f t="shared" si="20"/>
        <v>0</v>
      </c>
      <c r="AU17" s="39" t="s">
        <v>256</v>
      </c>
      <c r="AV17" s="117">
        <v>46204</v>
      </c>
      <c r="AW17" s="39">
        <f>28</f>
        <v>28</v>
      </c>
      <c r="AX17" s="117">
        <v>46205</v>
      </c>
      <c r="AY17" s="39">
        <f>28</f>
        <v>28</v>
      </c>
      <c r="AZ17" s="39">
        <f t="shared" si="21"/>
        <v>0</v>
      </c>
      <c r="BA17" s="39"/>
      <c r="BB17" s="39"/>
      <c r="BC17" s="39"/>
      <c r="BD17" s="39"/>
      <c r="BE17" s="39"/>
      <c r="BF17" s="39">
        <f t="shared" si="22"/>
        <v>0</v>
      </c>
      <c r="BG17" s="39"/>
      <c r="BH17" s="39"/>
      <c r="BI17" s="39"/>
      <c r="BJ17" s="39"/>
      <c r="BK17" s="39"/>
      <c r="BL17" s="39">
        <f t="shared" si="23"/>
        <v>0</v>
      </c>
      <c r="BM17" s="54" t="str">
        <f t="shared" si="24"/>
        <v/>
      </c>
      <c r="BN17" s="58">
        <v>46157</v>
      </c>
      <c r="BO17" s="57">
        <v>46183</v>
      </c>
      <c r="BP17" s="57">
        <v>46179</v>
      </c>
      <c r="BQ17" s="57">
        <v>46185</v>
      </c>
      <c r="BR17" s="232"/>
      <c r="BS17" s="232"/>
      <c r="BT17" s="39" t="s">
        <v>1611</v>
      </c>
      <c r="BU17" s="39">
        <f>94+16+14+9</f>
        <v>133</v>
      </c>
      <c r="BV17" s="39">
        <v>1771</v>
      </c>
      <c r="BW17" s="39">
        <v>41</v>
      </c>
      <c r="BX17" s="39">
        <v>1771</v>
      </c>
      <c r="BY17" s="39">
        <v>4</v>
      </c>
      <c r="BZ17" s="39">
        <f t="shared" si="25"/>
        <v>178</v>
      </c>
      <c r="CA17" s="39">
        <f t="shared" si="11"/>
        <v>-4</v>
      </c>
      <c r="CB17" s="39">
        <f t="shared" si="26"/>
        <v>2</v>
      </c>
      <c r="CC17" s="39">
        <f t="shared" si="27"/>
        <v>1</v>
      </c>
      <c r="CD17" s="39">
        <v>0</v>
      </c>
      <c r="CE17" s="47">
        <f t="shared" si="29"/>
        <v>0</v>
      </c>
      <c r="CF17" s="36"/>
      <c r="CG17" s="39" t="s">
        <v>258</v>
      </c>
      <c r="CH17" s="39"/>
      <c r="CI17" s="25">
        <v>1</v>
      </c>
    </row>
    <row r="18" spans="1:87" ht="24.75" customHeight="1">
      <c r="A18" s="36" t="s">
        <v>50</v>
      </c>
      <c r="B18" s="104">
        <v>47532</v>
      </c>
      <c r="C18" s="231"/>
      <c r="D18" s="36" t="s">
        <v>45</v>
      </c>
      <c r="E18" s="39">
        <v>240</v>
      </c>
      <c r="F18" s="39" t="s">
        <v>53</v>
      </c>
      <c r="G18" s="36" t="s">
        <v>35</v>
      </c>
      <c r="H18" s="39" t="s">
        <v>25</v>
      </c>
      <c r="I18" s="39">
        <v>265</v>
      </c>
      <c r="J18" s="39">
        <v>79</v>
      </c>
      <c r="K18" s="39">
        <v>7</v>
      </c>
      <c r="L18" s="39">
        <f t="shared" si="31"/>
        <v>351</v>
      </c>
      <c r="M18" s="117">
        <v>46147</v>
      </c>
      <c r="N18" s="117">
        <v>46155</v>
      </c>
      <c r="O18" s="39"/>
      <c r="P18" s="39"/>
      <c r="Q18" s="39"/>
      <c r="R18" s="39">
        <f t="shared" si="32"/>
        <v>0</v>
      </c>
      <c r="S18" s="39" t="s">
        <v>28</v>
      </c>
      <c r="T18" s="39"/>
      <c r="U18" s="39"/>
      <c r="V18" s="117">
        <v>46158</v>
      </c>
      <c r="W18" s="39">
        <f>307+93+9</f>
        <v>409</v>
      </c>
      <c r="X18" s="117" t="s">
        <v>911</v>
      </c>
      <c r="Y18" s="39">
        <v>287</v>
      </c>
      <c r="Z18" s="39">
        <v>90</v>
      </c>
      <c r="AA18" s="39">
        <v>8</v>
      </c>
      <c r="AB18" s="119">
        <f t="shared" si="33"/>
        <v>385</v>
      </c>
      <c r="AC18" s="39"/>
      <c r="AD18" s="39"/>
      <c r="AE18" s="39"/>
      <c r="AF18" s="39"/>
      <c r="AG18" s="39"/>
      <c r="AH18" s="39">
        <f t="shared" si="18"/>
        <v>0</v>
      </c>
      <c r="AI18" s="39"/>
      <c r="AJ18" s="39"/>
      <c r="AK18" s="39"/>
      <c r="AL18" s="39"/>
      <c r="AM18" s="39"/>
      <c r="AN18" s="39">
        <f t="shared" si="19"/>
        <v>0</v>
      </c>
      <c r="AO18" s="39"/>
      <c r="AP18" s="39"/>
      <c r="AQ18" s="39"/>
      <c r="AR18" s="39"/>
      <c r="AS18" s="39"/>
      <c r="AT18" s="39">
        <f t="shared" si="20"/>
        <v>0</v>
      </c>
      <c r="AU18" s="39" t="s">
        <v>257</v>
      </c>
      <c r="AV18" s="117">
        <v>46164</v>
      </c>
      <c r="AW18" s="39">
        <v>288</v>
      </c>
      <c r="AX18" s="117">
        <v>46164</v>
      </c>
      <c r="AY18" s="39">
        <v>283</v>
      </c>
      <c r="AZ18" s="39">
        <f t="shared" si="21"/>
        <v>-5</v>
      </c>
      <c r="BA18" s="39"/>
      <c r="BB18" s="39"/>
      <c r="BC18" s="39"/>
      <c r="BD18" s="39"/>
      <c r="BE18" s="39"/>
      <c r="BF18" s="39">
        <f t="shared" si="22"/>
        <v>0</v>
      </c>
      <c r="BG18" s="39" t="s">
        <v>28</v>
      </c>
      <c r="BH18" s="117">
        <v>46179</v>
      </c>
      <c r="BI18" s="39">
        <v>288</v>
      </c>
      <c r="BJ18" s="117">
        <v>46181</v>
      </c>
      <c r="BK18" s="39">
        <v>280</v>
      </c>
      <c r="BL18" s="39">
        <f t="shared" si="23"/>
        <v>-8</v>
      </c>
      <c r="BM18" s="54" t="str">
        <f t="shared" si="24"/>
        <v/>
      </c>
      <c r="BN18" s="58">
        <v>46157</v>
      </c>
      <c r="BO18" s="57">
        <v>46183</v>
      </c>
      <c r="BP18" s="57"/>
      <c r="BQ18" s="57"/>
      <c r="BR18" s="232"/>
      <c r="BS18" s="232"/>
      <c r="BT18" s="39">
        <v>1391</v>
      </c>
      <c r="BU18" s="39">
        <v>280</v>
      </c>
      <c r="BV18" s="39">
        <v>1391</v>
      </c>
      <c r="BW18" s="39">
        <v>90</v>
      </c>
      <c r="BX18" s="39">
        <v>1391</v>
      </c>
      <c r="BY18" s="39">
        <v>8</v>
      </c>
      <c r="BZ18" s="39">
        <f t="shared" si="25"/>
        <v>378</v>
      </c>
      <c r="CA18" s="39">
        <f t="shared" si="11"/>
        <v>15</v>
      </c>
      <c r="CB18" s="39">
        <f t="shared" si="26"/>
        <v>11</v>
      </c>
      <c r="CC18" s="39">
        <f t="shared" si="27"/>
        <v>1</v>
      </c>
      <c r="CD18" s="39">
        <f t="shared" si="28"/>
        <v>0</v>
      </c>
      <c r="CE18" s="47">
        <f t="shared" si="29"/>
        <v>0</v>
      </c>
      <c r="CF18" s="36"/>
      <c r="CG18" s="39" t="s">
        <v>258</v>
      </c>
      <c r="CH18" s="39"/>
      <c r="CI18" s="25">
        <v>1</v>
      </c>
    </row>
    <row r="19" spans="1:87" ht="24.75" customHeight="1">
      <c r="A19" s="36" t="s">
        <v>50</v>
      </c>
      <c r="B19" s="104">
        <v>47532</v>
      </c>
      <c r="C19" s="228"/>
      <c r="D19" s="36" t="s">
        <v>83</v>
      </c>
      <c r="E19" s="39">
        <v>240</v>
      </c>
      <c r="F19" s="39" t="s">
        <v>53</v>
      </c>
      <c r="G19" s="36" t="s">
        <v>608</v>
      </c>
      <c r="H19" s="39" t="s">
        <v>25</v>
      </c>
      <c r="I19" s="39">
        <v>145</v>
      </c>
      <c r="J19" s="39">
        <v>41</v>
      </c>
      <c r="K19" s="39">
        <v>3</v>
      </c>
      <c r="L19" s="39">
        <f t="shared" si="31"/>
        <v>189</v>
      </c>
      <c r="M19" s="117">
        <v>46147</v>
      </c>
      <c r="N19" s="117">
        <v>46155</v>
      </c>
      <c r="O19" s="39"/>
      <c r="P19" s="39"/>
      <c r="Q19" s="39"/>
      <c r="R19" s="39">
        <f t="shared" si="32"/>
        <v>0</v>
      </c>
      <c r="S19" s="39" t="s">
        <v>590</v>
      </c>
      <c r="T19" s="39"/>
      <c r="U19" s="39"/>
      <c r="V19" s="117">
        <v>46157</v>
      </c>
      <c r="W19" s="39">
        <f>179+48+5</f>
        <v>232</v>
      </c>
      <c r="X19" s="117" t="s">
        <v>1284</v>
      </c>
      <c r="Y19" s="39">
        <f>5+140</f>
        <v>145</v>
      </c>
      <c r="Z19" s="39">
        <v>44</v>
      </c>
      <c r="AA19" s="39">
        <v>4</v>
      </c>
      <c r="AB19" s="119">
        <f t="shared" si="33"/>
        <v>193</v>
      </c>
      <c r="AC19" s="39" t="s">
        <v>269</v>
      </c>
      <c r="AD19" s="117" t="s">
        <v>1568</v>
      </c>
      <c r="AE19" s="39">
        <f>134-6+6+21</f>
        <v>155</v>
      </c>
      <c r="AF19" s="117">
        <v>46216</v>
      </c>
      <c r="AG19" s="39">
        <f>18+117</f>
        <v>135</v>
      </c>
      <c r="AH19" s="39">
        <f t="shared" si="18"/>
        <v>-20</v>
      </c>
      <c r="AI19" s="39"/>
      <c r="AJ19" s="39"/>
      <c r="AK19" s="39"/>
      <c r="AL19" s="39"/>
      <c r="AM19" s="39"/>
      <c r="AN19" s="39">
        <f t="shared" si="19"/>
        <v>0</v>
      </c>
      <c r="AO19" s="39" t="s">
        <v>257</v>
      </c>
      <c r="AP19" s="117" t="s">
        <v>1490</v>
      </c>
      <c r="AQ19" s="39">
        <f>5+23</f>
        <v>28</v>
      </c>
      <c r="AR19" s="117" t="s">
        <v>1519</v>
      </c>
      <c r="AS19" s="39">
        <f>5+22</f>
        <v>27</v>
      </c>
      <c r="AT19" s="39">
        <f t="shared" si="20"/>
        <v>-1</v>
      </c>
      <c r="AU19" s="39" t="s">
        <v>274</v>
      </c>
      <c r="AV19" s="117" t="s">
        <v>1491</v>
      </c>
      <c r="AW19" s="39">
        <f>5+139+23</f>
        <v>167</v>
      </c>
      <c r="AX19" s="117" t="s">
        <v>1491</v>
      </c>
      <c r="AY19" s="39">
        <f>5+136+22</f>
        <v>163</v>
      </c>
      <c r="AZ19" s="39">
        <f t="shared" si="21"/>
        <v>-4</v>
      </c>
      <c r="BA19" s="39"/>
      <c r="BB19" s="39"/>
      <c r="BC19" s="39"/>
      <c r="BD19" s="39"/>
      <c r="BE19" s="39"/>
      <c r="BF19" s="39">
        <f t="shared" si="22"/>
        <v>0</v>
      </c>
      <c r="BG19" s="39"/>
      <c r="BH19" s="39"/>
      <c r="BI19" s="39"/>
      <c r="BJ19" s="39"/>
      <c r="BK19" s="39"/>
      <c r="BL19" s="39">
        <f t="shared" si="23"/>
        <v>0</v>
      </c>
      <c r="BM19" s="54" t="str">
        <f t="shared" si="24"/>
        <v/>
      </c>
      <c r="BN19" s="58">
        <v>46157</v>
      </c>
      <c r="BO19" s="57">
        <v>46183</v>
      </c>
      <c r="BP19" s="57">
        <v>46179</v>
      </c>
      <c r="BQ19" s="57">
        <v>46185</v>
      </c>
      <c r="BR19" s="230"/>
      <c r="BS19" s="230"/>
      <c r="BT19" s="39">
        <v>2232</v>
      </c>
      <c r="BU19" s="39">
        <f>135</f>
        <v>135</v>
      </c>
      <c r="BV19" s="39">
        <v>1777</v>
      </c>
      <c r="BW19" s="39">
        <v>44</v>
      </c>
      <c r="BX19" s="39">
        <v>1777</v>
      </c>
      <c r="BY19" s="39">
        <v>4</v>
      </c>
      <c r="BZ19" s="39">
        <f t="shared" si="25"/>
        <v>183</v>
      </c>
      <c r="CA19" s="39">
        <f t="shared" si="11"/>
        <v>-10</v>
      </c>
      <c r="CB19" s="39">
        <f t="shared" si="26"/>
        <v>3</v>
      </c>
      <c r="CC19" s="39">
        <f t="shared" si="27"/>
        <v>1</v>
      </c>
      <c r="CD19" s="39">
        <v>0</v>
      </c>
      <c r="CE19" s="47">
        <f t="shared" si="29"/>
        <v>0</v>
      </c>
      <c r="CF19" s="36"/>
      <c r="CG19" s="39" t="s">
        <v>258</v>
      </c>
      <c r="CH19" s="39"/>
      <c r="CI19" s="25">
        <v>1</v>
      </c>
    </row>
    <row r="20" spans="1:87" ht="24.75" customHeight="1">
      <c r="A20" s="36" t="s">
        <v>50</v>
      </c>
      <c r="B20" s="104">
        <v>47534</v>
      </c>
      <c r="C20" s="227">
        <v>13260623</v>
      </c>
      <c r="D20" s="36" t="s">
        <v>45</v>
      </c>
      <c r="E20" s="39">
        <v>240</v>
      </c>
      <c r="F20" s="39" t="s">
        <v>53</v>
      </c>
      <c r="G20" s="36" t="s">
        <v>35</v>
      </c>
      <c r="H20" s="39" t="s">
        <v>25</v>
      </c>
      <c r="I20" s="39">
        <v>356</v>
      </c>
      <c r="J20" s="39">
        <v>119</v>
      </c>
      <c r="K20" s="39">
        <v>10</v>
      </c>
      <c r="L20" s="39">
        <f t="shared" si="31"/>
        <v>485</v>
      </c>
      <c r="M20" s="117">
        <v>46147</v>
      </c>
      <c r="N20" s="117">
        <v>46155</v>
      </c>
      <c r="O20" s="39"/>
      <c r="P20" s="39"/>
      <c r="Q20" s="39"/>
      <c r="R20" s="39">
        <f t="shared" si="32"/>
        <v>0</v>
      </c>
      <c r="S20" s="39" t="s">
        <v>28</v>
      </c>
      <c r="T20" s="39"/>
      <c r="U20" s="39"/>
      <c r="V20" s="117">
        <v>46158</v>
      </c>
      <c r="W20" s="39">
        <f>413+139+12</f>
        <v>564</v>
      </c>
      <c r="X20" s="117" t="s">
        <v>909</v>
      </c>
      <c r="Y20" s="39">
        <v>387</v>
      </c>
      <c r="Z20" s="39">
        <v>130</v>
      </c>
      <c r="AA20" s="39">
        <v>12</v>
      </c>
      <c r="AB20" s="119">
        <f t="shared" si="33"/>
        <v>529</v>
      </c>
      <c r="AC20" s="39"/>
      <c r="AD20" s="39"/>
      <c r="AE20" s="39"/>
      <c r="AF20" s="39"/>
      <c r="AG20" s="39"/>
      <c r="AH20" s="39">
        <f t="shared" si="18"/>
        <v>0</v>
      </c>
      <c r="AI20" s="39" t="s">
        <v>257</v>
      </c>
      <c r="AJ20" s="117">
        <v>46163</v>
      </c>
      <c r="AK20" s="39">
        <v>389</v>
      </c>
      <c r="AL20" s="117">
        <v>46164</v>
      </c>
      <c r="AM20" s="39">
        <v>384</v>
      </c>
      <c r="AN20" s="39">
        <f t="shared" si="19"/>
        <v>-5</v>
      </c>
      <c r="AO20" s="39"/>
      <c r="AP20" s="39"/>
      <c r="AQ20" s="39"/>
      <c r="AR20" s="39"/>
      <c r="AS20" s="39"/>
      <c r="AT20" s="39">
        <f t="shared" si="20"/>
        <v>0</v>
      </c>
      <c r="AU20" s="39"/>
      <c r="AV20" s="39"/>
      <c r="AW20" s="39"/>
      <c r="AX20" s="39"/>
      <c r="AY20" s="39"/>
      <c r="AZ20" s="39">
        <f t="shared" si="21"/>
        <v>0</v>
      </c>
      <c r="BA20" s="39"/>
      <c r="BB20" s="39"/>
      <c r="BC20" s="39"/>
      <c r="BD20" s="39"/>
      <c r="BE20" s="39"/>
      <c r="BF20" s="39">
        <f t="shared" si="22"/>
        <v>0</v>
      </c>
      <c r="BG20" s="39"/>
      <c r="BH20" s="39"/>
      <c r="BI20" s="39"/>
      <c r="BJ20" s="39"/>
      <c r="BK20" s="39"/>
      <c r="BL20" s="39">
        <f t="shared" si="23"/>
        <v>0</v>
      </c>
      <c r="BM20" s="54" t="str">
        <f t="shared" si="24"/>
        <v/>
      </c>
      <c r="BN20" s="58">
        <v>46157</v>
      </c>
      <c r="BO20" s="57">
        <v>46181</v>
      </c>
      <c r="BP20" s="57"/>
      <c r="BQ20" s="57"/>
      <c r="BR20" s="229">
        <v>46181</v>
      </c>
      <c r="BS20" s="243"/>
      <c r="BT20" s="39">
        <v>1667</v>
      </c>
      <c r="BU20" s="39">
        <v>366</v>
      </c>
      <c r="BV20" s="39">
        <v>1489</v>
      </c>
      <c r="BW20" s="39">
        <v>130</v>
      </c>
      <c r="BX20" s="39">
        <v>1489</v>
      </c>
      <c r="BY20" s="39">
        <v>12</v>
      </c>
      <c r="BZ20" s="39">
        <f t="shared" si="25"/>
        <v>508</v>
      </c>
      <c r="CA20" s="39">
        <f t="shared" si="11"/>
        <v>10</v>
      </c>
      <c r="CB20" s="39">
        <f t="shared" si="26"/>
        <v>11</v>
      </c>
      <c r="CC20" s="39">
        <f t="shared" si="27"/>
        <v>2</v>
      </c>
      <c r="CD20" s="39">
        <f t="shared" si="28"/>
        <v>0</v>
      </c>
      <c r="CE20" s="47">
        <f t="shared" si="29"/>
        <v>0</v>
      </c>
      <c r="CF20" s="36"/>
      <c r="CG20" s="39" t="s">
        <v>258</v>
      </c>
      <c r="CH20" s="39"/>
      <c r="CI20" s="25">
        <v>1</v>
      </c>
    </row>
    <row r="21" spans="1:87" ht="24.75" customHeight="1">
      <c r="A21" s="36" t="s">
        <v>50</v>
      </c>
      <c r="B21" s="104">
        <v>47534</v>
      </c>
      <c r="C21" s="231"/>
      <c r="D21" s="36" t="s">
        <v>83</v>
      </c>
      <c r="E21" s="39">
        <v>240</v>
      </c>
      <c r="F21" s="39" t="s">
        <v>53</v>
      </c>
      <c r="G21" s="36" t="s">
        <v>497</v>
      </c>
      <c r="H21" s="39" t="s">
        <v>25</v>
      </c>
      <c r="I21" s="39">
        <v>211</v>
      </c>
      <c r="J21" s="39">
        <v>61</v>
      </c>
      <c r="K21" s="39">
        <v>5</v>
      </c>
      <c r="L21" s="39">
        <f t="shared" si="31"/>
        <v>277</v>
      </c>
      <c r="M21" s="117">
        <v>46147</v>
      </c>
      <c r="N21" s="117">
        <v>46155</v>
      </c>
      <c r="O21" s="39"/>
      <c r="P21" s="39"/>
      <c r="Q21" s="39"/>
      <c r="R21" s="39">
        <f t="shared" si="32"/>
        <v>0</v>
      </c>
      <c r="S21" s="39" t="s">
        <v>31</v>
      </c>
      <c r="T21" s="39"/>
      <c r="U21" s="39"/>
      <c r="V21" s="117" t="s">
        <v>791</v>
      </c>
      <c r="W21" s="39">
        <f>246+71+7</f>
        <v>324</v>
      </c>
      <c r="X21" s="117" t="s">
        <v>976</v>
      </c>
      <c r="Y21" s="39">
        <v>223</v>
      </c>
      <c r="Z21" s="39">
        <v>65</v>
      </c>
      <c r="AA21" s="39">
        <v>6</v>
      </c>
      <c r="AB21" s="119">
        <f t="shared" si="33"/>
        <v>294</v>
      </c>
      <c r="AC21" s="39" t="s">
        <v>139</v>
      </c>
      <c r="AD21" s="117">
        <v>46202</v>
      </c>
      <c r="AE21" s="39">
        <f>199</f>
        <v>199</v>
      </c>
      <c r="AF21" s="117">
        <v>46204</v>
      </c>
      <c r="AG21" s="39">
        <f>192</f>
        <v>192</v>
      </c>
      <c r="AH21" s="39">
        <f t="shared" si="18"/>
        <v>-7</v>
      </c>
      <c r="AI21" s="39"/>
      <c r="AJ21" s="39"/>
      <c r="AK21" s="39"/>
      <c r="AL21" s="39"/>
      <c r="AM21" s="39"/>
      <c r="AN21" s="39">
        <f t="shared" si="19"/>
        <v>0</v>
      </c>
      <c r="AO21" s="39" t="s">
        <v>257</v>
      </c>
      <c r="AP21" s="117">
        <v>46179</v>
      </c>
      <c r="AQ21" s="39">
        <v>223</v>
      </c>
      <c r="AR21" s="117">
        <v>46183</v>
      </c>
      <c r="AS21" s="39">
        <v>213</v>
      </c>
      <c r="AT21" s="39">
        <f t="shared" si="20"/>
        <v>-10</v>
      </c>
      <c r="AU21" s="39" t="s">
        <v>274</v>
      </c>
      <c r="AV21" s="117" t="s">
        <v>1370</v>
      </c>
      <c r="AW21" s="39">
        <f>223+24+169</f>
        <v>416</v>
      </c>
      <c r="AX21" s="117" t="s">
        <v>1379</v>
      </c>
      <c r="AY21" s="39">
        <f>213+24+168</f>
        <v>405</v>
      </c>
      <c r="AZ21" s="39">
        <f t="shared" si="21"/>
        <v>-11</v>
      </c>
      <c r="BA21" s="39"/>
      <c r="BB21" s="39"/>
      <c r="BC21" s="39"/>
      <c r="BD21" s="39"/>
      <c r="BE21" s="39"/>
      <c r="BF21" s="39">
        <f t="shared" si="22"/>
        <v>0</v>
      </c>
      <c r="BG21" s="39"/>
      <c r="BH21" s="39"/>
      <c r="BI21" s="39"/>
      <c r="BJ21" s="39"/>
      <c r="BK21" s="39"/>
      <c r="BL21" s="39">
        <f t="shared" si="23"/>
        <v>0</v>
      </c>
      <c r="BM21" s="54" t="str">
        <f t="shared" si="24"/>
        <v/>
      </c>
      <c r="BN21" s="58">
        <v>46157</v>
      </c>
      <c r="BO21" s="57">
        <v>46181</v>
      </c>
      <c r="BP21" s="57">
        <v>46178</v>
      </c>
      <c r="BQ21" s="57">
        <v>46183</v>
      </c>
      <c r="BR21" s="232"/>
      <c r="BS21" s="232"/>
      <c r="BT21" s="39">
        <v>1577</v>
      </c>
      <c r="BU21" s="39">
        <f>187</f>
        <v>187</v>
      </c>
      <c r="BV21" s="39">
        <v>1522</v>
      </c>
      <c r="BW21" s="39">
        <v>65</v>
      </c>
      <c r="BX21" s="39">
        <v>1522</v>
      </c>
      <c r="BY21" s="39">
        <v>6</v>
      </c>
      <c r="BZ21" s="39">
        <f t="shared" si="25"/>
        <v>258</v>
      </c>
      <c r="CA21" s="39">
        <f t="shared" si="11"/>
        <v>-24</v>
      </c>
      <c r="CB21" s="39">
        <f t="shared" si="26"/>
        <v>4</v>
      </c>
      <c r="CC21" s="39">
        <f t="shared" si="27"/>
        <v>1</v>
      </c>
      <c r="CD21" s="39">
        <f t="shared" si="28"/>
        <v>-24</v>
      </c>
      <c r="CE21" s="47">
        <f t="shared" si="29"/>
        <v>-8.6642599277978335E-2</v>
      </c>
      <c r="CF21" s="36"/>
      <c r="CG21" s="39" t="s">
        <v>258</v>
      </c>
      <c r="CH21" s="39"/>
      <c r="CI21" s="25">
        <v>1</v>
      </c>
    </row>
    <row r="22" spans="1:87" ht="24.75" customHeight="1">
      <c r="A22" s="36" t="s">
        <v>50</v>
      </c>
      <c r="B22" s="104">
        <v>47534</v>
      </c>
      <c r="C22" s="231"/>
      <c r="D22" s="36" t="s">
        <v>45</v>
      </c>
      <c r="E22" s="39">
        <v>240</v>
      </c>
      <c r="F22" s="39" t="s">
        <v>53</v>
      </c>
      <c r="G22" s="36" t="s">
        <v>607</v>
      </c>
      <c r="H22" s="39" t="s">
        <v>25</v>
      </c>
      <c r="I22" s="39">
        <v>519</v>
      </c>
      <c r="J22" s="39">
        <v>173</v>
      </c>
      <c r="K22" s="39">
        <v>14</v>
      </c>
      <c r="L22" s="39">
        <f t="shared" si="31"/>
        <v>706</v>
      </c>
      <c r="M22" s="117">
        <v>46147</v>
      </c>
      <c r="N22" s="117">
        <v>46155</v>
      </c>
      <c r="O22" s="39"/>
      <c r="P22" s="39"/>
      <c r="Q22" s="39"/>
      <c r="R22" s="39">
        <f t="shared" si="32"/>
        <v>0</v>
      </c>
      <c r="S22" s="39" t="s">
        <v>130</v>
      </c>
      <c r="T22" s="39">
        <v>106653</v>
      </c>
      <c r="U22" s="117">
        <v>46165</v>
      </c>
      <c r="V22" s="39"/>
      <c r="W22" s="39"/>
      <c r="X22" s="39"/>
      <c r="Y22" s="39">
        <v>604</v>
      </c>
      <c r="Z22" s="39">
        <v>204</v>
      </c>
      <c r="AA22" s="39">
        <v>19</v>
      </c>
      <c r="AB22" s="119">
        <f t="shared" si="33"/>
        <v>827</v>
      </c>
      <c r="AC22" s="39"/>
      <c r="AD22" s="39"/>
      <c r="AE22" s="39"/>
      <c r="AF22" s="39"/>
      <c r="AG22" s="39"/>
      <c r="AH22" s="39">
        <f t="shared" si="18"/>
        <v>0</v>
      </c>
      <c r="AI22" s="39"/>
      <c r="AJ22" s="39"/>
      <c r="AK22" s="39"/>
      <c r="AL22" s="39"/>
      <c r="AM22" s="39"/>
      <c r="AN22" s="39">
        <f t="shared" si="19"/>
        <v>0</v>
      </c>
      <c r="AO22" s="39" t="s">
        <v>257</v>
      </c>
      <c r="AP22" s="117">
        <v>46178</v>
      </c>
      <c r="AQ22" s="39">
        <v>561</v>
      </c>
      <c r="AR22" s="117">
        <v>46179</v>
      </c>
      <c r="AS22" s="39">
        <v>543</v>
      </c>
      <c r="AT22" s="39">
        <f t="shared" si="20"/>
        <v>-18</v>
      </c>
      <c r="AU22" s="39" t="s">
        <v>257</v>
      </c>
      <c r="AV22" s="117">
        <v>46178</v>
      </c>
      <c r="AW22" s="39">
        <v>561</v>
      </c>
      <c r="AX22" s="117">
        <v>46179</v>
      </c>
      <c r="AY22" s="39">
        <v>543</v>
      </c>
      <c r="AZ22" s="39">
        <f t="shared" si="21"/>
        <v>-18</v>
      </c>
      <c r="BA22" s="39"/>
      <c r="BB22" s="39"/>
      <c r="BC22" s="39"/>
      <c r="BD22" s="39"/>
      <c r="BE22" s="39"/>
      <c r="BF22" s="39">
        <f t="shared" si="22"/>
        <v>0</v>
      </c>
      <c r="BG22" s="39" t="s">
        <v>28</v>
      </c>
      <c r="BH22" s="117">
        <v>46179</v>
      </c>
      <c r="BI22" s="39">
        <v>544</v>
      </c>
      <c r="BJ22" s="117">
        <v>46182</v>
      </c>
      <c r="BK22" s="39">
        <v>533</v>
      </c>
      <c r="BL22" s="39">
        <f t="shared" si="23"/>
        <v>-11</v>
      </c>
      <c r="BM22" s="54" t="str">
        <f t="shared" si="24"/>
        <v/>
      </c>
      <c r="BN22" s="58">
        <v>46157</v>
      </c>
      <c r="BO22" s="57">
        <v>46181</v>
      </c>
      <c r="BP22" s="57"/>
      <c r="BQ22" s="57"/>
      <c r="BR22" s="232"/>
      <c r="BS22" s="232"/>
      <c r="BT22" s="39">
        <v>1491</v>
      </c>
      <c r="BU22" s="39">
        <v>533</v>
      </c>
      <c r="BV22" s="39">
        <v>1712</v>
      </c>
      <c r="BW22" s="39">
        <v>193</v>
      </c>
      <c r="BX22" s="39">
        <v>1712</v>
      </c>
      <c r="BY22" s="39">
        <v>17</v>
      </c>
      <c r="BZ22" s="39">
        <f t="shared" si="25"/>
        <v>743</v>
      </c>
      <c r="CA22" s="39">
        <f t="shared" si="11"/>
        <v>14</v>
      </c>
      <c r="CB22" s="39">
        <f t="shared" si="26"/>
        <v>20</v>
      </c>
      <c r="CC22" s="39">
        <f t="shared" si="27"/>
        <v>3</v>
      </c>
      <c r="CD22" s="39">
        <f t="shared" si="28"/>
        <v>0</v>
      </c>
      <c r="CE22" s="47">
        <f t="shared" si="29"/>
        <v>0</v>
      </c>
      <c r="CF22" s="36"/>
      <c r="CG22" s="39" t="s">
        <v>258</v>
      </c>
      <c r="CH22" s="39"/>
      <c r="CI22" s="25">
        <v>1</v>
      </c>
    </row>
    <row r="23" spans="1:87" ht="24.75" customHeight="1">
      <c r="A23" s="36" t="s">
        <v>50</v>
      </c>
      <c r="B23" s="104">
        <v>47534</v>
      </c>
      <c r="C23" s="228"/>
      <c r="D23" s="36" t="s">
        <v>83</v>
      </c>
      <c r="E23" s="39">
        <v>240</v>
      </c>
      <c r="F23" s="39" t="s">
        <v>53</v>
      </c>
      <c r="G23" s="36" t="s">
        <v>610</v>
      </c>
      <c r="H23" s="39" t="s">
        <v>25</v>
      </c>
      <c r="I23" s="39">
        <v>155</v>
      </c>
      <c r="J23" s="39">
        <v>43</v>
      </c>
      <c r="K23" s="39">
        <v>4</v>
      </c>
      <c r="L23" s="39">
        <f t="shared" si="31"/>
        <v>202</v>
      </c>
      <c r="M23" s="117">
        <v>46147</v>
      </c>
      <c r="N23" s="117">
        <v>46155</v>
      </c>
      <c r="O23" s="39"/>
      <c r="P23" s="39"/>
      <c r="Q23" s="39"/>
      <c r="R23" s="39">
        <f t="shared" si="32"/>
        <v>0</v>
      </c>
      <c r="S23" s="39" t="s">
        <v>31</v>
      </c>
      <c r="T23" s="39"/>
      <c r="U23" s="39"/>
      <c r="V23" s="117">
        <v>46157</v>
      </c>
      <c r="W23" s="39">
        <f>193+49+6</f>
        <v>248</v>
      </c>
      <c r="X23" s="117" t="s">
        <v>988</v>
      </c>
      <c r="Y23" s="39">
        <v>169</v>
      </c>
      <c r="Z23" s="39">
        <v>44</v>
      </c>
      <c r="AA23" s="39">
        <v>5</v>
      </c>
      <c r="AB23" s="119">
        <f t="shared" si="33"/>
        <v>218</v>
      </c>
      <c r="AC23" s="39" t="s">
        <v>139</v>
      </c>
      <c r="AD23" s="117">
        <v>46202</v>
      </c>
      <c r="AE23" s="39">
        <v>151</v>
      </c>
      <c r="AF23" s="117">
        <v>46204</v>
      </c>
      <c r="AG23" s="39">
        <v>154</v>
      </c>
      <c r="AH23" s="39">
        <f t="shared" si="18"/>
        <v>3</v>
      </c>
      <c r="AI23" s="39"/>
      <c r="AJ23" s="39"/>
      <c r="AK23" s="39"/>
      <c r="AL23" s="39"/>
      <c r="AM23" s="39"/>
      <c r="AN23" s="39">
        <f t="shared" si="19"/>
        <v>0</v>
      </c>
      <c r="AO23" s="39" t="s">
        <v>280</v>
      </c>
      <c r="AP23" s="117">
        <v>46184</v>
      </c>
      <c r="AQ23" s="39">
        <v>168</v>
      </c>
      <c r="AR23" s="117">
        <v>46185</v>
      </c>
      <c r="AS23" s="39">
        <v>161</v>
      </c>
      <c r="AT23" s="39">
        <f t="shared" si="20"/>
        <v>-7</v>
      </c>
      <c r="AU23" s="39" t="s">
        <v>274</v>
      </c>
      <c r="AV23" s="117" t="s">
        <v>1371</v>
      </c>
      <c r="AW23" s="39">
        <f>161+10</f>
        <v>171</v>
      </c>
      <c r="AX23" s="117" t="s">
        <v>1380</v>
      </c>
      <c r="AY23" s="39">
        <f>158+10</f>
        <v>168</v>
      </c>
      <c r="AZ23" s="39">
        <f t="shared" si="21"/>
        <v>-3</v>
      </c>
      <c r="BA23" s="39"/>
      <c r="BB23" s="39"/>
      <c r="BC23" s="39"/>
      <c r="BD23" s="39"/>
      <c r="BE23" s="39"/>
      <c r="BF23" s="39">
        <f t="shared" si="22"/>
        <v>0</v>
      </c>
      <c r="BG23" s="39"/>
      <c r="BH23" s="39"/>
      <c r="BI23" s="39"/>
      <c r="BJ23" s="39"/>
      <c r="BK23" s="39"/>
      <c r="BL23" s="39">
        <f t="shared" si="23"/>
        <v>0</v>
      </c>
      <c r="BM23" s="54" t="str">
        <f t="shared" si="24"/>
        <v/>
      </c>
      <c r="BN23" s="58">
        <v>46157</v>
      </c>
      <c r="BO23" s="57">
        <v>46181</v>
      </c>
      <c r="BP23" s="57">
        <v>46178</v>
      </c>
      <c r="BQ23" s="57">
        <v>46183</v>
      </c>
      <c r="BR23" s="230"/>
      <c r="BS23" s="230"/>
      <c r="BT23" s="39">
        <v>2006</v>
      </c>
      <c r="BU23" s="39">
        <f>141</f>
        <v>141</v>
      </c>
      <c r="BV23" s="39">
        <v>2010</v>
      </c>
      <c r="BW23" s="39">
        <v>44</v>
      </c>
      <c r="BX23" s="39">
        <v>2010</v>
      </c>
      <c r="BY23" s="39">
        <v>5</v>
      </c>
      <c r="BZ23" s="39">
        <f t="shared" si="25"/>
        <v>190</v>
      </c>
      <c r="CA23" s="39">
        <f t="shared" si="11"/>
        <v>-14</v>
      </c>
      <c r="CB23" s="39">
        <f t="shared" si="26"/>
        <v>1</v>
      </c>
      <c r="CC23" s="39">
        <f t="shared" si="27"/>
        <v>1</v>
      </c>
      <c r="CD23" s="39">
        <f t="shared" si="28"/>
        <v>-14</v>
      </c>
      <c r="CE23" s="47">
        <f t="shared" si="29"/>
        <v>-6.9306930693069313E-2</v>
      </c>
      <c r="CF23" s="36"/>
      <c r="CG23" s="39" t="s">
        <v>258</v>
      </c>
      <c r="CH23" s="39" t="s">
        <v>1320</v>
      </c>
      <c r="CI23" s="25">
        <v>1</v>
      </c>
    </row>
    <row r="24" spans="1:87" ht="24.75" customHeight="1">
      <c r="A24" s="36" t="s">
        <v>50</v>
      </c>
      <c r="B24" s="104">
        <v>47660</v>
      </c>
      <c r="C24" s="227">
        <v>13258653</v>
      </c>
      <c r="D24" s="36" t="s">
        <v>83</v>
      </c>
      <c r="E24" s="39">
        <v>280</v>
      </c>
      <c r="F24" s="39" t="s">
        <v>58</v>
      </c>
      <c r="G24" s="36" t="s">
        <v>617</v>
      </c>
      <c r="H24" s="36" t="s">
        <v>362</v>
      </c>
      <c r="I24" s="39">
        <v>242</v>
      </c>
      <c r="J24" s="39">
        <v>65</v>
      </c>
      <c r="K24" s="39"/>
      <c r="L24" s="39">
        <f t="shared" si="31"/>
        <v>307</v>
      </c>
      <c r="M24" s="117">
        <v>46146</v>
      </c>
      <c r="N24" s="117">
        <v>46152</v>
      </c>
      <c r="O24" s="39"/>
      <c r="P24" s="39"/>
      <c r="Q24" s="39"/>
      <c r="R24" s="39">
        <f t="shared" si="32"/>
        <v>0</v>
      </c>
      <c r="S24" s="39" t="s">
        <v>130</v>
      </c>
      <c r="T24" s="39">
        <v>106481</v>
      </c>
      <c r="U24" s="117">
        <v>46160</v>
      </c>
      <c r="V24" s="39"/>
      <c r="W24" s="39"/>
      <c r="X24" s="39"/>
      <c r="Y24" s="39">
        <v>283</v>
      </c>
      <c r="Z24" s="39">
        <v>77</v>
      </c>
      <c r="AA24" s="39"/>
      <c r="AB24" s="119">
        <f t="shared" si="33"/>
        <v>360</v>
      </c>
      <c r="AC24" s="39" t="s">
        <v>268</v>
      </c>
      <c r="AD24" s="117">
        <v>46190</v>
      </c>
      <c r="AE24" s="39">
        <v>247</v>
      </c>
      <c r="AF24" s="117">
        <v>46198</v>
      </c>
      <c r="AG24" s="39">
        <v>243</v>
      </c>
      <c r="AH24" s="39">
        <f t="shared" si="18"/>
        <v>-4</v>
      </c>
      <c r="AI24" s="39"/>
      <c r="AJ24" s="39"/>
      <c r="AK24" s="39"/>
      <c r="AL24" s="39"/>
      <c r="AM24" s="39"/>
      <c r="AN24" s="39">
        <f t="shared" si="19"/>
        <v>0</v>
      </c>
      <c r="AO24" s="39" t="s">
        <v>280</v>
      </c>
      <c r="AP24" s="117">
        <v>46162</v>
      </c>
      <c r="AQ24" s="39">
        <v>270</v>
      </c>
      <c r="AR24" s="117">
        <v>46165</v>
      </c>
      <c r="AS24" s="39">
        <v>272</v>
      </c>
      <c r="AT24" s="39">
        <f t="shared" si="20"/>
        <v>2</v>
      </c>
      <c r="AU24" s="39" t="s">
        <v>257</v>
      </c>
      <c r="AV24" s="117">
        <v>46165</v>
      </c>
      <c r="AW24" s="39">
        <v>272</v>
      </c>
      <c r="AX24" s="117">
        <v>46166</v>
      </c>
      <c r="AY24" s="39">
        <v>266</v>
      </c>
      <c r="AZ24" s="39">
        <f t="shared" si="21"/>
        <v>-6</v>
      </c>
      <c r="BA24" s="39"/>
      <c r="BB24" s="39"/>
      <c r="BC24" s="39"/>
      <c r="BD24" s="39"/>
      <c r="BE24" s="39"/>
      <c r="BF24" s="39">
        <f t="shared" si="22"/>
        <v>0</v>
      </c>
      <c r="BG24" s="39"/>
      <c r="BH24" s="39"/>
      <c r="BI24" s="39"/>
      <c r="BJ24" s="39"/>
      <c r="BK24" s="39"/>
      <c r="BL24" s="39">
        <f t="shared" si="23"/>
        <v>0</v>
      </c>
      <c r="BM24" s="54" t="str">
        <f t="shared" si="24"/>
        <v/>
      </c>
      <c r="BN24" s="58">
        <v>46157</v>
      </c>
      <c r="BO24" s="57">
        <v>46178</v>
      </c>
      <c r="BP24" s="57">
        <v>46179</v>
      </c>
      <c r="BQ24" s="57">
        <v>46185</v>
      </c>
      <c r="BR24" s="229">
        <v>46199</v>
      </c>
      <c r="BS24" s="229">
        <v>46202</v>
      </c>
      <c r="BT24" s="39">
        <v>2127</v>
      </c>
      <c r="BU24" s="39">
        <f>233</f>
        <v>233</v>
      </c>
      <c r="BV24" s="39">
        <v>2130</v>
      </c>
      <c r="BW24" s="39">
        <f>62</f>
        <v>62</v>
      </c>
      <c r="BX24" s="39"/>
      <c r="BY24" s="39"/>
      <c r="BZ24" s="39">
        <f t="shared" si="25"/>
        <v>295</v>
      </c>
      <c r="CA24" s="39">
        <f t="shared" si="11"/>
        <v>-9</v>
      </c>
      <c r="CB24" s="39">
        <f t="shared" si="26"/>
        <v>-3</v>
      </c>
      <c r="CC24" s="39">
        <f t="shared" si="27"/>
        <v>0</v>
      </c>
      <c r="CD24" s="39">
        <v>0</v>
      </c>
      <c r="CE24" s="47">
        <f t="shared" si="29"/>
        <v>0</v>
      </c>
      <c r="CF24" s="36"/>
      <c r="CG24" s="39" t="s">
        <v>228</v>
      </c>
      <c r="CH24" s="39" t="s">
        <v>1201</v>
      </c>
      <c r="CI24" s="25">
        <v>1</v>
      </c>
    </row>
    <row r="25" spans="1:87" ht="24.75" customHeight="1">
      <c r="A25" s="36" t="s">
        <v>50</v>
      </c>
      <c r="B25" s="104">
        <v>47660</v>
      </c>
      <c r="C25" s="228"/>
      <c r="D25" s="36" t="s">
        <v>83</v>
      </c>
      <c r="E25" s="39">
        <v>280</v>
      </c>
      <c r="F25" s="39" t="s">
        <v>58</v>
      </c>
      <c r="G25" s="36" t="s">
        <v>618</v>
      </c>
      <c r="H25" s="36" t="s">
        <v>362</v>
      </c>
      <c r="I25" s="39">
        <v>330</v>
      </c>
      <c r="J25" s="39">
        <v>88</v>
      </c>
      <c r="K25" s="39"/>
      <c r="L25" s="39">
        <f t="shared" si="31"/>
        <v>418</v>
      </c>
      <c r="M25" s="117">
        <v>46146</v>
      </c>
      <c r="N25" s="117">
        <v>46152</v>
      </c>
      <c r="O25" s="39"/>
      <c r="P25" s="39"/>
      <c r="Q25" s="39"/>
      <c r="R25" s="39">
        <f t="shared" si="32"/>
        <v>0</v>
      </c>
      <c r="S25" s="39" t="s">
        <v>31</v>
      </c>
      <c r="T25" s="39"/>
      <c r="U25" s="39"/>
      <c r="V25" s="117">
        <v>46157</v>
      </c>
      <c r="W25" s="39">
        <f>386+106</f>
        <v>492</v>
      </c>
      <c r="X25" s="117" t="s">
        <v>1053</v>
      </c>
      <c r="Y25" s="39">
        <v>350</v>
      </c>
      <c r="Z25" s="39">
        <v>94</v>
      </c>
      <c r="AA25" s="39"/>
      <c r="AB25" s="119">
        <f t="shared" si="33"/>
        <v>444</v>
      </c>
      <c r="AC25" s="39" t="s">
        <v>268</v>
      </c>
      <c r="AD25" s="117">
        <v>46192</v>
      </c>
      <c r="AE25" s="39">
        <v>332</v>
      </c>
      <c r="AF25" s="117" t="s">
        <v>1246</v>
      </c>
      <c r="AG25" s="39">
        <f>145+149+27</f>
        <v>321</v>
      </c>
      <c r="AH25" s="39">
        <f t="shared" si="18"/>
        <v>-11</v>
      </c>
      <c r="AI25" s="39"/>
      <c r="AJ25" s="39"/>
      <c r="AK25" s="39"/>
      <c r="AL25" s="39"/>
      <c r="AM25" s="39"/>
      <c r="AN25" s="39">
        <f t="shared" si="19"/>
        <v>0</v>
      </c>
      <c r="AO25" s="39"/>
      <c r="AP25" s="39"/>
      <c r="AQ25" s="39"/>
      <c r="AR25" s="39"/>
      <c r="AS25" s="39"/>
      <c r="AT25" s="39">
        <f t="shared" si="20"/>
        <v>0</v>
      </c>
      <c r="AU25" s="39"/>
      <c r="AV25" s="39"/>
      <c r="AW25" s="39"/>
      <c r="AX25" s="39"/>
      <c r="AY25" s="39"/>
      <c r="AZ25" s="39">
        <f t="shared" si="21"/>
        <v>0</v>
      </c>
      <c r="BA25" s="39"/>
      <c r="BB25" s="39"/>
      <c r="BC25" s="39"/>
      <c r="BD25" s="39"/>
      <c r="BE25" s="39"/>
      <c r="BF25" s="39">
        <f t="shared" si="22"/>
        <v>0</v>
      </c>
      <c r="BG25" s="39"/>
      <c r="BH25" s="39"/>
      <c r="BI25" s="39"/>
      <c r="BJ25" s="39"/>
      <c r="BK25" s="39"/>
      <c r="BL25" s="39">
        <f t="shared" si="23"/>
        <v>0</v>
      </c>
      <c r="BM25" s="54" t="str">
        <f t="shared" si="24"/>
        <v/>
      </c>
      <c r="BN25" s="58">
        <v>46157</v>
      </c>
      <c r="BO25" s="57">
        <v>46178</v>
      </c>
      <c r="BP25" s="57">
        <v>46179</v>
      </c>
      <c r="BQ25" s="57">
        <v>46185</v>
      </c>
      <c r="BR25" s="230"/>
      <c r="BS25" s="230"/>
      <c r="BT25" s="39" t="s">
        <v>1271</v>
      </c>
      <c r="BU25" s="39">
        <f>144+140+27+19</f>
        <v>330</v>
      </c>
      <c r="BV25" s="39">
        <v>1514</v>
      </c>
      <c r="BW25" s="39">
        <v>94</v>
      </c>
      <c r="BX25" s="39"/>
      <c r="BY25" s="39"/>
      <c r="BZ25" s="39">
        <f t="shared" si="25"/>
        <v>424</v>
      </c>
      <c r="CA25" s="39">
        <f t="shared" si="11"/>
        <v>0</v>
      </c>
      <c r="CB25" s="39">
        <f t="shared" si="26"/>
        <v>6</v>
      </c>
      <c r="CC25" s="39">
        <f t="shared" si="27"/>
        <v>0</v>
      </c>
      <c r="CD25" s="39">
        <f t="shared" si="28"/>
        <v>0</v>
      </c>
      <c r="CE25" s="47">
        <f t="shared" si="29"/>
        <v>0</v>
      </c>
      <c r="CF25" s="36"/>
      <c r="CG25" s="39" t="s">
        <v>228</v>
      </c>
      <c r="CH25" s="39"/>
      <c r="CI25" s="25">
        <v>1</v>
      </c>
    </row>
    <row r="26" spans="1:87" ht="24.75" customHeight="1">
      <c r="A26" s="36" t="s">
        <v>50</v>
      </c>
      <c r="B26" s="104">
        <v>47595</v>
      </c>
      <c r="C26" s="227">
        <v>13251455</v>
      </c>
      <c r="D26" s="36" t="s">
        <v>37</v>
      </c>
      <c r="E26" s="39">
        <v>180</v>
      </c>
      <c r="F26" s="39" t="s">
        <v>55</v>
      </c>
      <c r="G26" s="36" t="s">
        <v>607</v>
      </c>
      <c r="H26" s="39" t="s">
        <v>87</v>
      </c>
      <c r="I26" s="39">
        <v>174</v>
      </c>
      <c r="J26" s="39">
        <v>23</v>
      </c>
      <c r="K26" s="39">
        <v>151</v>
      </c>
      <c r="L26" s="39">
        <f t="shared" si="31"/>
        <v>348</v>
      </c>
      <c r="M26" s="117">
        <v>46147</v>
      </c>
      <c r="N26" s="117">
        <v>46154</v>
      </c>
      <c r="O26" s="39"/>
      <c r="P26" s="39"/>
      <c r="Q26" s="39"/>
      <c r="R26" s="39">
        <f t="shared" si="32"/>
        <v>0</v>
      </c>
      <c r="S26" s="39" t="s">
        <v>590</v>
      </c>
      <c r="T26" s="39"/>
      <c r="U26" s="39"/>
      <c r="V26" s="117">
        <v>46151</v>
      </c>
      <c r="W26" s="39">
        <f>209+181+27</f>
        <v>417</v>
      </c>
      <c r="X26" s="117">
        <v>46197</v>
      </c>
      <c r="Y26" s="39">
        <v>177</v>
      </c>
      <c r="Z26" s="39">
        <f>19</f>
        <v>19</v>
      </c>
      <c r="AA26" s="39">
        <f>148</f>
        <v>148</v>
      </c>
      <c r="AB26" s="120">
        <f t="shared" si="33"/>
        <v>344</v>
      </c>
      <c r="AC26" s="39" t="s">
        <v>139</v>
      </c>
      <c r="AD26" s="117">
        <v>46198</v>
      </c>
      <c r="AE26" s="39">
        <v>187</v>
      </c>
      <c r="AF26" s="117">
        <v>46202</v>
      </c>
      <c r="AG26" s="39">
        <v>174</v>
      </c>
      <c r="AH26" s="39">
        <f t="shared" si="18"/>
        <v>-13</v>
      </c>
      <c r="AI26" s="39"/>
      <c r="AJ26" s="39"/>
      <c r="AK26" s="39"/>
      <c r="AL26" s="39"/>
      <c r="AM26" s="39"/>
      <c r="AN26" s="39">
        <f t="shared" si="19"/>
        <v>0</v>
      </c>
      <c r="AO26" s="39"/>
      <c r="AP26" s="39"/>
      <c r="AQ26" s="39"/>
      <c r="AR26" s="39"/>
      <c r="AS26" s="39"/>
      <c r="AT26" s="39">
        <f t="shared" si="20"/>
        <v>0</v>
      </c>
      <c r="AU26" s="39"/>
      <c r="AV26" s="39"/>
      <c r="AW26" s="39"/>
      <c r="AX26" s="39"/>
      <c r="AY26" s="39"/>
      <c r="AZ26" s="39">
        <f t="shared" si="21"/>
        <v>0</v>
      </c>
      <c r="BA26" s="39"/>
      <c r="BB26" s="39"/>
      <c r="BC26" s="39"/>
      <c r="BD26" s="39"/>
      <c r="BE26" s="39"/>
      <c r="BF26" s="39">
        <f t="shared" si="22"/>
        <v>0</v>
      </c>
      <c r="BG26" s="39"/>
      <c r="BH26" s="39"/>
      <c r="BI26" s="39"/>
      <c r="BJ26" s="39"/>
      <c r="BK26" s="39"/>
      <c r="BL26" s="39">
        <f t="shared" si="23"/>
        <v>0</v>
      </c>
      <c r="BM26" s="54" t="str">
        <f t="shared" si="24"/>
        <v/>
      </c>
      <c r="BN26" s="58">
        <v>46159</v>
      </c>
      <c r="BO26" s="57">
        <v>46181</v>
      </c>
      <c r="BP26" s="57">
        <v>46182</v>
      </c>
      <c r="BQ26" s="57">
        <v>46188</v>
      </c>
      <c r="BR26" s="229">
        <v>46200</v>
      </c>
      <c r="BS26" s="229">
        <v>46203</v>
      </c>
      <c r="BT26" s="39">
        <v>2212</v>
      </c>
      <c r="BU26" s="39">
        <f>173-15</f>
        <v>158</v>
      </c>
      <c r="BV26" s="39">
        <v>2137</v>
      </c>
      <c r="BW26" s="39">
        <f>18</f>
        <v>18</v>
      </c>
      <c r="BX26" s="39">
        <v>2137</v>
      </c>
      <c r="BY26" s="39">
        <v>157</v>
      </c>
      <c r="BZ26" s="39">
        <f t="shared" si="25"/>
        <v>333</v>
      </c>
      <c r="CA26" s="39">
        <f t="shared" si="11"/>
        <v>-16</v>
      </c>
      <c r="CB26" s="39">
        <f t="shared" si="26"/>
        <v>-5</v>
      </c>
      <c r="CC26" s="39">
        <f t="shared" si="27"/>
        <v>6</v>
      </c>
      <c r="CD26" s="39">
        <f t="shared" si="28"/>
        <v>-21</v>
      </c>
      <c r="CE26" s="47">
        <f t="shared" si="29"/>
        <v>-6.0344827586206899E-2</v>
      </c>
      <c r="CF26" s="36" t="s">
        <v>408</v>
      </c>
      <c r="CG26" s="39" t="s">
        <v>282</v>
      </c>
      <c r="CH26" s="39" t="s">
        <v>1309</v>
      </c>
      <c r="CI26" s="25">
        <v>1</v>
      </c>
    </row>
    <row r="27" spans="1:87" ht="24.75" customHeight="1">
      <c r="A27" s="36" t="s">
        <v>50</v>
      </c>
      <c r="B27" s="104">
        <v>47595</v>
      </c>
      <c r="C27" s="228"/>
      <c r="D27" s="36"/>
      <c r="E27" s="39"/>
      <c r="F27" s="39"/>
      <c r="G27" s="36" t="s">
        <v>749</v>
      </c>
      <c r="H27" s="39">
        <v>2189</v>
      </c>
      <c r="I27" s="39" t="s">
        <v>90</v>
      </c>
      <c r="J27" s="39"/>
      <c r="K27" s="39"/>
      <c r="L27" s="39">
        <f t="shared" si="31"/>
        <v>0</v>
      </c>
      <c r="M27" s="117">
        <v>46147</v>
      </c>
      <c r="N27" s="117">
        <v>46154</v>
      </c>
      <c r="O27" s="39"/>
      <c r="P27" s="39"/>
      <c r="Q27" s="39"/>
      <c r="R27" s="39">
        <f t="shared" si="32"/>
        <v>0</v>
      </c>
      <c r="S27" s="39" t="s">
        <v>130</v>
      </c>
      <c r="T27" s="39"/>
      <c r="U27" s="39"/>
      <c r="V27" s="39"/>
      <c r="W27" s="39"/>
      <c r="X27" s="39"/>
      <c r="Y27" s="39"/>
      <c r="Z27" s="39"/>
      <c r="AA27" s="39"/>
      <c r="AB27" s="39">
        <f t="shared" si="33"/>
        <v>0</v>
      </c>
      <c r="AC27" s="39"/>
      <c r="AD27" s="39"/>
      <c r="AE27" s="39"/>
      <c r="AF27" s="39"/>
      <c r="AG27" s="39"/>
      <c r="AH27" s="39">
        <f t="shared" si="18"/>
        <v>0</v>
      </c>
      <c r="AI27" s="39"/>
      <c r="AJ27" s="39"/>
      <c r="AK27" s="39"/>
      <c r="AL27" s="39"/>
      <c r="AM27" s="39"/>
      <c r="AN27" s="39">
        <f t="shared" si="19"/>
        <v>0</v>
      </c>
      <c r="AO27" s="39"/>
      <c r="AP27" s="39"/>
      <c r="AQ27" s="39"/>
      <c r="AR27" s="39"/>
      <c r="AS27" s="39"/>
      <c r="AT27" s="39">
        <f t="shared" si="20"/>
        <v>0</v>
      </c>
      <c r="AU27" s="39"/>
      <c r="AV27" s="39"/>
      <c r="AW27" s="39"/>
      <c r="AX27" s="39"/>
      <c r="AY27" s="39"/>
      <c r="AZ27" s="39">
        <f t="shared" si="21"/>
        <v>0</v>
      </c>
      <c r="BA27" s="39"/>
      <c r="BB27" s="39"/>
      <c r="BC27" s="39"/>
      <c r="BD27" s="39"/>
      <c r="BE27" s="39"/>
      <c r="BF27" s="39">
        <f t="shared" si="22"/>
        <v>0</v>
      </c>
      <c r="BG27" s="39"/>
      <c r="BH27" s="39"/>
      <c r="BI27" s="39"/>
      <c r="BJ27" s="39"/>
      <c r="BK27" s="39"/>
      <c r="BL27" s="39">
        <f t="shared" si="23"/>
        <v>0</v>
      </c>
      <c r="BM27" s="54" t="e">
        <f t="shared" si="24"/>
        <v>#DIV/0!</v>
      </c>
      <c r="BN27" s="58">
        <v>46159</v>
      </c>
      <c r="BO27" s="57">
        <v>46181</v>
      </c>
      <c r="BP27" s="57"/>
      <c r="BQ27" s="57"/>
      <c r="BR27" s="230"/>
      <c r="BS27" s="230"/>
      <c r="BT27" s="39"/>
      <c r="BU27" s="39"/>
      <c r="BV27" s="39"/>
      <c r="BW27" s="39"/>
      <c r="BX27" s="39"/>
      <c r="BY27" s="39"/>
      <c r="BZ27" s="39">
        <f t="shared" si="25"/>
        <v>0</v>
      </c>
      <c r="CA27" s="39" t="e">
        <f t="shared" si="11"/>
        <v>#VALUE!</v>
      </c>
      <c r="CB27" s="39">
        <f t="shared" si="26"/>
        <v>0</v>
      </c>
      <c r="CC27" s="39">
        <f t="shared" si="27"/>
        <v>0</v>
      </c>
      <c r="CD27" s="39">
        <f t="shared" si="28"/>
        <v>0</v>
      </c>
      <c r="CE27" s="47" t="e">
        <f t="shared" si="29"/>
        <v>#DIV/0!</v>
      </c>
      <c r="CF27" s="36" t="s">
        <v>408</v>
      </c>
      <c r="CG27" s="39" t="s">
        <v>282</v>
      </c>
      <c r="CH27" s="39"/>
      <c r="CI27" s="25">
        <v>1</v>
      </c>
    </row>
    <row r="28" spans="1:87" ht="32.25" customHeight="1">
      <c r="A28" s="36" t="s">
        <v>50</v>
      </c>
      <c r="B28" s="104">
        <v>47596</v>
      </c>
      <c r="C28" s="36">
        <v>13265387</v>
      </c>
      <c r="D28" s="36" t="s">
        <v>37</v>
      </c>
      <c r="E28" s="39">
        <v>180</v>
      </c>
      <c r="F28" s="39" t="s">
        <v>55</v>
      </c>
      <c r="G28" s="36" t="s">
        <v>607</v>
      </c>
      <c r="H28" s="39" t="s">
        <v>87</v>
      </c>
      <c r="I28" s="39">
        <v>157</v>
      </c>
      <c r="J28" s="39">
        <v>14</v>
      </c>
      <c r="K28" s="39"/>
      <c r="L28" s="39">
        <f t="shared" si="31"/>
        <v>171</v>
      </c>
      <c r="M28" s="117">
        <v>46151</v>
      </c>
      <c r="N28" s="117">
        <v>46156</v>
      </c>
      <c r="O28" s="39"/>
      <c r="P28" s="39"/>
      <c r="Q28" s="39"/>
      <c r="R28" s="39">
        <f t="shared" si="32"/>
        <v>0</v>
      </c>
      <c r="S28" s="39" t="s">
        <v>590</v>
      </c>
      <c r="T28" s="39"/>
      <c r="U28" s="39"/>
      <c r="V28" s="117">
        <v>46151</v>
      </c>
      <c r="W28" s="39">
        <f>193+17</f>
        <v>210</v>
      </c>
      <c r="X28" s="117">
        <v>46197</v>
      </c>
      <c r="Y28" s="39">
        <v>161</v>
      </c>
      <c r="Z28" s="39">
        <v>16</v>
      </c>
      <c r="AA28" s="39"/>
      <c r="AB28" s="119">
        <f t="shared" si="33"/>
        <v>177</v>
      </c>
      <c r="AC28" s="39" t="s">
        <v>139</v>
      </c>
      <c r="AD28" s="117">
        <v>46198</v>
      </c>
      <c r="AE28" s="39">
        <v>161</v>
      </c>
      <c r="AF28" s="117">
        <v>46202</v>
      </c>
      <c r="AG28" s="39">
        <v>160</v>
      </c>
      <c r="AH28" s="39">
        <f t="shared" si="18"/>
        <v>-1</v>
      </c>
      <c r="AI28" s="39"/>
      <c r="AJ28" s="39"/>
      <c r="AK28" s="39"/>
      <c r="AL28" s="39"/>
      <c r="AM28" s="39"/>
      <c r="AN28" s="39">
        <f t="shared" si="19"/>
        <v>0</v>
      </c>
      <c r="AO28" s="39"/>
      <c r="AP28" s="39"/>
      <c r="AQ28" s="39"/>
      <c r="AR28" s="39"/>
      <c r="AS28" s="39"/>
      <c r="AT28" s="39">
        <f t="shared" si="20"/>
        <v>0</v>
      </c>
      <c r="AU28" s="39"/>
      <c r="AV28" s="39"/>
      <c r="AW28" s="39"/>
      <c r="AX28" s="39"/>
      <c r="AY28" s="39"/>
      <c r="AZ28" s="39">
        <f t="shared" si="21"/>
        <v>0</v>
      </c>
      <c r="BA28" s="39"/>
      <c r="BB28" s="39"/>
      <c r="BC28" s="39"/>
      <c r="BD28" s="39"/>
      <c r="BE28" s="39"/>
      <c r="BF28" s="39">
        <f t="shared" si="22"/>
        <v>0</v>
      </c>
      <c r="BG28" s="39"/>
      <c r="BH28" s="39"/>
      <c r="BI28" s="39"/>
      <c r="BJ28" s="39"/>
      <c r="BK28" s="39"/>
      <c r="BL28" s="39">
        <f t="shared" si="23"/>
        <v>0</v>
      </c>
      <c r="BM28" s="54" t="str">
        <f t="shared" si="24"/>
        <v/>
      </c>
      <c r="BN28" s="58">
        <v>46162</v>
      </c>
      <c r="BO28" s="57">
        <v>46181</v>
      </c>
      <c r="BP28" s="57">
        <v>46183</v>
      </c>
      <c r="BQ28" s="57">
        <v>46189</v>
      </c>
      <c r="BR28" s="50">
        <v>46203</v>
      </c>
      <c r="BS28" s="50">
        <v>46203</v>
      </c>
      <c r="BT28" s="39">
        <v>2212</v>
      </c>
      <c r="BU28" s="39">
        <v>160</v>
      </c>
      <c r="BV28" s="39">
        <v>2146</v>
      </c>
      <c r="BW28" s="39">
        <v>17</v>
      </c>
      <c r="BX28" s="39"/>
      <c r="BY28" s="39"/>
      <c r="BZ28" s="39">
        <f t="shared" si="25"/>
        <v>177</v>
      </c>
      <c r="CA28" s="39">
        <f t="shared" si="11"/>
        <v>3</v>
      </c>
      <c r="CB28" s="39">
        <f t="shared" si="26"/>
        <v>3</v>
      </c>
      <c r="CC28" s="39">
        <f t="shared" si="27"/>
        <v>0</v>
      </c>
      <c r="CD28" s="39">
        <f t="shared" si="28"/>
        <v>0</v>
      </c>
      <c r="CE28" s="47">
        <f t="shared" si="29"/>
        <v>0</v>
      </c>
      <c r="CF28" s="36" t="s">
        <v>408</v>
      </c>
      <c r="CG28" s="39" t="s">
        <v>282</v>
      </c>
      <c r="CH28" s="39"/>
      <c r="CI28" s="25">
        <v>1</v>
      </c>
    </row>
    <row r="29" spans="1:87" ht="33.75" customHeight="1">
      <c r="A29" s="36" t="s">
        <v>50</v>
      </c>
      <c r="B29" s="104">
        <v>47597</v>
      </c>
      <c r="C29" s="36">
        <v>13251459</v>
      </c>
      <c r="D29" s="36" t="s">
        <v>37</v>
      </c>
      <c r="E29" s="39">
        <v>180</v>
      </c>
      <c r="F29" s="39" t="s">
        <v>55</v>
      </c>
      <c r="G29" s="36" t="s">
        <v>607</v>
      </c>
      <c r="H29" s="39" t="s">
        <v>87</v>
      </c>
      <c r="I29" s="39">
        <v>131</v>
      </c>
      <c r="J29" s="39"/>
      <c r="K29" s="39"/>
      <c r="L29" s="39">
        <f t="shared" si="31"/>
        <v>131</v>
      </c>
      <c r="M29" s="117">
        <v>46151</v>
      </c>
      <c r="N29" s="117">
        <v>46155</v>
      </c>
      <c r="O29" s="39"/>
      <c r="P29" s="39"/>
      <c r="Q29" s="39"/>
      <c r="R29" s="39">
        <f t="shared" si="32"/>
        <v>0</v>
      </c>
      <c r="S29" s="39" t="s">
        <v>590</v>
      </c>
      <c r="T29" s="39"/>
      <c r="U29" s="39"/>
      <c r="V29" s="117">
        <v>46151</v>
      </c>
      <c r="W29" s="39">
        <v>162</v>
      </c>
      <c r="X29" s="117">
        <v>46197</v>
      </c>
      <c r="Y29" s="39">
        <v>136</v>
      </c>
      <c r="Z29" s="39"/>
      <c r="AA29" s="39"/>
      <c r="AB29" s="119">
        <f t="shared" si="33"/>
        <v>136</v>
      </c>
      <c r="AC29" s="39" t="s">
        <v>139</v>
      </c>
      <c r="AD29" s="117">
        <v>46198</v>
      </c>
      <c r="AE29" s="39">
        <v>145</v>
      </c>
      <c r="AF29" s="117">
        <v>46202</v>
      </c>
      <c r="AG29" s="39">
        <v>131</v>
      </c>
      <c r="AH29" s="39">
        <f t="shared" si="18"/>
        <v>-14</v>
      </c>
      <c r="AI29" s="39"/>
      <c r="AJ29" s="39"/>
      <c r="AK29" s="39"/>
      <c r="AL29" s="39"/>
      <c r="AM29" s="39"/>
      <c r="AN29" s="39">
        <f t="shared" si="19"/>
        <v>0</v>
      </c>
      <c r="AO29" s="39"/>
      <c r="AP29" s="39"/>
      <c r="AQ29" s="39"/>
      <c r="AR29" s="39"/>
      <c r="AS29" s="39"/>
      <c r="AT29" s="39">
        <f t="shared" si="20"/>
        <v>0</v>
      </c>
      <c r="AU29" s="39"/>
      <c r="AV29" s="39"/>
      <c r="AW29" s="39"/>
      <c r="AX29" s="39"/>
      <c r="AY29" s="39"/>
      <c r="AZ29" s="39">
        <f t="shared" si="21"/>
        <v>0</v>
      </c>
      <c r="BA29" s="39"/>
      <c r="BB29" s="39"/>
      <c r="BC29" s="39"/>
      <c r="BD29" s="39"/>
      <c r="BE29" s="39"/>
      <c r="BF29" s="39">
        <f t="shared" si="22"/>
        <v>0</v>
      </c>
      <c r="BG29" s="39"/>
      <c r="BH29" s="39"/>
      <c r="BI29" s="39"/>
      <c r="BJ29" s="39"/>
      <c r="BK29" s="39"/>
      <c r="BL29" s="39">
        <f t="shared" si="23"/>
        <v>0</v>
      </c>
      <c r="BM29" s="54" t="str">
        <f t="shared" si="24"/>
        <v/>
      </c>
      <c r="BN29" s="58">
        <v>46162</v>
      </c>
      <c r="BO29" s="57">
        <v>46181</v>
      </c>
      <c r="BP29" s="57">
        <v>46183</v>
      </c>
      <c r="BQ29" s="57">
        <v>46188</v>
      </c>
      <c r="BR29" s="50">
        <v>46203</v>
      </c>
      <c r="BS29" s="50">
        <v>46203</v>
      </c>
      <c r="BT29" s="39">
        <v>2212</v>
      </c>
      <c r="BU29" s="39">
        <v>130</v>
      </c>
      <c r="BV29" s="39"/>
      <c r="BW29" s="39"/>
      <c r="BX29" s="39"/>
      <c r="BY29" s="39"/>
      <c r="BZ29" s="39">
        <f t="shared" si="25"/>
        <v>130</v>
      </c>
      <c r="CA29" s="39">
        <f t="shared" si="11"/>
        <v>-1</v>
      </c>
      <c r="CB29" s="39">
        <f t="shared" si="26"/>
        <v>0</v>
      </c>
      <c r="CC29" s="39">
        <f t="shared" si="27"/>
        <v>0</v>
      </c>
      <c r="CD29" s="39">
        <v>0</v>
      </c>
      <c r="CE29" s="47">
        <f t="shared" si="29"/>
        <v>0</v>
      </c>
      <c r="CF29" s="36" t="s">
        <v>408</v>
      </c>
      <c r="CG29" s="39" t="s">
        <v>282</v>
      </c>
      <c r="CH29" s="39"/>
      <c r="CI29" s="25">
        <v>1</v>
      </c>
    </row>
    <row r="30" spans="1:87" ht="24.75" customHeight="1">
      <c r="A30" s="36" t="s">
        <v>50</v>
      </c>
      <c r="B30" s="104">
        <v>47590</v>
      </c>
      <c r="C30" s="227">
        <v>13251953</v>
      </c>
      <c r="D30" s="36" t="s">
        <v>45</v>
      </c>
      <c r="E30" s="39">
        <v>240</v>
      </c>
      <c r="F30" s="39" t="s">
        <v>55</v>
      </c>
      <c r="G30" s="36" t="s">
        <v>637</v>
      </c>
      <c r="H30" s="36" t="s">
        <v>94</v>
      </c>
      <c r="I30" s="39">
        <v>57</v>
      </c>
      <c r="J30" s="39">
        <v>37</v>
      </c>
      <c r="K30" s="39"/>
      <c r="L30" s="39">
        <f t="shared" si="31"/>
        <v>94</v>
      </c>
      <c r="M30" s="117">
        <v>46149</v>
      </c>
      <c r="N30" s="117">
        <v>46155</v>
      </c>
      <c r="O30" s="39"/>
      <c r="P30" s="39"/>
      <c r="Q30" s="39"/>
      <c r="R30" s="39">
        <f t="shared" si="32"/>
        <v>0</v>
      </c>
      <c r="S30" s="39" t="s">
        <v>130</v>
      </c>
      <c r="T30" s="39">
        <v>107016</v>
      </c>
      <c r="U30" s="117">
        <v>46200</v>
      </c>
      <c r="V30" s="39"/>
      <c r="W30" s="39"/>
      <c r="X30" s="39"/>
      <c r="Y30" s="39">
        <v>75</v>
      </c>
      <c r="Z30" s="39">
        <v>43</v>
      </c>
      <c r="AA30" s="39"/>
      <c r="AB30" s="119">
        <f t="shared" si="33"/>
        <v>118</v>
      </c>
      <c r="AC30" s="39"/>
      <c r="AD30" s="39"/>
      <c r="AE30" s="39"/>
      <c r="AF30" s="39"/>
      <c r="AG30" s="39"/>
      <c r="AH30" s="39">
        <f t="shared" si="18"/>
        <v>0</v>
      </c>
      <c r="AI30" s="39"/>
      <c r="AJ30" s="39"/>
      <c r="AK30" s="39"/>
      <c r="AL30" s="39"/>
      <c r="AM30" s="39"/>
      <c r="AN30" s="39">
        <f t="shared" si="19"/>
        <v>0</v>
      </c>
      <c r="AO30" s="39" t="s">
        <v>257</v>
      </c>
      <c r="AP30" s="117">
        <v>46200</v>
      </c>
      <c r="AQ30" s="39">
        <v>64</v>
      </c>
      <c r="AR30" s="117">
        <v>46202</v>
      </c>
      <c r="AS30" s="39">
        <v>63</v>
      </c>
      <c r="AT30" s="39">
        <f t="shared" si="20"/>
        <v>-1</v>
      </c>
      <c r="AU30" s="39"/>
      <c r="AV30" s="39"/>
      <c r="AW30" s="39"/>
      <c r="AX30" s="39"/>
      <c r="AY30" s="39"/>
      <c r="AZ30" s="39">
        <f t="shared" si="21"/>
        <v>0</v>
      </c>
      <c r="BA30" s="39"/>
      <c r="BB30" s="39"/>
      <c r="BC30" s="39"/>
      <c r="BD30" s="39"/>
      <c r="BE30" s="39"/>
      <c r="BF30" s="39">
        <f t="shared" si="22"/>
        <v>0</v>
      </c>
      <c r="BG30" s="39"/>
      <c r="BH30" s="39"/>
      <c r="BI30" s="39"/>
      <c r="BJ30" s="39"/>
      <c r="BK30" s="39"/>
      <c r="BL30" s="39">
        <f t="shared" si="23"/>
        <v>0</v>
      </c>
      <c r="BM30" s="54" t="str">
        <f t="shared" si="24"/>
        <v/>
      </c>
      <c r="BN30" s="56">
        <v>46160</v>
      </c>
      <c r="BO30" s="57">
        <v>46183</v>
      </c>
      <c r="BP30" s="57"/>
      <c r="BQ30" s="57"/>
      <c r="BR30" s="229">
        <v>46200</v>
      </c>
      <c r="BS30" s="229">
        <v>46216</v>
      </c>
      <c r="BT30" s="39">
        <v>2014</v>
      </c>
      <c r="BU30" s="39">
        <v>61</v>
      </c>
      <c r="BV30" s="39">
        <v>2022</v>
      </c>
      <c r="BW30" s="39">
        <v>37</v>
      </c>
      <c r="BX30" s="39"/>
      <c r="BY30" s="39"/>
      <c r="BZ30" s="39">
        <f t="shared" si="25"/>
        <v>98</v>
      </c>
      <c r="CA30" s="39">
        <f t="shared" si="11"/>
        <v>4</v>
      </c>
      <c r="CB30" s="39">
        <f t="shared" si="26"/>
        <v>0</v>
      </c>
      <c r="CC30" s="39">
        <f t="shared" si="27"/>
        <v>0</v>
      </c>
      <c r="CD30" s="39">
        <f t="shared" si="28"/>
        <v>0</v>
      </c>
      <c r="CE30" s="47">
        <f t="shared" si="29"/>
        <v>0</v>
      </c>
      <c r="CF30" s="36" t="s">
        <v>248</v>
      </c>
      <c r="CG30" s="39" t="s">
        <v>298</v>
      </c>
      <c r="CH30" s="39" t="s">
        <v>1439</v>
      </c>
      <c r="CI30" s="25">
        <v>1</v>
      </c>
    </row>
    <row r="31" spans="1:87" ht="24.75" customHeight="1">
      <c r="A31" s="36" t="s">
        <v>50</v>
      </c>
      <c r="B31" s="104">
        <v>47590</v>
      </c>
      <c r="C31" s="231"/>
      <c r="D31" s="36" t="s">
        <v>45</v>
      </c>
      <c r="E31" s="39">
        <v>240</v>
      </c>
      <c r="F31" s="39" t="s">
        <v>55</v>
      </c>
      <c r="G31" s="36" t="s">
        <v>491</v>
      </c>
      <c r="H31" s="36" t="s">
        <v>94</v>
      </c>
      <c r="I31" s="39">
        <v>64</v>
      </c>
      <c r="J31" s="39">
        <v>42</v>
      </c>
      <c r="K31" s="39"/>
      <c r="L31" s="39">
        <f t="shared" si="31"/>
        <v>106</v>
      </c>
      <c r="M31" s="117">
        <v>46149</v>
      </c>
      <c r="N31" s="117">
        <v>46155</v>
      </c>
      <c r="O31" s="39"/>
      <c r="P31" s="39"/>
      <c r="Q31" s="39"/>
      <c r="R31" s="39">
        <f t="shared" si="32"/>
        <v>0</v>
      </c>
      <c r="S31" s="39" t="s">
        <v>270</v>
      </c>
      <c r="T31" s="39"/>
      <c r="U31" s="39"/>
      <c r="V31" s="117">
        <v>46151</v>
      </c>
      <c r="W31" s="39">
        <f>83+49</f>
        <v>132</v>
      </c>
      <c r="X31" s="117" t="s">
        <v>1313</v>
      </c>
      <c r="Y31" s="39">
        <v>70</v>
      </c>
      <c r="Z31" s="39">
        <v>45</v>
      </c>
      <c r="AA31" s="39"/>
      <c r="AB31" s="119">
        <f t="shared" si="33"/>
        <v>115</v>
      </c>
      <c r="AC31" s="39"/>
      <c r="AD31" s="39"/>
      <c r="AE31" s="39"/>
      <c r="AF31" s="39"/>
      <c r="AG31" s="39"/>
      <c r="AH31" s="39">
        <f t="shared" si="18"/>
        <v>0</v>
      </c>
      <c r="AI31" s="39"/>
      <c r="AJ31" s="39"/>
      <c r="AK31" s="39"/>
      <c r="AL31" s="39"/>
      <c r="AM31" s="39"/>
      <c r="AN31" s="39">
        <f t="shared" si="19"/>
        <v>0</v>
      </c>
      <c r="AO31" s="39" t="s">
        <v>280</v>
      </c>
      <c r="AP31" s="117">
        <v>46195</v>
      </c>
      <c r="AQ31" s="39">
        <v>70</v>
      </c>
      <c r="AR31" s="117">
        <v>46196</v>
      </c>
      <c r="AS31" s="39">
        <f>58</f>
        <v>58</v>
      </c>
      <c r="AT31" s="39">
        <f t="shared" si="20"/>
        <v>-12</v>
      </c>
      <c r="AU31" s="39"/>
      <c r="AV31" s="39"/>
      <c r="AW31" s="39"/>
      <c r="AX31" s="39"/>
      <c r="AY31" s="39"/>
      <c r="AZ31" s="39">
        <f t="shared" si="21"/>
        <v>0</v>
      </c>
      <c r="BA31" s="39"/>
      <c r="BB31" s="39"/>
      <c r="BC31" s="39"/>
      <c r="BD31" s="39"/>
      <c r="BE31" s="39"/>
      <c r="BF31" s="39">
        <f t="shared" si="22"/>
        <v>0</v>
      </c>
      <c r="BG31" s="39"/>
      <c r="BH31" s="39"/>
      <c r="BI31" s="39"/>
      <c r="BJ31" s="39"/>
      <c r="BK31" s="39"/>
      <c r="BL31" s="39">
        <f t="shared" si="23"/>
        <v>0</v>
      </c>
      <c r="BM31" s="54" t="str">
        <f t="shared" si="24"/>
        <v/>
      </c>
      <c r="BN31" s="56">
        <v>46160</v>
      </c>
      <c r="BO31" s="57">
        <v>46183</v>
      </c>
      <c r="BP31" s="57"/>
      <c r="BQ31" s="57"/>
      <c r="BR31" s="232"/>
      <c r="BS31" s="232"/>
      <c r="BT31" s="39" t="s">
        <v>1346</v>
      </c>
      <c r="BU31" s="39">
        <f>55+10</f>
        <v>65</v>
      </c>
      <c r="BV31" s="39">
        <v>1521</v>
      </c>
      <c r="BW31" s="39">
        <v>45</v>
      </c>
      <c r="BX31" s="39"/>
      <c r="BY31" s="39"/>
      <c r="BZ31" s="39">
        <f t="shared" si="25"/>
        <v>110</v>
      </c>
      <c r="CA31" s="39">
        <f t="shared" si="11"/>
        <v>1</v>
      </c>
      <c r="CB31" s="39">
        <f t="shared" si="26"/>
        <v>3</v>
      </c>
      <c r="CC31" s="39">
        <f t="shared" si="27"/>
        <v>0</v>
      </c>
      <c r="CD31" s="39">
        <f t="shared" si="28"/>
        <v>0</v>
      </c>
      <c r="CE31" s="47">
        <f t="shared" si="29"/>
        <v>0</v>
      </c>
      <c r="CF31" s="36" t="s">
        <v>248</v>
      </c>
      <c r="CG31" s="39" t="s">
        <v>298</v>
      </c>
      <c r="CH31" s="39"/>
      <c r="CI31" s="25">
        <v>1</v>
      </c>
    </row>
    <row r="32" spans="1:87" ht="24.75" customHeight="1">
      <c r="A32" s="36" t="s">
        <v>50</v>
      </c>
      <c r="B32" s="104">
        <v>47590</v>
      </c>
      <c r="C32" s="228"/>
      <c r="D32" s="36" t="s">
        <v>83</v>
      </c>
      <c r="E32" s="39">
        <v>240</v>
      </c>
      <c r="F32" s="39" t="s">
        <v>55</v>
      </c>
      <c r="G32" s="36" t="s">
        <v>521</v>
      </c>
      <c r="H32" s="36" t="s">
        <v>94</v>
      </c>
      <c r="I32" s="39">
        <v>71</v>
      </c>
      <c r="J32" s="39">
        <v>43</v>
      </c>
      <c r="K32" s="39"/>
      <c r="L32" s="39">
        <f t="shared" si="31"/>
        <v>114</v>
      </c>
      <c r="M32" s="117">
        <v>46149</v>
      </c>
      <c r="N32" s="117">
        <v>46155</v>
      </c>
      <c r="O32" s="39"/>
      <c r="P32" s="39"/>
      <c r="Q32" s="39"/>
      <c r="R32" s="39">
        <f t="shared" si="32"/>
        <v>0</v>
      </c>
      <c r="S32" s="39" t="s">
        <v>590</v>
      </c>
      <c r="T32" s="39"/>
      <c r="U32" s="39"/>
      <c r="V32" s="117">
        <v>46151</v>
      </c>
      <c r="W32" s="39">
        <f>93+50</f>
        <v>143</v>
      </c>
      <c r="X32" s="117" t="s">
        <v>1156</v>
      </c>
      <c r="Y32" s="39">
        <v>78</v>
      </c>
      <c r="Z32" s="39">
        <v>46</v>
      </c>
      <c r="AA32" s="39"/>
      <c r="AB32" s="119">
        <f t="shared" si="33"/>
        <v>124</v>
      </c>
      <c r="AC32" s="39" t="s">
        <v>139</v>
      </c>
      <c r="AD32" s="117">
        <v>46196</v>
      </c>
      <c r="AE32" s="39">
        <v>75</v>
      </c>
      <c r="AF32" s="117">
        <v>46214</v>
      </c>
      <c r="AG32" s="39">
        <v>71</v>
      </c>
      <c r="AH32" s="39">
        <f t="shared" si="18"/>
        <v>-4</v>
      </c>
      <c r="AI32" s="39"/>
      <c r="AJ32" s="39"/>
      <c r="AK32" s="39"/>
      <c r="AL32" s="39"/>
      <c r="AM32" s="39"/>
      <c r="AN32" s="39">
        <f t="shared" si="19"/>
        <v>0</v>
      </c>
      <c r="AO32" s="39"/>
      <c r="AP32" s="39"/>
      <c r="AQ32" s="39"/>
      <c r="AR32" s="39"/>
      <c r="AS32" s="39"/>
      <c r="AT32" s="39">
        <f t="shared" si="20"/>
        <v>0</v>
      </c>
      <c r="AU32" s="39"/>
      <c r="AV32" s="39"/>
      <c r="AW32" s="39"/>
      <c r="AX32" s="39"/>
      <c r="AY32" s="39"/>
      <c r="AZ32" s="39">
        <f t="shared" si="21"/>
        <v>0</v>
      </c>
      <c r="BA32" s="39"/>
      <c r="BB32" s="39"/>
      <c r="BC32" s="39"/>
      <c r="BD32" s="39"/>
      <c r="BE32" s="39"/>
      <c r="BF32" s="39">
        <f t="shared" si="22"/>
        <v>0</v>
      </c>
      <c r="BG32" s="39"/>
      <c r="BH32" s="39"/>
      <c r="BI32" s="39"/>
      <c r="BJ32" s="39"/>
      <c r="BK32" s="39"/>
      <c r="BL32" s="39">
        <f t="shared" si="23"/>
        <v>0</v>
      </c>
      <c r="BM32" s="54" t="str">
        <f t="shared" si="24"/>
        <v/>
      </c>
      <c r="BN32" s="56">
        <v>46160</v>
      </c>
      <c r="BO32" s="57">
        <v>46183</v>
      </c>
      <c r="BP32" s="57">
        <v>46183</v>
      </c>
      <c r="BQ32" s="57">
        <v>46189</v>
      </c>
      <c r="BR32" s="230"/>
      <c r="BS32" s="230"/>
      <c r="BT32" s="39">
        <v>2231</v>
      </c>
      <c r="BU32" s="39">
        <v>70</v>
      </c>
      <c r="BV32" s="39">
        <v>1776</v>
      </c>
      <c r="BW32" s="39">
        <v>46</v>
      </c>
      <c r="BX32" s="39"/>
      <c r="BY32" s="39"/>
      <c r="BZ32" s="39">
        <f t="shared" si="25"/>
        <v>116</v>
      </c>
      <c r="CA32" s="39">
        <f t="shared" ref="CA32:CA39" si="34">BU32-I32</f>
        <v>-1</v>
      </c>
      <c r="CB32" s="39">
        <f t="shared" si="26"/>
        <v>3</v>
      </c>
      <c r="CC32" s="39">
        <f t="shared" si="27"/>
        <v>0</v>
      </c>
      <c r="CD32" s="39">
        <v>0</v>
      </c>
      <c r="CE32" s="47">
        <f t="shared" si="29"/>
        <v>0</v>
      </c>
      <c r="CF32" s="36" t="s">
        <v>248</v>
      </c>
      <c r="CG32" s="39" t="s">
        <v>298</v>
      </c>
      <c r="CH32" s="39"/>
      <c r="CI32" s="25">
        <v>1</v>
      </c>
    </row>
    <row r="33" spans="1:87" ht="24.75" customHeight="1">
      <c r="A33" s="36" t="s">
        <v>50</v>
      </c>
      <c r="B33" s="104">
        <v>47593</v>
      </c>
      <c r="C33" s="227" t="s">
        <v>1399</v>
      </c>
      <c r="D33" s="36" t="s">
        <v>83</v>
      </c>
      <c r="E33" s="39">
        <v>240</v>
      </c>
      <c r="F33" s="39" t="s">
        <v>55</v>
      </c>
      <c r="G33" s="36" t="s">
        <v>672</v>
      </c>
      <c r="H33" s="36" t="s">
        <v>94</v>
      </c>
      <c r="I33" s="39">
        <v>57</v>
      </c>
      <c r="J33" s="39">
        <v>35</v>
      </c>
      <c r="K33" s="39"/>
      <c r="L33" s="39">
        <f t="shared" si="31"/>
        <v>92</v>
      </c>
      <c r="M33" s="117">
        <v>46149</v>
      </c>
      <c r="N33" s="117">
        <v>46155</v>
      </c>
      <c r="O33" s="39"/>
      <c r="P33" s="39"/>
      <c r="Q33" s="39"/>
      <c r="R33" s="39">
        <f t="shared" si="32"/>
        <v>0</v>
      </c>
      <c r="S33" s="39" t="s">
        <v>590</v>
      </c>
      <c r="T33" s="39"/>
      <c r="U33" s="39"/>
      <c r="V33" s="117">
        <v>46151</v>
      </c>
      <c r="W33" s="39">
        <f>76+42</f>
        <v>118</v>
      </c>
      <c r="X33" s="117" t="s">
        <v>1331</v>
      </c>
      <c r="Y33" s="39">
        <v>58</v>
      </c>
      <c r="Z33" s="39">
        <f>32</f>
        <v>32</v>
      </c>
      <c r="AA33" s="39"/>
      <c r="AB33" s="120">
        <f t="shared" si="33"/>
        <v>90</v>
      </c>
      <c r="AC33" s="39" t="s">
        <v>139</v>
      </c>
      <c r="AD33" s="117">
        <v>46200</v>
      </c>
      <c r="AE33" s="39">
        <v>58</v>
      </c>
      <c r="AF33" s="117">
        <v>46212</v>
      </c>
      <c r="AG33" s="39">
        <v>52</v>
      </c>
      <c r="AH33" s="39">
        <f t="shared" si="18"/>
        <v>-6</v>
      </c>
      <c r="AI33" s="39"/>
      <c r="AJ33" s="39"/>
      <c r="AK33" s="39"/>
      <c r="AL33" s="39"/>
      <c r="AM33" s="39"/>
      <c r="AN33" s="39">
        <f t="shared" si="19"/>
        <v>0</v>
      </c>
      <c r="AO33" s="39" t="s">
        <v>280</v>
      </c>
      <c r="AP33" s="117">
        <v>46191</v>
      </c>
      <c r="AQ33" s="39">
        <v>58</v>
      </c>
      <c r="AR33" s="117">
        <v>46193</v>
      </c>
      <c r="AS33" s="39">
        <v>57</v>
      </c>
      <c r="AT33" s="39">
        <f t="shared" si="20"/>
        <v>-1</v>
      </c>
      <c r="AU33" s="39"/>
      <c r="AV33" s="39"/>
      <c r="AW33" s="39"/>
      <c r="AX33" s="39"/>
      <c r="AY33" s="39"/>
      <c r="AZ33" s="39">
        <f t="shared" si="21"/>
        <v>0</v>
      </c>
      <c r="BA33" s="39"/>
      <c r="BB33" s="39"/>
      <c r="BC33" s="39"/>
      <c r="BD33" s="39"/>
      <c r="BE33" s="39"/>
      <c r="BF33" s="39">
        <f t="shared" si="22"/>
        <v>0</v>
      </c>
      <c r="BG33" s="39"/>
      <c r="BH33" s="39"/>
      <c r="BI33" s="39"/>
      <c r="BJ33" s="39"/>
      <c r="BK33" s="39"/>
      <c r="BL33" s="39">
        <f t="shared" si="23"/>
        <v>0</v>
      </c>
      <c r="BM33" s="54" t="str">
        <f t="shared" si="24"/>
        <v/>
      </c>
      <c r="BN33" s="56">
        <v>46158</v>
      </c>
      <c r="BO33" s="57">
        <v>46183</v>
      </c>
      <c r="BP33" s="57">
        <v>46183</v>
      </c>
      <c r="BQ33" s="57">
        <v>46191</v>
      </c>
      <c r="BR33" s="229">
        <v>46213</v>
      </c>
      <c r="BS33" s="243"/>
      <c r="BT33" s="39">
        <v>2228</v>
      </c>
      <c r="BU33" s="39">
        <v>52</v>
      </c>
      <c r="BV33" s="39">
        <v>2025</v>
      </c>
      <c r="BW33" s="39">
        <f>33</f>
        <v>33</v>
      </c>
      <c r="BX33" s="39"/>
      <c r="BY33" s="39"/>
      <c r="BZ33" s="39">
        <f t="shared" si="25"/>
        <v>85</v>
      </c>
      <c r="CA33" s="39">
        <f t="shared" si="34"/>
        <v>-5</v>
      </c>
      <c r="CB33" s="39">
        <f t="shared" si="26"/>
        <v>-2</v>
      </c>
      <c r="CC33" s="39">
        <f t="shared" si="27"/>
        <v>0</v>
      </c>
      <c r="CD33" s="39">
        <f t="shared" si="28"/>
        <v>-7</v>
      </c>
      <c r="CE33" s="47">
        <f t="shared" si="29"/>
        <v>-7.6086956521739135E-2</v>
      </c>
      <c r="CF33" s="36" t="s">
        <v>248</v>
      </c>
      <c r="CG33" s="39" t="s">
        <v>298</v>
      </c>
      <c r="CH33" s="39"/>
      <c r="CI33" s="25">
        <v>1</v>
      </c>
    </row>
    <row r="34" spans="1:87" ht="24.75" customHeight="1">
      <c r="A34" s="36" t="s">
        <v>50</v>
      </c>
      <c r="B34" s="104">
        <v>47593</v>
      </c>
      <c r="C34" s="228"/>
      <c r="D34" s="36" t="s">
        <v>45</v>
      </c>
      <c r="E34" s="39">
        <v>240</v>
      </c>
      <c r="F34" s="39" t="s">
        <v>55</v>
      </c>
      <c r="G34" s="36" t="s">
        <v>605</v>
      </c>
      <c r="H34" s="36" t="s">
        <v>94</v>
      </c>
      <c r="I34" s="39">
        <v>57</v>
      </c>
      <c r="J34" s="39">
        <v>35</v>
      </c>
      <c r="K34" s="39"/>
      <c r="L34" s="39">
        <f t="shared" si="31"/>
        <v>92</v>
      </c>
      <c r="M34" s="117">
        <v>46149</v>
      </c>
      <c r="N34" s="117">
        <v>46155</v>
      </c>
      <c r="O34" s="39"/>
      <c r="P34" s="39"/>
      <c r="Q34" s="39"/>
      <c r="R34" s="39">
        <f t="shared" si="32"/>
        <v>0</v>
      </c>
      <c r="S34" s="39" t="s">
        <v>270</v>
      </c>
      <c r="T34" s="39"/>
      <c r="U34" s="39"/>
      <c r="V34" s="117">
        <v>46151</v>
      </c>
      <c r="W34" s="39">
        <f>75+41</f>
        <v>116</v>
      </c>
      <c r="X34" s="117" t="s">
        <v>1485</v>
      </c>
      <c r="Y34" s="39">
        <v>59</v>
      </c>
      <c r="Z34" s="39">
        <v>38</v>
      </c>
      <c r="AA34" s="39"/>
      <c r="AB34" s="119">
        <f t="shared" si="33"/>
        <v>97</v>
      </c>
      <c r="AC34" s="39"/>
      <c r="AD34" s="39"/>
      <c r="AE34" s="39"/>
      <c r="AF34" s="39"/>
      <c r="AG34" s="39"/>
      <c r="AH34" s="39">
        <f t="shared" si="18"/>
        <v>0</v>
      </c>
      <c r="AI34" s="39"/>
      <c r="AJ34" s="39"/>
      <c r="AK34" s="39"/>
      <c r="AL34" s="39"/>
      <c r="AM34" s="39"/>
      <c r="AN34" s="39">
        <f t="shared" si="19"/>
        <v>0</v>
      </c>
      <c r="AO34" s="39" t="s">
        <v>280</v>
      </c>
      <c r="AP34" s="117">
        <v>46198</v>
      </c>
      <c r="AQ34" s="39">
        <v>59</v>
      </c>
      <c r="AR34" s="117">
        <v>46199</v>
      </c>
      <c r="AS34" s="39">
        <v>58</v>
      </c>
      <c r="AT34" s="39">
        <f t="shared" si="20"/>
        <v>-1</v>
      </c>
      <c r="AU34" s="39"/>
      <c r="AV34" s="39"/>
      <c r="AW34" s="39"/>
      <c r="AX34" s="39"/>
      <c r="AY34" s="39"/>
      <c r="AZ34" s="39">
        <f t="shared" si="21"/>
        <v>0</v>
      </c>
      <c r="BA34" s="39"/>
      <c r="BB34" s="39"/>
      <c r="BC34" s="39"/>
      <c r="BD34" s="39"/>
      <c r="BE34" s="39"/>
      <c r="BF34" s="39">
        <f t="shared" si="22"/>
        <v>0</v>
      </c>
      <c r="BG34" s="39"/>
      <c r="BH34" s="39"/>
      <c r="BI34" s="39"/>
      <c r="BJ34" s="39"/>
      <c r="BK34" s="39"/>
      <c r="BL34" s="39">
        <f t="shared" si="23"/>
        <v>0</v>
      </c>
      <c r="BM34" s="54" t="str">
        <f t="shared" si="24"/>
        <v/>
      </c>
      <c r="BN34" s="56">
        <v>46158</v>
      </c>
      <c r="BO34" s="57">
        <v>46183</v>
      </c>
      <c r="BP34" s="57"/>
      <c r="BQ34" s="57"/>
      <c r="BR34" s="230"/>
      <c r="BS34" s="230"/>
      <c r="BT34" s="39">
        <v>1591</v>
      </c>
      <c r="BU34" s="39">
        <v>66</v>
      </c>
      <c r="BV34" s="39">
        <v>1526</v>
      </c>
      <c r="BW34" s="39">
        <v>38</v>
      </c>
      <c r="BX34" s="39"/>
      <c r="BY34" s="39"/>
      <c r="BZ34" s="39">
        <f t="shared" si="25"/>
        <v>104</v>
      </c>
      <c r="CA34" s="39">
        <f t="shared" si="34"/>
        <v>9</v>
      </c>
      <c r="CB34" s="39">
        <f t="shared" si="26"/>
        <v>3</v>
      </c>
      <c r="CC34" s="39">
        <f t="shared" si="27"/>
        <v>0</v>
      </c>
      <c r="CD34" s="39">
        <f t="shared" si="28"/>
        <v>0</v>
      </c>
      <c r="CE34" s="47">
        <f t="shared" si="29"/>
        <v>0</v>
      </c>
      <c r="CF34" s="36" t="s">
        <v>248</v>
      </c>
      <c r="CG34" s="39" t="s">
        <v>298</v>
      </c>
      <c r="CH34" s="39"/>
      <c r="CI34" s="25">
        <v>1</v>
      </c>
    </row>
    <row r="35" spans="1:87" ht="24.75" customHeight="1">
      <c r="A35" s="36" t="s">
        <v>50</v>
      </c>
      <c r="B35" s="104">
        <v>47550</v>
      </c>
      <c r="C35" s="227">
        <v>13258875</v>
      </c>
      <c r="D35" s="36" t="s">
        <v>37</v>
      </c>
      <c r="E35" s="39">
        <v>180</v>
      </c>
      <c r="F35" s="39" t="s">
        <v>55</v>
      </c>
      <c r="G35" s="36" t="s">
        <v>608</v>
      </c>
      <c r="H35" s="36" t="s">
        <v>403</v>
      </c>
      <c r="I35" s="39">
        <v>65</v>
      </c>
      <c r="J35" s="39"/>
      <c r="K35" s="39"/>
      <c r="L35" s="39">
        <f t="shared" si="31"/>
        <v>65</v>
      </c>
      <c r="M35" s="117">
        <v>46153</v>
      </c>
      <c r="N35" s="117">
        <v>46156</v>
      </c>
      <c r="O35" s="39"/>
      <c r="P35" s="39"/>
      <c r="Q35" s="39"/>
      <c r="R35" s="39">
        <f t="shared" si="32"/>
        <v>0</v>
      </c>
      <c r="S35" s="39" t="s">
        <v>130</v>
      </c>
      <c r="T35" s="39">
        <v>107006</v>
      </c>
      <c r="U35" s="117">
        <v>46190</v>
      </c>
      <c r="V35" s="39"/>
      <c r="W35" s="39"/>
      <c r="X35" s="39"/>
      <c r="Y35" s="39">
        <v>83</v>
      </c>
      <c r="Z35" s="39"/>
      <c r="AA35" s="39"/>
      <c r="AB35" s="119">
        <f t="shared" si="33"/>
        <v>83</v>
      </c>
      <c r="AC35" s="39" t="s">
        <v>139</v>
      </c>
      <c r="AD35" s="117">
        <v>46193</v>
      </c>
      <c r="AE35" s="39">
        <v>68</v>
      </c>
      <c r="AF35" s="117">
        <v>46202</v>
      </c>
      <c r="AG35" s="39">
        <v>72</v>
      </c>
      <c r="AH35" s="39">
        <f t="shared" si="18"/>
        <v>4</v>
      </c>
      <c r="AI35" s="39"/>
      <c r="AJ35" s="39"/>
      <c r="AK35" s="39"/>
      <c r="AL35" s="39"/>
      <c r="AM35" s="39"/>
      <c r="AN35" s="39">
        <f t="shared" si="19"/>
        <v>0</v>
      </c>
      <c r="AO35" s="39"/>
      <c r="AP35" s="39"/>
      <c r="AQ35" s="39"/>
      <c r="AR35" s="39"/>
      <c r="AS35" s="39"/>
      <c r="AT35" s="39">
        <f t="shared" si="20"/>
        <v>0</v>
      </c>
      <c r="AU35" s="39"/>
      <c r="AV35" s="39"/>
      <c r="AW35" s="39"/>
      <c r="AX35" s="39"/>
      <c r="AY35" s="39"/>
      <c r="AZ35" s="39">
        <f t="shared" si="21"/>
        <v>0</v>
      </c>
      <c r="BA35" s="39"/>
      <c r="BB35" s="39"/>
      <c r="BC35" s="39"/>
      <c r="BD35" s="39"/>
      <c r="BE35" s="39"/>
      <c r="BF35" s="39">
        <f t="shared" si="22"/>
        <v>0</v>
      </c>
      <c r="BG35" s="39"/>
      <c r="BH35" s="39"/>
      <c r="BI35" s="39"/>
      <c r="BJ35" s="39"/>
      <c r="BK35" s="39"/>
      <c r="BL35" s="39">
        <f t="shared" si="23"/>
        <v>0</v>
      </c>
      <c r="BM35" s="54" t="str">
        <f t="shared" si="24"/>
        <v/>
      </c>
      <c r="BN35" s="56">
        <v>46162</v>
      </c>
      <c r="BO35" s="57">
        <v>46181</v>
      </c>
      <c r="BP35" s="57">
        <v>46183</v>
      </c>
      <c r="BQ35" s="57">
        <v>46189</v>
      </c>
      <c r="BR35" s="229">
        <v>46203</v>
      </c>
      <c r="BS35" s="229">
        <v>46203</v>
      </c>
      <c r="BT35" s="39">
        <v>2212</v>
      </c>
      <c r="BU35" s="39">
        <v>65</v>
      </c>
      <c r="BV35" s="39"/>
      <c r="BW35" s="39"/>
      <c r="BX35" s="39"/>
      <c r="BY35" s="39"/>
      <c r="BZ35" s="39">
        <f t="shared" si="25"/>
        <v>65</v>
      </c>
      <c r="CA35" s="39">
        <f t="shared" si="34"/>
        <v>0</v>
      </c>
      <c r="CB35" s="39">
        <f t="shared" si="26"/>
        <v>0</v>
      </c>
      <c r="CC35" s="39">
        <f t="shared" si="27"/>
        <v>0</v>
      </c>
      <c r="CD35" s="39">
        <f t="shared" si="28"/>
        <v>0</v>
      </c>
      <c r="CE35" s="47">
        <f t="shared" si="29"/>
        <v>0</v>
      </c>
      <c r="CF35" s="36" t="s">
        <v>248</v>
      </c>
      <c r="CG35" s="39" t="s">
        <v>298</v>
      </c>
      <c r="CH35" s="39"/>
      <c r="CI35" s="25">
        <v>1</v>
      </c>
    </row>
    <row r="36" spans="1:87" ht="24.75" customHeight="1">
      <c r="A36" s="36" t="s">
        <v>50</v>
      </c>
      <c r="B36" s="104">
        <v>47550</v>
      </c>
      <c r="C36" s="228"/>
      <c r="D36" s="36"/>
      <c r="E36" s="39"/>
      <c r="F36" s="39"/>
      <c r="G36" s="36" t="s">
        <v>688</v>
      </c>
      <c r="H36" s="36">
        <v>300</v>
      </c>
      <c r="I36" s="39" t="s">
        <v>90</v>
      </c>
      <c r="J36" s="39"/>
      <c r="K36" s="39"/>
      <c r="L36" s="39">
        <f t="shared" si="31"/>
        <v>0</v>
      </c>
      <c r="M36" s="117">
        <v>46153</v>
      </c>
      <c r="N36" s="117">
        <v>46156</v>
      </c>
      <c r="O36" s="39"/>
      <c r="P36" s="39"/>
      <c r="Q36" s="39"/>
      <c r="R36" s="39">
        <f t="shared" si="32"/>
        <v>0</v>
      </c>
      <c r="S36" s="39" t="s">
        <v>130</v>
      </c>
      <c r="T36" s="39">
        <v>107006</v>
      </c>
      <c r="U36" s="117">
        <v>46190</v>
      </c>
      <c r="V36" s="39"/>
      <c r="W36" s="39"/>
      <c r="X36" s="39"/>
      <c r="Y36" s="39">
        <v>3</v>
      </c>
      <c r="Z36" s="39"/>
      <c r="AA36" s="39"/>
      <c r="AB36" s="39">
        <f t="shared" si="33"/>
        <v>3</v>
      </c>
      <c r="AC36" s="39"/>
      <c r="AD36" s="39"/>
      <c r="AE36" s="39"/>
      <c r="AF36" s="39"/>
      <c r="AG36" s="39"/>
      <c r="AH36" s="39">
        <f t="shared" si="18"/>
        <v>0</v>
      </c>
      <c r="AI36" s="39"/>
      <c r="AJ36" s="39"/>
      <c r="AK36" s="39"/>
      <c r="AL36" s="39"/>
      <c r="AM36" s="39"/>
      <c r="AN36" s="39">
        <f t="shared" si="19"/>
        <v>0</v>
      </c>
      <c r="AO36" s="39"/>
      <c r="AP36" s="39"/>
      <c r="AQ36" s="39"/>
      <c r="AR36" s="39"/>
      <c r="AS36" s="39"/>
      <c r="AT36" s="39">
        <f t="shared" si="20"/>
        <v>0</v>
      </c>
      <c r="AU36" s="39"/>
      <c r="AV36" s="39"/>
      <c r="AW36" s="39"/>
      <c r="AX36" s="39"/>
      <c r="AY36" s="39"/>
      <c r="AZ36" s="39">
        <f t="shared" si="21"/>
        <v>0</v>
      </c>
      <c r="BA36" s="39"/>
      <c r="BB36" s="39"/>
      <c r="BC36" s="39"/>
      <c r="BD36" s="39"/>
      <c r="BE36" s="39"/>
      <c r="BF36" s="39">
        <f t="shared" si="22"/>
        <v>0</v>
      </c>
      <c r="BG36" s="39"/>
      <c r="BH36" s="39"/>
      <c r="BI36" s="39"/>
      <c r="BJ36" s="39"/>
      <c r="BK36" s="39"/>
      <c r="BL36" s="39">
        <f t="shared" si="23"/>
        <v>0</v>
      </c>
      <c r="BM36" s="54" t="e">
        <f t="shared" si="24"/>
        <v>#DIV/0!</v>
      </c>
      <c r="BN36" s="56">
        <v>46162</v>
      </c>
      <c r="BO36" s="57">
        <v>46181</v>
      </c>
      <c r="BP36" s="57"/>
      <c r="BQ36" s="57"/>
      <c r="BR36" s="230"/>
      <c r="BS36" s="230"/>
      <c r="BT36" s="39" t="s">
        <v>1459</v>
      </c>
      <c r="BU36" s="39"/>
      <c r="BV36" s="39"/>
      <c r="BW36" s="39"/>
      <c r="BX36" s="39"/>
      <c r="BY36" s="39"/>
      <c r="BZ36" s="39">
        <f t="shared" si="25"/>
        <v>0</v>
      </c>
      <c r="CA36" s="39" t="e">
        <f t="shared" si="34"/>
        <v>#VALUE!</v>
      </c>
      <c r="CB36" s="39">
        <f t="shared" si="26"/>
        <v>0</v>
      </c>
      <c r="CC36" s="39">
        <f t="shared" si="27"/>
        <v>0</v>
      </c>
      <c r="CD36" s="39">
        <f t="shared" si="28"/>
        <v>0</v>
      </c>
      <c r="CE36" s="47" t="e">
        <f t="shared" si="29"/>
        <v>#DIV/0!</v>
      </c>
      <c r="CF36" s="36" t="s">
        <v>248</v>
      </c>
      <c r="CG36" s="39" t="s">
        <v>298</v>
      </c>
      <c r="CH36" s="39"/>
      <c r="CI36" s="25">
        <v>1</v>
      </c>
    </row>
    <row r="37" spans="1:87" ht="34.5" customHeight="1">
      <c r="A37" s="36" t="s">
        <v>50</v>
      </c>
      <c r="B37" s="104">
        <v>47552</v>
      </c>
      <c r="C37" s="36">
        <v>13265099</v>
      </c>
      <c r="D37" s="36" t="s">
        <v>37</v>
      </c>
      <c r="E37" s="39">
        <v>180</v>
      </c>
      <c r="F37" s="39" t="s">
        <v>55</v>
      </c>
      <c r="G37" s="36" t="s">
        <v>607</v>
      </c>
      <c r="H37" s="36" t="s">
        <v>403</v>
      </c>
      <c r="I37" s="39">
        <v>46</v>
      </c>
      <c r="J37" s="39"/>
      <c r="K37" s="39"/>
      <c r="L37" s="39">
        <f t="shared" si="31"/>
        <v>46</v>
      </c>
      <c r="M37" s="117">
        <v>46154</v>
      </c>
      <c r="N37" s="117">
        <v>46157</v>
      </c>
      <c r="O37" s="39"/>
      <c r="P37" s="39"/>
      <c r="Q37" s="39"/>
      <c r="R37" s="39">
        <f t="shared" si="32"/>
        <v>0</v>
      </c>
      <c r="S37" s="39" t="s">
        <v>130</v>
      </c>
      <c r="T37" s="39">
        <v>107008</v>
      </c>
      <c r="U37" s="117">
        <v>46190</v>
      </c>
      <c r="V37" s="39"/>
      <c r="W37" s="39"/>
      <c r="X37" s="39"/>
      <c r="Y37" s="39">
        <v>60</v>
      </c>
      <c r="Z37" s="39"/>
      <c r="AA37" s="39"/>
      <c r="AB37" s="119">
        <f t="shared" si="33"/>
        <v>60</v>
      </c>
      <c r="AC37" s="39" t="s">
        <v>139</v>
      </c>
      <c r="AD37" s="117">
        <v>46193</v>
      </c>
      <c r="AE37" s="39">
        <v>48</v>
      </c>
      <c r="AF37" s="117">
        <v>46202</v>
      </c>
      <c r="AG37" s="39">
        <v>47</v>
      </c>
      <c r="AH37" s="39">
        <f t="shared" si="18"/>
        <v>-1</v>
      </c>
      <c r="AI37" s="39"/>
      <c r="AJ37" s="39"/>
      <c r="AK37" s="39"/>
      <c r="AL37" s="39"/>
      <c r="AM37" s="39"/>
      <c r="AN37" s="39">
        <f t="shared" si="19"/>
        <v>0</v>
      </c>
      <c r="AO37" s="39"/>
      <c r="AP37" s="39"/>
      <c r="AQ37" s="39"/>
      <c r="AR37" s="39"/>
      <c r="AS37" s="39"/>
      <c r="AT37" s="39">
        <f t="shared" si="20"/>
        <v>0</v>
      </c>
      <c r="AU37" s="39"/>
      <c r="AV37" s="39"/>
      <c r="AW37" s="39"/>
      <c r="AX37" s="39"/>
      <c r="AY37" s="39"/>
      <c r="AZ37" s="39">
        <f t="shared" si="21"/>
        <v>0</v>
      </c>
      <c r="BA37" s="39"/>
      <c r="BB37" s="39"/>
      <c r="BC37" s="39"/>
      <c r="BD37" s="39"/>
      <c r="BE37" s="39"/>
      <c r="BF37" s="39">
        <f t="shared" si="22"/>
        <v>0</v>
      </c>
      <c r="BG37" s="39"/>
      <c r="BH37" s="39"/>
      <c r="BI37" s="39"/>
      <c r="BJ37" s="39"/>
      <c r="BK37" s="39"/>
      <c r="BL37" s="39">
        <f t="shared" si="23"/>
        <v>0</v>
      </c>
      <c r="BM37" s="54" t="str">
        <f t="shared" si="24"/>
        <v/>
      </c>
      <c r="BN37" s="56">
        <v>46162</v>
      </c>
      <c r="BO37" s="57">
        <v>46181</v>
      </c>
      <c r="BP37" s="57">
        <v>46183</v>
      </c>
      <c r="BQ37" s="57">
        <v>46188</v>
      </c>
      <c r="BR37" s="50">
        <v>46203</v>
      </c>
      <c r="BS37" s="50">
        <v>46203</v>
      </c>
      <c r="BT37" s="39">
        <v>2212</v>
      </c>
      <c r="BU37" s="39">
        <v>47</v>
      </c>
      <c r="BV37" s="39"/>
      <c r="BW37" s="39"/>
      <c r="BX37" s="39"/>
      <c r="BY37" s="39"/>
      <c r="BZ37" s="39">
        <f t="shared" si="25"/>
        <v>47</v>
      </c>
      <c r="CA37" s="39">
        <f t="shared" si="34"/>
        <v>1</v>
      </c>
      <c r="CB37" s="39">
        <f t="shared" si="26"/>
        <v>0</v>
      </c>
      <c r="CC37" s="39">
        <f t="shared" si="27"/>
        <v>0</v>
      </c>
      <c r="CD37" s="39">
        <f t="shared" si="28"/>
        <v>0</v>
      </c>
      <c r="CE37" s="47">
        <f t="shared" si="29"/>
        <v>0</v>
      </c>
      <c r="CF37" s="36" t="s">
        <v>248</v>
      </c>
      <c r="CG37" s="39" t="s">
        <v>298</v>
      </c>
      <c r="CH37" s="39"/>
      <c r="CI37" s="25">
        <v>1</v>
      </c>
    </row>
    <row r="38" spans="1:87" ht="24.75" customHeight="1">
      <c r="A38" s="36" t="s">
        <v>50</v>
      </c>
      <c r="B38" s="104">
        <v>47553</v>
      </c>
      <c r="C38" s="227">
        <v>13258874</v>
      </c>
      <c r="D38" s="36" t="s">
        <v>37</v>
      </c>
      <c r="E38" s="39">
        <v>180</v>
      </c>
      <c r="F38" s="39" t="s">
        <v>55</v>
      </c>
      <c r="G38" s="36" t="s">
        <v>607</v>
      </c>
      <c r="H38" s="36" t="s">
        <v>403</v>
      </c>
      <c r="I38" s="39">
        <v>116</v>
      </c>
      <c r="J38" s="39">
        <v>20</v>
      </c>
      <c r="K38" s="39">
        <v>95</v>
      </c>
      <c r="L38" s="39">
        <f t="shared" si="31"/>
        <v>231</v>
      </c>
      <c r="M38" s="117">
        <v>46150</v>
      </c>
      <c r="N38" s="117">
        <v>46155</v>
      </c>
      <c r="O38" s="39"/>
      <c r="P38" s="39"/>
      <c r="Q38" s="39"/>
      <c r="R38" s="39">
        <f t="shared" si="32"/>
        <v>0</v>
      </c>
      <c r="S38" s="39" t="s">
        <v>130</v>
      </c>
      <c r="T38" s="39">
        <v>107007</v>
      </c>
      <c r="U38" s="117">
        <v>46190</v>
      </c>
      <c r="V38" s="39"/>
      <c r="W38" s="39"/>
      <c r="X38" s="39"/>
      <c r="Y38" s="39">
        <v>144</v>
      </c>
      <c r="Z38" s="39">
        <v>24</v>
      </c>
      <c r="AA38" s="39">
        <v>116</v>
      </c>
      <c r="AB38" s="119">
        <f t="shared" si="33"/>
        <v>284</v>
      </c>
      <c r="AC38" s="39" t="s">
        <v>139</v>
      </c>
      <c r="AD38" s="117">
        <v>46193</v>
      </c>
      <c r="AE38" s="39">
        <v>121</v>
      </c>
      <c r="AF38" s="117" t="s">
        <v>1245</v>
      </c>
      <c r="AG38" s="39">
        <f>5+117</f>
        <v>122</v>
      </c>
      <c r="AH38" s="39">
        <f t="shared" si="18"/>
        <v>1</v>
      </c>
      <c r="AI38" s="39"/>
      <c r="AJ38" s="39"/>
      <c r="AK38" s="39"/>
      <c r="AL38" s="39"/>
      <c r="AM38" s="39"/>
      <c r="AN38" s="39">
        <f t="shared" si="19"/>
        <v>0</v>
      </c>
      <c r="AO38" s="39"/>
      <c r="AP38" s="39"/>
      <c r="AQ38" s="39"/>
      <c r="AR38" s="39"/>
      <c r="AS38" s="39"/>
      <c r="AT38" s="39">
        <f t="shared" si="20"/>
        <v>0</v>
      </c>
      <c r="AU38" s="39"/>
      <c r="AV38" s="39"/>
      <c r="AW38" s="39"/>
      <c r="AX38" s="39"/>
      <c r="AY38" s="39"/>
      <c r="AZ38" s="39">
        <f t="shared" si="21"/>
        <v>0</v>
      </c>
      <c r="BA38" s="39"/>
      <c r="BB38" s="39"/>
      <c r="BC38" s="39"/>
      <c r="BD38" s="39"/>
      <c r="BE38" s="39"/>
      <c r="BF38" s="39">
        <f t="shared" si="22"/>
        <v>0</v>
      </c>
      <c r="BG38" s="39"/>
      <c r="BH38" s="39"/>
      <c r="BI38" s="39"/>
      <c r="BJ38" s="39"/>
      <c r="BK38" s="39"/>
      <c r="BL38" s="39">
        <f t="shared" si="23"/>
        <v>0</v>
      </c>
      <c r="BM38" s="54" t="str">
        <f t="shared" si="24"/>
        <v/>
      </c>
      <c r="BN38" s="58">
        <v>46162</v>
      </c>
      <c r="BO38" s="57">
        <v>46182</v>
      </c>
      <c r="BP38" s="57">
        <v>46183</v>
      </c>
      <c r="BQ38" s="57">
        <v>46188</v>
      </c>
      <c r="BR38" s="229">
        <v>46203</v>
      </c>
      <c r="BS38" s="229">
        <v>46203</v>
      </c>
      <c r="BT38" s="39">
        <v>2212</v>
      </c>
      <c r="BU38" s="39">
        <v>117</v>
      </c>
      <c r="BV38" s="39">
        <v>2146</v>
      </c>
      <c r="BW38" s="39">
        <v>30</v>
      </c>
      <c r="BX38" s="39">
        <v>2146</v>
      </c>
      <c r="BY38" s="39">
        <f>108</f>
        <v>108</v>
      </c>
      <c r="BZ38" s="39">
        <f t="shared" si="25"/>
        <v>255</v>
      </c>
      <c r="CA38" s="39">
        <f t="shared" si="34"/>
        <v>1</v>
      </c>
      <c r="CB38" s="39">
        <f t="shared" si="26"/>
        <v>10</v>
      </c>
      <c r="CC38" s="39">
        <f t="shared" si="27"/>
        <v>13</v>
      </c>
      <c r="CD38" s="39">
        <f t="shared" si="28"/>
        <v>0</v>
      </c>
      <c r="CE38" s="47">
        <f t="shared" si="29"/>
        <v>0</v>
      </c>
      <c r="CF38" s="36" t="s">
        <v>248</v>
      </c>
      <c r="CG38" s="39" t="s">
        <v>492</v>
      </c>
      <c r="CH38" s="39"/>
      <c r="CI38" s="25">
        <v>1</v>
      </c>
    </row>
    <row r="39" spans="1:87" ht="24.75" customHeight="1">
      <c r="A39" s="36" t="s">
        <v>50</v>
      </c>
      <c r="B39" s="104">
        <v>47553</v>
      </c>
      <c r="C39" s="228"/>
      <c r="D39" s="36"/>
      <c r="E39" s="39"/>
      <c r="F39" s="39"/>
      <c r="G39" s="36" t="s">
        <v>693</v>
      </c>
      <c r="H39" s="39">
        <v>1156</v>
      </c>
      <c r="I39" s="39" t="s">
        <v>90</v>
      </c>
      <c r="J39" s="39"/>
      <c r="K39" s="39"/>
      <c r="L39" s="39">
        <f t="shared" si="31"/>
        <v>0</v>
      </c>
      <c r="M39" s="117">
        <v>46150</v>
      </c>
      <c r="N39" s="117">
        <v>46155</v>
      </c>
      <c r="O39" s="39"/>
      <c r="P39" s="39"/>
      <c r="Q39" s="39"/>
      <c r="R39" s="39">
        <f t="shared" si="32"/>
        <v>0</v>
      </c>
      <c r="S39" s="39" t="s">
        <v>130</v>
      </c>
      <c r="T39" s="39"/>
      <c r="U39" s="39"/>
      <c r="V39" s="39"/>
      <c r="W39" s="39"/>
      <c r="X39" s="39"/>
      <c r="Y39" s="39"/>
      <c r="Z39" s="39"/>
      <c r="AA39" s="39"/>
      <c r="AB39" s="39">
        <f t="shared" si="33"/>
        <v>0</v>
      </c>
      <c r="AC39" s="39"/>
      <c r="AD39" s="39"/>
      <c r="AE39" s="39"/>
      <c r="AF39" s="39"/>
      <c r="AG39" s="39"/>
      <c r="AH39" s="39">
        <f t="shared" si="18"/>
        <v>0</v>
      </c>
      <c r="AI39" s="39"/>
      <c r="AJ39" s="39"/>
      <c r="AK39" s="39"/>
      <c r="AL39" s="39"/>
      <c r="AM39" s="39"/>
      <c r="AN39" s="39">
        <f t="shared" si="19"/>
        <v>0</v>
      </c>
      <c r="AO39" s="39"/>
      <c r="AP39" s="39"/>
      <c r="AQ39" s="39"/>
      <c r="AR39" s="39"/>
      <c r="AS39" s="39"/>
      <c r="AT39" s="39">
        <f t="shared" si="20"/>
        <v>0</v>
      </c>
      <c r="AU39" s="39"/>
      <c r="AV39" s="39"/>
      <c r="AW39" s="39"/>
      <c r="AX39" s="39"/>
      <c r="AY39" s="39"/>
      <c r="AZ39" s="39">
        <f t="shared" si="21"/>
        <v>0</v>
      </c>
      <c r="BA39" s="39"/>
      <c r="BB39" s="39"/>
      <c r="BC39" s="39"/>
      <c r="BD39" s="39"/>
      <c r="BE39" s="39"/>
      <c r="BF39" s="39">
        <f t="shared" si="22"/>
        <v>0</v>
      </c>
      <c r="BG39" s="39"/>
      <c r="BH39" s="39"/>
      <c r="BI39" s="39"/>
      <c r="BJ39" s="39"/>
      <c r="BK39" s="39"/>
      <c r="BL39" s="39">
        <f t="shared" si="23"/>
        <v>0</v>
      </c>
      <c r="BM39" s="54" t="e">
        <f t="shared" si="24"/>
        <v>#DIV/0!</v>
      </c>
      <c r="BN39" s="58">
        <v>46162</v>
      </c>
      <c r="BO39" s="57">
        <v>46182</v>
      </c>
      <c r="BP39" s="57"/>
      <c r="BQ39" s="57"/>
      <c r="BR39" s="230"/>
      <c r="BS39" s="230"/>
      <c r="BT39" s="39"/>
      <c r="BU39" s="39"/>
      <c r="BV39" s="39"/>
      <c r="BW39" s="39"/>
      <c r="BX39" s="39"/>
      <c r="BY39" s="39"/>
      <c r="BZ39" s="39">
        <f t="shared" si="25"/>
        <v>0</v>
      </c>
      <c r="CA39" s="39" t="e">
        <f t="shared" si="34"/>
        <v>#VALUE!</v>
      </c>
      <c r="CB39" s="39">
        <f t="shared" si="26"/>
        <v>0</v>
      </c>
      <c r="CC39" s="39">
        <f t="shared" si="27"/>
        <v>0</v>
      </c>
      <c r="CD39" s="39">
        <f t="shared" si="28"/>
        <v>0</v>
      </c>
      <c r="CE39" s="47" t="e">
        <f t="shared" si="29"/>
        <v>#DIV/0!</v>
      </c>
      <c r="CF39" s="36" t="s">
        <v>248</v>
      </c>
      <c r="CG39" s="39" t="s">
        <v>492</v>
      </c>
      <c r="CH39" s="39"/>
      <c r="CI39" s="25">
        <v>1</v>
      </c>
    </row>
    <row r="40" spans="1:87" ht="24.75" customHeight="1">
      <c r="A40" s="36" t="s">
        <v>50</v>
      </c>
      <c r="B40" s="26">
        <v>47536</v>
      </c>
      <c r="C40" s="227">
        <v>13262473</v>
      </c>
      <c r="D40" s="36" t="s">
        <v>45</v>
      </c>
      <c r="E40" s="39">
        <v>240</v>
      </c>
      <c r="F40" s="39" t="s">
        <v>58</v>
      </c>
      <c r="G40" s="36" t="s">
        <v>364</v>
      </c>
      <c r="H40" s="39" t="s">
        <v>33</v>
      </c>
      <c r="I40" s="39">
        <v>270</v>
      </c>
      <c r="J40" s="39"/>
      <c r="K40" s="39"/>
      <c r="L40" s="39">
        <f t="shared" si="0"/>
        <v>270</v>
      </c>
      <c r="M40" s="117">
        <v>46157</v>
      </c>
      <c r="N40" s="117">
        <v>46162</v>
      </c>
      <c r="O40" s="39"/>
      <c r="P40" s="39"/>
      <c r="Q40" s="39"/>
      <c r="R40" s="39">
        <f t="shared" si="1"/>
        <v>0</v>
      </c>
      <c r="S40" s="39" t="s">
        <v>590</v>
      </c>
      <c r="T40" s="39"/>
      <c r="U40" s="39"/>
      <c r="V40" s="117">
        <v>46179</v>
      </c>
      <c r="W40" s="39">
        <v>311</v>
      </c>
      <c r="X40" s="117">
        <v>46207</v>
      </c>
      <c r="Y40" s="39">
        <v>308</v>
      </c>
      <c r="Z40" s="39"/>
      <c r="AA40" s="39"/>
      <c r="AB40" s="119">
        <f t="shared" si="2"/>
        <v>308</v>
      </c>
      <c r="AC40" s="39"/>
      <c r="AD40" s="39"/>
      <c r="AE40" s="39"/>
      <c r="AF40" s="39"/>
      <c r="AG40" s="39"/>
      <c r="AH40" s="39">
        <f t="shared" si="3"/>
        <v>0</v>
      </c>
      <c r="AI40" s="39"/>
      <c r="AJ40" s="39"/>
      <c r="AK40" s="39"/>
      <c r="AL40" s="39"/>
      <c r="AM40" s="39"/>
      <c r="AN40" s="39">
        <f t="shared" si="4"/>
        <v>0</v>
      </c>
      <c r="AO40" s="39" t="s">
        <v>280</v>
      </c>
      <c r="AP40" s="117">
        <v>46210</v>
      </c>
      <c r="AQ40" s="39">
        <v>312</v>
      </c>
      <c r="AR40" s="117">
        <v>46211</v>
      </c>
      <c r="AS40" s="39">
        <v>311</v>
      </c>
      <c r="AT40" s="39">
        <f t="shared" si="5"/>
        <v>-1</v>
      </c>
      <c r="AU40" s="39" t="s">
        <v>256</v>
      </c>
      <c r="AV40" s="117">
        <v>46211</v>
      </c>
      <c r="AW40" s="39">
        <v>311</v>
      </c>
      <c r="AX40" s="117">
        <v>46211</v>
      </c>
      <c r="AY40" s="39">
        <v>311</v>
      </c>
      <c r="AZ40" s="39">
        <f t="shared" si="6"/>
        <v>0</v>
      </c>
      <c r="BA40" s="39"/>
      <c r="BB40" s="39"/>
      <c r="BC40" s="39"/>
      <c r="BD40" s="39"/>
      <c r="BE40" s="39"/>
      <c r="BF40" s="39">
        <f t="shared" si="7"/>
        <v>0</v>
      </c>
      <c r="BG40" s="39"/>
      <c r="BH40" s="39"/>
      <c r="BI40" s="39"/>
      <c r="BJ40" s="39"/>
      <c r="BK40" s="39"/>
      <c r="BL40" s="39">
        <f t="shared" si="8"/>
        <v>0</v>
      </c>
      <c r="BM40" s="54" t="str">
        <f t="shared" si="9"/>
        <v/>
      </c>
      <c r="BN40" s="58">
        <v>46183</v>
      </c>
      <c r="BO40" s="57">
        <v>46199</v>
      </c>
      <c r="BP40" s="36"/>
      <c r="BQ40" s="36"/>
      <c r="BR40" s="229">
        <v>46220</v>
      </c>
      <c r="BS40" s="229">
        <v>46225</v>
      </c>
      <c r="BT40" s="39">
        <v>1815</v>
      </c>
      <c r="BU40" s="39">
        <v>272</v>
      </c>
      <c r="BV40" s="39"/>
      <c r="BW40" s="39"/>
      <c r="BX40" s="39"/>
      <c r="BY40" s="39"/>
      <c r="BZ40" s="39">
        <f t="shared" si="10"/>
        <v>272</v>
      </c>
      <c r="CA40" s="39">
        <f t="shared" si="11"/>
        <v>2</v>
      </c>
      <c r="CB40" s="39">
        <f t="shared" si="12"/>
        <v>0</v>
      </c>
      <c r="CC40" s="39">
        <f t="shared" si="13"/>
        <v>0</v>
      </c>
      <c r="CD40" s="39">
        <f t="shared" si="14"/>
        <v>0</v>
      </c>
      <c r="CE40" s="102">
        <f t="shared" si="15"/>
        <v>0</v>
      </c>
      <c r="CF40" s="36"/>
      <c r="CG40" s="39" t="s">
        <v>258</v>
      </c>
      <c r="CH40" s="39"/>
      <c r="CI40" s="25">
        <v>1</v>
      </c>
    </row>
    <row r="41" spans="1:87" ht="24.75" customHeight="1">
      <c r="A41" s="36" t="s">
        <v>50</v>
      </c>
      <c r="B41" s="26">
        <v>47536</v>
      </c>
      <c r="C41" s="231"/>
      <c r="D41" s="36" t="s">
        <v>45</v>
      </c>
      <c r="E41" s="39">
        <v>240</v>
      </c>
      <c r="F41" s="39" t="s">
        <v>58</v>
      </c>
      <c r="G41" s="36" t="s">
        <v>624</v>
      </c>
      <c r="H41" s="39" t="s">
        <v>33</v>
      </c>
      <c r="I41" s="39">
        <v>270</v>
      </c>
      <c r="J41" s="39"/>
      <c r="K41" s="39"/>
      <c r="L41" s="39">
        <f t="shared" si="0"/>
        <v>270</v>
      </c>
      <c r="M41" s="117">
        <v>46157</v>
      </c>
      <c r="N41" s="117">
        <v>46162</v>
      </c>
      <c r="O41" s="39"/>
      <c r="P41" s="39"/>
      <c r="Q41" s="39"/>
      <c r="R41" s="39">
        <f t="shared" si="1"/>
        <v>0</v>
      </c>
      <c r="S41" s="39" t="s">
        <v>590</v>
      </c>
      <c r="T41" s="39"/>
      <c r="U41" s="39"/>
      <c r="V41" s="117">
        <v>46179</v>
      </c>
      <c r="W41" s="39">
        <f>311</f>
        <v>311</v>
      </c>
      <c r="X41" s="117">
        <v>46216</v>
      </c>
      <c r="Y41" s="39">
        <v>304</v>
      </c>
      <c r="Z41" s="39"/>
      <c r="AA41" s="39"/>
      <c r="AB41" s="119">
        <f t="shared" si="2"/>
        <v>304</v>
      </c>
      <c r="AC41" s="39"/>
      <c r="AD41" s="39"/>
      <c r="AE41" s="39"/>
      <c r="AF41" s="39"/>
      <c r="AG41" s="39"/>
      <c r="AH41" s="39">
        <f t="shared" si="3"/>
        <v>0</v>
      </c>
      <c r="AI41" s="39"/>
      <c r="AJ41" s="39"/>
      <c r="AK41" s="39"/>
      <c r="AL41" s="39"/>
      <c r="AM41" s="39"/>
      <c r="AN41" s="39">
        <f t="shared" si="4"/>
        <v>0</v>
      </c>
      <c r="AO41" s="39" t="s">
        <v>280</v>
      </c>
      <c r="AP41" s="117">
        <v>46219</v>
      </c>
      <c r="AQ41" s="39">
        <v>312</v>
      </c>
      <c r="AR41" s="117">
        <v>46221</v>
      </c>
      <c r="AS41" s="39">
        <v>307</v>
      </c>
      <c r="AT41" s="39">
        <f t="shared" si="5"/>
        <v>-5</v>
      </c>
      <c r="AU41" s="39" t="s">
        <v>257</v>
      </c>
      <c r="AV41" s="117">
        <v>46221</v>
      </c>
      <c r="AW41" s="39">
        <v>307</v>
      </c>
      <c r="AX41" s="117">
        <v>46221</v>
      </c>
      <c r="AY41" s="39">
        <v>302</v>
      </c>
      <c r="AZ41" s="39">
        <f t="shared" si="6"/>
        <v>-5</v>
      </c>
      <c r="BA41" s="39"/>
      <c r="BB41" s="39"/>
      <c r="BC41" s="39"/>
      <c r="BD41" s="39"/>
      <c r="BE41" s="39"/>
      <c r="BF41" s="39">
        <f t="shared" si="7"/>
        <v>0</v>
      </c>
      <c r="BG41" s="39"/>
      <c r="BH41" s="39"/>
      <c r="BI41" s="39"/>
      <c r="BJ41" s="39"/>
      <c r="BK41" s="39"/>
      <c r="BL41" s="39">
        <f t="shared" si="8"/>
        <v>0</v>
      </c>
      <c r="BM41" s="54" t="str">
        <f t="shared" si="9"/>
        <v/>
      </c>
      <c r="BN41" s="58">
        <v>46183</v>
      </c>
      <c r="BO41" s="57">
        <v>46199</v>
      </c>
      <c r="BP41" s="36"/>
      <c r="BQ41" s="36"/>
      <c r="BR41" s="232"/>
      <c r="BS41" s="232"/>
      <c r="BT41" s="39">
        <v>2049</v>
      </c>
      <c r="BU41" s="39">
        <v>278</v>
      </c>
      <c r="BV41" s="39"/>
      <c r="BW41" s="39"/>
      <c r="BX41" s="39"/>
      <c r="BY41" s="39"/>
      <c r="BZ41" s="39">
        <f t="shared" si="10"/>
        <v>278</v>
      </c>
      <c r="CA41" s="39">
        <f t="shared" si="11"/>
        <v>8</v>
      </c>
      <c r="CB41" s="39">
        <f t="shared" si="12"/>
        <v>0</v>
      </c>
      <c r="CC41" s="39">
        <f t="shared" si="13"/>
        <v>0</v>
      </c>
      <c r="CD41" s="39">
        <f t="shared" si="14"/>
        <v>0</v>
      </c>
      <c r="CE41" s="102">
        <f t="shared" si="15"/>
        <v>0</v>
      </c>
      <c r="CF41" s="36"/>
      <c r="CG41" s="39" t="s">
        <v>258</v>
      </c>
      <c r="CH41" s="39"/>
      <c r="CI41" s="25">
        <v>1</v>
      </c>
    </row>
    <row r="42" spans="1:87" ht="24.75" customHeight="1">
      <c r="A42" s="36" t="s">
        <v>50</v>
      </c>
      <c r="B42" s="26">
        <v>47536</v>
      </c>
      <c r="C42" s="228"/>
      <c r="D42" s="36"/>
      <c r="E42" s="39"/>
      <c r="F42" s="39"/>
      <c r="G42" s="36" t="s">
        <v>205</v>
      </c>
      <c r="H42" s="39">
        <f>360+360</f>
        <v>720</v>
      </c>
      <c r="I42" s="39" t="s">
        <v>90</v>
      </c>
      <c r="J42" s="39"/>
      <c r="K42" s="39"/>
      <c r="L42" s="39">
        <f t="shared" si="0"/>
        <v>0</v>
      </c>
      <c r="M42" s="117">
        <v>46157</v>
      </c>
      <c r="N42" s="117">
        <v>46162</v>
      </c>
      <c r="O42" s="39"/>
      <c r="P42" s="39"/>
      <c r="Q42" s="39"/>
      <c r="R42" s="39">
        <f t="shared" si="1"/>
        <v>0</v>
      </c>
      <c r="S42" s="39" t="s">
        <v>130</v>
      </c>
      <c r="T42" s="39"/>
      <c r="U42" s="39"/>
      <c r="V42" s="117">
        <v>46179</v>
      </c>
      <c r="W42" s="39">
        <f>4+4</f>
        <v>8</v>
      </c>
      <c r="X42" s="117" t="s">
        <v>1678</v>
      </c>
      <c r="Y42" s="39">
        <f>3.5+3</f>
        <v>6.5</v>
      </c>
      <c r="Z42" s="39"/>
      <c r="AA42" s="39"/>
      <c r="AB42" s="39">
        <f t="shared" si="2"/>
        <v>6.5</v>
      </c>
      <c r="AC42" s="39"/>
      <c r="AD42" s="39"/>
      <c r="AE42" s="39"/>
      <c r="AF42" s="39"/>
      <c r="AG42" s="39"/>
      <c r="AH42" s="39">
        <f t="shared" si="3"/>
        <v>0</v>
      </c>
      <c r="AI42" s="39"/>
      <c r="AJ42" s="39"/>
      <c r="AK42" s="39"/>
      <c r="AL42" s="39"/>
      <c r="AM42" s="39"/>
      <c r="AN42" s="39">
        <f t="shared" si="4"/>
        <v>0</v>
      </c>
      <c r="AO42" s="39"/>
      <c r="AP42" s="39"/>
      <c r="AQ42" s="39"/>
      <c r="AR42" s="39"/>
      <c r="AS42" s="39"/>
      <c r="AT42" s="39">
        <f t="shared" si="5"/>
        <v>0</v>
      </c>
      <c r="AU42" s="39"/>
      <c r="AV42" s="39"/>
      <c r="AW42" s="39"/>
      <c r="AX42" s="39"/>
      <c r="AY42" s="39"/>
      <c r="AZ42" s="39">
        <f t="shared" si="6"/>
        <v>0</v>
      </c>
      <c r="BA42" s="39"/>
      <c r="BB42" s="39"/>
      <c r="BC42" s="39"/>
      <c r="BD42" s="39"/>
      <c r="BE42" s="39"/>
      <c r="BF42" s="39">
        <f t="shared" si="7"/>
        <v>0</v>
      </c>
      <c r="BG42" s="39"/>
      <c r="BH42" s="39"/>
      <c r="BI42" s="39"/>
      <c r="BJ42" s="39"/>
      <c r="BK42" s="39"/>
      <c r="BL42" s="39">
        <f t="shared" si="8"/>
        <v>0</v>
      </c>
      <c r="BM42" s="54" t="e">
        <f t="shared" si="9"/>
        <v>#DIV/0!</v>
      </c>
      <c r="BN42" s="58">
        <v>46183</v>
      </c>
      <c r="BO42" s="57">
        <v>46199</v>
      </c>
      <c r="BP42" s="36"/>
      <c r="BQ42" s="36"/>
      <c r="BR42" s="230"/>
      <c r="BS42" s="230"/>
      <c r="BT42" s="39" t="s">
        <v>1944</v>
      </c>
      <c r="BU42" s="39"/>
      <c r="BV42" s="39"/>
      <c r="BW42" s="39"/>
      <c r="BX42" s="39"/>
      <c r="BY42" s="39"/>
      <c r="BZ42" s="39">
        <f t="shared" si="10"/>
        <v>0</v>
      </c>
      <c r="CA42" s="39" t="e">
        <f t="shared" si="11"/>
        <v>#VALUE!</v>
      </c>
      <c r="CB42" s="39">
        <f t="shared" si="12"/>
        <v>0</v>
      </c>
      <c r="CC42" s="39">
        <f t="shared" si="13"/>
        <v>0</v>
      </c>
      <c r="CD42" s="39">
        <f t="shared" si="14"/>
        <v>0</v>
      </c>
      <c r="CE42" s="102" t="e">
        <f t="shared" si="15"/>
        <v>#DIV/0!</v>
      </c>
      <c r="CF42" s="36"/>
      <c r="CG42" s="39" t="s">
        <v>258</v>
      </c>
      <c r="CH42" s="39"/>
      <c r="CI42" s="25">
        <v>1</v>
      </c>
    </row>
    <row r="43" spans="1:87" ht="33.75" customHeight="1">
      <c r="A43" s="36" t="s">
        <v>50</v>
      </c>
      <c r="B43" s="26">
        <v>47538</v>
      </c>
      <c r="C43" s="36">
        <v>13235128</v>
      </c>
      <c r="D43" s="36" t="s">
        <v>83</v>
      </c>
      <c r="E43" s="39">
        <v>240</v>
      </c>
      <c r="F43" s="39" t="s">
        <v>53</v>
      </c>
      <c r="G43" s="36" t="s">
        <v>625</v>
      </c>
      <c r="H43" s="39" t="s">
        <v>25</v>
      </c>
      <c r="I43" s="39">
        <v>157</v>
      </c>
      <c r="J43" s="39">
        <v>10</v>
      </c>
      <c r="K43" s="39">
        <v>3</v>
      </c>
      <c r="L43" s="39">
        <f t="shared" si="0"/>
        <v>170</v>
      </c>
      <c r="M43" s="117">
        <v>46157</v>
      </c>
      <c r="N43" s="117">
        <v>46162</v>
      </c>
      <c r="O43" s="39"/>
      <c r="P43" s="39"/>
      <c r="Q43" s="39"/>
      <c r="R43" s="39">
        <f t="shared" si="1"/>
        <v>0</v>
      </c>
      <c r="S43" s="39" t="s">
        <v>270</v>
      </c>
      <c r="T43" s="39"/>
      <c r="U43" s="39"/>
      <c r="V43" s="117">
        <v>46162</v>
      </c>
      <c r="W43" s="39">
        <f>195+13+5</f>
        <v>213</v>
      </c>
      <c r="X43" s="117" t="s">
        <v>1552</v>
      </c>
      <c r="Y43" s="39">
        <v>184</v>
      </c>
      <c r="Z43" s="39">
        <v>12</v>
      </c>
      <c r="AA43" s="39">
        <v>5</v>
      </c>
      <c r="AB43" s="119">
        <f t="shared" si="2"/>
        <v>201</v>
      </c>
      <c r="AC43" s="39" t="s">
        <v>139</v>
      </c>
      <c r="AD43" s="117">
        <v>46209</v>
      </c>
      <c r="AE43" s="39">
        <v>165</v>
      </c>
      <c r="AF43" s="117">
        <v>46212</v>
      </c>
      <c r="AG43" s="39">
        <v>170</v>
      </c>
      <c r="AH43" s="39">
        <f t="shared" si="3"/>
        <v>5</v>
      </c>
      <c r="AI43" s="39"/>
      <c r="AJ43" s="39"/>
      <c r="AK43" s="39"/>
      <c r="AL43" s="39"/>
      <c r="AM43" s="39"/>
      <c r="AN43" s="39">
        <f t="shared" si="4"/>
        <v>0</v>
      </c>
      <c r="AO43" s="39" t="s">
        <v>280</v>
      </c>
      <c r="AP43" s="117">
        <v>46204</v>
      </c>
      <c r="AQ43" s="39">
        <v>184</v>
      </c>
      <c r="AR43" s="117">
        <v>46206</v>
      </c>
      <c r="AS43" s="39">
        <v>181</v>
      </c>
      <c r="AT43" s="39">
        <f t="shared" si="5"/>
        <v>-3</v>
      </c>
      <c r="AU43" s="39" t="s">
        <v>257</v>
      </c>
      <c r="AV43" s="117">
        <v>46206</v>
      </c>
      <c r="AW43" s="39">
        <v>181</v>
      </c>
      <c r="AX43" s="117">
        <v>46206</v>
      </c>
      <c r="AY43" s="39">
        <v>179</v>
      </c>
      <c r="AZ43" s="39">
        <f t="shared" si="6"/>
        <v>-2</v>
      </c>
      <c r="BA43" s="39"/>
      <c r="BB43" s="39"/>
      <c r="BC43" s="39"/>
      <c r="BD43" s="39"/>
      <c r="BE43" s="39"/>
      <c r="BF43" s="39">
        <f t="shared" si="7"/>
        <v>0</v>
      </c>
      <c r="BG43" s="39"/>
      <c r="BH43" s="39"/>
      <c r="BI43" s="39"/>
      <c r="BJ43" s="39"/>
      <c r="BK43" s="39"/>
      <c r="BL43" s="39">
        <f t="shared" si="8"/>
        <v>0</v>
      </c>
      <c r="BM43" s="54" t="str">
        <f t="shared" si="9"/>
        <v/>
      </c>
      <c r="BN43" s="58">
        <v>46183</v>
      </c>
      <c r="BO43" s="57">
        <v>46195</v>
      </c>
      <c r="BP43" s="57">
        <v>46198</v>
      </c>
      <c r="BQ43" s="57">
        <v>46203</v>
      </c>
      <c r="BR43" s="50">
        <v>46213</v>
      </c>
      <c r="BS43" s="50">
        <v>46216</v>
      </c>
      <c r="BT43" s="39">
        <v>2229</v>
      </c>
      <c r="BU43" s="39">
        <v>170</v>
      </c>
      <c r="BV43" s="39">
        <v>1777</v>
      </c>
      <c r="BW43" s="39">
        <v>12</v>
      </c>
      <c r="BX43" s="39">
        <v>1777</v>
      </c>
      <c r="BY43" s="39">
        <v>5</v>
      </c>
      <c r="BZ43" s="39">
        <f t="shared" si="10"/>
        <v>187</v>
      </c>
      <c r="CA43" s="39">
        <f t="shared" si="11"/>
        <v>13</v>
      </c>
      <c r="CB43" s="39">
        <f t="shared" si="12"/>
        <v>2</v>
      </c>
      <c r="CC43" s="39">
        <f t="shared" si="13"/>
        <v>2</v>
      </c>
      <c r="CD43" s="39">
        <f t="shared" si="14"/>
        <v>0</v>
      </c>
      <c r="CE43" s="102">
        <f t="shared" si="15"/>
        <v>0</v>
      </c>
      <c r="CF43" s="36"/>
      <c r="CG43" s="39" t="s">
        <v>258</v>
      </c>
      <c r="CH43" s="39"/>
      <c r="CI43" s="25">
        <v>1</v>
      </c>
    </row>
    <row r="44" spans="1:87" ht="24.75" customHeight="1">
      <c r="A44" s="36" t="s">
        <v>50</v>
      </c>
      <c r="B44" s="26">
        <v>47539</v>
      </c>
      <c r="C44" s="227">
        <v>13235130</v>
      </c>
      <c r="D44" s="36" t="s">
        <v>83</v>
      </c>
      <c r="E44" s="39">
        <v>240</v>
      </c>
      <c r="F44" s="39" t="s">
        <v>53</v>
      </c>
      <c r="G44" s="36" t="s">
        <v>625</v>
      </c>
      <c r="H44" s="39" t="s">
        <v>25</v>
      </c>
      <c r="I44" s="39">
        <v>214</v>
      </c>
      <c r="J44" s="39">
        <v>10</v>
      </c>
      <c r="K44" s="39">
        <v>3</v>
      </c>
      <c r="L44" s="39">
        <f t="shared" si="0"/>
        <v>227</v>
      </c>
      <c r="M44" s="117">
        <v>46157</v>
      </c>
      <c r="N44" s="117">
        <v>46162</v>
      </c>
      <c r="O44" s="39"/>
      <c r="P44" s="39"/>
      <c r="Q44" s="39"/>
      <c r="R44" s="39">
        <f t="shared" si="1"/>
        <v>0</v>
      </c>
      <c r="S44" s="39" t="s">
        <v>270</v>
      </c>
      <c r="T44" s="39"/>
      <c r="U44" s="39"/>
      <c r="V44" s="117">
        <v>46162</v>
      </c>
      <c r="W44" s="39">
        <f>252+13+5</f>
        <v>270</v>
      </c>
      <c r="X44" s="117" t="s">
        <v>1552</v>
      </c>
      <c r="Y44" s="39">
        <v>224</v>
      </c>
      <c r="Z44" s="39">
        <v>13</v>
      </c>
      <c r="AA44" s="39">
        <v>4</v>
      </c>
      <c r="AB44" s="119">
        <f t="shared" si="2"/>
        <v>241</v>
      </c>
      <c r="AC44" s="39" t="s">
        <v>139</v>
      </c>
      <c r="AD44" s="117">
        <v>46209</v>
      </c>
      <c r="AE44" s="39">
        <v>226</v>
      </c>
      <c r="AF44" s="117">
        <v>46212</v>
      </c>
      <c r="AG44" s="39">
        <v>226</v>
      </c>
      <c r="AH44" s="39">
        <f t="shared" si="3"/>
        <v>0</v>
      </c>
      <c r="AI44" s="39"/>
      <c r="AJ44" s="39"/>
      <c r="AK44" s="39"/>
      <c r="AL44" s="39"/>
      <c r="AM44" s="39"/>
      <c r="AN44" s="39">
        <f t="shared" si="4"/>
        <v>0</v>
      </c>
      <c r="AO44" s="39" t="s">
        <v>280</v>
      </c>
      <c r="AP44" s="117">
        <v>46204</v>
      </c>
      <c r="AQ44" s="39">
        <v>226</v>
      </c>
      <c r="AR44" s="117">
        <v>46206</v>
      </c>
      <c r="AS44" s="39">
        <v>228</v>
      </c>
      <c r="AT44" s="39">
        <f t="shared" si="5"/>
        <v>2</v>
      </c>
      <c r="AU44" s="39" t="s">
        <v>257</v>
      </c>
      <c r="AV44" s="117">
        <v>46206</v>
      </c>
      <c r="AW44" s="39">
        <v>228</v>
      </c>
      <c r="AX44" s="117">
        <v>46206</v>
      </c>
      <c r="AY44" s="39">
        <v>225</v>
      </c>
      <c r="AZ44" s="39">
        <f t="shared" si="6"/>
        <v>-3</v>
      </c>
      <c r="BA44" s="39"/>
      <c r="BB44" s="39"/>
      <c r="BC44" s="39"/>
      <c r="BD44" s="39"/>
      <c r="BE44" s="39"/>
      <c r="BF44" s="39">
        <f t="shared" si="7"/>
        <v>0</v>
      </c>
      <c r="BG44" s="39"/>
      <c r="BH44" s="39"/>
      <c r="BI44" s="39"/>
      <c r="BJ44" s="39"/>
      <c r="BK44" s="39"/>
      <c r="BL44" s="39">
        <f t="shared" si="8"/>
        <v>0</v>
      </c>
      <c r="BM44" s="54" t="str">
        <f t="shared" si="9"/>
        <v/>
      </c>
      <c r="BN44" s="58">
        <v>46183</v>
      </c>
      <c r="BO44" s="57">
        <v>46196</v>
      </c>
      <c r="BP44" s="57">
        <v>46198</v>
      </c>
      <c r="BQ44" s="57">
        <v>46203</v>
      </c>
      <c r="BR44" s="229">
        <v>46192</v>
      </c>
      <c r="BS44" s="243"/>
      <c r="BT44" s="39">
        <v>2229</v>
      </c>
      <c r="BU44" s="39">
        <v>225</v>
      </c>
      <c r="BV44" s="39">
        <v>1777</v>
      </c>
      <c r="BW44" s="39">
        <v>13</v>
      </c>
      <c r="BX44" s="39">
        <v>1777</v>
      </c>
      <c r="BY44" s="39">
        <v>4</v>
      </c>
      <c r="BZ44" s="39">
        <f t="shared" si="10"/>
        <v>242</v>
      </c>
      <c r="CA44" s="39">
        <f t="shared" si="11"/>
        <v>11</v>
      </c>
      <c r="CB44" s="39">
        <f t="shared" si="12"/>
        <v>3</v>
      </c>
      <c r="CC44" s="39">
        <f t="shared" si="13"/>
        <v>1</v>
      </c>
      <c r="CD44" s="39">
        <f t="shared" si="14"/>
        <v>0</v>
      </c>
      <c r="CE44" s="102">
        <f t="shared" si="15"/>
        <v>0</v>
      </c>
      <c r="CF44" s="36"/>
      <c r="CG44" s="39" t="s">
        <v>258</v>
      </c>
      <c r="CH44" s="39"/>
      <c r="CI44" s="25">
        <v>1</v>
      </c>
    </row>
    <row r="45" spans="1:87" ht="24.75" customHeight="1">
      <c r="A45" s="36" t="s">
        <v>50</v>
      </c>
      <c r="B45" s="26">
        <v>47539</v>
      </c>
      <c r="C45" s="228"/>
      <c r="D45" s="36" t="s">
        <v>45</v>
      </c>
      <c r="E45" s="39">
        <v>240</v>
      </c>
      <c r="F45" s="39" t="s">
        <v>53</v>
      </c>
      <c r="G45" s="36" t="s">
        <v>352</v>
      </c>
      <c r="H45" s="39" t="s">
        <v>25</v>
      </c>
      <c r="I45" s="39">
        <v>214</v>
      </c>
      <c r="J45" s="39">
        <v>10</v>
      </c>
      <c r="K45" s="39">
        <v>3</v>
      </c>
      <c r="L45" s="39">
        <f t="shared" si="0"/>
        <v>227</v>
      </c>
      <c r="M45" s="117">
        <v>46157</v>
      </c>
      <c r="N45" s="117">
        <v>46162</v>
      </c>
      <c r="O45" s="39"/>
      <c r="P45" s="39"/>
      <c r="Q45" s="39"/>
      <c r="R45" s="39">
        <f t="shared" si="1"/>
        <v>0</v>
      </c>
      <c r="S45" s="39" t="s">
        <v>326</v>
      </c>
      <c r="T45" s="39"/>
      <c r="U45" s="39"/>
      <c r="V45" s="117">
        <v>46162</v>
      </c>
      <c r="W45" s="39">
        <f>252+12+5</f>
        <v>269</v>
      </c>
      <c r="X45" s="117" t="s">
        <v>1484</v>
      </c>
      <c r="Y45" s="39">
        <f>195+23</f>
        <v>218</v>
      </c>
      <c r="Z45" s="39">
        <v>11</v>
      </c>
      <c r="AA45" s="39">
        <v>5</v>
      </c>
      <c r="AB45" s="119">
        <f t="shared" si="2"/>
        <v>234</v>
      </c>
      <c r="AC45" s="39"/>
      <c r="AD45" s="39"/>
      <c r="AE45" s="39"/>
      <c r="AF45" s="39"/>
      <c r="AG45" s="39"/>
      <c r="AH45" s="39">
        <f t="shared" si="3"/>
        <v>0</v>
      </c>
      <c r="AI45" s="39"/>
      <c r="AJ45" s="39"/>
      <c r="AK45" s="39"/>
      <c r="AL45" s="39"/>
      <c r="AM45" s="39"/>
      <c r="AN45" s="39">
        <f t="shared" si="4"/>
        <v>0</v>
      </c>
      <c r="AO45" s="39"/>
      <c r="AP45" s="39"/>
      <c r="AQ45" s="39"/>
      <c r="AR45" s="39"/>
      <c r="AS45" s="39"/>
      <c r="AT45" s="39">
        <f t="shared" si="5"/>
        <v>0</v>
      </c>
      <c r="AU45" s="39"/>
      <c r="AV45" s="39"/>
      <c r="AW45" s="39"/>
      <c r="AX45" s="39"/>
      <c r="AY45" s="39"/>
      <c r="AZ45" s="39">
        <f t="shared" si="6"/>
        <v>0</v>
      </c>
      <c r="BA45" s="39"/>
      <c r="BB45" s="39"/>
      <c r="BC45" s="39"/>
      <c r="BD45" s="39"/>
      <c r="BE45" s="39"/>
      <c r="BF45" s="39">
        <f t="shared" si="7"/>
        <v>0</v>
      </c>
      <c r="BG45" s="39"/>
      <c r="BH45" s="39"/>
      <c r="BI45" s="39"/>
      <c r="BJ45" s="39"/>
      <c r="BK45" s="39"/>
      <c r="BL45" s="39">
        <f t="shared" si="8"/>
        <v>0</v>
      </c>
      <c r="BM45" s="54" t="str">
        <f t="shared" si="9"/>
        <v/>
      </c>
      <c r="BN45" s="58">
        <v>46183</v>
      </c>
      <c r="BO45" s="57">
        <v>46196</v>
      </c>
      <c r="BP45" s="57"/>
      <c r="BQ45" s="57"/>
      <c r="BR45" s="230"/>
      <c r="BS45" s="230"/>
      <c r="BT45" s="39">
        <v>1755</v>
      </c>
      <c r="BU45" s="39">
        <f>195</f>
        <v>195</v>
      </c>
      <c r="BV45" s="39">
        <v>1755</v>
      </c>
      <c r="BW45" s="39">
        <v>11</v>
      </c>
      <c r="BX45" s="39">
        <v>1755</v>
      </c>
      <c r="BY45" s="39">
        <v>5</v>
      </c>
      <c r="BZ45" s="39">
        <f t="shared" si="10"/>
        <v>211</v>
      </c>
      <c r="CA45" s="39">
        <f t="shared" si="11"/>
        <v>-19</v>
      </c>
      <c r="CB45" s="39">
        <f t="shared" si="12"/>
        <v>1</v>
      </c>
      <c r="CC45" s="39">
        <f t="shared" si="13"/>
        <v>2</v>
      </c>
      <c r="CD45" s="39">
        <f t="shared" si="14"/>
        <v>-19</v>
      </c>
      <c r="CE45" s="102">
        <f t="shared" si="15"/>
        <v>-8.3700440528634359E-2</v>
      </c>
      <c r="CF45" s="36"/>
      <c r="CG45" s="39" t="s">
        <v>258</v>
      </c>
      <c r="CH45" s="39"/>
      <c r="CI45" s="25">
        <v>1</v>
      </c>
    </row>
    <row r="46" spans="1:87" ht="24.75" customHeight="1">
      <c r="A46" s="36" t="s">
        <v>50</v>
      </c>
      <c r="B46" s="26">
        <v>47520</v>
      </c>
      <c r="C46" s="227">
        <v>13229879</v>
      </c>
      <c r="D46" s="36"/>
      <c r="E46" s="39">
        <v>180</v>
      </c>
      <c r="F46" s="39" t="s">
        <v>55</v>
      </c>
      <c r="G46" s="36" t="s">
        <v>626</v>
      </c>
      <c r="H46" s="39" t="s">
        <v>87</v>
      </c>
      <c r="I46" s="39">
        <v>124</v>
      </c>
      <c r="J46" s="39">
        <v>13</v>
      </c>
      <c r="K46" s="39"/>
      <c r="L46" s="39">
        <f t="shared" si="0"/>
        <v>137</v>
      </c>
      <c r="M46" s="117">
        <v>46152</v>
      </c>
      <c r="N46" s="117">
        <v>46157</v>
      </c>
      <c r="O46" s="39"/>
      <c r="P46" s="39"/>
      <c r="Q46" s="39"/>
      <c r="R46" s="39">
        <f t="shared" si="1"/>
        <v>0</v>
      </c>
      <c r="S46" s="39" t="s">
        <v>326</v>
      </c>
      <c r="T46" s="39"/>
      <c r="U46" s="39"/>
      <c r="V46" s="117">
        <v>46162</v>
      </c>
      <c r="W46" s="39">
        <f>154+16</f>
        <v>170</v>
      </c>
      <c r="X46" s="117" t="s">
        <v>1056</v>
      </c>
      <c r="Y46" s="39">
        <v>132</v>
      </c>
      <c r="Z46" s="39">
        <v>13</v>
      </c>
      <c r="AA46" s="39"/>
      <c r="AB46" s="119">
        <f t="shared" si="2"/>
        <v>145</v>
      </c>
      <c r="AC46" s="39"/>
      <c r="AD46" s="39"/>
      <c r="AE46" s="39"/>
      <c r="AF46" s="39"/>
      <c r="AG46" s="39"/>
      <c r="AH46" s="39">
        <f t="shared" si="3"/>
        <v>0</v>
      </c>
      <c r="AI46" s="39"/>
      <c r="AJ46" s="39"/>
      <c r="AK46" s="39"/>
      <c r="AL46" s="39"/>
      <c r="AM46" s="39"/>
      <c r="AN46" s="39">
        <f t="shared" si="4"/>
        <v>0</v>
      </c>
      <c r="AO46" s="39"/>
      <c r="AP46" s="39"/>
      <c r="AQ46" s="39"/>
      <c r="AR46" s="39"/>
      <c r="AS46" s="39"/>
      <c r="AT46" s="39">
        <f t="shared" si="5"/>
        <v>0</v>
      </c>
      <c r="AU46" s="39"/>
      <c r="AV46" s="39"/>
      <c r="AW46" s="39"/>
      <c r="AX46" s="39"/>
      <c r="AY46" s="39"/>
      <c r="AZ46" s="39">
        <f t="shared" si="6"/>
        <v>0</v>
      </c>
      <c r="BA46" s="39"/>
      <c r="BB46" s="39"/>
      <c r="BC46" s="39"/>
      <c r="BD46" s="39"/>
      <c r="BE46" s="39"/>
      <c r="BF46" s="39">
        <f t="shared" si="7"/>
        <v>0</v>
      </c>
      <c r="BG46" s="39"/>
      <c r="BH46" s="39"/>
      <c r="BI46" s="39"/>
      <c r="BJ46" s="39"/>
      <c r="BK46" s="39"/>
      <c r="BL46" s="39">
        <f t="shared" si="8"/>
        <v>0</v>
      </c>
      <c r="BM46" s="54" t="str">
        <f t="shared" si="9"/>
        <v/>
      </c>
      <c r="BN46" s="58">
        <v>46178</v>
      </c>
      <c r="BO46" s="57">
        <v>46188</v>
      </c>
      <c r="BP46" s="36"/>
      <c r="BQ46" s="36"/>
      <c r="BR46" s="229">
        <v>46186</v>
      </c>
      <c r="BS46" s="229">
        <v>46199</v>
      </c>
      <c r="BT46" s="39">
        <v>1397</v>
      </c>
      <c r="BU46" s="39">
        <v>132</v>
      </c>
      <c r="BV46" s="39">
        <v>1503</v>
      </c>
      <c r="BW46" s="39">
        <v>13</v>
      </c>
      <c r="BX46" s="39"/>
      <c r="BY46" s="39"/>
      <c r="BZ46" s="39">
        <f t="shared" si="10"/>
        <v>145</v>
      </c>
      <c r="CA46" s="39">
        <f t="shared" si="11"/>
        <v>8</v>
      </c>
      <c r="CB46" s="39">
        <f t="shared" si="12"/>
        <v>0</v>
      </c>
      <c r="CC46" s="39">
        <f t="shared" si="13"/>
        <v>0</v>
      </c>
      <c r="CD46" s="39">
        <f t="shared" si="14"/>
        <v>0</v>
      </c>
      <c r="CE46" s="102">
        <f t="shared" si="15"/>
        <v>0</v>
      </c>
      <c r="CF46" s="36"/>
      <c r="CG46" s="39" t="s">
        <v>258</v>
      </c>
      <c r="CH46" s="39"/>
      <c r="CI46" s="25">
        <v>1</v>
      </c>
    </row>
    <row r="47" spans="1:87" ht="24.75" customHeight="1">
      <c r="A47" s="36" t="s">
        <v>50</v>
      </c>
      <c r="B47" s="26">
        <v>47520</v>
      </c>
      <c r="C47" s="228"/>
      <c r="D47" s="36"/>
      <c r="E47" s="39">
        <v>180</v>
      </c>
      <c r="F47" s="39" t="s">
        <v>55</v>
      </c>
      <c r="G47" s="36" t="s">
        <v>35</v>
      </c>
      <c r="H47" s="39" t="s">
        <v>87</v>
      </c>
      <c r="I47" s="39">
        <v>124</v>
      </c>
      <c r="J47" s="39">
        <v>13</v>
      </c>
      <c r="K47" s="39"/>
      <c r="L47" s="39">
        <f t="shared" si="0"/>
        <v>137</v>
      </c>
      <c r="M47" s="117">
        <v>46152</v>
      </c>
      <c r="N47" s="117">
        <v>46157</v>
      </c>
      <c r="O47" s="39"/>
      <c r="P47" s="39"/>
      <c r="Q47" s="39"/>
      <c r="R47" s="39">
        <f t="shared" si="1"/>
        <v>0</v>
      </c>
      <c r="S47" s="39" t="s">
        <v>326</v>
      </c>
      <c r="T47" s="39"/>
      <c r="U47" s="39"/>
      <c r="V47" s="117" t="s">
        <v>980</v>
      </c>
      <c r="W47" s="39">
        <f>154+15</f>
        <v>169</v>
      </c>
      <c r="X47" s="117">
        <v>46199</v>
      </c>
      <c r="Y47" s="39">
        <f>122+1</f>
        <v>123</v>
      </c>
      <c r="Z47" s="39">
        <v>14</v>
      </c>
      <c r="AA47" s="39"/>
      <c r="AB47" s="119">
        <f t="shared" si="2"/>
        <v>137</v>
      </c>
      <c r="AC47" s="39"/>
      <c r="AD47" s="39"/>
      <c r="AE47" s="39"/>
      <c r="AF47" s="39"/>
      <c r="AG47" s="39"/>
      <c r="AH47" s="39">
        <f t="shared" si="3"/>
        <v>0</v>
      </c>
      <c r="AI47" s="39"/>
      <c r="AJ47" s="39"/>
      <c r="AK47" s="39"/>
      <c r="AL47" s="39"/>
      <c r="AM47" s="39"/>
      <c r="AN47" s="39">
        <f t="shared" si="4"/>
        <v>0</v>
      </c>
      <c r="AO47" s="39"/>
      <c r="AP47" s="39"/>
      <c r="AQ47" s="39"/>
      <c r="AR47" s="39"/>
      <c r="AS47" s="39"/>
      <c r="AT47" s="39">
        <f t="shared" si="5"/>
        <v>0</v>
      </c>
      <c r="AU47" s="39"/>
      <c r="AV47" s="39"/>
      <c r="AW47" s="39"/>
      <c r="AX47" s="39"/>
      <c r="AY47" s="39"/>
      <c r="AZ47" s="39">
        <f t="shared" si="6"/>
        <v>0</v>
      </c>
      <c r="BA47" s="39"/>
      <c r="BB47" s="39"/>
      <c r="BC47" s="39"/>
      <c r="BD47" s="39"/>
      <c r="BE47" s="39"/>
      <c r="BF47" s="39">
        <f t="shared" si="7"/>
        <v>0</v>
      </c>
      <c r="BG47" s="39"/>
      <c r="BH47" s="39"/>
      <c r="BI47" s="39"/>
      <c r="BJ47" s="39"/>
      <c r="BK47" s="39"/>
      <c r="BL47" s="39">
        <f t="shared" si="8"/>
        <v>0</v>
      </c>
      <c r="BM47" s="54" t="str">
        <f t="shared" si="9"/>
        <v/>
      </c>
      <c r="BN47" s="58">
        <v>46178</v>
      </c>
      <c r="BO47" s="57">
        <v>46188</v>
      </c>
      <c r="BP47" s="36"/>
      <c r="BQ47" s="36"/>
      <c r="BR47" s="230"/>
      <c r="BS47" s="230"/>
      <c r="BT47" s="39">
        <v>1512</v>
      </c>
      <c r="BU47" s="39">
        <v>122</v>
      </c>
      <c r="BV47" s="39">
        <v>1512</v>
      </c>
      <c r="BW47" s="39">
        <v>14</v>
      </c>
      <c r="BX47" s="39"/>
      <c r="BY47" s="39"/>
      <c r="BZ47" s="39">
        <f t="shared" si="10"/>
        <v>136</v>
      </c>
      <c r="CA47" s="39">
        <f t="shared" si="11"/>
        <v>-2</v>
      </c>
      <c r="CB47" s="39">
        <f t="shared" si="12"/>
        <v>1</v>
      </c>
      <c r="CC47" s="39">
        <f t="shared" si="13"/>
        <v>0</v>
      </c>
      <c r="CD47" s="39">
        <v>0</v>
      </c>
      <c r="CE47" s="102">
        <f t="shared" si="15"/>
        <v>0</v>
      </c>
      <c r="CF47" s="36"/>
      <c r="CG47" s="39" t="s">
        <v>258</v>
      </c>
      <c r="CH47" s="39"/>
      <c r="CI47" s="25">
        <v>1</v>
      </c>
    </row>
    <row r="48" spans="1:87" ht="24.75" customHeight="1">
      <c r="A48" s="36" t="s">
        <v>50</v>
      </c>
      <c r="B48" s="26">
        <v>47522</v>
      </c>
      <c r="C48" s="227">
        <v>13225108</v>
      </c>
      <c r="D48" s="36"/>
      <c r="E48" s="39">
        <v>180</v>
      </c>
      <c r="F48" s="39" t="s">
        <v>55</v>
      </c>
      <c r="G48" s="36" t="s">
        <v>605</v>
      </c>
      <c r="H48" s="39" t="s">
        <v>87</v>
      </c>
      <c r="I48" s="39">
        <v>183</v>
      </c>
      <c r="J48" s="39">
        <v>20</v>
      </c>
      <c r="K48" s="39"/>
      <c r="L48" s="39">
        <f t="shared" si="0"/>
        <v>203</v>
      </c>
      <c r="M48" s="117">
        <v>46152</v>
      </c>
      <c r="N48" s="117">
        <v>46157</v>
      </c>
      <c r="O48" s="39"/>
      <c r="P48" s="39"/>
      <c r="Q48" s="39"/>
      <c r="R48" s="39">
        <f t="shared" si="1"/>
        <v>0</v>
      </c>
      <c r="S48" s="39" t="s">
        <v>270</v>
      </c>
      <c r="T48" s="39"/>
      <c r="U48" s="39"/>
      <c r="V48" s="117">
        <v>46162</v>
      </c>
      <c r="W48" s="39">
        <f>221+24</f>
        <v>245</v>
      </c>
      <c r="X48" s="117">
        <v>46188</v>
      </c>
      <c r="Y48" s="39">
        <v>196</v>
      </c>
      <c r="Z48" s="39">
        <v>22</v>
      </c>
      <c r="AA48" s="39"/>
      <c r="AB48" s="119">
        <f t="shared" si="2"/>
        <v>218</v>
      </c>
      <c r="AC48" s="39"/>
      <c r="AD48" s="39"/>
      <c r="AE48" s="39"/>
      <c r="AF48" s="39"/>
      <c r="AG48" s="39"/>
      <c r="AH48" s="39">
        <f t="shared" si="3"/>
        <v>0</v>
      </c>
      <c r="AI48" s="39"/>
      <c r="AJ48" s="39"/>
      <c r="AK48" s="39"/>
      <c r="AL48" s="39"/>
      <c r="AM48" s="39"/>
      <c r="AN48" s="39">
        <f t="shared" si="4"/>
        <v>0</v>
      </c>
      <c r="AO48" s="39"/>
      <c r="AP48" s="39"/>
      <c r="AQ48" s="39"/>
      <c r="AR48" s="39"/>
      <c r="AS48" s="39"/>
      <c r="AT48" s="39">
        <f t="shared" si="5"/>
        <v>0</v>
      </c>
      <c r="AU48" s="39"/>
      <c r="AV48" s="39"/>
      <c r="AW48" s="39"/>
      <c r="AX48" s="39"/>
      <c r="AY48" s="39"/>
      <c r="AZ48" s="39">
        <f t="shared" si="6"/>
        <v>0</v>
      </c>
      <c r="BA48" s="39"/>
      <c r="BB48" s="39"/>
      <c r="BC48" s="39"/>
      <c r="BD48" s="39"/>
      <c r="BE48" s="39"/>
      <c r="BF48" s="39">
        <f t="shared" si="7"/>
        <v>0</v>
      </c>
      <c r="BG48" s="39"/>
      <c r="BH48" s="39"/>
      <c r="BI48" s="39"/>
      <c r="BJ48" s="39"/>
      <c r="BK48" s="39"/>
      <c r="BL48" s="39">
        <f t="shared" si="8"/>
        <v>0</v>
      </c>
      <c r="BM48" s="54" t="str">
        <f t="shared" si="9"/>
        <v/>
      </c>
      <c r="BN48" s="58">
        <v>46178</v>
      </c>
      <c r="BO48" s="57">
        <v>46188</v>
      </c>
      <c r="BP48" s="36"/>
      <c r="BQ48" s="36"/>
      <c r="BR48" s="229">
        <v>46186</v>
      </c>
      <c r="BS48" s="229">
        <v>46191</v>
      </c>
      <c r="BT48" s="39">
        <v>1496</v>
      </c>
      <c r="BU48" s="39">
        <v>196</v>
      </c>
      <c r="BV48" s="39">
        <v>1496</v>
      </c>
      <c r="BW48" s="39">
        <v>22</v>
      </c>
      <c r="BX48" s="39"/>
      <c r="BY48" s="39"/>
      <c r="BZ48" s="39">
        <f t="shared" si="10"/>
        <v>218</v>
      </c>
      <c r="CA48" s="39">
        <f t="shared" si="11"/>
        <v>13</v>
      </c>
      <c r="CB48" s="39">
        <f t="shared" si="12"/>
        <v>2</v>
      </c>
      <c r="CC48" s="39">
        <f t="shared" si="13"/>
        <v>0</v>
      </c>
      <c r="CD48" s="39">
        <f t="shared" si="14"/>
        <v>0</v>
      </c>
      <c r="CE48" s="102">
        <f t="shared" si="15"/>
        <v>0</v>
      </c>
      <c r="CF48" s="36"/>
      <c r="CG48" s="39" t="s">
        <v>258</v>
      </c>
      <c r="CH48" s="39"/>
      <c r="CI48" s="25">
        <v>1</v>
      </c>
    </row>
    <row r="49" spans="1:87" ht="24.75" customHeight="1">
      <c r="A49" s="36" t="s">
        <v>50</v>
      </c>
      <c r="B49" s="26">
        <v>47522</v>
      </c>
      <c r="C49" s="228"/>
      <c r="D49" s="36"/>
      <c r="E49" s="39">
        <v>180</v>
      </c>
      <c r="F49" s="39" t="s">
        <v>55</v>
      </c>
      <c r="G49" s="36" t="s">
        <v>626</v>
      </c>
      <c r="H49" s="39" t="s">
        <v>87</v>
      </c>
      <c r="I49" s="39">
        <v>92</v>
      </c>
      <c r="J49" s="39">
        <v>10</v>
      </c>
      <c r="K49" s="39"/>
      <c r="L49" s="39">
        <f t="shared" si="0"/>
        <v>102</v>
      </c>
      <c r="M49" s="117">
        <v>46152</v>
      </c>
      <c r="N49" s="117">
        <v>46157</v>
      </c>
      <c r="O49" s="39"/>
      <c r="P49" s="39"/>
      <c r="Q49" s="39"/>
      <c r="R49" s="39">
        <f t="shared" si="1"/>
        <v>0</v>
      </c>
      <c r="S49" s="39" t="s">
        <v>326</v>
      </c>
      <c r="T49" s="39"/>
      <c r="U49" s="39"/>
      <c r="V49" s="117">
        <v>46162</v>
      </c>
      <c r="W49" s="39">
        <f>115+12</f>
        <v>127</v>
      </c>
      <c r="X49" s="117" t="s">
        <v>1056</v>
      </c>
      <c r="Y49" s="39">
        <v>99</v>
      </c>
      <c r="Z49" s="39">
        <v>11</v>
      </c>
      <c r="AA49" s="39"/>
      <c r="AB49" s="119">
        <f t="shared" si="2"/>
        <v>110</v>
      </c>
      <c r="AC49" s="39"/>
      <c r="AD49" s="39"/>
      <c r="AE49" s="39"/>
      <c r="AF49" s="39"/>
      <c r="AG49" s="39"/>
      <c r="AH49" s="39">
        <f t="shared" si="3"/>
        <v>0</v>
      </c>
      <c r="AI49" s="39"/>
      <c r="AJ49" s="39"/>
      <c r="AK49" s="39"/>
      <c r="AL49" s="39"/>
      <c r="AM49" s="39"/>
      <c r="AN49" s="39">
        <f t="shared" si="4"/>
        <v>0</v>
      </c>
      <c r="AO49" s="39"/>
      <c r="AP49" s="39"/>
      <c r="AQ49" s="39"/>
      <c r="AR49" s="39"/>
      <c r="AS49" s="39"/>
      <c r="AT49" s="39">
        <f t="shared" si="5"/>
        <v>0</v>
      </c>
      <c r="AU49" s="39"/>
      <c r="AV49" s="39"/>
      <c r="AW49" s="39"/>
      <c r="AX49" s="39"/>
      <c r="AY49" s="39"/>
      <c r="AZ49" s="39">
        <f t="shared" si="6"/>
        <v>0</v>
      </c>
      <c r="BA49" s="39"/>
      <c r="BB49" s="39"/>
      <c r="BC49" s="39"/>
      <c r="BD49" s="39"/>
      <c r="BE49" s="39"/>
      <c r="BF49" s="39">
        <f t="shared" si="7"/>
        <v>0</v>
      </c>
      <c r="BG49" s="39"/>
      <c r="BH49" s="39"/>
      <c r="BI49" s="39"/>
      <c r="BJ49" s="39"/>
      <c r="BK49" s="39"/>
      <c r="BL49" s="39">
        <f t="shared" si="8"/>
        <v>0</v>
      </c>
      <c r="BM49" s="54" t="str">
        <f t="shared" si="9"/>
        <v/>
      </c>
      <c r="BN49" s="58">
        <v>46178</v>
      </c>
      <c r="BO49" s="57">
        <v>46188</v>
      </c>
      <c r="BP49" s="36"/>
      <c r="BQ49" s="36"/>
      <c r="BR49" s="230"/>
      <c r="BS49" s="230"/>
      <c r="BT49" s="39">
        <v>1398</v>
      </c>
      <c r="BU49" s="39">
        <v>99</v>
      </c>
      <c r="BV49" s="39">
        <v>1503</v>
      </c>
      <c r="BW49" s="39">
        <v>11</v>
      </c>
      <c r="BX49" s="39"/>
      <c r="BY49" s="39"/>
      <c r="BZ49" s="39">
        <f t="shared" si="10"/>
        <v>110</v>
      </c>
      <c r="CA49" s="39">
        <f t="shared" si="11"/>
        <v>7</v>
      </c>
      <c r="CB49" s="39">
        <f t="shared" si="12"/>
        <v>1</v>
      </c>
      <c r="CC49" s="39">
        <f t="shared" si="13"/>
        <v>0</v>
      </c>
      <c r="CD49" s="39">
        <f t="shared" si="14"/>
        <v>0</v>
      </c>
      <c r="CE49" s="102">
        <f t="shared" si="15"/>
        <v>0</v>
      </c>
      <c r="CF49" s="36"/>
      <c r="CG49" s="39" t="s">
        <v>258</v>
      </c>
      <c r="CH49" s="39"/>
      <c r="CI49" s="25">
        <v>1</v>
      </c>
    </row>
    <row r="50" spans="1:87" ht="24.75" customHeight="1">
      <c r="A50" s="36" t="s">
        <v>50</v>
      </c>
      <c r="B50" s="26">
        <v>47537</v>
      </c>
      <c r="C50" s="227">
        <v>13262470</v>
      </c>
      <c r="D50" s="36" t="s">
        <v>45</v>
      </c>
      <c r="E50" s="39">
        <v>240</v>
      </c>
      <c r="F50" s="39" t="s">
        <v>58</v>
      </c>
      <c r="G50" s="36" t="s">
        <v>364</v>
      </c>
      <c r="H50" s="36" t="s">
        <v>396</v>
      </c>
      <c r="I50" s="39">
        <v>334</v>
      </c>
      <c r="J50" s="39">
        <v>69</v>
      </c>
      <c r="K50" s="39">
        <v>51</v>
      </c>
      <c r="L50" s="39">
        <f t="shared" si="0"/>
        <v>454</v>
      </c>
      <c r="M50" s="117">
        <v>46155</v>
      </c>
      <c r="N50" s="117">
        <v>46162</v>
      </c>
      <c r="O50" s="39"/>
      <c r="P50" s="39"/>
      <c r="Q50" s="39"/>
      <c r="R50" s="39">
        <f t="shared" si="1"/>
        <v>0</v>
      </c>
      <c r="S50" s="39" t="s">
        <v>590</v>
      </c>
      <c r="T50" s="39"/>
      <c r="U50" s="39"/>
      <c r="V50" s="117">
        <v>46179</v>
      </c>
      <c r="W50" s="39">
        <f>383+82+59</f>
        <v>524</v>
      </c>
      <c r="X50" s="117" t="s">
        <v>1467</v>
      </c>
      <c r="Y50" s="39">
        <v>381</v>
      </c>
      <c r="Z50" s="39">
        <v>78</v>
      </c>
      <c r="AA50" s="39">
        <f>49</f>
        <v>49</v>
      </c>
      <c r="AB50" s="120">
        <f t="shared" si="2"/>
        <v>508</v>
      </c>
      <c r="AC50" s="39"/>
      <c r="AD50" s="39"/>
      <c r="AE50" s="39"/>
      <c r="AF50" s="39"/>
      <c r="AG50" s="39"/>
      <c r="AH50" s="39">
        <f t="shared" si="3"/>
        <v>0</v>
      </c>
      <c r="AI50" s="39"/>
      <c r="AJ50" s="39"/>
      <c r="AK50" s="39"/>
      <c r="AL50" s="39"/>
      <c r="AM50" s="39"/>
      <c r="AN50" s="39">
        <f t="shared" si="4"/>
        <v>0</v>
      </c>
      <c r="AO50" s="39" t="s">
        <v>280</v>
      </c>
      <c r="AP50" s="117">
        <v>46210</v>
      </c>
      <c r="AQ50" s="39">
        <v>359</v>
      </c>
      <c r="AR50" s="117">
        <v>46211</v>
      </c>
      <c r="AS50" s="39">
        <v>356</v>
      </c>
      <c r="AT50" s="39">
        <f t="shared" si="5"/>
        <v>-3</v>
      </c>
      <c r="AU50" s="39" t="s">
        <v>256</v>
      </c>
      <c r="AV50" s="117">
        <v>46211</v>
      </c>
      <c r="AW50" s="39">
        <v>356</v>
      </c>
      <c r="AX50" s="117">
        <v>46212</v>
      </c>
      <c r="AY50" s="39">
        <v>349</v>
      </c>
      <c r="AZ50" s="39">
        <f t="shared" si="6"/>
        <v>-7</v>
      </c>
      <c r="BA50" s="39"/>
      <c r="BB50" s="39"/>
      <c r="BC50" s="39"/>
      <c r="BD50" s="39"/>
      <c r="BE50" s="39"/>
      <c r="BF50" s="39">
        <f t="shared" si="7"/>
        <v>0</v>
      </c>
      <c r="BG50" s="39"/>
      <c r="BH50" s="39"/>
      <c r="BI50" s="39"/>
      <c r="BJ50" s="39"/>
      <c r="BK50" s="39"/>
      <c r="BL50" s="39">
        <f t="shared" si="8"/>
        <v>0</v>
      </c>
      <c r="BM50" s="54" t="str">
        <f t="shared" si="9"/>
        <v/>
      </c>
      <c r="BN50" s="58">
        <v>46181</v>
      </c>
      <c r="BO50" s="57">
        <v>46197</v>
      </c>
      <c r="BP50" s="36"/>
      <c r="BQ50" s="36"/>
      <c r="BR50" s="229">
        <v>46220</v>
      </c>
      <c r="BS50" s="229">
        <v>46233</v>
      </c>
      <c r="BT50" s="39">
        <v>1815</v>
      </c>
      <c r="BU50" s="39">
        <v>335</v>
      </c>
      <c r="BV50" s="39">
        <v>1780</v>
      </c>
      <c r="BW50" s="39">
        <v>78</v>
      </c>
      <c r="BX50" s="39">
        <v>1780</v>
      </c>
      <c r="BY50" s="39">
        <f>49</f>
        <v>49</v>
      </c>
      <c r="BZ50" s="39">
        <f t="shared" si="10"/>
        <v>462</v>
      </c>
      <c r="CA50" s="39">
        <f t="shared" si="11"/>
        <v>1</v>
      </c>
      <c r="CB50" s="39">
        <f t="shared" si="12"/>
        <v>9</v>
      </c>
      <c r="CC50" s="39">
        <f t="shared" si="13"/>
        <v>-2</v>
      </c>
      <c r="CD50" s="39">
        <v>0</v>
      </c>
      <c r="CE50" s="102">
        <f t="shared" si="15"/>
        <v>0</v>
      </c>
      <c r="CF50" s="36"/>
      <c r="CG50" s="39" t="s">
        <v>258</v>
      </c>
      <c r="CH50" s="39"/>
      <c r="CI50" s="25">
        <v>1</v>
      </c>
    </row>
    <row r="51" spans="1:87" ht="24.75" customHeight="1">
      <c r="A51" s="36" t="s">
        <v>50</v>
      </c>
      <c r="B51" s="26">
        <v>47537</v>
      </c>
      <c r="C51" s="231"/>
      <c r="D51" s="36" t="s">
        <v>45</v>
      </c>
      <c r="E51" s="39">
        <v>240</v>
      </c>
      <c r="F51" s="39" t="s">
        <v>58</v>
      </c>
      <c r="G51" s="36" t="s">
        <v>633</v>
      </c>
      <c r="H51" s="36" t="s">
        <v>396</v>
      </c>
      <c r="I51" s="39">
        <v>332</v>
      </c>
      <c r="J51" s="39">
        <v>70</v>
      </c>
      <c r="K51" s="39">
        <v>51</v>
      </c>
      <c r="L51" s="39">
        <f t="shared" si="0"/>
        <v>453</v>
      </c>
      <c r="M51" s="117">
        <v>46155</v>
      </c>
      <c r="N51" s="117">
        <v>46162</v>
      </c>
      <c r="O51" s="39"/>
      <c r="P51" s="39"/>
      <c r="Q51" s="39"/>
      <c r="R51" s="39">
        <f t="shared" si="1"/>
        <v>0</v>
      </c>
      <c r="S51" s="39" t="s">
        <v>590</v>
      </c>
      <c r="T51" s="39"/>
      <c r="U51" s="39"/>
      <c r="V51" s="117">
        <v>46179</v>
      </c>
      <c r="W51" s="39">
        <f>381+82+58</f>
        <v>521</v>
      </c>
      <c r="X51" s="117">
        <v>46212</v>
      </c>
      <c r="Y51" s="39">
        <v>334</v>
      </c>
      <c r="Z51" s="39">
        <v>76</v>
      </c>
      <c r="AA51" s="39">
        <v>55</v>
      </c>
      <c r="AB51" s="119">
        <f t="shared" si="2"/>
        <v>465</v>
      </c>
      <c r="AC51" s="39"/>
      <c r="AD51" s="39"/>
      <c r="AE51" s="39"/>
      <c r="AF51" s="39"/>
      <c r="AG51" s="39"/>
      <c r="AH51" s="39">
        <f t="shared" si="3"/>
        <v>0</v>
      </c>
      <c r="AI51" s="39"/>
      <c r="AJ51" s="39"/>
      <c r="AK51" s="39"/>
      <c r="AL51" s="39"/>
      <c r="AM51" s="39"/>
      <c r="AN51" s="39">
        <f t="shared" si="4"/>
        <v>0</v>
      </c>
      <c r="AO51" s="39" t="s">
        <v>280</v>
      </c>
      <c r="AP51" s="117">
        <v>46213</v>
      </c>
      <c r="AQ51" s="39">
        <v>339</v>
      </c>
      <c r="AR51" s="117">
        <v>46216</v>
      </c>
      <c r="AS51" s="39">
        <v>338</v>
      </c>
      <c r="AT51" s="39">
        <f t="shared" si="5"/>
        <v>-1</v>
      </c>
      <c r="AU51" s="39" t="s">
        <v>257</v>
      </c>
      <c r="AV51" s="117">
        <v>46216</v>
      </c>
      <c r="AW51" s="39">
        <v>338</v>
      </c>
      <c r="AX51" s="117">
        <v>46217</v>
      </c>
      <c r="AY51" s="39">
        <v>333</v>
      </c>
      <c r="AZ51" s="39">
        <f t="shared" si="6"/>
        <v>-5</v>
      </c>
      <c r="BA51" s="39"/>
      <c r="BB51" s="39"/>
      <c r="BC51" s="39"/>
      <c r="BD51" s="39"/>
      <c r="BE51" s="39"/>
      <c r="BF51" s="39">
        <f t="shared" si="7"/>
        <v>0</v>
      </c>
      <c r="BG51" s="39"/>
      <c r="BH51" s="39"/>
      <c r="BI51" s="39"/>
      <c r="BJ51" s="39"/>
      <c r="BK51" s="39"/>
      <c r="BL51" s="39">
        <f t="shared" si="8"/>
        <v>0</v>
      </c>
      <c r="BM51" s="54" t="str">
        <f t="shared" si="9"/>
        <v/>
      </c>
      <c r="BN51" s="58">
        <v>46181</v>
      </c>
      <c r="BO51" s="57">
        <v>46197</v>
      </c>
      <c r="BP51" s="36"/>
      <c r="BQ51" s="36"/>
      <c r="BR51" s="232"/>
      <c r="BS51" s="232"/>
      <c r="BT51" s="39">
        <v>2049</v>
      </c>
      <c r="BU51" s="39">
        <f>14+321</f>
        <v>335</v>
      </c>
      <c r="BV51" s="39">
        <v>1786</v>
      </c>
      <c r="BW51" s="39">
        <v>76</v>
      </c>
      <c r="BX51" s="39">
        <v>1786</v>
      </c>
      <c r="BY51" s="39">
        <v>55</v>
      </c>
      <c r="BZ51" s="39">
        <f t="shared" si="10"/>
        <v>466</v>
      </c>
      <c r="CA51" s="39">
        <f t="shared" si="11"/>
        <v>3</v>
      </c>
      <c r="CB51" s="39">
        <f t="shared" si="12"/>
        <v>6</v>
      </c>
      <c r="CC51" s="39">
        <f t="shared" si="13"/>
        <v>4</v>
      </c>
      <c r="CD51" s="39">
        <f t="shared" si="14"/>
        <v>0</v>
      </c>
      <c r="CE51" s="102">
        <f t="shared" si="15"/>
        <v>0</v>
      </c>
      <c r="CF51" s="36"/>
      <c r="CG51" s="39" t="s">
        <v>258</v>
      </c>
      <c r="CH51" s="39"/>
      <c r="CI51" s="25">
        <v>1</v>
      </c>
    </row>
    <row r="52" spans="1:87" ht="24.75" customHeight="1">
      <c r="A52" s="36" t="s">
        <v>50</v>
      </c>
      <c r="B52" s="26">
        <v>47537</v>
      </c>
      <c r="C52" s="228"/>
      <c r="D52" s="36" t="s">
        <v>45</v>
      </c>
      <c r="E52" s="39">
        <v>240</v>
      </c>
      <c r="F52" s="39" t="s">
        <v>58</v>
      </c>
      <c r="G52" s="36" t="s">
        <v>471</v>
      </c>
      <c r="H52" s="36" t="s">
        <v>396</v>
      </c>
      <c r="I52" s="39">
        <v>239</v>
      </c>
      <c r="J52" s="39">
        <v>50</v>
      </c>
      <c r="K52" s="39">
        <v>36</v>
      </c>
      <c r="L52" s="39">
        <f t="shared" si="0"/>
        <v>325</v>
      </c>
      <c r="M52" s="117">
        <v>46155</v>
      </c>
      <c r="N52" s="117">
        <v>46162</v>
      </c>
      <c r="O52" s="39"/>
      <c r="P52" s="39"/>
      <c r="Q52" s="39"/>
      <c r="R52" s="39">
        <f t="shared" si="1"/>
        <v>0</v>
      </c>
      <c r="S52" s="39" t="s">
        <v>130</v>
      </c>
      <c r="T52" s="39">
        <v>107908</v>
      </c>
      <c r="U52" s="117">
        <v>46226</v>
      </c>
      <c r="V52" s="39"/>
      <c r="W52" s="39"/>
      <c r="X52" s="39"/>
      <c r="Y52" s="39">
        <v>275</v>
      </c>
      <c r="Z52" s="39">
        <v>61</v>
      </c>
      <c r="AA52" s="39">
        <v>42</v>
      </c>
      <c r="AB52" s="119">
        <f t="shared" si="2"/>
        <v>378</v>
      </c>
      <c r="AC52" s="39"/>
      <c r="AD52" s="39"/>
      <c r="AE52" s="39"/>
      <c r="AF52" s="39"/>
      <c r="AG52" s="39"/>
      <c r="AH52" s="39">
        <f t="shared" si="3"/>
        <v>0</v>
      </c>
      <c r="AI52" s="39"/>
      <c r="AJ52" s="39"/>
      <c r="AK52" s="39"/>
      <c r="AL52" s="39"/>
      <c r="AM52" s="39"/>
      <c r="AN52" s="39">
        <f t="shared" si="4"/>
        <v>0</v>
      </c>
      <c r="AO52" s="39" t="s">
        <v>280</v>
      </c>
      <c r="AP52" s="117">
        <v>46227</v>
      </c>
      <c r="AQ52" s="39">
        <v>257</v>
      </c>
      <c r="AR52" s="117">
        <v>46228</v>
      </c>
      <c r="AS52" s="39">
        <v>258</v>
      </c>
      <c r="AT52" s="39">
        <f t="shared" si="5"/>
        <v>1</v>
      </c>
      <c r="AU52" s="39" t="s">
        <v>257</v>
      </c>
      <c r="AV52" s="117">
        <v>46228</v>
      </c>
      <c r="AW52" s="39">
        <v>258</v>
      </c>
      <c r="AX52" s="117">
        <v>46229</v>
      </c>
      <c r="AY52" s="39">
        <v>252</v>
      </c>
      <c r="AZ52" s="39">
        <f t="shared" si="6"/>
        <v>-6</v>
      </c>
      <c r="BA52" s="39"/>
      <c r="BB52" s="39"/>
      <c r="BC52" s="39"/>
      <c r="BD52" s="39"/>
      <c r="BE52" s="39"/>
      <c r="BF52" s="39">
        <f t="shared" si="7"/>
        <v>0</v>
      </c>
      <c r="BG52" s="39"/>
      <c r="BH52" s="39"/>
      <c r="BI52" s="39"/>
      <c r="BJ52" s="39"/>
      <c r="BK52" s="39"/>
      <c r="BL52" s="39">
        <f t="shared" si="8"/>
        <v>0</v>
      </c>
      <c r="BM52" s="54" t="str">
        <f t="shared" si="9"/>
        <v/>
      </c>
      <c r="BN52" s="58">
        <v>46181</v>
      </c>
      <c r="BO52" s="57">
        <v>46197</v>
      </c>
      <c r="BP52" s="36"/>
      <c r="BQ52" s="36"/>
      <c r="BR52" s="230"/>
      <c r="BS52" s="230"/>
      <c r="BT52" s="39">
        <v>1919</v>
      </c>
      <c r="BU52" s="39">
        <v>240</v>
      </c>
      <c r="BV52" s="39">
        <v>1907</v>
      </c>
      <c r="BW52" s="39">
        <v>59</v>
      </c>
      <c r="BX52" s="39">
        <v>1907</v>
      </c>
      <c r="BY52" s="39">
        <v>39</v>
      </c>
      <c r="BZ52" s="39">
        <f t="shared" si="10"/>
        <v>338</v>
      </c>
      <c r="CA52" s="39">
        <f t="shared" si="11"/>
        <v>1</v>
      </c>
      <c r="CB52" s="39">
        <f t="shared" si="12"/>
        <v>9</v>
      </c>
      <c r="CC52" s="39">
        <f t="shared" si="13"/>
        <v>3</v>
      </c>
      <c r="CD52" s="39">
        <f t="shared" si="14"/>
        <v>0</v>
      </c>
      <c r="CE52" s="102">
        <f t="shared" si="15"/>
        <v>0</v>
      </c>
      <c r="CF52" s="36"/>
      <c r="CG52" s="39" t="s">
        <v>258</v>
      </c>
      <c r="CH52" s="39"/>
      <c r="CI52" s="25">
        <v>1</v>
      </c>
    </row>
    <row r="53" spans="1:87" ht="24.75" customHeight="1">
      <c r="A53" s="36" t="s">
        <v>50</v>
      </c>
      <c r="B53" s="26">
        <v>47540</v>
      </c>
      <c r="C53" s="227">
        <v>13234338</v>
      </c>
      <c r="D53" s="36" t="s">
        <v>45</v>
      </c>
      <c r="E53" s="39">
        <v>240</v>
      </c>
      <c r="F53" s="39" t="s">
        <v>58</v>
      </c>
      <c r="G53" s="36" t="s">
        <v>635</v>
      </c>
      <c r="H53" s="36" t="s">
        <v>396</v>
      </c>
      <c r="I53" s="39">
        <v>127</v>
      </c>
      <c r="J53" s="39">
        <v>43</v>
      </c>
      <c r="K53" s="39">
        <v>7</v>
      </c>
      <c r="L53" s="39">
        <f t="shared" si="0"/>
        <v>177</v>
      </c>
      <c r="M53" s="117">
        <v>46154</v>
      </c>
      <c r="N53" s="117">
        <v>46160</v>
      </c>
      <c r="O53" s="39"/>
      <c r="P53" s="39"/>
      <c r="Q53" s="39"/>
      <c r="R53" s="39">
        <f t="shared" si="1"/>
        <v>0</v>
      </c>
      <c r="S53" s="39" t="s">
        <v>590</v>
      </c>
      <c r="T53" s="39"/>
      <c r="U53" s="39"/>
      <c r="V53" s="117">
        <v>46179</v>
      </c>
      <c r="W53" s="39">
        <f>157+50+9</f>
        <v>216</v>
      </c>
      <c r="X53" s="117">
        <v>46205</v>
      </c>
      <c r="Y53" s="39">
        <v>141</v>
      </c>
      <c r="Z53" s="39">
        <v>47</v>
      </c>
      <c r="AA53" s="39">
        <v>8</v>
      </c>
      <c r="AB53" s="119">
        <f t="shared" si="2"/>
        <v>196</v>
      </c>
      <c r="AC53" s="39"/>
      <c r="AD53" s="39"/>
      <c r="AE53" s="39"/>
      <c r="AF53" s="39"/>
      <c r="AG53" s="39"/>
      <c r="AH53" s="39">
        <f t="shared" si="3"/>
        <v>0</v>
      </c>
      <c r="AI53" s="39"/>
      <c r="AJ53" s="39"/>
      <c r="AK53" s="39"/>
      <c r="AL53" s="39"/>
      <c r="AM53" s="39"/>
      <c r="AN53" s="39">
        <f t="shared" si="4"/>
        <v>0</v>
      </c>
      <c r="AO53" s="39" t="s">
        <v>280</v>
      </c>
      <c r="AP53" s="117">
        <v>46216</v>
      </c>
      <c r="AQ53" s="39">
        <v>142</v>
      </c>
      <c r="AR53" s="117">
        <v>46217</v>
      </c>
      <c r="AS53" s="39">
        <v>140</v>
      </c>
      <c r="AT53" s="39">
        <f t="shared" si="5"/>
        <v>-2</v>
      </c>
      <c r="AU53" s="39" t="s">
        <v>257</v>
      </c>
      <c r="AV53" s="117">
        <v>46217</v>
      </c>
      <c r="AW53" s="39">
        <v>140</v>
      </c>
      <c r="AX53" s="117">
        <v>46218</v>
      </c>
      <c r="AY53" s="39">
        <v>137</v>
      </c>
      <c r="AZ53" s="39">
        <f t="shared" si="6"/>
        <v>-3</v>
      </c>
      <c r="BA53" s="39"/>
      <c r="BB53" s="39"/>
      <c r="BC53" s="39"/>
      <c r="BD53" s="39"/>
      <c r="BE53" s="39"/>
      <c r="BF53" s="39">
        <f t="shared" si="7"/>
        <v>0</v>
      </c>
      <c r="BG53" s="39"/>
      <c r="BH53" s="39"/>
      <c r="BI53" s="39"/>
      <c r="BJ53" s="39"/>
      <c r="BK53" s="39"/>
      <c r="BL53" s="39">
        <f t="shared" si="8"/>
        <v>0</v>
      </c>
      <c r="BM53" s="54" t="str">
        <f t="shared" si="9"/>
        <v/>
      </c>
      <c r="BN53" s="58">
        <v>46179</v>
      </c>
      <c r="BO53" s="57">
        <v>46193</v>
      </c>
      <c r="BP53" s="57"/>
      <c r="BQ53" s="57"/>
      <c r="BR53" s="229">
        <v>46212</v>
      </c>
      <c r="BS53" s="229">
        <v>46233</v>
      </c>
      <c r="BT53" s="39" t="s">
        <v>1854</v>
      </c>
      <c r="BU53" s="39">
        <f>83+48</f>
        <v>131</v>
      </c>
      <c r="BV53" s="39">
        <v>1786</v>
      </c>
      <c r="BW53" s="39">
        <v>47</v>
      </c>
      <c r="BX53" s="39">
        <v>1786</v>
      </c>
      <c r="BY53" s="39">
        <v>8</v>
      </c>
      <c r="BZ53" s="39">
        <f t="shared" si="10"/>
        <v>186</v>
      </c>
      <c r="CA53" s="39">
        <f t="shared" si="11"/>
        <v>4</v>
      </c>
      <c r="CB53" s="39">
        <f t="shared" si="12"/>
        <v>4</v>
      </c>
      <c r="CC53" s="39">
        <f t="shared" si="13"/>
        <v>1</v>
      </c>
      <c r="CD53" s="39">
        <f t="shared" si="14"/>
        <v>0</v>
      </c>
      <c r="CE53" s="102">
        <f t="shared" si="15"/>
        <v>0</v>
      </c>
      <c r="CF53" s="36"/>
      <c r="CG53" s="39" t="s">
        <v>258</v>
      </c>
      <c r="CH53" s="39" t="s">
        <v>560</v>
      </c>
      <c r="CI53" s="25">
        <v>1</v>
      </c>
    </row>
    <row r="54" spans="1:87" ht="24.75" customHeight="1">
      <c r="A54" s="36" t="s">
        <v>50</v>
      </c>
      <c r="B54" s="26">
        <v>47540</v>
      </c>
      <c r="C54" s="231"/>
      <c r="D54" s="36" t="s">
        <v>83</v>
      </c>
      <c r="E54" s="39">
        <v>240</v>
      </c>
      <c r="F54" s="39" t="s">
        <v>58</v>
      </c>
      <c r="G54" s="36" t="s">
        <v>1244</v>
      </c>
      <c r="H54" s="36" t="s">
        <v>396</v>
      </c>
      <c r="I54" s="39">
        <v>152</v>
      </c>
      <c r="J54" s="39">
        <v>52</v>
      </c>
      <c r="K54" s="39">
        <v>8</v>
      </c>
      <c r="L54" s="39">
        <f t="shared" si="0"/>
        <v>212</v>
      </c>
      <c r="M54" s="117">
        <v>46154</v>
      </c>
      <c r="N54" s="117">
        <v>46160</v>
      </c>
      <c r="O54" s="39"/>
      <c r="P54" s="39"/>
      <c r="Q54" s="39"/>
      <c r="R54" s="39">
        <f t="shared" si="1"/>
        <v>0</v>
      </c>
      <c r="S54" s="39" t="s">
        <v>130</v>
      </c>
      <c r="T54" s="39">
        <v>107687</v>
      </c>
      <c r="U54" s="117">
        <v>46214</v>
      </c>
      <c r="V54" s="39"/>
      <c r="W54" s="39"/>
      <c r="X54" s="39"/>
      <c r="Y54" s="39">
        <v>188</v>
      </c>
      <c r="Z54" s="39">
        <v>66</v>
      </c>
      <c r="AA54" s="39">
        <v>10</v>
      </c>
      <c r="AB54" s="119">
        <f t="shared" si="2"/>
        <v>264</v>
      </c>
      <c r="AC54" s="39" t="s">
        <v>269</v>
      </c>
      <c r="AD54" s="117">
        <v>46223</v>
      </c>
      <c r="AE54" s="39">
        <v>156</v>
      </c>
      <c r="AF54" s="117">
        <v>46227</v>
      </c>
      <c r="AG54" s="39">
        <v>153</v>
      </c>
      <c r="AH54" s="39">
        <f t="shared" si="3"/>
        <v>-3</v>
      </c>
      <c r="AI54" s="39"/>
      <c r="AJ54" s="39"/>
      <c r="AK54" s="39"/>
      <c r="AL54" s="39"/>
      <c r="AM54" s="39"/>
      <c r="AN54" s="39">
        <f t="shared" si="4"/>
        <v>0</v>
      </c>
      <c r="AO54" s="39" t="s">
        <v>280</v>
      </c>
      <c r="AP54" s="117">
        <v>46213</v>
      </c>
      <c r="AQ54" s="39">
        <v>179</v>
      </c>
      <c r="AR54" s="117">
        <v>46216</v>
      </c>
      <c r="AS54" s="39">
        <v>181</v>
      </c>
      <c r="AT54" s="39">
        <f t="shared" si="5"/>
        <v>2</v>
      </c>
      <c r="AU54" s="39" t="s">
        <v>274</v>
      </c>
      <c r="AV54" s="117" t="s">
        <v>1947</v>
      </c>
      <c r="AW54" s="39">
        <f>181+166</f>
        <v>347</v>
      </c>
      <c r="AX54" s="117" t="s">
        <v>1949</v>
      </c>
      <c r="AY54" s="39">
        <f>177+162</f>
        <v>339</v>
      </c>
      <c r="AZ54" s="39">
        <f t="shared" si="6"/>
        <v>-8</v>
      </c>
      <c r="BA54" s="39"/>
      <c r="BB54" s="39"/>
      <c r="BC54" s="39"/>
      <c r="BD54" s="39"/>
      <c r="BE54" s="39"/>
      <c r="BF54" s="39">
        <f t="shared" si="7"/>
        <v>0</v>
      </c>
      <c r="BG54" s="39"/>
      <c r="BH54" s="39"/>
      <c r="BI54" s="39"/>
      <c r="BJ54" s="39"/>
      <c r="BK54" s="39"/>
      <c r="BL54" s="39">
        <f t="shared" si="8"/>
        <v>0</v>
      </c>
      <c r="BM54" s="54" t="str">
        <f t="shared" si="9"/>
        <v/>
      </c>
      <c r="BN54" s="58">
        <v>46179</v>
      </c>
      <c r="BO54" s="57">
        <v>46193</v>
      </c>
      <c r="BP54" s="57">
        <v>46195</v>
      </c>
      <c r="BQ54" s="57">
        <v>46200</v>
      </c>
      <c r="BR54" s="232"/>
      <c r="BS54" s="232"/>
      <c r="BT54" s="39">
        <v>1919</v>
      </c>
      <c r="BU54" s="39">
        <v>158</v>
      </c>
      <c r="BV54" s="39">
        <v>1844</v>
      </c>
      <c r="BW54" s="39">
        <v>63</v>
      </c>
      <c r="BX54" s="39">
        <v>1844</v>
      </c>
      <c r="BY54" s="39">
        <v>9</v>
      </c>
      <c r="BZ54" s="39">
        <f t="shared" si="10"/>
        <v>230</v>
      </c>
      <c r="CA54" s="39">
        <f t="shared" si="11"/>
        <v>6</v>
      </c>
      <c r="CB54" s="39">
        <f t="shared" si="12"/>
        <v>11</v>
      </c>
      <c r="CC54" s="39">
        <f t="shared" si="13"/>
        <v>1</v>
      </c>
      <c r="CD54" s="39">
        <f t="shared" si="14"/>
        <v>0</v>
      </c>
      <c r="CE54" s="102">
        <f t="shared" si="15"/>
        <v>0</v>
      </c>
      <c r="CF54" s="36"/>
      <c r="CG54" s="39" t="s">
        <v>258</v>
      </c>
      <c r="CH54" s="39"/>
      <c r="CI54" s="25">
        <v>1</v>
      </c>
    </row>
    <row r="55" spans="1:87" ht="24.75" customHeight="1">
      <c r="A55" s="36" t="s">
        <v>50</v>
      </c>
      <c r="B55" s="26">
        <v>47540</v>
      </c>
      <c r="C55" s="228"/>
      <c r="D55" s="36" t="s">
        <v>45</v>
      </c>
      <c r="E55" s="39">
        <v>240</v>
      </c>
      <c r="F55" s="39" t="s">
        <v>58</v>
      </c>
      <c r="G55" s="36" t="s">
        <v>634</v>
      </c>
      <c r="H55" s="36" t="s">
        <v>396</v>
      </c>
      <c r="I55" s="39">
        <v>146</v>
      </c>
      <c r="J55" s="39">
        <v>50</v>
      </c>
      <c r="K55" s="39">
        <v>8</v>
      </c>
      <c r="L55" s="39">
        <f t="shared" si="0"/>
        <v>204</v>
      </c>
      <c r="M55" s="117">
        <v>46154</v>
      </c>
      <c r="N55" s="117">
        <v>46160</v>
      </c>
      <c r="O55" s="39"/>
      <c r="P55" s="39"/>
      <c r="Q55" s="39"/>
      <c r="R55" s="39">
        <f t="shared" si="1"/>
        <v>0</v>
      </c>
      <c r="S55" s="39" t="s">
        <v>326</v>
      </c>
      <c r="T55" s="39"/>
      <c r="U55" s="39"/>
      <c r="V55" s="117">
        <v>46182</v>
      </c>
      <c r="W55" s="39">
        <f>182+60+10</f>
        <v>252</v>
      </c>
      <c r="X55" s="117" t="s">
        <v>1468</v>
      </c>
      <c r="Y55" s="39">
        <v>160</v>
      </c>
      <c r="Z55" s="39">
        <v>57</v>
      </c>
      <c r="AA55" s="39">
        <v>9</v>
      </c>
      <c r="AB55" s="119">
        <f t="shared" si="2"/>
        <v>226</v>
      </c>
      <c r="AC55" s="39"/>
      <c r="AD55" s="39"/>
      <c r="AE55" s="39"/>
      <c r="AF55" s="39"/>
      <c r="AG55" s="39"/>
      <c r="AH55" s="39">
        <f t="shared" si="3"/>
        <v>0</v>
      </c>
      <c r="AI55" s="39"/>
      <c r="AJ55" s="39"/>
      <c r="AK55" s="39"/>
      <c r="AL55" s="39"/>
      <c r="AM55" s="39"/>
      <c r="AN55" s="39">
        <f t="shared" si="4"/>
        <v>0</v>
      </c>
      <c r="AO55" s="39"/>
      <c r="AP55" s="39"/>
      <c r="AQ55" s="39"/>
      <c r="AR55" s="39"/>
      <c r="AS55" s="39"/>
      <c r="AT55" s="39">
        <f t="shared" si="5"/>
        <v>0</v>
      </c>
      <c r="AU55" s="39"/>
      <c r="AV55" s="39"/>
      <c r="AW55" s="39"/>
      <c r="AX55" s="39"/>
      <c r="AY55" s="39"/>
      <c r="AZ55" s="39">
        <f t="shared" si="6"/>
        <v>0</v>
      </c>
      <c r="BA55" s="39"/>
      <c r="BB55" s="39"/>
      <c r="BC55" s="39"/>
      <c r="BD55" s="39"/>
      <c r="BE55" s="39"/>
      <c r="BF55" s="39">
        <f t="shared" si="7"/>
        <v>0</v>
      </c>
      <c r="BG55" s="39"/>
      <c r="BH55" s="39"/>
      <c r="BI55" s="39"/>
      <c r="BJ55" s="39"/>
      <c r="BK55" s="39"/>
      <c r="BL55" s="39">
        <f t="shared" si="8"/>
        <v>0</v>
      </c>
      <c r="BM55" s="54" t="str">
        <f t="shared" si="9"/>
        <v/>
      </c>
      <c r="BN55" s="58">
        <v>46179</v>
      </c>
      <c r="BO55" s="57">
        <v>46193</v>
      </c>
      <c r="BP55" s="57"/>
      <c r="BQ55" s="57"/>
      <c r="BR55" s="230"/>
      <c r="BS55" s="230"/>
      <c r="BT55" s="39">
        <v>1525</v>
      </c>
      <c r="BU55" s="39">
        <v>160</v>
      </c>
      <c r="BV55" s="39">
        <v>1772</v>
      </c>
      <c r="BW55" s="39">
        <v>57</v>
      </c>
      <c r="BX55" s="39">
        <v>1525</v>
      </c>
      <c r="BY55" s="39">
        <v>9</v>
      </c>
      <c r="BZ55" s="39">
        <f t="shared" si="10"/>
        <v>226</v>
      </c>
      <c r="CA55" s="39">
        <f t="shared" si="11"/>
        <v>14</v>
      </c>
      <c r="CB55" s="39">
        <f t="shared" si="12"/>
        <v>7</v>
      </c>
      <c r="CC55" s="39">
        <f t="shared" si="13"/>
        <v>1</v>
      </c>
      <c r="CD55" s="39">
        <f t="shared" si="14"/>
        <v>0</v>
      </c>
      <c r="CE55" s="102">
        <f t="shared" si="15"/>
        <v>0</v>
      </c>
      <c r="CF55" s="36"/>
      <c r="CG55" s="39" t="s">
        <v>258</v>
      </c>
      <c r="CH55" s="39"/>
      <c r="CI55" s="25">
        <v>1</v>
      </c>
    </row>
    <row r="56" spans="1:87" ht="24.75" customHeight="1">
      <c r="A56" s="36" t="s">
        <v>50</v>
      </c>
      <c r="B56" s="26">
        <v>47530</v>
      </c>
      <c r="C56" s="227">
        <v>13250549</v>
      </c>
      <c r="D56" s="36" t="s">
        <v>45</v>
      </c>
      <c r="E56" s="39">
        <v>240</v>
      </c>
      <c r="F56" s="39" t="s">
        <v>53</v>
      </c>
      <c r="G56" s="36" t="s">
        <v>491</v>
      </c>
      <c r="H56" s="39" t="s">
        <v>25</v>
      </c>
      <c r="I56" s="39">
        <v>190</v>
      </c>
      <c r="J56" s="39">
        <v>43</v>
      </c>
      <c r="K56" s="39"/>
      <c r="L56" s="39">
        <f t="shared" si="0"/>
        <v>233</v>
      </c>
      <c r="M56" s="117">
        <v>46152</v>
      </c>
      <c r="N56" s="117">
        <v>46158</v>
      </c>
      <c r="O56" s="39"/>
      <c r="P56" s="39"/>
      <c r="Q56" s="39"/>
      <c r="R56" s="39">
        <f t="shared" si="1"/>
        <v>0</v>
      </c>
      <c r="S56" s="39" t="s">
        <v>270</v>
      </c>
      <c r="T56" s="39"/>
      <c r="U56" s="39"/>
      <c r="V56" s="117">
        <v>46162</v>
      </c>
      <c r="W56" s="39">
        <f>230+50</f>
        <v>280</v>
      </c>
      <c r="X56" s="117" t="s">
        <v>1160</v>
      </c>
      <c r="Y56" s="39">
        <v>212</v>
      </c>
      <c r="Z56" s="39">
        <v>46</v>
      </c>
      <c r="AA56" s="39"/>
      <c r="AB56" s="119">
        <f t="shared" si="2"/>
        <v>258</v>
      </c>
      <c r="AC56" s="39"/>
      <c r="AD56" s="39"/>
      <c r="AE56" s="39"/>
      <c r="AF56" s="39"/>
      <c r="AG56" s="39"/>
      <c r="AH56" s="39">
        <f t="shared" si="3"/>
        <v>0</v>
      </c>
      <c r="AI56" s="39"/>
      <c r="AJ56" s="39"/>
      <c r="AK56" s="39"/>
      <c r="AL56" s="39"/>
      <c r="AM56" s="39"/>
      <c r="AN56" s="39">
        <f t="shared" si="4"/>
        <v>0</v>
      </c>
      <c r="AO56" s="39" t="s">
        <v>257</v>
      </c>
      <c r="AP56" s="117">
        <v>46186</v>
      </c>
      <c r="AQ56" s="39">
        <v>212</v>
      </c>
      <c r="AR56" s="117">
        <v>46188</v>
      </c>
      <c r="AS56" s="39">
        <v>204</v>
      </c>
      <c r="AT56" s="39">
        <f t="shared" si="5"/>
        <v>-8</v>
      </c>
      <c r="AU56" s="39" t="s">
        <v>257</v>
      </c>
      <c r="AV56" s="117">
        <v>46186</v>
      </c>
      <c r="AW56" s="39">
        <v>212</v>
      </c>
      <c r="AX56" s="117">
        <v>46188</v>
      </c>
      <c r="AY56" s="39">
        <v>204</v>
      </c>
      <c r="AZ56" s="39">
        <f t="shared" si="6"/>
        <v>-8</v>
      </c>
      <c r="BA56" s="39"/>
      <c r="BB56" s="39"/>
      <c r="BC56" s="39"/>
      <c r="BD56" s="39"/>
      <c r="BE56" s="39"/>
      <c r="BF56" s="39">
        <f t="shared" si="7"/>
        <v>0</v>
      </c>
      <c r="BG56" s="39"/>
      <c r="BH56" s="39"/>
      <c r="BI56" s="39"/>
      <c r="BJ56" s="39"/>
      <c r="BK56" s="39"/>
      <c r="BL56" s="39">
        <f t="shared" si="8"/>
        <v>0</v>
      </c>
      <c r="BM56" s="54" t="str">
        <f t="shared" si="9"/>
        <v/>
      </c>
      <c r="BN56" s="58">
        <v>46179</v>
      </c>
      <c r="BO56" s="57">
        <v>46191</v>
      </c>
      <c r="BP56" s="36"/>
      <c r="BQ56" s="36"/>
      <c r="BR56" s="229">
        <v>46192</v>
      </c>
      <c r="BS56" s="229">
        <v>46216</v>
      </c>
      <c r="BT56" s="39">
        <v>2101</v>
      </c>
      <c r="BU56" s="39">
        <v>198</v>
      </c>
      <c r="BV56" s="39">
        <v>1512</v>
      </c>
      <c r="BW56" s="39">
        <v>46</v>
      </c>
      <c r="BX56" s="39"/>
      <c r="BY56" s="39"/>
      <c r="BZ56" s="39">
        <f t="shared" si="10"/>
        <v>244</v>
      </c>
      <c r="CA56" s="39">
        <f t="shared" si="11"/>
        <v>8</v>
      </c>
      <c r="CB56" s="39">
        <f t="shared" si="12"/>
        <v>3</v>
      </c>
      <c r="CC56" s="39">
        <f t="shared" si="13"/>
        <v>0</v>
      </c>
      <c r="CD56" s="39">
        <f t="shared" si="14"/>
        <v>0</v>
      </c>
      <c r="CE56" s="102">
        <f t="shared" si="15"/>
        <v>0</v>
      </c>
      <c r="CF56" s="36"/>
      <c r="CG56" s="39" t="s">
        <v>258</v>
      </c>
      <c r="CH56" s="39"/>
      <c r="CI56" s="25">
        <v>1</v>
      </c>
    </row>
    <row r="57" spans="1:87" ht="24.75" customHeight="1">
      <c r="A57" s="36" t="s">
        <v>50</v>
      </c>
      <c r="B57" s="26">
        <v>47530</v>
      </c>
      <c r="C57" s="231"/>
      <c r="D57" s="36" t="s">
        <v>45</v>
      </c>
      <c r="E57" s="39">
        <v>240</v>
      </c>
      <c r="F57" s="39" t="s">
        <v>53</v>
      </c>
      <c r="G57" s="36" t="s">
        <v>368</v>
      </c>
      <c r="H57" s="39" t="s">
        <v>25</v>
      </c>
      <c r="I57" s="39">
        <v>176</v>
      </c>
      <c r="J57" s="39">
        <v>40</v>
      </c>
      <c r="K57" s="39"/>
      <c r="L57" s="39">
        <f t="shared" si="0"/>
        <v>216</v>
      </c>
      <c r="M57" s="117">
        <v>46152</v>
      </c>
      <c r="N57" s="117">
        <v>46158</v>
      </c>
      <c r="O57" s="39"/>
      <c r="P57" s="39"/>
      <c r="Q57" s="39"/>
      <c r="R57" s="39">
        <f t="shared" si="1"/>
        <v>0</v>
      </c>
      <c r="S57" s="39" t="s">
        <v>31</v>
      </c>
      <c r="T57" s="39"/>
      <c r="U57" s="39"/>
      <c r="V57" s="117">
        <v>46193</v>
      </c>
      <c r="W57" s="39">
        <f>216+50</f>
        <v>266</v>
      </c>
      <c r="X57" s="117">
        <v>46198</v>
      </c>
      <c r="Y57" s="39">
        <v>199</v>
      </c>
      <c r="Z57" s="39">
        <v>45</v>
      </c>
      <c r="AA57" s="39"/>
      <c r="AB57" s="119">
        <f t="shared" si="2"/>
        <v>244</v>
      </c>
      <c r="AC57" s="39"/>
      <c r="AD57" s="39"/>
      <c r="AE57" s="39"/>
      <c r="AF57" s="39"/>
      <c r="AG57" s="39"/>
      <c r="AH57" s="39">
        <f t="shared" si="3"/>
        <v>0</v>
      </c>
      <c r="AI57" s="39"/>
      <c r="AJ57" s="39"/>
      <c r="AK57" s="39"/>
      <c r="AL57" s="39"/>
      <c r="AM57" s="39"/>
      <c r="AN57" s="39">
        <f t="shared" si="4"/>
        <v>0</v>
      </c>
      <c r="AO57" s="39" t="s">
        <v>257</v>
      </c>
      <c r="AP57" s="117">
        <v>46203</v>
      </c>
      <c r="AQ57" s="39">
        <v>201</v>
      </c>
      <c r="AR57" s="117">
        <v>46203</v>
      </c>
      <c r="AS57" s="39">
        <v>193</v>
      </c>
      <c r="AT57" s="39">
        <f t="shared" si="5"/>
        <v>-8</v>
      </c>
      <c r="AU57" s="39" t="s">
        <v>257</v>
      </c>
      <c r="AV57" s="117">
        <v>46203</v>
      </c>
      <c r="AW57" s="39">
        <v>201</v>
      </c>
      <c r="AX57" s="117">
        <v>46203</v>
      </c>
      <c r="AY57" s="39">
        <v>193</v>
      </c>
      <c r="AZ57" s="39">
        <f t="shared" si="6"/>
        <v>-8</v>
      </c>
      <c r="BA57" s="39"/>
      <c r="BB57" s="39"/>
      <c r="BC57" s="39"/>
      <c r="BD57" s="39"/>
      <c r="BE57" s="39"/>
      <c r="BF57" s="39">
        <f t="shared" si="7"/>
        <v>0</v>
      </c>
      <c r="BG57" s="39"/>
      <c r="BH57" s="39"/>
      <c r="BI57" s="39"/>
      <c r="BJ57" s="39"/>
      <c r="BK57" s="39"/>
      <c r="BL57" s="39">
        <f t="shared" si="8"/>
        <v>0</v>
      </c>
      <c r="BM57" s="54" t="str">
        <f t="shared" si="9"/>
        <v/>
      </c>
      <c r="BN57" s="58">
        <v>46179</v>
      </c>
      <c r="BO57" s="57">
        <v>46191</v>
      </c>
      <c r="BP57" s="36"/>
      <c r="BQ57" s="36"/>
      <c r="BR57" s="232"/>
      <c r="BS57" s="232"/>
      <c r="BT57" s="39">
        <v>2013</v>
      </c>
      <c r="BU57" s="39">
        <v>188</v>
      </c>
      <c r="BV57" s="39">
        <v>2022</v>
      </c>
      <c r="BW57" s="39">
        <v>44</v>
      </c>
      <c r="BX57" s="39"/>
      <c r="BY57" s="39"/>
      <c r="BZ57" s="39">
        <f t="shared" si="10"/>
        <v>232</v>
      </c>
      <c r="CA57" s="39">
        <f t="shared" si="11"/>
        <v>12</v>
      </c>
      <c r="CB57" s="39">
        <f t="shared" si="12"/>
        <v>4</v>
      </c>
      <c r="CC57" s="39">
        <f t="shared" si="13"/>
        <v>0</v>
      </c>
      <c r="CD57" s="39">
        <f t="shared" si="14"/>
        <v>0</v>
      </c>
      <c r="CE57" s="102">
        <f t="shared" si="15"/>
        <v>0</v>
      </c>
      <c r="CF57" s="36"/>
      <c r="CG57" s="39" t="s">
        <v>258</v>
      </c>
      <c r="CH57" s="39"/>
      <c r="CI57" s="25">
        <v>1</v>
      </c>
    </row>
    <row r="58" spans="1:87" ht="24.75" customHeight="1">
      <c r="A58" s="36" t="s">
        <v>50</v>
      </c>
      <c r="B58" s="26">
        <v>47530</v>
      </c>
      <c r="C58" s="231"/>
      <c r="D58" s="36" t="s">
        <v>45</v>
      </c>
      <c r="E58" s="39">
        <v>240</v>
      </c>
      <c r="F58" s="39" t="s">
        <v>53</v>
      </c>
      <c r="G58" s="36" t="s">
        <v>35</v>
      </c>
      <c r="H58" s="39" t="s">
        <v>25</v>
      </c>
      <c r="I58" s="39">
        <v>180</v>
      </c>
      <c r="J58" s="39">
        <v>41</v>
      </c>
      <c r="K58" s="39"/>
      <c r="L58" s="39">
        <f t="shared" si="0"/>
        <v>221</v>
      </c>
      <c r="M58" s="117">
        <v>46152</v>
      </c>
      <c r="N58" s="117">
        <v>46158</v>
      </c>
      <c r="O58" s="39"/>
      <c r="P58" s="39"/>
      <c r="Q58" s="39"/>
      <c r="R58" s="39">
        <f t="shared" si="1"/>
        <v>0</v>
      </c>
      <c r="S58" s="39" t="s">
        <v>326</v>
      </c>
      <c r="T58" s="39"/>
      <c r="U58" s="39"/>
      <c r="V58" s="117">
        <v>46162</v>
      </c>
      <c r="W58" s="39">
        <f>218+48</f>
        <v>266</v>
      </c>
      <c r="X58" s="117">
        <v>46192</v>
      </c>
      <c r="Y58" s="39">
        <v>188</v>
      </c>
      <c r="Z58" s="39">
        <v>43</v>
      </c>
      <c r="AA58" s="39"/>
      <c r="AB58" s="119">
        <f t="shared" si="2"/>
        <v>231</v>
      </c>
      <c r="AC58" s="39"/>
      <c r="AD58" s="39"/>
      <c r="AE58" s="39"/>
      <c r="AF58" s="39"/>
      <c r="AG58" s="39"/>
      <c r="AH58" s="39">
        <f t="shared" si="3"/>
        <v>0</v>
      </c>
      <c r="AI58" s="39"/>
      <c r="AJ58" s="39"/>
      <c r="AK58" s="39"/>
      <c r="AL58" s="39"/>
      <c r="AM58" s="39"/>
      <c r="AN58" s="39">
        <f t="shared" si="4"/>
        <v>0</v>
      </c>
      <c r="AO58" s="39"/>
      <c r="AP58" s="39"/>
      <c r="AQ58" s="39"/>
      <c r="AR58" s="39"/>
      <c r="AS58" s="39"/>
      <c r="AT58" s="39">
        <f t="shared" si="5"/>
        <v>0</v>
      </c>
      <c r="AU58" s="39"/>
      <c r="AV58" s="39"/>
      <c r="AW58" s="39"/>
      <c r="AX58" s="39"/>
      <c r="AY58" s="39"/>
      <c r="AZ58" s="39">
        <f t="shared" si="6"/>
        <v>0</v>
      </c>
      <c r="BA58" s="39"/>
      <c r="BB58" s="39"/>
      <c r="BC58" s="39"/>
      <c r="BD58" s="39"/>
      <c r="BE58" s="39"/>
      <c r="BF58" s="39">
        <f t="shared" si="7"/>
        <v>0</v>
      </c>
      <c r="BG58" s="39"/>
      <c r="BH58" s="39"/>
      <c r="BI58" s="39"/>
      <c r="BJ58" s="39"/>
      <c r="BK58" s="39"/>
      <c r="BL58" s="39">
        <f t="shared" si="8"/>
        <v>0</v>
      </c>
      <c r="BM58" s="54" t="str">
        <f t="shared" si="9"/>
        <v/>
      </c>
      <c r="BN58" s="58">
        <v>46179</v>
      </c>
      <c r="BO58" s="57">
        <v>46191</v>
      </c>
      <c r="BP58" s="36"/>
      <c r="BQ58" s="36"/>
      <c r="BR58" s="232"/>
      <c r="BS58" s="232"/>
      <c r="BT58" s="39">
        <v>1755</v>
      </c>
      <c r="BU58" s="39">
        <v>188</v>
      </c>
      <c r="BV58" s="39">
        <v>1755</v>
      </c>
      <c r="BW58" s="39">
        <v>43</v>
      </c>
      <c r="BX58" s="39"/>
      <c r="BY58" s="39"/>
      <c r="BZ58" s="39">
        <f t="shared" si="10"/>
        <v>231</v>
      </c>
      <c r="CA58" s="39">
        <f t="shared" si="11"/>
        <v>8</v>
      </c>
      <c r="CB58" s="39">
        <f t="shared" si="12"/>
        <v>2</v>
      </c>
      <c r="CC58" s="39">
        <f t="shared" si="13"/>
        <v>0</v>
      </c>
      <c r="CD58" s="39">
        <f t="shared" si="14"/>
        <v>0</v>
      </c>
      <c r="CE58" s="102">
        <f t="shared" si="15"/>
        <v>0</v>
      </c>
      <c r="CF58" s="36"/>
      <c r="CG58" s="39" t="s">
        <v>258</v>
      </c>
      <c r="CH58" s="39"/>
      <c r="CI58" s="25">
        <v>1</v>
      </c>
    </row>
    <row r="59" spans="1:87" ht="24.75" customHeight="1">
      <c r="A59" s="36" t="s">
        <v>50</v>
      </c>
      <c r="B59" s="26">
        <v>47530</v>
      </c>
      <c r="C59" s="228"/>
      <c r="D59" s="36"/>
      <c r="E59" s="39"/>
      <c r="F59" s="39"/>
      <c r="G59" s="36" t="s">
        <v>205</v>
      </c>
      <c r="H59" s="39">
        <f>460+430+450</f>
        <v>1340</v>
      </c>
      <c r="I59" s="39" t="s">
        <v>90</v>
      </c>
      <c r="J59" s="39"/>
      <c r="K59" s="39"/>
      <c r="L59" s="39">
        <f t="shared" si="0"/>
        <v>0</v>
      </c>
      <c r="M59" s="117">
        <v>46152</v>
      </c>
      <c r="N59" s="117">
        <v>46158</v>
      </c>
      <c r="O59" s="39"/>
      <c r="P59" s="39"/>
      <c r="Q59" s="39"/>
      <c r="R59" s="39">
        <f t="shared" si="1"/>
        <v>0</v>
      </c>
      <c r="S59" s="39" t="s">
        <v>130</v>
      </c>
      <c r="T59" s="39"/>
      <c r="U59" s="39"/>
      <c r="V59" s="117">
        <v>46162</v>
      </c>
      <c r="W59" s="39">
        <f>5+6+4</f>
        <v>15</v>
      </c>
      <c r="X59" s="117" t="s">
        <v>1242</v>
      </c>
      <c r="Y59" s="39">
        <f>6+3.5+5</f>
        <v>14.5</v>
      </c>
      <c r="Z59" s="39"/>
      <c r="AA59" s="39"/>
      <c r="AB59" s="39">
        <f t="shared" si="2"/>
        <v>14.5</v>
      </c>
      <c r="AC59" s="39"/>
      <c r="AD59" s="39"/>
      <c r="AE59" s="39"/>
      <c r="AF59" s="39"/>
      <c r="AG59" s="39"/>
      <c r="AH59" s="39">
        <f t="shared" si="3"/>
        <v>0</v>
      </c>
      <c r="AI59" s="39"/>
      <c r="AJ59" s="39"/>
      <c r="AK59" s="39"/>
      <c r="AL59" s="39"/>
      <c r="AM59" s="39"/>
      <c r="AN59" s="39">
        <f t="shared" si="4"/>
        <v>0</v>
      </c>
      <c r="AO59" s="39"/>
      <c r="AP59" s="39"/>
      <c r="AQ59" s="39"/>
      <c r="AR59" s="39"/>
      <c r="AS59" s="39"/>
      <c r="AT59" s="39">
        <f t="shared" si="5"/>
        <v>0</v>
      </c>
      <c r="AU59" s="39"/>
      <c r="AV59" s="39"/>
      <c r="AW59" s="39"/>
      <c r="AX59" s="39"/>
      <c r="AY59" s="39"/>
      <c r="AZ59" s="39">
        <f t="shared" si="6"/>
        <v>0</v>
      </c>
      <c r="BA59" s="39"/>
      <c r="BB59" s="39"/>
      <c r="BC59" s="39"/>
      <c r="BD59" s="39"/>
      <c r="BE59" s="39"/>
      <c r="BF59" s="39">
        <f t="shared" si="7"/>
        <v>0</v>
      </c>
      <c r="BG59" s="39"/>
      <c r="BH59" s="39"/>
      <c r="BI59" s="39"/>
      <c r="BJ59" s="39"/>
      <c r="BK59" s="39"/>
      <c r="BL59" s="39">
        <f t="shared" si="8"/>
        <v>0</v>
      </c>
      <c r="BM59" s="54" t="e">
        <f t="shared" si="9"/>
        <v>#DIV/0!</v>
      </c>
      <c r="BN59" s="58">
        <v>46179</v>
      </c>
      <c r="BO59" s="57">
        <v>46191</v>
      </c>
      <c r="BP59" s="36"/>
      <c r="BQ59" s="36"/>
      <c r="BR59" s="230"/>
      <c r="BS59" s="230"/>
      <c r="BT59" s="39" t="s">
        <v>1546</v>
      </c>
      <c r="BU59" s="39"/>
      <c r="BV59" s="39"/>
      <c r="BW59" s="39"/>
      <c r="BX59" s="39"/>
      <c r="BY59" s="39"/>
      <c r="BZ59" s="39">
        <f t="shared" si="10"/>
        <v>0</v>
      </c>
      <c r="CA59" s="39" t="e">
        <f t="shared" si="11"/>
        <v>#VALUE!</v>
      </c>
      <c r="CB59" s="39">
        <f t="shared" si="12"/>
        <v>0</v>
      </c>
      <c r="CC59" s="39">
        <f t="shared" si="13"/>
        <v>0</v>
      </c>
      <c r="CD59" s="39">
        <f t="shared" si="14"/>
        <v>0</v>
      </c>
      <c r="CE59" s="102" t="e">
        <f t="shared" si="15"/>
        <v>#DIV/0!</v>
      </c>
      <c r="CF59" s="36"/>
      <c r="CG59" s="39" t="s">
        <v>258</v>
      </c>
      <c r="CH59" s="39"/>
      <c r="CI59" s="25">
        <v>1</v>
      </c>
    </row>
    <row r="60" spans="1:87" ht="24.75" customHeight="1">
      <c r="A60" s="36" t="s">
        <v>50</v>
      </c>
      <c r="B60" s="26">
        <v>47527</v>
      </c>
      <c r="C60" s="227">
        <v>13235163</v>
      </c>
      <c r="D60" s="36"/>
      <c r="E60" s="39">
        <v>200</v>
      </c>
      <c r="F60" s="39" t="s">
        <v>56</v>
      </c>
      <c r="G60" s="36" t="s">
        <v>605</v>
      </c>
      <c r="H60" s="39" t="s">
        <v>217</v>
      </c>
      <c r="I60" s="39">
        <v>110</v>
      </c>
      <c r="J60" s="39"/>
      <c r="K60" s="39"/>
      <c r="L60" s="39">
        <f t="shared" si="0"/>
        <v>110</v>
      </c>
      <c r="M60" s="117">
        <v>46162</v>
      </c>
      <c r="N60" s="117">
        <v>46148</v>
      </c>
      <c r="O60" s="39"/>
      <c r="P60" s="39"/>
      <c r="Q60" s="39"/>
      <c r="R60" s="39">
        <f t="shared" si="1"/>
        <v>0</v>
      </c>
      <c r="S60" s="39" t="s">
        <v>130</v>
      </c>
      <c r="T60" s="39">
        <v>107339</v>
      </c>
      <c r="U60" s="117">
        <v>46209</v>
      </c>
      <c r="V60" s="39"/>
      <c r="W60" s="39"/>
      <c r="X60" s="39"/>
      <c r="Y60" s="39">
        <v>136</v>
      </c>
      <c r="Z60" s="39"/>
      <c r="AA60" s="39"/>
      <c r="AB60" s="119">
        <f t="shared" si="2"/>
        <v>136</v>
      </c>
      <c r="AC60" s="39"/>
      <c r="AD60" s="39"/>
      <c r="AE60" s="39"/>
      <c r="AF60" s="39"/>
      <c r="AG60" s="39"/>
      <c r="AH60" s="39">
        <f t="shared" si="3"/>
        <v>0</v>
      </c>
      <c r="AI60" s="39"/>
      <c r="AJ60" s="39"/>
      <c r="AK60" s="39"/>
      <c r="AL60" s="39"/>
      <c r="AM60" s="39"/>
      <c r="AN60" s="39">
        <f t="shared" si="4"/>
        <v>0</v>
      </c>
      <c r="AO60" s="39"/>
      <c r="AP60" s="39"/>
      <c r="AQ60" s="39"/>
      <c r="AR60" s="39"/>
      <c r="AS60" s="39"/>
      <c r="AT60" s="39">
        <f t="shared" si="5"/>
        <v>0</v>
      </c>
      <c r="AU60" s="39"/>
      <c r="AV60" s="39"/>
      <c r="AW60" s="39"/>
      <c r="AX60" s="39"/>
      <c r="AY60" s="39"/>
      <c r="AZ60" s="39">
        <f t="shared" si="6"/>
        <v>0</v>
      </c>
      <c r="BA60" s="39"/>
      <c r="BB60" s="39"/>
      <c r="BC60" s="39"/>
      <c r="BD60" s="39"/>
      <c r="BE60" s="39"/>
      <c r="BF60" s="39">
        <f t="shared" si="7"/>
        <v>0</v>
      </c>
      <c r="BG60" s="39"/>
      <c r="BH60" s="39"/>
      <c r="BI60" s="39"/>
      <c r="BJ60" s="39"/>
      <c r="BK60" s="39"/>
      <c r="BL60" s="39">
        <f t="shared" si="8"/>
        <v>0</v>
      </c>
      <c r="BM60" s="54" t="str">
        <f t="shared" si="9"/>
        <v/>
      </c>
      <c r="BN60" s="58">
        <v>46182</v>
      </c>
      <c r="BO60" s="57">
        <v>46191</v>
      </c>
      <c r="BP60" s="57"/>
      <c r="BQ60" s="57"/>
      <c r="BR60" s="229">
        <v>46204</v>
      </c>
      <c r="BS60" s="229">
        <v>46211</v>
      </c>
      <c r="BT60" s="39">
        <v>1585</v>
      </c>
      <c r="BU60" s="39">
        <v>114</v>
      </c>
      <c r="BV60" s="39"/>
      <c r="BW60" s="39"/>
      <c r="BX60" s="39"/>
      <c r="BY60" s="39"/>
      <c r="BZ60" s="39">
        <f t="shared" si="10"/>
        <v>114</v>
      </c>
      <c r="CA60" s="39">
        <f t="shared" si="11"/>
        <v>4</v>
      </c>
      <c r="CB60" s="39">
        <f t="shared" si="12"/>
        <v>0</v>
      </c>
      <c r="CC60" s="39">
        <f t="shared" si="13"/>
        <v>0</v>
      </c>
      <c r="CD60" s="39">
        <f t="shared" si="14"/>
        <v>0</v>
      </c>
      <c r="CE60" s="102">
        <f t="shared" si="15"/>
        <v>0</v>
      </c>
      <c r="CF60" s="36"/>
      <c r="CG60" s="39" t="s">
        <v>258</v>
      </c>
      <c r="CH60" s="39"/>
      <c r="CI60" s="25">
        <v>1</v>
      </c>
    </row>
    <row r="61" spans="1:87" ht="24.75" customHeight="1">
      <c r="A61" s="36" t="s">
        <v>50</v>
      </c>
      <c r="B61" s="26">
        <v>47527</v>
      </c>
      <c r="C61" s="231"/>
      <c r="D61" s="36" t="s">
        <v>24</v>
      </c>
      <c r="E61" s="39">
        <v>200</v>
      </c>
      <c r="F61" s="39" t="s">
        <v>56</v>
      </c>
      <c r="G61" s="36" t="s">
        <v>627</v>
      </c>
      <c r="H61" s="39" t="s">
        <v>217</v>
      </c>
      <c r="I61" s="39">
        <v>192</v>
      </c>
      <c r="J61" s="39"/>
      <c r="K61" s="39"/>
      <c r="L61" s="39">
        <f t="shared" si="0"/>
        <v>192</v>
      </c>
      <c r="M61" s="117">
        <v>46162</v>
      </c>
      <c r="N61" s="117">
        <v>46148</v>
      </c>
      <c r="O61" s="39"/>
      <c r="P61" s="39"/>
      <c r="Q61" s="39"/>
      <c r="R61" s="39">
        <f t="shared" si="1"/>
        <v>0</v>
      </c>
      <c r="S61" s="39" t="s">
        <v>130</v>
      </c>
      <c r="T61" s="39">
        <v>107230</v>
      </c>
      <c r="U61" s="117">
        <v>46202</v>
      </c>
      <c r="V61" s="39"/>
      <c r="W61" s="39"/>
      <c r="X61" s="39"/>
      <c r="Y61" s="39">
        <v>216</v>
      </c>
      <c r="Z61" s="39"/>
      <c r="AA61" s="39"/>
      <c r="AB61" s="119">
        <f t="shared" si="2"/>
        <v>216</v>
      </c>
      <c r="AC61" s="39"/>
      <c r="AD61" s="39"/>
      <c r="AE61" s="39"/>
      <c r="AF61" s="39"/>
      <c r="AG61" s="39"/>
      <c r="AH61" s="39">
        <f t="shared" si="3"/>
        <v>0</v>
      </c>
      <c r="AI61" s="39"/>
      <c r="AJ61" s="39"/>
      <c r="AK61" s="39"/>
      <c r="AL61" s="39"/>
      <c r="AM61" s="39"/>
      <c r="AN61" s="39">
        <f t="shared" si="4"/>
        <v>0</v>
      </c>
      <c r="AO61" s="39"/>
      <c r="AP61" s="39"/>
      <c r="AQ61" s="39"/>
      <c r="AR61" s="39"/>
      <c r="AS61" s="39"/>
      <c r="AT61" s="39">
        <f t="shared" si="5"/>
        <v>0</v>
      </c>
      <c r="AU61" s="39"/>
      <c r="AV61" s="39"/>
      <c r="AW61" s="39"/>
      <c r="AX61" s="39"/>
      <c r="AY61" s="39"/>
      <c r="AZ61" s="39">
        <f t="shared" si="6"/>
        <v>0</v>
      </c>
      <c r="BA61" s="39"/>
      <c r="BB61" s="39"/>
      <c r="BC61" s="39"/>
      <c r="BD61" s="39"/>
      <c r="BE61" s="39"/>
      <c r="BF61" s="39">
        <f t="shared" si="7"/>
        <v>0</v>
      </c>
      <c r="BG61" s="39"/>
      <c r="BH61" s="39"/>
      <c r="BI61" s="39"/>
      <c r="BJ61" s="39"/>
      <c r="BK61" s="39"/>
      <c r="BL61" s="39">
        <f t="shared" si="8"/>
        <v>0</v>
      </c>
      <c r="BM61" s="54" t="str">
        <f t="shared" si="9"/>
        <v/>
      </c>
      <c r="BN61" s="58">
        <v>46182</v>
      </c>
      <c r="BO61" s="57">
        <v>46191</v>
      </c>
      <c r="BP61" s="57"/>
      <c r="BQ61" s="57"/>
      <c r="BR61" s="232"/>
      <c r="BS61" s="232"/>
      <c r="BT61" s="39">
        <v>2150</v>
      </c>
      <c r="BU61" s="39">
        <v>202</v>
      </c>
      <c r="BV61" s="39"/>
      <c r="BW61" s="39"/>
      <c r="BX61" s="39"/>
      <c r="BY61" s="39"/>
      <c r="BZ61" s="39">
        <f t="shared" si="10"/>
        <v>202</v>
      </c>
      <c r="CA61" s="39">
        <f t="shared" si="11"/>
        <v>10</v>
      </c>
      <c r="CB61" s="39">
        <f t="shared" si="12"/>
        <v>0</v>
      </c>
      <c r="CC61" s="39">
        <f t="shared" si="13"/>
        <v>0</v>
      </c>
      <c r="CD61" s="39">
        <f t="shared" si="14"/>
        <v>0</v>
      </c>
      <c r="CE61" s="102">
        <f t="shared" si="15"/>
        <v>0</v>
      </c>
      <c r="CF61" s="36"/>
      <c r="CG61" s="39" t="s">
        <v>258</v>
      </c>
      <c r="CH61" s="39"/>
      <c r="CI61" s="25">
        <v>1</v>
      </c>
    </row>
    <row r="62" spans="1:87" ht="24.75" customHeight="1">
      <c r="A62" s="36" t="s">
        <v>50</v>
      </c>
      <c r="B62" s="26">
        <v>47527</v>
      </c>
      <c r="C62" s="228"/>
      <c r="D62" s="36" t="s">
        <v>37</v>
      </c>
      <c r="E62" s="39">
        <v>200</v>
      </c>
      <c r="F62" s="39" t="s">
        <v>56</v>
      </c>
      <c r="G62" s="36" t="s">
        <v>615</v>
      </c>
      <c r="H62" s="39" t="s">
        <v>217</v>
      </c>
      <c r="I62" s="39">
        <v>181</v>
      </c>
      <c r="J62" s="39"/>
      <c r="K62" s="39"/>
      <c r="L62" s="39">
        <f t="shared" si="0"/>
        <v>181</v>
      </c>
      <c r="M62" s="117">
        <v>46162</v>
      </c>
      <c r="N62" s="117">
        <v>46148</v>
      </c>
      <c r="O62" s="39"/>
      <c r="P62" s="39"/>
      <c r="Q62" s="39"/>
      <c r="R62" s="39">
        <f t="shared" si="1"/>
        <v>0</v>
      </c>
      <c r="S62" s="39" t="s">
        <v>130</v>
      </c>
      <c r="T62" s="39">
        <v>107342</v>
      </c>
      <c r="U62" s="117">
        <v>46201</v>
      </c>
      <c r="V62" s="39"/>
      <c r="W62" s="39"/>
      <c r="X62" s="39"/>
      <c r="Y62" s="39">
        <v>218</v>
      </c>
      <c r="Z62" s="39"/>
      <c r="AA62" s="39"/>
      <c r="AB62" s="119">
        <f t="shared" si="2"/>
        <v>218</v>
      </c>
      <c r="AC62" s="39" t="s">
        <v>139</v>
      </c>
      <c r="AD62" s="117">
        <v>46203</v>
      </c>
      <c r="AE62" s="39">
        <v>187</v>
      </c>
      <c r="AF62" s="117">
        <v>46210</v>
      </c>
      <c r="AG62" s="39">
        <v>190</v>
      </c>
      <c r="AH62" s="39">
        <f t="shared" si="3"/>
        <v>3</v>
      </c>
      <c r="AI62" s="39"/>
      <c r="AJ62" s="39"/>
      <c r="AK62" s="39"/>
      <c r="AL62" s="39"/>
      <c r="AM62" s="39"/>
      <c r="AN62" s="39">
        <f t="shared" si="4"/>
        <v>0</v>
      </c>
      <c r="AO62" s="39"/>
      <c r="AP62" s="39"/>
      <c r="AQ62" s="39"/>
      <c r="AR62" s="39"/>
      <c r="AS62" s="39"/>
      <c r="AT62" s="39">
        <f t="shared" si="5"/>
        <v>0</v>
      </c>
      <c r="AU62" s="39"/>
      <c r="AV62" s="39"/>
      <c r="AW62" s="39"/>
      <c r="AX62" s="39"/>
      <c r="AY62" s="39"/>
      <c r="AZ62" s="39">
        <f t="shared" si="6"/>
        <v>0</v>
      </c>
      <c r="BA62" s="39"/>
      <c r="BB62" s="39"/>
      <c r="BC62" s="39"/>
      <c r="BD62" s="39"/>
      <c r="BE62" s="39"/>
      <c r="BF62" s="39">
        <f t="shared" si="7"/>
        <v>0</v>
      </c>
      <c r="BG62" s="39"/>
      <c r="BH62" s="39"/>
      <c r="BI62" s="39"/>
      <c r="BJ62" s="39"/>
      <c r="BK62" s="39"/>
      <c r="BL62" s="39">
        <f t="shared" si="8"/>
        <v>0</v>
      </c>
      <c r="BM62" s="54" t="str">
        <f t="shared" si="9"/>
        <v/>
      </c>
      <c r="BN62" s="58">
        <v>46182</v>
      </c>
      <c r="BO62" s="57">
        <v>46191</v>
      </c>
      <c r="BP62" s="57">
        <v>46193</v>
      </c>
      <c r="BQ62" s="57">
        <v>46198</v>
      </c>
      <c r="BR62" s="230"/>
      <c r="BS62" s="230"/>
      <c r="BT62" s="39">
        <v>2226</v>
      </c>
      <c r="BU62" s="39">
        <v>189</v>
      </c>
      <c r="BV62" s="39"/>
      <c r="BW62" s="39"/>
      <c r="BX62" s="39"/>
      <c r="BY62" s="39"/>
      <c r="BZ62" s="39">
        <f t="shared" si="10"/>
        <v>189</v>
      </c>
      <c r="CA62" s="39">
        <f t="shared" si="11"/>
        <v>8</v>
      </c>
      <c r="CB62" s="39">
        <f t="shared" si="12"/>
        <v>0</v>
      </c>
      <c r="CC62" s="39">
        <f t="shared" si="13"/>
        <v>0</v>
      </c>
      <c r="CD62" s="39">
        <f t="shared" si="14"/>
        <v>0</v>
      </c>
      <c r="CE62" s="102">
        <f t="shared" si="15"/>
        <v>0</v>
      </c>
      <c r="CF62" s="36"/>
      <c r="CG62" s="39" t="s">
        <v>258</v>
      </c>
      <c r="CH62" s="39"/>
      <c r="CI62" s="25">
        <v>1</v>
      </c>
    </row>
    <row r="63" spans="1:87" ht="24.75" customHeight="1">
      <c r="A63" s="36" t="s">
        <v>50</v>
      </c>
      <c r="B63" s="26">
        <v>47669</v>
      </c>
      <c r="C63" s="227">
        <v>13249975</v>
      </c>
      <c r="D63" s="36"/>
      <c r="E63" s="39">
        <v>320</v>
      </c>
      <c r="F63" s="39" t="s">
        <v>58</v>
      </c>
      <c r="G63" s="36" t="s">
        <v>368</v>
      </c>
      <c r="H63" s="36" t="s">
        <v>405</v>
      </c>
      <c r="I63" s="39">
        <v>367</v>
      </c>
      <c r="J63" s="39">
        <v>57</v>
      </c>
      <c r="K63" s="39">
        <v>5</v>
      </c>
      <c r="L63" s="39">
        <f t="shared" si="0"/>
        <v>429</v>
      </c>
      <c r="M63" s="117">
        <v>46155</v>
      </c>
      <c r="N63" s="117">
        <v>46167</v>
      </c>
      <c r="O63" s="39"/>
      <c r="P63" s="39"/>
      <c r="Q63" s="39"/>
      <c r="R63" s="39">
        <f t="shared" si="1"/>
        <v>0</v>
      </c>
      <c r="S63" s="39" t="s">
        <v>130</v>
      </c>
      <c r="T63" s="39">
        <v>107438</v>
      </c>
      <c r="U63" s="117">
        <v>46207</v>
      </c>
      <c r="V63" s="39"/>
      <c r="W63" s="39"/>
      <c r="X63" s="39"/>
      <c r="Y63" s="39">
        <v>402</v>
      </c>
      <c r="Z63" s="39">
        <v>69</v>
      </c>
      <c r="AA63" s="39">
        <v>7</v>
      </c>
      <c r="AB63" s="119">
        <f t="shared" si="2"/>
        <v>478</v>
      </c>
      <c r="AC63" s="39"/>
      <c r="AD63" s="39"/>
      <c r="AE63" s="39"/>
      <c r="AF63" s="39"/>
      <c r="AG63" s="39"/>
      <c r="AH63" s="39">
        <f t="shared" si="3"/>
        <v>0</v>
      </c>
      <c r="AI63" s="39"/>
      <c r="AJ63" s="39"/>
      <c r="AK63" s="39"/>
      <c r="AL63" s="39"/>
      <c r="AM63" s="39"/>
      <c r="AN63" s="39">
        <f t="shared" si="4"/>
        <v>0</v>
      </c>
      <c r="AO63" s="39"/>
      <c r="AP63" s="39"/>
      <c r="AQ63" s="39"/>
      <c r="AR63" s="39"/>
      <c r="AS63" s="39"/>
      <c r="AT63" s="39">
        <f t="shared" si="5"/>
        <v>0</v>
      </c>
      <c r="AU63" s="39"/>
      <c r="AV63" s="39"/>
      <c r="AW63" s="39"/>
      <c r="AX63" s="39"/>
      <c r="AY63" s="39"/>
      <c r="AZ63" s="39">
        <f t="shared" si="6"/>
        <v>0</v>
      </c>
      <c r="BA63" s="39"/>
      <c r="BB63" s="39"/>
      <c r="BC63" s="39"/>
      <c r="BD63" s="39"/>
      <c r="BE63" s="39"/>
      <c r="BF63" s="39">
        <f t="shared" si="7"/>
        <v>0</v>
      </c>
      <c r="BG63" s="39"/>
      <c r="BH63" s="39"/>
      <c r="BI63" s="39"/>
      <c r="BJ63" s="39"/>
      <c r="BK63" s="39"/>
      <c r="BL63" s="39">
        <f t="shared" si="8"/>
        <v>0</v>
      </c>
      <c r="BM63" s="54" t="str">
        <f t="shared" si="9"/>
        <v/>
      </c>
      <c r="BN63" s="58">
        <v>46183</v>
      </c>
      <c r="BO63" s="57">
        <v>46196</v>
      </c>
      <c r="BP63" s="36"/>
      <c r="BQ63" s="36"/>
      <c r="BR63" s="229">
        <v>46207</v>
      </c>
      <c r="BS63" s="229">
        <v>46211</v>
      </c>
      <c r="BT63" s="39">
        <v>1585</v>
      </c>
      <c r="BU63" s="39">
        <v>370</v>
      </c>
      <c r="BV63" s="39">
        <v>1585</v>
      </c>
      <c r="BW63" s="39">
        <v>63</v>
      </c>
      <c r="BX63" s="39">
        <v>1585</v>
      </c>
      <c r="BY63" s="39">
        <v>7</v>
      </c>
      <c r="BZ63" s="39">
        <f t="shared" si="10"/>
        <v>440</v>
      </c>
      <c r="CA63" s="39">
        <f t="shared" si="11"/>
        <v>3</v>
      </c>
      <c r="CB63" s="39">
        <f t="shared" si="12"/>
        <v>6</v>
      </c>
      <c r="CC63" s="39">
        <f t="shared" si="13"/>
        <v>2</v>
      </c>
      <c r="CD63" s="39">
        <f t="shared" si="14"/>
        <v>0</v>
      </c>
      <c r="CE63" s="102">
        <f t="shared" si="15"/>
        <v>0</v>
      </c>
      <c r="CF63" s="36" t="s">
        <v>293</v>
      </c>
      <c r="CG63" s="39" t="s">
        <v>227</v>
      </c>
      <c r="CH63" s="39"/>
      <c r="CI63" s="25">
        <v>1</v>
      </c>
    </row>
    <row r="64" spans="1:87" ht="24.75" customHeight="1">
      <c r="A64" s="36" t="s">
        <v>50</v>
      </c>
      <c r="B64" s="26">
        <v>47669</v>
      </c>
      <c r="C64" s="228"/>
      <c r="D64" s="36"/>
      <c r="E64" s="39">
        <v>320</v>
      </c>
      <c r="F64" s="39" t="s">
        <v>58</v>
      </c>
      <c r="G64" s="36" t="s">
        <v>310</v>
      </c>
      <c r="H64" s="36" t="s">
        <v>405</v>
      </c>
      <c r="I64" s="39">
        <v>370</v>
      </c>
      <c r="J64" s="39">
        <v>57</v>
      </c>
      <c r="K64" s="39">
        <v>5</v>
      </c>
      <c r="L64" s="39">
        <f t="shared" si="0"/>
        <v>432</v>
      </c>
      <c r="M64" s="117">
        <v>46155</v>
      </c>
      <c r="N64" s="117">
        <v>46167</v>
      </c>
      <c r="O64" s="39"/>
      <c r="P64" s="39"/>
      <c r="Q64" s="39"/>
      <c r="R64" s="39">
        <f t="shared" si="1"/>
        <v>0</v>
      </c>
      <c r="S64" s="39" t="s">
        <v>130</v>
      </c>
      <c r="T64" s="39">
        <v>107439</v>
      </c>
      <c r="U64" s="117">
        <v>46205</v>
      </c>
      <c r="V64" s="39"/>
      <c r="W64" s="39"/>
      <c r="X64" s="39"/>
      <c r="Y64" s="39">
        <v>397</v>
      </c>
      <c r="Z64" s="39">
        <v>66</v>
      </c>
      <c r="AA64" s="39">
        <v>7</v>
      </c>
      <c r="AB64" s="119">
        <f t="shared" si="2"/>
        <v>470</v>
      </c>
      <c r="AC64" s="39"/>
      <c r="AD64" s="39"/>
      <c r="AE64" s="39"/>
      <c r="AF64" s="39"/>
      <c r="AG64" s="39"/>
      <c r="AH64" s="39">
        <f t="shared" si="3"/>
        <v>0</v>
      </c>
      <c r="AI64" s="39"/>
      <c r="AJ64" s="39"/>
      <c r="AK64" s="39"/>
      <c r="AL64" s="39"/>
      <c r="AM64" s="39"/>
      <c r="AN64" s="39">
        <f t="shared" si="4"/>
        <v>0</v>
      </c>
      <c r="AO64" s="39"/>
      <c r="AP64" s="39"/>
      <c r="AQ64" s="39"/>
      <c r="AR64" s="39"/>
      <c r="AS64" s="39"/>
      <c r="AT64" s="39">
        <f t="shared" si="5"/>
        <v>0</v>
      </c>
      <c r="AU64" s="39"/>
      <c r="AV64" s="39"/>
      <c r="AW64" s="39"/>
      <c r="AX64" s="39"/>
      <c r="AY64" s="39"/>
      <c r="AZ64" s="39">
        <f t="shared" si="6"/>
        <v>0</v>
      </c>
      <c r="BA64" s="39"/>
      <c r="BB64" s="39"/>
      <c r="BC64" s="39"/>
      <c r="BD64" s="39"/>
      <c r="BE64" s="39"/>
      <c r="BF64" s="39">
        <f t="shared" si="7"/>
        <v>0</v>
      </c>
      <c r="BG64" s="39"/>
      <c r="BH64" s="39"/>
      <c r="BI64" s="39"/>
      <c r="BJ64" s="39"/>
      <c r="BK64" s="39"/>
      <c r="BL64" s="39">
        <f t="shared" si="8"/>
        <v>0</v>
      </c>
      <c r="BM64" s="54" t="str">
        <f t="shared" si="9"/>
        <v/>
      </c>
      <c r="BN64" s="58">
        <v>46183</v>
      </c>
      <c r="BO64" s="57">
        <v>46196</v>
      </c>
      <c r="BP64" s="36"/>
      <c r="BQ64" s="36"/>
      <c r="BR64" s="230"/>
      <c r="BS64" s="230"/>
      <c r="BT64" s="39">
        <v>2014</v>
      </c>
      <c r="BU64" s="39">
        <v>365</v>
      </c>
      <c r="BV64" s="39">
        <v>2014</v>
      </c>
      <c r="BW64" s="39">
        <v>60</v>
      </c>
      <c r="BX64" s="39">
        <v>2014</v>
      </c>
      <c r="BY64" s="39">
        <v>6</v>
      </c>
      <c r="BZ64" s="39">
        <f t="shared" si="10"/>
        <v>431</v>
      </c>
      <c r="CA64" s="39">
        <f t="shared" si="11"/>
        <v>-5</v>
      </c>
      <c r="CB64" s="39">
        <f t="shared" si="12"/>
        <v>3</v>
      </c>
      <c r="CC64" s="39">
        <f t="shared" si="13"/>
        <v>1</v>
      </c>
      <c r="CD64" s="39">
        <v>0</v>
      </c>
      <c r="CE64" s="102">
        <f t="shared" si="15"/>
        <v>0</v>
      </c>
      <c r="CF64" s="36" t="s">
        <v>293</v>
      </c>
      <c r="CG64" s="39" t="s">
        <v>227</v>
      </c>
      <c r="CH64" s="39"/>
      <c r="CI64" s="25">
        <v>1</v>
      </c>
    </row>
    <row r="65" spans="1:87" ht="24.75" customHeight="1">
      <c r="A65" s="36" t="s">
        <v>50</v>
      </c>
      <c r="B65" s="26">
        <v>47673</v>
      </c>
      <c r="C65" s="227">
        <v>13261493</v>
      </c>
      <c r="D65" s="36"/>
      <c r="E65" s="39">
        <v>180</v>
      </c>
      <c r="F65" s="39" t="s">
        <v>55</v>
      </c>
      <c r="G65" s="36" t="s">
        <v>612</v>
      </c>
      <c r="H65" s="36" t="s">
        <v>403</v>
      </c>
      <c r="I65" s="39">
        <v>101</v>
      </c>
      <c r="J65" s="39">
        <v>8</v>
      </c>
      <c r="K65" s="39"/>
      <c r="L65" s="39">
        <f t="shared" ref="L65" si="35">SUM(I65:K65)</f>
        <v>109</v>
      </c>
      <c r="M65" s="117">
        <v>46156</v>
      </c>
      <c r="N65" s="117">
        <v>46160</v>
      </c>
      <c r="O65" s="39"/>
      <c r="P65" s="39"/>
      <c r="Q65" s="39"/>
      <c r="R65" s="39">
        <f t="shared" si="1"/>
        <v>0</v>
      </c>
      <c r="S65" s="39" t="s">
        <v>130</v>
      </c>
      <c r="T65" s="39">
        <v>107087</v>
      </c>
      <c r="U65" s="117">
        <v>46199</v>
      </c>
      <c r="V65" s="39"/>
      <c r="W65" s="39"/>
      <c r="X65" s="39"/>
      <c r="Y65" s="39">
        <v>127</v>
      </c>
      <c r="Z65" s="39">
        <v>11</v>
      </c>
      <c r="AA65" s="39"/>
      <c r="AB65" s="119">
        <f t="shared" si="2"/>
        <v>138</v>
      </c>
      <c r="AC65" s="39"/>
      <c r="AD65" s="39"/>
      <c r="AE65" s="39"/>
      <c r="AF65" s="39"/>
      <c r="AG65" s="39"/>
      <c r="AH65" s="39">
        <f t="shared" si="3"/>
        <v>0</v>
      </c>
      <c r="AI65" s="39"/>
      <c r="AJ65" s="39"/>
      <c r="AK65" s="39"/>
      <c r="AL65" s="39"/>
      <c r="AM65" s="39"/>
      <c r="AN65" s="39">
        <f t="shared" si="4"/>
        <v>0</v>
      </c>
      <c r="AO65" s="39"/>
      <c r="AP65" s="39"/>
      <c r="AQ65" s="39"/>
      <c r="AR65" s="39"/>
      <c r="AS65" s="39"/>
      <c r="AT65" s="39">
        <f t="shared" si="5"/>
        <v>0</v>
      </c>
      <c r="AU65" s="39"/>
      <c r="AV65" s="39"/>
      <c r="AW65" s="39"/>
      <c r="AX65" s="39"/>
      <c r="AY65" s="39"/>
      <c r="AZ65" s="39">
        <f t="shared" si="6"/>
        <v>0</v>
      </c>
      <c r="BA65" s="39"/>
      <c r="BB65" s="39"/>
      <c r="BC65" s="39"/>
      <c r="BD65" s="39"/>
      <c r="BE65" s="39"/>
      <c r="BF65" s="39">
        <f t="shared" si="7"/>
        <v>0</v>
      </c>
      <c r="BG65" s="39"/>
      <c r="BH65" s="39"/>
      <c r="BI65" s="39"/>
      <c r="BJ65" s="39"/>
      <c r="BK65" s="39"/>
      <c r="BL65" s="39">
        <f t="shared" si="8"/>
        <v>0</v>
      </c>
      <c r="BM65" s="54" t="str">
        <f t="shared" si="9"/>
        <v/>
      </c>
      <c r="BN65" s="58">
        <v>46180</v>
      </c>
      <c r="BO65" s="57">
        <v>46191</v>
      </c>
      <c r="BP65" s="36"/>
      <c r="BQ65" s="36"/>
      <c r="BR65" s="229">
        <v>46203</v>
      </c>
      <c r="BS65" s="243"/>
      <c r="BT65" s="39">
        <v>2147</v>
      </c>
      <c r="BU65" s="39">
        <v>117</v>
      </c>
      <c r="BV65" s="39">
        <v>2147</v>
      </c>
      <c r="BW65" s="39">
        <v>10</v>
      </c>
      <c r="BX65" s="39"/>
      <c r="BY65" s="39"/>
      <c r="BZ65" s="39">
        <f t="shared" si="10"/>
        <v>127</v>
      </c>
      <c r="CA65" s="39">
        <f t="shared" si="11"/>
        <v>16</v>
      </c>
      <c r="CB65" s="39">
        <f t="shared" si="12"/>
        <v>2</v>
      </c>
      <c r="CC65" s="39">
        <f t="shared" si="13"/>
        <v>0</v>
      </c>
      <c r="CD65" s="39">
        <f t="shared" si="14"/>
        <v>0</v>
      </c>
      <c r="CE65" s="102">
        <f t="shared" si="15"/>
        <v>0</v>
      </c>
      <c r="CF65" s="36" t="s">
        <v>293</v>
      </c>
      <c r="CG65" s="39" t="s">
        <v>227</v>
      </c>
      <c r="CH65" s="39"/>
      <c r="CI65" s="25">
        <v>1</v>
      </c>
    </row>
    <row r="66" spans="1:87" ht="24.75" customHeight="1">
      <c r="A66" s="36" t="s">
        <v>50</v>
      </c>
      <c r="B66" s="26">
        <v>47673</v>
      </c>
      <c r="C66" s="228"/>
      <c r="D66" s="36"/>
      <c r="E66" s="39">
        <v>180</v>
      </c>
      <c r="F66" s="39" t="s">
        <v>55</v>
      </c>
      <c r="G66" s="36" t="s">
        <v>637</v>
      </c>
      <c r="H66" s="36" t="s">
        <v>403</v>
      </c>
      <c r="I66" s="39">
        <v>101</v>
      </c>
      <c r="J66" s="39">
        <v>8</v>
      </c>
      <c r="K66" s="39"/>
      <c r="L66" s="39">
        <f t="shared" ref="L66:L70" si="36">SUM(I66:K66)</f>
        <v>109</v>
      </c>
      <c r="M66" s="117">
        <v>46156</v>
      </c>
      <c r="N66" s="117">
        <v>46160</v>
      </c>
      <c r="O66" s="39"/>
      <c r="P66" s="39"/>
      <c r="Q66" s="39"/>
      <c r="R66" s="39">
        <f t="shared" si="1"/>
        <v>0</v>
      </c>
      <c r="S66" s="39" t="s">
        <v>28</v>
      </c>
      <c r="T66" s="39"/>
      <c r="U66" s="39"/>
      <c r="V66" s="117">
        <v>46190</v>
      </c>
      <c r="W66" s="39">
        <f>126+10</f>
        <v>136</v>
      </c>
      <c r="X66" s="117" t="s">
        <v>1532</v>
      </c>
      <c r="Y66" s="39">
        <v>107</v>
      </c>
      <c r="Z66" s="39">
        <v>9</v>
      </c>
      <c r="AA66" s="39"/>
      <c r="AB66" s="119">
        <f t="shared" si="2"/>
        <v>116</v>
      </c>
      <c r="AC66" s="39"/>
      <c r="AD66" s="39"/>
      <c r="AE66" s="39"/>
      <c r="AF66" s="39"/>
      <c r="AG66" s="39"/>
      <c r="AH66" s="39">
        <f t="shared" si="3"/>
        <v>0</v>
      </c>
      <c r="AI66" s="39"/>
      <c r="AJ66" s="39"/>
      <c r="AK66" s="39"/>
      <c r="AL66" s="39"/>
      <c r="AM66" s="39"/>
      <c r="AN66" s="39">
        <f t="shared" si="4"/>
        <v>0</v>
      </c>
      <c r="AO66" s="39"/>
      <c r="AP66" s="39"/>
      <c r="AQ66" s="39"/>
      <c r="AR66" s="39"/>
      <c r="AS66" s="39"/>
      <c r="AT66" s="39">
        <f t="shared" si="5"/>
        <v>0</v>
      </c>
      <c r="AU66" s="39"/>
      <c r="AV66" s="39"/>
      <c r="AW66" s="39"/>
      <c r="AX66" s="39"/>
      <c r="AY66" s="39"/>
      <c r="AZ66" s="39">
        <f t="shared" si="6"/>
        <v>0</v>
      </c>
      <c r="BA66" s="39"/>
      <c r="BB66" s="39"/>
      <c r="BC66" s="39"/>
      <c r="BD66" s="39"/>
      <c r="BE66" s="39"/>
      <c r="BF66" s="39">
        <f t="shared" si="7"/>
        <v>0</v>
      </c>
      <c r="BG66" s="39"/>
      <c r="BH66" s="39"/>
      <c r="BI66" s="39"/>
      <c r="BJ66" s="39"/>
      <c r="BK66" s="39"/>
      <c r="BL66" s="39">
        <f t="shared" si="8"/>
        <v>0</v>
      </c>
      <c r="BM66" s="54" t="str">
        <f t="shared" si="9"/>
        <v/>
      </c>
      <c r="BN66" s="58">
        <v>46180</v>
      </c>
      <c r="BO66" s="57">
        <v>46191</v>
      </c>
      <c r="BP66" s="36"/>
      <c r="BQ66" s="36"/>
      <c r="BR66" s="230"/>
      <c r="BS66" s="230"/>
      <c r="BT66" s="39">
        <v>1522</v>
      </c>
      <c r="BU66" s="39">
        <v>107</v>
      </c>
      <c r="BV66" s="39">
        <v>1528</v>
      </c>
      <c r="BW66" s="39">
        <v>9</v>
      </c>
      <c r="BX66" s="39"/>
      <c r="BY66" s="39"/>
      <c r="BZ66" s="39">
        <f t="shared" si="10"/>
        <v>116</v>
      </c>
      <c r="CA66" s="39">
        <f t="shared" si="11"/>
        <v>6</v>
      </c>
      <c r="CB66" s="39">
        <f t="shared" si="12"/>
        <v>1</v>
      </c>
      <c r="CC66" s="39">
        <f t="shared" si="13"/>
        <v>0</v>
      </c>
      <c r="CD66" s="39">
        <f t="shared" si="14"/>
        <v>0</v>
      </c>
      <c r="CE66" s="102">
        <f t="shared" si="15"/>
        <v>0</v>
      </c>
      <c r="CF66" s="36" t="s">
        <v>293</v>
      </c>
      <c r="CG66" s="39" t="s">
        <v>227</v>
      </c>
      <c r="CH66" s="39"/>
      <c r="CI66" s="25">
        <v>1</v>
      </c>
    </row>
    <row r="67" spans="1:87" ht="24.75" customHeight="1">
      <c r="A67" s="36" t="s">
        <v>50</v>
      </c>
      <c r="B67" s="142">
        <v>47675</v>
      </c>
      <c r="C67" s="227" t="s">
        <v>1003</v>
      </c>
      <c r="D67" s="36" t="s">
        <v>45</v>
      </c>
      <c r="E67" s="39">
        <v>280</v>
      </c>
      <c r="F67" s="39" t="s">
        <v>58</v>
      </c>
      <c r="G67" s="36" t="s">
        <v>637</v>
      </c>
      <c r="H67" s="36" t="s">
        <v>404</v>
      </c>
      <c r="I67" s="39">
        <v>454</v>
      </c>
      <c r="J67" s="39"/>
      <c r="K67" s="39"/>
      <c r="L67" s="39">
        <f t="shared" si="36"/>
        <v>454</v>
      </c>
      <c r="M67" s="117">
        <v>46154</v>
      </c>
      <c r="N67" s="117">
        <v>46162</v>
      </c>
      <c r="O67" s="39"/>
      <c r="P67" s="39"/>
      <c r="Q67" s="39"/>
      <c r="R67" s="39">
        <f t="shared" si="1"/>
        <v>0</v>
      </c>
      <c r="S67" s="39" t="s">
        <v>28</v>
      </c>
      <c r="T67" s="39"/>
      <c r="U67" s="39"/>
      <c r="V67" s="117">
        <v>46190</v>
      </c>
      <c r="W67" s="39">
        <v>531</v>
      </c>
      <c r="X67" s="117">
        <v>46203</v>
      </c>
      <c r="Y67" s="39">
        <v>488</v>
      </c>
      <c r="Z67" s="39"/>
      <c r="AA67" s="39"/>
      <c r="AB67" s="119">
        <f t="shared" si="2"/>
        <v>488</v>
      </c>
      <c r="AC67" s="39"/>
      <c r="AD67" s="39"/>
      <c r="AE67" s="39"/>
      <c r="AF67" s="39"/>
      <c r="AG67" s="39"/>
      <c r="AH67" s="39">
        <f t="shared" si="3"/>
        <v>0</v>
      </c>
      <c r="AI67" s="39"/>
      <c r="AJ67" s="39"/>
      <c r="AK67" s="39"/>
      <c r="AL67" s="39"/>
      <c r="AM67" s="39"/>
      <c r="AN67" s="39">
        <f t="shared" si="4"/>
        <v>0</v>
      </c>
      <c r="AO67" s="39" t="s">
        <v>280</v>
      </c>
      <c r="AP67" s="117">
        <v>46204</v>
      </c>
      <c r="AQ67" s="39">
        <v>489</v>
      </c>
      <c r="AR67" s="117">
        <v>46209</v>
      </c>
      <c r="AS67" s="39">
        <v>490</v>
      </c>
      <c r="AT67" s="39">
        <f t="shared" si="5"/>
        <v>1</v>
      </c>
      <c r="AU67" s="39" t="s">
        <v>257</v>
      </c>
      <c r="AV67" s="117">
        <v>46209</v>
      </c>
      <c r="AW67" s="39">
        <v>490</v>
      </c>
      <c r="AX67" s="117">
        <v>46210</v>
      </c>
      <c r="AY67" s="39">
        <v>482</v>
      </c>
      <c r="AZ67" s="39">
        <f t="shared" si="6"/>
        <v>-8</v>
      </c>
      <c r="BA67" s="39"/>
      <c r="BB67" s="39"/>
      <c r="BC67" s="39"/>
      <c r="BD67" s="39"/>
      <c r="BE67" s="39"/>
      <c r="BF67" s="39">
        <f t="shared" si="7"/>
        <v>0</v>
      </c>
      <c r="BG67" s="39"/>
      <c r="BH67" s="39"/>
      <c r="BI67" s="39"/>
      <c r="BJ67" s="39"/>
      <c r="BK67" s="39"/>
      <c r="BL67" s="39">
        <f t="shared" si="8"/>
        <v>0</v>
      </c>
      <c r="BM67" s="54" t="str">
        <f t="shared" si="9"/>
        <v/>
      </c>
      <c r="BN67" s="58">
        <v>46181</v>
      </c>
      <c r="BO67" s="57">
        <v>46196</v>
      </c>
      <c r="BP67" s="36"/>
      <c r="BQ67" s="36"/>
      <c r="BR67" s="229">
        <v>46214</v>
      </c>
      <c r="BS67" s="229">
        <v>46221</v>
      </c>
      <c r="BT67" s="39" t="s">
        <v>1606</v>
      </c>
      <c r="BU67" s="39">
        <f>431+28</f>
        <v>459</v>
      </c>
      <c r="BV67" s="39"/>
      <c r="BW67" s="39"/>
      <c r="BX67" s="39"/>
      <c r="BY67" s="39"/>
      <c r="BZ67" s="39">
        <f t="shared" si="10"/>
        <v>459</v>
      </c>
      <c r="CA67" s="39">
        <f t="shared" si="11"/>
        <v>5</v>
      </c>
      <c r="CB67" s="39">
        <f t="shared" si="12"/>
        <v>0</v>
      </c>
      <c r="CC67" s="39">
        <f t="shared" si="13"/>
        <v>0</v>
      </c>
      <c r="CD67" s="39">
        <f t="shared" si="14"/>
        <v>0</v>
      </c>
      <c r="CE67" s="102">
        <f t="shared" si="15"/>
        <v>0</v>
      </c>
      <c r="CF67" s="36" t="s">
        <v>293</v>
      </c>
      <c r="CG67" s="39" t="s">
        <v>227</v>
      </c>
      <c r="CH67" s="39" t="s">
        <v>561</v>
      </c>
      <c r="CI67" s="25">
        <v>1</v>
      </c>
    </row>
    <row r="68" spans="1:87" ht="24.75" customHeight="1">
      <c r="A68" s="36" t="s">
        <v>50</v>
      </c>
      <c r="B68" s="142">
        <v>47675</v>
      </c>
      <c r="C68" s="231"/>
      <c r="D68" s="36" t="s">
        <v>45</v>
      </c>
      <c r="E68" s="39">
        <v>280</v>
      </c>
      <c r="F68" s="39" t="s">
        <v>58</v>
      </c>
      <c r="G68" s="36" t="s">
        <v>35</v>
      </c>
      <c r="H68" s="36" t="s">
        <v>404</v>
      </c>
      <c r="I68" s="39">
        <v>436</v>
      </c>
      <c r="J68" s="39"/>
      <c r="K68" s="39"/>
      <c r="L68" s="39">
        <f t="shared" si="36"/>
        <v>436</v>
      </c>
      <c r="M68" s="117">
        <v>46154</v>
      </c>
      <c r="N68" s="117">
        <v>46162</v>
      </c>
      <c r="O68" s="39"/>
      <c r="P68" s="39"/>
      <c r="Q68" s="39"/>
      <c r="R68" s="39">
        <f t="shared" si="1"/>
        <v>0</v>
      </c>
      <c r="S68" s="39" t="s">
        <v>130</v>
      </c>
      <c r="T68" s="39" t="s">
        <v>1592</v>
      </c>
      <c r="U68" s="117" t="s">
        <v>1593</v>
      </c>
      <c r="V68" s="39"/>
      <c r="W68" s="39"/>
      <c r="X68" s="39"/>
      <c r="Y68" s="39">
        <f>351+137</f>
        <v>488</v>
      </c>
      <c r="Z68" s="39"/>
      <c r="AA68" s="39"/>
      <c r="AB68" s="119">
        <f t="shared" si="2"/>
        <v>488</v>
      </c>
      <c r="AC68" s="39"/>
      <c r="AD68" s="39"/>
      <c r="AE68" s="39"/>
      <c r="AF68" s="39"/>
      <c r="AG68" s="39"/>
      <c r="AH68" s="39">
        <f t="shared" si="3"/>
        <v>0</v>
      </c>
      <c r="AI68" s="39"/>
      <c r="AJ68" s="39"/>
      <c r="AK68" s="39"/>
      <c r="AL68" s="39"/>
      <c r="AM68" s="39"/>
      <c r="AN68" s="39">
        <f t="shared" si="4"/>
        <v>0</v>
      </c>
      <c r="AO68" s="39" t="s">
        <v>305</v>
      </c>
      <c r="AP68" s="117" t="s">
        <v>1625</v>
      </c>
      <c r="AQ68" s="39">
        <f>445+132</f>
        <v>577</v>
      </c>
      <c r="AR68" s="117" t="s">
        <v>1667</v>
      </c>
      <c r="AS68" s="39">
        <f>450+129</f>
        <v>579</v>
      </c>
      <c r="AT68" s="39">
        <f t="shared" si="5"/>
        <v>2</v>
      </c>
      <c r="AU68" s="39"/>
      <c r="AV68" s="39"/>
      <c r="AW68" s="39"/>
      <c r="AX68" s="39"/>
      <c r="AY68" s="39"/>
      <c r="AZ68" s="39">
        <f t="shared" si="6"/>
        <v>0</v>
      </c>
      <c r="BA68" s="39"/>
      <c r="BB68" s="39"/>
      <c r="BC68" s="39"/>
      <c r="BD68" s="39"/>
      <c r="BE68" s="39"/>
      <c r="BF68" s="39">
        <f t="shared" si="7"/>
        <v>0</v>
      </c>
      <c r="BG68" s="39"/>
      <c r="BH68" s="39"/>
      <c r="BI68" s="39"/>
      <c r="BJ68" s="39"/>
      <c r="BK68" s="39"/>
      <c r="BL68" s="39">
        <f t="shared" si="8"/>
        <v>0</v>
      </c>
      <c r="BM68" s="54" t="str">
        <f t="shared" si="9"/>
        <v/>
      </c>
      <c r="BN68" s="58">
        <v>46181</v>
      </c>
      <c r="BO68" s="57">
        <v>46196</v>
      </c>
      <c r="BP68" s="36"/>
      <c r="BQ68" s="36"/>
      <c r="BR68" s="232"/>
      <c r="BS68" s="232"/>
      <c r="BT68" s="39">
        <v>2030</v>
      </c>
      <c r="BU68" s="39">
        <f>318+72+133</f>
        <v>523</v>
      </c>
      <c r="BV68" s="39"/>
      <c r="BW68" s="39"/>
      <c r="BX68" s="39"/>
      <c r="BY68" s="39"/>
      <c r="BZ68" s="39">
        <f t="shared" si="10"/>
        <v>523</v>
      </c>
      <c r="CA68" s="39">
        <f t="shared" si="11"/>
        <v>87</v>
      </c>
      <c r="CB68" s="39">
        <f t="shared" si="12"/>
        <v>0</v>
      </c>
      <c r="CC68" s="39">
        <f t="shared" si="13"/>
        <v>0</v>
      </c>
      <c r="CD68" s="39">
        <f t="shared" si="14"/>
        <v>0</v>
      </c>
      <c r="CE68" s="102">
        <f t="shared" si="15"/>
        <v>0</v>
      </c>
      <c r="CF68" s="36" t="s">
        <v>293</v>
      </c>
      <c r="CG68" s="39" t="s">
        <v>227</v>
      </c>
      <c r="CH68" s="39"/>
      <c r="CI68" s="25">
        <v>1</v>
      </c>
    </row>
    <row r="69" spans="1:87" ht="24.75" customHeight="1">
      <c r="A69" s="36" t="s">
        <v>50</v>
      </c>
      <c r="B69" s="142">
        <v>47675</v>
      </c>
      <c r="C69" s="228"/>
      <c r="D69" s="36"/>
      <c r="E69" s="39"/>
      <c r="F69" s="39"/>
      <c r="G69" s="36" t="s">
        <v>319</v>
      </c>
      <c r="H69" s="36">
        <f>920+880</f>
        <v>1800</v>
      </c>
      <c r="I69" s="39" t="s">
        <v>90</v>
      </c>
      <c r="J69" s="39"/>
      <c r="K69" s="39"/>
      <c r="L69" s="39">
        <f t="shared" si="36"/>
        <v>0</v>
      </c>
      <c r="M69" s="117">
        <v>46154</v>
      </c>
      <c r="N69" s="117">
        <v>46162</v>
      </c>
      <c r="O69" s="39"/>
      <c r="P69" s="39"/>
      <c r="Q69" s="39"/>
      <c r="R69" s="39">
        <f t="shared" si="1"/>
        <v>0</v>
      </c>
      <c r="S69" s="39" t="s">
        <v>130</v>
      </c>
      <c r="T69" s="39"/>
      <c r="U69" s="39"/>
      <c r="V69" s="117">
        <v>46190</v>
      </c>
      <c r="W69" s="39">
        <v>8</v>
      </c>
      <c r="X69" s="117">
        <v>46203</v>
      </c>
      <c r="Y69" s="39">
        <f>8</f>
        <v>8</v>
      </c>
      <c r="Z69" s="39"/>
      <c r="AA69" s="39"/>
      <c r="AB69" s="39">
        <f t="shared" si="2"/>
        <v>8</v>
      </c>
      <c r="AC69" s="39"/>
      <c r="AD69" s="39"/>
      <c r="AE69" s="39"/>
      <c r="AF69" s="39"/>
      <c r="AG69" s="39"/>
      <c r="AH69" s="39">
        <f t="shared" si="3"/>
        <v>0</v>
      </c>
      <c r="AI69" s="39"/>
      <c r="AJ69" s="39"/>
      <c r="AK69" s="39"/>
      <c r="AL69" s="39"/>
      <c r="AM69" s="39"/>
      <c r="AN69" s="39">
        <f t="shared" si="4"/>
        <v>0</v>
      </c>
      <c r="AO69" s="39"/>
      <c r="AP69" s="39"/>
      <c r="AQ69" s="39"/>
      <c r="AR69" s="39"/>
      <c r="AS69" s="39"/>
      <c r="AT69" s="39">
        <f t="shared" si="5"/>
        <v>0</v>
      </c>
      <c r="AU69" s="39"/>
      <c r="AV69" s="39"/>
      <c r="AW69" s="39"/>
      <c r="AX69" s="39"/>
      <c r="AY69" s="39"/>
      <c r="AZ69" s="39">
        <f t="shared" si="6"/>
        <v>0</v>
      </c>
      <c r="BA69" s="39"/>
      <c r="BB69" s="39"/>
      <c r="BC69" s="39"/>
      <c r="BD69" s="39"/>
      <c r="BE69" s="39"/>
      <c r="BF69" s="39">
        <f t="shared" si="7"/>
        <v>0</v>
      </c>
      <c r="BG69" s="39"/>
      <c r="BH69" s="39"/>
      <c r="BI69" s="39"/>
      <c r="BJ69" s="39"/>
      <c r="BK69" s="39"/>
      <c r="BL69" s="39">
        <f t="shared" si="8"/>
        <v>0</v>
      </c>
      <c r="BM69" s="54" t="e">
        <f t="shared" si="9"/>
        <v>#DIV/0!</v>
      </c>
      <c r="BN69" s="58">
        <v>46181</v>
      </c>
      <c r="BO69" s="57">
        <v>46196</v>
      </c>
      <c r="BP69" s="36"/>
      <c r="BQ69" s="36"/>
      <c r="BR69" s="230"/>
      <c r="BS69" s="230"/>
      <c r="BT69" s="39" t="s">
        <v>1958</v>
      </c>
      <c r="BU69" s="39"/>
      <c r="BV69" s="39"/>
      <c r="BW69" s="39"/>
      <c r="BX69" s="39"/>
      <c r="BY69" s="39"/>
      <c r="BZ69" s="39">
        <f t="shared" si="10"/>
        <v>0</v>
      </c>
      <c r="CA69" s="39" t="e">
        <f t="shared" si="11"/>
        <v>#VALUE!</v>
      </c>
      <c r="CB69" s="39">
        <f t="shared" si="12"/>
        <v>0</v>
      </c>
      <c r="CC69" s="39">
        <f t="shared" si="13"/>
        <v>0</v>
      </c>
      <c r="CD69" s="39">
        <f t="shared" si="14"/>
        <v>0</v>
      </c>
      <c r="CE69" s="102" t="e">
        <f t="shared" si="15"/>
        <v>#DIV/0!</v>
      </c>
      <c r="CF69" s="36" t="s">
        <v>293</v>
      </c>
      <c r="CG69" s="39" t="s">
        <v>227</v>
      </c>
      <c r="CH69" s="39"/>
      <c r="CI69" s="25">
        <v>1</v>
      </c>
    </row>
    <row r="70" spans="1:87" ht="24.75" customHeight="1">
      <c r="A70" s="36" t="s">
        <v>50</v>
      </c>
      <c r="B70" s="26">
        <v>47676</v>
      </c>
      <c r="C70" s="227">
        <v>13261969</v>
      </c>
      <c r="D70" s="36" t="s">
        <v>45</v>
      </c>
      <c r="E70" s="39">
        <v>280</v>
      </c>
      <c r="F70" s="39" t="s">
        <v>58</v>
      </c>
      <c r="G70" s="36" t="s">
        <v>611</v>
      </c>
      <c r="H70" s="36" t="s">
        <v>406</v>
      </c>
      <c r="I70" s="39">
        <v>247</v>
      </c>
      <c r="J70" s="39">
        <v>64</v>
      </c>
      <c r="K70" s="39">
        <v>4</v>
      </c>
      <c r="L70" s="39">
        <f t="shared" si="36"/>
        <v>315</v>
      </c>
      <c r="M70" s="117">
        <v>46154</v>
      </c>
      <c r="N70" s="117">
        <v>46160</v>
      </c>
      <c r="O70" s="39"/>
      <c r="P70" s="39"/>
      <c r="Q70" s="39"/>
      <c r="R70" s="39">
        <f t="shared" si="1"/>
        <v>0</v>
      </c>
      <c r="S70" s="39" t="s">
        <v>28</v>
      </c>
      <c r="T70" s="39"/>
      <c r="U70" s="39"/>
      <c r="V70" s="117">
        <v>46200</v>
      </c>
      <c r="W70" s="39">
        <f>291+75+6</f>
        <v>372</v>
      </c>
      <c r="X70" s="117" t="s">
        <v>1535</v>
      </c>
      <c r="Y70" s="39">
        <v>266</v>
      </c>
      <c r="Z70" s="39">
        <v>72</v>
      </c>
      <c r="AA70" s="39">
        <v>6</v>
      </c>
      <c r="AB70" s="119">
        <f t="shared" si="2"/>
        <v>344</v>
      </c>
      <c r="AC70" s="39"/>
      <c r="AD70" s="39"/>
      <c r="AE70" s="39"/>
      <c r="AF70" s="39"/>
      <c r="AG70" s="39"/>
      <c r="AH70" s="39">
        <f t="shared" si="3"/>
        <v>0</v>
      </c>
      <c r="AI70" s="39"/>
      <c r="AJ70" s="39"/>
      <c r="AK70" s="39"/>
      <c r="AL70" s="39"/>
      <c r="AM70" s="39"/>
      <c r="AN70" s="39">
        <f t="shared" si="4"/>
        <v>0</v>
      </c>
      <c r="AO70" s="39" t="s">
        <v>257</v>
      </c>
      <c r="AP70" s="117">
        <v>46209</v>
      </c>
      <c r="AQ70" s="39">
        <v>268</v>
      </c>
      <c r="AR70" s="117">
        <v>46210</v>
      </c>
      <c r="AS70" s="39">
        <v>258</v>
      </c>
      <c r="AT70" s="39">
        <f t="shared" si="5"/>
        <v>-10</v>
      </c>
      <c r="AU70" s="39"/>
      <c r="AV70" s="39"/>
      <c r="AW70" s="39"/>
      <c r="AX70" s="39"/>
      <c r="AY70" s="39"/>
      <c r="AZ70" s="39">
        <f t="shared" si="6"/>
        <v>0</v>
      </c>
      <c r="BA70" s="39"/>
      <c r="BB70" s="39"/>
      <c r="BC70" s="39"/>
      <c r="BD70" s="39"/>
      <c r="BE70" s="39"/>
      <c r="BF70" s="39">
        <f t="shared" si="7"/>
        <v>0</v>
      </c>
      <c r="BG70" s="39"/>
      <c r="BH70" s="39"/>
      <c r="BI70" s="39"/>
      <c r="BJ70" s="39"/>
      <c r="BK70" s="39"/>
      <c r="BL70" s="39">
        <f t="shared" si="8"/>
        <v>0</v>
      </c>
      <c r="BM70" s="54" t="str">
        <f t="shared" si="9"/>
        <v/>
      </c>
      <c r="BN70" s="58">
        <v>46179</v>
      </c>
      <c r="BO70" s="57">
        <v>46191</v>
      </c>
      <c r="BP70" s="36"/>
      <c r="BQ70" s="36"/>
      <c r="BR70" s="229">
        <v>46212</v>
      </c>
      <c r="BS70" s="229">
        <v>46214</v>
      </c>
      <c r="BT70" s="39" t="s">
        <v>1514</v>
      </c>
      <c r="BU70" s="39">
        <f>196+51</f>
        <v>247</v>
      </c>
      <c r="BV70" s="39">
        <v>1528</v>
      </c>
      <c r="BW70" s="39">
        <v>72</v>
      </c>
      <c r="BX70" s="39">
        <v>1528</v>
      </c>
      <c r="BY70" s="39">
        <v>6</v>
      </c>
      <c r="BZ70" s="39">
        <f t="shared" si="10"/>
        <v>325</v>
      </c>
      <c r="CA70" s="39">
        <f t="shared" si="11"/>
        <v>0</v>
      </c>
      <c r="CB70" s="39">
        <f t="shared" si="12"/>
        <v>8</v>
      </c>
      <c r="CC70" s="39">
        <f t="shared" si="13"/>
        <v>2</v>
      </c>
      <c r="CD70" s="39">
        <f t="shared" si="14"/>
        <v>0</v>
      </c>
      <c r="CE70" s="102">
        <f t="shared" si="15"/>
        <v>0</v>
      </c>
      <c r="CF70" s="36" t="s">
        <v>293</v>
      </c>
      <c r="CG70" s="39" t="s">
        <v>227</v>
      </c>
      <c r="CH70" s="39" t="s">
        <v>561</v>
      </c>
      <c r="CI70" s="25">
        <v>1</v>
      </c>
    </row>
    <row r="71" spans="1:87" ht="24.75" customHeight="1">
      <c r="A71" s="36" t="s">
        <v>50</v>
      </c>
      <c r="B71" s="26">
        <v>47676</v>
      </c>
      <c r="C71" s="228"/>
      <c r="D71" s="36" t="s">
        <v>45</v>
      </c>
      <c r="E71" s="39">
        <v>280</v>
      </c>
      <c r="F71" s="39" t="s">
        <v>58</v>
      </c>
      <c r="G71" s="36" t="s">
        <v>35</v>
      </c>
      <c r="H71" s="36" t="s">
        <v>406</v>
      </c>
      <c r="I71" s="39">
        <v>239</v>
      </c>
      <c r="J71" s="39">
        <v>62</v>
      </c>
      <c r="K71" s="39">
        <v>3</v>
      </c>
      <c r="L71" s="39">
        <f t="shared" ref="L71" si="37">SUM(I71:K71)</f>
        <v>304</v>
      </c>
      <c r="M71" s="117">
        <v>46154</v>
      </c>
      <c r="N71" s="117">
        <v>46160</v>
      </c>
      <c r="O71" s="39"/>
      <c r="P71" s="39"/>
      <c r="Q71" s="39"/>
      <c r="R71" s="39">
        <f t="shared" si="1"/>
        <v>0</v>
      </c>
      <c r="S71" s="39" t="s">
        <v>28</v>
      </c>
      <c r="T71" s="39"/>
      <c r="U71" s="39"/>
      <c r="V71" s="117">
        <v>46200</v>
      </c>
      <c r="W71" s="39">
        <f>282+75+5</f>
        <v>362</v>
      </c>
      <c r="X71" s="117" t="s">
        <v>1536</v>
      </c>
      <c r="Y71" s="39">
        <v>274</v>
      </c>
      <c r="Z71" s="39">
        <v>69</v>
      </c>
      <c r="AA71" s="39">
        <v>4</v>
      </c>
      <c r="AB71" s="119">
        <f t="shared" si="2"/>
        <v>347</v>
      </c>
      <c r="AC71" s="39"/>
      <c r="AD71" s="39"/>
      <c r="AE71" s="39"/>
      <c r="AF71" s="39"/>
      <c r="AG71" s="39"/>
      <c r="AH71" s="39">
        <f t="shared" si="3"/>
        <v>0</v>
      </c>
      <c r="AI71" s="39"/>
      <c r="AJ71" s="39"/>
      <c r="AK71" s="39"/>
      <c r="AL71" s="39"/>
      <c r="AM71" s="39"/>
      <c r="AN71" s="39">
        <f t="shared" si="4"/>
        <v>0</v>
      </c>
      <c r="AO71" s="39" t="s">
        <v>280</v>
      </c>
      <c r="AP71" s="117">
        <v>46206</v>
      </c>
      <c r="AQ71" s="39">
        <v>274</v>
      </c>
      <c r="AR71" s="117">
        <v>46209</v>
      </c>
      <c r="AS71" s="39">
        <v>267</v>
      </c>
      <c r="AT71" s="39">
        <f t="shared" si="5"/>
        <v>-7</v>
      </c>
      <c r="AU71" s="39" t="s">
        <v>257</v>
      </c>
      <c r="AV71" s="117">
        <v>46209</v>
      </c>
      <c r="AW71" s="39">
        <v>267</v>
      </c>
      <c r="AX71" s="117">
        <v>46210</v>
      </c>
      <c r="AY71" s="39">
        <v>263</v>
      </c>
      <c r="AZ71" s="39">
        <f t="shared" si="6"/>
        <v>-4</v>
      </c>
      <c r="BA71" s="39"/>
      <c r="BB71" s="39"/>
      <c r="BC71" s="39"/>
      <c r="BD71" s="39"/>
      <c r="BE71" s="39"/>
      <c r="BF71" s="39">
        <f t="shared" si="7"/>
        <v>0</v>
      </c>
      <c r="BG71" s="39"/>
      <c r="BH71" s="39"/>
      <c r="BI71" s="39"/>
      <c r="BJ71" s="39"/>
      <c r="BK71" s="39"/>
      <c r="BL71" s="39">
        <f t="shared" si="8"/>
        <v>0</v>
      </c>
      <c r="BM71" s="54" t="str">
        <f t="shared" si="9"/>
        <v/>
      </c>
      <c r="BN71" s="58">
        <v>46179</v>
      </c>
      <c r="BO71" s="57">
        <v>46191</v>
      </c>
      <c r="BP71" s="36"/>
      <c r="BQ71" s="36"/>
      <c r="BR71" s="230"/>
      <c r="BS71" s="230"/>
      <c r="BT71" s="39">
        <v>1592</v>
      </c>
      <c r="BU71" s="39">
        <v>255</v>
      </c>
      <c r="BV71" s="39">
        <v>1528</v>
      </c>
      <c r="BW71" s="39">
        <v>69</v>
      </c>
      <c r="BX71" s="39">
        <v>1528</v>
      </c>
      <c r="BY71" s="39">
        <v>4</v>
      </c>
      <c r="BZ71" s="39">
        <f t="shared" si="10"/>
        <v>328</v>
      </c>
      <c r="CA71" s="39">
        <f t="shared" si="11"/>
        <v>16</v>
      </c>
      <c r="CB71" s="39">
        <f t="shared" si="12"/>
        <v>7</v>
      </c>
      <c r="CC71" s="39">
        <f t="shared" si="13"/>
        <v>1</v>
      </c>
      <c r="CD71" s="39">
        <f t="shared" si="14"/>
        <v>0</v>
      </c>
      <c r="CE71" s="102">
        <f t="shared" si="15"/>
        <v>0</v>
      </c>
      <c r="CF71" s="36" t="s">
        <v>293</v>
      </c>
      <c r="CG71" s="39" t="s">
        <v>227</v>
      </c>
      <c r="CH71" s="39"/>
      <c r="CI71" s="25">
        <v>1</v>
      </c>
    </row>
    <row r="72" spans="1:87" ht="24.75" customHeight="1">
      <c r="A72" s="36" t="s">
        <v>50</v>
      </c>
      <c r="B72" s="26">
        <v>47677</v>
      </c>
      <c r="C72" s="227" t="s">
        <v>639</v>
      </c>
      <c r="D72" s="36"/>
      <c r="E72" s="39">
        <v>160</v>
      </c>
      <c r="F72" s="39" t="s">
        <v>53</v>
      </c>
      <c r="G72" s="36" t="s">
        <v>611</v>
      </c>
      <c r="H72" s="36" t="s">
        <v>403</v>
      </c>
      <c r="I72" s="39">
        <v>145</v>
      </c>
      <c r="J72" s="39">
        <v>13</v>
      </c>
      <c r="K72" s="39"/>
      <c r="L72" s="39">
        <f t="shared" ref="L72:L79" si="38">SUM(I72:K72)</f>
        <v>158</v>
      </c>
      <c r="M72" s="117">
        <v>46154</v>
      </c>
      <c r="N72" s="117">
        <v>46160</v>
      </c>
      <c r="O72" s="39"/>
      <c r="P72" s="39"/>
      <c r="Q72" s="39"/>
      <c r="R72" s="39">
        <f t="shared" si="1"/>
        <v>0</v>
      </c>
      <c r="S72" s="39" t="s">
        <v>28</v>
      </c>
      <c r="T72" s="39"/>
      <c r="U72" s="39"/>
      <c r="V72" s="117">
        <v>46190</v>
      </c>
      <c r="W72" s="39">
        <f>180+16</f>
        <v>196</v>
      </c>
      <c r="X72" s="117">
        <v>46209</v>
      </c>
      <c r="Y72" s="39">
        <v>162</v>
      </c>
      <c r="Z72" s="39">
        <v>16</v>
      </c>
      <c r="AA72" s="39"/>
      <c r="AB72" s="119">
        <f t="shared" si="2"/>
        <v>178</v>
      </c>
      <c r="AC72" s="39"/>
      <c r="AD72" s="39"/>
      <c r="AE72" s="39"/>
      <c r="AF72" s="39"/>
      <c r="AG72" s="39"/>
      <c r="AH72" s="39">
        <f t="shared" si="3"/>
        <v>0</v>
      </c>
      <c r="AI72" s="39"/>
      <c r="AJ72" s="39"/>
      <c r="AK72" s="39"/>
      <c r="AL72" s="39"/>
      <c r="AM72" s="39"/>
      <c r="AN72" s="39">
        <f t="shared" si="4"/>
        <v>0</v>
      </c>
      <c r="AO72" s="39"/>
      <c r="AP72" s="39"/>
      <c r="AQ72" s="39"/>
      <c r="AR72" s="39"/>
      <c r="AS72" s="39"/>
      <c r="AT72" s="39">
        <f t="shared" si="5"/>
        <v>0</v>
      </c>
      <c r="AU72" s="39"/>
      <c r="AV72" s="39"/>
      <c r="AW72" s="39"/>
      <c r="AX72" s="39"/>
      <c r="AY72" s="39"/>
      <c r="AZ72" s="39">
        <f t="shared" si="6"/>
        <v>0</v>
      </c>
      <c r="BA72" s="39"/>
      <c r="BB72" s="39"/>
      <c r="BC72" s="39"/>
      <c r="BD72" s="39"/>
      <c r="BE72" s="39"/>
      <c r="BF72" s="39">
        <f t="shared" si="7"/>
        <v>0</v>
      </c>
      <c r="BG72" s="39"/>
      <c r="BH72" s="39"/>
      <c r="BI72" s="39"/>
      <c r="BJ72" s="39"/>
      <c r="BK72" s="39"/>
      <c r="BL72" s="39">
        <f t="shared" si="8"/>
        <v>0</v>
      </c>
      <c r="BM72" s="54" t="str">
        <f t="shared" si="9"/>
        <v/>
      </c>
      <c r="BN72" s="58">
        <v>46179</v>
      </c>
      <c r="BO72" s="57">
        <v>46190</v>
      </c>
      <c r="BP72" s="36"/>
      <c r="BQ72" s="36"/>
      <c r="BR72" s="229">
        <v>46190</v>
      </c>
      <c r="BS72" s="229">
        <v>46210</v>
      </c>
      <c r="BT72" s="39">
        <v>1524</v>
      </c>
      <c r="BU72" s="39">
        <v>162</v>
      </c>
      <c r="BV72" s="39">
        <v>1524</v>
      </c>
      <c r="BW72" s="39">
        <v>16</v>
      </c>
      <c r="BX72" s="39"/>
      <c r="BY72" s="39"/>
      <c r="BZ72" s="39">
        <f t="shared" si="10"/>
        <v>178</v>
      </c>
      <c r="CA72" s="39">
        <f t="shared" si="11"/>
        <v>17</v>
      </c>
      <c r="CB72" s="39">
        <f t="shared" si="12"/>
        <v>3</v>
      </c>
      <c r="CC72" s="39">
        <f t="shared" si="13"/>
        <v>0</v>
      </c>
      <c r="CD72" s="39">
        <f t="shared" si="14"/>
        <v>0</v>
      </c>
      <c r="CE72" s="102">
        <f t="shared" si="15"/>
        <v>0</v>
      </c>
      <c r="CF72" s="36" t="s">
        <v>293</v>
      </c>
      <c r="CG72" s="39" t="s">
        <v>227</v>
      </c>
      <c r="CH72" s="39"/>
      <c r="CI72" s="25">
        <v>1</v>
      </c>
    </row>
    <row r="73" spans="1:87" ht="24.75" customHeight="1">
      <c r="A73" s="36" t="s">
        <v>50</v>
      </c>
      <c r="B73" s="26">
        <v>47677</v>
      </c>
      <c r="C73" s="228"/>
      <c r="D73" s="36"/>
      <c r="E73" s="39">
        <v>160</v>
      </c>
      <c r="F73" s="39" t="s">
        <v>53</v>
      </c>
      <c r="G73" s="36" t="s">
        <v>491</v>
      </c>
      <c r="H73" s="36" t="s">
        <v>403</v>
      </c>
      <c r="I73" s="39">
        <v>153</v>
      </c>
      <c r="J73" s="39">
        <v>13</v>
      </c>
      <c r="K73" s="39"/>
      <c r="L73" s="39">
        <f t="shared" si="38"/>
        <v>166</v>
      </c>
      <c r="M73" s="117">
        <v>46154</v>
      </c>
      <c r="N73" s="117">
        <v>46160</v>
      </c>
      <c r="O73" s="39"/>
      <c r="P73" s="39"/>
      <c r="Q73" s="39"/>
      <c r="R73" s="39">
        <f t="shared" si="1"/>
        <v>0</v>
      </c>
      <c r="S73" s="39" t="s">
        <v>130</v>
      </c>
      <c r="T73" s="39">
        <v>106933</v>
      </c>
      <c r="U73" s="117">
        <v>46187</v>
      </c>
      <c r="V73" s="39"/>
      <c r="W73" s="39"/>
      <c r="X73" s="39"/>
      <c r="Y73" s="39">
        <v>189</v>
      </c>
      <c r="Z73" s="39">
        <v>16</v>
      </c>
      <c r="AA73" s="39"/>
      <c r="AB73" s="119">
        <f t="shared" si="2"/>
        <v>205</v>
      </c>
      <c r="AC73" s="39"/>
      <c r="AD73" s="39"/>
      <c r="AE73" s="39"/>
      <c r="AF73" s="39"/>
      <c r="AG73" s="39"/>
      <c r="AH73" s="39">
        <f t="shared" si="3"/>
        <v>0</v>
      </c>
      <c r="AI73" s="39"/>
      <c r="AJ73" s="39"/>
      <c r="AK73" s="39"/>
      <c r="AL73" s="39"/>
      <c r="AM73" s="39"/>
      <c r="AN73" s="39">
        <f t="shared" si="4"/>
        <v>0</v>
      </c>
      <c r="AO73" s="39"/>
      <c r="AP73" s="39"/>
      <c r="AQ73" s="39"/>
      <c r="AR73" s="39"/>
      <c r="AS73" s="39"/>
      <c r="AT73" s="39">
        <f t="shared" si="5"/>
        <v>0</v>
      </c>
      <c r="AU73" s="39"/>
      <c r="AV73" s="39"/>
      <c r="AW73" s="39"/>
      <c r="AX73" s="39"/>
      <c r="AY73" s="39"/>
      <c r="AZ73" s="39">
        <f t="shared" si="6"/>
        <v>0</v>
      </c>
      <c r="BA73" s="39"/>
      <c r="BB73" s="39"/>
      <c r="BC73" s="39"/>
      <c r="BD73" s="39"/>
      <c r="BE73" s="39"/>
      <c r="BF73" s="39">
        <f t="shared" si="7"/>
        <v>0</v>
      </c>
      <c r="BG73" s="39"/>
      <c r="BH73" s="39"/>
      <c r="BI73" s="39"/>
      <c r="BJ73" s="39"/>
      <c r="BK73" s="39"/>
      <c r="BL73" s="39">
        <f t="shared" si="8"/>
        <v>0</v>
      </c>
      <c r="BM73" s="54" t="str">
        <f t="shared" si="9"/>
        <v/>
      </c>
      <c r="BN73" s="58">
        <v>46179</v>
      </c>
      <c r="BO73" s="57">
        <v>46190</v>
      </c>
      <c r="BP73" s="36"/>
      <c r="BQ73" s="36"/>
      <c r="BR73" s="230"/>
      <c r="BS73" s="230"/>
      <c r="BT73" s="39" t="s">
        <v>1129</v>
      </c>
      <c r="BU73" s="39">
        <f>92+66</f>
        <v>158</v>
      </c>
      <c r="BV73" s="39">
        <v>1742</v>
      </c>
      <c r="BW73" s="39">
        <v>14</v>
      </c>
      <c r="BX73" s="39"/>
      <c r="BY73" s="39"/>
      <c r="BZ73" s="39">
        <f t="shared" si="10"/>
        <v>172</v>
      </c>
      <c r="CA73" s="39">
        <f t="shared" si="11"/>
        <v>5</v>
      </c>
      <c r="CB73" s="39">
        <f t="shared" si="12"/>
        <v>1</v>
      </c>
      <c r="CC73" s="39">
        <f t="shared" si="13"/>
        <v>0</v>
      </c>
      <c r="CD73" s="39">
        <f t="shared" si="14"/>
        <v>0</v>
      </c>
      <c r="CE73" s="102">
        <f t="shared" si="15"/>
        <v>0</v>
      </c>
      <c r="CF73" s="36" t="s">
        <v>293</v>
      </c>
      <c r="CG73" s="39" t="s">
        <v>227</v>
      </c>
      <c r="CH73" s="39" t="s">
        <v>1065</v>
      </c>
      <c r="CI73" s="25">
        <v>1</v>
      </c>
    </row>
    <row r="74" spans="1:87" ht="24.75" customHeight="1">
      <c r="A74" s="36" t="s">
        <v>50</v>
      </c>
      <c r="B74" s="26">
        <v>47681</v>
      </c>
      <c r="C74" s="227" t="s">
        <v>640</v>
      </c>
      <c r="D74" s="36"/>
      <c r="E74" s="39">
        <v>250</v>
      </c>
      <c r="F74" s="39" t="s">
        <v>60</v>
      </c>
      <c r="G74" s="36" t="s">
        <v>641</v>
      </c>
      <c r="H74" s="36" t="s">
        <v>89</v>
      </c>
      <c r="I74" s="39">
        <v>170</v>
      </c>
      <c r="J74" s="39"/>
      <c r="K74" s="39"/>
      <c r="L74" s="39">
        <f t="shared" si="38"/>
        <v>170</v>
      </c>
      <c r="M74" s="117">
        <v>46155</v>
      </c>
      <c r="N74" s="117">
        <v>46159</v>
      </c>
      <c r="O74" s="39"/>
      <c r="P74" s="39"/>
      <c r="Q74" s="39"/>
      <c r="R74" s="39">
        <f t="shared" si="1"/>
        <v>0</v>
      </c>
      <c r="S74" s="39" t="s">
        <v>28</v>
      </c>
      <c r="T74" s="39"/>
      <c r="U74" s="39"/>
      <c r="V74" s="117">
        <v>46190</v>
      </c>
      <c r="W74" s="39">
        <v>206</v>
      </c>
      <c r="X74" s="117">
        <v>46202</v>
      </c>
      <c r="Y74" s="39">
        <v>187</v>
      </c>
      <c r="Z74" s="39"/>
      <c r="AA74" s="39"/>
      <c r="AB74" s="119">
        <f t="shared" si="2"/>
        <v>187</v>
      </c>
      <c r="AC74" s="39"/>
      <c r="AD74" s="39"/>
      <c r="AE74" s="39"/>
      <c r="AF74" s="39"/>
      <c r="AG74" s="39"/>
      <c r="AH74" s="39">
        <f t="shared" si="3"/>
        <v>0</v>
      </c>
      <c r="AI74" s="39"/>
      <c r="AJ74" s="39"/>
      <c r="AK74" s="39"/>
      <c r="AL74" s="39"/>
      <c r="AM74" s="39"/>
      <c r="AN74" s="39">
        <f t="shared" si="4"/>
        <v>0</v>
      </c>
      <c r="AO74" s="39"/>
      <c r="AP74" s="39"/>
      <c r="AQ74" s="39"/>
      <c r="AR74" s="39"/>
      <c r="AS74" s="39"/>
      <c r="AT74" s="39">
        <f t="shared" si="5"/>
        <v>0</v>
      </c>
      <c r="AU74" s="39"/>
      <c r="AV74" s="39"/>
      <c r="AW74" s="39"/>
      <c r="AX74" s="39"/>
      <c r="AY74" s="39"/>
      <c r="AZ74" s="39">
        <f t="shared" si="6"/>
        <v>0</v>
      </c>
      <c r="BA74" s="39"/>
      <c r="BB74" s="39"/>
      <c r="BC74" s="39"/>
      <c r="BD74" s="39"/>
      <c r="BE74" s="39"/>
      <c r="BF74" s="39">
        <f t="shared" si="7"/>
        <v>0</v>
      </c>
      <c r="BG74" s="39"/>
      <c r="BH74" s="39"/>
      <c r="BI74" s="39"/>
      <c r="BJ74" s="39"/>
      <c r="BK74" s="39"/>
      <c r="BL74" s="39">
        <f t="shared" si="8"/>
        <v>0</v>
      </c>
      <c r="BM74" s="54" t="str">
        <f t="shared" si="9"/>
        <v/>
      </c>
      <c r="BN74" s="58">
        <v>46181</v>
      </c>
      <c r="BO74" s="57">
        <v>46191</v>
      </c>
      <c r="BP74" s="36"/>
      <c r="BQ74" s="36"/>
      <c r="BR74" s="229">
        <v>46203</v>
      </c>
      <c r="BS74" s="229">
        <v>46203</v>
      </c>
      <c r="BT74" s="39">
        <v>1518</v>
      </c>
      <c r="BU74" s="39">
        <v>187</v>
      </c>
      <c r="BV74" s="39"/>
      <c r="BW74" s="39"/>
      <c r="BX74" s="39"/>
      <c r="BY74" s="39"/>
      <c r="BZ74" s="39">
        <f t="shared" si="10"/>
        <v>187</v>
      </c>
      <c r="CA74" s="39">
        <f t="shared" si="11"/>
        <v>17</v>
      </c>
      <c r="CB74" s="39">
        <f t="shared" si="12"/>
        <v>0</v>
      </c>
      <c r="CC74" s="39">
        <f t="shared" si="13"/>
        <v>0</v>
      </c>
      <c r="CD74" s="39">
        <f t="shared" si="14"/>
        <v>0</v>
      </c>
      <c r="CE74" s="102">
        <f t="shared" si="15"/>
        <v>0</v>
      </c>
      <c r="CF74" s="36" t="s">
        <v>293</v>
      </c>
      <c r="CG74" s="39" t="s">
        <v>227</v>
      </c>
      <c r="CH74" s="39"/>
      <c r="CI74" s="25">
        <v>1</v>
      </c>
    </row>
    <row r="75" spans="1:87" ht="24.75" customHeight="1">
      <c r="A75" s="36" t="s">
        <v>50</v>
      </c>
      <c r="B75" s="26">
        <v>47681</v>
      </c>
      <c r="C75" s="228"/>
      <c r="D75" s="36"/>
      <c r="E75" s="39"/>
      <c r="F75" s="39"/>
      <c r="G75" s="36" t="s">
        <v>75</v>
      </c>
      <c r="H75" s="36">
        <v>810</v>
      </c>
      <c r="I75" s="39" t="s">
        <v>90</v>
      </c>
      <c r="J75" s="39"/>
      <c r="K75" s="39"/>
      <c r="L75" s="39">
        <f t="shared" si="38"/>
        <v>0</v>
      </c>
      <c r="M75" s="117">
        <v>46155</v>
      </c>
      <c r="N75" s="117">
        <v>46159</v>
      </c>
      <c r="O75" s="39"/>
      <c r="P75" s="39"/>
      <c r="Q75" s="39"/>
      <c r="R75" s="39">
        <f t="shared" si="1"/>
        <v>0</v>
      </c>
      <c r="S75" s="39" t="s">
        <v>130</v>
      </c>
      <c r="T75" s="39"/>
      <c r="U75" s="39"/>
      <c r="V75" s="39"/>
      <c r="W75" s="39"/>
      <c r="X75" s="39"/>
      <c r="Y75" s="39"/>
      <c r="Z75" s="39"/>
      <c r="AA75" s="39"/>
      <c r="AB75" s="39">
        <f t="shared" si="2"/>
        <v>0</v>
      </c>
      <c r="AC75" s="39"/>
      <c r="AD75" s="39"/>
      <c r="AE75" s="39"/>
      <c r="AF75" s="39"/>
      <c r="AG75" s="39"/>
      <c r="AH75" s="39">
        <f t="shared" si="3"/>
        <v>0</v>
      </c>
      <c r="AI75" s="39"/>
      <c r="AJ75" s="39"/>
      <c r="AK75" s="39"/>
      <c r="AL75" s="39"/>
      <c r="AM75" s="39"/>
      <c r="AN75" s="39">
        <f t="shared" si="4"/>
        <v>0</v>
      </c>
      <c r="AO75" s="39"/>
      <c r="AP75" s="39"/>
      <c r="AQ75" s="39"/>
      <c r="AR75" s="39"/>
      <c r="AS75" s="39"/>
      <c r="AT75" s="39">
        <f t="shared" si="5"/>
        <v>0</v>
      </c>
      <c r="AU75" s="39"/>
      <c r="AV75" s="39"/>
      <c r="AW75" s="39"/>
      <c r="AX75" s="39"/>
      <c r="AY75" s="39"/>
      <c r="AZ75" s="39">
        <f t="shared" si="6"/>
        <v>0</v>
      </c>
      <c r="BA75" s="39"/>
      <c r="BB75" s="39"/>
      <c r="BC75" s="39"/>
      <c r="BD75" s="39"/>
      <c r="BE75" s="39"/>
      <c r="BF75" s="39">
        <f t="shared" si="7"/>
        <v>0</v>
      </c>
      <c r="BG75" s="39"/>
      <c r="BH75" s="39"/>
      <c r="BI75" s="39"/>
      <c r="BJ75" s="39"/>
      <c r="BK75" s="39"/>
      <c r="BL75" s="39">
        <f t="shared" si="8"/>
        <v>0</v>
      </c>
      <c r="BM75" s="54" t="e">
        <f t="shared" si="9"/>
        <v>#DIV/0!</v>
      </c>
      <c r="BN75" s="58">
        <v>46181</v>
      </c>
      <c r="BO75" s="57">
        <v>46191</v>
      </c>
      <c r="BP75" s="36"/>
      <c r="BQ75" s="36"/>
      <c r="BR75" s="230"/>
      <c r="BS75" s="230"/>
      <c r="BT75" s="39"/>
      <c r="BU75" s="39"/>
      <c r="BV75" s="39"/>
      <c r="BW75" s="39"/>
      <c r="BX75" s="39"/>
      <c r="BY75" s="39"/>
      <c r="BZ75" s="39">
        <f t="shared" si="10"/>
        <v>0</v>
      </c>
      <c r="CA75" s="39" t="e">
        <f t="shared" si="11"/>
        <v>#VALUE!</v>
      </c>
      <c r="CB75" s="39">
        <f t="shared" si="12"/>
        <v>0</v>
      </c>
      <c r="CC75" s="39">
        <f t="shared" si="13"/>
        <v>0</v>
      </c>
      <c r="CD75" s="39">
        <f t="shared" si="14"/>
        <v>0</v>
      </c>
      <c r="CE75" s="102" t="e">
        <f t="shared" si="15"/>
        <v>#DIV/0!</v>
      </c>
      <c r="CF75" s="36" t="s">
        <v>293</v>
      </c>
      <c r="CG75" s="39" t="s">
        <v>227</v>
      </c>
      <c r="CH75" s="39"/>
      <c r="CI75" s="25">
        <v>1</v>
      </c>
    </row>
    <row r="76" spans="1:87" ht="24.75" customHeight="1">
      <c r="A76" s="36" t="s">
        <v>50</v>
      </c>
      <c r="B76" s="26">
        <v>47682</v>
      </c>
      <c r="C76" s="227" t="s">
        <v>640</v>
      </c>
      <c r="D76" s="36"/>
      <c r="E76" s="39">
        <v>250</v>
      </c>
      <c r="F76" s="39" t="s">
        <v>60</v>
      </c>
      <c r="G76" s="36" t="s">
        <v>669</v>
      </c>
      <c r="H76" s="36" t="s">
        <v>89</v>
      </c>
      <c r="I76" s="39">
        <v>287</v>
      </c>
      <c r="J76" s="39"/>
      <c r="K76" s="39"/>
      <c r="L76" s="39">
        <f t="shared" si="38"/>
        <v>287</v>
      </c>
      <c r="M76" s="117">
        <v>46158</v>
      </c>
      <c r="N76" s="117">
        <v>46164</v>
      </c>
      <c r="O76" s="39"/>
      <c r="P76" s="39"/>
      <c r="Q76" s="39"/>
      <c r="R76" s="39">
        <f t="shared" si="1"/>
        <v>0</v>
      </c>
      <c r="S76" s="39" t="s">
        <v>130</v>
      </c>
      <c r="T76" s="39">
        <v>107556</v>
      </c>
      <c r="U76" s="117">
        <v>46210</v>
      </c>
      <c r="V76" s="117" t="s">
        <v>1368</v>
      </c>
      <c r="W76" s="39">
        <f>316-298</f>
        <v>18</v>
      </c>
      <c r="X76" s="39"/>
      <c r="Y76" s="39">
        <v>316</v>
      </c>
      <c r="Z76" s="39"/>
      <c r="AA76" s="39"/>
      <c r="AB76" s="119">
        <f t="shared" si="2"/>
        <v>316</v>
      </c>
      <c r="AC76" s="39"/>
      <c r="AD76" s="39"/>
      <c r="AE76" s="39"/>
      <c r="AF76" s="39"/>
      <c r="AG76" s="39"/>
      <c r="AH76" s="39">
        <f t="shared" si="3"/>
        <v>0</v>
      </c>
      <c r="AI76" s="39"/>
      <c r="AJ76" s="39"/>
      <c r="AK76" s="39"/>
      <c r="AL76" s="39"/>
      <c r="AM76" s="39"/>
      <c r="AN76" s="39">
        <f t="shared" si="4"/>
        <v>0</v>
      </c>
      <c r="AO76" s="39"/>
      <c r="AP76" s="39"/>
      <c r="AQ76" s="39"/>
      <c r="AR76" s="39"/>
      <c r="AS76" s="39"/>
      <c r="AT76" s="39">
        <f t="shared" si="5"/>
        <v>0</v>
      </c>
      <c r="AU76" s="39"/>
      <c r="AV76" s="39"/>
      <c r="AW76" s="39"/>
      <c r="AX76" s="39"/>
      <c r="AY76" s="39"/>
      <c r="AZ76" s="39">
        <f t="shared" si="6"/>
        <v>0</v>
      </c>
      <c r="BA76" s="39"/>
      <c r="BB76" s="39"/>
      <c r="BC76" s="39"/>
      <c r="BD76" s="39"/>
      <c r="BE76" s="39"/>
      <c r="BF76" s="39">
        <f t="shared" si="7"/>
        <v>0</v>
      </c>
      <c r="BG76" s="39"/>
      <c r="BH76" s="39"/>
      <c r="BI76" s="39"/>
      <c r="BJ76" s="39"/>
      <c r="BK76" s="39"/>
      <c r="BL76" s="39">
        <f t="shared" si="8"/>
        <v>0</v>
      </c>
      <c r="BM76" s="54" t="str">
        <f t="shared" si="9"/>
        <v/>
      </c>
      <c r="BN76" s="58">
        <v>46183</v>
      </c>
      <c r="BO76" s="57">
        <v>46196</v>
      </c>
      <c r="BP76" s="36"/>
      <c r="BQ76" s="36"/>
      <c r="BR76" s="229">
        <v>46203</v>
      </c>
      <c r="BS76" s="229">
        <v>46213</v>
      </c>
      <c r="BT76" s="39">
        <v>1590</v>
      </c>
      <c r="BU76" s="39">
        <v>290</v>
      </c>
      <c r="BV76" s="39"/>
      <c r="BW76" s="39"/>
      <c r="BX76" s="39"/>
      <c r="BY76" s="39"/>
      <c r="BZ76" s="39">
        <f t="shared" si="10"/>
        <v>290</v>
      </c>
      <c r="CA76" s="39">
        <f t="shared" si="11"/>
        <v>3</v>
      </c>
      <c r="CB76" s="39">
        <f t="shared" si="12"/>
        <v>0</v>
      </c>
      <c r="CC76" s="39">
        <f t="shared" si="13"/>
        <v>0</v>
      </c>
      <c r="CD76" s="39">
        <f t="shared" si="14"/>
        <v>0</v>
      </c>
      <c r="CE76" s="102">
        <f t="shared" si="15"/>
        <v>0</v>
      </c>
      <c r="CF76" s="36" t="s">
        <v>293</v>
      </c>
      <c r="CG76" s="39" t="s">
        <v>227</v>
      </c>
      <c r="CH76" s="39"/>
      <c r="CI76" s="25">
        <v>1</v>
      </c>
    </row>
    <row r="77" spans="1:87" ht="24.75" customHeight="1">
      <c r="A77" s="36" t="s">
        <v>50</v>
      </c>
      <c r="B77" s="26">
        <v>47682</v>
      </c>
      <c r="C77" s="231"/>
      <c r="D77" s="36"/>
      <c r="E77" s="39">
        <v>250</v>
      </c>
      <c r="F77" s="39" t="s">
        <v>60</v>
      </c>
      <c r="G77" s="36" t="s">
        <v>641</v>
      </c>
      <c r="H77" s="36" t="s">
        <v>89</v>
      </c>
      <c r="I77" s="39">
        <v>178</v>
      </c>
      <c r="J77" s="39"/>
      <c r="K77" s="39"/>
      <c r="L77" s="39">
        <f t="shared" si="38"/>
        <v>178</v>
      </c>
      <c r="M77" s="117">
        <v>46158</v>
      </c>
      <c r="N77" s="117">
        <v>46164</v>
      </c>
      <c r="O77" s="39"/>
      <c r="P77" s="39"/>
      <c r="Q77" s="39"/>
      <c r="R77" s="39">
        <f t="shared" si="1"/>
        <v>0</v>
      </c>
      <c r="S77" s="39" t="s">
        <v>28</v>
      </c>
      <c r="T77" s="39"/>
      <c r="U77" s="39"/>
      <c r="V77" s="117">
        <v>46190</v>
      </c>
      <c r="W77" s="39">
        <v>212</v>
      </c>
      <c r="X77" s="117">
        <v>46202</v>
      </c>
      <c r="Y77" s="39">
        <v>193</v>
      </c>
      <c r="Z77" s="39"/>
      <c r="AA77" s="39"/>
      <c r="AB77" s="119">
        <f t="shared" si="2"/>
        <v>193</v>
      </c>
      <c r="AC77" s="39"/>
      <c r="AD77" s="39"/>
      <c r="AE77" s="39"/>
      <c r="AF77" s="39"/>
      <c r="AG77" s="39"/>
      <c r="AH77" s="39">
        <f t="shared" si="3"/>
        <v>0</v>
      </c>
      <c r="AI77" s="39"/>
      <c r="AJ77" s="39"/>
      <c r="AK77" s="39"/>
      <c r="AL77" s="39"/>
      <c r="AM77" s="39"/>
      <c r="AN77" s="39">
        <f t="shared" si="4"/>
        <v>0</v>
      </c>
      <c r="AO77" s="39"/>
      <c r="AP77" s="39"/>
      <c r="AQ77" s="39"/>
      <c r="AR77" s="39"/>
      <c r="AS77" s="39"/>
      <c r="AT77" s="39">
        <f t="shared" si="5"/>
        <v>0</v>
      </c>
      <c r="AU77" s="39"/>
      <c r="AV77" s="39"/>
      <c r="AW77" s="39"/>
      <c r="AX77" s="39"/>
      <c r="AY77" s="39"/>
      <c r="AZ77" s="39">
        <f t="shared" si="6"/>
        <v>0</v>
      </c>
      <c r="BA77" s="39"/>
      <c r="BB77" s="39"/>
      <c r="BC77" s="39"/>
      <c r="BD77" s="39"/>
      <c r="BE77" s="39"/>
      <c r="BF77" s="39">
        <f t="shared" si="7"/>
        <v>0</v>
      </c>
      <c r="BG77" s="39"/>
      <c r="BH77" s="39"/>
      <c r="BI77" s="39"/>
      <c r="BJ77" s="39"/>
      <c r="BK77" s="39"/>
      <c r="BL77" s="39">
        <f t="shared" si="8"/>
        <v>0</v>
      </c>
      <c r="BM77" s="54" t="str">
        <f t="shared" si="9"/>
        <v/>
      </c>
      <c r="BN77" s="58">
        <v>46183</v>
      </c>
      <c r="BO77" s="57">
        <v>46196</v>
      </c>
      <c r="BP77" s="36"/>
      <c r="BQ77" s="36"/>
      <c r="BR77" s="232"/>
      <c r="BS77" s="232"/>
      <c r="BT77" s="39">
        <v>1518</v>
      </c>
      <c r="BU77" s="39">
        <v>193</v>
      </c>
      <c r="BV77" s="39"/>
      <c r="BW77" s="39"/>
      <c r="BX77" s="39"/>
      <c r="BY77" s="39"/>
      <c r="BZ77" s="39">
        <f t="shared" si="10"/>
        <v>193</v>
      </c>
      <c r="CA77" s="39">
        <f t="shared" si="11"/>
        <v>15</v>
      </c>
      <c r="CB77" s="39">
        <f t="shared" si="12"/>
        <v>0</v>
      </c>
      <c r="CC77" s="39">
        <f t="shared" si="13"/>
        <v>0</v>
      </c>
      <c r="CD77" s="39">
        <f t="shared" si="14"/>
        <v>0</v>
      </c>
      <c r="CE77" s="102">
        <f t="shared" si="15"/>
        <v>0</v>
      </c>
      <c r="CF77" s="36" t="s">
        <v>293</v>
      </c>
      <c r="CG77" s="39" t="s">
        <v>227</v>
      </c>
      <c r="CH77" s="39"/>
      <c r="CI77" s="25">
        <v>1</v>
      </c>
    </row>
    <row r="78" spans="1:87" ht="24.75" customHeight="1">
      <c r="A78" s="36" t="s">
        <v>50</v>
      </c>
      <c r="B78" s="26">
        <v>47682</v>
      </c>
      <c r="C78" s="228"/>
      <c r="D78" s="36"/>
      <c r="E78" s="39"/>
      <c r="F78" s="39"/>
      <c r="G78" s="36" t="s">
        <v>75</v>
      </c>
      <c r="H78" s="36">
        <f>4300+2500</f>
        <v>6800</v>
      </c>
      <c r="I78" s="39" t="s">
        <v>90</v>
      </c>
      <c r="J78" s="39"/>
      <c r="K78" s="39"/>
      <c r="L78" s="39">
        <f t="shared" si="38"/>
        <v>0</v>
      </c>
      <c r="M78" s="117">
        <v>46158</v>
      </c>
      <c r="N78" s="117">
        <v>46164</v>
      </c>
      <c r="O78" s="39"/>
      <c r="P78" s="39"/>
      <c r="Q78" s="39"/>
      <c r="R78" s="39">
        <f t="shared" si="1"/>
        <v>0</v>
      </c>
      <c r="S78" s="39" t="s">
        <v>130</v>
      </c>
      <c r="T78" s="39"/>
      <c r="U78" s="39"/>
      <c r="V78" s="39"/>
      <c r="W78" s="39"/>
      <c r="X78" s="39"/>
      <c r="Y78" s="39"/>
      <c r="Z78" s="39"/>
      <c r="AA78" s="39"/>
      <c r="AB78" s="39">
        <f t="shared" si="2"/>
        <v>0</v>
      </c>
      <c r="AC78" s="39"/>
      <c r="AD78" s="39"/>
      <c r="AE78" s="39"/>
      <c r="AF78" s="39"/>
      <c r="AG78" s="39"/>
      <c r="AH78" s="39">
        <f t="shared" si="3"/>
        <v>0</v>
      </c>
      <c r="AI78" s="39"/>
      <c r="AJ78" s="39"/>
      <c r="AK78" s="39"/>
      <c r="AL78" s="39"/>
      <c r="AM78" s="39"/>
      <c r="AN78" s="39">
        <f t="shared" si="4"/>
        <v>0</v>
      </c>
      <c r="AO78" s="39"/>
      <c r="AP78" s="39"/>
      <c r="AQ78" s="39"/>
      <c r="AR78" s="39"/>
      <c r="AS78" s="39"/>
      <c r="AT78" s="39">
        <f t="shared" si="5"/>
        <v>0</v>
      </c>
      <c r="AU78" s="39"/>
      <c r="AV78" s="39"/>
      <c r="AW78" s="39"/>
      <c r="AX78" s="39"/>
      <c r="AY78" s="39"/>
      <c r="AZ78" s="39">
        <f t="shared" si="6"/>
        <v>0</v>
      </c>
      <c r="BA78" s="39"/>
      <c r="BB78" s="39"/>
      <c r="BC78" s="39"/>
      <c r="BD78" s="39"/>
      <c r="BE78" s="39"/>
      <c r="BF78" s="39">
        <f t="shared" si="7"/>
        <v>0</v>
      </c>
      <c r="BG78" s="39"/>
      <c r="BH78" s="39"/>
      <c r="BI78" s="39"/>
      <c r="BJ78" s="39"/>
      <c r="BK78" s="39"/>
      <c r="BL78" s="39">
        <f t="shared" si="8"/>
        <v>0</v>
      </c>
      <c r="BM78" s="54" t="e">
        <f t="shared" si="9"/>
        <v>#DIV/0!</v>
      </c>
      <c r="BN78" s="58">
        <v>46183</v>
      </c>
      <c r="BO78" s="57">
        <v>46196</v>
      </c>
      <c r="BP78" s="36"/>
      <c r="BQ78" s="36"/>
      <c r="BR78" s="230"/>
      <c r="BS78" s="230"/>
      <c r="BT78" s="39"/>
      <c r="BU78" s="39"/>
      <c r="BV78" s="39"/>
      <c r="BW78" s="39"/>
      <c r="BX78" s="39"/>
      <c r="BY78" s="39"/>
      <c r="BZ78" s="39">
        <f t="shared" si="10"/>
        <v>0</v>
      </c>
      <c r="CA78" s="39" t="e">
        <f t="shared" si="11"/>
        <v>#VALUE!</v>
      </c>
      <c r="CB78" s="39">
        <f t="shared" si="12"/>
        <v>0</v>
      </c>
      <c r="CC78" s="39">
        <f t="shared" si="13"/>
        <v>0</v>
      </c>
      <c r="CD78" s="39">
        <f t="shared" si="14"/>
        <v>0</v>
      </c>
      <c r="CE78" s="102" t="e">
        <f t="shared" si="15"/>
        <v>#DIV/0!</v>
      </c>
      <c r="CF78" s="36" t="s">
        <v>293</v>
      </c>
      <c r="CG78" s="39" t="s">
        <v>227</v>
      </c>
      <c r="CH78" s="39"/>
      <c r="CI78" s="25">
        <v>1</v>
      </c>
    </row>
    <row r="79" spans="1:87" ht="24.75" customHeight="1">
      <c r="A79" s="36" t="s">
        <v>50</v>
      </c>
      <c r="B79" s="142">
        <v>47685</v>
      </c>
      <c r="C79" s="227" t="s">
        <v>1004</v>
      </c>
      <c r="D79" s="36" t="s">
        <v>45</v>
      </c>
      <c r="E79" s="39">
        <v>280</v>
      </c>
      <c r="F79" s="39" t="s">
        <v>58</v>
      </c>
      <c r="G79" s="36" t="s">
        <v>611</v>
      </c>
      <c r="H79" s="36" t="s">
        <v>404</v>
      </c>
      <c r="I79" s="39">
        <v>502</v>
      </c>
      <c r="J79" s="39">
        <v>170</v>
      </c>
      <c r="K79" s="39">
        <v>12</v>
      </c>
      <c r="L79" s="39">
        <f t="shared" si="38"/>
        <v>684</v>
      </c>
      <c r="M79" s="117">
        <v>46157</v>
      </c>
      <c r="N79" s="117">
        <v>46164</v>
      </c>
      <c r="O79" s="39"/>
      <c r="P79" s="39"/>
      <c r="Q79" s="39"/>
      <c r="R79" s="39">
        <f t="shared" si="1"/>
        <v>0</v>
      </c>
      <c r="S79" s="39" t="s">
        <v>28</v>
      </c>
      <c r="T79" s="39"/>
      <c r="U79" s="39"/>
      <c r="V79" s="117">
        <v>46190</v>
      </c>
      <c r="W79" s="39">
        <f>199+14+587</f>
        <v>800</v>
      </c>
      <c r="X79" s="117" t="s">
        <v>1537</v>
      </c>
      <c r="Y79" s="39">
        <v>532</v>
      </c>
      <c r="Z79" s="39">
        <v>181</v>
      </c>
      <c r="AA79" s="39">
        <v>13</v>
      </c>
      <c r="AB79" s="119">
        <f t="shared" si="2"/>
        <v>726</v>
      </c>
      <c r="AC79" s="39"/>
      <c r="AD79" s="39"/>
      <c r="AE79" s="39"/>
      <c r="AF79" s="39"/>
      <c r="AG79" s="39"/>
      <c r="AH79" s="39">
        <f t="shared" si="3"/>
        <v>0</v>
      </c>
      <c r="AI79" s="39"/>
      <c r="AJ79" s="39"/>
      <c r="AK79" s="39"/>
      <c r="AL79" s="39"/>
      <c r="AM79" s="39"/>
      <c r="AN79" s="39">
        <f t="shared" si="4"/>
        <v>0</v>
      </c>
      <c r="AO79" s="39" t="s">
        <v>280</v>
      </c>
      <c r="AP79" s="117">
        <v>46199</v>
      </c>
      <c r="AQ79" s="39">
        <v>534</v>
      </c>
      <c r="AR79" s="117">
        <v>46200</v>
      </c>
      <c r="AS79" s="39">
        <v>537</v>
      </c>
      <c r="AT79" s="39">
        <f t="shared" si="5"/>
        <v>3</v>
      </c>
      <c r="AU79" s="39" t="s">
        <v>257</v>
      </c>
      <c r="AV79" s="117">
        <v>46200</v>
      </c>
      <c r="AW79" s="39">
        <v>537</v>
      </c>
      <c r="AX79" s="117">
        <v>46201</v>
      </c>
      <c r="AY79" s="39">
        <v>528</v>
      </c>
      <c r="AZ79" s="39">
        <f t="shared" si="6"/>
        <v>-9</v>
      </c>
      <c r="BA79" s="39"/>
      <c r="BB79" s="39"/>
      <c r="BC79" s="39"/>
      <c r="BD79" s="39"/>
      <c r="BE79" s="39"/>
      <c r="BF79" s="39">
        <f t="shared" si="7"/>
        <v>0</v>
      </c>
      <c r="BG79" s="39"/>
      <c r="BH79" s="39"/>
      <c r="BI79" s="39"/>
      <c r="BJ79" s="39"/>
      <c r="BK79" s="39"/>
      <c r="BL79" s="39">
        <f t="shared" si="8"/>
        <v>0</v>
      </c>
      <c r="BM79" s="54" t="str">
        <f t="shared" si="9"/>
        <v/>
      </c>
      <c r="BN79" s="58">
        <v>46183</v>
      </c>
      <c r="BO79" s="57">
        <v>46195</v>
      </c>
      <c r="BP79" s="36"/>
      <c r="BQ79" s="36"/>
      <c r="BR79" s="229">
        <v>46205</v>
      </c>
      <c r="BS79" s="229">
        <v>46226</v>
      </c>
      <c r="BT79" s="39">
        <v>2006</v>
      </c>
      <c r="BU79" s="39">
        <v>508</v>
      </c>
      <c r="BV79" s="39">
        <v>1528</v>
      </c>
      <c r="BW79" s="39">
        <v>181</v>
      </c>
      <c r="BX79" s="39">
        <v>1528</v>
      </c>
      <c r="BY79" s="39">
        <v>13</v>
      </c>
      <c r="BZ79" s="39">
        <f t="shared" si="10"/>
        <v>702</v>
      </c>
      <c r="CA79" s="39">
        <f t="shared" si="11"/>
        <v>6</v>
      </c>
      <c r="CB79" s="39">
        <f t="shared" si="12"/>
        <v>11</v>
      </c>
      <c r="CC79" s="39">
        <f t="shared" si="13"/>
        <v>1</v>
      </c>
      <c r="CD79" s="39">
        <f t="shared" si="14"/>
        <v>0</v>
      </c>
      <c r="CE79" s="102">
        <f t="shared" si="15"/>
        <v>0</v>
      </c>
      <c r="CF79" s="36" t="s">
        <v>293</v>
      </c>
      <c r="CG79" s="39" t="s">
        <v>227</v>
      </c>
      <c r="CH79" s="39"/>
      <c r="CI79" s="25">
        <v>1</v>
      </c>
    </row>
    <row r="80" spans="1:87" ht="24.75" customHeight="1">
      <c r="A80" s="36" t="s">
        <v>50</v>
      </c>
      <c r="B80" s="142">
        <v>47685</v>
      </c>
      <c r="C80" s="228"/>
      <c r="D80" s="36" t="s">
        <v>45</v>
      </c>
      <c r="E80" s="39">
        <v>280</v>
      </c>
      <c r="F80" s="39" t="s">
        <v>58</v>
      </c>
      <c r="G80" s="36" t="s">
        <v>35</v>
      </c>
      <c r="H80" s="36" t="s">
        <v>404</v>
      </c>
      <c r="I80" s="39">
        <v>320</v>
      </c>
      <c r="J80" s="39">
        <v>108</v>
      </c>
      <c r="K80" s="39">
        <v>7</v>
      </c>
      <c r="L80" s="39">
        <f t="shared" ref="L80" si="39">SUM(I80:K80)</f>
        <v>435</v>
      </c>
      <c r="M80" s="117">
        <v>46157</v>
      </c>
      <c r="N80" s="117">
        <v>46164</v>
      </c>
      <c r="O80" s="39"/>
      <c r="P80" s="39"/>
      <c r="Q80" s="39"/>
      <c r="R80" s="39">
        <f t="shared" si="1"/>
        <v>0</v>
      </c>
      <c r="S80" s="39" t="s">
        <v>130</v>
      </c>
      <c r="T80" s="39">
        <v>107700</v>
      </c>
      <c r="U80" s="117">
        <v>46214</v>
      </c>
      <c r="V80" s="39"/>
      <c r="W80" s="39"/>
      <c r="X80" s="39"/>
      <c r="Y80" s="39">
        <v>381</v>
      </c>
      <c r="Z80" s="39">
        <v>128</v>
      </c>
      <c r="AA80" s="39">
        <v>10</v>
      </c>
      <c r="AB80" s="119">
        <f t="shared" si="2"/>
        <v>519</v>
      </c>
      <c r="AC80" s="39"/>
      <c r="AD80" s="39"/>
      <c r="AE80" s="39"/>
      <c r="AF80" s="39"/>
      <c r="AG80" s="39"/>
      <c r="AH80" s="39">
        <f t="shared" si="3"/>
        <v>0</v>
      </c>
      <c r="AI80" s="39"/>
      <c r="AJ80" s="39"/>
      <c r="AK80" s="39"/>
      <c r="AL80" s="39"/>
      <c r="AM80" s="39"/>
      <c r="AN80" s="39">
        <f t="shared" si="4"/>
        <v>0</v>
      </c>
      <c r="AO80" s="39" t="s">
        <v>280</v>
      </c>
      <c r="AP80" s="117">
        <v>46213</v>
      </c>
      <c r="AQ80" s="39">
        <f>261</f>
        <v>261</v>
      </c>
      <c r="AR80" s="117">
        <v>46217</v>
      </c>
      <c r="AS80" s="39">
        <v>266</v>
      </c>
      <c r="AT80" s="39">
        <f t="shared" si="5"/>
        <v>5</v>
      </c>
      <c r="AU80" s="39"/>
      <c r="AV80" s="39"/>
      <c r="AW80" s="39"/>
      <c r="AX80" s="39"/>
      <c r="AY80" s="39"/>
      <c r="AZ80" s="39">
        <f t="shared" si="6"/>
        <v>0</v>
      </c>
      <c r="BA80" s="39"/>
      <c r="BB80" s="39"/>
      <c r="BC80" s="39"/>
      <c r="BD80" s="39"/>
      <c r="BE80" s="39"/>
      <c r="BF80" s="39">
        <f t="shared" si="7"/>
        <v>0</v>
      </c>
      <c r="BG80" s="39"/>
      <c r="BH80" s="39"/>
      <c r="BI80" s="39"/>
      <c r="BJ80" s="39"/>
      <c r="BK80" s="39"/>
      <c r="BL80" s="39">
        <f t="shared" si="8"/>
        <v>0</v>
      </c>
      <c r="BM80" s="54" t="str">
        <f t="shared" si="9"/>
        <v/>
      </c>
      <c r="BN80" s="58">
        <v>46183</v>
      </c>
      <c r="BO80" s="57">
        <v>46195</v>
      </c>
      <c r="BP80" s="36"/>
      <c r="BQ80" s="36"/>
      <c r="BR80" s="230"/>
      <c r="BS80" s="230"/>
      <c r="BT80" s="39">
        <v>2030</v>
      </c>
      <c r="BU80" s="39">
        <v>312</v>
      </c>
      <c r="BV80" s="39">
        <v>1826</v>
      </c>
      <c r="BW80" s="39">
        <v>126</v>
      </c>
      <c r="BX80" s="39">
        <v>1826</v>
      </c>
      <c r="BY80" s="39">
        <v>10</v>
      </c>
      <c r="BZ80" s="39">
        <f t="shared" si="10"/>
        <v>448</v>
      </c>
      <c r="CA80" s="39">
        <f t="shared" si="11"/>
        <v>-8</v>
      </c>
      <c r="CB80" s="39">
        <f t="shared" si="12"/>
        <v>18</v>
      </c>
      <c r="CC80" s="39">
        <f t="shared" si="13"/>
        <v>3</v>
      </c>
      <c r="CD80" s="39">
        <v>0</v>
      </c>
      <c r="CE80" s="102">
        <f t="shared" si="15"/>
        <v>0</v>
      </c>
      <c r="CF80" s="36" t="s">
        <v>293</v>
      </c>
      <c r="CG80" s="39" t="s">
        <v>227</v>
      </c>
      <c r="CH80" s="39"/>
      <c r="CI80" s="25">
        <v>1</v>
      </c>
    </row>
    <row r="81" spans="1:87" ht="33.75" customHeight="1">
      <c r="A81" s="36" t="s">
        <v>50</v>
      </c>
      <c r="B81" s="142">
        <v>47600</v>
      </c>
      <c r="C81" s="36" t="s">
        <v>1001</v>
      </c>
      <c r="D81" s="36"/>
      <c r="E81" s="39">
        <v>200</v>
      </c>
      <c r="F81" s="39" t="s">
        <v>58</v>
      </c>
      <c r="G81" s="36" t="s">
        <v>93</v>
      </c>
      <c r="H81" s="36" t="s">
        <v>508</v>
      </c>
      <c r="I81" s="39">
        <v>141</v>
      </c>
      <c r="J81" s="39">
        <v>11</v>
      </c>
      <c r="K81" s="39"/>
      <c r="L81" s="39">
        <f t="shared" ref="L81:L91" si="40">SUM(I81:K81)</f>
        <v>152</v>
      </c>
      <c r="M81" s="117">
        <v>46153</v>
      </c>
      <c r="N81" s="117">
        <v>46159</v>
      </c>
      <c r="O81" s="39"/>
      <c r="P81" s="39"/>
      <c r="Q81" s="39"/>
      <c r="R81" s="39">
        <f t="shared" si="1"/>
        <v>0</v>
      </c>
      <c r="S81" s="39" t="s">
        <v>130</v>
      </c>
      <c r="T81" s="39">
        <v>107198</v>
      </c>
      <c r="U81" s="117">
        <v>46197</v>
      </c>
      <c r="V81" s="39"/>
      <c r="W81" s="39"/>
      <c r="X81" s="39"/>
      <c r="Y81" s="39">
        <v>170</v>
      </c>
      <c r="Z81" s="39">
        <v>17</v>
      </c>
      <c r="AA81" s="39"/>
      <c r="AB81" s="119">
        <f t="shared" si="2"/>
        <v>187</v>
      </c>
      <c r="AC81" s="39"/>
      <c r="AD81" s="39"/>
      <c r="AE81" s="39"/>
      <c r="AF81" s="39"/>
      <c r="AG81" s="39"/>
      <c r="AH81" s="39">
        <f t="shared" si="3"/>
        <v>0</v>
      </c>
      <c r="AI81" s="39"/>
      <c r="AJ81" s="39"/>
      <c r="AK81" s="39"/>
      <c r="AL81" s="39"/>
      <c r="AM81" s="39"/>
      <c r="AN81" s="39">
        <f t="shared" si="4"/>
        <v>0</v>
      </c>
      <c r="AO81" s="39"/>
      <c r="AP81" s="39"/>
      <c r="AQ81" s="39"/>
      <c r="AR81" s="39"/>
      <c r="AS81" s="39"/>
      <c r="AT81" s="39">
        <f t="shared" si="5"/>
        <v>0</v>
      </c>
      <c r="AU81" s="39"/>
      <c r="AV81" s="39"/>
      <c r="AW81" s="39"/>
      <c r="AX81" s="39"/>
      <c r="AY81" s="39"/>
      <c r="AZ81" s="39">
        <f t="shared" si="6"/>
        <v>0</v>
      </c>
      <c r="BA81" s="39"/>
      <c r="BB81" s="39"/>
      <c r="BC81" s="39"/>
      <c r="BD81" s="39"/>
      <c r="BE81" s="39"/>
      <c r="BF81" s="39">
        <f t="shared" si="7"/>
        <v>0</v>
      </c>
      <c r="BG81" s="39"/>
      <c r="BH81" s="39"/>
      <c r="BI81" s="39"/>
      <c r="BJ81" s="39"/>
      <c r="BK81" s="39"/>
      <c r="BL81" s="39">
        <f t="shared" si="8"/>
        <v>0</v>
      </c>
      <c r="BM81" s="54" t="str">
        <f t="shared" si="9"/>
        <v/>
      </c>
      <c r="BN81" s="58">
        <v>46179</v>
      </c>
      <c r="BO81" s="57">
        <v>46189</v>
      </c>
      <c r="BP81" s="36"/>
      <c r="BQ81" s="36"/>
      <c r="BR81" s="50">
        <v>46198</v>
      </c>
      <c r="BS81" s="50">
        <v>46198</v>
      </c>
      <c r="BT81" s="39">
        <v>2121</v>
      </c>
      <c r="BU81" s="39">
        <v>155</v>
      </c>
      <c r="BV81" s="39">
        <v>2121</v>
      </c>
      <c r="BW81" s="39">
        <v>16</v>
      </c>
      <c r="BX81" s="39"/>
      <c r="BY81" s="39"/>
      <c r="BZ81" s="39">
        <f t="shared" si="10"/>
        <v>171</v>
      </c>
      <c r="CA81" s="39">
        <f t="shared" si="11"/>
        <v>14</v>
      </c>
      <c r="CB81" s="39">
        <f t="shared" si="12"/>
        <v>5</v>
      </c>
      <c r="CC81" s="39">
        <f t="shared" si="13"/>
        <v>0</v>
      </c>
      <c r="CD81" s="39">
        <f t="shared" si="14"/>
        <v>0</v>
      </c>
      <c r="CE81" s="102">
        <f t="shared" si="15"/>
        <v>0</v>
      </c>
      <c r="CF81" s="36" t="s">
        <v>408</v>
      </c>
      <c r="CG81" s="39" t="s">
        <v>282</v>
      </c>
      <c r="CH81" s="39"/>
      <c r="CI81" s="25">
        <v>1</v>
      </c>
    </row>
    <row r="82" spans="1:87" ht="33.75" customHeight="1">
      <c r="A82" s="36" t="s">
        <v>50</v>
      </c>
      <c r="B82" s="26">
        <v>47601</v>
      </c>
      <c r="C82" s="36">
        <v>13265660</v>
      </c>
      <c r="D82" s="36" t="s">
        <v>45</v>
      </c>
      <c r="E82" s="39">
        <v>260</v>
      </c>
      <c r="F82" s="39" t="s">
        <v>58</v>
      </c>
      <c r="G82" s="36" t="s">
        <v>670</v>
      </c>
      <c r="H82" s="36" t="s">
        <v>516</v>
      </c>
      <c r="I82" s="39">
        <v>293</v>
      </c>
      <c r="J82" s="39">
        <v>83</v>
      </c>
      <c r="K82" s="39">
        <v>5</v>
      </c>
      <c r="L82" s="39">
        <f t="shared" si="40"/>
        <v>381</v>
      </c>
      <c r="M82" s="117">
        <v>46154</v>
      </c>
      <c r="N82" s="117">
        <v>46159</v>
      </c>
      <c r="O82" s="39"/>
      <c r="P82" s="39"/>
      <c r="Q82" s="39"/>
      <c r="R82" s="39">
        <f t="shared" si="1"/>
        <v>0</v>
      </c>
      <c r="S82" s="39" t="s">
        <v>326</v>
      </c>
      <c r="T82" s="39"/>
      <c r="U82" s="39"/>
      <c r="V82" s="117">
        <v>46162</v>
      </c>
      <c r="W82" s="39">
        <f>338+99+7</f>
        <v>444</v>
      </c>
      <c r="X82" s="117" t="s">
        <v>1286</v>
      </c>
      <c r="Y82" s="39">
        <f>222+80</f>
        <v>302</v>
      </c>
      <c r="Z82" s="39">
        <v>93</v>
      </c>
      <c r="AA82" s="39">
        <v>5</v>
      </c>
      <c r="AB82" s="119">
        <f t="shared" si="2"/>
        <v>400</v>
      </c>
      <c r="AC82" s="39"/>
      <c r="AD82" s="39"/>
      <c r="AE82" s="39"/>
      <c r="AF82" s="39"/>
      <c r="AG82" s="39"/>
      <c r="AH82" s="39">
        <f t="shared" si="3"/>
        <v>0</v>
      </c>
      <c r="AI82" s="39"/>
      <c r="AJ82" s="39"/>
      <c r="AK82" s="39"/>
      <c r="AL82" s="39"/>
      <c r="AM82" s="39"/>
      <c r="AN82" s="39">
        <f t="shared" si="4"/>
        <v>0</v>
      </c>
      <c r="AO82" s="39"/>
      <c r="AP82" s="39"/>
      <c r="AQ82" s="39"/>
      <c r="AR82" s="39"/>
      <c r="AS82" s="39"/>
      <c r="AT82" s="39">
        <f t="shared" si="5"/>
        <v>0</v>
      </c>
      <c r="AU82" s="39"/>
      <c r="AV82" s="39"/>
      <c r="AW82" s="39"/>
      <c r="AX82" s="39"/>
      <c r="AY82" s="39"/>
      <c r="AZ82" s="39">
        <f t="shared" si="6"/>
        <v>0</v>
      </c>
      <c r="BA82" s="39"/>
      <c r="BB82" s="39"/>
      <c r="BC82" s="39"/>
      <c r="BD82" s="39"/>
      <c r="BE82" s="39"/>
      <c r="BF82" s="39">
        <f t="shared" si="7"/>
        <v>0</v>
      </c>
      <c r="BG82" s="39"/>
      <c r="BH82" s="39"/>
      <c r="BI82" s="39"/>
      <c r="BJ82" s="39"/>
      <c r="BK82" s="39"/>
      <c r="BL82" s="39">
        <f t="shared" si="8"/>
        <v>0</v>
      </c>
      <c r="BM82" s="54" t="str">
        <f t="shared" si="9"/>
        <v/>
      </c>
      <c r="BN82" s="58">
        <v>46181</v>
      </c>
      <c r="BO82" s="57">
        <v>46193</v>
      </c>
      <c r="BP82" s="36"/>
      <c r="BQ82" s="36"/>
      <c r="BR82" s="50">
        <v>46196</v>
      </c>
      <c r="BS82" s="50">
        <v>46204</v>
      </c>
      <c r="BT82" s="39" t="s">
        <v>1206</v>
      </c>
      <c r="BU82" s="39">
        <f>222+80</f>
        <v>302</v>
      </c>
      <c r="BV82" s="39">
        <v>1508</v>
      </c>
      <c r="BW82" s="39">
        <v>93</v>
      </c>
      <c r="BX82" s="39">
        <v>1764</v>
      </c>
      <c r="BY82" s="39">
        <v>5</v>
      </c>
      <c r="BZ82" s="39">
        <f t="shared" si="10"/>
        <v>400</v>
      </c>
      <c r="CA82" s="39">
        <f t="shared" si="11"/>
        <v>9</v>
      </c>
      <c r="CB82" s="39">
        <f t="shared" si="12"/>
        <v>10</v>
      </c>
      <c r="CC82" s="39">
        <f t="shared" si="13"/>
        <v>0</v>
      </c>
      <c r="CD82" s="39">
        <f t="shared" si="14"/>
        <v>0</v>
      </c>
      <c r="CE82" s="102">
        <f t="shared" si="15"/>
        <v>0</v>
      </c>
      <c r="CF82" s="36" t="s">
        <v>408</v>
      </c>
      <c r="CG82" s="39" t="s">
        <v>282</v>
      </c>
      <c r="CH82" s="39"/>
      <c r="CI82" s="25">
        <v>1</v>
      </c>
    </row>
    <row r="83" spans="1:87" ht="33" customHeight="1">
      <c r="A83" s="36" t="s">
        <v>50</v>
      </c>
      <c r="B83" s="26">
        <v>47602</v>
      </c>
      <c r="C83" s="36">
        <v>13266114</v>
      </c>
      <c r="D83" s="36"/>
      <c r="E83" s="39">
        <v>180</v>
      </c>
      <c r="F83" s="39" t="s">
        <v>54</v>
      </c>
      <c r="G83" s="36" t="s">
        <v>310</v>
      </c>
      <c r="H83" s="39" t="s">
        <v>22</v>
      </c>
      <c r="I83" s="39">
        <v>182</v>
      </c>
      <c r="J83" s="39">
        <v>10</v>
      </c>
      <c r="K83" s="39"/>
      <c r="L83" s="39">
        <f t="shared" si="40"/>
        <v>192</v>
      </c>
      <c r="M83" s="117">
        <v>46153</v>
      </c>
      <c r="N83" s="117">
        <v>46158</v>
      </c>
      <c r="O83" s="39"/>
      <c r="P83" s="39"/>
      <c r="Q83" s="39"/>
      <c r="R83" s="39">
        <f t="shared" si="1"/>
        <v>0</v>
      </c>
      <c r="S83" s="39" t="s">
        <v>326</v>
      </c>
      <c r="T83" s="39"/>
      <c r="U83" s="39"/>
      <c r="V83" s="117">
        <v>46162</v>
      </c>
      <c r="W83" s="39">
        <f>208+13</f>
        <v>221</v>
      </c>
      <c r="X83" s="117">
        <v>46199</v>
      </c>
      <c r="Y83" s="39">
        <v>195</v>
      </c>
      <c r="Z83" s="39">
        <v>12</v>
      </c>
      <c r="AA83" s="39"/>
      <c r="AB83" s="119">
        <f t="shared" si="2"/>
        <v>207</v>
      </c>
      <c r="AC83" s="39"/>
      <c r="AD83" s="39"/>
      <c r="AE83" s="39"/>
      <c r="AF83" s="39"/>
      <c r="AG83" s="39"/>
      <c r="AH83" s="39">
        <f t="shared" si="3"/>
        <v>0</v>
      </c>
      <c r="AI83" s="39"/>
      <c r="AJ83" s="39"/>
      <c r="AK83" s="39"/>
      <c r="AL83" s="39"/>
      <c r="AM83" s="39"/>
      <c r="AN83" s="39">
        <f t="shared" si="4"/>
        <v>0</v>
      </c>
      <c r="AO83" s="39"/>
      <c r="AP83" s="39"/>
      <c r="AQ83" s="39"/>
      <c r="AR83" s="39"/>
      <c r="AS83" s="39"/>
      <c r="AT83" s="39">
        <f t="shared" si="5"/>
        <v>0</v>
      </c>
      <c r="AU83" s="39"/>
      <c r="AV83" s="39"/>
      <c r="AW83" s="39"/>
      <c r="AX83" s="39"/>
      <c r="AY83" s="39"/>
      <c r="AZ83" s="39">
        <f t="shared" si="6"/>
        <v>0</v>
      </c>
      <c r="BA83" s="39"/>
      <c r="BB83" s="39"/>
      <c r="BC83" s="39"/>
      <c r="BD83" s="39"/>
      <c r="BE83" s="39"/>
      <c r="BF83" s="39">
        <f t="shared" si="7"/>
        <v>0</v>
      </c>
      <c r="BG83" s="39"/>
      <c r="BH83" s="39"/>
      <c r="BI83" s="39"/>
      <c r="BJ83" s="39"/>
      <c r="BK83" s="39"/>
      <c r="BL83" s="39">
        <f t="shared" si="8"/>
        <v>0</v>
      </c>
      <c r="BM83" s="54" t="str">
        <f t="shared" si="9"/>
        <v/>
      </c>
      <c r="BN83" s="58">
        <v>46179</v>
      </c>
      <c r="BO83" s="57">
        <v>46188</v>
      </c>
      <c r="BP83" s="36"/>
      <c r="BQ83" s="36"/>
      <c r="BR83" s="50">
        <v>46199</v>
      </c>
      <c r="BS83" s="50">
        <v>46199</v>
      </c>
      <c r="BT83" s="39">
        <v>1512</v>
      </c>
      <c r="BU83" s="39">
        <v>195</v>
      </c>
      <c r="BV83" s="39">
        <v>1512</v>
      </c>
      <c r="BW83" s="39">
        <v>12</v>
      </c>
      <c r="BX83" s="39"/>
      <c r="BY83" s="39"/>
      <c r="BZ83" s="39">
        <f t="shared" si="10"/>
        <v>207</v>
      </c>
      <c r="CA83" s="39">
        <f t="shared" si="11"/>
        <v>13</v>
      </c>
      <c r="CB83" s="39">
        <f t="shared" si="12"/>
        <v>2</v>
      </c>
      <c r="CC83" s="39">
        <f t="shared" si="13"/>
        <v>0</v>
      </c>
      <c r="CD83" s="39">
        <f t="shared" si="14"/>
        <v>0</v>
      </c>
      <c r="CE83" s="102">
        <f t="shared" si="15"/>
        <v>0</v>
      </c>
      <c r="CF83" s="36" t="s">
        <v>408</v>
      </c>
      <c r="CG83" s="39" t="s">
        <v>282</v>
      </c>
      <c r="CH83" s="39"/>
      <c r="CI83" s="25">
        <v>1</v>
      </c>
    </row>
    <row r="84" spans="1:87" ht="24.75" customHeight="1">
      <c r="A84" s="36" t="s">
        <v>50</v>
      </c>
      <c r="B84" s="26">
        <v>47610</v>
      </c>
      <c r="C84" s="227">
        <v>13252965</v>
      </c>
      <c r="D84" s="36"/>
      <c r="E84" s="39">
        <v>120</v>
      </c>
      <c r="F84" s="39" t="s">
        <v>59</v>
      </c>
      <c r="G84" s="36" t="s">
        <v>605</v>
      </c>
      <c r="H84" s="39" t="s">
        <v>22</v>
      </c>
      <c r="I84" s="39">
        <v>57</v>
      </c>
      <c r="J84" s="39"/>
      <c r="K84" s="39"/>
      <c r="L84" s="39">
        <f t="shared" ref="L84:L85" si="41">SUM(I84:K84)</f>
        <v>57</v>
      </c>
      <c r="M84" s="117">
        <v>46153</v>
      </c>
      <c r="N84" s="117">
        <v>46160</v>
      </c>
      <c r="O84" s="39"/>
      <c r="P84" s="39"/>
      <c r="Q84" s="39"/>
      <c r="R84" s="39">
        <f t="shared" ref="R84:R89" si="42">SUM(O84:Q84)</f>
        <v>0</v>
      </c>
      <c r="S84" s="39" t="s">
        <v>130</v>
      </c>
      <c r="T84" s="39">
        <v>107194</v>
      </c>
      <c r="U84" s="117">
        <v>46199</v>
      </c>
      <c r="V84" s="39"/>
      <c r="W84" s="39"/>
      <c r="X84" s="39"/>
      <c r="Y84" s="39">
        <v>73</v>
      </c>
      <c r="Z84" s="39"/>
      <c r="AA84" s="39"/>
      <c r="AB84" s="119">
        <f t="shared" ref="AB84:AB89" si="43">SUM(Y84:AA84)</f>
        <v>73</v>
      </c>
      <c r="AC84" s="39"/>
      <c r="AD84" s="39"/>
      <c r="AE84" s="39"/>
      <c r="AF84" s="39"/>
      <c r="AG84" s="39"/>
      <c r="AH84" s="39">
        <f t="shared" si="3"/>
        <v>0</v>
      </c>
      <c r="AI84" s="39"/>
      <c r="AJ84" s="39"/>
      <c r="AK84" s="39"/>
      <c r="AL84" s="39"/>
      <c r="AM84" s="39"/>
      <c r="AN84" s="39">
        <f t="shared" si="4"/>
        <v>0</v>
      </c>
      <c r="AO84" s="39"/>
      <c r="AP84" s="39"/>
      <c r="AQ84" s="39"/>
      <c r="AR84" s="39"/>
      <c r="AS84" s="39"/>
      <c r="AT84" s="39">
        <f t="shared" si="5"/>
        <v>0</v>
      </c>
      <c r="AU84" s="39"/>
      <c r="AV84" s="39"/>
      <c r="AW84" s="39"/>
      <c r="AX84" s="39"/>
      <c r="AY84" s="39"/>
      <c r="AZ84" s="39">
        <f t="shared" si="6"/>
        <v>0</v>
      </c>
      <c r="BA84" s="39"/>
      <c r="BB84" s="39"/>
      <c r="BC84" s="39"/>
      <c r="BD84" s="39"/>
      <c r="BE84" s="39"/>
      <c r="BF84" s="39">
        <f t="shared" si="7"/>
        <v>0</v>
      </c>
      <c r="BG84" s="39"/>
      <c r="BH84" s="39"/>
      <c r="BI84" s="39"/>
      <c r="BJ84" s="39"/>
      <c r="BK84" s="39"/>
      <c r="BL84" s="39">
        <f t="shared" si="8"/>
        <v>0</v>
      </c>
      <c r="BM84" s="54" t="str">
        <f t="shared" si="9"/>
        <v/>
      </c>
      <c r="BN84" s="58">
        <v>46183</v>
      </c>
      <c r="BO84" s="57">
        <v>46195</v>
      </c>
      <c r="BP84" s="36"/>
      <c r="BQ84" s="36"/>
      <c r="BR84" s="229">
        <v>46200</v>
      </c>
      <c r="BS84" s="229">
        <v>46202</v>
      </c>
      <c r="BT84" s="39">
        <v>2141</v>
      </c>
      <c r="BU84" s="39">
        <v>57</v>
      </c>
      <c r="BV84" s="39"/>
      <c r="BW84" s="39"/>
      <c r="BX84" s="39"/>
      <c r="BY84" s="39"/>
      <c r="BZ84" s="39">
        <f t="shared" si="10"/>
        <v>57</v>
      </c>
      <c r="CA84" s="39">
        <f t="shared" si="11"/>
        <v>0</v>
      </c>
      <c r="CB84" s="39">
        <f t="shared" si="12"/>
        <v>0</v>
      </c>
      <c r="CC84" s="39">
        <f t="shared" si="13"/>
        <v>0</v>
      </c>
      <c r="CD84" s="39">
        <f t="shared" si="14"/>
        <v>0</v>
      </c>
      <c r="CE84" s="102">
        <f t="shared" si="15"/>
        <v>0</v>
      </c>
      <c r="CF84" s="36" t="s">
        <v>408</v>
      </c>
      <c r="CG84" s="39" t="s">
        <v>282</v>
      </c>
      <c r="CH84" s="39"/>
      <c r="CI84" s="25">
        <v>1</v>
      </c>
    </row>
    <row r="85" spans="1:87" ht="24.75" customHeight="1">
      <c r="A85" s="36" t="s">
        <v>50</v>
      </c>
      <c r="B85" s="26">
        <v>47610</v>
      </c>
      <c r="C85" s="231"/>
      <c r="D85" s="36"/>
      <c r="E85" s="39">
        <v>120</v>
      </c>
      <c r="F85" s="39" t="s">
        <v>59</v>
      </c>
      <c r="G85" s="36" t="s">
        <v>671</v>
      </c>
      <c r="H85" s="39" t="s">
        <v>22</v>
      </c>
      <c r="I85" s="39">
        <v>154</v>
      </c>
      <c r="J85" s="39"/>
      <c r="K85" s="39"/>
      <c r="L85" s="39">
        <f t="shared" si="41"/>
        <v>154</v>
      </c>
      <c r="M85" s="117">
        <v>46153</v>
      </c>
      <c r="N85" s="117">
        <v>46160</v>
      </c>
      <c r="O85" s="39"/>
      <c r="P85" s="39"/>
      <c r="Q85" s="39"/>
      <c r="R85" s="39">
        <f t="shared" ref="R85:R88" si="44">SUM(O85:Q85)</f>
        <v>0</v>
      </c>
      <c r="S85" s="39" t="s">
        <v>130</v>
      </c>
      <c r="T85" s="39">
        <v>107199</v>
      </c>
      <c r="U85" s="117">
        <v>46200</v>
      </c>
      <c r="V85" s="39"/>
      <c r="W85" s="39"/>
      <c r="X85" s="39"/>
      <c r="Y85" s="39">
        <v>185</v>
      </c>
      <c r="Z85" s="39"/>
      <c r="AA85" s="39"/>
      <c r="AB85" s="119">
        <f t="shared" ref="AB85:AB88" si="45">SUM(Y85:AA85)</f>
        <v>185</v>
      </c>
      <c r="AC85" s="39"/>
      <c r="AD85" s="39"/>
      <c r="AE85" s="39"/>
      <c r="AF85" s="39"/>
      <c r="AG85" s="39"/>
      <c r="AH85" s="39">
        <f t="shared" si="3"/>
        <v>0</v>
      </c>
      <c r="AI85" s="39"/>
      <c r="AJ85" s="39"/>
      <c r="AK85" s="39"/>
      <c r="AL85" s="39"/>
      <c r="AM85" s="39"/>
      <c r="AN85" s="39">
        <f t="shared" si="4"/>
        <v>0</v>
      </c>
      <c r="AO85" s="39"/>
      <c r="AP85" s="39"/>
      <c r="AQ85" s="39"/>
      <c r="AR85" s="39"/>
      <c r="AS85" s="39"/>
      <c r="AT85" s="39">
        <f t="shared" si="5"/>
        <v>0</v>
      </c>
      <c r="AU85" s="39"/>
      <c r="AV85" s="39"/>
      <c r="AW85" s="39"/>
      <c r="AX85" s="39"/>
      <c r="AY85" s="39"/>
      <c r="AZ85" s="39">
        <f t="shared" si="6"/>
        <v>0</v>
      </c>
      <c r="BA85" s="39"/>
      <c r="BB85" s="39"/>
      <c r="BC85" s="39"/>
      <c r="BD85" s="39"/>
      <c r="BE85" s="39"/>
      <c r="BF85" s="39">
        <f t="shared" si="7"/>
        <v>0</v>
      </c>
      <c r="BG85" s="39"/>
      <c r="BH85" s="39"/>
      <c r="BI85" s="39"/>
      <c r="BJ85" s="39"/>
      <c r="BK85" s="39"/>
      <c r="BL85" s="39">
        <f t="shared" si="8"/>
        <v>0</v>
      </c>
      <c r="BM85" s="54" t="str">
        <f t="shared" si="9"/>
        <v/>
      </c>
      <c r="BN85" s="58">
        <v>46183</v>
      </c>
      <c r="BO85" s="57">
        <v>46195</v>
      </c>
      <c r="BP85" s="36"/>
      <c r="BQ85" s="36"/>
      <c r="BR85" s="232"/>
      <c r="BS85" s="232"/>
      <c r="BT85" s="39">
        <v>2141</v>
      </c>
      <c r="BU85" s="39">
        <v>157</v>
      </c>
      <c r="BV85" s="39"/>
      <c r="BW85" s="39"/>
      <c r="BX85" s="39"/>
      <c r="BY85" s="39"/>
      <c r="BZ85" s="39">
        <f t="shared" si="10"/>
        <v>157</v>
      </c>
      <c r="CA85" s="39">
        <f t="shared" si="11"/>
        <v>3</v>
      </c>
      <c r="CB85" s="39">
        <f t="shared" si="12"/>
        <v>0</v>
      </c>
      <c r="CC85" s="39">
        <f t="shared" si="13"/>
        <v>0</v>
      </c>
      <c r="CD85" s="39">
        <f t="shared" si="14"/>
        <v>0</v>
      </c>
      <c r="CE85" s="102">
        <f t="shared" si="15"/>
        <v>0</v>
      </c>
      <c r="CF85" s="36" t="s">
        <v>408</v>
      </c>
      <c r="CG85" s="39" t="s">
        <v>282</v>
      </c>
      <c r="CH85" s="39"/>
      <c r="CI85" s="25">
        <v>1</v>
      </c>
    </row>
    <row r="86" spans="1:87" ht="24.75" customHeight="1">
      <c r="A86" s="36" t="s">
        <v>50</v>
      </c>
      <c r="B86" s="26">
        <v>47610</v>
      </c>
      <c r="C86" s="231"/>
      <c r="D86" s="36"/>
      <c r="E86" s="39">
        <v>120</v>
      </c>
      <c r="F86" s="39" t="s">
        <v>59</v>
      </c>
      <c r="G86" s="36" t="s">
        <v>352</v>
      </c>
      <c r="H86" s="39" t="s">
        <v>22</v>
      </c>
      <c r="I86" s="39">
        <v>99</v>
      </c>
      <c r="J86" s="39"/>
      <c r="K86" s="39"/>
      <c r="L86" s="39">
        <f t="shared" ref="L86:L87" si="46">SUM(I86:K86)</f>
        <v>99</v>
      </c>
      <c r="M86" s="117">
        <v>46153</v>
      </c>
      <c r="N86" s="117">
        <v>46160</v>
      </c>
      <c r="O86" s="39"/>
      <c r="P86" s="39"/>
      <c r="Q86" s="39"/>
      <c r="R86" s="39">
        <f t="shared" si="44"/>
        <v>0</v>
      </c>
      <c r="S86" s="39" t="s">
        <v>130</v>
      </c>
      <c r="T86" s="39">
        <v>107191</v>
      </c>
      <c r="U86" s="117">
        <v>46200</v>
      </c>
      <c r="V86" s="39"/>
      <c r="W86" s="39"/>
      <c r="X86" s="39"/>
      <c r="Y86" s="39">
        <v>121</v>
      </c>
      <c r="Z86" s="39"/>
      <c r="AA86" s="39"/>
      <c r="AB86" s="119">
        <f t="shared" si="45"/>
        <v>121</v>
      </c>
      <c r="AC86" s="39"/>
      <c r="AD86" s="39"/>
      <c r="AE86" s="39"/>
      <c r="AF86" s="39"/>
      <c r="AG86" s="39"/>
      <c r="AH86" s="39">
        <f t="shared" si="3"/>
        <v>0</v>
      </c>
      <c r="AI86" s="39"/>
      <c r="AJ86" s="39"/>
      <c r="AK86" s="39"/>
      <c r="AL86" s="39"/>
      <c r="AM86" s="39"/>
      <c r="AN86" s="39">
        <f t="shared" si="4"/>
        <v>0</v>
      </c>
      <c r="AO86" s="39"/>
      <c r="AP86" s="39"/>
      <c r="AQ86" s="39"/>
      <c r="AR86" s="39"/>
      <c r="AS86" s="39"/>
      <c r="AT86" s="39">
        <f t="shared" si="5"/>
        <v>0</v>
      </c>
      <c r="AU86" s="39"/>
      <c r="AV86" s="39"/>
      <c r="AW86" s="39"/>
      <c r="AX86" s="39"/>
      <c r="AY86" s="39"/>
      <c r="AZ86" s="39">
        <f t="shared" si="6"/>
        <v>0</v>
      </c>
      <c r="BA86" s="39"/>
      <c r="BB86" s="39"/>
      <c r="BC86" s="39"/>
      <c r="BD86" s="39"/>
      <c r="BE86" s="39"/>
      <c r="BF86" s="39">
        <f t="shared" si="7"/>
        <v>0</v>
      </c>
      <c r="BG86" s="39"/>
      <c r="BH86" s="39"/>
      <c r="BI86" s="39"/>
      <c r="BJ86" s="39"/>
      <c r="BK86" s="39"/>
      <c r="BL86" s="39">
        <f t="shared" si="8"/>
        <v>0</v>
      </c>
      <c r="BM86" s="54" t="str">
        <f t="shared" si="9"/>
        <v/>
      </c>
      <c r="BN86" s="58">
        <v>46183</v>
      </c>
      <c r="BO86" s="57">
        <v>46195</v>
      </c>
      <c r="BP86" s="36"/>
      <c r="BQ86" s="36"/>
      <c r="BR86" s="232"/>
      <c r="BS86" s="232"/>
      <c r="BT86" s="39">
        <v>2140</v>
      </c>
      <c r="BU86" s="39">
        <v>99</v>
      </c>
      <c r="BV86" s="39"/>
      <c r="BW86" s="39"/>
      <c r="BX86" s="39"/>
      <c r="BY86" s="39"/>
      <c r="BZ86" s="39">
        <f t="shared" si="10"/>
        <v>99</v>
      </c>
      <c r="CA86" s="39">
        <f t="shared" si="11"/>
        <v>0</v>
      </c>
      <c r="CB86" s="39">
        <f t="shared" si="12"/>
        <v>0</v>
      </c>
      <c r="CC86" s="39">
        <f t="shared" si="13"/>
        <v>0</v>
      </c>
      <c r="CD86" s="39">
        <f t="shared" si="14"/>
        <v>0</v>
      </c>
      <c r="CE86" s="102">
        <f t="shared" si="15"/>
        <v>0</v>
      </c>
      <c r="CF86" s="36" t="s">
        <v>408</v>
      </c>
      <c r="CG86" s="39" t="s">
        <v>282</v>
      </c>
      <c r="CH86" s="39"/>
      <c r="CI86" s="25">
        <v>1</v>
      </c>
    </row>
    <row r="87" spans="1:87" ht="24.75" customHeight="1">
      <c r="A87" s="36" t="s">
        <v>50</v>
      </c>
      <c r="B87" s="26">
        <v>47610</v>
      </c>
      <c r="C87" s="231"/>
      <c r="D87" s="36"/>
      <c r="E87" s="39">
        <v>120</v>
      </c>
      <c r="F87" s="39" t="s">
        <v>59</v>
      </c>
      <c r="G87" s="36" t="s">
        <v>604</v>
      </c>
      <c r="H87" s="39" t="s">
        <v>22</v>
      </c>
      <c r="I87" s="39">
        <v>58</v>
      </c>
      <c r="J87" s="39"/>
      <c r="K87" s="39"/>
      <c r="L87" s="39">
        <f t="shared" si="46"/>
        <v>58</v>
      </c>
      <c r="M87" s="117">
        <v>46153</v>
      </c>
      <c r="N87" s="117">
        <v>46160</v>
      </c>
      <c r="O87" s="39"/>
      <c r="P87" s="39"/>
      <c r="Q87" s="39"/>
      <c r="R87" s="39">
        <f t="shared" si="44"/>
        <v>0</v>
      </c>
      <c r="S87" s="39" t="s">
        <v>130</v>
      </c>
      <c r="T87" s="39">
        <v>107203</v>
      </c>
      <c r="U87" s="117">
        <v>46198</v>
      </c>
      <c r="V87" s="39"/>
      <c r="W87" s="39"/>
      <c r="X87" s="39"/>
      <c r="Y87" s="39">
        <v>73</v>
      </c>
      <c r="Z87" s="39"/>
      <c r="AA87" s="39"/>
      <c r="AB87" s="119">
        <f t="shared" si="45"/>
        <v>73</v>
      </c>
      <c r="AC87" s="39"/>
      <c r="AD87" s="39"/>
      <c r="AE87" s="39"/>
      <c r="AF87" s="39"/>
      <c r="AG87" s="39"/>
      <c r="AH87" s="39">
        <f t="shared" si="3"/>
        <v>0</v>
      </c>
      <c r="AI87" s="39"/>
      <c r="AJ87" s="39"/>
      <c r="AK87" s="39"/>
      <c r="AL87" s="39"/>
      <c r="AM87" s="39"/>
      <c r="AN87" s="39">
        <f t="shared" si="4"/>
        <v>0</v>
      </c>
      <c r="AO87" s="39"/>
      <c r="AP87" s="39"/>
      <c r="AQ87" s="39"/>
      <c r="AR87" s="39"/>
      <c r="AS87" s="39"/>
      <c r="AT87" s="39">
        <f t="shared" si="5"/>
        <v>0</v>
      </c>
      <c r="AU87" s="39"/>
      <c r="AV87" s="39"/>
      <c r="AW87" s="39"/>
      <c r="AX87" s="39"/>
      <c r="AY87" s="39"/>
      <c r="AZ87" s="39">
        <f t="shared" si="6"/>
        <v>0</v>
      </c>
      <c r="BA87" s="39"/>
      <c r="BB87" s="39"/>
      <c r="BC87" s="39"/>
      <c r="BD87" s="39"/>
      <c r="BE87" s="39"/>
      <c r="BF87" s="39">
        <f t="shared" si="7"/>
        <v>0</v>
      </c>
      <c r="BG87" s="39"/>
      <c r="BH87" s="39"/>
      <c r="BI87" s="39"/>
      <c r="BJ87" s="39"/>
      <c r="BK87" s="39"/>
      <c r="BL87" s="39">
        <f t="shared" si="8"/>
        <v>0</v>
      </c>
      <c r="BM87" s="54" t="str">
        <f t="shared" si="9"/>
        <v/>
      </c>
      <c r="BN87" s="58">
        <v>46183</v>
      </c>
      <c r="BO87" s="57">
        <v>46195</v>
      </c>
      <c r="BP87" s="36"/>
      <c r="BQ87" s="36"/>
      <c r="BR87" s="232"/>
      <c r="BS87" s="232"/>
      <c r="BT87" s="39">
        <v>2130</v>
      </c>
      <c r="BU87" s="39">
        <v>59</v>
      </c>
      <c r="BV87" s="39"/>
      <c r="BW87" s="39"/>
      <c r="BX87" s="39"/>
      <c r="BY87" s="39"/>
      <c r="BZ87" s="39">
        <f t="shared" si="10"/>
        <v>59</v>
      </c>
      <c r="CA87" s="39">
        <f t="shared" si="11"/>
        <v>1</v>
      </c>
      <c r="CB87" s="39">
        <f t="shared" si="12"/>
        <v>0</v>
      </c>
      <c r="CC87" s="39">
        <f t="shared" si="13"/>
        <v>0</v>
      </c>
      <c r="CD87" s="39">
        <f t="shared" si="14"/>
        <v>0</v>
      </c>
      <c r="CE87" s="102">
        <f t="shared" si="15"/>
        <v>0</v>
      </c>
      <c r="CF87" s="36" t="s">
        <v>408</v>
      </c>
      <c r="CG87" s="39" t="s">
        <v>282</v>
      </c>
      <c r="CH87" s="39"/>
      <c r="CI87" s="25">
        <v>1</v>
      </c>
    </row>
    <row r="88" spans="1:87" ht="24.75" customHeight="1">
      <c r="A88" s="36" t="s">
        <v>50</v>
      </c>
      <c r="B88" s="26">
        <v>47610</v>
      </c>
      <c r="C88" s="228"/>
      <c r="D88" s="36"/>
      <c r="E88" s="39"/>
      <c r="F88" s="39"/>
      <c r="G88" s="36" t="s">
        <v>750</v>
      </c>
      <c r="H88" s="39">
        <f>616+1663+1075+633</f>
        <v>3987</v>
      </c>
      <c r="I88" s="39" t="s">
        <v>90</v>
      </c>
      <c r="J88" s="39"/>
      <c r="K88" s="39"/>
      <c r="L88" s="39">
        <f t="shared" ref="L88:L89" si="47">SUM(I88:K88)</f>
        <v>0</v>
      </c>
      <c r="M88" s="117">
        <v>46153</v>
      </c>
      <c r="N88" s="117">
        <v>46160</v>
      </c>
      <c r="O88" s="39"/>
      <c r="P88" s="39"/>
      <c r="Q88" s="39"/>
      <c r="R88" s="39">
        <f t="shared" si="44"/>
        <v>0</v>
      </c>
      <c r="S88" s="39" t="s">
        <v>130</v>
      </c>
      <c r="T88" s="39"/>
      <c r="U88" s="39"/>
      <c r="V88" s="39"/>
      <c r="W88" s="39"/>
      <c r="X88" s="39"/>
      <c r="Y88" s="39"/>
      <c r="Z88" s="39"/>
      <c r="AA88" s="39"/>
      <c r="AB88" s="39">
        <f t="shared" si="45"/>
        <v>0</v>
      </c>
      <c r="AC88" s="39"/>
      <c r="AD88" s="39"/>
      <c r="AE88" s="39"/>
      <c r="AF88" s="39"/>
      <c r="AG88" s="39"/>
      <c r="AH88" s="39">
        <f t="shared" si="3"/>
        <v>0</v>
      </c>
      <c r="AI88" s="39"/>
      <c r="AJ88" s="39"/>
      <c r="AK88" s="39"/>
      <c r="AL88" s="39"/>
      <c r="AM88" s="39"/>
      <c r="AN88" s="39">
        <f t="shared" si="4"/>
        <v>0</v>
      </c>
      <c r="AO88" s="39"/>
      <c r="AP88" s="39"/>
      <c r="AQ88" s="39"/>
      <c r="AR88" s="39"/>
      <c r="AS88" s="39"/>
      <c r="AT88" s="39">
        <f t="shared" si="5"/>
        <v>0</v>
      </c>
      <c r="AU88" s="39"/>
      <c r="AV88" s="39"/>
      <c r="AW88" s="39"/>
      <c r="AX88" s="39"/>
      <c r="AY88" s="39"/>
      <c r="AZ88" s="39">
        <f t="shared" si="6"/>
        <v>0</v>
      </c>
      <c r="BA88" s="39"/>
      <c r="BB88" s="39"/>
      <c r="BC88" s="39"/>
      <c r="BD88" s="39"/>
      <c r="BE88" s="39"/>
      <c r="BF88" s="39">
        <f t="shared" si="7"/>
        <v>0</v>
      </c>
      <c r="BG88" s="39"/>
      <c r="BH88" s="39"/>
      <c r="BI88" s="39"/>
      <c r="BJ88" s="39"/>
      <c r="BK88" s="39"/>
      <c r="BL88" s="39">
        <f t="shared" si="8"/>
        <v>0</v>
      </c>
      <c r="BM88" s="54" t="e">
        <f t="shared" si="9"/>
        <v>#DIV/0!</v>
      </c>
      <c r="BN88" s="58">
        <v>46183</v>
      </c>
      <c r="BO88" s="57">
        <v>46195</v>
      </c>
      <c r="BP88" s="36"/>
      <c r="BQ88" s="36"/>
      <c r="BR88" s="230"/>
      <c r="BS88" s="230"/>
      <c r="BT88" s="39"/>
      <c r="BU88" s="39"/>
      <c r="BV88" s="39"/>
      <c r="BW88" s="39"/>
      <c r="BX88" s="39"/>
      <c r="BY88" s="39"/>
      <c r="BZ88" s="39">
        <f t="shared" si="10"/>
        <v>0</v>
      </c>
      <c r="CA88" s="39" t="e">
        <f t="shared" si="11"/>
        <v>#VALUE!</v>
      </c>
      <c r="CB88" s="39">
        <f t="shared" si="12"/>
        <v>0</v>
      </c>
      <c r="CC88" s="39">
        <f t="shared" si="13"/>
        <v>0</v>
      </c>
      <c r="CD88" s="39">
        <f t="shared" si="14"/>
        <v>0</v>
      </c>
      <c r="CE88" s="102" t="e">
        <f t="shared" si="15"/>
        <v>#DIV/0!</v>
      </c>
      <c r="CF88" s="36" t="s">
        <v>408</v>
      </c>
      <c r="CG88" s="39" t="s">
        <v>282</v>
      </c>
      <c r="CH88" s="39"/>
      <c r="CI88" s="25">
        <v>1</v>
      </c>
    </row>
    <row r="89" spans="1:87" ht="24.75" customHeight="1">
      <c r="A89" s="36" t="s">
        <v>50</v>
      </c>
      <c r="B89" s="26">
        <v>47603</v>
      </c>
      <c r="C89" s="227">
        <v>13261625</v>
      </c>
      <c r="D89" s="36" t="s">
        <v>37</v>
      </c>
      <c r="E89" s="39">
        <v>200</v>
      </c>
      <c r="F89" s="39" t="s">
        <v>60</v>
      </c>
      <c r="G89" s="36" t="s">
        <v>672</v>
      </c>
      <c r="H89" s="39" t="s">
        <v>89</v>
      </c>
      <c r="I89" s="39">
        <v>126</v>
      </c>
      <c r="J89" s="39"/>
      <c r="K89" s="39"/>
      <c r="L89" s="39">
        <f t="shared" si="47"/>
        <v>126</v>
      </c>
      <c r="M89" s="117">
        <v>46162</v>
      </c>
      <c r="N89" s="117">
        <v>46167</v>
      </c>
      <c r="O89" s="39"/>
      <c r="P89" s="39"/>
      <c r="Q89" s="39"/>
      <c r="R89" s="39">
        <f t="shared" si="42"/>
        <v>0</v>
      </c>
      <c r="S89" s="39" t="s">
        <v>590</v>
      </c>
      <c r="T89" s="39"/>
      <c r="U89" s="39"/>
      <c r="V89" s="117">
        <v>46157</v>
      </c>
      <c r="W89" s="39">
        <v>152</v>
      </c>
      <c r="X89" s="117">
        <v>46205</v>
      </c>
      <c r="Y89" s="39">
        <v>127</v>
      </c>
      <c r="Z89" s="39"/>
      <c r="AA89" s="39"/>
      <c r="AB89" s="119">
        <f t="shared" si="43"/>
        <v>127</v>
      </c>
      <c r="AC89" s="39" t="s">
        <v>139</v>
      </c>
      <c r="AD89" s="117">
        <v>46209</v>
      </c>
      <c r="AE89" s="39">
        <v>132</v>
      </c>
      <c r="AF89" s="117">
        <v>46217</v>
      </c>
      <c r="AG89" s="39">
        <v>126</v>
      </c>
      <c r="AH89" s="39">
        <f t="shared" si="3"/>
        <v>-6</v>
      </c>
      <c r="AI89" s="39"/>
      <c r="AJ89" s="39"/>
      <c r="AK89" s="39"/>
      <c r="AL89" s="39"/>
      <c r="AM89" s="39"/>
      <c r="AN89" s="39">
        <f t="shared" si="4"/>
        <v>0</v>
      </c>
      <c r="AO89" s="39"/>
      <c r="AP89" s="39"/>
      <c r="AQ89" s="39"/>
      <c r="AR89" s="39"/>
      <c r="AS89" s="39"/>
      <c r="AT89" s="39">
        <f t="shared" si="5"/>
        <v>0</v>
      </c>
      <c r="AU89" s="39"/>
      <c r="AV89" s="39"/>
      <c r="AW89" s="39"/>
      <c r="AX89" s="39"/>
      <c r="AY89" s="39"/>
      <c r="AZ89" s="39">
        <f t="shared" si="6"/>
        <v>0</v>
      </c>
      <c r="BA89" s="39"/>
      <c r="BB89" s="39"/>
      <c r="BC89" s="39"/>
      <c r="BD89" s="39"/>
      <c r="BE89" s="39"/>
      <c r="BF89" s="39">
        <f t="shared" si="7"/>
        <v>0</v>
      </c>
      <c r="BG89" s="39"/>
      <c r="BH89" s="39"/>
      <c r="BI89" s="39"/>
      <c r="BJ89" s="39"/>
      <c r="BK89" s="39"/>
      <c r="BL89" s="39">
        <f t="shared" si="8"/>
        <v>0</v>
      </c>
      <c r="BM89" s="54" t="str">
        <f t="shared" si="9"/>
        <v/>
      </c>
      <c r="BN89" s="58">
        <v>46181</v>
      </c>
      <c r="BO89" s="57">
        <v>46193</v>
      </c>
      <c r="BP89" s="57">
        <v>46196</v>
      </c>
      <c r="BQ89" s="57">
        <v>46201</v>
      </c>
      <c r="BR89" s="229">
        <v>46205</v>
      </c>
      <c r="BS89" s="229">
        <v>46220</v>
      </c>
      <c r="BT89" s="39" t="s">
        <v>1694</v>
      </c>
      <c r="BU89" s="39">
        <f>80+41</f>
        <v>121</v>
      </c>
      <c r="BV89" s="39"/>
      <c r="BW89" s="39"/>
      <c r="BX89" s="39"/>
      <c r="BY89" s="39"/>
      <c r="BZ89" s="39">
        <f t="shared" si="10"/>
        <v>121</v>
      </c>
      <c r="CA89" s="39">
        <f t="shared" si="11"/>
        <v>-5</v>
      </c>
      <c r="CB89" s="39">
        <f t="shared" si="12"/>
        <v>0</v>
      </c>
      <c r="CC89" s="39">
        <f t="shared" si="13"/>
        <v>0</v>
      </c>
      <c r="CD89" s="39">
        <v>0</v>
      </c>
      <c r="CE89" s="102">
        <f t="shared" si="15"/>
        <v>0</v>
      </c>
      <c r="CF89" s="36" t="s">
        <v>408</v>
      </c>
      <c r="CG89" s="39" t="s">
        <v>282</v>
      </c>
      <c r="CH89" s="39"/>
      <c r="CI89" s="25">
        <v>1</v>
      </c>
    </row>
    <row r="90" spans="1:87" ht="24.75" customHeight="1">
      <c r="A90" s="36" t="s">
        <v>50</v>
      </c>
      <c r="B90" s="26">
        <v>47603</v>
      </c>
      <c r="C90" s="228"/>
      <c r="D90" s="36" t="s">
        <v>37</v>
      </c>
      <c r="E90" s="39">
        <v>200</v>
      </c>
      <c r="F90" s="39" t="s">
        <v>60</v>
      </c>
      <c r="G90" s="36" t="s">
        <v>323</v>
      </c>
      <c r="H90" s="39" t="s">
        <v>89</v>
      </c>
      <c r="I90" s="39">
        <v>252</v>
      </c>
      <c r="J90" s="39"/>
      <c r="K90" s="39"/>
      <c r="L90" s="39">
        <f t="shared" si="40"/>
        <v>252</v>
      </c>
      <c r="M90" s="117">
        <v>46162</v>
      </c>
      <c r="N90" s="117">
        <v>46167</v>
      </c>
      <c r="O90" s="39"/>
      <c r="P90" s="39"/>
      <c r="Q90" s="39"/>
      <c r="R90" s="39">
        <f t="shared" ref="R90" si="48">SUM(O90:Q90)</f>
        <v>0</v>
      </c>
      <c r="S90" s="39" t="s">
        <v>130</v>
      </c>
      <c r="T90" s="39">
        <v>106983</v>
      </c>
      <c r="U90" s="117">
        <v>46188</v>
      </c>
      <c r="V90" s="39"/>
      <c r="W90" s="39"/>
      <c r="X90" s="39"/>
      <c r="Y90" s="39">
        <v>284</v>
      </c>
      <c r="Z90" s="39"/>
      <c r="AA90" s="39"/>
      <c r="AB90" s="119">
        <f t="shared" ref="AB90" si="49">SUM(Y90:AA90)</f>
        <v>284</v>
      </c>
      <c r="AC90" s="39" t="s">
        <v>139</v>
      </c>
      <c r="AD90" s="117">
        <v>46190</v>
      </c>
      <c r="AE90" s="39">
        <v>254</v>
      </c>
      <c r="AF90" s="117" t="s">
        <v>1285</v>
      </c>
      <c r="AG90" s="39">
        <f>5+248</f>
        <v>253</v>
      </c>
      <c r="AH90" s="39">
        <f t="shared" si="3"/>
        <v>-1</v>
      </c>
      <c r="AI90" s="39"/>
      <c r="AJ90" s="39"/>
      <c r="AK90" s="39"/>
      <c r="AL90" s="39"/>
      <c r="AM90" s="39"/>
      <c r="AN90" s="39">
        <f t="shared" si="4"/>
        <v>0</v>
      </c>
      <c r="AO90" s="39"/>
      <c r="AP90" s="39"/>
      <c r="AQ90" s="39"/>
      <c r="AR90" s="39"/>
      <c r="AS90" s="39"/>
      <c r="AT90" s="39">
        <f t="shared" si="5"/>
        <v>0</v>
      </c>
      <c r="AU90" s="39"/>
      <c r="AV90" s="39"/>
      <c r="AW90" s="39"/>
      <c r="AX90" s="39"/>
      <c r="AY90" s="39"/>
      <c r="AZ90" s="39">
        <f t="shared" si="6"/>
        <v>0</v>
      </c>
      <c r="BA90" s="39"/>
      <c r="BB90" s="39"/>
      <c r="BC90" s="39"/>
      <c r="BD90" s="39"/>
      <c r="BE90" s="39"/>
      <c r="BF90" s="39">
        <f t="shared" si="7"/>
        <v>0</v>
      </c>
      <c r="BG90" s="39"/>
      <c r="BH90" s="39"/>
      <c r="BI90" s="39"/>
      <c r="BJ90" s="39"/>
      <c r="BK90" s="39"/>
      <c r="BL90" s="39">
        <f t="shared" si="8"/>
        <v>0</v>
      </c>
      <c r="BM90" s="54" t="str">
        <f t="shared" si="9"/>
        <v/>
      </c>
      <c r="BN90" s="58">
        <v>46181</v>
      </c>
      <c r="BO90" s="57">
        <v>46193</v>
      </c>
      <c r="BP90" s="57">
        <v>46196</v>
      </c>
      <c r="BQ90" s="57">
        <v>46201</v>
      </c>
      <c r="BR90" s="230"/>
      <c r="BS90" s="230"/>
      <c r="BT90" s="39">
        <v>2216</v>
      </c>
      <c r="BU90" s="39">
        <v>247</v>
      </c>
      <c r="BV90" s="39"/>
      <c r="BW90" s="39"/>
      <c r="BX90" s="39"/>
      <c r="BY90" s="39"/>
      <c r="BZ90" s="39">
        <f t="shared" si="10"/>
        <v>247</v>
      </c>
      <c r="CA90" s="39">
        <f t="shared" si="11"/>
        <v>-5</v>
      </c>
      <c r="CB90" s="39">
        <f t="shared" si="12"/>
        <v>0</v>
      </c>
      <c r="CC90" s="39">
        <f t="shared" si="13"/>
        <v>0</v>
      </c>
      <c r="CD90" s="39">
        <v>0</v>
      </c>
      <c r="CE90" s="102">
        <f t="shared" si="15"/>
        <v>0</v>
      </c>
      <c r="CF90" s="36" t="s">
        <v>408</v>
      </c>
      <c r="CG90" s="39" t="s">
        <v>282</v>
      </c>
      <c r="CH90" s="39"/>
      <c r="CI90" s="25">
        <v>1</v>
      </c>
    </row>
    <row r="91" spans="1:87" ht="24.75" customHeight="1">
      <c r="A91" s="36" t="s">
        <v>50</v>
      </c>
      <c r="B91" s="26">
        <v>47604</v>
      </c>
      <c r="C91" s="227">
        <v>13262218</v>
      </c>
      <c r="D91" s="36" t="s">
        <v>37</v>
      </c>
      <c r="E91" s="39">
        <v>200</v>
      </c>
      <c r="F91" s="39" t="s">
        <v>60</v>
      </c>
      <c r="G91" s="36" t="s">
        <v>672</v>
      </c>
      <c r="H91" s="39" t="s">
        <v>89</v>
      </c>
      <c r="I91" s="39">
        <v>159</v>
      </c>
      <c r="J91" s="39"/>
      <c r="K91" s="39"/>
      <c r="L91" s="39">
        <f t="shared" si="40"/>
        <v>159</v>
      </c>
      <c r="M91" s="117">
        <v>46162</v>
      </c>
      <c r="N91" s="117">
        <v>46167</v>
      </c>
      <c r="O91" s="39"/>
      <c r="P91" s="39"/>
      <c r="Q91" s="39"/>
      <c r="R91" s="39">
        <f t="shared" si="1"/>
        <v>0</v>
      </c>
      <c r="S91" s="39" t="s">
        <v>590</v>
      </c>
      <c r="T91" s="39"/>
      <c r="U91" s="39"/>
      <c r="V91" s="117">
        <v>46157</v>
      </c>
      <c r="W91" s="39">
        <v>190</v>
      </c>
      <c r="X91" s="117">
        <v>46198</v>
      </c>
      <c r="Y91" s="39">
        <v>161</v>
      </c>
      <c r="Z91" s="39"/>
      <c r="AA91" s="39"/>
      <c r="AB91" s="119">
        <f t="shared" si="2"/>
        <v>161</v>
      </c>
      <c r="AC91" s="39" t="s">
        <v>139</v>
      </c>
      <c r="AD91" s="117">
        <v>46200</v>
      </c>
      <c r="AE91" s="39">
        <v>162</v>
      </c>
      <c r="AF91" s="117">
        <v>46210</v>
      </c>
      <c r="AG91" s="39">
        <v>150</v>
      </c>
      <c r="AH91" s="39">
        <f t="shared" si="3"/>
        <v>-12</v>
      </c>
      <c r="AI91" s="39"/>
      <c r="AJ91" s="39"/>
      <c r="AK91" s="39"/>
      <c r="AL91" s="39"/>
      <c r="AM91" s="39"/>
      <c r="AN91" s="39">
        <f t="shared" si="4"/>
        <v>0</v>
      </c>
      <c r="AO91" s="39"/>
      <c r="AP91" s="39"/>
      <c r="AQ91" s="39"/>
      <c r="AR91" s="39"/>
      <c r="AS91" s="39"/>
      <c r="AT91" s="39">
        <f t="shared" si="5"/>
        <v>0</v>
      </c>
      <c r="AU91" s="39"/>
      <c r="AV91" s="39"/>
      <c r="AW91" s="39"/>
      <c r="AX91" s="39"/>
      <c r="AY91" s="39"/>
      <c r="AZ91" s="39">
        <f t="shared" si="6"/>
        <v>0</v>
      </c>
      <c r="BA91" s="39"/>
      <c r="BB91" s="39"/>
      <c r="BC91" s="39"/>
      <c r="BD91" s="39"/>
      <c r="BE91" s="39"/>
      <c r="BF91" s="39">
        <f t="shared" si="7"/>
        <v>0</v>
      </c>
      <c r="BG91" s="39"/>
      <c r="BH91" s="39"/>
      <c r="BI91" s="39"/>
      <c r="BJ91" s="39"/>
      <c r="BK91" s="39"/>
      <c r="BL91" s="39">
        <f t="shared" si="8"/>
        <v>0</v>
      </c>
      <c r="BM91" s="54" t="str">
        <f t="shared" si="9"/>
        <v/>
      </c>
      <c r="BN91" s="58">
        <v>46181</v>
      </c>
      <c r="BO91" s="57">
        <v>46192</v>
      </c>
      <c r="BP91" s="57">
        <v>46195</v>
      </c>
      <c r="BQ91" s="57">
        <v>46200</v>
      </c>
      <c r="BR91" s="229">
        <v>46205</v>
      </c>
      <c r="BS91" s="229">
        <v>46211</v>
      </c>
      <c r="BT91" s="39">
        <v>2227</v>
      </c>
      <c r="BU91" s="39">
        <f>149</f>
        <v>149</v>
      </c>
      <c r="BV91" s="39"/>
      <c r="BW91" s="39"/>
      <c r="BX91" s="39"/>
      <c r="BY91" s="39"/>
      <c r="BZ91" s="39">
        <f t="shared" si="10"/>
        <v>149</v>
      </c>
      <c r="CA91" s="39">
        <f t="shared" si="11"/>
        <v>-10</v>
      </c>
      <c r="CB91" s="39">
        <f t="shared" si="12"/>
        <v>0</v>
      </c>
      <c r="CC91" s="39">
        <f t="shared" si="13"/>
        <v>0</v>
      </c>
      <c r="CD91" s="39">
        <f t="shared" si="14"/>
        <v>-10</v>
      </c>
      <c r="CE91" s="102">
        <f t="shared" si="15"/>
        <v>-6.2893081761006289E-2</v>
      </c>
      <c r="CF91" s="36" t="s">
        <v>408</v>
      </c>
      <c r="CG91" s="39" t="s">
        <v>282</v>
      </c>
      <c r="CH91" s="39"/>
      <c r="CI91" s="25">
        <v>1</v>
      </c>
    </row>
    <row r="92" spans="1:87" ht="24.75" customHeight="1">
      <c r="A92" s="36" t="s">
        <v>50</v>
      </c>
      <c r="B92" s="26">
        <v>47604</v>
      </c>
      <c r="C92" s="228"/>
      <c r="D92" s="36" t="s">
        <v>37</v>
      </c>
      <c r="E92" s="39">
        <v>200</v>
      </c>
      <c r="F92" s="39" t="s">
        <v>60</v>
      </c>
      <c r="G92" s="36" t="s">
        <v>323</v>
      </c>
      <c r="H92" s="39" t="s">
        <v>89</v>
      </c>
      <c r="I92" s="39">
        <v>159</v>
      </c>
      <c r="J92" s="39"/>
      <c r="K92" s="39"/>
      <c r="L92" s="39">
        <f t="shared" ref="L92:L100" si="50">SUM(I92:K92)</f>
        <v>159</v>
      </c>
      <c r="M92" s="117">
        <v>46162</v>
      </c>
      <c r="N92" s="117">
        <v>46167</v>
      </c>
      <c r="O92" s="39"/>
      <c r="P92" s="39"/>
      <c r="Q92" s="39"/>
      <c r="R92" s="39">
        <f t="shared" ref="R92:R155" si="51">SUM(O92:Q92)</f>
        <v>0</v>
      </c>
      <c r="S92" s="39" t="s">
        <v>130</v>
      </c>
      <c r="T92" s="39">
        <v>106984</v>
      </c>
      <c r="U92" s="117">
        <v>46188</v>
      </c>
      <c r="V92" s="39"/>
      <c r="W92" s="39"/>
      <c r="X92" s="39"/>
      <c r="Y92" s="39">
        <v>189</v>
      </c>
      <c r="Z92" s="39"/>
      <c r="AA92" s="39"/>
      <c r="AB92" s="119">
        <f t="shared" ref="AB92:AB155" si="52">SUM(Y92:AA92)</f>
        <v>189</v>
      </c>
      <c r="AC92" s="39" t="s">
        <v>139</v>
      </c>
      <c r="AD92" s="117">
        <v>46190</v>
      </c>
      <c r="AE92" s="39">
        <v>161</v>
      </c>
      <c r="AF92" s="117">
        <v>46204</v>
      </c>
      <c r="AG92" s="39">
        <v>157</v>
      </c>
      <c r="AH92" s="39">
        <f t="shared" si="3"/>
        <v>-4</v>
      </c>
      <c r="AI92" s="39"/>
      <c r="AJ92" s="39"/>
      <c r="AK92" s="39"/>
      <c r="AL92" s="39"/>
      <c r="AM92" s="39"/>
      <c r="AN92" s="39">
        <f t="shared" si="4"/>
        <v>0</v>
      </c>
      <c r="AO92" s="39"/>
      <c r="AP92" s="39"/>
      <c r="AQ92" s="39"/>
      <c r="AR92" s="39"/>
      <c r="AS92" s="39"/>
      <c r="AT92" s="39">
        <f t="shared" si="5"/>
        <v>0</v>
      </c>
      <c r="AU92" s="39"/>
      <c r="AV92" s="39"/>
      <c r="AW92" s="39"/>
      <c r="AX92" s="39"/>
      <c r="AY92" s="39"/>
      <c r="AZ92" s="39">
        <f t="shared" si="6"/>
        <v>0</v>
      </c>
      <c r="BA92" s="39"/>
      <c r="BB92" s="39"/>
      <c r="BC92" s="39"/>
      <c r="BD92" s="39"/>
      <c r="BE92" s="39"/>
      <c r="BF92" s="39">
        <f t="shared" si="7"/>
        <v>0</v>
      </c>
      <c r="BG92" s="39"/>
      <c r="BH92" s="39"/>
      <c r="BI92" s="39"/>
      <c r="BJ92" s="39"/>
      <c r="BK92" s="39"/>
      <c r="BL92" s="39">
        <f t="shared" si="8"/>
        <v>0</v>
      </c>
      <c r="BM92" s="54" t="str">
        <f t="shared" si="9"/>
        <v/>
      </c>
      <c r="BN92" s="58">
        <v>46181</v>
      </c>
      <c r="BO92" s="57">
        <v>46192</v>
      </c>
      <c r="BP92" s="57">
        <v>46195</v>
      </c>
      <c r="BQ92" s="57">
        <v>46200</v>
      </c>
      <c r="BR92" s="230"/>
      <c r="BS92" s="230"/>
      <c r="BT92" s="39">
        <v>2216</v>
      </c>
      <c r="BU92" s="39">
        <v>156</v>
      </c>
      <c r="BV92" s="39"/>
      <c r="BW92" s="39"/>
      <c r="BX92" s="39"/>
      <c r="BY92" s="39"/>
      <c r="BZ92" s="39">
        <f t="shared" si="10"/>
        <v>156</v>
      </c>
      <c r="CA92" s="39">
        <f t="shared" si="11"/>
        <v>-3</v>
      </c>
      <c r="CB92" s="39">
        <f t="shared" si="12"/>
        <v>0</v>
      </c>
      <c r="CC92" s="39">
        <f t="shared" si="13"/>
        <v>0</v>
      </c>
      <c r="CD92" s="39">
        <v>0</v>
      </c>
      <c r="CE92" s="102">
        <f t="shared" si="15"/>
        <v>0</v>
      </c>
      <c r="CF92" s="36" t="s">
        <v>408</v>
      </c>
      <c r="CG92" s="39" t="s">
        <v>282</v>
      </c>
      <c r="CH92" s="39"/>
      <c r="CI92" s="25">
        <v>1</v>
      </c>
    </row>
    <row r="93" spans="1:87" ht="24.75" customHeight="1">
      <c r="A93" s="36" t="s">
        <v>50</v>
      </c>
      <c r="B93" s="26">
        <v>47605</v>
      </c>
      <c r="C93" s="227">
        <v>13261626</v>
      </c>
      <c r="D93" s="36" t="s">
        <v>37</v>
      </c>
      <c r="E93" s="39">
        <v>200</v>
      </c>
      <c r="F93" s="39" t="s">
        <v>60</v>
      </c>
      <c r="G93" s="36" t="s">
        <v>672</v>
      </c>
      <c r="H93" s="39" t="s">
        <v>89</v>
      </c>
      <c r="I93" s="39">
        <v>109</v>
      </c>
      <c r="J93" s="39"/>
      <c r="K93" s="39"/>
      <c r="L93" s="39">
        <f t="shared" ref="L93:L94" si="53">SUM(I93:K93)</f>
        <v>109</v>
      </c>
      <c r="M93" s="117">
        <v>46162</v>
      </c>
      <c r="N93" s="117">
        <v>46167</v>
      </c>
      <c r="O93" s="39"/>
      <c r="P93" s="39"/>
      <c r="Q93" s="39"/>
      <c r="R93" s="39">
        <f t="shared" ref="R93:R99" si="54">SUM(O93:Q93)</f>
        <v>0</v>
      </c>
      <c r="S93" s="39" t="s">
        <v>590</v>
      </c>
      <c r="T93" s="39"/>
      <c r="U93" s="39"/>
      <c r="V93" s="117">
        <v>46157</v>
      </c>
      <c r="W93" s="39">
        <v>132</v>
      </c>
      <c r="X93" s="117">
        <v>46198</v>
      </c>
      <c r="Y93" s="39">
        <v>115</v>
      </c>
      <c r="Z93" s="39"/>
      <c r="AA93" s="39"/>
      <c r="AB93" s="119">
        <f t="shared" ref="AB93:AB99" si="55">SUM(Y93:AA93)</f>
        <v>115</v>
      </c>
      <c r="AC93" s="39" t="s">
        <v>139</v>
      </c>
      <c r="AD93" s="117">
        <v>46200</v>
      </c>
      <c r="AE93" s="39">
        <v>112</v>
      </c>
      <c r="AF93" s="117">
        <v>46210</v>
      </c>
      <c r="AG93" s="39">
        <v>110</v>
      </c>
      <c r="AH93" s="39">
        <f t="shared" si="3"/>
        <v>-2</v>
      </c>
      <c r="AI93" s="39"/>
      <c r="AJ93" s="39"/>
      <c r="AK93" s="39"/>
      <c r="AL93" s="39"/>
      <c r="AM93" s="39"/>
      <c r="AN93" s="39">
        <f t="shared" si="4"/>
        <v>0</v>
      </c>
      <c r="AO93" s="39"/>
      <c r="AP93" s="39"/>
      <c r="AQ93" s="39"/>
      <c r="AR93" s="39"/>
      <c r="AS93" s="39"/>
      <c r="AT93" s="39">
        <f t="shared" si="5"/>
        <v>0</v>
      </c>
      <c r="AU93" s="39"/>
      <c r="AV93" s="39"/>
      <c r="AW93" s="39"/>
      <c r="AX93" s="39"/>
      <c r="AY93" s="39"/>
      <c r="AZ93" s="39">
        <f t="shared" si="6"/>
        <v>0</v>
      </c>
      <c r="BA93" s="39"/>
      <c r="BB93" s="39"/>
      <c r="BC93" s="39"/>
      <c r="BD93" s="39"/>
      <c r="BE93" s="39"/>
      <c r="BF93" s="39">
        <f t="shared" si="7"/>
        <v>0</v>
      </c>
      <c r="BG93" s="39"/>
      <c r="BH93" s="39"/>
      <c r="BI93" s="39"/>
      <c r="BJ93" s="39"/>
      <c r="BK93" s="39"/>
      <c r="BL93" s="39">
        <f t="shared" si="8"/>
        <v>0</v>
      </c>
      <c r="BM93" s="54" t="str">
        <f t="shared" si="9"/>
        <v/>
      </c>
      <c r="BN93" s="58">
        <v>46182</v>
      </c>
      <c r="BO93" s="57">
        <v>46191</v>
      </c>
      <c r="BP93" s="57">
        <v>46195</v>
      </c>
      <c r="BQ93" s="57">
        <v>46200</v>
      </c>
      <c r="BR93" s="229">
        <v>46205</v>
      </c>
      <c r="BS93" s="229">
        <v>46211</v>
      </c>
      <c r="BT93" s="39">
        <v>2225</v>
      </c>
      <c r="BU93" s="39">
        <v>109</v>
      </c>
      <c r="BV93" s="39"/>
      <c r="BW93" s="39"/>
      <c r="BX93" s="39"/>
      <c r="BY93" s="39"/>
      <c r="BZ93" s="39">
        <f t="shared" si="10"/>
        <v>109</v>
      </c>
      <c r="CA93" s="39">
        <f t="shared" si="11"/>
        <v>0</v>
      </c>
      <c r="CB93" s="39">
        <f t="shared" si="12"/>
        <v>0</v>
      </c>
      <c r="CC93" s="39">
        <f t="shared" si="13"/>
        <v>0</v>
      </c>
      <c r="CD93" s="39">
        <f t="shared" si="14"/>
        <v>0</v>
      </c>
      <c r="CE93" s="102">
        <f t="shared" si="15"/>
        <v>0</v>
      </c>
      <c r="CF93" s="36" t="s">
        <v>408</v>
      </c>
      <c r="CG93" s="39" t="s">
        <v>282</v>
      </c>
      <c r="CH93" s="39"/>
      <c r="CI93" s="25">
        <v>1</v>
      </c>
    </row>
    <row r="94" spans="1:87" ht="24.75" customHeight="1">
      <c r="A94" s="36" t="s">
        <v>50</v>
      </c>
      <c r="B94" s="26">
        <v>47605</v>
      </c>
      <c r="C94" s="228"/>
      <c r="D94" s="36" t="s">
        <v>37</v>
      </c>
      <c r="E94" s="39">
        <v>200</v>
      </c>
      <c r="F94" s="39" t="s">
        <v>60</v>
      </c>
      <c r="G94" s="36" t="s">
        <v>323</v>
      </c>
      <c r="H94" s="39" t="s">
        <v>89</v>
      </c>
      <c r="I94" s="39">
        <v>236</v>
      </c>
      <c r="J94" s="39"/>
      <c r="K94" s="39"/>
      <c r="L94" s="39">
        <f t="shared" si="53"/>
        <v>236</v>
      </c>
      <c r="M94" s="117">
        <v>46162</v>
      </c>
      <c r="N94" s="117">
        <v>46167</v>
      </c>
      <c r="O94" s="39"/>
      <c r="P94" s="39"/>
      <c r="Q94" s="39"/>
      <c r="R94" s="39">
        <f t="shared" si="54"/>
        <v>0</v>
      </c>
      <c r="S94" s="39" t="s">
        <v>130</v>
      </c>
      <c r="T94" s="39">
        <v>106985</v>
      </c>
      <c r="U94" s="117">
        <v>46188</v>
      </c>
      <c r="V94" s="39"/>
      <c r="W94" s="39"/>
      <c r="X94" s="39"/>
      <c r="Y94" s="39">
        <v>266</v>
      </c>
      <c r="Z94" s="39"/>
      <c r="AA94" s="39"/>
      <c r="AB94" s="119">
        <f t="shared" si="55"/>
        <v>266</v>
      </c>
      <c r="AC94" s="39" t="s">
        <v>139</v>
      </c>
      <c r="AD94" s="117">
        <v>46190</v>
      </c>
      <c r="AE94" s="39">
        <v>238</v>
      </c>
      <c r="AF94" s="117">
        <v>46204</v>
      </c>
      <c r="AG94" s="39">
        <v>233</v>
      </c>
      <c r="AH94" s="39">
        <f t="shared" si="3"/>
        <v>-5</v>
      </c>
      <c r="AI94" s="39"/>
      <c r="AJ94" s="39"/>
      <c r="AK94" s="39"/>
      <c r="AL94" s="39"/>
      <c r="AM94" s="39"/>
      <c r="AN94" s="39">
        <f t="shared" si="4"/>
        <v>0</v>
      </c>
      <c r="AO94" s="39"/>
      <c r="AP94" s="39"/>
      <c r="AQ94" s="39"/>
      <c r="AR94" s="39"/>
      <c r="AS94" s="39"/>
      <c r="AT94" s="39">
        <f t="shared" si="5"/>
        <v>0</v>
      </c>
      <c r="AU94" s="39"/>
      <c r="AV94" s="39"/>
      <c r="AW94" s="39"/>
      <c r="AX94" s="39"/>
      <c r="AY94" s="39"/>
      <c r="AZ94" s="39">
        <f t="shared" si="6"/>
        <v>0</v>
      </c>
      <c r="BA94" s="39"/>
      <c r="BB94" s="39"/>
      <c r="BC94" s="39"/>
      <c r="BD94" s="39"/>
      <c r="BE94" s="39"/>
      <c r="BF94" s="39">
        <f t="shared" si="7"/>
        <v>0</v>
      </c>
      <c r="BG94" s="39"/>
      <c r="BH94" s="39"/>
      <c r="BI94" s="39"/>
      <c r="BJ94" s="39"/>
      <c r="BK94" s="39"/>
      <c r="BL94" s="39">
        <f t="shared" si="8"/>
        <v>0</v>
      </c>
      <c r="BM94" s="54" t="str">
        <f t="shared" si="9"/>
        <v/>
      </c>
      <c r="BN94" s="58">
        <v>46182</v>
      </c>
      <c r="BO94" s="57">
        <v>46191</v>
      </c>
      <c r="BP94" s="57">
        <v>46195</v>
      </c>
      <c r="BQ94" s="57">
        <v>46200</v>
      </c>
      <c r="BR94" s="230"/>
      <c r="BS94" s="230"/>
      <c r="BT94" s="39">
        <v>2215</v>
      </c>
      <c r="BU94" s="39">
        <v>232</v>
      </c>
      <c r="BV94" s="39"/>
      <c r="BW94" s="39"/>
      <c r="BX94" s="39"/>
      <c r="BY94" s="39"/>
      <c r="BZ94" s="39">
        <f t="shared" si="10"/>
        <v>232</v>
      </c>
      <c r="CA94" s="39">
        <f t="shared" si="11"/>
        <v>-4</v>
      </c>
      <c r="CB94" s="39">
        <f t="shared" si="12"/>
        <v>0</v>
      </c>
      <c r="CC94" s="39">
        <f t="shared" si="13"/>
        <v>0</v>
      </c>
      <c r="CD94" s="39">
        <v>0</v>
      </c>
      <c r="CE94" s="102">
        <f t="shared" si="15"/>
        <v>0</v>
      </c>
      <c r="CF94" s="36" t="s">
        <v>408</v>
      </c>
      <c r="CG94" s="39" t="s">
        <v>282</v>
      </c>
      <c r="CH94" s="39"/>
      <c r="CI94" s="25">
        <v>1</v>
      </c>
    </row>
    <row r="95" spans="1:87" ht="33.75" customHeight="1">
      <c r="A95" s="36" t="s">
        <v>50</v>
      </c>
      <c r="B95" s="142">
        <v>47606</v>
      </c>
      <c r="C95" s="36" t="s">
        <v>1005</v>
      </c>
      <c r="D95" s="36" t="s">
        <v>83</v>
      </c>
      <c r="E95" s="39">
        <v>280</v>
      </c>
      <c r="F95" s="39" t="s">
        <v>58</v>
      </c>
      <c r="G95" s="36" t="s">
        <v>956</v>
      </c>
      <c r="H95" s="36" t="s">
        <v>748</v>
      </c>
      <c r="I95" s="39">
        <v>228</v>
      </c>
      <c r="J95" s="39">
        <v>61</v>
      </c>
      <c r="K95" s="39"/>
      <c r="L95" s="39">
        <f t="shared" ref="L95:L96" si="56">SUM(I95:K95)</f>
        <v>289</v>
      </c>
      <c r="M95" s="117">
        <v>46157</v>
      </c>
      <c r="N95" s="117">
        <v>46160</v>
      </c>
      <c r="O95" s="39"/>
      <c r="P95" s="39"/>
      <c r="Q95" s="39"/>
      <c r="R95" s="39">
        <f t="shared" si="54"/>
        <v>0</v>
      </c>
      <c r="S95" s="39" t="s">
        <v>28</v>
      </c>
      <c r="T95" s="39"/>
      <c r="U95" s="39"/>
      <c r="V95" s="117" t="s">
        <v>1128</v>
      </c>
      <c r="W95" s="39">
        <f>267+71</f>
        <v>338</v>
      </c>
      <c r="X95" s="117" t="s">
        <v>1638</v>
      </c>
      <c r="Y95" s="39">
        <v>245</v>
      </c>
      <c r="Z95" s="39">
        <v>66</v>
      </c>
      <c r="AA95" s="39"/>
      <c r="AB95" s="119">
        <f t="shared" si="55"/>
        <v>311</v>
      </c>
      <c r="AC95" s="39" t="s">
        <v>139</v>
      </c>
      <c r="AD95" s="117">
        <v>46212</v>
      </c>
      <c r="AE95" s="39">
        <v>235</v>
      </c>
      <c r="AF95" s="117">
        <v>46215</v>
      </c>
      <c r="AG95" s="39">
        <v>244</v>
      </c>
      <c r="AH95" s="39">
        <f t="shared" si="3"/>
        <v>9</v>
      </c>
      <c r="AI95" s="39"/>
      <c r="AJ95" s="39"/>
      <c r="AK95" s="39"/>
      <c r="AL95" s="39"/>
      <c r="AM95" s="39"/>
      <c r="AN95" s="39">
        <f t="shared" si="4"/>
        <v>0</v>
      </c>
      <c r="AO95" s="39" t="s">
        <v>257</v>
      </c>
      <c r="AP95" s="117">
        <v>46209</v>
      </c>
      <c r="AQ95" s="39">
        <v>246</v>
      </c>
      <c r="AR95" s="117">
        <v>46211</v>
      </c>
      <c r="AS95" s="39">
        <v>240</v>
      </c>
      <c r="AT95" s="39">
        <f t="shared" si="5"/>
        <v>-6</v>
      </c>
      <c r="AU95" s="39" t="s">
        <v>257</v>
      </c>
      <c r="AV95" s="117">
        <v>46209</v>
      </c>
      <c r="AW95" s="39">
        <v>246</v>
      </c>
      <c r="AX95" s="117">
        <v>46211</v>
      </c>
      <c r="AY95" s="39">
        <v>240</v>
      </c>
      <c r="AZ95" s="39">
        <f t="shared" si="6"/>
        <v>-6</v>
      </c>
      <c r="BA95" s="39"/>
      <c r="BB95" s="39"/>
      <c r="BC95" s="39"/>
      <c r="BD95" s="39"/>
      <c r="BE95" s="39"/>
      <c r="BF95" s="39">
        <f t="shared" si="7"/>
        <v>0</v>
      </c>
      <c r="BG95" s="39"/>
      <c r="BH95" s="39"/>
      <c r="BI95" s="39"/>
      <c r="BJ95" s="39"/>
      <c r="BK95" s="39"/>
      <c r="BL95" s="39">
        <f t="shared" si="8"/>
        <v>0</v>
      </c>
      <c r="BM95" s="54" t="str">
        <f t="shared" si="9"/>
        <v/>
      </c>
      <c r="BN95" s="58">
        <v>46181</v>
      </c>
      <c r="BO95" s="57">
        <v>46193</v>
      </c>
      <c r="BP95" s="57">
        <v>46196</v>
      </c>
      <c r="BQ95" s="57">
        <v>46202</v>
      </c>
      <c r="BR95" s="50">
        <v>46219</v>
      </c>
      <c r="BS95" s="50">
        <v>46219</v>
      </c>
      <c r="BT95" s="39">
        <v>1810</v>
      </c>
      <c r="BU95" s="39">
        <v>242</v>
      </c>
      <c r="BV95" s="39">
        <v>1531</v>
      </c>
      <c r="BW95" s="39">
        <v>66</v>
      </c>
      <c r="BX95" s="39"/>
      <c r="BY95" s="39"/>
      <c r="BZ95" s="39">
        <f t="shared" si="10"/>
        <v>308</v>
      </c>
      <c r="CA95" s="39">
        <f t="shared" si="11"/>
        <v>14</v>
      </c>
      <c r="CB95" s="39">
        <f t="shared" si="12"/>
        <v>5</v>
      </c>
      <c r="CC95" s="39">
        <f t="shared" si="13"/>
        <v>0</v>
      </c>
      <c r="CD95" s="39">
        <f t="shared" si="14"/>
        <v>0</v>
      </c>
      <c r="CE95" s="102">
        <f t="shared" si="15"/>
        <v>0</v>
      </c>
      <c r="CF95" s="36" t="s">
        <v>408</v>
      </c>
      <c r="CG95" s="39" t="s">
        <v>282</v>
      </c>
      <c r="CH95" s="39"/>
      <c r="CI95" s="25">
        <v>1</v>
      </c>
    </row>
    <row r="96" spans="1:87" ht="35.25" customHeight="1">
      <c r="A96" s="36" t="s">
        <v>50</v>
      </c>
      <c r="B96" s="142">
        <v>47607</v>
      </c>
      <c r="C96" s="36" t="s">
        <v>1006</v>
      </c>
      <c r="D96" s="36" t="s">
        <v>83</v>
      </c>
      <c r="E96" s="39">
        <v>280</v>
      </c>
      <c r="F96" s="39" t="s">
        <v>58</v>
      </c>
      <c r="G96" s="36" t="s">
        <v>956</v>
      </c>
      <c r="H96" s="36" t="s">
        <v>748</v>
      </c>
      <c r="I96" s="39">
        <v>784</v>
      </c>
      <c r="J96" s="39"/>
      <c r="K96" s="39"/>
      <c r="L96" s="39">
        <f t="shared" si="56"/>
        <v>784</v>
      </c>
      <c r="M96" s="117">
        <v>46155</v>
      </c>
      <c r="N96" s="117">
        <v>46162</v>
      </c>
      <c r="O96" s="39"/>
      <c r="P96" s="39"/>
      <c r="Q96" s="39"/>
      <c r="R96" s="39">
        <f t="shared" si="54"/>
        <v>0</v>
      </c>
      <c r="S96" s="39" t="s">
        <v>28</v>
      </c>
      <c r="T96" s="39"/>
      <c r="U96" s="39"/>
      <c r="V96" s="117">
        <v>46190</v>
      </c>
      <c r="W96" s="39">
        <v>917</v>
      </c>
      <c r="X96" s="117">
        <v>46201</v>
      </c>
      <c r="Y96" s="39">
        <v>829</v>
      </c>
      <c r="Z96" s="39"/>
      <c r="AA96" s="39"/>
      <c r="AB96" s="119">
        <f t="shared" si="55"/>
        <v>829</v>
      </c>
      <c r="AC96" s="39" t="s">
        <v>139</v>
      </c>
      <c r="AD96" s="117">
        <v>46212</v>
      </c>
      <c r="AE96" s="39">
        <v>783</v>
      </c>
      <c r="AF96" s="117">
        <v>46215</v>
      </c>
      <c r="AG96" s="39">
        <f>798</f>
        <v>798</v>
      </c>
      <c r="AH96" s="39">
        <f t="shared" si="3"/>
        <v>15</v>
      </c>
      <c r="AI96" s="39"/>
      <c r="AJ96" s="39"/>
      <c r="AK96" s="39"/>
      <c r="AL96" s="39"/>
      <c r="AM96" s="39"/>
      <c r="AN96" s="39">
        <f t="shared" si="4"/>
        <v>0</v>
      </c>
      <c r="AO96" s="39" t="s">
        <v>280</v>
      </c>
      <c r="AP96" s="117">
        <v>46202</v>
      </c>
      <c r="AQ96" s="39">
        <v>832</v>
      </c>
      <c r="AR96" s="117">
        <v>46209</v>
      </c>
      <c r="AS96" s="39">
        <v>845</v>
      </c>
      <c r="AT96" s="39">
        <f t="shared" si="5"/>
        <v>13</v>
      </c>
      <c r="AU96" s="39" t="s">
        <v>257</v>
      </c>
      <c r="AV96" s="117">
        <v>46209</v>
      </c>
      <c r="AW96" s="39">
        <v>845</v>
      </c>
      <c r="AX96" s="117">
        <v>46209</v>
      </c>
      <c r="AY96" s="39">
        <v>831</v>
      </c>
      <c r="AZ96" s="39">
        <f t="shared" si="6"/>
        <v>-14</v>
      </c>
      <c r="BA96" s="39"/>
      <c r="BB96" s="39"/>
      <c r="BC96" s="39"/>
      <c r="BD96" s="39"/>
      <c r="BE96" s="39"/>
      <c r="BF96" s="39">
        <f t="shared" si="7"/>
        <v>0</v>
      </c>
      <c r="BG96" s="39"/>
      <c r="BH96" s="39"/>
      <c r="BI96" s="39"/>
      <c r="BJ96" s="39"/>
      <c r="BK96" s="39"/>
      <c r="BL96" s="39">
        <f t="shared" si="8"/>
        <v>0</v>
      </c>
      <c r="BM96" s="54" t="str">
        <f t="shared" si="9"/>
        <v/>
      </c>
      <c r="BN96" s="58">
        <v>46181</v>
      </c>
      <c r="BO96" s="57">
        <v>46193</v>
      </c>
      <c r="BP96" s="57">
        <v>46196</v>
      </c>
      <c r="BQ96" s="57">
        <v>46202</v>
      </c>
      <c r="BR96" s="50">
        <v>46218</v>
      </c>
      <c r="BS96" s="50">
        <v>46218</v>
      </c>
      <c r="BT96" s="39">
        <v>1803</v>
      </c>
      <c r="BU96" s="39">
        <f>777</f>
        <v>777</v>
      </c>
      <c r="BV96" s="39"/>
      <c r="BW96" s="39"/>
      <c r="BX96" s="39"/>
      <c r="BY96" s="39"/>
      <c r="BZ96" s="39">
        <f t="shared" si="10"/>
        <v>777</v>
      </c>
      <c r="CA96" s="39">
        <f t="shared" si="11"/>
        <v>-7</v>
      </c>
      <c r="CB96" s="39">
        <f t="shared" si="12"/>
        <v>0</v>
      </c>
      <c r="CC96" s="39">
        <f t="shared" si="13"/>
        <v>0</v>
      </c>
      <c r="CD96" s="39">
        <v>0</v>
      </c>
      <c r="CE96" s="102">
        <f t="shared" si="15"/>
        <v>0</v>
      </c>
      <c r="CF96" s="36" t="s">
        <v>408</v>
      </c>
      <c r="CG96" s="39" t="s">
        <v>282</v>
      </c>
      <c r="CH96" s="39"/>
      <c r="CI96" s="25">
        <v>1</v>
      </c>
    </row>
    <row r="97" spans="1:87" ht="24.75" customHeight="1">
      <c r="A97" s="36" t="s">
        <v>50</v>
      </c>
      <c r="B97" s="26">
        <v>47608</v>
      </c>
      <c r="C97" s="227">
        <v>13261653</v>
      </c>
      <c r="D97" s="36"/>
      <c r="E97" s="39">
        <v>180</v>
      </c>
      <c r="F97" s="39" t="s">
        <v>55</v>
      </c>
      <c r="G97" s="36" t="s">
        <v>673</v>
      </c>
      <c r="H97" s="36" t="s">
        <v>403</v>
      </c>
      <c r="I97" s="39">
        <v>150</v>
      </c>
      <c r="J97" s="39">
        <v>17</v>
      </c>
      <c r="K97" s="39"/>
      <c r="L97" s="39">
        <f t="shared" ref="L97" si="57">SUM(I97:K97)</f>
        <v>167</v>
      </c>
      <c r="M97" s="117">
        <v>46157</v>
      </c>
      <c r="N97" s="117">
        <v>46162</v>
      </c>
      <c r="O97" s="39"/>
      <c r="P97" s="39"/>
      <c r="Q97" s="39"/>
      <c r="R97" s="39">
        <f t="shared" si="54"/>
        <v>0</v>
      </c>
      <c r="S97" s="39" t="s">
        <v>130</v>
      </c>
      <c r="T97" s="39">
        <v>107693</v>
      </c>
      <c r="U97" s="117">
        <v>46216</v>
      </c>
      <c r="V97" s="39"/>
      <c r="W97" s="39"/>
      <c r="X97" s="39"/>
      <c r="Y97" s="39">
        <v>185</v>
      </c>
      <c r="Z97" s="39">
        <v>20</v>
      </c>
      <c r="AA97" s="39"/>
      <c r="AB97" s="119">
        <f t="shared" si="55"/>
        <v>205</v>
      </c>
      <c r="AC97" s="39"/>
      <c r="AD97" s="39"/>
      <c r="AE97" s="39"/>
      <c r="AF97" s="39"/>
      <c r="AG97" s="39"/>
      <c r="AH97" s="39">
        <f t="shared" si="3"/>
        <v>0</v>
      </c>
      <c r="AI97" s="39"/>
      <c r="AJ97" s="39"/>
      <c r="AK97" s="39"/>
      <c r="AL97" s="39"/>
      <c r="AM97" s="39"/>
      <c r="AN97" s="39">
        <f t="shared" si="4"/>
        <v>0</v>
      </c>
      <c r="AO97" s="39"/>
      <c r="AP97" s="39"/>
      <c r="AQ97" s="39"/>
      <c r="AR97" s="39"/>
      <c r="AS97" s="39"/>
      <c r="AT97" s="39">
        <f t="shared" si="5"/>
        <v>0</v>
      </c>
      <c r="AU97" s="39"/>
      <c r="AV97" s="39"/>
      <c r="AW97" s="39"/>
      <c r="AX97" s="39"/>
      <c r="AY97" s="39"/>
      <c r="AZ97" s="39">
        <f t="shared" si="6"/>
        <v>0</v>
      </c>
      <c r="BA97" s="39"/>
      <c r="BB97" s="39"/>
      <c r="BC97" s="39"/>
      <c r="BD97" s="39"/>
      <c r="BE97" s="39"/>
      <c r="BF97" s="39">
        <f t="shared" si="7"/>
        <v>0</v>
      </c>
      <c r="BG97" s="39"/>
      <c r="BH97" s="39"/>
      <c r="BI97" s="39"/>
      <c r="BJ97" s="39"/>
      <c r="BK97" s="39"/>
      <c r="BL97" s="39">
        <f t="shared" si="8"/>
        <v>0</v>
      </c>
      <c r="BM97" s="54" t="str">
        <f t="shared" si="9"/>
        <v/>
      </c>
      <c r="BN97" s="58">
        <v>46183</v>
      </c>
      <c r="BO97" s="57">
        <v>46195</v>
      </c>
      <c r="BP97" s="36"/>
      <c r="BQ97" s="36"/>
      <c r="BR97" s="229">
        <v>46216</v>
      </c>
      <c r="BS97" s="229">
        <v>46220</v>
      </c>
      <c r="BT97" s="39" t="s">
        <v>1885</v>
      </c>
      <c r="BU97" s="39">
        <f>170+19</f>
        <v>189</v>
      </c>
      <c r="BV97" s="39">
        <v>2025</v>
      </c>
      <c r="BW97" s="39">
        <v>17</v>
      </c>
      <c r="BX97" s="39"/>
      <c r="BY97" s="39"/>
      <c r="BZ97" s="39">
        <f t="shared" si="10"/>
        <v>206</v>
      </c>
      <c r="CA97" s="39">
        <f t="shared" si="11"/>
        <v>39</v>
      </c>
      <c r="CB97" s="39">
        <f t="shared" si="12"/>
        <v>0</v>
      </c>
      <c r="CC97" s="39">
        <f t="shared" si="13"/>
        <v>0</v>
      </c>
      <c r="CD97" s="39">
        <f t="shared" si="14"/>
        <v>0</v>
      </c>
      <c r="CE97" s="102">
        <f t="shared" si="15"/>
        <v>0</v>
      </c>
      <c r="CF97" s="36" t="s">
        <v>408</v>
      </c>
      <c r="CG97" s="39" t="s">
        <v>282</v>
      </c>
      <c r="CH97" s="39"/>
      <c r="CI97" s="25">
        <v>1</v>
      </c>
    </row>
    <row r="98" spans="1:87" ht="24.75" customHeight="1">
      <c r="A98" s="36" t="s">
        <v>50</v>
      </c>
      <c r="B98" s="26">
        <v>47608</v>
      </c>
      <c r="C98" s="231"/>
      <c r="D98" s="36"/>
      <c r="E98" s="39">
        <v>180</v>
      </c>
      <c r="F98" s="39" t="s">
        <v>55</v>
      </c>
      <c r="G98" s="36" t="s">
        <v>352</v>
      </c>
      <c r="H98" s="36" t="s">
        <v>403</v>
      </c>
      <c r="I98" s="39">
        <v>150</v>
      </c>
      <c r="J98" s="39">
        <v>12</v>
      </c>
      <c r="K98" s="39"/>
      <c r="L98" s="39">
        <f t="shared" ref="L98" si="58">SUM(I98:K98)</f>
        <v>162</v>
      </c>
      <c r="M98" s="117">
        <v>46157</v>
      </c>
      <c r="N98" s="117">
        <v>46162</v>
      </c>
      <c r="O98" s="39"/>
      <c r="P98" s="39"/>
      <c r="Q98" s="39"/>
      <c r="R98" s="39">
        <f t="shared" si="54"/>
        <v>0</v>
      </c>
      <c r="S98" s="39" t="s">
        <v>130</v>
      </c>
      <c r="T98" s="39">
        <v>107599</v>
      </c>
      <c r="U98" s="117">
        <v>46213</v>
      </c>
      <c r="V98" s="39"/>
      <c r="W98" s="39"/>
      <c r="X98" s="39"/>
      <c r="Y98" s="39">
        <v>185</v>
      </c>
      <c r="Z98" s="39">
        <v>15</v>
      </c>
      <c r="AA98" s="39"/>
      <c r="AB98" s="119">
        <f t="shared" si="55"/>
        <v>200</v>
      </c>
      <c r="AC98" s="39"/>
      <c r="AD98" s="39"/>
      <c r="AE98" s="39"/>
      <c r="AF98" s="39"/>
      <c r="AG98" s="39"/>
      <c r="AH98" s="39">
        <f t="shared" si="3"/>
        <v>0</v>
      </c>
      <c r="AI98" s="39"/>
      <c r="AJ98" s="39"/>
      <c r="AK98" s="39"/>
      <c r="AL98" s="39"/>
      <c r="AM98" s="39"/>
      <c r="AN98" s="39">
        <f t="shared" si="4"/>
        <v>0</v>
      </c>
      <c r="AO98" s="39"/>
      <c r="AP98" s="39"/>
      <c r="AQ98" s="39"/>
      <c r="AR98" s="39"/>
      <c r="AS98" s="39"/>
      <c r="AT98" s="39">
        <f t="shared" si="5"/>
        <v>0</v>
      </c>
      <c r="AU98" s="39"/>
      <c r="AV98" s="39"/>
      <c r="AW98" s="39"/>
      <c r="AX98" s="39"/>
      <c r="AY98" s="39"/>
      <c r="AZ98" s="39">
        <f t="shared" si="6"/>
        <v>0</v>
      </c>
      <c r="BA98" s="39"/>
      <c r="BB98" s="39"/>
      <c r="BC98" s="39"/>
      <c r="BD98" s="39"/>
      <c r="BE98" s="39"/>
      <c r="BF98" s="39">
        <f t="shared" si="7"/>
        <v>0</v>
      </c>
      <c r="BG98" s="39"/>
      <c r="BH98" s="39"/>
      <c r="BI98" s="39"/>
      <c r="BJ98" s="39"/>
      <c r="BK98" s="39"/>
      <c r="BL98" s="39">
        <f t="shared" si="8"/>
        <v>0</v>
      </c>
      <c r="BM98" s="54" t="str">
        <f t="shared" si="9"/>
        <v/>
      </c>
      <c r="BN98" s="58">
        <v>46183</v>
      </c>
      <c r="BO98" s="57">
        <v>46195</v>
      </c>
      <c r="BP98" s="36"/>
      <c r="BQ98" s="36"/>
      <c r="BR98" s="232"/>
      <c r="BS98" s="232"/>
      <c r="BT98" s="39" t="s">
        <v>1693</v>
      </c>
      <c r="BU98" s="39">
        <f>140+26</f>
        <v>166</v>
      </c>
      <c r="BV98" s="39">
        <v>2019</v>
      </c>
      <c r="BW98" s="39">
        <f>13</f>
        <v>13</v>
      </c>
      <c r="BX98" s="39"/>
      <c r="BY98" s="39"/>
      <c r="BZ98" s="39">
        <f t="shared" si="10"/>
        <v>179</v>
      </c>
      <c r="CA98" s="39">
        <f t="shared" si="11"/>
        <v>16</v>
      </c>
      <c r="CB98" s="39">
        <f t="shared" si="12"/>
        <v>1</v>
      </c>
      <c r="CC98" s="39">
        <f t="shared" si="13"/>
        <v>0</v>
      </c>
      <c r="CD98" s="39">
        <f t="shared" si="14"/>
        <v>0</v>
      </c>
      <c r="CE98" s="102">
        <f t="shared" si="15"/>
        <v>0</v>
      </c>
      <c r="CF98" s="36" t="s">
        <v>408</v>
      </c>
      <c r="CG98" s="39" t="s">
        <v>282</v>
      </c>
      <c r="CH98" s="39" t="s">
        <v>483</v>
      </c>
      <c r="CI98" s="25">
        <v>1</v>
      </c>
    </row>
    <row r="99" spans="1:87" ht="24.75" customHeight="1">
      <c r="A99" s="36" t="s">
        <v>50</v>
      </c>
      <c r="B99" s="26">
        <v>47608</v>
      </c>
      <c r="C99" s="228"/>
      <c r="D99" s="36"/>
      <c r="E99" s="39"/>
      <c r="F99" s="39"/>
      <c r="G99" s="36" t="s">
        <v>750</v>
      </c>
      <c r="H99" s="39">
        <f>91+68</f>
        <v>159</v>
      </c>
      <c r="I99" s="39" t="s">
        <v>90</v>
      </c>
      <c r="J99" s="39"/>
      <c r="K99" s="39"/>
      <c r="L99" s="39">
        <f t="shared" si="50"/>
        <v>0</v>
      </c>
      <c r="M99" s="117">
        <v>46157</v>
      </c>
      <c r="N99" s="117">
        <v>46162</v>
      </c>
      <c r="O99" s="39"/>
      <c r="P99" s="39"/>
      <c r="Q99" s="39"/>
      <c r="R99" s="39">
        <f t="shared" si="54"/>
        <v>0</v>
      </c>
      <c r="S99" s="39" t="s">
        <v>130</v>
      </c>
      <c r="T99" s="39"/>
      <c r="U99" s="39"/>
      <c r="V99" s="39"/>
      <c r="W99" s="39"/>
      <c r="X99" s="39"/>
      <c r="Y99" s="39"/>
      <c r="Z99" s="39"/>
      <c r="AA99" s="39"/>
      <c r="AB99" s="39">
        <f t="shared" si="55"/>
        <v>0</v>
      </c>
      <c r="AC99" s="39"/>
      <c r="AD99" s="39"/>
      <c r="AE99" s="39"/>
      <c r="AF99" s="39"/>
      <c r="AG99" s="39"/>
      <c r="AH99" s="39">
        <f t="shared" si="3"/>
        <v>0</v>
      </c>
      <c r="AI99" s="39"/>
      <c r="AJ99" s="39"/>
      <c r="AK99" s="39"/>
      <c r="AL99" s="39"/>
      <c r="AM99" s="39"/>
      <c r="AN99" s="39">
        <f t="shared" si="4"/>
        <v>0</v>
      </c>
      <c r="AO99" s="39"/>
      <c r="AP99" s="39"/>
      <c r="AQ99" s="39"/>
      <c r="AR99" s="39"/>
      <c r="AS99" s="39"/>
      <c r="AT99" s="39">
        <f t="shared" si="5"/>
        <v>0</v>
      </c>
      <c r="AU99" s="39"/>
      <c r="AV99" s="39"/>
      <c r="AW99" s="39"/>
      <c r="AX99" s="39"/>
      <c r="AY99" s="39"/>
      <c r="AZ99" s="39">
        <f t="shared" si="6"/>
        <v>0</v>
      </c>
      <c r="BA99" s="39"/>
      <c r="BB99" s="39"/>
      <c r="BC99" s="39"/>
      <c r="BD99" s="39"/>
      <c r="BE99" s="39"/>
      <c r="BF99" s="39">
        <f t="shared" si="7"/>
        <v>0</v>
      </c>
      <c r="BG99" s="39"/>
      <c r="BH99" s="39"/>
      <c r="BI99" s="39"/>
      <c r="BJ99" s="39"/>
      <c r="BK99" s="39"/>
      <c r="BL99" s="39">
        <f t="shared" si="8"/>
        <v>0</v>
      </c>
      <c r="BM99" s="54" t="e">
        <f t="shared" si="9"/>
        <v>#DIV/0!</v>
      </c>
      <c r="BN99" s="58">
        <v>46183</v>
      </c>
      <c r="BO99" s="57">
        <v>46195</v>
      </c>
      <c r="BP99" s="36"/>
      <c r="BQ99" s="36"/>
      <c r="BR99" s="230"/>
      <c r="BS99" s="230"/>
      <c r="BT99" s="39"/>
      <c r="BU99" s="39"/>
      <c r="BV99" s="39"/>
      <c r="BW99" s="39"/>
      <c r="BX99" s="39"/>
      <c r="BY99" s="39"/>
      <c r="BZ99" s="39">
        <f t="shared" si="10"/>
        <v>0</v>
      </c>
      <c r="CA99" s="39" t="e">
        <f t="shared" si="11"/>
        <v>#VALUE!</v>
      </c>
      <c r="CB99" s="39">
        <f t="shared" si="12"/>
        <v>0</v>
      </c>
      <c r="CC99" s="39">
        <f t="shared" si="13"/>
        <v>0</v>
      </c>
      <c r="CD99" s="39">
        <f t="shared" si="14"/>
        <v>0</v>
      </c>
      <c r="CE99" s="102" t="e">
        <f t="shared" si="15"/>
        <v>#DIV/0!</v>
      </c>
      <c r="CF99" s="36" t="s">
        <v>408</v>
      </c>
      <c r="CG99" s="39" t="s">
        <v>282</v>
      </c>
      <c r="CH99" s="39"/>
      <c r="CI99" s="25">
        <v>1</v>
      </c>
    </row>
    <row r="100" spans="1:87" ht="24.75" customHeight="1">
      <c r="A100" s="36" t="s">
        <v>50</v>
      </c>
      <c r="B100" s="26">
        <v>47617</v>
      </c>
      <c r="C100" s="227">
        <v>13265471</v>
      </c>
      <c r="D100" s="36" t="s">
        <v>37</v>
      </c>
      <c r="E100" s="39">
        <v>220</v>
      </c>
      <c r="F100" s="39" t="s">
        <v>60</v>
      </c>
      <c r="G100" s="36" t="s">
        <v>672</v>
      </c>
      <c r="H100" s="39" t="s">
        <v>89</v>
      </c>
      <c r="I100" s="39">
        <v>139</v>
      </c>
      <c r="J100" s="39">
        <v>11</v>
      </c>
      <c r="K100" s="39"/>
      <c r="L100" s="39">
        <f t="shared" si="50"/>
        <v>150</v>
      </c>
      <c r="M100" s="117">
        <v>46162</v>
      </c>
      <c r="N100" s="117">
        <v>46179</v>
      </c>
      <c r="O100" s="39"/>
      <c r="P100" s="39"/>
      <c r="Q100" s="39"/>
      <c r="R100" s="39">
        <f t="shared" si="51"/>
        <v>0</v>
      </c>
      <c r="S100" s="39" t="s">
        <v>326</v>
      </c>
      <c r="T100" s="39"/>
      <c r="U100" s="117"/>
      <c r="V100" s="117">
        <v>46186</v>
      </c>
      <c r="W100" s="39">
        <f>180</f>
        <v>180</v>
      </c>
      <c r="X100" s="117" t="s">
        <v>1285</v>
      </c>
      <c r="Y100" s="39">
        <v>140</v>
      </c>
      <c r="Z100" s="39">
        <v>11</v>
      </c>
      <c r="AA100" s="39"/>
      <c r="AB100" s="119">
        <f t="shared" si="52"/>
        <v>151</v>
      </c>
      <c r="AC100" s="39" t="s">
        <v>139</v>
      </c>
      <c r="AD100" s="117">
        <v>46204</v>
      </c>
      <c r="AE100" s="39">
        <v>139</v>
      </c>
      <c r="AF100" s="117">
        <v>46211</v>
      </c>
      <c r="AG100" s="39">
        <v>135</v>
      </c>
      <c r="AH100" s="39">
        <f t="shared" si="3"/>
        <v>-4</v>
      </c>
      <c r="AI100" s="39"/>
      <c r="AJ100" s="39"/>
      <c r="AK100" s="39"/>
      <c r="AL100" s="39"/>
      <c r="AM100" s="39"/>
      <c r="AN100" s="39">
        <f t="shared" si="4"/>
        <v>0</v>
      </c>
      <c r="AO100" s="39"/>
      <c r="AP100" s="39"/>
      <c r="AQ100" s="39"/>
      <c r="AR100" s="39"/>
      <c r="AS100" s="39"/>
      <c r="AT100" s="39">
        <f t="shared" si="5"/>
        <v>0</v>
      </c>
      <c r="AU100" s="39"/>
      <c r="AV100" s="39"/>
      <c r="AW100" s="39"/>
      <c r="AX100" s="39"/>
      <c r="AY100" s="39"/>
      <c r="AZ100" s="39">
        <f t="shared" si="6"/>
        <v>0</v>
      </c>
      <c r="BA100" s="39"/>
      <c r="BB100" s="39"/>
      <c r="BC100" s="39"/>
      <c r="BD100" s="39"/>
      <c r="BE100" s="39"/>
      <c r="BF100" s="39">
        <f t="shared" si="7"/>
        <v>0</v>
      </c>
      <c r="BG100" s="39"/>
      <c r="BH100" s="39"/>
      <c r="BI100" s="39"/>
      <c r="BJ100" s="39"/>
      <c r="BK100" s="39"/>
      <c r="BL100" s="39">
        <f t="shared" si="8"/>
        <v>0</v>
      </c>
      <c r="BM100" s="54" t="str">
        <f t="shared" si="9"/>
        <v/>
      </c>
      <c r="BN100" s="58">
        <v>46183</v>
      </c>
      <c r="BO100" s="57">
        <v>46196</v>
      </c>
      <c r="BP100" s="57">
        <v>46200</v>
      </c>
      <c r="BQ100" s="57">
        <v>46207</v>
      </c>
      <c r="BR100" s="229">
        <v>46212</v>
      </c>
      <c r="BS100" s="229">
        <v>46223</v>
      </c>
      <c r="BT100" s="39">
        <v>2224</v>
      </c>
      <c r="BU100" s="39">
        <f>134</f>
        <v>134</v>
      </c>
      <c r="BV100" s="39">
        <v>1533</v>
      </c>
      <c r="BW100" s="39">
        <v>11</v>
      </c>
      <c r="BX100" s="39"/>
      <c r="BY100" s="39"/>
      <c r="BZ100" s="39">
        <f t="shared" si="10"/>
        <v>145</v>
      </c>
      <c r="CA100" s="39">
        <f t="shared" si="11"/>
        <v>-5</v>
      </c>
      <c r="CB100" s="39">
        <f t="shared" si="12"/>
        <v>0</v>
      </c>
      <c r="CC100" s="39">
        <f t="shared" si="13"/>
        <v>0</v>
      </c>
      <c r="CD100" s="39">
        <v>0</v>
      </c>
      <c r="CE100" s="102">
        <f t="shared" si="15"/>
        <v>0</v>
      </c>
      <c r="CF100" s="36" t="s">
        <v>408</v>
      </c>
      <c r="CG100" s="39" t="s">
        <v>282</v>
      </c>
      <c r="CH100" s="39"/>
      <c r="CI100" s="25">
        <v>1</v>
      </c>
    </row>
    <row r="101" spans="1:87" ht="24.75" customHeight="1">
      <c r="A101" s="36" t="s">
        <v>50</v>
      </c>
      <c r="B101" s="26">
        <v>47617</v>
      </c>
      <c r="C101" s="228"/>
      <c r="D101" s="36" t="s">
        <v>37</v>
      </c>
      <c r="E101" s="39">
        <v>220</v>
      </c>
      <c r="F101" s="39" t="s">
        <v>60</v>
      </c>
      <c r="G101" s="36" t="s">
        <v>323</v>
      </c>
      <c r="H101" s="39" t="s">
        <v>89</v>
      </c>
      <c r="I101" s="39">
        <v>202</v>
      </c>
      <c r="J101" s="39">
        <v>17</v>
      </c>
      <c r="K101" s="39"/>
      <c r="L101" s="39">
        <f t="shared" ref="L101" si="59">SUM(I101:K101)</f>
        <v>219</v>
      </c>
      <c r="M101" s="117">
        <v>46162</v>
      </c>
      <c r="N101" s="117">
        <v>46179</v>
      </c>
      <c r="O101" s="39"/>
      <c r="P101" s="39"/>
      <c r="Q101" s="39"/>
      <c r="R101" s="39">
        <f t="shared" si="51"/>
        <v>0</v>
      </c>
      <c r="S101" s="39" t="s">
        <v>130</v>
      </c>
      <c r="T101" s="39">
        <v>107167</v>
      </c>
      <c r="U101" s="117">
        <v>46195</v>
      </c>
      <c r="V101" s="39"/>
      <c r="W101" s="39"/>
      <c r="X101" s="39"/>
      <c r="Y101" s="39">
        <v>226</v>
      </c>
      <c r="Z101" s="39">
        <v>22</v>
      </c>
      <c r="AA101" s="39"/>
      <c r="AB101" s="119">
        <f t="shared" si="52"/>
        <v>248</v>
      </c>
      <c r="AC101" s="39" t="s">
        <v>139</v>
      </c>
      <c r="AD101" s="117">
        <v>46197</v>
      </c>
      <c r="AE101" s="39">
        <v>206</v>
      </c>
      <c r="AF101" s="117">
        <v>46211</v>
      </c>
      <c r="AG101" s="39">
        <v>200</v>
      </c>
      <c r="AH101" s="39">
        <f t="shared" si="3"/>
        <v>-6</v>
      </c>
      <c r="AI101" s="39"/>
      <c r="AJ101" s="39"/>
      <c r="AK101" s="39"/>
      <c r="AL101" s="39"/>
      <c r="AM101" s="39"/>
      <c r="AN101" s="39">
        <f t="shared" si="4"/>
        <v>0</v>
      </c>
      <c r="AO101" s="39"/>
      <c r="AP101" s="39"/>
      <c r="AQ101" s="39"/>
      <c r="AR101" s="39"/>
      <c r="AS101" s="39"/>
      <c r="AT101" s="39">
        <f t="shared" si="5"/>
        <v>0</v>
      </c>
      <c r="AU101" s="39"/>
      <c r="AV101" s="39"/>
      <c r="AW101" s="39"/>
      <c r="AX101" s="39"/>
      <c r="AY101" s="39"/>
      <c r="AZ101" s="39">
        <f t="shared" si="6"/>
        <v>0</v>
      </c>
      <c r="BA101" s="39"/>
      <c r="BB101" s="39"/>
      <c r="BC101" s="39"/>
      <c r="BD101" s="39"/>
      <c r="BE101" s="39"/>
      <c r="BF101" s="39">
        <f t="shared" si="7"/>
        <v>0</v>
      </c>
      <c r="BG101" s="39"/>
      <c r="BH101" s="39"/>
      <c r="BI101" s="39"/>
      <c r="BJ101" s="39"/>
      <c r="BK101" s="39"/>
      <c r="BL101" s="39">
        <f t="shared" si="8"/>
        <v>0</v>
      </c>
      <c r="BM101" s="54" t="str">
        <f t="shared" si="9"/>
        <v/>
      </c>
      <c r="BN101" s="58">
        <v>46183</v>
      </c>
      <c r="BO101" s="57">
        <v>46196</v>
      </c>
      <c r="BP101" s="57">
        <v>46200</v>
      </c>
      <c r="BQ101" s="57">
        <v>46207</v>
      </c>
      <c r="BR101" s="230"/>
      <c r="BS101" s="230"/>
      <c r="BT101" s="39">
        <v>2223</v>
      </c>
      <c r="BU101" s="39">
        <v>199</v>
      </c>
      <c r="BV101" s="39">
        <v>2029</v>
      </c>
      <c r="BW101" s="39">
        <v>16</v>
      </c>
      <c r="BX101" s="39"/>
      <c r="BY101" s="39"/>
      <c r="BZ101" s="39">
        <f t="shared" si="10"/>
        <v>215</v>
      </c>
      <c r="CA101" s="39">
        <f t="shared" si="11"/>
        <v>-3</v>
      </c>
      <c r="CB101" s="39">
        <f t="shared" si="12"/>
        <v>-1</v>
      </c>
      <c r="CC101" s="39">
        <f t="shared" si="13"/>
        <v>0</v>
      </c>
      <c r="CD101" s="39">
        <v>0</v>
      </c>
      <c r="CE101" s="102">
        <f t="shared" si="15"/>
        <v>0</v>
      </c>
      <c r="CF101" s="36" t="s">
        <v>408</v>
      </c>
      <c r="CG101" s="39" t="s">
        <v>282</v>
      </c>
      <c r="CH101" s="39"/>
      <c r="CI101" s="25">
        <v>1</v>
      </c>
    </row>
    <row r="102" spans="1:87" ht="24.75" customHeight="1">
      <c r="A102" s="36" t="s">
        <v>50</v>
      </c>
      <c r="B102" s="26">
        <v>47541</v>
      </c>
      <c r="C102" s="227">
        <v>13261845</v>
      </c>
      <c r="D102" s="36"/>
      <c r="E102" s="39">
        <v>260</v>
      </c>
      <c r="F102" s="39" t="s">
        <v>694</v>
      </c>
      <c r="G102" s="36" t="s">
        <v>368</v>
      </c>
      <c r="H102" s="143" t="s">
        <v>555</v>
      </c>
      <c r="I102" s="39"/>
      <c r="J102" s="39"/>
      <c r="K102" s="39"/>
      <c r="L102" s="39">
        <v>0</v>
      </c>
      <c r="M102" s="117"/>
      <c r="N102" s="117"/>
      <c r="O102" s="39"/>
      <c r="P102" s="39"/>
      <c r="Q102" s="39"/>
      <c r="R102" s="39">
        <f t="shared" si="51"/>
        <v>0</v>
      </c>
      <c r="S102" s="39" t="s">
        <v>130</v>
      </c>
      <c r="T102" s="39"/>
      <c r="U102" s="39"/>
      <c r="V102" s="39"/>
      <c r="W102" s="39"/>
      <c r="X102" s="39"/>
      <c r="Y102" s="39"/>
      <c r="Z102" s="39"/>
      <c r="AA102" s="39"/>
      <c r="AB102" s="39">
        <f t="shared" si="52"/>
        <v>0</v>
      </c>
      <c r="AC102" s="39"/>
      <c r="AD102" s="39"/>
      <c r="AE102" s="39"/>
      <c r="AF102" s="39"/>
      <c r="AG102" s="39"/>
      <c r="AH102" s="39">
        <f t="shared" si="3"/>
        <v>0</v>
      </c>
      <c r="AI102" s="39"/>
      <c r="AJ102" s="39"/>
      <c r="AK102" s="39"/>
      <c r="AL102" s="39"/>
      <c r="AM102" s="39"/>
      <c r="AN102" s="39">
        <f t="shared" si="4"/>
        <v>0</v>
      </c>
      <c r="AO102" s="39"/>
      <c r="AP102" s="39"/>
      <c r="AQ102" s="39"/>
      <c r="AR102" s="39"/>
      <c r="AS102" s="39"/>
      <c r="AT102" s="39">
        <f t="shared" si="5"/>
        <v>0</v>
      </c>
      <c r="AU102" s="39"/>
      <c r="AV102" s="39"/>
      <c r="AW102" s="39"/>
      <c r="AX102" s="39"/>
      <c r="AY102" s="39"/>
      <c r="AZ102" s="39">
        <f t="shared" si="6"/>
        <v>0</v>
      </c>
      <c r="BA102" s="39"/>
      <c r="BB102" s="39"/>
      <c r="BC102" s="39"/>
      <c r="BD102" s="39"/>
      <c r="BE102" s="39"/>
      <c r="BF102" s="39">
        <f t="shared" si="7"/>
        <v>0</v>
      </c>
      <c r="BG102" s="39"/>
      <c r="BH102" s="39"/>
      <c r="BI102" s="39"/>
      <c r="BJ102" s="39"/>
      <c r="BK102" s="39"/>
      <c r="BL102" s="39">
        <f t="shared" si="8"/>
        <v>0</v>
      </c>
      <c r="BM102" s="54" t="e">
        <f t="shared" si="9"/>
        <v>#DIV/0!</v>
      </c>
      <c r="BN102" s="58"/>
      <c r="BO102" s="57"/>
      <c r="BP102" s="36"/>
      <c r="BQ102" s="36"/>
      <c r="BR102" s="229">
        <v>46218</v>
      </c>
      <c r="BS102" s="229"/>
      <c r="BT102" s="39"/>
      <c r="BU102" s="39"/>
      <c r="BV102" s="39"/>
      <c r="BW102" s="39"/>
      <c r="BX102" s="39"/>
      <c r="BY102" s="39"/>
      <c r="BZ102" s="39">
        <f t="shared" si="10"/>
        <v>0</v>
      </c>
      <c r="CA102" s="39">
        <v>0</v>
      </c>
      <c r="CB102" s="39">
        <f t="shared" si="12"/>
        <v>0</v>
      </c>
      <c r="CC102" s="39">
        <f t="shared" si="13"/>
        <v>0</v>
      </c>
      <c r="CD102" s="39">
        <f t="shared" si="14"/>
        <v>0</v>
      </c>
      <c r="CE102" s="102" t="e">
        <f t="shared" si="15"/>
        <v>#DIV/0!</v>
      </c>
      <c r="CF102" s="36" t="s">
        <v>248</v>
      </c>
      <c r="CG102" s="39" t="s">
        <v>492</v>
      </c>
      <c r="CH102" s="39"/>
      <c r="CI102" s="25">
        <v>1</v>
      </c>
    </row>
    <row r="103" spans="1:87" ht="24.75" customHeight="1">
      <c r="A103" s="36" t="s">
        <v>50</v>
      </c>
      <c r="B103" s="26">
        <v>47541</v>
      </c>
      <c r="C103" s="228"/>
      <c r="D103" s="36"/>
      <c r="E103" s="39">
        <v>160</v>
      </c>
      <c r="F103" s="39" t="s">
        <v>59</v>
      </c>
      <c r="G103" s="36" t="s">
        <v>368</v>
      </c>
      <c r="H103" s="36" t="s">
        <v>22</v>
      </c>
      <c r="I103" s="39">
        <v>3</v>
      </c>
      <c r="J103" s="39"/>
      <c r="K103" s="39"/>
      <c r="L103" s="39">
        <f t="shared" ref="L103:L105" si="60">SUM(I103:K103)</f>
        <v>3</v>
      </c>
      <c r="M103" s="117">
        <v>46157</v>
      </c>
      <c r="N103" s="117">
        <v>46159</v>
      </c>
      <c r="O103" s="39"/>
      <c r="P103" s="39"/>
      <c r="Q103" s="39"/>
      <c r="R103" s="39">
        <f t="shared" si="51"/>
        <v>0</v>
      </c>
      <c r="S103" s="39" t="s">
        <v>130</v>
      </c>
      <c r="T103" s="39">
        <v>107631</v>
      </c>
      <c r="U103" s="117">
        <v>46213</v>
      </c>
      <c r="V103" s="39"/>
      <c r="W103" s="39"/>
      <c r="X103" s="39"/>
      <c r="Y103" s="39">
        <v>7</v>
      </c>
      <c r="Z103" s="39"/>
      <c r="AA103" s="39"/>
      <c r="AB103" s="119">
        <f t="shared" si="52"/>
        <v>7</v>
      </c>
      <c r="AC103" s="39"/>
      <c r="AD103" s="39"/>
      <c r="AE103" s="39"/>
      <c r="AF103" s="39"/>
      <c r="AG103" s="39"/>
      <c r="AH103" s="39">
        <f t="shared" si="3"/>
        <v>0</v>
      </c>
      <c r="AI103" s="39"/>
      <c r="AJ103" s="39"/>
      <c r="AK103" s="39"/>
      <c r="AL103" s="39"/>
      <c r="AM103" s="39"/>
      <c r="AN103" s="39">
        <f t="shared" si="4"/>
        <v>0</v>
      </c>
      <c r="AO103" s="39"/>
      <c r="AP103" s="39"/>
      <c r="AQ103" s="39"/>
      <c r="AR103" s="39"/>
      <c r="AS103" s="39"/>
      <c r="AT103" s="39">
        <f t="shared" si="5"/>
        <v>0</v>
      </c>
      <c r="AU103" s="39"/>
      <c r="AV103" s="39"/>
      <c r="AW103" s="39"/>
      <c r="AX103" s="39"/>
      <c r="AY103" s="39"/>
      <c r="AZ103" s="39">
        <f t="shared" si="6"/>
        <v>0</v>
      </c>
      <c r="BA103" s="39"/>
      <c r="BB103" s="39"/>
      <c r="BC103" s="39"/>
      <c r="BD103" s="39"/>
      <c r="BE103" s="39"/>
      <c r="BF103" s="39">
        <f t="shared" si="7"/>
        <v>0</v>
      </c>
      <c r="BG103" s="39"/>
      <c r="BH103" s="39"/>
      <c r="BI103" s="39"/>
      <c r="BJ103" s="39"/>
      <c r="BK103" s="39"/>
      <c r="BL103" s="39">
        <f t="shared" si="8"/>
        <v>0</v>
      </c>
      <c r="BM103" s="54" t="str">
        <f t="shared" si="9"/>
        <v/>
      </c>
      <c r="BN103" s="58">
        <v>46183</v>
      </c>
      <c r="BO103" s="57">
        <v>46191</v>
      </c>
      <c r="BP103" s="36"/>
      <c r="BQ103" s="36"/>
      <c r="BR103" s="230"/>
      <c r="BS103" s="230"/>
      <c r="BT103" s="39">
        <v>1804</v>
      </c>
      <c r="BU103" s="39">
        <v>7</v>
      </c>
      <c r="BV103" s="39"/>
      <c r="BW103" s="39"/>
      <c r="BX103" s="39"/>
      <c r="BY103" s="39"/>
      <c r="BZ103" s="39">
        <f t="shared" si="10"/>
        <v>7</v>
      </c>
      <c r="CA103" s="39">
        <f t="shared" ref="CA103:CA166" si="61">BU103-I103</f>
        <v>4</v>
      </c>
      <c r="CB103" s="39">
        <f t="shared" si="12"/>
        <v>0</v>
      </c>
      <c r="CC103" s="39">
        <f t="shared" si="13"/>
        <v>0</v>
      </c>
      <c r="CD103" s="39">
        <f t="shared" si="14"/>
        <v>0</v>
      </c>
      <c r="CE103" s="102">
        <f t="shared" si="15"/>
        <v>0</v>
      </c>
      <c r="CF103" s="36" t="s">
        <v>248</v>
      </c>
      <c r="CG103" s="39" t="s">
        <v>492</v>
      </c>
      <c r="CH103" s="39"/>
      <c r="CI103" s="25">
        <v>1</v>
      </c>
    </row>
    <row r="104" spans="1:87" ht="24.75" customHeight="1">
      <c r="A104" s="36" t="s">
        <v>50</v>
      </c>
      <c r="B104" s="26">
        <v>47542</v>
      </c>
      <c r="C104" s="227">
        <v>13261843</v>
      </c>
      <c r="D104" s="36"/>
      <c r="E104" s="39">
        <v>260</v>
      </c>
      <c r="F104" s="39" t="s">
        <v>694</v>
      </c>
      <c r="G104" s="36" t="s">
        <v>611</v>
      </c>
      <c r="H104" s="143" t="s">
        <v>555</v>
      </c>
      <c r="I104" s="39"/>
      <c r="J104" s="39"/>
      <c r="K104" s="39"/>
      <c r="L104" s="39">
        <f t="shared" si="60"/>
        <v>0</v>
      </c>
      <c r="M104" s="117"/>
      <c r="N104" s="117"/>
      <c r="O104" s="39"/>
      <c r="P104" s="39"/>
      <c r="Q104" s="39"/>
      <c r="R104" s="39">
        <f t="shared" si="51"/>
        <v>0</v>
      </c>
      <c r="S104" s="39" t="s">
        <v>130</v>
      </c>
      <c r="T104" s="39"/>
      <c r="U104" s="39"/>
      <c r="V104" s="39"/>
      <c r="W104" s="39"/>
      <c r="X104" s="39"/>
      <c r="Y104" s="39"/>
      <c r="Z104" s="39"/>
      <c r="AA104" s="39"/>
      <c r="AB104" s="39">
        <f t="shared" si="52"/>
        <v>0</v>
      </c>
      <c r="AC104" s="39"/>
      <c r="AD104" s="39"/>
      <c r="AE104" s="39"/>
      <c r="AF104" s="39"/>
      <c r="AG104" s="39"/>
      <c r="AH104" s="39">
        <f t="shared" si="3"/>
        <v>0</v>
      </c>
      <c r="AI104" s="39"/>
      <c r="AJ104" s="39"/>
      <c r="AK104" s="39"/>
      <c r="AL104" s="39"/>
      <c r="AM104" s="39"/>
      <c r="AN104" s="39">
        <f t="shared" si="4"/>
        <v>0</v>
      </c>
      <c r="AO104" s="39"/>
      <c r="AP104" s="39"/>
      <c r="AQ104" s="39"/>
      <c r="AR104" s="39"/>
      <c r="AS104" s="39"/>
      <c r="AT104" s="39">
        <f t="shared" si="5"/>
        <v>0</v>
      </c>
      <c r="AU104" s="39"/>
      <c r="AV104" s="39"/>
      <c r="AW104" s="39"/>
      <c r="AX104" s="39"/>
      <c r="AY104" s="39"/>
      <c r="AZ104" s="39">
        <f t="shared" si="6"/>
        <v>0</v>
      </c>
      <c r="BA104" s="39"/>
      <c r="BB104" s="39"/>
      <c r="BC104" s="39"/>
      <c r="BD104" s="39"/>
      <c r="BE104" s="39"/>
      <c r="BF104" s="39">
        <f t="shared" si="7"/>
        <v>0</v>
      </c>
      <c r="BG104" s="39"/>
      <c r="BH104" s="39"/>
      <c r="BI104" s="39"/>
      <c r="BJ104" s="39"/>
      <c r="BK104" s="39"/>
      <c r="BL104" s="39">
        <f t="shared" si="8"/>
        <v>0</v>
      </c>
      <c r="BM104" s="54" t="e">
        <f t="shared" si="9"/>
        <v>#DIV/0!</v>
      </c>
      <c r="BN104" s="58"/>
      <c r="BO104" s="57"/>
      <c r="BP104" s="36"/>
      <c r="BQ104" s="36"/>
      <c r="BR104" s="243"/>
      <c r="BS104" s="243"/>
      <c r="BT104" s="39"/>
      <c r="BU104" s="39"/>
      <c r="BV104" s="39"/>
      <c r="BW104" s="39"/>
      <c r="BX104" s="39"/>
      <c r="BY104" s="39"/>
      <c r="BZ104" s="39">
        <f t="shared" si="10"/>
        <v>0</v>
      </c>
      <c r="CA104" s="39">
        <f t="shared" si="61"/>
        <v>0</v>
      </c>
      <c r="CB104" s="39">
        <f t="shared" si="12"/>
        <v>0</v>
      </c>
      <c r="CC104" s="39">
        <f t="shared" si="13"/>
        <v>0</v>
      </c>
      <c r="CD104" s="39">
        <f t="shared" si="14"/>
        <v>0</v>
      </c>
      <c r="CE104" s="102" t="e">
        <f t="shared" si="15"/>
        <v>#DIV/0!</v>
      </c>
      <c r="CF104" s="36" t="s">
        <v>248</v>
      </c>
      <c r="CG104" s="39" t="s">
        <v>492</v>
      </c>
      <c r="CH104" s="39"/>
      <c r="CI104" s="25">
        <v>1</v>
      </c>
    </row>
    <row r="105" spans="1:87" ht="24.75" customHeight="1">
      <c r="A105" s="36" t="s">
        <v>50</v>
      </c>
      <c r="B105" s="26">
        <v>47542</v>
      </c>
      <c r="C105" s="231"/>
      <c r="D105" s="36"/>
      <c r="E105" s="39">
        <v>260</v>
      </c>
      <c r="F105" s="39" t="s">
        <v>694</v>
      </c>
      <c r="G105" s="36" t="s">
        <v>368</v>
      </c>
      <c r="H105" s="143" t="s">
        <v>555</v>
      </c>
      <c r="I105" s="39"/>
      <c r="J105" s="39"/>
      <c r="K105" s="39"/>
      <c r="L105" s="39">
        <f t="shared" si="60"/>
        <v>0</v>
      </c>
      <c r="M105" s="117"/>
      <c r="N105" s="117"/>
      <c r="O105" s="39"/>
      <c r="P105" s="39"/>
      <c r="Q105" s="39"/>
      <c r="R105" s="39">
        <f t="shared" si="51"/>
        <v>0</v>
      </c>
      <c r="S105" s="39" t="s">
        <v>130</v>
      </c>
      <c r="T105" s="39"/>
      <c r="U105" s="39"/>
      <c r="V105" s="39"/>
      <c r="W105" s="39"/>
      <c r="X105" s="39"/>
      <c r="Y105" s="39"/>
      <c r="Z105" s="39"/>
      <c r="AA105" s="39"/>
      <c r="AB105" s="39">
        <f t="shared" si="52"/>
        <v>0</v>
      </c>
      <c r="AC105" s="39"/>
      <c r="AD105" s="39"/>
      <c r="AE105" s="39"/>
      <c r="AF105" s="39"/>
      <c r="AG105" s="39"/>
      <c r="AH105" s="39">
        <f t="shared" si="3"/>
        <v>0</v>
      </c>
      <c r="AI105" s="39"/>
      <c r="AJ105" s="39"/>
      <c r="AK105" s="39"/>
      <c r="AL105" s="39"/>
      <c r="AM105" s="39"/>
      <c r="AN105" s="39">
        <f t="shared" si="4"/>
        <v>0</v>
      </c>
      <c r="AO105" s="39"/>
      <c r="AP105" s="39"/>
      <c r="AQ105" s="39"/>
      <c r="AR105" s="39"/>
      <c r="AS105" s="39"/>
      <c r="AT105" s="39">
        <f t="shared" si="5"/>
        <v>0</v>
      </c>
      <c r="AU105" s="39"/>
      <c r="AV105" s="39"/>
      <c r="AW105" s="39"/>
      <c r="AX105" s="39"/>
      <c r="AY105" s="39"/>
      <c r="AZ105" s="39">
        <f t="shared" si="6"/>
        <v>0</v>
      </c>
      <c r="BA105" s="39"/>
      <c r="BB105" s="39"/>
      <c r="BC105" s="39"/>
      <c r="BD105" s="39"/>
      <c r="BE105" s="39"/>
      <c r="BF105" s="39">
        <f t="shared" si="7"/>
        <v>0</v>
      </c>
      <c r="BG105" s="39"/>
      <c r="BH105" s="39"/>
      <c r="BI105" s="39"/>
      <c r="BJ105" s="39"/>
      <c r="BK105" s="39"/>
      <c r="BL105" s="39">
        <f t="shared" si="8"/>
        <v>0</v>
      </c>
      <c r="BM105" s="54" t="e">
        <f t="shared" si="9"/>
        <v>#DIV/0!</v>
      </c>
      <c r="BN105" s="58"/>
      <c r="BO105" s="57"/>
      <c r="BP105" s="36"/>
      <c r="BQ105" s="36"/>
      <c r="BR105" s="232"/>
      <c r="BS105" s="232"/>
      <c r="BT105" s="39"/>
      <c r="BU105" s="39"/>
      <c r="BV105" s="39"/>
      <c r="BW105" s="39"/>
      <c r="BX105" s="39"/>
      <c r="BY105" s="39"/>
      <c r="BZ105" s="39">
        <f t="shared" si="10"/>
        <v>0</v>
      </c>
      <c r="CA105" s="39">
        <f t="shared" si="61"/>
        <v>0</v>
      </c>
      <c r="CB105" s="39">
        <f t="shared" si="12"/>
        <v>0</v>
      </c>
      <c r="CC105" s="39">
        <f t="shared" si="13"/>
        <v>0</v>
      </c>
      <c r="CD105" s="39">
        <f t="shared" si="14"/>
        <v>0</v>
      </c>
      <c r="CE105" s="102" t="e">
        <f t="shared" si="15"/>
        <v>#DIV/0!</v>
      </c>
      <c r="CF105" s="36" t="s">
        <v>248</v>
      </c>
      <c r="CG105" s="39" t="s">
        <v>492</v>
      </c>
      <c r="CH105" s="39"/>
      <c r="CI105" s="25">
        <v>1</v>
      </c>
    </row>
    <row r="106" spans="1:87" ht="24.75" customHeight="1">
      <c r="A106" s="36" t="s">
        <v>50</v>
      </c>
      <c r="B106" s="26">
        <v>47542</v>
      </c>
      <c r="C106" s="228"/>
      <c r="D106" s="36"/>
      <c r="E106" s="39"/>
      <c r="F106" s="39"/>
      <c r="G106" s="36" t="s">
        <v>198</v>
      </c>
      <c r="H106" s="36">
        <f>2100+3180</f>
        <v>5280</v>
      </c>
      <c r="I106" s="39" t="s">
        <v>90</v>
      </c>
      <c r="J106" s="39"/>
      <c r="K106" s="39"/>
      <c r="L106" s="39">
        <f t="shared" ref="L106" si="62">SUM(I106:K106)</f>
        <v>0</v>
      </c>
      <c r="M106" s="117">
        <v>46154</v>
      </c>
      <c r="N106" s="117">
        <v>46160</v>
      </c>
      <c r="O106" s="39"/>
      <c r="P106" s="39"/>
      <c r="Q106" s="39"/>
      <c r="R106" s="39">
        <f t="shared" si="51"/>
        <v>0</v>
      </c>
      <c r="S106" s="39" t="s">
        <v>130</v>
      </c>
      <c r="T106" s="39" t="s">
        <v>1687</v>
      </c>
      <c r="U106" s="117">
        <v>46219</v>
      </c>
      <c r="V106" s="39"/>
      <c r="W106" s="39"/>
      <c r="X106" s="39"/>
      <c r="Y106" s="39">
        <f>16+10</f>
        <v>26</v>
      </c>
      <c r="Z106" s="39"/>
      <c r="AA106" s="39"/>
      <c r="AB106" s="39">
        <f t="shared" si="52"/>
        <v>26</v>
      </c>
      <c r="AC106" s="39"/>
      <c r="AD106" s="39"/>
      <c r="AE106" s="39"/>
      <c r="AF106" s="39"/>
      <c r="AG106" s="39"/>
      <c r="AH106" s="39">
        <f t="shared" si="3"/>
        <v>0</v>
      </c>
      <c r="AI106" s="39"/>
      <c r="AJ106" s="39"/>
      <c r="AK106" s="39"/>
      <c r="AL106" s="39"/>
      <c r="AM106" s="39"/>
      <c r="AN106" s="39">
        <f t="shared" si="4"/>
        <v>0</v>
      </c>
      <c r="AO106" s="39"/>
      <c r="AP106" s="39"/>
      <c r="AQ106" s="39"/>
      <c r="AR106" s="39"/>
      <c r="AS106" s="39"/>
      <c r="AT106" s="39">
        <f t="shared" si="5"/>
        <v>0</v>
      </c>
      <c r="AU106" s="39"/>
      <c r="AV106" s="39"/>
      <c r="AW106" s="39"/>
      <c r="AX106" s="39"/>
      <c r="AY106" s="39"/>
      <c r="AZ106" s="39">
        <f t="shared" si="6"/>
        <v>0</v>
      </c>
      <c r="BA106" s="39"/>
      <c r="BB106" s="39"/>
      <c r="BC106" s="39"/>
      <c r="BD106" s="39"/>
      <c r="BE106" s="39"/>
      <c r="BF106" s="39">
        <f t="shared" si="7"/>
        <v>0</v>
      </c>
      <c r="BG106" s="39"/>
      <c r="BH106" s="39"/>
      <c r="BI106" s="39"/>
      <c r="BJ106" s="39"/>
      <c r="BK106" s="39"/>
      <c r="BL106" s="39">
        <f t="shared" si="8"/>
        <v>0</v>
      </c>
      <c r="BM106" s="54" t="e">
        <f t="shared" si="9"/>
        <v>#DIV/0!</v>
      </c>
      <c r="BN106" s="58">
        <v>46183</v>
      </c>
      <c r="BO106" s="57">
        <v>46190</v>
      </c>
      <c r="BP106" s="36"/>
      <c r="BQ106" s="36"/>
      <c r="BR106" s="230"/>
      <c r="BS106" s="230"/>
      <c r="BT106" s="39" t="s">
        <v>1800</v>
      </c>
      <c r="BU106" s="39"/>
      <c r="BV106" s="39"/>
      <c r="BW106" s="39"/>
      <c r="BX106" s="39"/>
      <c r="BY106" s="39"/>
      <c r="BZ106" s="39">
        <f t="shared" si="10"/>
        <v>0</v>
      </c>
      <c r="CA106" s="39" t="e">
        <f t="shared" si="61"/>
        <v>#VALUE!</v>
      </c>
      <c r="CB106" s="39">
        <f t="shared" si="12"/>
        <v>0</v>
      </c>
      <c r="CC106" s="39">
        <f t="shared" si="13"/>
        <v>0</v>
      </c>
      <c r="CD106" s="39">
        <f t="shared" si="14"/>
        <v>0</v>
      </c>
      <c r="CE106" s="102" t="e">
        <f t="shared" si="15"/>
        <v>#DIV/0!</v>
      </c>
      <c r="CF106" s="36" t="s">
        <v>248</v>
      </c>
      <c r="CG106" s="39" t="s">
        <v>492</v>
      </c>
      <c r="CH106" s="39"/>
      <c r="CI106" s="25">
        <v>1</v>
      </c>
    </row>
    <row r="107" spans="1:87" ht="24.75" customHeight="1">
      <c r="A107" s="36" t="s">
        <v>50</v>
      </c>
      <c r="B107" s="26">
        <v>47543</v>
      </c>
      <c r="C107" s="36">
        <v>13249242</v>
      </c>
      <c r="D107" s="36"/>
      <c r="E107" s="39"/>
      <c r="F107" s="39"/>
      <c r="G107" s="36" t="s">
        <v>695</v>
      </c>
      <c r="H107" s="36"/>
      <c r="I107" s="39"/>
      <c r="J107" s="39"/>
      <c r="K107" s="39"/>
      <c r="L107" s="39">
        <f t="shared" ref="L107:L110" si="63">SUM(I107:K107)</f>
        <v>0</v>
      </c>
      <c r="M107" s="39"/>
      <c r="N107" s="39"/>
      <c r="O107" s="39"/>
      <c r="P107" s="39"/>
      <c r="Q107" s="39"/>
      <c r="R107" s="39">
        <f t="shared" si="51"/>
        <v>0</v>
      </c>
      <c r="S107" s="39" t="s">
        <v>130</v>
      </c>
      <c r="T107" s="39"/>
      <c r="U107" s="39"/>
      <c r="V107" s="39"/>
      <c r="W107" s="39"/>
      <c r="X107" s="39"/>
      <c r="Y107" s="39"/>
      <c r="Z107" s="39"/>
      <c r="AA107" s="39"/>
      <c r="AB107" s="39">
        <f t="shared" si="52"/>
        <v>0</v>
      </c>
      <c r="AC107" s="39"/>
      <c r="AD107" s="39"/>
      <c r="AE107" s="39"/>
      <c r="AF107" s="39"/>
      <c r="AG107" s="39"/>
      <c r="AH107" s="39">
        <f t="shared" si="3"/>
        <v>0</v>
      </c>
      <c r="AI107" s="39"/>
      <c r="AJ107" s="39"/>
      <c r="AK107" s="39"/>
      <c r="AL107" s="39"/>
      <c r="AM107" s="39"/>
      <c r="AN107" s="39">
        <f t="shared" si="4"/>
        <v>0</v>
      </c>
      <c r="AO107" s="39"/>
      <c r="AP107" s="39"/>
      <c r="AQ107" s="39"/>
      <c r="AR107" s="39"/>
      <c r="AS107" s="39"/>
      <c r="AT107" s="39">
        <f t="shared" si="5"/>
        <v>0</v>
      </c>
      <c r="AU107" s="39"/>
      <c r="AV107" s="39"/>
      <c r="AW107" s="39"/>
      <c r="AX107" s="39"/>
      <c r="AY107" s="39"/>
      <c r="AZ107" s="39">
        <f t="shared" si="6"/>
        <v>0</v>
      </c>
      <c r="BA107" s="39"/>
      <c r="BB107" s="39"/>
      <c r="BC107" s="39"/>
      <c r="BD107" s="39"/>
      <c r="BE107" s="39"/>
      <c r="BF107" s="39">
        <f t="shared" si="7"/>
        <v>0</v>
      </c>
      <c r="BG107" s="39"/>
      <c r="BH107" s="39"/>
      <c r="BI107" s="39"/>
      <c r="BJ107" s="39"/>
      <c r="BK107" s="39"/>
      <c r="BL107" s="39">
        <f t="shared" si="8"/>
        <v>0</v>
      </c>
      <c r="BM107" s="54" t="e">
        <f t="shared" si="9"/>
        <v>#DIV/0!</v>
      </c>
      <c r="BN107" s="64"/>
      <c r="BO107" s="36"/>
      <c r="BP107" s="36"/>
      <c r="BQ107" s="36"/>
      <c r="BR107" s="40"/>
      <c r="BS107" s="40"/>
      <c r="BT107" s="39"/>
      <c r="BU107" s="39"/>
      <c r="BV107" s="39"/>
      <c r="BW107" s="39"/>
      <c r="BX107" s="39"/>
      <c r="BY107" s="39"/>
      <c r="BZ107" s="39">
        <f t="shared" si="10"/>
        <v>0</v>
      </c>
      <c r="CA107" s="39">
        <f t="shared" si="61"/>
        <v>0</v>
      </c>
      <c r="CB107" s="39">
        <f t="shared" si="12"/>
        <v>0</v>
      </c>
      <c r="CC107" s="39">
        <f t="shared" si="13"/>
        <v>0</v>
      </c>
      <c r="CD107" s="39">
        <f t="shared" si="14"/>
        <v>0</v>
      </c>
      <c r="CE107" s="102" t="e">
        <f t="shared" si="15"/>
        <v>#DIV/0!</v>
      </c>
      <c r="CF107" s="36" t="s">
        <v>248</v>
      </c>
      <c r="CG107" s="39" t="s">
        <v>492</v>
      </c>
      <c r="CH107" s="39"/>
      <c r="CI107" s="25">
        <v>1</v>
      </c>
    </row>
    <row r="108" spans="1:87" ht="24.75" customHeight="1">
      <c r="A108" s="36" t="s">
        <v>50</v>
      </c>
      <c r="B108" s="26">
        <v>47544</v>
      </c>
      <c r="C108" s="36">
        <v>13249241</v>
      </c>
      <c r="D108" s="36"/>
      <c r="E108" s="39"/>
      <c r="F108" s="39"/>
      <c r="G108" s="36" t="s">
        <v>695</v>
      </c>
      <c r="H108" s="36"/>
      <c r="I108" s="39"/>
      <c r="J108" s="39"/>
      <c r="K108" s="39"/>
      <c r="L108" s="39">
        <f t="shared" si="63"/>
        <v>0</v>
      </c>
      <c r="M108" s="39"/>
      <c r="N108" s="39"/>
      <c r="O108" s="39"/>
      <c r="P108" s="39"/>
      <c r="Q108" s="39"/>
      <c r="R108" s="39">
        <f t="shared" si="51"/>
        <v>0</v>
      </c>
      <c r="S108" s="39" t="s">
        <v>130</v>
      </c>
      <c r="T108" s="39"/>
      <c r="U108" s="39"/>
      <c r="V108" s="39"/>
      <c r="W108" s="39"/>
      <c r="X108" s="39"/>
      <c r="Y108" s="39"/>
      <c r="Z108" s="39"/>
      <c r="AA108" s="39"/>
      <c r="AB108" s="39">
        <f t="shared" si="52"/>
        <v>0</v>
      </c>
      <c r="AC108" s="39"/>
      <c r="AD108" s="39"/>
      <c r="AE108" s="39"/>
      <c r="AF108" s="39"/>
      <c r="AG108" s="39"/>
      <c r="AH108" s="39">
        <f t="shared" si="3"/>
        <v>0</v>
      </c>
      <c r="AI108" s="39"/>
      <c r="AJ108" s="39"/>
      <c r="AK108" s="39"/>
      <c r="AL108" s="39"/>
      <c r="AM108" s="39"/>
      <c r="AN108" s="39">
        <f t="shared" si="4"/>
        <v>0</v>
      </c>
      <c r="AO108" s="39"/>
      <c r="AP108" s="39"/>
      <c r="AQ108" s="39"/>
      <c r="AR108" s="39"/>
      <c r="AS108" s="39"/>
      <c r="AT108" s="39">
        <f t="shared" si="5"/>
        <v>0</v>
      </c>
      <c r="AU108" s="39"/>
      <c r="AV108" s="39"/>
      <c r="AW108" s="39"/>
      <c r="AX108" s="39"/>
      <c r="AY108" s="39"/>
      <c r="AZ108" s="39">
        <f t="shared" si="6"/>
        <v>0</v>
      </c>
      <c r="BA108" s="39"/>
      <c r="BB108" s="39"/>
      <c r="BC108" s="39"/>
      <c r="BD108" s="39"/>
      <c r="BE108" s="39"/>
      <c r="BF108" s="39">
        <f t="shared" si="7"/>
        <v>0</v>
      </c>
      <c r="BG108" s="39"/>
      <c r="BH108" s="39"/>
      <c r="BI108" s="39"/>
      <c r="BJ108" s="39"/>
      <c r="BK108" s="39"/>
      <c r="BL108" s="39">
        <f t="shared" si="8"/>
        <v>0</v>
      </c>
      <c r="BM108" s="54" t="e">
        <f t="shared" si="9"/>
        <v>#DIV/0!</v>
      </c>
      <c r="BN108" s="64"/>
      <c r="BO108" s="36"/>
      <c r="BP108" s="36"/>
      <c r="BQ108" s="36"/>
      <c r="BR108" s="40"/>
      <c r="BS108" s="40"/>
      <c r="BT108" s="39"/>
      <c r="BU108" s="39"/>
      <c r="BV108" s="39"/>
      <c r="BW108" s="39"/>
      <c r="BX108" s="39"/>
      <c r="BY108" s="39"/>
      <c r="BZ108" s="39">
        <f t="shared" si="10"/>
        <v>0</v>
      </c>
      <c r="CA108" s="39">
        <f t="shared" si="61"/>
        <v>0</v>
      </c>
      <c r="CB108" s="39">
        <f t="shared" si="12"/>
        <v>0</v>
      </c>
      <c r="CC108" s="39">
        <f t="shared" si="13"/>
        <v>0</v>
      </c>
      <c r="CD108" s="39">
        <f t="shared" si="14"/>
        <v>0</v>
      </c>
      <c r="CE108" s="102" t="e">
        <f t="shared" si="15"/>
        <v>#DIV/0!</v>
      </c>
      <c r="CF108" s="36" t="s">
        <v>248</v>
      </c>
      <c r="CG108" s="39" t="s">
        <v>492</v>
      </c>
      <c r="CH108" s="39"/>
      <c r="CI108" s="25">
        <v>1</v>
      </c>
    </row>
    <row r="109" spans="1:87" ht="24.75" customHeight="1">
      <c r="A109" s="36" t="s">
        <v>50</v>
      </c>
      <c r="B109" s="26">
        <v>47545</v>
      </c>
      <c r="C109" s="227">
        <v>13249243</v>
      </c>
      <c r="D109" s="36"/>
      <c r="E109" s="39">
        <v>200</v>
      </c>
      <c r="F109" s="39" t="s">
        <v>676</v>
      </c>
      <c r="G109" s="36" t="s">
        <v>671</v>
      </c>
      <c r="H109" s="143" t="s">
        <v>555</v>
      </c>
      <c r="I109" s="39"/>
      <c r="J109" s="39"/>
      <c r="K109" s="39"/>
      <c r="L109" s="39">
        <f t="shared" si="63"/>
        <v>0</v>
      </c>
      <c r="M109" s="117">
        <v>46151</v>
      </c>
      <c r="N109" s="117">
        <v>46157</v>
      </c>
      <c r="O109" s="39"/>
      <c r="P109" s="39"/>
      <c r="Q109" s="39"/>
      <c r="R109" s="39">
        <f t="shared" si="51"/>
        <v>0</v>
      </c>
      <c r="S109" s="39" t="s">
        <v>130</v>
      </c>
      <c r="T109" s="39"/>
      <c r="U109" s="39"/>
      <c r="V109" s="39"/>
      <c r="W109" s="39"/>
      <c r="X109" s="39"/>
      <c r="Y109" s="39"/>
      <c r="Z109" s="39"/>
      <c r="AA109" s="39"/>
      <c r="AB109" s="39">
        <f t="shared" si="52"/>
        <v>0</v>
      </c>
      <c r="AC109" s="39"/>
      <c r="AD109" s="39"/>
      <c r="AE109" s="39"/>
      <c r="AF109" s="39"/>
      <c r="AG109" s="39"/>
      <c r="AH109" s="39">
        <f t="shared" si="3"/>
        <v>0</v>
      </c>
      <c r="AI109" s="39"/>
      <c r="AJ109" s="39"/>
      <c r="AK109" s="39"/>
      <c r="AL109" s="39"/>
      <c r="AM109" s="39"/>
      <c r="AN109" s="39">
        <f t="shared" si="4"/>
        <v>0</v>
      </c>
      <c r="AO109" s="39"/>
      <c r="AP109" s="39"/>
      <c r="AQ109" s="39"/>
      <c r="AR109" s="39"/>
      <c r="AS109" s="39"/>
      <c r="AT109" s="39">
        <f t="shared" si="5"/>
        <v>0</v>
      </c>
      <c r="AU109" s="39"/>
      <c r="AV109" s="39"/>
      <c r="AW109" s="39"/>
      <c r="AX109" s="39"/>
      <c r="AY109" s="39"/>
      <c r="AZ109" s="39">
        <f t="shared" si="6"/>
        <v>0</v>
      </c>
      <c r="BA109" s="39"/>
      <c r="BB109" s="39"/>
      <c r="BC109" s="39"/>
      <c r="BD109" s="39"/>
      <c r="BE109" s="39"/>
      <c r="BF109" s="39">
        <f t="shared" si="7"/>
        <v>0</v>
      </c>
      <c r="BG109" s="39"/>
      <c r="BH109" s="39"/>
      <c r="BI109" s="39"/>
      <c r="BJ109" s="39"/>
      <c r="BK109" s="39"/>
      <c r="BL109" s="39">
        <f t="shared" si="8"/>
        <v>0</v>
      </c>
      <c r="BM109" s="54" t="e">
        <f t="shared" si="9"/>
        <v>#DIV/0!</v>
      </c>
      <c r="BN109" s="58">
        <v>46182</v>
      </c>
      <c r="BO109" s="57">
        <v>46190</v>
      </c>
      <c r="BP109" s="36"/>
      <c r="BQ109" s="36"/>
      <c r="BR109" s="229">
        <v>46200</v>
      </c>
      <c r="BS109" s="243"/>
      <c r="BT109" s="39"/>
      <c r="BU109" s="39"/>
      <c r="BV109" s="39"/>
      <c r="BW109" s="39"/>
      <c r="BX109" s="39"/>
      <c r="BY109" s="39"/>
      <c r="BZ109" s="39">
        <f t="shared" si="10"/>
        <v>0</v>
      </c>
      <c r="CA109" s="39">
        <f t="shared" si="61"/>
        <v>0</v>
      </c>
      <c r="CB109" s="39">
        <f t="shared" si="12"/>
        <v>0</v>
      </c>
      <c r="CC109" s="39">
        <f t="shared" si="13"/>
        <v>0</v>
      </c>
      <c r="CD109" s="39">
        <f t="shared" si="14"/>
        <v>0</v>
      </c>
      <c r="CE109" s="102" t="e">
        <f t="shared" si="15"/>
        <v>#DIV/0!</v>
      </c>
      <c r="CF109" s="36" t="s">
        <v>248</v>
      </c>
      <c r="CG109" s="39" t="s">
        <v>492</v>
      </c>
      <c r="CH109" s="39"/>
      <c r="CI109" s="25">
        <v>1</v>
      </c>
    </row>
    <row r="110" spans="1:87" ht="24.75" customHeight="1">
      <c r="A110" s="36" t="s">
        <v>50</v>
      </c>
      <c r="B110" s="26">
        <v>47545</v>
      </c>
      <c r="C110" s="231"/>
      <c r="D110" s="36"/>
      <c r="E110" s="39">
        <v>120</v>
      </c>
      <c r="F110" s="39" t="s">
        <v>59</v>
      </c>
      <c r="G110" s="36" t="s">
        <v>671</v>
      </c>
      <c r="H110" s="36" t="s">
        <v>22</v>
      </c>
      <c r="I110" s="39">
        <v>115</v>
      </c>
      <c r="J110" s="39"/>
      <c r="K110" s="39"/>
      <c r="L110" s="39">
        <f t="shared" si="63"/>
        <v>115</v>
      </c>
      <c r="M110" s="117">
        <v>46151</v>
      </c>
      <c r="N110" s="117">
        <v>46157</v>
      </c>
      <c r="O110" s="39"/>
      <c r="P110" s="39"/>
      <c r="Q110" s="39"/>
      <c r="R110" s="39">
        <f t="shared" si="51"/>
        <v>0</v>
      </c>
      <c r="S110" s="39" t="s">
        <v>130</v>
      </c>
      <c r="T110" s="39">
        <v>107202</v>
      </c>
      <c r="U110" s="117">
        <v>46200</v>
      </c>
      <c r="V110" s="39"/>
      <c r="W110" s="39"/>
      <c r="X110" s="39"/>
      <c r="Y110" s="39">
        <v>140</v>
      </c>
      <c r="Z110" s="39"/>
      <c r="AA110" s="39"/>
      <c r="AB110" s="119">
        <f t="shared" si="52"/>
        <v>140</v>
      </c>
      <c r="AC110" s="39"/>
      <c r="AD110" s="39"/>
      <c r="AE110" s="39"/>
      <c r="AF110" s="39"/>
      <c r="AG110" s="39"/>
      <c r="AH110" s="39">
        <f t="shared" si="3"/>
        <v>0</v>
      </c>
      <c r="AI110" s="39"/>
      <c r="AJ110" s="39"/>
      <c r="AK110" s="39"/>
      <c r="AL110" s="39"/>
      <c r="AM110" s="39"/>
      <c r="AN110" s="39">
        <f t="shared" si="4"/>
        <v>0</v>
      </c>
      <c r="AO110" s="39"/>
      <c r="AP110" s="39"/>
      <c r="AQ110" s="39"/>
      <c r="AR110" s="39"/>
      <c r="AS110" s="39"/>
      <c r="AT110" s="39">
        <f t="shared" si="5"/>
        <v>0</v>
      </c>
      <c r="AU110" s="39"/>
      <c r="AV110" s="39"/>
      <c r="AW110" s="39"/>
      <c r="AX110" s="39"/>
      <c r="AY110" s="39"/>
      <c r="AZ110" s="39">
        <f t="shared" si="6"/>
        <v>0</v>
      </c>
      <c r="BA110" s="39"/>
      <c r="BB110" s="39"/>
      <c r="BC110" s="39"/>
      <c r="BD110" s="39"/>
      <c r="BE110" s="39"/>
      <c r="BF110" s="39">
        <f t="shared" si="7"/>
        <v>0</v>
      </c>
      <c r="BG110" s="39"/>
      <c r="BH110" s="39"/>
      <c r="BI110" s="39"/>
      <c r="BJ110" s="39"/>
      <c r="BK110" s="39"/>
      <c r="BL110" s="39">
        <f t="shared" si="8"/>
        <v>0</v>
      </c>
      <c r="BM110" s="54" t="str">
        <f t="shared" si="9"/>
        <v/>
      </c>
      <c r="BN110" s="58">
        <v>46182</v>
      </c>
      <c r="BO110" s="57">
        <v>46190</v>
      </c>
      <c r="BP110" s="36"/>
      <c r="BQ110" s="36"/>
      <c r="BR110" s="232"/>
      <c r="BS110" s="232"/>
      <c r="BT110" s="39">
        <v>2141</v>
      </c>
      <c r="BU110" s="39">
        <v>118</v>
      </c>
      <c r="BV110" s="39"/>
      <c r="BW110" s="39"/>
      <c r="BX110" s="39"/>
      <c r="BY110" s="39"/>
      <c r="BZ110" s="39">
        <f t="shared" si="10"/>
        <v>118</v>
      </c>
      <c r="CA110" s="39">
        <f t="shared" si="61"/>
        <v>3</v>
      </c>
      <c r="CB110" s="39">
        <f t="shared" si="12"/>
        <v>0</v>
      </c>
      <c r="CC110" s="39">
        <f t="shared" si="13"/>
        <v>0</v>
      </c>
      <c r="CD110" s="39">
        <f t="shared" si="14"/>
        <v>0</v>
      </c>
      <c r="CE110" s="102">
        <f t="shared" si="15"/>
        <v>0</v>
      </c>
      <c r="CF110" s="36" t="s">
        <v>248</v>
      </c>
      <c r="CG110" s="39" t="s">
        <v>492</v>
      </c>
      <c r="CH110" s="39"/>
      <c r="CI110" s="25">
        <v>1</v>
      </c>
    </row>
    <row r="111" spans="1:87" ht="24.75" customHeight="1">
      <c r="A111" s="36" t="s">
        <v>50</v>
      </c>
      <c r="B111" s="26">
        <v>47545</v>
      </c>
      <c r="C111" s="231"/>
      <c r="D111" s="36"/>
      <c r="E111" s="39">
        <v>200</v>
      </c>
      <c r="F111" s="39" t="s">
        <v>676</v>
      </c>
      <c r="G111" s="36" t="s">
        <v>352</v>
      </c>
      <c r="H111" s="143" t="s">
        <v>555</v>
      </c>
      <c r="I111" s="39"/>
      <c r="J111" s="39"/>
      <c r="K111" s="39"/>
      <c r="L111" s="39">
        <f t="shared" ref="L111" si="64">SUM(I111:K111)</f>
        <v>0</v>
      </c>
      <c r="M111" s="117">
        <v>46151</v>
      </c>
      <c r="N111" s="117">
        <v>46157</v>
      </c>
      <c r="O111" s="39"/>
      <c r="P111" s="39"/>
      <c r="Q111" s="39"/>
      <c r="R111" s="39">
        <f t="shared" si="51"/>
        <v>0</v>
      </c>
      <c r="S111" s="39" t="s">
        <v>130</v>
      </c>
      <c r="T111" s="39"/>
      <c r="U111" s="39"/>
      <c r="V111" s="39"/>
      <c r="W111" s="39"/>
      <c r="X111" s="39"/>
      <c r="Y111" s="39"/>
      <c r="Z111" s="39"/>
      <c r="AA111" s="39"/>
      <c r="AB111" s="39">
        <f t="shared" si="52"/>
        <v>0</v>
      </c>
      <c r="AC111" s="39"/>
      <c r="AD111" s="39"/>
      <c r="AE111" s="39"/>
      <c r="AF111" s="39"/>
      <c r="AG111" s="39"/>
      <c r="AH111" s="39">
        <f t="shared" si="3"/>
        <v>0</v>
      </c>
      <c r="AI111" s="39"/>
      <c r="AJ111" s="39"/>
      <c r="AK111" s="39"/>
      <c r="AL111" s="39"/>
      <c r="AM111" s="39"/>
      <c r="AN111" s="39">
        <f t="shared" si="4"/>
        <v>0</v>
      </c>
      <c r="AO111" s="39"/>
      <c r="AP111" s="39"/>
      <c r="AQ111" s="39"/>
      <c r="AR111" s="39"/>
      <c r="AS111" s="39"/>
      <c r="AT111" s="39">
        <f t="shared" si="5"/>
        <v>0</v>
      </c>
      <c r="AU111" s="39"/>
      <c r="AV111" s="39"/>
      <c r="AW111" s="39"/>
      <c r="AX111" s="39"/>
      <c r="AY111" s="39"/>
      <c r="AZ111" s="39">
        <f t="shared" si="6"/>
        <v>0</v>
      </c>
      <c r="BA111" s="39"/>
      <c r="BB111" s="39"/>
      <c r="BC111" s="39"/>
      <c r="BD111" s="39"/>
      <c r="BE111" s="39"/>
      <c r="BF111" s="39">
        <f t="shared" si="7"/>
        <v>0</v>
      </c>
      <c r="BG111" s="39"/>
      <c r="BH111" s="39"/>
      <c r="BI111" s="39"/>
      <c r="BJ111" s="39"/>
      <c r="BK111" s="39"/>
      <c r="BL111" s="39">
        <f t="shared" si="8"/>
        <v>0</v>
      </c>
      <c r="BM111" s="54" t="e">
        <f t="shared" si="9"/>
        <v>#DIV/0!</v>
      </c>
      <c r="BN111" s="58">
        <v>46182</v>
      </c>
      <c r="BO111" s="57">
        <v>46190</v>
      </c>
      <c r="BP111" s="36"/>
      <c r="BQ111" s="36"/>
      <c r="BR111" s="232"/>
      <c r="BS111" s="232"/>
      <c r="BT111" s="39"/>
      <c r="BU111" s="39"/>
      <c r="BV111" s="39"/>
      <c r="BW111" s="39"/>
      <c r="BX111" s="39"/>
      <c r="BY111" s="39"/>
      <c r="BZ111" s="39">
        <f t="shared" si="10"/>
        <v>0</v>
      </c>
      <c r="CA111" s="39">
        <f t="shared" si="61"/>
        <v>0</v>
      </c>
      <c r="CB111" s="39">
        <f t="shared" si="12"/>
        <v>0</v>
      </c>
      <c r="CC111" s="39">
        <f t="shared" si="13"/>
        <v>0</v>
      </c>
      <c r="CD111" s="39">
        <f t="shared" si="14"/>
        <v>0</v>
      </c>
      <c r="CE111" s="102" t="e">
        <f t="shared" si="15"/>
        <v>#DIV/0!</v>
      </c>
      <c r="CF111" s="36" t="s">
        <v>248</v>
      </c>
      <c r="CG111" s="39" t="s">
        <v>492</v>
      </c>
      <c r="CH111" s="39"/>
      <c r="CI111" s="25">
        <v>1</v>
      </c>
    </row>
    <row r="112" spans="1:87" ht="24.75" customHeight="1">
      <c r="A112" s="36" t="s">
        <v>50</v>
      </c>
      <c r="B112" s="26">
        <v>47545</v>
      </c>
      <c r="C112" s="231"/>
      <c r="D112" s="36"/>
      <c r="E112" s="39">
        <v>120</v>
      </c>
      <c r="F112" s="39" t="s">
        <v>59</v>
      </c>
      <c r="G112" s="36" t="s">
        <v>352</v>
      </c>
      <c r="H112" s="36" t="s">
        <v>22</v>
      </c>
      <c r="I112" s="39">
        <v>76</v>
      </c>
      <c r="J112" s="39"/>
      <c r="K112" s="39"/>
      <c r="L112" s="39">
        <f t="shared" ref="L112:L115" si="65">SUM(I112:K112)</f>
        <v>76</v>
      </c>
      <c r="M112" s="117">
        <v>46151</v>
      </c>
      <c r="N112" s="117">
        <v>46157</v>
      </c>
      <c r="O112" s="39"/>
      <c r="P112" s="39"/>
      <c r="Q112" s="39"/>
      <c r="R112" s="39">
        <f t="shared" si="51"/>
        <v>0</v>
      </c>
      <c r="S112" s="39" t="s">
        <v>130</v>
      </c>
      <c r="T112" s="39">
        <v>107193</v>
      </c>
      <c r="U112" s="117">
        <v>46200</v>
      </c>
      <c r="V112" s="39"/>
      <c r="W112" s="39"/>
      <c r="X112" s="39"/>
      <c r="Y112" s="39">
        <v>95</v>
      </c>
      <c r="Z112" s="39"/>
      <c r="AA112" s="39"/>
      <c r="AB112" s="119">
        <f t="shared" si="52"/>
        <v>95</v>
      </c>
      <c r="AC112" s="39"/>
      <c r="AD112" s="39"/>
      <c r="AE112" s="39"/>
      <c r="AF112" s="39"/>
      <c r="AG112" s="39"/>
      <c r="AH112" s="39">
        <f t="shared" si="3"/>
        <v>0</v>
      </c>
      <c r="AI112" s="39"/>
      <c r="AJ112" s="39"/>
      <c r="AK112" s="39"/>
      <c r="AL112" s="39"/>
      <c r="AM112" s="39"/>
      <c r="AN112" s="39">
        <f t="shared" si="4"/>
        <v>0</v>
      </c>
      <c r="AO112" s="39"/>
      <c r="AP112" s="39"/>
      <c r="AQ112" s="39"/>
      <c r="AR112" s="39"/>
      <c r="AS112" s="39"/>
      <c r="AT112" s="39">
        <f t="shared" si="5"/>
        <v>0</v>
      </c>
      <c r="AU112" s="39"/>
      <c r="AV112" s="39"/>
      <c r="AW112" s="39"/>
      <c r="AX112" s="39"/>
      <c r="AY112" s="39"/>
      <c r="AZ112" s="39">
        <f t="shared" si="6"/>
        <v>0</v>
      </c>
      <c r="BA112" s="39"/>
      <c r="BB112" s="39"/>
      <c r="BC112" s="39"/>
      <c r="BD112" s="39"/>
      <c r="BE112" s="39"/>
      <c r="BF112" s="39">
        <f t="shared" si="7"/>
        <v>0</v>
      </c>
      <c r="BG112" s="39"/>
      <c r="BH112" s="39"/>
      <c r="BI112" s="39"/>
      <c r="BJ112" s="39"/>
      <c r="BK112" s="39"/>
      <c r="BL112" s="39">
        <f t="shared" si="8"/>
        <v>0</v>
      </c>
      <c r="BM112" s="54" t="str">
        <f t="shared" si="9"/>
        <v/>
      </c>
      <c r="BN112" s="58">
        <v>46182</v>
      </c>
      <c r="BO112" s="57">
        <v>46190</v>
      </c>
      <c r="BP112" s="36"/>
      <c r="BQ112" s="36"/>
      <c r="BR112" s="232"/>
      <c r="BS112" s="232"/>
      <c r="BT112" s="39">
        <v>2140</v>
      </c>
      <c r="BU112" s="39">
        <v>78</v>
      </c>
      <c r="BV112" s="39"/>
      <c r="BW112" s="39"/>
      <c r="BX112" s="39"/>
      <c r="BY112" s="39"/>
      <c r="BZ112" s="39">
        <f t="shared" si="10"/>
        <v>78</v>
      </c>
      <c r="CA112" s="39">
        <f t="shared" si="61"/>
        <v>2</v>
      </c>
      <c r="CB112" s="39">
        <f t="shared" si="12"/>
        <v>0</v>
      </c>
      <c r="CC112" s="39">
        <f t="shared" si="13"/>
        <v>0</v>
      </c>
      <c r="CD112" s="39">
        <f t="shared" si="14"/>
        <v>0</v>
      </c>
      <c r="CE112" s="102">
        <f t="shared" si="15"/>
        <v>0</v>
      </c>
      <c r="CF112" s="36" t="s">
        <v>248</v>
      </c>
      <c r="CG112" s="39" t="s">
        <v>492</v>
      </c>
      <c r="CH112" s="39"/>
      <c r="CI112" s="25">
        <v>1</v>
      </c>
    </row>
    <row r="113" spans="1:87" ht="24.75" customHeight="1">
      <c r="A113" s="36" t="s">
        <v>50</v>
      </c>
      <c r="B113" s="26">
        <v>47545</v>
      </c>
      <c r="C113" s="231"/>
      <c r="D113" s="36"/>
      <c r="E113" s="39">
        <v>200</v>
      </c>
      <c r="F113" s="39" t="s">
        <v>676</v>
      </c>
      <c r="G113" s="36" t="s">
        <v>604</v>
      </c>
      <c r="H113" s="143" t="s">
        <v>555</v>
      </c>
      <c r="I113" s="39"/>
      <c r="J113" s="39"/>
      <c r="K113" s="39"/>
      <c r="L113" s="39">
        <f t="shared" si="65"/>
        <v>0</v>
      </c>
      <c r="M113" s="117">
        <v>46151</v>
      </c>
      <c r="N113" s="117">
        <v>46157</v>
      </c>
      <c r="O113" s="39"/>
      <c r="P113" s="39"/>
      <c r="Q113" s="39"/>
      <c r="R113" s="39">
        <f t="shared" si="51"/>
        <v>0</v>
      </c>
      <c r="S113" s="39" t="s">
        <v>130</v>
      </c>
      <c r="T113" s="39"/>
      <c r="U113" s="39"/>
      <c r="V113" s="39"/>
      <c r="W113" s="39"/>
      <c r="X113" s="39"/>
      <c r="Y113" s="39"/>
      <c r="Z113" s="39"/>
      <c r="AA113" s="39"/>
      <c r="AB113" s="39">
        <f t="shared" si="52"/>
        <v>0</v>
      </c>
      <c r="AC113" s="39"/>
      <c r="AD113" s="39"/>
      <c r="AE113" s="39"/>
      <c r="AF113" s="39"/>
      <c r="AG113" s="39"/>
      <c r="AH113" s="39">
        <f t="shared" si="3"/>
        <v>0</v>
      </c>
      <c r="AI113" s="39"/>
      <c r="AJ113" s="39"/>
      <c r="AK113" s="39"/>
      <c r="AL113" s="39"/>
      <c r="AM113" s="39"/>
      <c r="AN113" s="39">
        <f t="shared" si="4"/>
        <v>0</v>
      </c>
      <c r="AO113" s="39"/>
      <c r="AP113" s="39"/>
      <c r="AQ113" s="39"/>
      <c r="AR113" s="39"/>
      <c r="AS113" s="39"/>
      <c r="AT113" s="39">
        <f t="shared" si="5"/>
        <v>0</v>
      </c>
      <c r="AU113" s="39"/>
      <c r="AV113" s="39"/>
      <c r="AW113" s="39"/>
      <c r="AX113" s="39"/>
      <c r="AY113" s="39"/>
      <c r="AZ113" s="39">
        <f t="shared" si="6"/>
        <v>0</v>
      </c>
      <c r="BA113" s="39"/>
      <c r="BB113" s="39"/>
      <c r="BC113" s="39"/>
      <c r="BD113" s="39"/>
      <c r="BE113" s="39"/>
      <c r="BF113" s="39">
        <f t="shared" si="7"/>
        <v>0</v>
      </c>
      <c r="BG113" s="39"/>
      <c r="BH113" s="39"/>
      <c r="BI113" s="39"/>
      <c r="BJ113" s="39"/>
      <c r="BK113" s="39"/>
      <c r="BL113" s="39">
        <f t="shared" si="8"/>
        <v>0</v>
      </c>
      <c r="BM113" s="54" t="e">
        <f t="shared" si="9"/>
        <v>#DIV/0!</v>
      </c>
      <c r="BN113" s="58">
        <v>46182</v>
      </c>
      <c r="BO113" s="57">
        <v>46190</v>
      </c>
      <c r="BP113" s="36"/>
      <c r="BQ113" s="36"/>
      <c r="BR113" s="232"/>
      <c r="BS113" s="232"/>
      <c r="BT113" s="39"/>
      <c r="BU113" s="39"/>
      <c r="BV113" s="39"/>
      <c r="BW113" s="39"/>
      <c r="BX113" s="39"/>
      <c r="BY113" s="39"/>
      <c r="BZ113" s="39">
        <f t="shared" si="10"/>
        <v>0</v>
      </c>
      <c r="CA113" s="39">
        <f t="shared" si="61"/>
        <v>0</v>
      </c>
      <c r="CB113" s="39">
        <f t="shared" si="12"/>
        <v>0</v>
      </c>
      <c r="CC113" s="39">
        <f t="shared" si="13"/>
        <v>0</v>
      </c>
      <c r="CD113" s="39">
        <f t="shared" si="14"/>
        <v>0</v>
      </c>
      <c r="CE113" s="102" t="e">
        <f t="shared" si="15"/>
        <v>#DIV/0!</v>
      </c>
      <c r="CF113" s="36" t="s">
        <v>248</v>
      </c>
      <c r="CG113" s="39" t="s">
        <v>492</v>
      </c>
      <c r="CH113" s="39"/>
      <c r="CI113" s="25">
        <v>1</v>
      </c>
    </row>
    <row r="114" spans="1:87" ht="24.75" customHeight="1">
      <c r="A114" s="36" t="s">
        <v>50</v>
      </c>
      <c r="B114" s="26">
        <v>47545</v>
      </c>
      <c r="C114" s="231"/>
      <c r="D114" s="36"/>
      <c r="E114" s="39">
        <v>120</v>
      </c>
      <c r="F114" s="39" t="s">
        <v>59</v>
      </c>
      <c r="G114" s="36" t="s">
        <v>604</v>
      </c>
      <c r="H114" s="36" t="s">
        <v>22</v>
      </c>
      <c r="I114" s="39">
        <v>50</v>
      </c>
      <c r="J114" s="39"/>
      <c r="K114" s="39"/>
      <c r="L114" s="39">
        <f t="shared" si="65"/>
        <v>50</v>
      </c>
      <c r="M114" s="117">
        <v>46151</v>
      </c>
      <c r="N114" s="117">
        <v>46157</v>
      </c>
      <c r="O114" s="39"/>
      <c r="P114" s="39"/>
      <c r="Q114" s="39"/>
      <c r="R114" s="39">
        <f t="shared" si="51"/>
        <v>0</v>
      </c>
      <c r="S114" s="39" t="s">
        <v>130</v>
      </c>
      <c r="T114" s="39">
        <v>107206</v>
      </c>
      <c r="U114" s="117">
        <v>46198</v>
      </c>
      <c r="V114" s="39"/>
      <c r="W114" s="39"/>
      <c r="X114" s="39"/>
      <c r="Y114" s="39">
        <v>64</v>
      </c>
      <c r="Z114" s="39"/>
      <c r="AA114" s="39"/>
      <c r="AB114" s="119">
        <f t="shared" si="52"/>
        <v>64</v>
      </c>
      <c r="AC114" s="39"/>
      <c r="AD114" s="39"/>
      <c r="AE114" s="39"/>
      <c r="AF114" s="39"/>
      <c r="AG114" s="39"/>
      <c r="AH114" s="39">
        <f t="shared" si="3"/>
        <v>0</v>
      </c>
      <c r="AI114" s="39"/>
      <c r="AJ114" s="39"/>
      <c r="AK114" s="39"/>
      <c r="AL114" s="39"/>
      <c r="AM114" s="39"/>
      <c r="AN114" s="39">
        <f t="shared" si="4"/>
        <v>0</v>
      </c>
      <c r="AO114" s="39"/>
      <c r="AP114" s="39"/>
      <c r="AQ114" s="39"/>
      <c r="AR114" s="39"/>
      <c r="AS114" s="39"/>
      <c r="AT114" s="39">
        <f t="shared" si="5"/>
        <v>0</v>
      </c>
      <c r="AU114" s="39"/>
      <c r="AV114" s="39"/>
      <c r="AW114" s="39"/>
      <c r="AX114" s="39"/>
      <c r="AY114" s="39"/>
      <c r="AZ114" s="39">
        <f t="shared" si="6"/>
        <v>0</v>
      </c>
      <c r="BA114" s="39"/>
      <c r="BB114" s="39"/>
      <c r="BC114" s="39"/>
      <c r="BD114" s="39"/>
      <c r="BE114" s="39"/>
      <c r="BF114" s="39">
        <f t="shared" si="7"/>
        <v>0</v>
      </c>
      <c r="BG114" s="39"/>
      <c r="BH114" s="39"/>
      <c r="BI114" s="39"/>
      <c r="BJ114" s="39"/>
      <c r="BK114" s="39"/>
      <c r="BL114" s="39">
        <f t="shared" si="8"/>
        <v>0</v>
      </c>
      <c r="BM114" s="54" t="str">
        <f t="shared" si="9"/>
        <v/>
      </c>
      <c r="BN114" s="58">
        <v>46182</v>
      </c>
      <c r="BO114" s="57">
        <v>46190</v>
      </c>
      <c r="BP114" s="36"/>
      <c r="BQ114" s="36"/>
      <c r="BR114" s="232"/>
      <c r="BS114" s="232"/>
      <c r="BT114" s="39">
        <v>2130</v>
      </c>
      <c r="BU114" s="39">
        <v>50</v>
      </c>
      <c r="BV114" s="39"/>
      <c r="BW114" s="39"/>
      <c r="BX114" s="39"/>
      <c r="BY114" s="39"/>
      <c r="BZ114" s="39">
        <f t="shared" si="10"/>
        <v>50</v>
      </c>
      <c r="CA114" s="39">
        <f t="shared" si="61"/>
        <v>0</v>
      </c>
      <c r="CB114" s="39">
        <f t="shared" si="12"/>
        <v>0</v>
      </c>
      <c r="CC114" s="39">
        <f t="shared" si="13"/>
        <v>0</v>
      </c>
      <c r="CD114" s="39">
        <f t="shared" si="14"/>
        <v>0</v>
      </c>
      <c r="CE114" s="102">
        <f t="shared" si="15"/>
        <v>0</v>
      </c>
      <c r="CF114" s="36" t="s">
        <v>248</v>
      </c>
      <c r="CG114" s="39" t="s">
        <v>492</v>
      </c>
      <c r="CH114" s="39"/>
      <c r="CI114" s="25">
        <v>1</v>
      </c>
    </row>
    <row r="115" spans="1:87" ht="24.75" customHeight="1">
      <c r="A115" s="36" t="s">
        <v>50</v>
      </c>
      <c r="B115" s="26">
        <v>47545</v>
      </c>
      <c r="C115" s="228"/>
      <c r="D115" s="36"/>
      <c r="E115" s="39"/>
      <c r="F115" s="39"/>
      <c r="G115" s="36" t="s">
        <v>693</v>
      </c>
      <c r="H115" s="36">
        <f>1308+864+566</f>
        <v>2738</v>
      </c>
      <c r="I115" s="39" t="s">
        <v>90</v>
      </c>
      <c r="J115" s="39"/>
      <c r="K115" s="39"/>
      <c r="L115" s="39">
        <f t="shared" si="65"/>
        <v>0</v>
      </c>
      <c r="M115" s="117">
        <v>46151</v>
      </c>
      <c r="N115" s="117">
        <v>46157</v>
      </c>
      <c r="O115" s="39"/>
      <c r="P115" s="39"/>
      <c r="Q115" s="39"/>
      <c r="R115" s="39">
        <f t="shared" si="51"/>
        <v>0</v>
      </c>
      <c r="S115" s="39" t="s">
        <v>130</v>
      </c>
      <c r="T115" s="39"/>
      <c r="U115" s="39"/>
      <c r="V115" s="39"/>
      <c r="W115" s="39"/>
      <c r="X115" s="39"/>
      <c r="Y115" s="39"/>
      <c r="Z115" s="39"/>
      <c r="AA115" s="39"/>
      <c r="AB115" s="39">
        <f t="shared" si="52"/>
        <v>0</v>
      </c>
      <c r="AC115" s="39"/>
      <c r="AD115" s="39"/>
      <c r="AE115" s="39"/>
      <c r="AF115" s="39"/>
      <c r="AG115" s="39"/>
      <c r="AH115" s="39">
        <f t="shared" si="3"/>
        <v>0</v>
      </c>
      <c r="AI115" s="39"/>
      <c r="AJ115" s="39"/>
      <c r="AK115" s="39"/>
      <c r="AL115" s="39"/>
      <c r="AM115" s="39"/>
      <c r="AN115" s="39">
        <f t="shared" si="4"/>
        <v>0</v>
      </c>
      <c r="AO115" s="39"/>
      <c r="AP115" s="39"/>
      <c r="AQ115" s="39"/>
      <c r="AR115" s="39"/>
      <c r="AS115" s="39"/>
      <c r="AT115" s="39">
        <f t="shared" si="5"/>
        <v>0</v>
      </c>
      <c r="AU115" s="39"/>
      <c r="AV115" s="39"/>
      <c r="AW115" s="39"/>
      <c r="AX115" s="39"/>
      <c r="AY115" s="39"/>
      <c r="AZ115" s="39">
        <f t="shared" si="6"/>
        <v>0</v>
      </c>
      <c r="BA115" s="39"/>
      <c r="BB115" s="39"/>
      <c r="BC115" s="39"/>
      <c r="BD115" s="39"/>
      <c r="BE115" s="39"/>
      <c r="BF115" s="39">
        <f t="shared" si="7"/>
        <v>0</v>
      </c>
      <c r="BG115" s="39"/>
      <c r="BH115" s="39"/>
      <c r="BI115" s="39"/>
      <c r="BJ115" s="39"/>
      <c r="BK115" s="39"/>
      <c r="BL115" s="39">
        <f t="shared" si="8"/>
        <v>0</v>
      </c>
      <c r="BM115" s="54" t="e">
        <f t="shared" si="9"/>
        <v>#DIV/0!</v>
      </c>
      <c r="BN115" s="58">
        <v>46182</v>
      </c>
      <c r="BO115" s="57">
        <v>46190</v>
      </c>
      <c r="BP115" s="36"/>
      <c r="BQ115" s="36"/>
      <c r="BR115" s="230"/>
      <c r="BS115" s="230"/>
      <c r="BT115" s="39"/>
      <c r="BU115" s="39"/>
      <c r="BV115" s="39"/>
      <c r="BW115" s="39"/>
      <c r="BX115" s="39"/>
      <c r="BY115" s="39"/>
      <c r="BZ115" s="39">
        <f t="shared" si="10"/>
        <v>0</v>
      </c>
      <c r="CA115" s="39" t="e">
        <f t="shared" si="61"/>
        <v>#VALUE!</v>
      </c>
      <c r="CB115" s="39">
        <f t="shared" si="12"/>
        <v>0</v>
      </c>
      <c r="CC115" s="39">
        <f t="shared" si="13"/>
        <v>0</v>
      </c>
      <c r="CD115" s="39">
        <f t="shared" si="14"/>
        <v>0</v>
      </c>
      <c r="CE115" s="102" t="e">
        <f t="shared" si="15"/>
        <v>#DIV/0!</v>
      </c>
      <c r="CF115" s="36" t="s">
        <v>248</v>
      </c>
      <c r="CG115" s="39" t="s">
        <v>492</v>
      </c>
      <c r="CH115" s="39"/>
      <c r="CI115" s="25">
        <v>1</v>
      </c>
    </row>
    <row r="116" spans="1:87" ht="24.75" customHeight="1">
      <c r="A116" s="36" t="s">
        <v>50</v>
      </c>
      <c r="B116" s="26">
        <v>47546</v>
      </c>
      <c r="C116" s="36">
        <v>13265448</v>
      </c>
      <c r="D116" s="36"/>
      <c r="E116" s="39"/>
      <c r="F116" s="39"/>
      <c r="G116" s="36" t="s">
        <v>689</v>
      </c>
      <c r="H116" s="36"/>
      <c r="I116" s="39"/>
      <c r="J116" s="39"/>
      <c r="K116" s="39"/>
      <c r="L116" s="39">
        <f t="shared" ref="L116" si="66">SUM(I116:K116)</f>
        <v>0</v>
      </c>
      <c r="M116" s="39"/>
      <c r="N116" s="39"/>
      <c r="O116" s="39"/>
      <c r="P116" s="39"/>
      <c r="Q116" s="39"/>
      <c r="R116" s="39">
        <f t="shared" si="51"/>
        <v>0</v>
      </c>
      <c r="S116" s="39" t="s">
        <v>130</v>
      </c>
      <c r="T116" s="39"/>
      <c r="U116" s="39"/>
      <c r="V116" s="39"/>
      <c r="W116" s="39"/>
      <c r="X116" s="39"/>
      <c r="Y116" s="39"/>
      <c r="Z116" s="39"/>
      <c r="AA116" s="39"/>
      <c r="AB116" s="39">
        <f t="shared" si="52"/>
        <v>0</v>
      </c>
      <c r="AC116" s="39"/>
      <c r="AD116" s="39"/>
      <c r="AE116" s="39"/>
      <c r="AF116" s="39"/>
      <c r="AG116" s="39"/>
      <c r="AH116" s="39">
        <f t="shared" si="3"/>
        <v>0</v>
      </c>
      <c r="AI116" s="39"/>
      <c r="AJ116" s="39"/>
      <c r="AK116" s="39"/>
      <c r="AL116" s="39"/>
      <c r="AM116" s="39"/>
      <c r="AN116" s="39">
        <f t="shared" si="4"/>
        <v>0</v>
      </c>
      <c r="AO116" s="39"/>
      <c r="AP116" s="39"/>
      <c r="AQ116" s="39"/>
      <c r="AR116" s="39"/>
      <c r="AS116" s="39"/>
      <c r="AT116" s="39">
        <f t="shared" si="5"/>
        <v>0</v>
      </c>
      <c r="AU116" s="39"/>
      <c r="AV116" s="39"/>
      <c r="AW116" s="39"/>
      <c r="AX116" s="39"/>
      <c r="AY116" s="39"/>
      <c r="AZ116" s="39">
        <f t="shared" si="6"/>
        <v>0</v>
      </c>
      <c r="BA116" s="39"/>
      <c r="BB116" s="39"/>
      <c r="BC116" s="39"/>
      <c r="BD116" s="39"/>
      <c r="BE116" s="39"/>
      <c r="BF116" s="39">
        <f t="shared" si="7"/>
        <v>0</v>
      </c>
      <c r="BG116" s="39"/>
      <c r="BH116" s="39"/>
      <c r="BI116" s="39"/>
      <c r="BJ116" s="39"/>
      <c r="BK116" s="39"/>
      <c r="BL116" s="39">
        <f t="shared" si="8"/>
        <v>0</v>
      </c>
      <c r="BM116" s="54" t="e">
        <f t="shared" si="9"/>
        <v>#DIV/0!</v>
      </c>
      <c r="BN116" s="64"/>
      <c r="BO116" s="36"/>
      <c r="BP116" s="36"/>
      <c r="BQ116" s="36"/>
      <c r="BR116" s="40"/>
      <c r="BS116" s="40"/>
      <c r="BT116" s="39"/>
      <c r="BU116" s="39"/>
      <c r="BV116" s="39"/>
      <c r="BW116" s="39"/>
      <c r="BX116" s="39"/>
      <c r="BY116" s="39"/>
      <c r="BZ116" s="39">
        <f t="shared" si="10"/>
        <v>0</v>
      </c>
      <c r="CA116" s="39">
        <f t="shared" si="61"/>
        <v>0</v>
      </c>
      <c r="CB116" s="39">
        <f t="shared" si="12"/>
        <v>0</v>
      </c>
      <c r="CC116" s="39">
        <f t="shared" si="13"/>
        <v>0</v>
      </c>
      <c r="CD116" s="39">
        <f t="shared" si="14"/>
        <v>0</v>
      </c>
      <c r="CE116" s="102" t="e">
        <f t="shared" si="15"/>
        <v>#DIV/0!</v>
      </c>
      <c r="CF116" s="36" t="s">
        <v>248</v>
      </c>
      <c r="CG116" s="39" t="s">
        <v>492</v>
      </c>
      <c r="CH116" s="39"/>
      <c r="CI116" s="25">
        <v>1</v>
      </c>
    </row>
    <row r="117" spans="1:87" ht="24.75" customHeight="1">
      <c r="A117" s="36" t="s">
        <v>50</v>
      </c>
      <c r="B117" s="26">
        <v>47547</v>
      </c>
      <c r="C117" s="227">
        <v>13261839</v>
      </c>
      <c r="D117" s="36"/>
      <c r="E117" s="39">
        <v>200</v>
      </c>
      <c r="F117" s="39" t="s">
        <v>696</v>
      </c>
      <c r="G117" s="36" t="s">
        <v>440</v>
      </c>
      <c r="H117" s="143" t="s">
        <v>555</v>
      </c>
      <c r="I117" s="39"/>
      <c r="J117" s="39"/>
      <c r="K117" s="39"/>
      <c r="L117" s="39">
        <f t="shared" ref="L117:L120" si="67">SUM(I117:K117)</f>
        <v>0</v>
      </c>
      <c r="M117" s="117">
        <v>46154</v>
      </c>
      <c r="N117" s="117">
        <v>46159</v>
      </c>
      <c r="O117" s="39"/>
      <c r="P117" s="39"/>
      <c r="Q117" s="39"/>
      <c r="R117" s="39">
        <f t="shared" si="51"/>
        <v>0</v>
      </c>
      <c r="S117" s="39" t="s">
        <v>130</v>
      </c>
      <c r="T117" s="39"/>
      <c r="U117" s="39"/>
      <c r="V117" s="39"/>
      <c r="W117" s="39"/>
      <c r="X117" s="39"/>
      <c r="Y117" s="39"/>
      <c r="Z117" s="39"/>
      <c r="AA117" s="39"/>
      <c r="AB117" s="39">
        <f t="shared" si="52"/>
        <v>0</v>
      </c>
      <c r="AC117" s="39"/>
      <c r="AD117" s="39"/>
      <c r="AE117" s="39"/>
      <c r="AF117" s="39"/>
      <c r="AG117" s="39"/>
      <c r="AH117" s="39">
        <f t="shared" si="3"/>
        <v>0</v>
      </c>
      <c r="AI117" s="39"/>
      <c r="AJ117" s="39"/>
      <c r="AK117" s="39"/>
      <c r="AL117" s="39"/>
      <c r="AM117" s="39"/>
      <c r="AN117" s="39">
        <f t="shared" si="4"/>
        <v>0</v>
      </c>
      <c r="AO117" s="39"/>
      <c r="AP117" s="39"/>
      <c r="AQ117" s="39"/>
      <c r="AR117" s="39"/>
      <c r="AS117" s="39"/>
      <c r="AT117" s="39">
        <f t="shared" si="5"/>
        <v>0</v>
      </c>
      <c r="AU117" s="39"/>
      <c r="AV117" s="39"/>
      <c r="AW117" s="39"/>
      <c r="AX117" s="39"/>
      <c r="AY117" s="39"/>
      <c r="AZ117" s="39">
        <f t="shared" si="6"/>
        <v>0</v>
      </c>
      <c r="BA117" s="39"/>
      <c r="BB117" s="39"/>
      <c r="BC117" s="39"/>
      <c r="BD117" s="39"/>
      <c r="BE117" s="39"/>
      <c r="BF117" s="39">
        <f t="shared" si="7"/>
        <v>0</v>
      </c>
      <c r="BG117" s="39"/>
      <c r="BH117" s="39"/>
      <c r="BI117" s="39"/>
      <c r="BJ117" s="39"/>
      <c r="BK117" s="39"/>
      <c r="BL117" s="39">
        <f t="shared" si="8"/>
        <v>0</v>
      </c>
      <c r="BM117" s="54" t="e">
        <f t="shared" si="9"/>
        <v>#DIV/0!</v>
      </c>
      <c r="BN117" s="58">
        <v>46181</v>
      </c>
      <c r="BO117" s="57">
        <v>46191</v>
      </c>
      <c r="BP117" s="36"/>
      <c r="BQ117" s="36"/>
      <c r="BR117" s="229">
        <v>46200</v>
      </c>
      <c r="BS117" s="243"/>
      <c r="BT117" s="39"/>
      <c r="BU117" s="39"/>
      <c r="BV117" s="39"/>
      <c r="BW117" s="39"/>
      <c r="BX117" s="39"/>
      <c r="BY117" s="39"/>
      <c r="BZ117" s="39">
        <f t="shared" si="10"/>
        <v>0</v>
      </c>
      <c r="CA117" s="39">
        <f t="shared" si="61"/>
        <v>0</v>
      </c>
      <c r="CB117" s="39">
        <f t="shared" si="12"/>
        <v>0</v>
      </c>
      <c r="CC117" s="39">
        <f t="shared" si="13"/>
        <v>0</v>
      </c>
      <c r="CD117" s="39">
        <f t="shared" si="14"/>
        <v>0</v>
      </c>
      <c r="CE117" s="102" t="e">
        <f t="shared" si="15"/>
        <v>#DIV/0!</v>
      </c>
      <c r="CF117" s="36" t="s">
        <v>248</v>
      </c>
      <c r="CG117" s="39" t="s">
        <v>492</v>
      </c>
      <c r="CH117" s="39"/>
      <c r="CI117" s="25">
        <v>1</v>
      </c>
    </row>
    <row r="118" spans="1:87" ht="24.75" customHeight="1">
      <c r="A118" s="36" t="s">
        <v>50</v>
      </c>
      <c r="B118" s="26">
        <v>47547</v>
      </c>
      <c r="C118" s="231"/>
      <c r="D118" s="36"/>
      <c r="E118" s="39">
        <v>120</v>
      </c>
      <c r="F118" s="39" t="s">
        <v>59</v>
      </c>
      <c r="G118" s="36" t="s">
        <v>440</v>
      </c>
      <c r="H118" s="36" t="s">
        <v>22</v>
      </c>
      <c r="I118" s="39">
        <v>89</v>
      </c>
      <c r="J118" s="39"/>
      <c r="K118" s="39"/>
      <c r="L118" s="39">
        <f t="shared" si="67"/>
        <v>89</v>
      </c>
      <c r="M118" s="117">
        <v>46154</v>
      </c>
      <c r="N118" s="117">
        <v>46159</v>
      </c>
      <c r="O118" s="39"/>
      <c r="P118" s="39"/>
      <c r="Q118" s="39"/>
      <c r="R118" s="39">
        <f t="shared" si="51"/>
        <v>0</v>
      </c>
      <c r="S118" s="39" t="s">
        <v>130</v>
      </c>
      <c r="T118" s="39">
        <v>107633</v>
      </c>
      <c r="U118" s="117">
        <v>46213</v>
      </c>
      <c r="V118" s="39"/>
      <c r="W118" s="39"/>
      <c r="X118" s="39"/>
      <c r="Y118" s="39">
        <v>110</v>
      </c>
      <c r="Z118" s="39"/>
      <c r="AA118" s="39"/>
      <c r="AB118" s="119">
        <f t="shared" si="52"/>
        <v>110</v>
      </c>
      <c r="AC118" s="39"/>
      <c r="AD118" s="39"/>
      <c r="AE118" s="39"/>
      <c r="AF118" s="39"/>
      <c r="AG118" s="39"/>
      <c r="AH118" s="39">
        <f t="shared" si="3"/>
        <v>0</v>
      </c>
      <c r="AI118" s="39"/>
      <c r="AJ118" s="39"/>
      <c r="AK118" s="39"/>
      <c r="AL118" s="39"/>
      <c r="AM118" s="39"/>
      <c r="AN118" s="39">
        <f t="shared" si="4"/>
        <v>0</v>
      </c>
      <c r="AO118" s="39"/>
      <c r="AP118" s="39"/>
      <c r="AQ118" s="39"/>
      <c r="AR118" s="39"/>
      <c r="AS118" s="39"/>
      <c r="AT118" s="39">
        <f t="shared" si="5"/>
        <v>0</v>
      </c>
      <c r="AU118" s="39"/>
      <c r="AV118" s="39"/>
      <c r="AW118" s="39"/>
      <c r="AX118" s="39"/>
      <c r="AY118" s="39"/>
      <c r="AZ118" s="39">
        <f t="shared" si="6"/>
        <v>0</v>
      </c>
      <c r="BA118" s="39"/>
      <c r="BB118" s="39"/>
      <c r="BC118" s="39"/>
      <c r="BD118" s="39"/>
      <c r="BE118" s="39"/>
      <c r="BF118" s="39">
        <f t="shared" si="7"/>
        <v>0</v>
      </c>
      <c r="BG118" s="39"/>
      <c r="BH118" s="39"/>
      <c r="BI118" s="39"/>
      <c r="BJ118" s="39"/>
      <c r="BK118" s="39"/>
      <c r="BL118" s="39">
        <f t="shared" si="8"/>
        <v>0</v>
      </c>
      <c r="BM118" s="54" t="str">
        <f t="shared" si="9"/>
        <v/>
      </c>
      <c r="BN118" s="58">
        <v>46181</v>
      </c>
      <c r="BO118" s="57">
        <v>46191</v>
      </c>
      <c r="BP118" s="36"/>
      <c r="BQ118" s="36"/>
      <c r="BR118" s="232"/>
      <c r="BS118" s="232"/>
      <c r="BT118" s="39">
        <v>2017</v>
      </c>
      <c r="BU118" s="39">
        <v>90</v>
      </c>
      <c r="BV118" s="39"/>
      <c r="BW118" s="39"/>
      <c r="BX118" s="39"/>
      <c r="BY118" s="39"/>
      <c r="BZ118" s="39">
        <f t="shared" si="10"/>
        <v>90</v>
      </c>
      <c r="CA118" s="39">
        <f t="shared" si="61"/>
        <v>1</v>
      </c>
      <c r="CB118" s="39">
        <f t="shared" si="12"/>
        <v>0</v>
      </c>
      <c r="CC118" s="39">
        <f t="shared" si="13"/>
        <v>0</v>
      </c>
      <c r="CD118" s="39">
        <f t="shared" si="14"/>
        <v>0</v>
      </c>
      <c r="CE118" s="102">
        <f t="shared" si="15"/>
        <v>0</v>
      </c>
      <c r="CF118" s="36" t="s">
        <v>248</v>
      </c>
      <c r="CG118" s="39" t="s">
        <v>492</v>
      </c>
      <c r="CH118" s="39"/>
      <c r="CI118" s="25">
        <v>1</v>
      </c>
    </row>
    <row r="119" spans="1:87" ht="24.75" customHeight="1">
      <c r="A119" s="36" t="s">
        <v>50</v>
      </c>
      <c r="B119" s="26">
        <v>47547</v>
      </c>
      <c r="C119" s="231"/>
      <c r="D119" s="36"/>
      <c r="E119" s="39">
        <v>200</v>
      </c>
      <c r="F119" s="39" t="s">
        <v>696</v>
      </c>
      <c r="G119" s="36" t="s">
        <v>605</v>
      </c>
      <c r="H119" s="143" t="s">
        <v>555</v>
      </c>
      <c r="I119" s="39"/>
      <c r="J119" s="39"/>
      <c r="K119" s="39"/>
      <c r="L119" s="39">
        <f t="shared" si="67"/>
        <v>0</v>
      </c>
      <c r="M119" s="117">
        <v>46154</v>
      </c>
      <c r="N119" s="117">
        <v>46159</v>
      </c>
      <c r="O119" s="39"/>
      <c r="P119" s="39"/>
      <c r="Q119" s="39"/>
      <c r="R119" s="39">
        <f t="shared" si="51"/>
        <v>0</v>
      </c>
      <c r="S119" s="39" t="s">
        <v>130</v>
      </c>
      <c r="T119" s="39"/>
      <c r="U119" s="39"/>
      <c r="V119" s="39"/>
      <c r="W119" s="39"/>
      <c r="X119" s="39"/>
      <c r="Y119" s="39"/>
      <c r="Z119" s="39"/>
      <c r="AA119" s="39"/>
      <c r="AB119" s="39">
        <f t="shared" si="52"/>
        <v>0</v>
      </c>
      <c r="AC119" s="39"/>
      <c r="AD119" s="39"/>
      <c r="AE119" s="39"/>
      <c r="AF119" s="39"/>
      <c r="AG119" s="39"/>
      <c r="AH119" s="39">
        <f t="shared" si="3"/>
        <v>0</v>
      </c>
      <c r="AI119" s="39"/>
      <c r="AJ119" s="39"/>
      <c r="AK119" s="39"/>
      <c r="AL119" s="39"/>
      <c r="AM119" s="39"/>
      <c r="AN119" s="39">
        <f t="shared" si="4"/>
        <v>0</v>
      </c>
      <c r="AO119" s="39"/>
      <c r="AP119" s="39"/>
      <c r="AQ119" s="39"/>
      <c r="AR119" s="39"/>
      <c r="AS119" s="39"/>
      <c r="AT119" s="39">
        <f t="shared" si="5"/>
        <v>0</v>
      </c>
      <c r="AU119" s="39"/>
      <c r="AV119" s="39"/>
      <c r="AW119" s="39"/>
      <c r="AX119" s="39"/>
      <c r="AY119" s="39"/>
      <c r="AZ119" s="39">
        <f t="shared" si="6"/>
        <v>0</v>
      </c>
      <c r="BA119" s="39"/>
      <c r="BB119" s="39"/>
      <c r="BC119" s="39"/>
      <c r="BD119" s="39"/>
      <c r="BE119" s="39"/>
      <c r="BF119" s="39">
        <f t="shared" si="7"/>
        <v>0</v>
      </c>
      <c r="BG119" s="39"/>
      <c r="BH119" s="39"/>
      <c r="BI119" s="39"/>
      <c r="BJ119" s="39"/>
      <c r="BK119" s="39"/>
      <c r="BL119" s="39">
        <f t="shared" si="8"/>
        <v>0</v>
      </c>
      <c r="BM119" s="54" t="e">
        <f t="shared" si="9"/>
        <v>#DIV/0!</v>
      </c>
      <c r="BN119" s="58">
        <v>46181</v>
      </c>
      <c r="BO119" s="57">
        <v>46191</v>
      </c>
      <c r="BP119" s="36"/>
      <c r="BQ119" s="36"/>
      <c r="BR119" s="232"/>
      <c r="BS119" s="232"/>
      <c r="BT119" s="39"/>
      <c r="BU119" s="39"/>
      <c r="BV119" s="39"/>
      <c r="BW119" s="39"/>
      <c r="BX119" s="39"/>
      <c r="BY119" s="39"/>
      <c r="BZ119" s="39">
        <f t="shared" si="10"/>
        <v>0</v>
      </c>
      <c r="CA119" s="39">
        <f t="shared" si="61"/>
        <v>0</v>
      </c>
      <c r="CB119" s="39">
        <f t="shared" si="12"/>
        <v>0</v>
      </c>
      <c r="CC119" s="39">
        <f t="shared" si="13"/>
        <v>0</v>
      </c>
      <c r="CD119" s="39">
        <f t="shared" si="14"/>
        <v>0</v>
      </c>
      <c r="CE119" s="102" t="e">
        <f t="shared" si="15"/>
        <v>#DIV/0!</v>
      </c>
      <c r="CF119" s="36" t="s">
        <v>248</v>
      </c>
      <c r="CG119" s="39" t="s">
        <v>492</v>
      </c>
      <c r="CH119" s="39"/>
      <c r="CI119" s="25">
        <v>1</v>
      </c>
    </row>
    <row r="120" spans="1:87" ht="24.75" customHeight="1">
      <c r="A120" s="36" t="s">
        <v>50</v>
      </c>
      <c r="B120" s="26">
        <v>47547</v>
      </c>
      <c r="C120" s="231"/>
      <c r="D120" s="36"/>
      <c r="E120" s="39">
        <v>120</v>
      </c>
      <c r="F120" s="39" t="s">
        <v>59</v>
      </c>
      <c r="G120" s="36" t="s">
        <v>605</v>
      </c>
      <c r="H120" s="36" t="s">
        <v>22</v>
      </c>
      <c r="I120" s="39">
        <v>83</v>
      </c>
      <c r="J120" s="39"/>
      <c r="K120" s="39"/>
      <c r="L120" s="39">
        <f t="shared" si="67"/>
        <v>83</v>
      </c>
      <c r="M120" s="117">
        <v>46154</v>
      </c>
      <c r="N120" s="117">
        <v>46159</v>
      </c>
      <c r="O120" s="39"/>
      <c r="P120" s="39"/>
      <c r="Q120" s="39"/>
      <c r="R120" s="39">
        <f t="shared" si="51"/>
        <v>0</v>
      </c>
      <c r="S120" s="39" t="s">
        <v>130</v>
      </c>
      <c r="T120" s="39">
        <v>107197</v>
      </c>
      <c r="U120" s="117">
        <v>46199</v>
      </c>
      <c r="V120" s="39"/>
      <c r="W120" s="39"/>
      <c r="X120" s="39"/>
      <c r="Y120" s="39">
        <v>102</v>
      </c>
      <c r="Z120" s="39"/>
      <c r="AA120" s="39"/>
      <c r="AB120" s="119">
        <f t="shared" si="52"/>
        <v>102</v>
      </c>
      <c r="AC120" s="39"/>
      <c r="AD120" s="39"/>
      <c r="AE120" s="39"/>
      <c r="AF120" s="39"/>
      <c r="AG120" s="39"/>
      <c r="AH120" s="39">
        <f t="shared" si="3"/>
        <v>0</v>
      </c>
      <c r="AI120" s="39"/>
      <c r="AJ120" s="39"/>
      <c r="AK120" s="39"/>
      <c r="AL120" s="39"/>
      <c r="AM120" s="39"/>
      <c r="AN120" s="39">
        <f t="shared" si="4"/>
        <v>0</v>
      </c>
      <c r="AO120" s="39"/>
      <c r="AP120" s="39"/>
      <c r="AQ120" s="39"/>
      <c r="AR120" s="39"/>
      <c r="AS120" s="39"/>
      <c r="AT120" s="39">
        <f t="shared" si="5"/>
        <v>0</v>
      </c>
      <c r="AU120" s="39"/>
      <c r="AV120" s="39"/>
      <c r="AW120" s="39"/>
      <c r="AX120" s="39"/>
      <c r="AY120" s="39"/>
      <c r="AZ120" s="39">
        <f t="shared" si="6"/>
        <v>0</v>
      </c>
      <c r="BA120" s="39"/>
      <c r="BB120" s="39"/>
      <c r="BC120" s="39"/>
      <c r="BD120" s="39"/>
      <c r="BE120" s="39"/>
      <c r="BF120" s="39">
        <f t="shared" si="7"/>
        <v>0</v>
      </c>
      <c r="BG120" s="39"/>
      <c r="BH120" s="39"/>
      <c r="BI120" s="39"/>
      <c r="BJ120" s="39"/>
      <c r="BK120" s="39"/>
      <c r="BL120" s="39">
        <f t="shared" si="8"/>
        <v>0</v>
      </c>
      <c r="BM120" s="54" t="str">
        <f t="shared" si="9"/>
        <v/>
      </c>
      <c r="BN120" s="58">
        <v>46181</v>
      </c>
      <c r="BO120" s="57">
        <v>46191</v>
      </c>
      <c r="BP120" s="36"/>
      <c r="BQ120" s="36"/>
      <c r="BR120" s="232"/>
      <c r="BS120" s="232"/>
      <c r="BT120" s="39">
        <v>2141</v>
      </c>
      <c r="BU120" s="39">
        <v>83</v>
      </c>
      <c r="BV120" s="39"/>
      <c r="BW120" s="39"/>
      <c r="BX120" s="39"/>
      <c r="BY120" s="39"/>
      <c r="BZ120" s="39">
        <f t="shared" si="10"/>
        <v>83</v>
      </c>
      <c r="CA120" s="39">
        <f t="shared" si="61"/>
        <v>0</v>
      </c>
      <c r="CB120" s="39">
        <f t="shared" si="12"/>
        <v>0</v>
      </c>
      <c r="CC120" s="39">
        <f t="shared" si="13"/>
        <v>0</v>
      </c>
      <c r="CD120" s="39">
        <f t="shared" si="14"/>
        <v>0</v>
      </c>
      <c r="CE120" s="102">
        <f t="shared" si="15"/>
        <v>0</v>
      </c>
      <c r="CF120" s="36" t="s">
        <v>248</v>
      </c>
      <c r="CG120" s="39" t="s">
        <v>492</v>
      </c>
      <c r="CH120" s="39"/>
      <c r="CI120" s="25">
        <v>1</v>
      </c>
    </row>
    <row r="121" spans="1:87" ht="24.75" customHeight="1">
      <c r="A121" s="36" t="s">
        <v>50</v>
      </c>
      <c r="B121" s="26">
        <v>47547</v>
      </c>
      <c r="C121" s="231"/>
      <c r="D121" s="36"/>
      <c r="E121" s="39">
        <v>200</v>
      </c>
      <c r="F121" s="39" t="s">
        <v>696</v>
      </c>
      <c r="G121" s="36" t="s">
        <v>604</v>
      </c>
      <c r="H121" s="143" t="s">
        <v>555</v>
      </c>
      <c r="I121" s="39"/>
      <c r="J121" s="39"/>
      <c r="K121" s="39"/>
      <c r="L121" s="39">
        <f t="shared" ref="L121:L122" si="68">SUM(I121:K121)</f>
        <v>0</v>
      </c>
      <c r="M121" s="117">
        <v>46154</v>
      </c>
      <c r="N121" s="117">
        <v>46159</v>
      </c>
      <c r="O121" s="39"/>
      <c r="P121" s="39"/>
      <c r="Q121" s="39"/>
      <c r="R121" s="39">
        <f t="shared" si="51"/>
        <v>0</v>
      </c>
      <c r="S121" s="39" t="s">
        <v>130</v>
      </c>
      <c r="T121" s="39"/>
      <c r="U121" s="39"/>
      <c r="V121" s="39"/>
      <c r="W121" s="39"/>
      <c r="X121" s="39"/>
      <c r="Y121" s="39"/>
      <c r="Z121" s="39"/>
      <c r="AA121" s="39"/>
      <c r="AB121" s="39">
        <f t="shared" si="52"/>
        <v>0</v>
      </c>
      <c r="AC121" s="39"/>
      <c r="AD121" s="39"/>
      <c r="AE121" s="39"/>
      <c r="AF121" s="39"/>
      <c r="AG121" s="39"/>
      <c r="AH121" s="39">
        <f t="shared" si="3"/>
        <v>0</v>
      </c>
      <c r="AI121" s="39"/>
      <c r="AJ121" s="39"/>
      <c r="AK121" s="39"/>
      <c r="AL121" s="39"/>
      <c r="AM121" s="39"/>
      <c r="AN121" s="39">
        <f t="shared" si="4"/>
        <v>0</v>
      </c>
      <c r="AO121" s="39"/>
      <c r="AP121" s="39"/>
      <c r="AQ121" s="39"/>
      <c r="AR121" s="39"/>
      <c r="AS121" s="39"/>
      <c r="AT121" s="39">
        <f t="shared" si="5"/>
        <v>0</v>
      </c>
      <c r="AU121" s="39"/>
      <c r="AV121" s="39"/>
      <c r="AW121" s="39"/>
      <c r="AX121" s="39"/>
      <c r="AY121" s="39"/>
      <c r="AZ121" s="39">
        <f t="shared" si="6"/>
        <v>0</v>
      </c>
      <c r="BA121" s="39"/>
      <c r="BB121" s="39"/>
      <c r="BC121" s="39"/>
      <c r="BD121" s="39"/>
      <c r="BE121" s="39"/>
      <c r="BF121" s="39">
        <f t="shared" si="7"/>
        <v>0</v>
      </c>
      <c r="BG121" s="39"/>
      <c r="BH121" s="39"/>
      <c r="BI121" s="39"/>
      <c r="BJ121" s="39"/>
      <c r="BK121" s="39"/>
      <c r="BL121" s="39">
        <f t="shared" si="8"/>
        <v>0</v>
      </c>
      <c r="BM121" s="54" t="e">
        <f t="shared" si="9"/>
        <v>#DIV/0!</v>
      </c>
      <c r="BN121" s="58">
        <v>46181</v>
      </c>
      <c r="BO121" s="57">
        <v>46191</v>
      </c>
      <c r="BP121" s="36"/>
      <c r="BQ121" s="36"/>
      <c r="BR121" s="232"/>
      <c r="BS121" s="232"/>
      <c r="BT121" s="39"/>
      <c r="BU121" s="39"/>
      <c r="BV121" s="39"/>
      <c r="BW121" s="39"/>
      <c r="BX121" s="39"/>
      <c r="BY121" s="39"/>
      <c r="BZ121" s="39">
        <f t="shared" si="10"/>
        <v>0</v>
      </c>
      <c r="CA121" s="39">
        <f t="shared" si="61"/>
        <v>0</v>
      </c>
      <c r="CB121" s="39">
        <f t="shared" si="12"/>
        <v>0</v>
      </c>
      <c r="CC121" s="39">
        <f t="shared" si="13"/>
        <v>0</v>
      </c>
      <c r="CD121" s="39">
        <f t="shared" si="14"/>
        <v>0</v>
      </c>
      <c r="CE121" s="102" t="e">
        <f t="shared" si="15"/>
        <v>#DIV/0!</v>
      </c>
      <c r="CF121" s="36" t="s">
        <v>248</v>
      </c>
      <c r="CG121" s="39" t="s">
        <v>492</v>
      </c>
      <c r="CH121" s="39"/>
      <c r="CI121" s="25">
        <v>1</v>
      </c>
    </row>
    <row r="122" spans="1:87" ht="24.75" customHeight="1">
      <c r="A122" s="36" t="s">
        <v>50</v>
      </c>
      <c r="B122" s="26">
        <v>47547</v>
      </c>
      <c r="C122" s="231"/>
      <c r="D122" s="36"/>
      <c r="E122" s="39">
        <v>120</v>
      </c>
      <c r="F122" s="39" t="s">
        <v>59</v>
      </c>
      <c r="G122" s="36" t="s">
        <v>604</v>
      </c>
      <c r="H122" s="36" t="s">
        <v>22</v>
      </c>
      <c r="I122" s="39">
        <v>37</v>
      </c>
      <c r="J122" s="39"/>
      <c r="K122" s="39"/>
      <c r="L122" s="39">
        <f t="shared" si="68"/>
        <v>37</v>
      </c>
      <c r="M122" s="117">
        <v>46154</v>
      </c>
      <c r="N122" s="117">
        <v>46159</v>
      </c>
      <c r="O122" s="39"/>
      <c r="P122" s="39"/>
      <c r="Q122" s="39"/>
      <c r="R122" s="39">
        <f t="shared" si="51"/>
        <v>0</v>
      </c>
      <c r="S122" s="39" t="s">
        <v>130</v>
      </c>
      <c r="T122" s="39">
        <v>107207</v>
      </c>
      <c r="U122" s="117">
        <v>46198</v>
      </c>
      <c r="V122" s="39"/>
      <c r="W122" s="39"/>
      <c r="X122" s="39"/>
      <c r="Y122" s="39">
        <v>48</v>
      </c>
      <c r="Z122" s="39"/>
      <c r="AA122" s="39"/>
      <c r="AB122" s="119">
        <f t="shared" si="52"/>
        <v>48</v>
      </c>
      <c r="AC122" s="39"/>
      <c r="AD122" s="39"/>
      <c r="AE122" s="39"/>
      <c r="AF122" s="39"/>
      <c r="AG122" s="39"/>
      <c r="AH122" s="39">
        <f t="shared" si="3"/>
        <v>0</v>
      </c>
      <c r="AI122" s="39"/>
      <c r="AJ122" s="39"/>
      <c r="AK122" s="39"/>
      <c r="AL122" s="39"/>
      <c r="AM122" s="39"/>
      <c r="AN122" s="39">
        <f t="shared" si="4"/>
        <v>0</v>
      </c>
      <c r="AO122" s="39"/>
      <c r="AP122" s="39"/>
      <c r="AQ122" s="39"/>
      <c r="AR122" s="39"/>
      <c r="AS122" s="39"/>
      <c r="AT122" s="39">
        <f t="shared" si="5"/>
        <v>0</v>
      </c>
      <c r="AU122" s="39"/>
      <c r="AV122" s="39"/>
      <c r="AW122" s="39"/>
      <c r="AX122" s="39"/>
      <c r="AY122" s="39"/>
      <c r="AZ122" s="39">
        <f t="shared" si="6"/>
        <v>0</v>
      </c>
      <c r="BA122" s="39"/>
      <c r="BB122" s="39"/>
      <c r="BC122" s="39"/>
      <c r="BD122" s="39"/>
      <c r="BE122" s="39"/>
      <c r="BF122" s="39">
        <f t="shared" si="7"/>
        <v>0</v>
      </c>
      <c r="BG122" s="39"/>
      <c r="BH122" s="39"/>
      <c r="BI122" s="39"/>
      <c r="BJ122" s="39"/>
      <c r="BK122" s="39"/>
      <c r="BL122" s="39">
        <f t="shared" si="8"/>
        <v>0</v>
      </c>
      <c r="BM122" s="54" t="str">
        <f t="shared" si="9"/>
        <v/>
      </c>
      <c r="BN122" s="58">
        <v>46181</v>
      </c>
      <c r="BO122" s="57">
        <v>46191</v>
      </c>
      <c r="BP122" s="36"/>
      <c r="BQ122" s="36"/>
      <c r="BR122" s="232"/>
      <c r="BS122" s="232"/>
      <c r="BT122" s="39">
        <v>2130</v>
      </c>
      <c r="BU122" s="39">
        <v>37</v>
      </c>
      <c r="BV122" s="39"/>
      <c r="BW122" s="39"/>
      <c r="BX122" s="39"/>
      <c r="BY122" s="39"/>
      <c r="BZ122" s="39">
        <f t="shared" si="10"/>
        <v>37</v>
      </c>
      <c r="CA122" s="39">
        <f t="shared" si="61"/>
        <v>0</v>
      </c>
      <c r="CB122" s="39">
        <f t="shared" si="12"/>
        <v>0</v>
      </c>
      <c r="CC122" s="39">
        <f t="shared" si="13"/>
        <v>0</v>
      </c>
      <c r="CD122" s="39">
        <f t="shared" si="14"/>
        <v>0</v>
      </c>
      <c r="CE122" s="102">
        <f t="shared" si="15"/>
        <v>0</v>
      </c>
      <c r="CF122" s="36" t="s">
        <v>248</v>
      </c>
      <c r="CG122" s="39" t="s">
        <v>492</v>
      </c>
      <c r="CH122" s="39"/>
      <c r="CI122" s="25">
        <v>1</v>
      </c>
    </row>
    <row r="123" spans="1:87" ht="24.75" customHeight="1">
      <c r="A123" s="36" t="s">
        <v>50</v>
      </c>
      <c r="B123" s="26">
        <v>47547</v>
      </c>
      <c r="C123" s="228"/>
      <c r="D123" s="36"/>
      <c r="E123" s="39"/>
      <c r="F123" s="39"/>
      <c r="G123" s="36" t="s">
        <v>693</v>
      </c>
      <c r="H123" s="36">
        <f>960+903+401</f>
        <v>2264</v>
      </c>
      <c r="I123" s="39" t="s">
        <v>90</v>
      </c>
      <c r="J123" s="39"/>
      <c r="K123" s="39"/>
      <c r="L123" s="39">
        <f t="shared" ref="L123:L126" si="69">SUM(I123:K123)</f>
        <v>0</v>
      </c>
      <c r="M123" s="117">
        <v>46154</v>
      </c>
      <c r="N123" s="117">
        <v>46159</v>
      </c>
      <c r="O123" s="39"/>
      <c r="P123" s="39"/>
      <c r="Q123" s="39"/>
      <c r="R123" s="39">
        <f t="shared" si="51"/>
        <v>0</v>
      </c>
      <c r="S123" s="39" t="s">
        <v>130</v>
      </c>
      <c r="T123" s="39"/>
      <c r="U123" s="39"/>
      <c r="V123" s="39"/>
      <c r="W123" s="39"/>
      <c r="X123" s="39"/>
      <c r="Y123" s="39"/>
      <c r="Z123" s="39"/>
      <c r="AA123" s="39"/>
      <c r="AB123" s="39">
        <f t="shared" si="52"/>
        <v>0</v>
      </c>
      <c r="AC123" s="39"/>
      <c r="AD123" s="39"/>
      <c r="AE123" s="39"/>
      <c r="AF123" s="39"/>
      <c r="AG123" s="39"/>
      <c r="AH123" s="39">
        <f t="shared" si="3"/>
        <v>0</v>
      </c>
      <c r="AI123" s="39"/>
      <c r="AJ123" s="39"/>
      <c r="AK123" s="39"/>
      <c r="AL123" s="39"/>
      <c r="AM123" s="39"/>
      <c r="AN123" s="39">
        <f t="shared" si="4"/>
        <v>0</v>
      </c>
      <c r="AO123" s="39"/>
      <c r="AP123" s="39"/>
      <c r="AQ123" s="39"/>
      <c r="AR123" s="39"/>
      <c r="AS123" s="39"/>
      <c r="AT123" s="39">
        <f t="shared" si="5"/>
        <v>0</v>
      </c>
      <c r="AU123" s="39"/>
      <c r="AV123" s="39"/>
      <c r="AW123" s="39"/>
      <c r="AX123" s="39"/>
      <c r="AY123" s="39"/>
      <c r="AZ123" s="39">
        <f t="shared" si="6"/>
        <v>0</v>
      </c>
      <c r="BA123" s="39"/>
      <c r="BB123" s="39"/>
      <c r="BC123" s="39"/>
      <c r="BD123" s="39"/>
      <c r="BE123" s="39"/>
      <c r="BF123" s="39">
        <f t="shared" si="7"/>
        <v>0</v>
      </c>
      <c r="BG123" s="39"/>
      <c r="BH123" s="39"/>
      <c r="BI123" s="39"/>
      <c r="BJ123" s="39"/>
      <c r="BK123" s="39"/>
      <c r="BL123" s="39">
        <f t="shared" si="8"/>
        <v>0</v>
      </c>
      <c r="BM123" s="54" t="e">
        <f t="shared" si="9"/>
        <v>#DIV/0!</v>
      </c>
      <c r="BN123" s="58">
        <v>46181</v>
      </c>
      <c r="BO123" s="57">
        <v>46191</v>
      </c>
      <c r="BP123" s="36"/>
      <c r="BQ123" s="36"/>
      <c r="BR123" s="230"/>
      <c r="BS123" s="230"/>
      <c r="BT123" s="39"/>
      <c r="BU123" s="39"/>
      <c r="BV123" s="39"/>
      <c r="BW123" s="39"/>
      <c r="BX123" s="39"/>
      <c r="BY123" s="39"/>
      <c r="BZ123" s="39">
        <f t="shared" si="10"/>
        <v>0</v>
      </c>
      <c r="CA123" s="39" t="e">
        <f t="shared" si="61"/>
        <v>#VALUE!</v>
      </c>
      <c r="CB123" s="39">
        <f t="shared" si="12"/>
        <v>0</v>
      </c>
      <c r="CC123" s="39">
        <f t="shared" si="13"/>
        <v>0</v>
      </c>
      <c r="CD123" s="39">
        <f t="shared" si="14"/>
        <v>0</v>
      </c>
      <c r="CE123" s="102" t="e">
        <f t="shared" si="15"/>
        <v>#DIV/0!</v>
      </c>
      <c r="CF123" s="36" t="s">
        <v>248</v>
      </c>
      <c r="CG123" s="39" t="s">
        <v>492</v>
      </c>
      <c r="CH123" s="39"/>
      <c r="CI123" s="25">
        <v>1</v>
      </c>
    </row>
    <row r="124" spans="1:87" ht="24.75" customHeight="1">
      <c r="A124" s="36" t="s">
        <v>50</v>
      </c>
      <c r="B124" s="26">
        <v>47549</v>
      </c>
      <c r="C124" s="227">
        <v>13258865</v>
      </c>
      <c r="D124" s="36"/>
      <c r="E124" s="39">
        <v>180</v>
      </c>
      <c r="F124" s="39" t="s">
        <v>55</v>
      </c>
      <c r="G124" s="36" t="s">
        <v>604</v>
      </c>
      <c r="H124" s="36" t="s">
        <v>403</v>
      </c>
      <c r="I124" s="39">
        <v>10</v>
      </c>
      <c r="J124" s="39"/>
      <c r="K124" s="39"/>
      <c r="L124" s="39">
        <f t="shared" si="69"/>
        <v>10</v>
      </c>
      <c r="M124" s="117">
        <v>46156</v>
      </c>
      <c r="N124" s="117">
        <v>46158</v>
      </c>
      <c r="O124" s="39"/>
      <c r="P124" s="39"/>
      <c r="Q124" s="39"/>
      <c r="R124" s="39">
        <f t="shared" si="51"/>
        <v>0</v>
      </c>
      <c r="S124" s="39" t="s">
        <v>130</v>
      </c>
      <c r="T124" s="39">
        <v>107010</v>
      </c>
      <c r="U124" s="117">
        <v>46190</v>
      </c>
      <c r="V124" s="39"/>
      <c r="W124" s="39"/>
      <c r="X124" s="39"/>
      <c r="Y124" s="39">
        <v>17</v>
      </c>
      <c r="Z124" s="39"/>
      <c r="AA124" s="39"/>
      <c r="AB124" s="119">
        <f t="shared" si="52"/>
        <v>17</v>
      </c>
      <c r="AC124" s="39"/>
      <c r="AD124" s="39"/>
      <c r="AE124" s="39"/>
      <c r="AF124" s="39"/>
      <c r="AG124" s="39"/>
      <c r="AH124" s="39">
        <f t="shared" si="3"/>
        <v>0</v>
      </c>
      <c r="AI124" s="39"/>
      <c r="AJ124" s="39"/>
      <c r="AK124" s="39"/>
      <c r="AL124" s="39"/>
      <c r="AM124" s="39"/>
      <c r="AN124" s="39">
        <f t="shared" si="4"/>
        <v>0</v>
      </c>
      <c r="AO124" s="39"/>
      <c r="AP124" s="39"/>
      <c r="AQ124" s="39"/>
      <c r="AR124" s="39"/>
      <c r="AS124" s="39"/>
      <c r="AT124" s="39">
        <f t="shared" si="5"/>
        <v>0</v>
      </c>
      <c r="AU124" s="39"/>
      <c r="AV124" s="39"/>
      <c r="AW124" s="39"/>
      <c r="AX124" s="39"/>
      <c r="AY124" s="39"/>
      <c r="AZ124" s="39">
        <f t="shared" si="6"/>
        <v>0</v>
      </c>
      <c r="BA124" s="39"/>
      <c r="BB124" s="39"/>
      <c r="BC124" s="39"/>
      <c r="BD124" s="39"/>
      <c r="BE124" s="39"/>
      <c r="BF124" s="39">
        <f t="shared" si="7"/>
        <v>0</v>
      </c>
      <c r="BG124" s="39"/>
      <c r="BH124" s="39"/>
      <c r="BI124" s="39"/>
      <c r="BJ124" s="39"/>
      <c r="BK124" s="39"/>
      <c r="BL124" s="39">
        <f t="shared" si="8"/>
        <v>0</v>
      </c>
      <c r="BM124" s="54" t="str">
        <f t="shared" si="9"/>
        <v/>
      </c>
      <c r="BN124" s="58">
        <v>46179</v>
      </c>
      <c r="BO124" s="57">
        <v>46184</v>
      </c>
      <c r="BP124" s="36"/>
      <c r="BQ124" s="36"/>
      <c r="BR124" s="229">
        <v>46192</v>
      </c>
      <c r="BS124" s="229">
        <v>46202</v>
      </c>
      <c r="BT124" s="39">
        <v>1694</v>
      </c>
      <c r="BU124" s="39">
        <v>10</v>
      </c>
      <c r="BV124" s="39"/>
      <c r="BW124" s="39"/>
      <c r="BX124" s="39"/>
      <c r="BY124" s="39"/>
      <c r="BZ124" s="39">
        <f t="shared" si="10"/>
        <v>10</v>
      </c>
      <c r="CA124" s="39">
        <f t="shared" si="61"/>
        <v>0</v>
      </c>
      <c r="CB124" s="39">
        <f t="shared" si="12"/>
        <v>0</v>
      </c>
      <c r="CC124" s="39">
        <f t="shared" si="13"/>
        <v>0</v>
      </c>
      <c r="CD124" s="39">
        <f t="shared" si="14"/>
        <v>0</v>
      </c>
      <c r="CE124" s="102">
        <f t="shared" si="15"/>
        <v>0</v>
      </c>
      <c r="CF124" s="36" t="s">
        <v>248</v>
      </c>
      <c r="CG124" s="39" t="s">
        <v>492</v>
      </c>
      <c r="CH124" s="39"/>
      <c r="CI124" s="25">
        <v>1</v>
      </c>
    </row>
    <row r="125" spans="1:87" ht="24.75" customHeight="1">
      <c r="A125" s="36" t="s">
        <v>50</v>
      </c>
      <c r="B125" s="26">
        <v>47549</v>
      </c>
      <c r="C125" s="228"/>
      <c r="D125" s="36" t="s">
        <v>45</v>
      </c>
      <c r="E125" s="39">
        <v>260</v>
      </c>
      <c r="F125" s="39" t="s">
        <v>58</v>
      </c>
      <c r="G125" s="36" t="s">
        <v>604</v>
      </c>
      <c r="H125" s="36" t="s">
        <v>461</v>
      </c>
      <c r="I125" s="39">
        <v>14</v>
      </c>
      <c r="J125" s="39"/>
      <c r="K125" s="39"/>
      <c r="L125" s="39">
        <f t="shared" si="69"/>
        <v>14</v>
      </c>
      <c r="M125" s="117">
        <v>46156</v>
      </c>
      <c r="N125" s="117">
        <v>46158</v>
      </c>
      <c r="O125" s="39"/>
      <c r="P125" s="39"/>
      <c r="Q125" s="39"/>
      <c r="R125" s="39">
        <f t="shared" si="51"/>
        <v>0</v>
      </c>
      <c r="S125" s="39" t="s">
        <v>130</v>
      </c>
      <c r="T125" s="39">
        <v>107027</v>
      </c>
      <c r="U125" s="117">
        <v>46200</v>
      </c>
      <c r="V125" s="39"/>
      <c r="W125" s="39"/>
      <c r="X125" s="39"/>
      <c r="Y125" s="39">
        <v>22</v>
      </c>
      <c r="Z125" s="39"/>
      <c r="AA125" s="39"/>
      <c r="AB125" s="119">
        <f t="shared" si="52"/>
        <v>22</v>
      </c>
      <c r="AC125" s="39"/>
      <c r="AD125" s="39"/>
      <c r="AE125" s="39"/>
      <c r="AF125" s="39"/>
      <c r="AG125" s="39"/>
      <c r="AH125" s="39">
        <f t="shared" si="3"/>
        <v>0</v>
      </c>
      <c r="AI125" s="39"/>
      <c r="AJ125" s="39"/>
      <c r="AK125" s="39"/>
      <c r="AL125" s="39"/>
      <c r="AM125" s="39"/>
      <c r="AN125" s="39">
        <f t="shared" si="4"/>
        <v>0</v>
      </c>
      <c r="AO125" s="39" t="s">
        <v>257</v>
      </c>
      <c r="AP125" s="117">
        <v>46200</v>
      </c>
      <c r="AQ125" s="39">
        <v>20</v>
      </c>
      <c r="AR125" s="117">
        <v>46201</v>
      </c>
      <c r="AS125" s="39">
        <v>20</v>
      </c>
      <c r="AT125" s="39">
        <f t="shared" si="5"/>
        <v>0</v>
      </c>
      <c r="AU125" s="39" t="s">
        <v>257</v>
      </c>
      <c r="AV125" s="117">
        <v>46200</v>
      </c>
      <c r="AW125" s="39">
        <v>20</v>
      </c>
      <c r="AX125" s="117">
        <v>46201</v>
      </c>
      <c r="AY125" s="39">
        <v>20</v>
      </c>
      <c r="AZ125" s="39">
        <f t="shared" si="6"/>
        <v>0</v>
      </c>
      <c r="BA125" s="39"/>
      <c r="BB125" s="39"/>
      <c r="BC125" s="39"/>
      <c r="BD125" s="39"/>
      <c r="BE125" s="39"/>
      <c r="BF125" s="39">
        <f t="shared" si="7"/>
        <v>0</v>
      </c>
      <c r="BG125" s="39"/>
      <c r="BH125" s="39"/>
      <c r="BI125" s="39"/>
      <c r="BJ125" s="39"/>
      <c r="BK125" s="39"/>
      <c r="BL125" s="39">
        <f t="shared" si="8"/>
        <v>0</v>
      </c>
      <c r="BM125" s="54" t="str">
        <f t="shared" si="9"/>
        <v/>
      </c>
      <c r="BN125" s="58">
        <v>46179</v>
      </c>
      <c r="BO125" s="57">
        <v>46184</v>
      </c>
      <c r="BP125" s="36"/>
      <c r="BQ125" s="36"/>
      <c r="BR125" s="230"/>
      <c r="BS125" s="230"/>
      <c r="BT125" s="39">
        <v>2143</v>
      </c>
      <c r="BU125" s="39">
        <v>20</v>
      </c>
      <c r="BV125" s="39"/>
      <c r="BW125" s="39"/>
      <c r="BX125" s="39"/>
      <c r="BY125" s="39"/>
      <c r="BZ125" s="39">
        <f t="shared" si="10"/>
        <v>20</v>
      </c>
      <c r="CA125" s="39">
        <f t="shared" si="61"/>
        <v>6</v>
      </c>
      <c r="CB125" s="39">
        <f t="shared" si="12"/>
        <v>0</v>
      </c>
      <c r="CC125" s="39">
        <f t="shared" si="13"/>
        <v>0</v>
      </c>
      <c r="CD125" s="39">
        <f t="shared" si="14"/>
        <v>0</v>
      </c>
      <c r="CE125" s="102">
        <f t="shared" si="15"/>
        <v>0</v>
      </c>
      <c r="CF125" s="36" t="s">
        <v>248</v>
      </c>
      <c r="CG125" s="39" t="s">
        <v>492</v>
      </c>
      <c r="CH125" s="39"/>
      <c r="CI125" s="25">
        <v>1</v>
      </c>
    </row>
    <row r="126" spans="1:87" ht="24.75" customHeight="1">
      <c r="A126" s="36" t="s">
        <v>50</v>
      </c>
      <c r="B126" s="26">
        <v>47554</v>
      </c>
      <c r="C126" s="227">
        <v>13264588</v>
      </c>
      <c r="D126" s="36"/>
      <c r="E126" s="39">
        <v>180</v>
      </c>
      <c r="F126" s="39" t="s">
        <v>55</v>
      </c>
      <c r="G126" s="36" t="s">
        <v>604</v>
      </c>
      <c r="H126" s="36" t="s">
        <v>403</v>
      </c>
      <c r="I126" s="39">
        <v>15</v>
      </c>
      <c r="J126" s="39"/>
      <c r="K126" s="39"/>
      <c r="L126" s="39">
        <f t="shared" si="69"/>
        <v>15</v>
      </c>
      <c r="M126" s="117">
        <v>46154</v>
      </c>
      <c r="N126" s="117">
        <v>46157</v>
      </c>
      <c r="O126" s="39"/>
      <c r="P126" s="39"/>
      <c r="Q126" s="39"/>
      <c r="R126" s="39">
        <f t="shared" si="51"/>
        <v>0</v>
      </c>
      <c r="S126" s="39" t="s">
        <v>130</v>
      </c>
      <c r="T126" s="39">
        <v>107011</v>
      </c>
      <c r="U126" s="117">
        <v>46190</v>
      </c>
      <c r="V126" s="39"/>
      <c r="W126" s="39"/>
      <c r="X126" s="39"/>
      <c r="Y126" s="39">
        <v>23</v>
      </c>
      <c r="Z126" s="39"/>
      <c r="AA126" s="39"/>
      <c r="AB126" s="119">
        <f t="shared" si="52"/>
        <v>23</v>
      </c>
      <c r="AC126" s="39"/>
      <c r="AD126" s="39"/>
      <c r="AE126" s="39"/>
      <c r="AF126" s="39"/>
      <c r="AG126" s="39"/>
      <c r="AH126" s="39">
        <f t="shared" si="3"/>
        <v>0</v>
      </c>
      <c r="AI126" s="39"/>
      <c r="AJ126" s="39"/>
      <c r="AK126" s="39"/>
      <c r="AL126" s="39"/>
      <c r="AM126" s="39"/>
      <c r="AN126" s="39">
        <f t="shared" si="4"/>
        <v>0</v>
      </c>
      <c r="AO126" s="39"/>
      <c r="AP126" s="39"/>
      <c r="AQ126" s="39"/>
      <c r="AR126" s="39"/>
      <c r="AS126" s="39"/>
      <c r="AT126" s="39">
        <f t="shared" si="5"/>
        <v>0</v>
      </c>
      <c r="AU126" s="39"/>
      <c r="AV126" s="39"/>
      <c r="AW126" s="39"/>
      <c r="AX126" s="39"/>
      <c r="AY126" s="39"/>
      <c r="AZ126" s="39">
        <f t="shared" si="6"/>
        <v>0</v>
      </c>
      <c r="BA126" s="39"/>
      <c r="BB126" s="39"/>
      <c r="BC126" s="39"/>
      <c r="BD126" s="39"/>
      <c r="BE126" s="39"/>
      <c r="BF126" s="39">
        <f t="shared" si="7"/>
        <v>0</v>
      </c>
      <c r="BG126" s="39"/>
      <c r="BH126" s="39"/>
      <c r="BI126" s="39"/>
      <c r="BJ126" s="39"/>
      <c r="BK126" s="39"/>
      <c r="BL126" s="39">
        <f t="shared" si="8"/>
        <v>0</v>
      </c>
      <c r="BM126" s="54" t="str">
        <f t="shared" si="9"/>
        <v/>
      </c>
      <c r="BN126" s="58">
        <v>46179</v>
      </c>
      <c r="BO126" s="57">
        <v>46189</v>
      </c>
      <c r="BP126" s="36"/>
      <c r="BQ126" s="36"/>
      <c r="BR126" s="229">
        <v>46192</v>
      </c>
      <c r="BS126" s="229">
        <v>46202</v>
      </c>
      <c r="BT126" s="39">
        <v>1694</v>
      </c>
      <c r="BU126" s="39">
        <v>15</v>
      </c>
      <c r="BV126" s="39"/>
      <c r="BW126" s="39"/>
      <c r="BX126" s="39"/>
      <c r="BY126" s="39"/>
      <c r="BZ126" s="39">
        <f t="shared" si="10"/>
        <v>15</v>
      </c>
      <c r="CA126" s="39">
        <f t="shared" si="61"/>
        <v>0</v>
      </c>
      <c r="CB126" s="39">
        <f t="shared" si="12"/>
        <v>0</v>
      </c>
      <c r="CC126" s="39">
        <f t="shared" si="13"/>
        <v>0</v>
      </c>
      <c r="CD126" s="39">
        <f t="shared" si="14"/>
        <v>0</v>
      </c>
      <c r="CE126" s="102">
        <f t="shared" si="15"/>
        <v>0</v>
      </c>
      <c r="CF126" s="36" t="s">
        <v>248</v>
      </c>
      <c r="CG126" s="39" t="s">
        <v>492</v>
      </c>
      <c r="CH126" s="39"/>
      <c r="CI126" s="25">
        <v>1</v>
      </c>
    </row>
    <row r="127" spans="1:87" ht="24.75" customHeight="1">
      <c r="A127" s="36" t="s">
        <v>50</v>
      </c>
      <c r="B127" s="26">
        <v>47554</v>
      </c>
      <c r="C127" s="228"/>
      <c r="D127" s="36" t="s">
        <v>45</v>
      </c>
      <c r="E127" s="39">
        <v>260</v>
      </c>
      <c r="F127" s="39" t="s">
        <v>55</v>
      </c>
      <c r="G127" s="36" t="s">
        <v>604</v>
      </c>
      <c r="H127" s="36" t="s">
        <v>461</v>
      </c>
      <c r="I127" s="39">
        <v>27</v>
      </c>
      <c r="J127" s="39"/>
      <c r="K127" s="39"/>
      <c r="L127" s="39">
        <f t="shared" ref="L127:L128" si="70">SUM(I127:K127)</f>
        <v>27</v>
      </c>
      <c r="M127" s="117">
        <v>46154</v>
      </c>
      <c r="N127" s="117">
        <v>46157</v>
      </c>
      <c r="O127" s="39"/>
      <c r="P127" s="39"/>
      <c r="Q127" s="39"/>
      <c r="R127" s="39">
        <f t="shared" si="51"/>
        <v>0</v>
      </c>
      <c r="S127" s="39" t="s">
        <v>130</v>
      </c>
      <c r="T127" s="39">
        <v>107028</v>
      </c>
      <c r="U127" s="117">
        <v>46200</v>
      </c>
      <c r="V127" s="39"/>
      <c r="W127" s="39"/>
      <c r="X127" s="39"/>
      <c r="Y127" s="39">
        <v>38</v>
      </c>
      <c r="Z127" s="39"/>
      <c r="AA127" s="39"/>
      <c r="AB127" s="119">
        <f t="shared" si="52"/>
        <v>38</v>
      </c>
      <c r="AC127" s="39"/>
      <c r="AD127" s="39"/>
      <c r="AE127" s="39"/>
      <c r="AF127" s="39"/>
      <c r="AG127" s="39"/>
      <c r="AH127" s="39">
        <f t="shared" si="3"/>
        <v>0</v>
      </c>
      <c r="AI127" s="39"/>
      <c r="AJ127" s="39"/>
      <c r="AK127" s="39"/>
      <c r="AL127" s="39"/>
      <c r="AM127" s="39"/>
      <c r="AN127" s="39">
        <f t="shared" si="4"/>
        <v>0</v>
      </c>
      <c r="AO127" s="39" t="s">
        <v>257</v>
      </c>
      <c r="AP127" s="117">
        <v>46200</v>
      </c>
      <c r="AQ127" s="39">
        <v>35</v>
      </c>
      <c r="AR127" s="117">
        <v>46201</v>
      </c>
      <c r="AS127" s="39">
        <v>34</v>
      </c>
      <c r="AT127" s="39">
        <f t="shared" si="5"/>
        <v>-1</v>
      </c>
      <c r="AU127" s="39" t="s">
        <v>257</v>
      </c>
      <c r="AV127" s="117">
        <v>46200</v>
      </c>
      <c r="AW127" s="39">
        <v>35</v>
      </c>
      <c r="AX127" s="117">
        <v>46201</v>
      </c>
      <c r="AY127" s="39">
        <v>34</v>
      </c>
      <c r="AZ127" s="39">
        <f t="shared" si="6"/>
        <v>-1</v>
      </c>
      <c r="BA127" s="39"/>
      <c r="BB127" s="39"/>
      <c r="BC127" s="39"/>
      <c r="BD127" s="39"/>
      <c r="BE127" s="39"/>
      <c r="BF127" s="39">
        <f t="shared" si="7"/>
        <v>0</v>
      </c>
      <c r="BG127" s="39"/>
      <c r="BH127" s="39"/>
      <c r="BI127" s="39"/>
      <c r="BJ127" s="39"/>
      <c r="BK127" s="39"/>
      <c r="BL127" s="39">
        <f t="shared" si="8"/>
        <v>0</v>
      </c>
      <c r="BM127" s="54" t="str">
        <f t="shared" si="9"/>
        <v/>
      </c>
      <c r="BN127" s="58">
        <v>46179</v>
      </c>
      <c r="BO127" s="57">
        <v>46189</v>
      </c>
      <c r="BP127" s="36"/>
      <c r="BQ127" s="36"/>
      <c r="BR127" s="230"/>
      <c r="BS127" s="230"/>
      <c r="BT127" s="39">
        <v>2143</v>
      </c>
      <c r="BU127" s="39">
        <v>35</v>
      </c>
      <c r="BV127" s="39"/>
      <c r="BW127" s="39"/>
      <c r="BX127" s="39"/>
      <c r="BY127" s="39"/>
      <c r="BZ127" s="39">
        <f t="shared" si="10"/>
        <v>35</v>
      </c>
      <c r="CA127" s="39">
        <f t="shared" si="61"/>
        <v>8</v>
      </c>
      <c r="CB127" s="39">
        <f t="shared" si="12"/>
        <v>0</v>
      </c>
      <c r="CC127" s="39">
        <f t="shared" si="13"/>
        <v>0</v>
      </c>
      <c r="CD127" s="39">
        <f t="shared" si="14"/>
        <v>0</v>
      </c>
      <c r="CE127" s="102">
        <f t="shared" si="15"/>
        <v>0</v>
      </c>
      <c r="CF127" s="36" t="s">
        <v>248</v>
      </c>
      <c r="CG127" s="39" t="s">
        <v>492</v>
      </c>
      <c r="CH127" s="39"/>
      <c r="CI127" s="25">
        <v>1</v>
      </c>
    </row>
    <row r="128" spans="1:87" ht="33.75" customHeight="1">
      <c r="A128" s="36" t="s">
        <v>50</v>
      </c>
      <c r="B128" s="26">
        <v>47557</v>
      </c>
      <c r="C128" s="36">
        <v>13262902</v>
      </c>
      <c r="D128" s="36"/>
      <c r="E128" s="39">
        <v>180</v>
      </c>
      <c r="F128" s="39" t="s">
        <v>55</v>
      </c>
      <c r="G128" s="36" t="s">
        <v>604</v>
      </c>
      <c r="H128" s="36" t="s">
        <v>403</v>
      </c>
      <c r="I128" s="39">
        <v>62</v>
      </c>
      <c r="J128" s="39">
        <v>7</v>
      </c>
      <c r="K128" s="39"/>
      <c r="L128" s="39">
        <f t="shared" si="70"/>
        <v>69</v>
      </c>
      <c r="M128" s="117">
        <v>46154</v>
      </c>
      <c r="N128" s="117">
        <v>46158</v>
      </c>
      <c r="O128" s="39"/>
      <c r="P128" s="39"/>
      <c r="Q128" s="39"/>
      <c r="R128" s="39">
        <f t="shared" si="51"/>
        <v>0</v>
      </c>
      <c r="S128" s="39" t="s">
        <v>130</v>
      </c>
      <c r="T128" s="39">
        <v>107014</v>
      </c>
      <c r="U128" s="117">
        <v>46190</v>
      </c>
      <c r="V128" s="39"/>
      <c r="W128" s="39"/>
      <c r="X128" s="39"/>
      <c r="Y128" s="39">
        <v>79</v>
      </c>
      <c r="Z128" s="39">
        <v>9</v>
      </c>
      <c r="AA128" s="39"/>
      <c r="AB128" s="119">
        <f t="shared" si="52"/>
        <v>88</v>
      </c>
      <c r="AC128" s="39"/>
      <c r="AD128" s="39"/>
      <c r="AE128" s="39"/>
      <c r="AF128" s="39"/>
      <c r="AG128" s="39"/>
      <c r="AH128" s="39">
        <f t="shared" si="3"/>
        <v>0</v>
      </c>
      <c r="AI128" s="39"/>
      <c r="AJ128" s="39"/>
      <c r="AK128" s="39"/>
      <c r="AL128" s="39"/>
      <c r="AM128" s="39"/>
      <c r="AN128" s="39">
        <f t="shared" si="4"/>
        <v>0</v>
      </c>
      <c r="AO128" s="39"/>
      <c r="AP128" s="39"/>
      <c r="AQ128" s="39"/>
      <c r="AR128" s="39"/>
      <c r="AS128" s="39"/>
      <c r="AT128" s="39">
        <f t="shared" si="5"/>
        <v>0</v>
      </c>
      <c r="AU128" s="39"/>
      <c r="AV128" s="39"/>
      <c r="AW128" s="39"/>
      <c r="AX128" s="39"/>
      <c r="AY128" s="39"/>
      <c r="AZ128" s="39">
        <f t="shared" si="6"/>
        <v>0</v>
      </c>
      <c r="BA128" s="39"/>
      <c r="BB128" s="39"/>
      <c r="BC128" s="39"/>
      <c r="BD128" s="39"/>
      <c r="BE128" s="39"/>
      <c r="BF128" s="39">
        <f t="shared" si="7"/>
        <v>0</v>
      </c>
      <c r="BG128" s="39"/>
      <c r="BH128" s="39"/>
      <c r="BI128" s="39"/>
      <c r="BJ128" s="39"/>
      <c r="BK128" s="39"/>
      <c r="BL128" s="39">
        <f t="shared" si="8"/>
        <v>0</v>
      </c>
      <c r="BM128" s="54" t="str">
        <f t="shared" si="9"/>
        <v/>
      </c>
      <c r="BN128" s="58">
        <v>46179</v>
      </c>
      <c r="BO128" s="57">
        <v>46185</v>
      </c>
      <c r="BP128" s="36"/>
      <c r="BQ128" s="36"/>
      <c r="BR128" s="50">
        <v>46192</v>
      </c>
      <c r="BS128" s="50">
        <v>46192</v>
      </c>
      <c r="BT128" s="39">
        <v>1694</v>
      </c>
      <c r="BU128" s="39">
        <v>64</v>
      </c>
      <c r="BV128" s="39">
        <v>1694</v>
      </c>
      <c r="BW128" s="39">
        <v>7</v>
      </c>
      <c r="BX128" s="39"/>
      <c r="BY128" s="39"/>
      <c r="BZ128" s="39">
        <f t="shared" si="10"/>
        <v>71</v>
      </c>
      <c r="CA128" s="39">
        <f t="shared" si="61"/>
        <v>2</v>
      </c>
      <c r="CB128" s="39">
        <f t="shared" si="12"/>
        <v>0</v>
      </c>
      <c r="CC128" s="39">
        <f t="shared" si="13"/>
        <v>0</v>
      </c>
      <c r="CD128" s="39">
        <f t="shared" si="14"/>
        <v>0</v>
      </c>
      <c r="CE128" s="102">
        <f t="shared" si="15"/>
        <v>0</v>
      </c>
      <c r="CF128" s="36" t="s">
        <v>248</v>
      </c>
      <c r="CG128" s="39" t="s">
        <v>492</v>
      </c>
      <c r="CH128" s="39"/>
      <c r="CI128" s="25">
        <v>1</v>
      </c>
    </row>
    <row r="129" spans="1:87" ht="24.75" customHeight="1">
      <c r="A129" s="36" t="s">
        <v>50</v>
      </c>
      <c r="B129" s="26">
        <v>47559</v>
      </c>
      <c r="C129" s="227" t="s">
        <v>697</v>
      </c>
      <c r="D129" s="36"/>
      <c r="E129" s="39">
        <v>180</v>
      </c>
      <c r="F129" s="39" t="s">
        <v>55</v>
      </c>
      <c r="G129" s="36" t="s">
        <v>93</v>
      </c>
      <c r="H129" s="36" t="s">
        <v>698</v>
      </c>
      <c r="I129" s="39">
        <v>72</v>
      </c>
      <c r="J129" s="39">
        <v>16</v>
      </c>
      <c r="K129" s="39"/>
      <c r="L129" s="39">
        <f t="shared" ref="L129:L132" si="71">SUM(I129:K129)</f>
        <v>88</v>
      </c>
      <c r="M129" s="117">
        <v>46164</v>
      </c>
      <c r="N129" s="117">
        <v>46179</v>
      </c>
      <c r="O129" s="39"/>
      <c r="P129" s="39"/>
      <c r="Q129" s="39"/>
      <c r="R129" s="39">
        <f t="shared" si="51"/>
        <v>0</v>
      </c>
      <c r="S129" s="39" t="s">
        <v>130</v>
      </c>
      <c r="T129" s="39">
        <v>107088</v>
      </c>
      <c r="U129" s="117">
        <v>46194</v>
      </c>
      <c r="V129" s="39"/>
      <c r="W129" s="39"/>
      <c r="X129" s="39"/>
      <c r="Y129" s="39">
        <v>97</v>
      </c>
      <c r="Z129" s="39">
        <v>19</v>
      </c>
      <c r="AA129" s="39"/>
      <c r="AB129" s="119">
        <f t="shared" si="52"/>
        <v>116</v>
      </c>
      <c r="AC129" s="39"/>
      <c r="AD129" s="39"/>
      <c r="AE129" s="39"/>
      <c r="AF129" s="39"/>
      <c r="AG129" s="39"/>
      <c r="AH129" s="39">
        <f t="shared" si="3"/>
        <v>0</v>
      </c>
      <c r="AI129" s="39"/>
      <c r="AJ129" s="39"/>
      <c r="AK129" s="39"/>
      <c r="AL129" s="39"/>
      <c r="AM129" s="39"/>
      <c r="AN129" s="39">
        <f t="shared" si="4"/>
        <v>0</v>
      </c>
      <c r="AO129" s="39"/>
      <c r="AP129" s="39"/>
      <c r="AQ129" s="39"/>
      <c r="AR129" s="39"/>
      <c r="AS129" s="39"/>
      <c r="AT129" s="39">
        <f t="shared" si="5"/>
        <v>0</v>
      </c>
      <c r="AU129" s="39"/>
      <c r="AV129" s="39"/>
      <c r="AW129" s="39"/>
      <c r="AX129" s="39"/>
      <c r="AY129" s="39"/>
      <c r="AZ129" s="39">
        <f t="shared" si="6"/>
        <v>0</v>
      </c>
      <c r="BA129" s="39"/>
      <c r="BB129" s="39"/>
      <c r="BC129" s="39"/>
      <c r="BD129" s="39"/>
      <c r="BE129" s="39"/>
      <c r="BF129" s="39">
        <f t="shared" si="7"/>
        <v>0</v>
      </c>
      <c r="BG129" s="39"/>
      <c r="BH129" s="39"/>
      <c r="BI129" s="39"/>
      <c r="BJ129" s="39"/>
      <c r="BK129" s="39"/>
      <c r="BL129" s="39">
        <f t="shared" si="8"/>
        <v>0</v>
      </c>
      <c r="BM129" s="54" t="str">
        <f t="shared" si="9"/>
        <v/>
      </c>
      <c r="BN129" s="58">
        <v>46183</v>
      </c>
      <c r="BO129" s="57">
        <v>46197</v>
      </c>
      <c r="BP129" s="36"/>
      <c r="BQ129" s="36"/>
      <c r="BR129" s="229">
        <v>46203</v>
      </c>
      <c r="BS129" s="229">
        <v>46204</v>
      </c>
      <c r="BT129" s="39">
        <v>2150</v>
      </c>
      <c r="BU129" s="39">
        <v>86</v>
      </c>
      <c r="BV129" s="39">
        <v>2150</v>
      </c>
      <c r="BW129" s="39">
        <v>17</v>
      </c>
      <c r="BX129" s="39"/>
      <c r="BY129" s="39"/>
      <c r="BZ129" s="39">
        <f t="shared" si="10"/>
        <v>103</v>
      </c>
      <c r="CA129" s="39">
        <f t="shared" si="61"/>
        <v>14</v>
      </c>
      <c r="CB129" s="39">
        <f t="shared" si="12"/>
        <v>1</v>
      </c>
      <c r="CC129" s="39">
        <f t="shared" si="13"/>
        <v>0</v>
      </c>
      <c r="CD129" s="39">
        <f t="shared" si="14"/>
        <v>0</v>
      </c>
      <c r="CE129" s="102">
        <f t="shared" si="15"/>
        <v>0</v>
      </c>
      <c r="CF129" s="36" t="s">
        <v>248</v>
      </c>
      <c r="CG129" s="39" t="s">
        <v>492</v>
      </c>
      <c r="CH129" s="39"/>
      <c r="CI129" s="25">
        <v>1</v>
      </c>
    </row>
    <row r="130" spans="1:87" ht="24.75" customHeight="1">
      <c r="A130" s="36" t="s">
        <v>50</v>
      </c>
      <c r="B130" s="26">
        <v>47559</v>
      </c>
      <c r="C130" s="228"/>
      <c r="D130" s="36"/>
      <c r="E130" s="39">
        <v>180</v>
      </c>
      <c r="F130" s="39" t="s">
        <v>55</v>
      </c>
      <c r="G130" s="36" t="s">
        <v>35</v>
      </c>
      <c r="H130" s="36" t="s">
        <v>698</v>
      </c>
      <c r="I130" s="39">
        <v>102</v>
      </c>
      <c r="J130" s="39">
        <v>10</v>
      </c>
      <c r="K130" s="39"/>
      <c r="L130" s="39">
        <f t="shared" si="71"/>
        <v>112</v>
      </c>
      <c r="M130" s="117">
        <v>46164</v>
      </c>
      <c r="N130" s="117">
        <v>46179</v>
      </c>
      <c r="O130" s="39"/>
      <c r="P130" s="39"/>
      <c r="Q130" s="39"/>
      <c r="R130" s="39">
        <f t="shared" si="51"/>
        <v>0</v>
      </c>
      <c r="S130" s="39" t="s">
        <v>130</v>
      </c>
      <c r="T130" s="39">
        <v>107089</v>
      </c>
      <c r="U130" s="117">
        <v>46201</v>
      </c>
      <c r="V130" s="39"/>
      <c r="W130" s="39"/>
      <c r="X130" s="39"/>
      <c r="Y130" s="39">
        <v>130</v>
      </c>
      <c r="Z130" s="39">
        <v>12</v>
      </c>
      <c r="AA130" s="39"/>
      <c r="AB130" s="119">
        <f t="shared" si="52"/>
        <v>142</v>
      </c>
      <c r="AC130" s="39"/>
      <c r="AD130" s="39"/>
      <c r="AE130" s="39"/>
      <c r="AF130" s="39"/>
      <c r="AG130" s="39"/>
      <c r="AH130" s="39">
        <f t="shared" si="3"/>
        <v>0</v>
      </c>
      <c r="AI130" s="39"/>
      <c r="AJ130" s="39"/>
      <c r="AK130" s="39"/>
      <c r="AL130" s="39"/>
      <c r="AM130" s="39"/>
      <c r="AN130" s="39">
        <f t="shared" si="4"/>
        <v>0</v>
      </c>
      <c r="AO130" s="39"/>
      <c r="AP130" s="39"/>
      <c r="AQ130" s="39"/>
      <c r="AR130" s="39"/>
      <c r="AS130" s="39"/>
      <c r="AT130" s="39">
        <f t="shared" si="5"/>
        <v>0</v>
      </c>
      <c r="AU130" s="39"/>
      <c r="AV130" s="39"/>
      <c r="AW130" s="39"/>
      <c r="AX130" s="39"/>
      <c r="AY130" s="39"/>
      <c r="AZ130" s="39">
        <f t="shared" si="6"/>
        <v>0</v>
      </c>
      <c r="BA130" s="39"/>
      <c r="BB130" s="39"/>
      <c r="BC130" s="39"/>
      <c r="BD130" s="39"/>
      <c r="BE130" s="39"/>
      <c r="BF130" s="39">
        <f t="shared" si="7"/>
        <v>0</v>
      </c>
      <c r="BG130" s="39"/>
      <c r="BH130" s="39"/>
      <c r="BI130" s="39"/>
      <c r="BJ130" s="39"/>
      <c r="BK130" s="39"/>
      <c r="BL130" s="39">
        <f t="shared" si="8"/>
        <v>0</v>
      </c>
      <c r="BM130" s="54" t="str">
        <f t="shared" si="9"/>
        <v/>
      </c>
      <c r="BN130" s="58">
        <v>46183</v>
      </c>
      <c r="BO130" s="57">
        <v>46197</v>
      </c>
      <c r="BP130" s="36"/>
      <c r="BQ130" s="36"/>
      <c r="BR130" s="230"/>
      <c r="BS130" s="230"/>
      <c r="BT130" s="39">
        <v>2147</v>
      </c>
      <c r="BU130" s="39">
        <v>120</v>
      </c>
      <c r="BV130" s="39">
        <v>2147</v>
      </c>
      <c r="BW130" s="39">
        <v>11</v>
      </c>
      <c r="BX130" s="39"/>
      <c r="BY130" s="39"/>
      <c r="BZ130" s="39">
        <f t="shared" si="10"/>
        <v>131</v>
      </c>
      <c r="CA130" s="39">
        <f t="shared" si="61"/>
        <v>18</v>
      </c>
      <c r="CB130" s="39">
        <f t="shared" si="12"/>
        <v>1</v>
      </c>
      <c r="CC130" s="39">
        <f t="shared" si="13"/>
        <v>0</v>
      </c>
      <c r="CD130" s="39">
        <f t="shared" si="14"/>
        <v>0</v>
      </c>
      <c r="CE130" s="102">
        <f t="shared" si="15"/>
        <v>0</v>
      </c>
      <c r="CF130" s="36" t="s">
        <v>248</v>
      </c>
      <c r="CG130" s="39" t="s">
        <v>492</v>
      </c>
      <c r="CH130" s="39"/>
      <c r="CI130" s="25">
        <v>1</v>
      </c>
    </row>
    <row r="131" spans="1:87" ht="24.75" customHeight="1">
      <c r="A131" s="36" t="s">
        <v>50</v>
      </c>
      <c r="B131" s="26">
        <v>47560</v>
      </c>
      <c r="C131" s="227">
        <v>13261551</v>
      </c>
      <c r="D131" s="36" t="s">
        <v>37</v>
      </c>
      <c r="E131" s="39">
        <v>200</v>
      </c>
      <c r="F131" s="39" t="s">
        <v>60</v>
      </c>
      <c r="G131" s="36" t="s">
        <v>564</v>
      </c>
      <c r="H131" s="36" t="s">
        <v>89</v>
      </c>
      <c r="I131" s="39">
        <v>231</v>
      </c>
      <c r="J131" s="39"/>
      <c r="K131" s="39"/>
      <c r="L131" s="39">
        <f t="shared" si="71"/>
        <v>231</v>
      </c>
      <c r="M131" s="117">
        <v>46157</v>
      </c>
      <c r="N131" s="117">
        <v>46162</v>
      </c>
      <c r="O131" s="39"/>
      <c r="P131" s="39"/>
      <c r="Q131" s="39"/>
      <c r="R131" s="39">
        <f t="shared" si="51"/>
        <v>0</v>
      </c>
      <c r="S131" s="39" t="s">
        <v>130</v>
      </c>
      <c r="T131" s="39">
        <v>106974</v>
      </c>
      <c r="U131" s="117">
        <v>46188</v>
      </c>
      <c r="V131" s="39"/>
      <c r="W131" s="39"/>
      <c r="X131" s="39"/>
      <c r="Y131" s="39">
        <v>258</v>
      </c>
      <c r="Z131" s="39"/>
      <c r="AA131" s="39"/>
      <c r="AB131" s="119">
        <f t="shared" si="52"/>
        <v>258</v>
      </c>
      <c r="AC131" s="39" t="s">
        <v>139</v>
      </c>
      <c r="AD131" s="117">
        <v>46190</v>
      </c>
      <c r="AE131" s="39">
        <v>236</v>
      </c>
      <c r="AF131" s="117">
        <v>46203</v>
      </c>
      <c r="AG131" s="39">
        <v>230</v>
      </c>
      <c r="AH131" s="39">
        <f t="shared" si="3"/>
        <v>-6</v>
      </c>
      <c r="AI131" s="39"/>
      <c r="AJ131" s="39"/>
      <c r="AK131" s="39"/>
      <c r="AL131" s="39"/>
      <c r="AM131" s="39"/>
      <c r="AN131" s="39">
        <f t="shared" si="4"/>
        <v>0</v>
      </c>
      <c r="AO131" s="39"/>
      <c r="AP131" s="39"/>
      <c r="AQ131" s="39"/>
      <c r="AR131" s="39"/>
      <c r="AS131" s="39"/>
      <c r="AT131" s="39">
        <f t="shared" si="5"/>
        <v>0</v>
      </c>
      <c r="AU131" s="39"/>
      <c r="AV131" s="39"/>
      <c r="AW131" s="39"/>
      <c r="AX131" s="39"/>
      <c r="AY131" s="39"/>
      <c r="AZ131" s="39">
        <f t="shared" si="6"/>
        <v>0</v>
      </c>
      <c r="BA131" s="39"/>
      <c r="BB131" s="39"/>
      <c r="BC131" s="39"/>
      <c r="BD131" s="39"/>
      <c r="BE131" s="39"/>
      <c r="BF131" s="39">
        <f t="shared" si="7"/>
        <v>0</v>
      </c>
      <c r="BG131" s="39"/>
      <c r="BH131" s="39"/>
      <c r="BI131" s="39"/>
      <c r="BJ131" s="39"/>
      <c r="BK131" s="39"/>
      <c r="BL131" s="39">
        <f t="shared" si="8"/>
        <v>0</v>
      </c>
      <c r="BM131" s="54" t="str">
        <f t="shared" si="9"/>
        <v/>
      </c>
      <c r="BN131" s="58">
        <v>46179</v>
      </c>
      <c r="BO131" s="57">
        <v>46187</v>
      </c>
      <c r="BP131" s="57">
        <v>46188</v>
      </c>
      <c r="BQ131" s="57">
        <v>46192</v>
      </c>
      <c r="BR131" s="229">
        <v>46205</v>
      </c>
      <c r="BS131" s="229">
        <v>46211</v>
      </c>
      <c r="BT131" s="39">
        <v>2215</v>
      </c>
      <c r="BU131" s="39">
        <v>229</v>
      </c>
      <c r="BV131" s="39"/>
      <c r="BW131" s="39"/>
      <c r="BX131" s="39"/>
      <c r="BY131" s="39"/>
      <c r="BZ131" s="39">
        <f t="shared" si="10"/>
        <v>229</v>
      </c>
      <c r="CA131" s="39">
        <f t="shared" si="61"/>
        <v>-2</v>
      </c>
      <c r="CB131" s="39">
        <f t="shared" si="12"/>
        <v>0</v>
      </c>
      <c r="CC131" s="39">
        <f t="shared" si="13"/>
        <v>0</v>
      </c>
      <c r="CD131" s="39">
        <v>0</v>
      </c>
      <c r="CE131" s="102">
        <f t="shared" si="15"/>
        <v>0</v>
      </c>
      <c r="CF131" s="36" t="s">
        <v>248</v>
      </c>
      <c r="CG131" s="39" t="s">
        <v>492</v>
      </c>
      <c r="CH131" s="39"/>
      <c r="CI131" s="25">
        <v>1</v>
      </c>
    </row>
    <row r="132" spans="1:87" ht="24.75" customHeight="1">
      <c r="A132" s="36" t="s">
        <v>50</v>
      </c>
      <c r="B132" s="26">
        <v>47560</v>
      </c>
      <c r="C132" s="228"/>
      <c r="D132" s="36" t="s">
        <v>37</v>
      </c>
      <c r="E132" s="39">
        <v>200</v>
      </c>
      <c r="F132" s="39" t="s">
        <v>60</v>
      </c>
      <c r="G132" s="36" t="s">
        <v>672</v>
      </c>
      <c r="H132" s="36" t="s">
        <v>89</v>
      </c>
      <c r="I132" s="39">
        <v>81</v>
      </c>
      <c r="J132" s="39"/>
      <c r="K132" s="39"/>
      <c r="L132" s="39">
        <f t="shared" si="71"/>
        <v>81</v>
      </c>
      <c r="M132" s="117">
        <v>46157</v>
      </c>
      <c r="N132" s="117">
        <v>46162</v>
      </c>
      <c r="O132" s="39"/>
      <c r="P132" s="39"/>
      <c r="Q132" s="39"/>
      <c r="R132" s="39">
        <f t="shared" si="51"/>
        <v>0</v>
      </c>
      <c r="S132" s="39" t="s">
        <v>590</v>
      </c>
      <c r="T132" s="39"/>
      <c r="U132" s="39"/>
      <c r="V132" s="117">
        <v>46157</v>
      </c>
      <c r="W132" s="39">
        <v>100</v>
      </c>
      <c r="X132" s="117">
        <v>46198</v>
      </c>
      <c r="Y132" s="39">
        <v>86</v>
      </c>
      <c r="Z132" s="39"/>
      <c r="AA132" s="39"/>
      <c r="AB132" s="119">
        <f t="shared" si="52"/>
        <v>86</v>
      </c>
      <c r="AC132" s="39" t="s">
        <v>139</v>
      </c>
      <c r="AD132" s="117">
        <v>46204</v>
      </c>
      <c r="AE132" s="39">
        <v>86</v>
      </c>
      <c r="AF132" s="117">
        <v>46210</v>
      </c>
      <c r="AG132" s="39">
        <v>83</v>
      </c>
      <c r="AH132" s="39">
        <f t="shared" si="3"/>
        <v>-3</v>
      </c>
      <c r="AI132" s="39"/>
      <c r="AJ132" s="39"/>
      <c r="AK132" s="39"/>
      <c r="AL132" s="39"/>
      <c r="AM132" s="39"/>
      <c r="AN132" s="39">
        <f t="shared" si="4"/>
        <v>0</v>
      </c>
      <c r="AO132" s="39"/>
      <c r="AP132" s="39"/>
      <c r="AQ132" s="39"/>
      <c r="AR132" s="39"/>
      <c r="AS132" s="39"/>
      <c r="AT132" s="39">
        <f t="shared" si="5"/>
        <v>0</v>
      </c>
      <c r="AU132" s="39"/>
      <c r="AV132" s="39"/>
      <c r="AW132" s="39"/>
      <c r="AX132" s="39"/>
      <c r="AY132" s="39"/>
      <c r="AZ132" s="39">
        <f t="shared" si="6"/>
        <v>0</v>
      </c>
      <c r="BA132" s="39"/>
      <c r="BB132" s="39"/>
      <c r="BC132" s="39"/>
      <c r="BD132" s="39"/>
      <c r="BE132" s="39"/>
      <c r="BF132" s="39">
        <f t="shared" si="7"/>
        <v>0</v>
      </c>
      <c r="BG132" s="39"/>
      <c r="BH132" s="39"/>
      <c r="BI132" s="39"/>
      <c r="BJ132" s="39"/>
      <c r="BK132" s="39"/>
      <c r="BL132" s="39">
        <f t="shared" si="8"/>
        <v>0</v>
      </c>
      <c r="BM132" s="54" t="str">
        <f t="shared" si="9"/>
        <v/>
      </c>
      <c r="BN132" s="58">
        <v>46179</v>
      </c>
      <c r="BO132" s="57">
        <v>46187</v>
      </c>
      <c r="BP132" s="57">
        <v>46188</v>
      </c>
      <c r="BQ132" s="57">
        <v>46192</v>
      </c>
      <c r="BR132" s="230"/>
      <c r="BS132" s="230"/>
      <c r="BT132" s="39">
        <v>2225</v>
      </c>
      <c r="BU132" s="39">
        <v>83</v>
      </c>
      <c r="BV132" s="39"/>
      <c r="BW132" s="39"/>
      <c r="BX132" s="39"/>
      <c r="BY132" s="39"/>
      <c r="BZ132" s="39">
        <f t="shared" si="10"/>
        <v>83</v>
      </c>
      <c r="CA132" s="39">
        <f t="shared" si="61"/>
        <v>2</v>
      </c>
      <c r="CB132" s="39">
        <f t="shared" si="12"/>
        <v>0</v>
      </c>
      <c r="CC132" s="39">
        <f t="shared" si="13"/>
        <v>0</v>
      </c>
      <c r="CD132" s="39">
        <f t="shared" si="14"/>
        <v>0</v>
      </c>
      <c r="CE132" s="102">
        <f t="shared" si="15"/>
        <v>0</v>
      </c>
      <c r="CF132" s="36" t="s">
        <v>248</v>
      </c>
      <c r="CG132" s="39" t="s">
        <v>492</v>
      </c>
      <c r="CH132" s="39"/>
      <c r="CI132" s="25">
        <v>1</v>
      </c>
    </row>
    <row r="133" spans="1:87" ht="24.75" customHeight="1">
      <c r="A133" s="36" t="s">
        <v>50</v>
      </c>
      <c r="B133" s="26">
        <v>47561</v>
      </c>
      <c r="C133" s="227">
        <v>13261553</v>
      </c>
      <c r="D133" s="36" t="s">
        <v>37</v>
      </c>
      <c r="E133" s="39">
        <v>200</v>
      </c>
      <c r="F133" s="39" t="s">
        <v>60</v>
      </c>
      <c r="G133" s="36" t="s">
        <v>699</v>
      </c>
      <c r="H133" s="36" t="s">
        <v>89</v>
      </c>
      <c r="I133" s="39">
        <v>44</v>
      </c>
      <c r="J133" s="39"/>
      <c r="K133" s="39"/>
      <c r="L133" s="39">
        <f t="shared" ref="L133:L134" si="72">SUM(I133:K133)</f>
        <v>44</v>
      </c>
      <c r="M133" s="117">
        <v>46160</v>
      </c>
      <c r="N133" s="117">
        <v>46164</v>
      </c>
      <c r="O133" s="39"/>
      <c r="P133" s="39"/>
      <c r="Q133" s="39"/>
      <c r="R133" s="39">
        <f t="shared" si="51"/>
        <v>0</v>
      </c>
      <c r="S133" s="39" t="s">
        <v>590</v>
      </c>
      <c r="T133" s="39"/>
      <c r="U133" s="39"/>
      <c r="V133" s="117">
        <v>46157</v>
      </c>
      <c r="W133" s="39">
        <v>56</v>
      </c>
      <c r="X133" s="117">
        <v>46196</v>
      </c>
      <c r="Y133" s="39">
        <f>42</f>
        <v>42</v>
      </c>
      <c r="Z133" s="39"/>
      <c r="AA133" s="39"/>
      <c r="AB133" s="120">
        <f t="shared" si="52"/>
        <v>42</v>
      </c>
      <c r="AC133" s="39" t="s">
        <v>139</v>
      </c>
      <c r="AD133" s="117">
        <v>46203</v>
      </c>
      <c r="AE133" s="39">
        <v>41</v>
      </c>
      <c r="AF133" s="117">
        <v>46210</v>
      </c>
      <c r="AG133" s="39">
        <v>44</v>
      </c>
      <c r="AH133" s="39">
        <f t="shared" si="3"/>
        <v>3</v>
      </c>
      <c r="AI133" s="39"/>
      <c r="AJ133" s="39"/>
      <c r="AK133" s="39"/>
      <c r="AL133" s="39"/>
      <c r="AM133" s="39"/>
      <c r="AN133" s="39">
        <f t="shared" si="4"/>
        <v>0</v>
      </c>
      <c r="AO133" s="39"/>
      <c r="AP133" s="39"/>
      <c r="AQ133" s="39"/>
      <c r="AR133" s="39"/>
      <c r="AS133" s="39"/>
      <c r="AT133" s="39">
        <f t="shared" si="5"/>
        <v>0</v>
      </c>
      <c r="AU133" s="39"/>
      <c r="AV133" s="39"/>
      <c r="AW133" s="39"/>
      <c r="AX133" s="39"/>
      <c r="AY133" s="39"/>
      <c r="AZ133" s="39">
        <f t="shared" si="6"/>
        <v>0</v>
      </c>
      <c r="BA133" s="39"/>
      <c r="BB133" s="39"/>
      <c r="BC133" s="39"/>
      <c r="BD133" s="39"/>
      <c r="BE133" s="39"/>
      <c r="BF133" s="39">
        <f t="shared" si="7"/>
        <v>0</v>
      </c>
      <c r="BG133" s="39"/>
      <c r="BH133" s="39"/>
      <c r="BI133" s="39"/>
      <c r="BJ133" s="39"/>
      <c r="BK133" s="39"/>
      <c r="BL133" s="39">
        <f t="shared" si="8"/>
        <v>0</v>
      </c>
      <c r="BM133" s="54" t="str">
        <f t="shared" si="9"/>
        <v/>
      </c>
      <c r="BN133" s="58">
        <v>46181</v>
      </c>
      <c r="BO133" s="57">
        <v>46190</v>
      </c>
      <c r="BP133" s="57">
        <v>46193</v>
      </c>
      <c r="BQ133" s="57">
        <v>46198</v>
      </c>
      <c r="BR133" s="229">
        <v>46205</v>
      </c>
      <c r="BS133" s="229">
        <v>46211</v>
      </c>
      <c r="BT133" s="39">
        <v>2225</v>
      </c>
      <c r="BU133" s="39">
        <v>44</v>
      </c>
      <c r="BV133" s="39"/>
      <c r="BW133" s="39"/>
      <c r="BX133" s="39"/>
      <c r="BY133" s="39"/>
      <c r="BZ133" s="39">
        <f t="shared" si="10"/>
        <v>44</v>
      </c>
      <c r="CA133" s="39">
        <f t="shared" si="61"/>
        <v>0</v>
      </c>
      <c r="CB133" s="39">
        <f t="shared" si="12"/>
        <v>0</v>
      </c>
      <c r="CC133" s="39">
        <f t="shared" si="13"/>
        <v>0</v>
      </c>
      <c r="CD133" s="39">
        <f t="shared" si="14"/>
        <v>0</v>
      </c>
      <c r="CE133" s="102">
        <f t="shared" si="15"/>
        <v>0</v>
      </c>
      <c r="CF133" s="36" t="s">
        <v>248</v>
      </c>
      <c r="CG133" s="39" t="s">
        <v>492</v>
      </c>
      <c r="CH133" s="39"/>
      <c r="CI133" s="25">
        <v>1</v>
      </c>
    </row>
    <row r="134" spans="1:87" ht="38.25">
      <c r="A134" s="36" t="s">
        <v>50</v>
      </c>
      <c r="B134" s="26">
        <v>47561</v>
      </c>
      <c r="C134" s="228"/>
      <c r="D134" s="36" t="s">
        <v>37</v>
      </c>
      <c r="E134" s="39">
        <v>200</v>
      </c>
      <c r="F134" s="39" t="s">
        <v>60</v>
      </c>
      <c r="G134" s="36" t="s">
        <v>700</v>
      </c>
      <c r="H134" s="36" t="s">
        <v>89</v>
      </c>
      <c r="I134" s="39">
        <v>119</v>
      </c>
      <c r="J134" s="39"/>
      <c r="K134" s="39"/>
      <c r="L134" s="39">
        <f t="shared" si="72"/>
        <v>119</v>
      </c>
      <c r="M134" s="117">
        <v>46160</v>
      </c>
      <c r="N134" s="117">
        <v>46164</v>
      </c>
      <c r="O134" s="39"/>
      <c r="P134" s="39"/>
      <c r="Q134" s="39"/>
      <c r="R134" s="39">
        <f t="shared" si="51"/>
        <v>0</v>
      </c>
      <c r="S134" s="39" t="s">
        <v>130</v>
      </c>
      <c r="T134" s="39">
        <v>106975</v>
      </c>
      <c r="U134" s="117">
        <v>46188</v>
      </c>
      <c r="V134" s="39"/>
      <c r="W134" s="39"/>
      <c r="X134" s="39"/>
      <c r="Y134" s="39">
        <v>144</v>
      </c>
      <c r="Z134" s="39"/>
      <c r="AA134" s="39"/>
      <c r="AB134" s="119">
        <f t="shared" si="52"/>
        <v>144</v>
      </c>
      <c r="AC134" s="39" t="s">
        <v>139</v>
      </c>
      <c r="AD134" s="117">
        <v>46190</v>
      </c>
      <c r="AE134" s="39">
        <v>122</v>
      </c>
      <c r="AF134" s="117">
        <v>46204</v>
      </c>
      <c r="AG134" s="39">
        <v>124</v>
      </c>
      <c r="AH134" s="39">
        <f t="shared" si="3"/>
        <v>2</v>
      </c>
      <c r="AI134" s="39"/>
      <c r="AJ134" s="39"/>
      <c r="AK134" s="39"/>
      <c r="AL134" s="39"/>
      <c r="AM134" s="39"/>
      <c r="AN134" s="39">
        <f t="shared" si="4"/>
        <v>0</v>
      </c>
      <c r="AO134" s="39"/>
      <c r="AP134" s="39"/>
      <c r="AQ134" s="39"/>
      <c r="AR134" s="39"/>
      <c r="AS134" s="39"/>
      <c r="AT134" s="39">
        <f t="shared" si="5"/>
        <v>0</v>
      </c>
      <c r="AU134" s="39"/>
      <c r="AV134" s="39"/>
      <c r="AW134" s="39"/>
      <c r="AX134" s="39"/>
      <c r="AY134" s="39"/>
      <c r="AZ134" s="39">
        <f t="shared" si="6"/>
        <v>0</v>
      </c>
      <c r="BA134" s="39"/>
      <c r="BB134" s="39"/>
      <c r="BC134" s="39"/>
      <c r="BD134" s="39"/>
      <c r="BE134" s="39"/>
      <c r="BF134" s="39">
        <f t="shared" si="7"/>
        <v>0</v>
      </c>
      <c r="BG134" s="39"/>
      <c r="BH134" s="39"/>
      <c r="BI134" s="39"/>
      <c r="BJ134" s="39"/>
      <c r="BK134" s="39"/>
      <c r="BL134" s="39">
        <f t="shared" si="8"/>
        <v>0</v>
      </c>
      <c r="BM134" s="54" t="str">
        <f t="shared" si="9"/>
        <v/>
      </c>
      <c r="BN134" s="58">
        <v>46181</v>
      </c>
      <c r="BO134" s="57">
        <v>46190</v>
      </c>
      <c r="BP134" s="57">
        <v>46193</v>
      </c>
      <c r="BQ134" s="57">
        <v>46198</v>
      </c>
      <c r="BR134" s="230"/>
      <c r="BS134" s="230"/>
      <c r="BT134" s="39">
        <v>2216</v>
      </c>
      <c r="BU134" s="39">
        <v>123</v>
      </c>
      <c r="BV134" s="39"/>
      <c r="BW134" s="39"/>
      <c r="BX134" s="39"/>
      <c r="BY134" s="39"/>
      <c r="BZ134" s="39">
        <f t="shared" si="10"/>
        <v>123</v>
      </c>
      <c r="CA134" s="39">
        <f t="shared" si="61"/>
        <v>4</v>
      </c>
      <c r="CB134" s="39">
        <f t="shared" si="12"/>
        <v>0</v>
      </c>
      <c r="CC134" s="39">
        <f t="shared" si="13"/>
        <v>0</v>
      </c>
      <c r="CD134" s="39">
        <f t="shared" si="14"/>
        <v>0</v>
      </c>
      <c r="CE134" s="102">
        <f t="shared" si="15"/>
        <v>0</v>
      </c>
      <c r="CF134" s="36" t="s">
        <v>248</v>
      </c>
      <c r="CG134" s="39" t="s">
        <v>492</v>
      </c>
      <c r="CH134" s="39"/>
      <c r="CI134" s="25">
        <v>1</v>
      </c>
    </row>
    <row r="135" spans="1:87" ht="24.75" customHeight="1">
      <c r="A135" s="36" t="s">
        <v>50</v>
      </c>
      <c r="B135" s="26">
        <v>47562</v>
      </c>
      <c r="C135" s="227">
        <v>13246830</v>
      </c>
      <c r="D135" s="36"/>
      <c r="E135" s="39">
        <v>180</v>
      </c>
      <c r="F135" s="39" t="s">
        <v>54</v>
      </c>
      <c r="G135" s="36" t="s">
        <v>93</v>
      </c>
      <c r="H135" s="36" t="s">
        <v>22</v>
      </c>
      <c r="I135" s="39">
        <v>210</v>
      </c>
      <c r="J135" s="39">
        <v>75</v>
      </c>
      <c r="K135" s="39"/>
      <c r="L135" s="39">
        <f t="shared" ref="L135:L138" si="73">SUM(I135:K135)</f>
        <v>285</v>
      </c>
      <c r="M135" s="117">
        <v>46153</v>
      </c>
      <c r="N135" s="117">
        <v>46159</v>
      </c>
      <c r="O135" s="39"/>
      <c r="P135" s="39"/>
      <c r="Q135" s="39"/>
      <c r="R135" s="39">
        <f t="shared" si="51"/>
        <v>0</v>
      </c>
      <c r="S135" s="39" t="s">
        <v>130</v>
      </c>
      <c r="T135" s="39">
        <v>107577</v>
      </c>
      <c r="U135" s="117">
        <v>46212</v>
      </c>
      <c r="V135" s="39"/>
      <c r="W135" s="39"/>
      <c r="X135" s="39"/>
      <c r="Y135" s="39">
        <v>235</v>
      </c>
      <c r="Z135" s="39">
        <v>91</v>
      </c>
      <c r="AA135" s="39"/>
      <c r="AB135" s="119">
        <f t="shared" si="52"/>
        <v>326</v>
      </c>
      <c r="AC135" s="39"/>
      <c r="AD135" s="39"/>
      <c r="AE135" s="39"/>
      <c r="AF135" s="39"/>
      <c r="AG135" s="39"/>
      <c r="AH135" s="39">
        <f t="shared" si="3"/>
        <v>0</v>
      </c>
      <c r="AI135" s="39"/>
      <c r="AJ135" s="39"/>
      <c r="AK135" s="39"/>
      <c r="AL135" s="39"/>
      <c r="AM135" s="39"/>
      <c r="AN135" s="39">
        <f t="shared" si="4"/>
        <v>0</v>
      </c>
      <c r="AO135" s="39"/>
      <c r="AP135" s="39"/>
      <c r="AQ135" s="39"/>
      <c r="AR135" s="39"/>
      <c r="AS135" s="39"/>
      <c r="AT135" s="39">
        <f t="shared" si="5"/>
        <v>0</v>
      </c>
      <c r="AU135" s="39"/>
      <c r="AV135" s="39"/>
      <c r="AW135" s="39"/>
      <c r="AX135" s="39"/>
      <c r="AY135" s="39"/>
      <c r="AZ135" s="39">
        <f t="shared" si="6"/>
        <v>0</v>
      </c>
      <c r="BA135" s="39"/>
      <c r="BB135" s="39"/>
      <c r="BC135" s="39"/>
      <c r="BD135" s="39"/>
      <c r="BE135" s="39"/>
      <c r="BF135" s="39">
        <f t="shared" si="7"/>
        <v>0</v>
      </c>
      <c r="BG135" s="39"/>
      <c r="BH135" s="39"/>
      <c r="BI135" s="39"/>
      <c r="BJ135" s="39"/>
      <c r="BK135" s="39"/>
      <c r="BL135" s="39">
        <f t="shared" si="8"/>
        <v>0</v>
      </c>
      <c r="BM135" s="54" t="str">
        <f t="shared" si="9"/>
        <v/>
      </c>
      <c r="BN135" s="58">
        <v>46183</v>
      </c>
      <c r="BO135" s="57">
        <v>46195</v>
      </c>
      <c r="BP135" s="36"/>
      <c r="BQ135" s="36"/>
      <c r="BR135" s="229">
        <v>46214</v>
      </c>
      <c r="BS135" s="229">
        <v>46214</v>
      </c>
      <c r="BT135" s="39">
        <v>1598</v>
      </c>
      <c r="BU135" s="39">
        <v>212</v>
      </c>
      <c r="BV135" s="39">
        <v>1598</v>
      </c>
      <c r="BW135" s="39">
        <v>81</v>
      </c>
      <c r="BX135" s="39"/>
      <c r="BY135" s="39"/>
      <c r="BZ135" s="39">
        <f t="shared" si="10"/>
        <v>293</v>
      </c>
      <c r="CA135" s="39">
        <f t="shared" si="61"/>
        <v>2</v>
      </c>
      <c r="CB135" s="39">
        <f t="shared" si="12"/>
        <v>6</v>
      </c>
      <c r="CC135" s="39">
        <f t="shared" si="13"/>
        <v>0</v>
      </c>
      <c r="CD135" s="39">
        <f t="shared" si="14"/>
        <v>0</v>
      </c>
      <c r="CE135" s="102">
        <f t="shared" si="15"/>
        <v>0</v>
      </c>
      <c r="CF135" s="36" t="s">
        <v>248</v>
      </c>
      <c r="CG135" s="39" t="s">
        <v>492</v>
      </c>
      <c r="CH135" s="39"/>
      <c r="CI135" s="25">
        <v>1</v>
      </c>
    </row>
    <row r="136" spans="1:87" ht="24.75" customHeight="1">
      <c r="A136" s="36" t="s">
        <v>50</v>
      </c>
      <c r="B136" s="26">
        <v>47562</v>
      </c>
      <c r="C136" s="228"/>
      <c r="D136" s="36"/>
      <c r="E136" s="39"/>
      <c r="F136" s="39"/>
      <c r="G136" s="36" t="s">
        <v>476</v>
      </c>
      <c r="H136" s="36">
        <f>765+25</f>
        <v>790</v>
      </c>
      <c r="I136" s="39" t="s">
        <v>90</v>
      </c>
      <c r="J136" s="39"/>
      <c r="K136" s="39"/>
      <c r="L136" s="39">
        <f t="shared" si="73"/>
        <v>0</v>
      </c>
      <c r="M136" s="117">
        <v>46153</v>
      </c>
      <c r="N136" s="117">
        <v>46159</v>
      </c>
      <c r="O136" s="39"/>
      <c r="P136" s="39"/>
      <c r="Q136" s="39"/>
      <c r="R136" s="39">
        <f t="shared" si="51"/>
        <v>0</v>
      </c>
      <c r="S136" s="39" t="s">
        <v>130</v>
      </c>
      <c r="T136" s="39" t="s">
        <v>1686</v>
      </c>
      <c r="U136" s="117" t="s">
        <v>1653</v>
      </c>
      <c r="V136" s="39"/>
      <c r="W136" s="39"/>
      <c r="X136" s="39"/>
      <c r="Y136" s="39">
        <f>135+7</f>
        <v>142</v>
      </c>
      <c r="Z136" s="39"/>
      <c r="AA136" s="39"/>
      <c r="AB136" s="39">
        <f t="shared" si="52"/>
        <v>142</v>
      </c>
      <c r="AC136" s="39"/>
      <c r="AD136" s="39"/>
      <c r="AE136" s="39"/>
      <c r="AF136" s="39"/>
      <c r="AG136" s="39"/>
      <c r="AH136" s="39">
        <f t="shared" si="3"/>
        <v>0</v>
      </c>
      <c r="AI136" s="39"/>
      <c r="AJ136" s="39"/>
      <c r="AK136" s="39"/>
      <c r="AL136" s="39"/>
      <c r="AM136" s="39"/>
      <c r="AN136" s="39">
        <f t="shared" si="4"/>
        <v>0</v>
      </c>
      <c r="AO136" s="39"/>
      <c r="AP136" s="39"/>
      <c r="AQ136" s="39"/>
      <c r="AR136" s="39"/>
      <c r="AS136" s="39"/>
      <c r="AT136" s="39">
        <f t="shared" si="5"/>
        <v>0</v>
      </c>
      <c r="AU136" s="39"/>
      <c r="AV136" s="39"/>
      <c r="AW136" s="39"/>
      <c r="AX136" s="39"/>
      <c r="AY136" s="39"/>
      <c r="AZ136" s="39">
        <f t="shared" si="6"/>
        <v>0</v>
      </c>
      <c r="BA136" s="39"/>
      <c r="BB136" s="39"/>
      <c r="BC136" s="39"/>
      <c r="BD136" s="39"/>
      <c r="BE136" s="39"/>
      <c r="BF136" s="39">
        <f t="shared" si="7"/>
        <v>0</v>
      </c>
      <c r="BG136" s="39"/>
      <c r="BH136" s="39"/>
      <c r="BI136" s="39"/>
      <c r="BJ136" s="39"/>
      <c r="BK136" s="39"/>
      <c r="BL136" s="39">
        <f t="shared" si="8"/>
        <v>0</v>
      </c>
      <c r="BM136" s="54" t="e">
        <f t="shared" si="9"/>
        <v>#DIV/0!</v>
      </c>
      <c r="BN136" s="58">
        <v>46183</v>
      </c>
      <c r="BO136" s="57">
        <v>46195</v>
      </c>
      <c r="BP136" s="36"/>
      <c r="BQ136" s="36"/>
      <c r="BR136" s="230"/>
      <c r="BS136" s="230"/>
      <c r="BT136" s="39" t="s">
        <v>1715</v>
      </c>
      <c r="BU136" s="39"/>
      <c r="BV136" s="39"/>
      <c r="BW136" s="39"/>
      <c r="BX136" s="39"/>
      <c r="BY136" s="39"/>
      <c r="BZ136" s="39">
        <f t="shared" si="10"/>
        <v>0</v>
      </c>
      <c r="CA136" s="39" t="e">
        <f t="shared" si="61"/>
        <v>#VALUE!</v>
      </c>
      <c r="CB136" s="39">
        <f t="shared" si="12"/>
        <v>0</v>
      </c>
      <c r="CC136" s="39">
        <f t="shared" si="13"/>
        <v>0</v>
      </c>
      <c r="CD136" s="39">
        <f t="shared" si="14"/>
        <v>0</v>
      </c>
      <c r="CE136" s="102" t="e">
        <f t="shared" si="15"/>
        <v>#DIV/0!</v>
      </c>
      <c r="CF136" s="36" t="s">
        <v>248</v>
      </c>
      <c r="CG136" s="39" t="s">
        <v>492</v>
      </c>
      <c r="CH136" s="39"/>
      <c r="CI136" s="25">
        <v>1</v>
      </c>
    </row>
    <row r="137" spans="1:87" ht="24.75" customHeight="1">
      <c r="A137" s="36" t="s">
        <v>50</v>
      </c>
      <c r="B137" s="26">
        <v>47567</v>
      </c>
      <c r="C137" s="227">
        <v>13261576</v>
      </c>
      <c r="D137" s="36" t="s">
        <v>37</v>
      </c>
      <c r="E137" s="39">
        <v>200</v>
      </c>
      <c r="F137" s="39" t="s">
        <v>60</v>
      </c>
      <c r="G137" s="36" t="s">
        <v>564</v>
      </c>
      <c r="H137" s="36" t="s">
        <v>89</v>
      </c>
      <c r="I137" s="39">
        <v>120</v>
      </c>
      <c r="J137" s="39"/>
      <c r="K137" s="39"/>
      <c r="L137" s="39">
        <f t="shared" si="73"/>
        <v>120</v>
      </c>
      <c r="M137" s="117">
        <v>46158</v>
      </c>
      <c r="N137" s="117">
        <v>46164</v>
      </c>
      <c r="O137" s="39"/>
      <c r="P137" s="39"/>
      <c r="Q137" s="39"/>
      <c r="R137" s="39">
        <f t="shared" si="51"/>
        <v>0</v>
      </c>
      <c r="S137" s="39" t="s">
        <v>130</v>
      </c>
      <c r="T137" s="39" t="s">
        <v>1620</v>
      </c>
      <c r="U137" s="117" t="s">
        <v>1621</v>
      </c>
      <c r="V137" s="39"/>
      <c r="W137" s="39"/>
      <c r="X137" s="39"/>
      <c r="Y137" s="39">
        <f>146+148</f>
        <v>294</v>
      </c>
      <c r="Z137" s="39"/>
      <c r="AA137" s="39"/>
      <c r="AB137" s="119">
        <f t="shared" si="52"/>
        <v>294</v>
      </c>
      <c r="AC137" s="39" t="s">
        <v>139</v>
      </c>
      <c r="AD137" s="117" t="s">
        <v>1627</v>
      </c>
      <c r="AE137" s="39">
        <f>125+130</f>
        <v>255</v>
      </c>
      <c r="AF137" s="117">
        <v>46219</v>
      </c>
      <c r="AG137" s="39">
        <f>128</f>
        <v>128</v>
      </c>
      <c r="AH137" s="39">
        <f t="shared" si="3"/>
        <v>-127</v>
      </c>
      <c r="AI137" s="39"/>
      <c r="AJ137" s="39"/>
      <c r="AK137" s="39"/>
      <c r="AL137" s="39"/>
      <c r="AM137" s="39"/>
      <c r="AN137" s="39">
        <f t="shared" si="4"/>
        <v>0</v>
      </c>
      <c r="AO137" s="39"/>
      <c r="AP137" s="39"/>
      <c r="AQ137" s="39"/>
      <c r="AR137" s="39"/>
      <c r="AS137" s="39"/>
      <c r="AT137" s="39">
        <f t="shared" si="5"/>
        <v>0</v>
      </c>
      <c r="AU137" s="39"/>
      <c r="AV137" s="39"/>
      <c r="AW137" s="39"/>
      <c r="AX137" s="39"/>
      <c r="AY137" s="39"/>
      <c r="AZ137" s="39">
        <f t="shared" si="6"/>
        <v>0</v>
      </c>
      <c r="BA137" s="39"/>
      <c r="BB137" s="39"/>
      <c r="BC137" s="39"/>
      <c r="BD137" s="39"/>
      <c r="BE137" s="39"/>
      <c r="BF137" s="39">
        <f t="shared" si="7"/>
        <v>0</v>
      </c>
      <c r="BG137" s="39"/>
      <c r="BH137" s="39"/>
      <c r="BI137" s="39"/>
      <c r="BJ137" s="39"/>
      <c r="BK137" s="39"/>
      <c r="BL137" s="39">
        <f t="shared" si="8"/>
        <v>0</v>
      </c>
      <c r="BM137" s="54" t="str">
        <f t="shared" si="9"/>
        <v/>
      </c>
      <c r="BN137" s="58">
        <v>46181</v>
      </c>
      <c r="BO137" s="57">
        <v>46191</v>
      </c>
      <c r="BP137" s="57">
        <v>46193</v>
      </c>
      <c r="BQ137" s="57">
        <v>46198</v>
      </c>
      <c r="BR137" s="229">
        <v>46213</v>
      </c>
      <c r="BS137" s="229">
        <v>46220</v>
      </c>
      <c r="BT137" s="39">
        <v>2237</v>
      </c>
      <c r="BU137" s="39">
        <v>128</v>
      </c>
      <c r="BV137" s="39"/>
      <c r="BW137" s="39"/>
      <c r="BX137" s="39"/>
      <c r="BY137" s="39"/>
      <c r="BZ137" s="39">
        <f t="shared" si="10"/>
        <v>128</v>
      </c>
      <c r="CA137" s="39">
        <f t="shared" si="61"/>
        <v>8</v>
      </c>
      <c r="CB137" s="39">
        <f t="shared" si="12"/>
        <v>0</v>
      </c>
      <c r="CC137" s="39">
        <f t="shared" si="13"/>
        <v>0</v>
      </c>
      <c r="CD137" s="39">
        <f t="shared" si="14"/>
        <v>0</v>
      </c>
      <c r="CE137" s="102">
        <f t="shared" si="15"/>
        <v>0</v>
      </c>
      <c r="CF137" s="36" t="s">
        <v>248</v>
      </c>
      <c r="CG137" s="39" t="s">
        <v>492</v>
      </c>
      <c r="CH137" s="39"/>
      <c r="CI137" s="25">
        <v>1</v>
      </c>
    </row>
    <row r="138" spans="1:87" ht="24.75" customHeight="1">
      <c r="A138" s="36" t="s">
        <v>50</v>
      </c>
      <c r="B138" s="26">
        <v>47567</v>
      </c>
      <c r="C138" s="228"/>
      <c r="D138" s="36" t="s">
        <v>37</v>
      </c>
      <c r="E138" s="39">
        <v>200</v>
      </c>
      <c r="F138" s="39" t="s">
        <v>60</v>
      </c>
      <c r="G138" s="36" t="s">
        <v>701</v>
      </c>
      <c r="H138" s="36" t="s">
        <v>89</v>
      </c>
      <c r="I138" s="39">
        <v>293</v>
      </c>
      <c r="J138" s="39"/>
      <c r="K138" s="39"/>
      <c r="L138" s="39">
        <f t="shared" si="73"/>
        <v>293</v>
      </c>
      <c r="M138" s="117">
        <v>46158</v>
      </c>
      <c r="N138" s="117">
        <v>46164</v>
      </c>
      <c r="O138" s="39"/>
      <c r="P138" s="39"/>
      <c r="Q138" s="39"/>
      <c r="R138" s="39">
        <f t="shared" si="51"/>
        <v>0</v>
      </c>
      <c r="S138" s="39" t="s">
        <v>326</v>
      </c>
      <c r="T138" s="39"/>
      <c r="U138" s="39"/>
      <c r="V138" s="117" t="s">
        <v>981</v>
      </c>
      <c r="W138" s="39">
        <f>227+102</f>
        <v>329</v>
      </c>
      <c r="X138" s="117">
        <v>46192</v>
      </c>
      <c r="Y138" s="39">
        <v>298</v>
      </c>
      <c r="Z138" s="39"/>
      <c r="AA138" s="39"/>
      <c r="AB138" s="119">
        <f t="shared" si="52"/>
        <v>298</v>
      </c>
      <c r="AC138" s="39" t="s">
        <v>139</v>
      </c>
      <c r="AD138" s="117">
        <v>46196</v>
      </c>
      <c r="AE138" s="39">
        <v>297</v>
      </c>
      <c r="AF138" s="117">
        <v>46212</v>
      </c>
      <c r="AG138" s="39">
        <v>291</v>
      </c>
      <c r="AH138" s="39">
        <f t="shared" si="3"/>
        <v>-6</v>
      </c>
      <c r="AI138" s="39"/>
      <c r="AJ138" s="39"/>
      <c r="AK138" s="39"/>
      <c r="AL138" s="39"/>
      <c r="AM138" s="39"/>
      <c r="AN138" s="39">
        <f t="shared" si="4"/>
        <v>0</v>
      </c>
      <c r="AO138" s="39"/>
      <c r="AP138" s="39"/>
      <c r="AQ138" s="39"/>
      <c r="AR138" s="39"/>
      <c r="AS138" s="39"/>
      <c r="AT138" s="39">
        <f t="shared" si="5"/>
        <v>0</v>
      </c>
      <c r="AU138" s="39"/>
      <c r="AV138" s="39"/>
      <c r="AW138" s="39"/>
      <c r="AX138" s="39"/>
      <c r="AY138" s="39"/>
      <c r="AZ138" s="39">
        <f t="shared" si="6"/>
        <v>0</v>
      </c>
      <c r="BA138" s="39"/>
      <c r="BB138" s="39"/>
      <c r="BC138" s="39"/>
      <c r="BD138" s="39"/>
      <c r="BE138" s="39"/>
      <c r="BF138" s="39">
        <f t="shared" si="7"/>
        <v>0</v>
      </c>
      <c r="BG138" s="39"/>
      <c r="BH138" s="39"/>
      <c r="BI138" s="39"/>
      <c r="BJ138" s="39"/>
      <c r="BK138" s="39"/>
      <c r="BL138" s="39">
        <f t="shared" si="8"/>
        <v>0</v>
      </c>
      <c r="BM138" s="54" t="str">
        <f t="shared" si="9"/>
        <v/>
      </c>
      <c r="BN138" s="58">
        <v>46181</v>
      </c>
      <c r="BO138" s="57">
        <v>46191</v>
      </c>
      <c r="BP138" s="57">
        <v>46193</v>
      </c>
      <c r="BQ138" s="57">
        <v>46198</v>
      </c>
      <c r="BR138" s="230"/>
      <c r="BS138" s="230"/>
      <c r="BT138" s="39">
        <v>2228</v>
      </c>
      <c r="BU138" s="39">
        <v>290</v>
      </c>
      <c r="BV138" s="39"/>
      <c r="BW138" s="39"/>
      <c r="BX138" s="39"/>
      <c r="BY138" s="39"/>
      <c r="BZ138" s="39">
        <f t="shared" si="10"/>
        <v>290</v>
      </c>
      <c r="CA138" s="39">
        <f t="shared" si="61"/>
        <v>-3</v>
      </c>
      <c r="CB138" s="39">
        <f t="shared" si="12"/>
        <v>0</v>
      </c>
      <c r="CC138" s="39">
        <f t="shared" si="13"/>
        <v>0</v>
      </c>
      <c r="CD138" s="39">
        <v>0</v>
      </c>
      <c r="CE138" s="102">
        <f t="shared" si="15"/>
        <v>0</v>
      </c>
      <c r="CF138" s="36" t="s">
        <v>248</v>
      </c>
      <c r="CG138" s="39" t="s">
        <v>492</v>
      </c>
      <c r="CH138" s="39"/>
      <c r="CI138" s="25">
        <v>1</v>
      </c>
    </row>
    <row r="139" spans="1:87" ht="33.75" customHeight="1">
      <c r="A139" s="36" t="s">
        <v>50</v>
      </c>
      <c r="B139" s="26">
        <v>47568</v>
      </c>
      <c r="C139" s="36">
        <v>13261578</v>
      </c>
      <c r="D139" s="36" t="s">
        <v>37</v>
      </c>
      <c r="E139" s="39">
        <v>200</v>
      </c>
      <c r="F139" s="39" t="s">
        <v>60</v>
      </c>
      <c r="G139" s="36" t="s">
        <v>701</v>
      </c>
      <c r="H139" s="36" t="s">
        <v>89</v>
      </c>
      <c r="I139" s="39">
        <v>121</v>
      </c>
      <c r="J139" s="39"/>
      <c r="K139" s="39"/>
      <c r="L139" s="39">
        <f t="shared" ref="L139:L150" si="74">SUM(I139:K139)</f>
        <v>121</v>
      </c>
      <c r="M139" s="117">
        <v>46154</v>
      </c>
      <c r="N139" s="117">
        <v>46159</v>
      </c>
      <c r="O139" s="39"/>
      <c r="P139" s="39"/>
      <c r="Q139" s="39"/>
      <c r="R139" s="39">
        <f t="shared" si="51"/>
        <v>0</v>
      </c>
      <c r="S139" s="39" t="s">
        <v>326</v>
      </c>
      <c r="T139" s="39"/>
      <c r="U139" s="39"/>
      <c r="V139" s="117">
        <v>46162</v>
      </c>
      <c r="W139" s="39">
        <v>148</v>
      </c>
      <c r="X139" s="117">
        <v>46192</v>
      </c>
      <c r="Y139" s="39">
        <v>132</v>
      </c>
      <c r="Z139" s="39"/>
      <c r="AA139" s="39"/>
      <c r="AB139" s="119">
        <f t="shared" si="52"/>
        <v>132</v>
      </c>
      <c r="AC139" s="39" t="s">
        <v>139</v>
      </c>
      <c r="AD139" s="117">
        <v>46196</v>
      </c>
      <c r="AE139" s="39">
        <v>131</v>
      </c>
      <c r="AF139" s="117">
        <v>46212</v>
      </c>
      <c r="AG139" s="39">
        <v>133</v>
      </c>
      <c r="AH139" s="39">
        <f t="shared" si="3"/>
        <v>2</v>
      </c>
      <c r="AI139" s="39"/>
      <c r="AJ139" s="39"/>
      <c r="AK139" s="39"/>
      <c r="AL139" s="39"/>
      <c r="AM139" s="39"/>
      <c r="AN139" s="39">
        <f t="shared" si="4"/>
        <v>0</v>
      </c>
      <c r="AO139" s="39"/>
      <c r="AP139" s="39"/>
      <c r="AQ139" s="39"/>
      <c r="AR139" s="39"/>
      <c r="AS139" s="39"/>
      <c r="AT139" s="39">
        <f t="shared" si="5"/>
        <v>0</v>
      </c>
      <c r="AU139" s="39"/>
      <c r="AV139" s="39"/>
      <c r="AW139" s="39"/>
      <c r="AX139" s="39"/>
      <c r="AY139" s="39"/>
      <c r="AZ139" s="39">
        <f t="shared" si="6"/>
        <v>0</v>
      </c>
      <c r="BA139" s="39"/>
      <c r="BB139" s="39"/>
      <c r="BC139" s="39"/>
      <c r="BD139" s="39"/>
      <c r="BE139" s="39"/>
      <c r="BF139" s="39">
        <f t="shared" si="7"/>
        <v>0</v>
      </c>
      <c r="BG139" s="39"/>
      <c r="BH139" s="39"/>
      <c r="BI139" s="39"/>
      <c r="BJ139" s="39"/>
      <c r="BK139" s="39"/>
      <c r="BL139" s="39">
        <f t="shared" si="8"/>
        <v>0</v>
      </c>
      <c r="BM139" s="54" t="str">
        <f t="shared" si="9"/>
        <v/>
      </c>
      <c r="BN139" s="58">
        <v>46179</v>
      </c>
      <c r="BO139" s="57">
        <v>46189</v>
      </c>
      <c r="BP139" s="57">
        <v>46191</v>
      </c>
      <c r="BQ139" s="57">
        <v>46197</v>
      </c>
      <c r="BR139" s="50">
        <v>46213</v>
      </c>
      <c r="BS139" s="50">
        <v>46213</v>
      </c>
      <c r="BT139" s="39">
        <v>2228</v>
      </c>
      <c r="BU139" s="39">
        <v>132</v>
      </c>
      <c r="BV139" s="39"/>
      <c r="BW139" s="39"/>
      <c r="BX139" s="39"/>
      <c r="BY139" s="39"/>
      <c r="BZ139" s="39">
        <f t="shared" si="10"/>
        <v>132</v>
      </c>
      <c r="CA139" s="39">
        <f t="shared" si="61"/>
        <v>11</v>
      </c>
      <c r="CB139" s="39">
        <f t="shared" si="12"/>
        <v>0</v>
      </c>
      <c r="CC139" s="39">
        <f t="shared" si="13"/>
        <v>0</v>
      </c>
      <c r="CD139" s="39">
        <f t="shared" si="14"/>
        <v>0</v>
      </c>
      <c r="CE139" s="102">
        <f t="shared" si="15"/>
        <v>0</v>
      </c>
      <c r="CF139" s="36" t="s">
        <v>248</v>
      </c>
      <c r="CG139" s="39" t="s">
        <v>492</v>
      </c>
      <c r="CH139" s="39"/>
      <c r="CI139" s="25">
        <v>1</v>
      </c>
    </row>
    <row r="140" spans="1:87" ht="33.75" customHeight="1">
      <c r="A140" s="36" t="s">
        <v>50</v>
      </c>
      <c r="B140" s="26">
        <v>47569</v>
      </c>
      <c r="C140" s="36">
        <v>13262050</v>
      </c>
      <c r="D140" s="36" t="s">
        <v>37</v>
      </c>
      <c r="E140" s="39">
        <v>180</v>
      </c>
      <c r="F140" s="39" t="s">
        <v>55</v>
      </c>
      <c r="G140" s="36" t="s">
        <v>677</v>
      </c>
      <c r="H140" s="36" t="s">
        <v>87</v>
      </c>
      <c r="I140" s="39">
        <v>186</v>
      </c>
      <c r="J140" s="39"/>
      <c r="K140" s="39"/>
      <c r="L140" s="39">
        <f t="shared" si="74"/>
        <v>186</v>
      </c>
      <c r="M140" s="117">
        <v>46154</v>
      </c>
      <c r="N140" s="117">
        <v>46157</v>
      </c>
      <c r="O140" s="39"/>
      <c r="P140" s="39"/>
      <c r="Q140" s="39"/>
      <c r="R140" s="39">
        <f t="shared" si="51"/>
        <v>0</v>
      </c>
      <c r="S140" s="39" t="s">
        <v>270</v>
      </c>
      <c r="T140" s="39"/>
      <c r="U140" s="39"/>
      <c r="V140" s="117">
        <v>46162</v>
      </c>
      <c r="W140" s="39">
        <v>223</v>
      </c>
      <c r="X140" s="117">
        <v>46188</v>
      </c>
      <c r="Y140" s="39">
        <v>206</v>
      </c>
      <c r="Z140" s="39"/>
      <c r="AA140" s="39"/>
      <c r="AB140" s="119">
        <f t="shared" si="52"/>
        <v>206</v>
      </c>
      <c r="AC140" s="39" t="s">
        <v>139</v>
      </c>
      <c r="AD140" s="117">
        <v>46196</v>
      </c>
      <c r="AE140" s="39">
        <v>186</v>
      </c>
      <c r="AF140" s="117">
        <v>46217</v>
      </c>
      <c r="AG140" s="39">
        <v>180</v>
      </c>
      <c r="AH140" s="39">
        <f t="shared" si="3"/>
        <v>-6</v>
      </c>
      <c r="AI140" s="39"/>
      <c r="AJ140" s="39"/>
      <c r="AK140" s="39"/>
      <c r="AL140" s="39"/>
      <c r="AM140" s="39"/>
      <c r="AN140" s="39">
        <f t="shared" si="4"/>
        <v>0</v>
      </c>
      <c r="AO140" s="39"/>
      <c r="AP140" s="39"/>
      <c r="AQ140" s="39"/>
      <c r="AR140" s="39"/>
      <c r="AS140" s="39"/>
      <c r="AT140" s="39">
        <f t="shared" si="5"/>
        <v>0</v>
      </c>
      <c r="AU140" s="39"/>
      <c r="AV140" s="39"/>
      <c r="AW140" s="39"/>
      <c r="AX140" s="39"/>
      <c r="AY140" s="39"/>
      <c r="AZ140" s="39">
        <f t="shared" si="6"/>
        <v>0</v>
      </c>
      <c r="BA140" s="39"/>
      <c r="BB140" s="39"/>
      <c r="BC140" s="39"/>
      <c r="BD140" s="39"/>
      <c r="BE140" s="39"/>
      <c r="BF140" s="39">
        <f t="shared" si="7"/>
        <v>0</v>
      </c>
      <c r="BG140" s="39"/>
      <c r="BH140" s="39"/>
      <c r="BI140" s="39"/>
      <c r="BJ140" s="39"/>
      <c r="BK140" s="39"/>
      <c r="BL140" s="39">
        <f t="shared" si="8"/>
        <v>0</v>
      </c>
      <c r="BM140" s="54" t="str">
        <f t="shared" si="9"/>
        <v/>
      </c>
      <c r="BN140" s="58">
        <v>46179</v>
      </c>
      <c r="BO140" s="57">
        <v>46189</v>
      </c>
      <c r="BP140" s="57">
        <v>46191</v>
      </c>
      <c r="BQ140" s="57">
        <v>46197</v>
      </c>
      <c r="BR140" s="50">
        <v>46218</v>
      </c>
      <c r="BS140" s="50">
        <v>46218</v>
      </c>
      <c r="BT140" s="39" t="s">
        <v>1969</v>
      </c>
      <c r="BU140" s="39">
        <f>177+30</f>
        <v>207</v>
      </c>
      <c r="BV140" s="39"/>
      <c r="BW140" s="39"/>
      <c r="BX140" s="39"/>
      <c r="BY140" s="39"/>
      <c r="BZ140" s="39">
        <f t="shared" si="10"/>
        <v>207</v>
      </c>
      <c r="CA140" s="39">
        <f t="shared" si="61"/>
        <v>21</v>
      </c>
      <c r="CB140" s="39">
        <f t="shared" si="12"/>
        <v>0</v>
      </c>
      <c r="CC140" s="39">
        <f t="shared" si="13"/>
        <v>0</v>
      </c>
      <c r="CD140" s="39">
        <f t="shared" si="14"/>
        <v>0</v>
      </c>
      <c r="CE140" s="102">
        <f t="shared" si="15"/>
        <v>0</v>
      </c>
      <c r="CF140" s="36" t="s">
        <v>248</v>
      </c>
      <c r="CG140" s="39" t="s">
        <v>492</v>
      </c>
      <c r="CH140" s="39"/>
      <c r="CI140" s="25">
        <v>1</v>
      </c>
    </row>
    <row r="141" spans="1:87" ht="33.75" customHeight="1">
      <c r="A141" s="36" t="s">
        <v>50</v>
      </c>
      <c r="B141" s="26">
        <v>47570</v>
      </c>
      <c r="C141" s="36">
        <v>13262051</v>
      </c>
      <c r="D141" s="36" t="s">
        <v>37</v>
      </c>
      <c r="E141" s="39">
        <v>180</v>
      </c>
      <c r="F141" s="39" t="s">
        <v>55</v>
      </c>
      <c r="G141" s="36" t="s">
        <v>481</v>
      </c>
      <c r="H141" s="36" t="s">
        <v>87</v>
      </c>
      <c r="I141" s="39">
        <v>203</v>
      </c>
      <c r="J141" s="39"/>
      <c r="K141" s="39"/>
      <c r="L141" s="39">
        <f t="shared" si="74"/>
        <v>203</v>
      </c>
      <c r="M141" s="117">
        <v>46157</v>
      </c>
      <c r="N141" s="117">
        <v>46162</v>
      </c>
      <c r="O141" s="39"/>
      <c r="P141" s="39"/>
      <c r="Q141" s="39"/>
      <c r="R141" s="39">
        <f t="shared" si="51"/>
        <v>0</v>
      </c>
      <c r="S141" s="39" t="s">
        <v>326</v>
      </c>
      <c r="T141" s="39"/>
      <c r="U141" s="39"/>
      <c r="V141" s="117">
        <v>46162</v>
      </c>
      <c r="W141" s="39">
        <v>234</v>
      </c>
      <c r="X141" s="117" t="s">
        <v>1190</v>
      </c>
      <c r="Y141" s="39">
        <f>169+32</f>
        <v>201</v>
      </c>
      <c r="Z141" s="39"/>
      <c r="AA141" s="39"/>
      <c r="AB141" s="119">
        <f t="shared" si="52"/>
        <v>201</v>
      </c>
      <c r="AC141" s="39" t="s">
        <v>139</v>
      </c>
      <c r="AD141" s="117" t="s">
        <v>1891</v>
      </c>
      <c r="AE141" s="39">
        <f>203+22</f>
        <v>225</v>
      </c>
      <c r="AF141" s="117" t="s">
        <v>1954</v>
      </c>
      <c r="AG141" s="39">
        <f>190+21</f>
        <v>211</v>
      </c>
      <c r="AH141" s="39">
        <f t="shared" si="3"/>
        <v>-14</v>
      </c>
      <c r="AI141" s="39"/>
      <c r="AJ141" s="39"/>
      <c r="AK141" s="39"/>
      <c r="AL141" s="39"/>
      <c r="AM141" s="39"/>
      <c r="AN141" s="39">
        <f t="shared" si="4"/>
        <v>0</v>
      </c>
      <c r="AO141" s="39"/>
      <c r="AP141" s="39"/>
      <c r="AQ141" s="39"/>
      <c r="AR141" s="39"/>
      <c r="AS141" s="39"/>
      <c r="AT141" s="39">
        <f t="shared" si="5"/>
        <v>0</v>
      </c>
      <c r="AU141" s="39"/>
      <c r="AV141" s="39"/>
      <c r="AW141" s="39"/>
      <c r="AX141" s="39"/>
      <c r="AY141" s="39"/>
      <c r="AZ141" s="39">
        <f t="shared" si="6"/>
        <v>0</v>
      </c>
      <c r="BA141" s="39"/>
      <c r="BB141" s="39"/>
      <c r="BC141" s="39"/>
      <c r="BD141" s="39"/>
      <c r="BE141" s="39"/>
      <c r="BF141" s="39">
        <f t="shared" si="7"/>
        <v>0</v>
      </c>
      <c r="BG141" s="39"/>
      <c r="BH141" s="39"/>
      <c r="BI141" s="39"/>
      <c r="BJ141" s="39"/>
      <c r="BK141" s="39"/>
      <c r="BL141" s="39">
        <f t="shared" si="8"/>
        <v>0</v>
      </c>
      <c r="BM141" s="54" t="str">
        <f t="shared" si="9"/>
        <v/>
      </c>
      <c r="BN141" s="58">
        <v>46183</v>
      </c>
      <c r="BO141" s="57">
        <v>46195</v>
      </c>
      <c r="BP141" s="57">
        <v>46197</v>
      </c>
      <c r="BQ141" s="57">
        <v>46203</v>
      </c>
      <c r="BR141" s="50">
        <v>46224</v>
      </c>
      <c r="BS141" s="50">
        <v>46230</v>
      </c>
      <c r="BT141" s="39" t="s">
        <v>1968</v>
      </c>
      <c r="BU141" s="39">
        <f>188+21</f>
        <v>209</v>
      </c>
      <c r="BV141" s="39"/>
      <c r="BW141" s="39"/>
      <c r="BX141" s="39"/>
      <c r="BY141" s="39"/>
      <c r="BZ141" s="39">
        <f t="shared" si="10"/>
        <v>209</v>
      </c>
      <c r="CA141" s="39">
        <f t="shared" si="61"/>
        <v>6</v>
      </c>
      <c r="CB141" s="39">
        <f t="shared" si="12"/>
        <v>0</v>
      </c>
      <c r="CC141" s="39">
        <f t="shared" si="13"/>
        <v>0</v>
      </c>
      <c r="CD141" s="39">
        <f t="shared" si="14"/>
        <v>0</v>
      </c>
      <c r="CE141" s="102">
        <f t="shared" si="15"/>
        <v>0</v>
      </c>
      <c r="CF141" s="36" t="s">
        <v>248</v>
      </c>
      <c r="CG141" s="39" t="s">
        <v>492</v>
      </c>
      <c r="CH141" s="39"/>
      <c r="CI141" s="25">
        <v>1</v>
      </c>
    </row>
    <row r="142" spans="1:87" ht="24.75" customHeight="1">
      <c r="A142" s="36" t="s">
        <v>50</v>
      </c>
      <c r="B142" s="26">
        <v>47571</v>
      </c>
      <c r="C142" s="227">
        <v>13261605</v>
      </c>
      <c r="D142" s="36"/>
      <c r="E142" s="39">
        <v>180</v>
      </c>
      <c r="F142" s="39" t="s">
        <v>55</v>
      </c>
      <c r="G142" s="36" t="s">
        <v>637</v>
      </c>
      <c r="H142" s="36" t="s">
        <v>403</v>
      </c>
      <c r="I142" s="39">
        <v>70</v>
      </c>
      <c r="J142" s="39">
        <v>9</v>
      </c>
      <c r="K142" s="39"/>
      <c r="L142" s="39">
        <f t="shared" ref="L142:L145" si="75">SUM(I142:K142)</f>
        <v>79</v>
      </c>
      <c r="M142" s="117">
        <v>46154</v>
      </c>
      <c r="N142" s="117">
        <v>46159</v>
      </c>
      <c r="O142" s="39"/>
      <c r="P142" s="39"/>
      <c r="Q142" s="39"/>
      <c r="R142" s="39">
        <f t="shared" si="51"/>
        <v>0</v>
      </c>
      <c r="S142" s="39" t="s">
        <v>28</v>
      </c>
      <c r="T142" s="39"/>
      <c r="U142" s="39"/>
      <c r="V142" s="117">
        <v>46190</v>
      </c>
      <c r="W142" s="39">
        <f>89+12</f>
        <v>101</v>
      </c>
      <c r="X142" s="117">
        <v>46209</v>
      </c>
      <c r="Y142" s="39">
        <v>80</v>
      </c>
      <c r="Z142" s="39">
        <v>11</v>
      </c>
      <c r="AA142" s="39"/>
      <c r="AB142" s="119">
        <f t="shared" si="52"/>
        <v>91</v>
      </c>
      <c r="AC142" s="39"/>
      <c r="AD142" s="39"/>
      <c r="AE142" s="39"/>
      <c r="AF142" s="39"/>
      <c r="AG142" s="39"/>
      <c r="AH142" s="39">
        <f t="shared" si="3"/>
        <v>0</v>
      </c>
      <c r="AI142" s="39"/>
      <c r="AJ142" s="39"/>
      <c r="AK142" s="39"/>
      <c r="AL142" s="39"/>
      <c r="AM142" s="39"/>
      <c r="AN142" s="39">
        <f t="shared" si="4"/>
        <v>0</v>
      </c>
      <c r="AO142" s="39"/>
      <c r="AP142" s="39"/>
      <c r="AQ142" s="39"/>
      <c r="AR142" s="39"/>
      <c r="AS142" s="39"/>
      <c r="AT142" s="39">
        <f t="shared" si="5"/>
        <v>0</v>
      </c>
      <c r="AU142" s="39"/>
      <c r="AV142" s="39"/>
      <c r="AW142" s="39"/>
      <c r="AX142" s="39"/>
      <c r="AY142" s="39"/>
      <c r="AZ142" s="39">
        <f t="shared" si="6"/>
        <v>0</v>
      </c>
      <c r="BA142" s="39"/>
      <c r="BB142" s="39"/>
      <c r="BC142" s="39"/>
      <c r="BD142" s="39"/>
      <c r="BE142" s="39"/>
      <c r="BF142" s="39">
        <f t="shared" si="7"/>
        <v>0</v>
      </c>
      <c r="BG142" s="39"/>
      <c r="BH142" s="39"/>
      <c r="BI142" s="39"/>
      <c r="BJ142" s="39"/>
      <c r="BK142" s="39"/>
      <c r="BL142" s="39">
        <f t="shared" si="8"/>
        <v>0</v>
      </c>
      <c r="BM142" s="54" t="str">
        <f t="shared" si="9"/>
        <v/>
      </c>
      <c r="BN142" s="58">
        <v>46179</v>
      </c>
      <c r="BO142" s="57">
        <v>46188</v>
      </c>
      <c r="BP142" s="36"/>
      <c r="BQ142" s="36"/>
      <c r="BR142" s="229">
        <v>46209</v>
      </c>
      <c r="BS142" s="229">
        <v>46210</v>
      </c>
      <c r="BT142" s="39">
        <v>1522</v>
      </c>
      <c r="BU142" s="39">
        <v>80</v>
      </c>
      <c r="BV142" s="39">
        <v>1522</v>
      </c>
      <c r="BW142" s="39">
        <v>11</v>
      </c>
      <c r="BX142" s="39"/>
      <c r="BY142" s="39"/>
      <c r="BZ142" s="39">
        <f t="shared" si="10"/>
        <v>91</v>
      </c>
      <c r="CA142" s="39">
        <f t="shared" si="61"/>
        <v>10</v>
      </c>
      <c r="CB142" s="39">
        <f t="shared" si="12"/>
        <v>2</v>
      </c>
      <c r="CC142" s="39">
        <f t="shared" si="13"/>
        <v>0</v>
      </c>
      <c r="CD142" s="39">
        <f t="shared" si="14"/>
        <v>0</v>
      </c>
      <c r="CE142" s="102">
        <f t="shared" si="15"/>
        <v>0</v>
      </c>
      <c r="CF142" s="36" t="s">
        <v>248</v>
      </c>
      <c r="CG142" s="39" t="s">
        <v>492</v>
      </c>
      <c r="CH142" s="39"/>
      <c r="CI142" s="25">
        <v>1</v>
      </c>
    </row>
    <row r="143" spans="1:87" ht="24.75" customHeight="1">
      <c r="A143" s="36" t="s">
        <v>50</v>
      </c>
      <c r="B143" s="26">
        <v>47571</v>
      </c>
      <c r="C143" s="228"/>
      <c r="D143" s="36"/>
      <c r="E143" s="39">
        <v>180</v>
      </c>
      <c r="F143" s="39" t="s">
        <v>55</v>
      </c>
      <c r="G143" s="36" t="s">
        <v>491</v>
      </c>
      <c r="H143" s="36" t="s">
        <v>403</v>
      </c>
      <c r="I143" s="39">
        <v>65</v>
      </c>
      <c r="J143" s="39">
        <v>8</v>
      </c>
      <c r="K143" s="39"/>
      <c r="L143" s="39">
        <f t="shared" si="75"/>
        <v>73</v>
      </c>
      <c r="M143" s="117">
        <v>46154</v>
      </c>
      <c r="N143" s="117">
        <v>46159</v>
      </c>
      <c r="O143" s="39"/>
      <c r="P143" s="39"/>
      <c r="Q143" s="39"/>
      <c r="R143" s="39">
        <f t="shared" si="51"/>
        <v>0</v>
      </c>
      <c r="S143" s="39" t="s">
        <v>130</v>
      </c>
      <c r="T143" s="39">
        <v>107132</v>
      </c>
      <c r="U143" s="117">
        <v>46206</v>
      </c>
      <c r="V143" s="39"/>
      <c r="W143" s="39"/>
      <c r="X143" s="39"/>
      <c r="Y143" s="39">
        <v>83</v>
      </c>
      <c r="Z143" s="39">
        <v>10</v>
      </c>
      <c r="AA143" s="39"/>
      <c r="AB143" s="119">
        <f t="shared" si="52"/>
        <v>93</v>
      </c>
      <c r="AC143" s="39"/>
      <c r="AD143" s="39"/>
      <c r="AE143" s="39"/>
      <c r="AF143" s="39"/>
      <c r="AG143" s="39"/>
      <c r="AH143" s="39">
        <f t="shared" si="3"/>
        <v>0</v>
      </c>
      <c r="AI143" s="39"/>
      <c r="AJ143" s="39"/>
      <c r="AK143" s="39"/>
      <c r="AL143" s="39"/>
      <c r="AM143" s="39"/>
      <c r="AN143" s="39">
        <f t="shared" si="4"/>
        <v>0</v>
      </c>
      <c r="AO143" s="39"/>
      <c r="AP143" s="39"/>
      <c r="AQ143" s="39"/>
      <c r="AR143" s="39"/>
      <c r="AS143" s="39"/>
      <c r="AT143" s="39">
        <f t="shared" si="5"/>
        <v>0</v>
      </c>
      <c r="AU143" s="39"/>
      <c r="AV143" s="39"/>
      <c r="AW143" s="39"/>
      <c r="AX143" s="39"/>
      <c r="AY143" s="39"/>
      <c r="AZ143" s="39">
        <f t="shared" si="6"/>
        <v>0</v>
      </c>
      <c r="BA143" s="39"/>
      <c r="BB143" s="39"/>
      <c r="BC143" s="39"/>
      <c r="BD143" s="39"/>
      <c r="BE143" s="39"/>
      <c r="BF143" s="39">
        <f t="shared" si="7"/>
        <v>0</v>
      </c>
      <c r="BG143" s="39"/>
      <c r="BH143" s="39"/>
      <c r="BI143" s="39"/>
      <c r="BJ143" s="39"/>
      <c r="BK143" s="39"/>
      <c r="BL143" s="39">
        <f t="shared" si="8"/>
        <v>0</v>
      </c>
      <c r="BM143" s="54" t="str">
        <f t="shared" si="9"/>
        <v/>
      </c>
      <c r="BN143" s="58">
        <v>46179</v>
      </c>
      <c r="BO143" s="57">
        <v>46188</v>
      </c>
      <c r="BP143" s="36"/>
      <c r="BQ143" s="36"/>
      <c r="BR143" s="230"/>
      <c r="BS143" s="230"/>
      <c r="BT143" s="39">
        <v>1568</v>
      </c>
      <c r="BU143" s="39">
        <v>75</v>
      </c>
      <c r="BV143" s="39">
        <v>1568</v>
      </c>
      <c r="BW143" s="39">
        <v>9</v>
      </c>
      <c r="BX143" s="39"/>
      <c r="BY143" s="39"/>
      <c r="BZ143" s="39">
        <f t="shared" si="10"/>
        <v>84</v>
      </c>
      <c r="CA143" s="39">
        <f t="shared" si="61"/>
        <v>10</v>
      </c>
      <c r="CB143" s="39">
        <f t="shared" si="12"/>
        <v>1</v>
      </c>
      <c r="CC143" s="39">
        <f t="shared" si="13"/>
        <v>0</v>
      </c>
      <c r="CD143" s="39">
        <f t="shared" si="14"/>
        <v>0</v>
      </c>
      <c r="CE143" s="102">
        <f t="shared" si="15"/>
        <v>0</v>
      </c>
      <c r="CF143" s="36" t="s">
        <v>248</v>
      </c>
      <c r="CG143" s="39" t="s">
        <v>492</v>
      </c>
      <c r="CH143" s="39"/>
      <c r="CI143" s="25">
        <v>1</v>
      </c>
    </row>
    <row r="144" spans="1:87" ht="24.75" customHeight="1">
      <c r="A144" s="36" t="s">
        <v>50</v>
      </c>
      <c r="B144" s="26">
        <v>47574</v>
      </c>
      <c r="C144" s="227" t="s">
        <v>702</v>
      </c>
      <c r="D144" s="36"/>
      <c r="E144" s="39">
        <v>220</v>
      </c>
      <c r="F144" s="39" t="s">
        <v>56</v>
      </c>
      <c r="G144" s="36" t="s">
        <v>93</v>
      </c>
      <c r="H144" s="36" t="s">
        <v>300</v>
      </c>
      <c r="I144" s="39">
        <v>376</v>
      </c>
      <c r="J144" s="39"/>
      <c r="K144" s="39"/>
      <c r="L144" s="39">
        <f t="shared" si="75"/>
        <v>376</v>
      </c>
      <c r="M144" s="117">
        <v>46157</v>
      </c>
      <c r="N144" s="117">
        <v>46181</v>
      </c>
      <c r="O144" s="39"/>
      <c r="P144" s="39"/>
      <c r="Q144" s="39"/>
      <c r="R144" s="39">
        <f t="shared" si="51"/>
        <v>0</v>
      </c>
      <c r="S144" s="39" t="s">
        <v>130</v>
      </c>
      <c r="T144" s="39">
        <v>107523</v>
      </c>
      <c r="U144" s="117">
        <v>46208</v>
      </c>
      <c r="V144" s="39"/>
      <c r="W144" s="39"/>
      <c r="X144" s="39"/>
      <c r="Y144" s="39">
        <v>428</v>
      </c>
      <c r="Z144" s="39"/>
      <c r="AA144" s="39"/>
      <c r="AB144" s="119">
        <f t="shared" si="52"/>
        <v>428</v>
      </c>
      <c r="AC144" s="39"/>
      <c r="AD144" s="39"/>
      <c r="AE144" s="39"/>
      <c r="AF144" s="39"/>
      <c r="AG144" s="39"/>
      <c r="AH144" s="39">
        <f t="shared" si="3"/>
        <v>0</v>
      </c>
      <c r="AI144" s="39"/>
      <c r="AJ144" s="39"/>
      <c r="AK144" s="39"/>
      <c r="AL144" s="39"/>
      <c r="AM144" s="39"/>
      <c r="AN144" s="39">
        <f t="shared" si="4"/>
        <v>0</v>
      </c>
      <c r="AO144" s="39"/>
      <c r="AP144" s="39"/>
      <c r="AQ144" s="39"/>
      <c r="AR144" s="39"/>
      <c r="AS144" s="39"/>
      <c r="AT144" s="39">
        <f t="shared" si="5"/>
        <v>0</v>
      </c>
      <c r="AU144" s="39"/>
      <c r="AV144" s="39"/>
      <c r="AW144" s="39"/>
      <c r="AX144" s="39"/>
      <c r="AY144" s="39"/>
      <c r="AZ144" s="39">
        <f t="shared" si="6"/>
        <v>0</v>
      </c>
      <c r="BA144" s="39"/>
      <c r="BB144" s="39"/>
      <c r="BC144" s="39"/>
      <c r="BD144" s="39"/>
      <c r="BE144" s="39"/>
      <c r="BF144" s="39">
        <f t="shared" si="7"/>
        <v>0</v>
      </c>
      <c r="BG144" s="39"/>
      <c r="BH144" s="39"/>
      <c r="BI144" s="39"/>
      <c r="BJ144" s="39"/>
      <c r="BK144" s="39"/>
      <c r="BL144" s="39">
        <f t="shared" si="8"/>
        <v>0</v>
      </c>
      <c r="BM144" s="54" t="str">
        <f t="shared" si="9"/>
        <v/>
      </c>
      <c r="BN144" s="58">
        <v>46183</v>
      </c>
      <c r="BO144" s="57">
        <v>46196</v>
      </c>
      <c r="BP144" s="36"/>
      <c r="BQ144" s="36"/>
      <c r="BR144" s="229">
        <v>46211</v>
      </c>
      <c r="BS144" s="229">
        <v>46218</v>
      </c>
      <c r="BT144" s="39">
        <v>1585</v>
      </c>
      <c r="BU144" s="39">
        <v>387</v>
      </c>
      <c r="BV144" s="39"/>
      <c r="BW144" s="39"/>
      <c r="BX144" s="39"/>
      <c r="BY144" s="39"/>
      <c r="BZ144" s="39">
        <f t="shared" si="10"/>
        <v>387</v>
      </c>
      <c r="CA144" s="39">
        <f t="shared" si="61"/>
        <v>11</v>
      </c>
      <c r="CB144" s="39">
        <f t="shared" si="12"/>
        <v>0</v>
      </c>
      <c r="CC144" s="39">
        <f t="shared" si="13"/>
        <v>0</v>
      </c>
      <c r="CD144" s="39">
        <f t="shared" si="14"/>
        <v>0</v>
      </c>
      <c r="CE144" s="102">
        <f t="shared" si="15"/>
        <v>0</v>
      </c>
      <c r="CF144" s="36" t="s">
        <v>248</v>
      </c>
      <c r="CG144" s="39" t="s">
        <v>492</v>
      </c>
      <c r="CH144" s="39"/>
      <c r="CI144" s="25">
        <v>1</v>
      </c>
    </row>
    <row r="145" spans="1:87" ht="24.75" customHeight="1">
      <c r="A145" s="36" t="s">
        <v>50</v>
      </c>
      <c r="B145" s="26">
        <v>47574</v>
      </c>
      <c r="C145" s="228"/>
      <c r="D145" s="36"/>
      <c r="E145" s="39">
        <v>220</v>
      </c>
      <c r="F145" s="39" t="s">
        <v>56</v>
      </c>
      <c r="G145" s="36" t="s">
        <v>368</v>
      </c>
      <c r="H145" s="36" t="s">
        <v>300</v>
      </c>
      <c r="I145" s="39">
        <v>253</v>
      </c>
      <c r="J145" s="39"/>
      <c r="K145" s="39"/>
      <c r="L145" s="39">
        <f t="shared" si="75"/>
        <v>253</v>
      </c>
      <c r="M145" s="117">
        <v>46157</v>
      </c>
      <c r="N145" s="117">
        <v>46181</v>
      </c>
      <c r="O145" s="39"/>
      <c r="P145" s="39"/>
      <c r="Q145" s="39"/>
      <c r="R145" s="39">
        <f t="shared" si="51"/>
        <v>0</v>
      </c>
      <c r="S145" s="39" t="s">
        <v>130</v>
      </c>
      <c r="T145" s="39">
        <v>107571</v>
      </c>
      <c r="U145" s="117">
        <v>46216</v>
      </c>
      <c r="V145" s="39"/>
      <c r="W145" s="39"/>
      <c r="X145" s="39"/>
      <c r="Y145" s="39">
        <v>288</v>
      </c>
      <c r="Z145" s="39"/>
      <c r="AA145" s="39"/>
      <c r="AB145" s="119">
        <f t="shared" si="52"/>
        <v>288</v>
      </c>
      <c r="AC145" s="39"/>
      <c r="AD145" s="39"/>
      <c r="AE145" s="39"/>
      <c r="AF145" s="39"/>
      <c r="AG145" s="39"/>
      <c r="AH145" s="39">
        <f t="shared" si="3"/>
        <v>0</v>
      </c>
      <c r="AI145" s="39"/>
      <c r="AJ145" s="39"/>
      <c r="AK145" s="39"/>
      <c r="AL145" s="39"/>
      <c r="AM145" s="39"/>
      <c r="AN145" s="39">
        <f t="shared" si="4"/>
        <v>0</v>
      </c>
      <c r="AO145" s="39"/>
      <c r="AP145" s="39"/>
      <c r="AQ145" s="39"/>
      <c r="AR145" s="39"/>
      <c r="AS145" s="39"/>
      <c r="AT145" s="39">
        <f t="shared" si="5"/>
        <v>0</v>
      </c>
      <c r="AU145" s="39"/>
      <c r="AV145" s="39"/>
      <c r="AW145" s="39"/>
      <c r="AX145" s="39"/>
      <c r="AY145" s="39"/>
      <c r="AZ145" s="39">
        <f t="shared" si="6"/>
        <v>0</v>
      </c>
      <c r="BA145" s="39"/>
      <c r="BB145" s="39"/>
      <c r="BC145" s="39"/>
      <c r="BD145" s="39"/>
      <c r="BE145" s="39"/>
      <c r="BF145" s="39">
        <f t="shared" si="7"/>
        <v>0</v>
      </c>
      <c r="BG145" s="39"/>
      <c r="BH145" s="39"/>
      <c r="BI145" s="39"/>
      <c r="BJ145" s="39"/>
      <c r="BK145" s="39"/>
      <c r="BL145" s="39">
        <f t="shared" si="8"/>
        <v>0</v>
      </c>
      <c r="BM145" s="54" t="str">
        <f t="shared" si="9"/>
        <v/>
      </c>
      <c r="BN145" s="58">
        <v>46183</v>
      </c>
      <c r="BO145" s="57">
        <v>46196</v>
      </c>
      <c r="BP145" s="36"/>
      <c r="BQ145" s="36"/>
      <c r="BR145" s="230"/>
      <c r="BS145" s="230"/>
      <c r="BT145" s="39">
        <v>1808</v>
      </c>
      <c r="BU145" s="39">
        <v>265</v>
      </c>
      <c r="BV145" s="39"/>
      <c r="BW145" s="39"/>
      <c r="BX145" s="39"/>
      <c r="BY145" s="39"/>
      <c r="BZ145" s="39">
        <f t="shared" si="10"/>
        <v>265</v>
      </c>
      <c r="CA145" s="39">
        <f t="shared" si="61"/>
        <v>12</v>
      </c>
      <c r="CB145" s="39">
        <f t="shared" si="12"/>
        <v>0</v>
      </c>
      <c r="CC145" s="39">
        <f t="shared" si="13"/>
        <v>0</v>
      </c>
      <c r="CD145" s="39">
        <f t="shared" si="14"/>
        <v>0</v>
      </c>
      <c r="CE145" s="102">
        <f t="shared" si="15"/>
        <v>0</v>
      </c>
      <c r="CF145" s="36" t="s">
        <v>248</v>
      </c>
      <c r="CG145" s="39" t="s">
        <v>492</v>
      </c>
      <c r="CH145" s="39"/>
      <c r="CI145" s="25">
        <v>1</v>
      </c>
    </row>
    <row r="146" spans="1:87" ht="24.75" customHeight="1">
      <c r="A146" s="36" t="s">
        <v>50</v>
      </c>
      <c r="B146" s="26">
        <v>47575</v>
      </c>
      <c r="C146" s="227">
        <v>13261569</v>
      </c>
      <c r="D146" s="36" t="s">
        <v>45</v>
      </c>
      <c r="E146" s="39">
        <v>240</v>
      </c>
      <c r="F146" s="39" t="s">
        <v>55</v>
      </c>
      <c r="G146" s="36" t="s">
        <v>637</v>
      </c>
      <c r="H146" s="36" t="s">
        <v>404</v>
      </c>
      <c r="I146" s="39">
        <v>103</v>
      </c>
      <c r="J146" s="39">
        <v>41</v>
      </c>
      <c r="K146" s="39">
        <v>3</v>
      </c>
      <c r="L146" s="39">
        <f t="shared" ref="L146:L148" si="76">SUM(I146:K146)</f>
        <v>147</v>
      </c>
      <c r="M146" s="117">
        <v>46157</v>
      </c>
      <c r="N146" s="117">
        <v>46162</v>
      </c>
      <c r="O146" s="39"/>
      <c r="P146" s="39"/>
      <c r="Q146" s="39"/>
      <c r="R146" s="39">
        <f t="shared" si="51"/>
        <v>0</v>
      </c>
      <c r="S146" s="39" t="s">
        <v>28</v>
      </c>
      <c r="T146" s="39"/>
      <c r="U146" s="39"/>
      <c r="V146" s="117">
        <v>46195</v>
      </c>
      <c r="W146" s="39">
        <f>124+50+5</f>
        <v>179</v>
      </c>
      <c r="X146" s="117" t="s">
        <v>1675</v>
      </c>
      <c r="Y146" s="39">
        <v>120</v>
      </c>
      <c r="Z146" s="39">
        <v>46</v>
      </c>
      <c r="AA146" s="39">
        <v>4</v>
      </c>
      <c r="AB146" s="119">
        <f t="shared" si="52"/>
        <v>170</v>
      </c>
      <c r="AC146" s="39"/>
      <c r="AD146" s="39"/>
      <c r="AE146" s="39"/>
      <c r="AF146" s="39"/>
      <c r="AG146" s="39"/>
      <c r="AH146" s="39">
        <f t="shared" si="3"/>
        <v>0</v>
      </c>
      <c r="AI146" s="39"/>
      <c r="AJ146" s="39"/>
      <c r="AK146" s="39"/>
      <c r="AL146" s="39"/>
      <c r="AM146" s="39"/>
      <c r="AN146" s="39">
        <f t="shared" si="4"/>
        <v>0</v>
      </c>
      <c r="AO146" s="39" t="s">
        <v>257</v>
      </c>
      <c r="AP146" s="117">
        <v>46209</v>
      </c>
      <c r="AQ146" s="39">
        <v>119</v>
      </c>
      <c r="AR146" s="117">
        <v>46211</v>
      </c>
      <c r="AS146" s="39">
        <v>117</v>
      </c>
      <c r="AT146" s="39">
        <f t="shared" si="5"/>
        <v>-2</v>
      </c>
      <c r="AU146" s="39"/>
      <c r="AV146" s="39"/>
      <c r="AW146" s="39"/>
      <c r="AX146" s="39"/>
      <c r="AY146" s="39"/>
      <c r="AZ146" s="39">
        <f t="shared" si="6"/>
        <v>0</v>
      </c>
      <c r="BA146" s="39"/>
      <c r="BB146" s="39"/>
      <c r="BC146" s="39"/>
      <c r="BD146" s="39"/>
      <c r="BE146" s="39"/>
      <c r="BF146" s="39">
        <f t="shared" si="7"/>
        <v>0</v>
      </c>
      <c r="BG146" s="39"/>
      <c r="BH146" s="39"/>
      <c r="BI146" s="39"/>
      <c r="BJ146" s="39"/>
      <c r="BK146" s="39"/>
      <c r="BL146" s="39">
        <f t="shared" si="8"/>
        <v>0</v>
      </c>
      <c r="BM146" s="54" t="str">
        <f t="shared" si="9"/>
        <v/>
      </c>
      <c r="BN146" s="58">
        <v>46183</v>
      </c>
      <c r="BO146" s="57">
        <v>46196</v>
      </c>
      <c r="BP146" s="36"/>
      <c r="BQ146" s="36"/>
      <c r="BR146" s="229">
        <v>46214</v>
      </c>
      <c r="BS146" s="229">
        <v>46219</v>
      </c>
      <c r="BT146" s="39">
        <v>1597</v>
      </c>
      <c r="BU146" s="39">
        <v>117</v>
      </c>
      <c r="BV146" s="39">
        <v>1532</v>
      </c>
      <c r="BW146" s="39">
        <v>46</v>
      </c>
      <c r="BX146" s="39">
        <v>1774</v>
      </c>
      <c r="BY146" s="39">
        <v>4</v>
      </c>
      <c r="BZ146" s="39">
        <f t="shared" si="10"/>
        <v>167</v>
      </c>
      <c r="CA146" s="39">
        <f t="shared" si="61"/>
        <v>14</v>
      </c>
      <c r="CB146" s="39">
        <f t="shared" si="12"/>
        <v>5</v>
      </c>
      <c r="CC146" s="39">
        <f t="shared" si="13"/>
        <v>1</v>
      </c>
      <c r="CD146" s="39">
        <f t="shared" si="14"/>
        <v>0</v>
      </c>
      <c r="CE146" s="102">
        <f t="shared" si="15"/>
        <v>0</v>
      </c>
      <c r="CF146" s="36" t="s">
        <v>248</v>
      </c>
      <c r="CG146" s="39" t="s">
        <v>492</v>
      </c>
      <c r="CH146" s="39"/>
      <c r="CI146" s="25">
        <v>1</v>
      </c>
    </row>
    <row r="147" spans="1:87" ht="24.75" customHeight="1">
      <c r="A147" s="36" t="s">
        <v>50</v>
      </c>
      <c r="B147" s="26">
        <v>47575</v>
      </c>
      <c r="C147" s="228"/>
      <c r="D147" s="36"/>
      <c r="E147" s="39"/>
      <c r="F147" s="39"/>
      <c r="G147" s="36" t="s">
        <v>198</v>
      </c>
      <c r="H147" s="36">
        <v>45</v>
      </c>
      <c r="I147" s="39" t="s">
        <v>90</v>
      </c>
      <c r="J147" s="39"/>
      <c r="K147" s="39"/>
      <c r="L147" s="39">
        <f t="shared" si="76"/>
        <v>0</v>
      </c>
      <c r="M147" s="117">
        <v>46157</v>
      </c>
      <c r="N147" s="117">
        <v>46162</v>
      </c>
      <c r="O147" s="39"/>
      <c r="P147" s="39"/>
      <c r="Q147" s="39"/>
      <c r="R147" s="39">
        <f t="shared" si="51"/>
        <v>0</v>
      </c>
      <c r="S147" s="39" t="s">
        <v>28</v>
      </c>
      <c r="T147" s="39"/>
      <c r="U147" s="39"/>
      <c r="V147" s="117">
        <v>46195</v>
      </c>
      <c r="W147" s="39">
        <v>1</v>
      </c>
      <c r="X147" s="117">
        <v>46217</v>
      </c>
      <c r="Y147" s="39">
        <v>1</v>
      </c>
      <c r="Z147" s="39"/>
      <c r="AA147" s="39"/>
      <c r="AB147" s="39">
        <f t="shared" si="52"/>
        <v>1</v>
      </c>
      <c r="AC147" s="39"/>
      <c r="AD147" s="39"/>
      <c r="AE147" s="39"/>
      <c r="AF147" s="39"/>
      <c r="AG147" s="39"/>
      <c r="AH147" s="39">
        <f t="shared" si="3"/>
        <v>0</v>
      </c>
      <c r="AI147" s="39"/>
      <c r="AJ147" s="39"/>
      <c r="AK147" s="39"/>
      <c r="AL147" s="39"/>
      <c r="AM147" s="39"/>
      <c r="AN147" s="39">
        <f t="shared" si="4"/>
        <v>0</v>
      </c>
      <c r="AO147" s="39"/>
      <c r="AP147" s="39"/>
      <c r="AQ147" s="39"/>
      <c r="AR147" s="39"/>
      <c r="AS147" s="39"/>
      <c r="AT147" s="39">
        <f t="shared" si="5"/>
        <v>0</v>
      </c>
      <c r="AU147" s="39"/>
      <c r="AV147" s="39"/>
      <c r="AW147" s="39"/>
      <c r="AX147" s="39"/>
      <c r="AY147" s="39"/>
      <c r="AZ147" s="39">
        <f t="shared" si="6"/>
        <v>0</v>
      </c>
      <c r="BA147" s="39"/>
      <c r="BB147" s="39"/>
      <c r="BC147" s="39"/>
      <c r="BD147" s="39"/>
      <c r="BE147" s="39"/>
      <c r="BF147" s="39">
        <f t="shared" si="7"/>
        <v>0</v>
      </c>
      <c r="BG147" s="39"/>
      <c r="BH147" s="39"/>
      <c r="BI147" s="39"/>
      <c r="BJ147" s="39"/>
      <c r="BK147" s="39"/>
      <c r="BL147" s="39">
        <f t="shared" si="8"/>
        <v>0</v>
      </c>
      <c r="BM147" s="54" t="e">
        <f t="shared" si="9"/>
        <v>#DIV/0!</v>
      </c>
      <c r="BN147" s="58">
        <v>46183</v>
      </c>
      <c r="BO147" s="57">
        <v>46196</v>
      </c>
      <c r="BP147" s="36"/>
      <c r="BQ147" s="36"/>
      <c r="BR147" s="230"/>
      <c r="BS147" s="230"/>
      <c r="BT147" s="39" t="s">
        <v>1634</v>
      </c>
      <c r="BU147" s="39"/>
      <c r="BV147" s="39"/>
      <c r="BW147" s="39"/>
      <c r="BX147" s="39"/>
      <c r="BY147" s="39"/>
      <c r="BZ147" s="39">
        <f t="shared" si="10"/>
        <v>0</v>
      </c>
      <c r="CA147" s="39" t="e">
        <f t="shared" si="61"/>
        <v>#VALUE!</v>
      </c>
      <c r="CB147" s="39">
        <f t="shared" si="12"/>
        <v>0</v>
      </c>
      <c r="CC147" s="39">
        <f t="shared" si="13"/>
        <v>0</v>
      </c>
      <c r="CD147" s="39">
        <f t="shared" si="14"/>
        <v>0</v>
      </c>
      <c r="CE147" s="102" t="e">
        <f t="shared" si="15"/>
        <v>#DIV/0!</v>
      </c>
      <c r="CF147" s="36" t="s">
        <v>248</v>
      </c>
      <c r="CG147" s="39" t="s">
        <v>492</v>
      </c>
      <c r="CH147" s="39"/>
      <c r="CI147" s="25">
        <v>1</v>
      </c>
    </row>
    <row r="148" spans="1:87" ht="24.75" customHeight="1">
      <c r="A148" s="36" t="s">
        <v>50</v>
      </c>
      <c r="B148" s="26">
        <v>47576</v>
      </c>
      <c r="C148" s="227">
        <v>13261570</v>
      </c>
      <c r="D148" s="36" t="s">
        <v>45</v>
      </c>
      <c r="E148" s="39">
        <v>240</v>
      </c>
      <c r="F148" s="39" t="s">
        <v>55</v>
      </c>
      <c r="G148" s="36" t="s">
        <v>637</v>
      </c>
      <c r="H148" s="36" t="s">
        <v>404</v>
      </c>
      <c r="I148" s="39">
        <v>138</v>
      </c>
      <c r="J148" s="39"/>
      <c r="K148" s="39"/>
      <c r="L148" s="39">
        <f t="shared" si="76"/>
        <v>138</v>
      </c>
      <c r="M148" s="117">
        <v>46156</v>
      </c>
      <c r="N148" s="117">
        <v>46160</v>
      </c>
      <c r="O148" s="39"/>
      <c r="P148" s="39"/>
      <c r="Q148" s="39"/>
      <c r="R148" s="39">
        <f t="shared" si="51"/>
        <v>0</v>
      </c>
      <c r="S148" s="39" t="s">
        <v>28</v>
      </c>
      <c r="T148" s="39"/>
      <c r="U148" s="39"/>
      <c r="V148" s="117">
        <v>46195</v>
      </c>
      <c r="W148" s="39">
        <v>164</v>
      </c>
      <c r="X148" s="117">
        <v>46207</v>
      </c>
      <c r="Y148" s="39">
        <v>159</v>
      </c>
      <c r="Z148" s="39"/>
      <c r="AA148" s="39"/>
      <c r="AB148" s="119">
        <f t="shared" si="52"/>
        <v>159</v>
      </c>
      <c r="AC148" s="39"/>
      <c r="AD148" s="39"/>
      <c r="AE148" s="39"/>
      <c r="AF148" s="39"/>
      <c r="AG148" s="39"/>
      <c r="AH148" s="39">
        <f t="shared" si="3"/>
        <v>0</v>
      </c>
      <c r="AI148" s="39"/>
      <c r="AJ148" s="39"/>
      <c r="AK148" s="39"/>
      <c r="AL148" s="39"/>
      <c r="AM148" s="39"/>
      <c r="AN148" s="39">
        <f t="shared" si="4"/>
        <v>0</v>
      </c>
      <c r="AO148" s="39" t="s">
        <v>257</v>
      </c>
      <c r="AP148" s="117">
        <v>46209</v>
      </c>
      <c r="AQ148" s="39">
        <v>162</v>
      </c>
      <c r="AR148" s="117">
        <v>46211</v>
      </c>
      <c r="AS148" s="39">
        <v>160</v>
      </c>
      <c r="AT148" s="39">
        <f t="shared" si="5"/>
        <v>-2</v>
      </c>
      <c r="AU148" s="39"/>
      <c r="AV148" s="39"/>
      <c r="AW148" s="39"/>
      <c r="AX148" s="39"/>
      <c r="AY148" s="39"/>
      <c r="AZ148" s="39">
        <f t="shared" si="6"/>
        <v>0</v>
      </c>
      <c r="BA148" s="39"/>
      <c r="BB148" s="39"/>
      <c r="BC148" s="39"/>
      <c r="BD148" s="39"/>
      <c r="BE148" s="39"/>
      <c r="BF148" s="39">
        <f t="shared" si="7"/>
        <v>0</v>
      </c>
      <c r="BG148" s="39"/>
      <c r="BH148" s="39"/>
      <c r="BI148" s="39"/>
      <c r="BJ148" s="39"/>
      <c r="BK148" s="39"/>
      <c r="BL148" s="39">
        <f t="shared" si="8"/>
        <v>0</v>
      </c>
      <c r="BM148" s="54" t="str">
        <f t="shared" si="9"/>
        <v/>
      </c>
      <c r="BN148" s="58">
        <v>46183</v>
      </c>
      <c r="BO148" s="57">
        <v>46193</v>
      </c>
      <c r="BP148" s="36"/>
      <c r="BQ148" s="36"/>
      <c r="BR148" s="229">
        <v>46214</v>
      </c>
      <c r="BS148" s="229">
        <v>46214</v>
      </c>
      <c r="BT148" s="39">
        <v>1597</v>
      </c>
      <c r="BU148" s="39">
        <v>150</v>
      </c>
      <c r="BV148" s="39"/>
      <c r="BW148" s="39"/>
      <c r="BX148" s="39"/>
      <c r="BY148" s="39"/>
      <c r="BZ148" s="39">
        <f t="shared" si="10"/>
        <v>150</v>
      </c>
      <c r="CA148" s="39">
        <f t="shared" si="61"/>
        <v>12</v>
      </c>
      <c r="CB148" s="39">
        <f t="shared" si="12"/>
        <v>0</v>
      </c>
      <c r="CC148" s="39">
        <f t="shared" si="13"/>
        <v>0</v>
      </c>
      <c r="CD148" s="39">
        <f t="shared" si="14"/>
        <v>0</v>
      </c>
      <c r="CE148" s="102">
        <f t="shared" si="15"/>
        <v>0</v>
      </c>
      <c r="CF148" s="36" t="s">
        <v>248</v>
      </c>
      <c r="CG148" s="39" t="s">
        <v>492</v>
      </c>
      <c r="CH148" s="39"/>
      <c r="CI148" s="25">
        <v>1</v>
      </c>
    </row>
    <row r="149" spans="1:87" ht="24.75" customHeight="1">
      <c r="A149" s="36" t="s">
        <v>50</v>
      </c>
      <c r="B149" s="26">
        <v>47576</v>
      </c>
      <c r="C149" s="228"/>
      <c r="D149" s="36"/>
      <c r="E149" s="39"/>
      <c r="F149" s="39"/>
      <c r="G149" s="36" t="s">
        <v>198</v>
      </c>
      <c r="H149" s="36">
        <v>250</v>
      </c>
      <c r="I149" s="39" t="s">
        <v>90</v>
      </c>
      <c r="J149" s="39"/>
      <c r="K149" s="39"/>
      <c r="L149" s="39">
        <f t="shared" ref="L149" si="77">SUM(I149:K149)</f>
        <v>0</v>
      </c>
      <c r="M149" s="117">
        <v>46156</v>
      </c>
      <c r="N149" s="117">
        <v>46160</v>
      </c>
      <c r="O149" s="39"/>
      <c r="P149" s="39"/>
      <c r="Q149" s="39"/>
      <c r="R149" s="39">
        <f t="shared" si="51"/>
        <v>0</v>
      </c>
      <c r="S149" s="39" t="s">
        <v>28</v>
      </c>
      <c r="T149" s="39"/>
      <c r="U149" s="39"/>
      <c r="V149" s="117">
        <v>46195</v>
      </c>
      <c r="W149" s="39">
        <v>1</v>
      </c>
      <c r="X149" s="117">
        <v>46217</v>
      </c>
      <c r="Y149" s="39">
        <v>1</v>
      </c>
      <c r="Z149" s="39"/>
      <c r="AA149" s="39"/>
      <c r="AB149" s="39">
        <f t="shared" si="52"/>
        <v>1</v>
      </c>
      <c r="AC149" s="39"/>
      <c r="AD149" s="39"/>
      <c r="AE149" s="39"/>
      <c r="AF149" s="39"/>
      <c r="AG149" s="39"/>
      <c r="AH149" s="39">
        <f t="shared" si="3"/>
        <v>0</v>
      </c>
      <c r="AI149" s="39"/>
      <c r="AJ149" s="39"/>
      <c r="AK149" s="39"/>
      <c r="AL149" s="39"/>
      <c r="AM149" s="39"/>
      <c r="AN149" s="39">
        <f t="shared" si="4"/>
        <v>0</v>
      </c>
      <c r="AO149" s="39"/>
      <c r="AP149" s="39"/>
      <c r="AQ149" s="39"/>
      <c r="AR149" s="39"/>
      <c r="AS149" s="39"/>
      <c r="AT149" s="39">
        <f t="shared" si="5"/>
        <v>0</v>
      </c>
      <c r="AU149" s="39"/>
      <c r="AV149" s="39"/>
      <c r="AW149" s="39"/>
      <c r="AX149" s="39"/>
      <c r="AY149" s="39"/>
      <c r="AZ149" s="39">
        <f t="shared" si="6"/>
        <v>0</v>
      </c>
      <c r="BA149" s="39"/>
      <c r="BB149" s="39"/>
      <c r="BC149" s="39"/>
      <c r="BD149" s="39"/>
      <c r="BE149" s="39"/>
      <c r="BF149" s="39">
        <f t="shared" si="7"/>
        <v>0</v>
      </c>
      <c r="BG149" s="39"/>
      <c r="BH149" s="39"/>
      <c r="BI149" s="39"/>
      <c r="BJ149" s="39"/>
      <c r="BK149" s="39"/>
      <c r="BL149" s="39">
        <f t="shared" si="8"/>
        <v>0</v>
      </c>
      <c r="BM149" s="54" t="e">
        <f t="shared" si="9"/>
        <v>#DIV/0!</v>
      </c>
      <c r="BN149" s="58">
        <v>46183</v>
      </c>
      <c r="BO149" s="57">
        <v>46193</v>
      </c>
      <c r="BP149" s="36"/>
      <c r="BQ149" s="36"/>
      <c r="BR149" s="230"/>
      <c r="BS149" s="230"/>
      <c r="BT149" s="39" t="s">
        <v>1634</v>
      </c>
      <c r="BU149" s="39"/>
      <c r="BV149" s="39"/>
      <c r="BW149" s="39"/>
      <c r="BX149" s="39"/>
      <c r="BY149" s="39"/>
      <c r="BZ149" s="39">
        <f t="shared" si="10"/>
        <v>0</v>
      </c>
      <c r="CA149" s="39" t="e">
        <f t="shared" si="61"/>
        <v>#VALUE!</v>
      </c>
      <c r="CB149" s="39">
        <f t="shared" si="12"/>
        <v>0</v>
      </c>
      <c r="CC149" s="39">
        <f t="shared" si="13"/>
        <v>0</v>
      </c>
      <c r="CD149" s="39">
        <f t="shared" si="14"/>
        <v>0</v>
      </c>
      <c r="CE149" s="102" t="e">
        <f t="shared" si="15"/>
        <v>#DIV/0!</v>
      </c>
      <c r="CF149" s="36" t="s">
        <v>248</v>
      </c>
      <c r="CG149" s="39" t="s">
        <v>492</v>
      </c>
      <c r="CH149" s="39"/>
      <c r="CI149" s="25">
        <v>1</v>
      </c>
    </row>
    <row r="150" spans="1:87" ht="24.75" customHeight="1">
      <c r="A150" s="36" t="s">
        <v>50</v>
      </c>
      <c r="B150" s="26">
        <v>47578</v>
      </c>
      <c r="C150" s="227">
        <v>13261451</v>
      </c>
      <c r="D150" s="36"/>
      <c r="E150" s="39">
        <v>180</v>
      </c>
      <c r="F150" s="39" t="s">
        <v>55</v>
      </c>
      <c r="G150" s="36" t="s">
        <v>671</v>
      </c>
      <c r="H150" s="36" t="s">
        <v>403</v>
      </c>
      <c r="I150" s="39">
        <v>122</v>
      </c>
      <c r="J150" s="39">
        <v>14</v>
      </c>
      <c r="K150" s="39"/>
      <c r="L150" s="39">
        <f t="shared" si="74"/>
        <v>136</v>
      </c>
      <c r="M150" s="117">
        <v>46153</v>
      </c>
      <c r="N150" s="117">
        <v>46159</v>
      </c>
      <c r="O150" s="39"/>
      <c r="P150" s="39"/>
      <c r="Q150" s="39"/>
      <c r="R150" s="39">
        <f t="shared" si="51"/>
        <v>0</v>
      </c>
      <c r="S150" s="39" t="s">
        <v>130</v>
      </c>
      <c r="T150" s="39">
        <v>107692</v>
      </c>
      <c r="U150" s="117">
        <v>46216</v>
      </c>
      <c r="V150" s="39"/>
      <c r="W150" s="39"/>
      <c r="X150" s="39"/>
      <c r="Y150" s="39">
        <v>151</v>
      </c>
      <c r="Z150" s="39">
        <v>18</v>
      </c>
      <c r="AA150" s="39"/>
      <c r="AB150" s="119">
        <f t="shared" si="52"/>
        <v>169</v>
      </c>
      <c r="AC150" s="39"/>
      <c r="AD150" s="39"/>
      <c r="AE150" s="39"/>
      <c r="AF150" s="39"/>
      <c r="AG150" s="39"/>
      <c r="AH150" s="39">
        <f t="shared" si="3"/>
        <v>0</v>
      </c>
      <c r="AI150" s="39"/>
      <c r="AJ150" s="39"/>
      <c r="AK150" s="39"/>
      <c r="AL150" s="39"/>
      <c r="AM150" s="39"/>
      <c r="AN150" s="39">
        <f t="shared" si="4"/>
        <v>0</v>
      </c>
      <c r="AO150" s="39"/>
      <c r="AP150" s="39"/>
      <c r="AQ150" s="39"/>
      <c r="AR150" s="39"/>
      <c r="AS150" s="39"/>
      <c r="AT150" s="39">
        <f t="shared" si="5"/>
        <v>0</v>
      </c>
      <c r="AU150" s="39"/>
      <c r="AV150" s="39"/>
      <c r="AW150" s="39"/>
      <c r="AX150" s="39"/>
      <c r="AY150" s="39"/>
      <c r="AZ150" s="39">
        <f t="shared" si="6"/>
        <v>0</v>
      </c>
      <c r="BA150" s="39"/>
      <c r="BB150" s="39"/>
      <c r="BC150" s="39"/>
      <c r="BD150" s="39"/>
      <c r="BE150" s="39"/>
      <c r="BF150" s="39">
        <f t="shared" si="7"/>
        <v>0</v>
      </c>
      <c r="BG150" s="39"/>
      <c r="BH150" s="39"/>
      <c r="BI150" s="39"/>
      <c r="BJ150" s="39"/>
      <c r="BK150" s="39"/>
      <c r="BL150" s="39">
        <f t="shared" si="8"/>
        <v>0</v>
      </c>
      <c r="BM150" s="54" t="str">
        <f t="shared" si="9"/>
        <v/>
      </c>
      <c r="BN150" s="58">
        <v>46179</v>
      </c>
      <c r="BO150" s="57">
        <v>46189</v>
      </c>
      <c r="BP150" s="36"/>
      <c r="BQ150" s="36"/>
      <c r="BR150" s="229">
        <v>46204</v>
      </c>
      <c r="BS150" s="229">
        <v>46217</v>
      </c>
      <c r="BT150" s="39">
        <v>2025</v>
      </c>
      <c r="BU150" s="39">
        <v>122</v>
      </c>
      <c r="BV150" s="39">
        <v>2025</v>
      </c>
      <c r="BW150" s="39">
        <v>16</v>
      </c>
      <c r="BX150" s="39"/>
      <c r="BY150" s="39"/>
      <c r="BZ150" s="39">
        <f t="shared" si="10"/>
        <v>138</v>
      </c>
      <c r="CA150" s="39">
        <f t="shared" si="61"/>
        <v>0</v>
      </c>
      <c r="CB150" s="39">
        <f t="shared" si="12"/>
        <v>2</v>
      </c>
      <c r="CC150" s="39">
        <f t="shared" si="13"/>
        <v>0</v>
      </c>
      <c r="CD150" s="39">
        <f t="shared" si="14"/>
        <v>0</v>
      </c>
      <c r="CE150" s="102">
        <f t="shared" si="15"/>
        <v>0</v>
      </c>
      <c r="CF150" s="36" t="s">
        <v>248</v>
      </c>
      <c r="CG150" s="39" t="s">
        <v>492</v>
      </c>
      <c r="CH150" s="39"/>
      <c r="CI150" s="25">
        <v>1</v>
      </c>
    </row>
    <row r="151" spans="1:87" ht="24.75" customHeight="1">
      <c r="A151" s="36" t="s">
        <v>50</v>
      </c>
      <c r="B151" s="26">
        <v>47578</v>
      </c>
      <c r="C151" s="228"/>
      <c r="D151" s="36"/>
      <c r="E151" s="39">
        <v>180</v>
      </c>
      <c r="F151" s="39" t="s">
        <v>55</v>
      </c>
      <c r="G151" s="36" t="s">
        <v>308</v>
      </c>
      <c r="H151" s="36" t="s">
        <v>403</v>
      </c>
      <c r="I151" s="39">
        <v>67</v>
      </c>
      <c r="J151" s="39">
        <v>8</v>
      </c>
      <c r="K151" s="39"/>
      <c r="L151" s="39">
        <f t="shared" ref="L151:L154" si="78">SUM(I151:K151)</f>
        <v>75</v>
      </c>
      <c r="M151" s="117">
        <v>46153</v>
      </c>
      <c r="N151" s="117">
        <v>46159</v>
      </c>
      <c r="O151" s="39"/>
      <c r="P151" s="39"/>
      <c r="Q151" s="39"/>
      <c r="R151" s="39">
        <f t="shared" si="51"/>
        <v>0</v>
      </c>
      <c r="S151" s="39" t="s">
        <v>130</v>
      </c>
      <c r="T151" s="39">
        <v>107118</v>
      </c>
      <c r="U151" s="117">
        <v>46202</v>
      </c>
      <c r="V151" s="39"/>
      <c r="W151" s="39"/>
      <c r="X151" s="39"/>
      <c r="Y151" s="39">
        <v>85</v>
      </c>
      <c r="Z151" s="39">
        <v>10</v>
      </c>
      <c r="AA151" s="39"/>
      <c r="AB151" s="119">
        <f t="shared" si="52"/>
        <v>95</v>
      </c>
      <c r="AC151" s="39"/>
      <c r="AD151" s="39"/>
      <c r="AE151" s="39"/>
      <c r="AF151" s="39"/>
      <c r="AG151" s="39"/>
      <c r="AH151" s="39">
        <f t="shared" si="3"/>
        <v>0</v>
      </c>
      <c r="AI151" s="39"/>
      <c r="AJ151" s="39"/>
      <c r="AK151" s="39"/>
      <c r="AL151" s="39"/>
      <c r="AM151" s="39"/>
      <c r="AN151" s="39">
        <f t="shared" si="4"/>
        <v>0</v>
      </c>
      <c r="AO151" s="39"/>
      <c r="AP151" s="39"/>
      <c r="AQ151" s="39"/>
      <c r="AR151" s="39"/>
      <c r="AS151" s="39"/>
      <c r="AT151" s="39">
        <f t="shared" si="5"/>
        <v>0</v>
      </c>
      <c r="AU151" s="39"/>
      <c r="AV151" s="39"/>
      <c r="AW151" s="39"/>
      <c r="AX151" s="39"/>
      <c r="AY151" s="39"/>
      <c r="AZ151" s="39">
        <f t="shared" si="6"/>
        <v>0</v>
      </c>
      <c r="BA151" s="39"/>
      <c r="BB151" s="39"/>
      <c r="BC151" s="39"/>
      <c r="BD151" s="39"/>
      <c r="BE151" s="39"/>
      <c r="BF151" s="39">
        <f t="shared" si="7"/>
        <v>0</v>
      </c>
      <c r="BG151" s="39"/>
      <c r="BH151" s="39"/>
      <c r="BI151" s="39"/>
      <c r="BJ151" s="39"/>
      <c r="BK151" s="39"/>
      <c r="BL151" s="39">
        <f t="shared" si="8"/>
        <v>0</v>
      </c>
      <c r="BM151" s="54" t="str">
        <f t="shared" si="9"/>
        <v/>
      </c>
      <c r="BN151" s="58">
        <v>46179</v>
      </c>
      <c r="BO151" s="57">
        <v>46189</v>
      </c>
      <c r="BP151" s="36"/>
      <c r="BQ151" s="36"/>
      <c r="BR151" s="230"/>
      <c r="BS151" s="230"/>
      <c r="BT151" s="39">
        <v>2001</v>
      </c>
      <c r="BU151" s="39">
        <v>77</v>
      </c>
      <c r="BV151" s="39">
        <v>2001</v>
      </c>
      <c r="BW151" s="39">
        <v>9</v>
      </c>
      <c r="BX151" s="39"/>
      <c r="BY151" s="39"/>
      <c r="BZ151" s="39">
        <f t="shared" si="10"/>
        <v>86</v>
      </c>
      <c r="CA151" s="39">
        <f t="shared" si="61"/>
        <v>10</v>
      </c>
      <c r="CB151" s="39">
        <f t="shared" si="12"/>
        <v>1</v>
      </c>
      <c r="CC151" s="39">
        <f t="shared" si="13"/>
        <v>0</v>
      </c>
      <c r="CD151" s="39">
        <f t="shared" si="14"/>
        <v>0</v>
      </c>
      <c r="CE151" s="102">
        <f t="shared" si="15"/>
        <v>0</v>
      </c>
      <c r="CF151" s="36" t="s">
        <v>248</v>
      </c>
      <c r="CG151" s="39" t="s">
        <v>492</v>
      </c>
      <c r="CH151" s="39"/>
      <c r="CI151" s="25">
        <v>1</v>
      </c>
    </row>
    <row r="152" spans="1:87" ht="24.75" customHeight="1">
      <c r="A152" s="36" t="s">
        <v>50</v>
      </c>
      <c r="B152" s="26">
        <v>47579</v>
      </c>
      <c r="C152" s="227">
        <v>13262612</v>
      </c>
      <c r="D152" s="36" t="s">
        <v>37</v>
      </c>
      <c r="E152" s="39">
        <v>200</v>
      </c>
      <c r="F152" s="39" t="s">
        <v>60</v>
      </c>
      <c r="G152" s="36" t="s">
        <v>564</v>
      </c>
      <c r="H152" s="36" t="s">
        <v>89</v>
      </c>
      <c r="I152" s="39">
        <v>193</v>
      </c>
      <c r="J152" s="39"/>
      <c r="K152" s="39"/>
      <c r="L152" s="39">
        <f t="shared" si="78"/>
        <v>193</v>
      </c>
      <c r="M152" s="117">
        <v>46162</v>
      </c>
      <c r="N152" s="117">
        <v>46167</v>
      </c>
      <c r="O152" s="39"/>
      <c r="P152" s="39"/>
      <c r="Q152" s="39"/>
      <c r="R152" s="39">
        <f t="shared" si="51"/>
        <v>0</v>
      </c>
      <c r="S152" s="39" t="s">
        <v>130</v>
      </c>
      <c r="T152" s="39">
        <v>106976</v>
      </c>
      <c r="U152" s="117">
        <v>46188</v>
      </c>
      <c r="V152" s="39"/>
      <c r="W152" s="39"/>
      <c r="X152" s="39"/>
      <c r="Y152" s="39">
        <v>224</v>
      </c>
      <c r="Z152" s="39"/>
      <c r="AA152" s="39"/>
      <c r="AB152" s="119">
        <f t="shared" si="52"/>
        <v>224</v>
      </c>
      <c r="AC152" s="39" t="s">
        <v>139</v>
      </c>
      <c r="AD152" s="117">
        <v>46190</v>
      </c>
      <c r="AE152" s="39">
        <v>193</v>
      </c>
      <c r="AF152" s="117">
        <v>46211</v>
      </c>
      <c r="AG152" s="39">
        <v>190</v>
      </c>
      <c r="AH152" s="39">
        <f t="shared" si="3"/>
        <v>-3</v>
      </c>
      <c r="AI152" s="39"/>
      <c r="AJ152" s="39"/>
      <c r="AK152" s="39"/>
      <c r="AL152" s="39"/>
      <c r="AM152" s="39"/>
      <c r="AN152" s="39">
        <f t="shared" si="4"/>
        <v>0</v>
      </c>
      <c r="AO152" s="39"/>
      <c r="AP152" s="39"/>
      <c r="AQ152" s="39"/>
      <c r="AR152" s="39"/>
      <c r="AS152" s="39"/>
      <c r="AT152" s="39">
        <f t="shared" si="5"/>
        <v>0</v>
      </c>
      <c r="AU152" s="39"/>
      <c r="AV152" s="39"/>
      <c r="AW152" s="39"/>
      <c r="AX152" s="39"/>
      <c r="AY152" s="39"/>
      <c r="AZ152" s="39">
        <f t="shared" si="6"/>
        <v>0</v>
      </c>
      <c r="BA152" s="39"/>
      <c r="BB152" s="39"/>
      <c r="BC152" s="39"/>
      <c r="BD152" s="39"/>
      <c r="BE152" s="39"/>
      <c r="BF152" s="39">
        <f t="shared" si="7"/>
        <v>0</v>
      </c>
      <c r="BG152" s="39"/>
      <c r="BH152" s="39"/>
      <c r="BI152" s="39"/>
      <c r="BJ152" s="39"/>
      <c r="BK152" s="39"/>
      <c r="BL152" s="39">
        <f t="shared" si="8"/>
        <v>0</v>
      </c>
      <c r="BM152" s="54" t="str">
        <f t="shared" si="9"/>
        <v/>
      </c>
      <c r="BN152" s="58">
        <v>46181</v>
      </c>
      <c r="BO152" s="57">
        <v>46193</v>
      </c>
      <c r="BP152" s="57">
        <v>46196</v>
      </c>
      <c r="BQ152" s="57">
        <v>46203</v>
      </c>
      <c r="BR152" s="229">
        <v>46212</v>
      </c>
      <c r="BS152" s="229">
        <v>46212</v>
      </c>
      <c r="BT152" s="39">
        <v>2223</v>
      </c>
      <c r="BU152" s="39">
        <f>189</f>
        <v>189</v>
      </c>
      <c r="BV152" s="39"/>
      <c r="BW152" s="39"/>
      <c r="BX152" s="39"/>
      <c r="BY152" s="39"/>
      <c r="BZ152" s="39">
        <f t="shared" si="10"/>
        <v>189</v>
      </c>
      <c r="CA152" s="39">
        <f t="shared" si="61"/>
        <v>-4</v>
      </c>
      <c r="CB152" s="39">
        <f t="shared" si="12"/>
        <v>0</v>
      </c>
      <c r="CC152" s="39">
        <f t="shared" si="13"/>
        <v>0</v>
      </c>
      <c r="CD152" s="39">
        <v>0</v>
      </c>
      <c r="CE152" s="102">
        <f t="shared" si="15"/>
        <v>0</v>
      </c>
      <c r="CF152" s="36" t="s">
        <v>248</v>
      </c>
      <c r="CG152" s="39" t="s">
        <v>492</v>
      </c>
      <c r="CH152" s="39"/>
      <c r="CI152" s="25">
        <v>1</v>
      </c>
    </row>
    <row r="153" spans="1:87" ht="24.75" customHeight="1">
      <c r="A153" s="36" t="s">
        <v>50</v>
      </c>
      <c r="B153" s="26">
        <v>47579</v>
      </c>
      <c r="C153" s="228"/>
      <c r="D153" s="36" t="s">
        <v>37</v>
      </c>
      <c r="E153" s="39">
        <v>200</v>
      </c>
      <c r="F153" s="39" t="s">
        <v>60</v>
      </c>
      <c r="G153" s="36" t="s">
        <v>672</v>
      </c>
      <c r="H153" s="36" t="s">
        <v>89</v>
      </c>
      <c r="I153" s="39">
        <v>331</v>
      </c>
      <c r="J153" s="39"/>
      <c r="K153" s="39"/>
      <c r="L153" s="39">
        <f t="shared" si="78"/>
        <v>331</v>
      </c>
      <c r="M153" s="117">
        <v>46162</v>
      </c>
      <c r="N153" s="117">
        <v>46167</v>
      </c>
      <c r="O153" s="39"/>
      <c r="P153" s="39"/>
      <c r="Q153" s="39"/>
      <c r="R153" s="39">
        <f t="shared" si="51"/>
        <v>0</v>
      </c>
      <c r="S153" s="39" t="s">
        <v>590</v>
      </c>
      <c r="T153" s="39"/>
      <c r="U153" s="39"/>
      <c r="V153" s="117">
        <v>46157</v>
      </c>
      <c r="W153" s="39">
        <v>371</v>
      </c>
      <c r="X153" s="117">
        <v>46198</v>
      </c>
      <c r="Y153" s="39">
        <v>334</v>
      </c>
      <c r="Z153" s="39"/>
      <c r="AA153" s="39"/>
      <c r="AB153" s="119">
        <f t="shared" si="52"/>
        <v>334</v>
      </c>
      <c r="AC153" s="39" t="s">
        <v>139</v>
      </c>
      <c r="AD153" s="117">
        <v>46200</v>
      </c>
      <c r="AE153" s="39">
        <v>333</v>
      </c>
      <c r="AF153" s="117">
        <v>46211</v>
      </c>
      <c r="AG153" s="39">
        <v>326</v>
      </c>
      <c r="AH153" s="39">
        <f t="shared" si="3"/>
        <v>-7</v>
      </c>
      <c r="AI153" s="39"/>
      <c r="AJ153" s="39"/>
      <c r="AK153" s="39"/>
      <c r="AL153" s="39"/>
      <c r="AM153" s="39"/>
      <c r="AN153" s="39">
        <f t="shared" si="4"/>
        <v>0</v>
      </c>
      <c r="AO153" s="39"/>
      <c r="AP153" s="39"/>
      <c r="AQ153" s="39"/>
      <c r="AR153" s="39"/>
      <c r="AS153" s="39"/>
      <c r="AT153" s="39">
        <f t="shared" si="5"/>
        <v>0</v>
      </c>
      <c r="AU153" s="39"/>
      <c r="AV153" s="39"/>
      <c r="AW153" s="39"/>
      <c r="AX153" s="39"/>
      <c r="AY153" s="39"/>
      <c r="AZ153" s="39">
        <f t="shared" si="6"/>
        <v>0</v>
      </c>
      <c r="BA153" s="39"/>
      <c r="BB153" s="39"/>
      <c r="BC153" s="39"/>
      <c r="BD153" s="39"/>
      <c r="BE153" s="39"/>
      <c r="BF153" s="39">
        <f t="shared" si="7"/>
        <v>0</v>
      </c>
      <c r="BG153" s="39"/>
      <c r="BH153" s="39"/>
      <c r="BI153" s="39"/>
      <c r="BJ153" s="39"/>
      <c r="BK153" s="39"/>
      <c r="BL153" s="39">
        <f t="shared" si="8"/>
        <v>0</v>
      </c>
      <c r="BM153" s="54" t="str">
        <f t="shared" si="9"/>
        <v/>
      </c>
      <c r="BN153" s="58">
        <v>46181</v>
      </c>
      <c r="BO153" s="57">
        <v>46193</v>
      </c>
      <c r="BP153" s="57">
        <v>46196</v>
      </c>
      <c r="BQ153" s="57">
        <v>46203</v>
      </c>
      <c r="BR153" s="230"/>
      <c r="BS153" s="230"/>
      <c r="BT153" s="39">
        <v>2224</v>
      </c>
      <c r="BU153" s="39">
        <f>325</f>
        <v>325</v>
      </c>
      <c r="BV153" s="39"/>
      <c r="BW153" s="39"/>
      <c r="BX153" s="39"/>
      <c r="BY153" s="39"/>
      <c r="BZ153" s="39">
        <f t="shared" si="10"/>
        <v>325</v>
      </c>
      <c r="CA153" s="39">
        <f t="shared" si="61"/>
        <v>-6</v>
      </c>
      <c r="CB153" s="39">
        <f t="shared" si="12"/>
        <v>0</v>
      </c>
      <c r="CC153" s="39">
        <f t="shared" si="13"/>
        <v>0</v>
      </c>
      <c r="CD153" s="39">
        <v>0</v>
      </c>
      <c r="CE153" s="102">
        <f t="shared" si="15"/>
        <v>0</v>
      </c>
      <c r="CF153" s="36" t="s">
        <v>248</v>
      </c>
      <c r="CG153" s="39" t="s">
        <v>492</v>
      </c>
      <c r="CH153" s="39"/>
      <c r="CI153" s="25">
        <v>1</v>
      </c>
    </row>
    <row r="154" spans="1:87" ht="24.75" customHeight="1">
      <c r="A154" s="36" t="s">
        <v>50</v>
      </c>
      <c r="B154" s="26">
        <v>47580</v>
      </c>
      <c r="C154" s="227">
        <v>13262613</v>
      </c>
      <c r="D154" s="36" t="s">
        <v>37</v>
      </c>
      <c r="E154" s="39">
        <v>200</v>
      </c>
      <c r="F154" s="39" t="s">
        <v>60</v>
      </c>
      <c r="G154" s="36" t="s">
        <v>564</v>
      </c>
      <c r="H154" s="36" t="s">
        <v>89</v>
      </c>
      <c r="I154" s="39">
        <v>176</v>
      </c>
      <c r="J154" s="39"/>
      <c r="K154" s="39"/>
      <c r="L154" s="39">
        <f t="shared" si="78"/>
        <v>176</v>
      </c>
      <c r="M154" s="117">
        <v>46164</v>
      </c>
      <c r="N154" s="117">
        <v>46179</v>
      </c>
      <c r="O154" s="39"/>
      <c r="P154" s="39"/>
      <c r="Q154" s="39"/>
      <c r="R154" s="39">
        <f t="shared" si="51"/>
        <v>0</v>
      </c>
      <c r="S154" s="39" t="s">
        <v>130</v>
      </c>
      <c r="T154" s="39">
        <v>106977</v>
      </c>
      <c r="U154" s="117">
        <v>46188</v>
      </c>
      <c r="V154" s="39"/>
      <c r="W154" s="39"/>
      <c r="X154" s="39"/>
      <c r="Y154" s="39">
        <v>205</v>
      </c>
      <c r="Z154" s="39"/>
      <c r="AA154" s="39"/>
      <c r="AB154" s="119">
        <f t="shared" si="52"/>
        <v>205</v>
      </c>
      <c r="AC154" s="39" t="s">
        <v>139</v>
      </c>
      <c r="AD154" s="117">
        <v>46190</v>
      </c>
      <c r="AE154" s="39">
        <v>176</v>
      </c>
      <c r="AF154" s="117">
        <v>46211</v>
      </c>
      <c r="AG154" s="39">
        <v>171</v>
      </c>
      <c r="AH154" s="39">
        <f t="shared" si="3"/>
        <v>-5</v>
      </c>
      <c r="AI154" s="39"/>
      <c r="AJ154" s="39"/>
      <c r="AK154" s="39"/>
      <c r="AL154" s="39"/>
      <c r="AM154" s="39"/>
      <c r="AN154" s="39">
        <f t="shared" si="4"/>
        <v>0</v>
      </c>
      <c r="AO154" s="39"/>
      <c r="AP154" s="39"/>
      <c r="AQ154" s="39"/>
      <c r="AR154" s="39"/>
      <c r="AS154" s="39"/>
      <c r="AT154" s="39">
        <f t="shared" si="5"/>
        <v>0</v>
      </c>
      <c r="AU154" s="39"/>
      <c r="AV154" s="39"/>
      <c r="AW154" s="39"/>
      <c r="AX154" s="39"/>
      <c r="AY154" s="39"/>
      <c r="AZ154" s="39">
        <f t="shared" si="6"/>
        <v>0</v>
      </c>
      <c r="BA154" s="39"/>
      <c r="BB154" s="39"/>
      <c r="BC154" s="39"/>
      <c r="BD154" s="39"/>
      <c r="BE154" s="39"/>
      <c r="BF154" s="39">
        <f t="shared" si="7"/>
        <v>0</v>
      </c>
      <c r="BG154" s="39"/>
      <c r="BH154" s="39"/>
      <c r="BI154" s="39"/>
      <c r="BJ154" s="39"/>
      <c r="BK154" s="39"/>
      <c r="BL154" s="39">
        <f t="shared" si="8"/>
        <v>0</v>
      </c>
      <c r="BM154" s="54" t="str">
        <f t="shared" si="9"/>
        <v/>
      </c>
      <c r="BN154" s="58">
        <v>46183</v>
      </c>
      <c r="BO154" s="57">
        <v>46195</v>
      </c>
      <c r="BP154" s="57">
        <v>46197</v>
      </c>
      <c r="BQ154" s="57">
        <v>46203</v>
      </c>
      <c r="BR154" s="229">
        <v>46212</v>
      </c>
      <c r="BS154" s="229">
        <v>46212</v>
      </c>
      <c r="BT154" s="39">
        <v>2223</v>
      </c>
      <c r="BU154" s="39">
        <v>170</v>
      </c>
      <c r="BV154" s="39"/>
      <c r="BW154" s="39"/>
      <c r="BX154" s="39"/>
      <c r="BY154" s="39"/>
      <c r="BZ154" s="39">
        <f t="shared" si="10"/>
        <v>170</v>
      </c>
      <c r="CA154" s="39">
        <f t="shared" si="61"/>
        <v>-6</v>
      </c>
      <c r="CB154" s="39">
        <f t="shared" si="12"/>
        <v>0</v>
      </c>
      <c r="CC154" s="39">
        <f t="shared" si="13"/>
        <v>0</v>
      </c>
      <c r="CD154" s="39">
        <v>0</v>
      </c>
      <c r="CE154" s="102">
        <f t="shared" si="15"/>
        <v>0</v>
      </c>
      <c r="CF154" s="36" t="s">
        <v>248</v>
      </c>
      <c r="CG154" s="39" t="s">
        <v>492</v>
      </c>
      <c r="CH154" s="39"/>
      <c r="CI154" s="25">
        <v>1</v>
      </c>
    </row>
    <row r="155" spans="1:87" ht="24.75" customHeight="1">
      <c r="A155" s="36" t="s">
        <v>50</v>
      </c>
      <c r="B155" s="26">
        <v>47580</v>
      </c>
      <c r="C155" s="228"/>
      <c r="D155" s="36" t="s">
        <v>37</v>
      </c>
      <c r="E155" s="39">
        <v>200</v>
      </c>
      <c r="F155" s="39" t="s">
        <v>60</v>
      </c>
      <c r="G155" s="36" t="s">
        <v>672</v>
      </c>
      <c r="H155" s="36" t="s">
        <v>89</v>
      </c>
      <c r="I155" s="39">
        <v>312</v>
      </c>
      <c r="J155" s="39"/>
      <c r="K155" s="39"/>
      <c r="L155" s="39">
        <f t="shared" ref="L155:L157" si="79">SUM(I155:K155)</f>
        <v>312</v>
      </c>
      <c r="M155" s="117">
        <v>46164</v>
      </c>
      <c r="N155" s="117">
        <v>46179</v>
      </c>
      <c r="O155" s="39"/>
      <c r="P155" s="39"/>
      <c r="Q155" s="39"/>
      <c r="R155" s="39">
        <f t="shared" si="51"/>
        <v>0</v>
      </c>
      <c r="S155" s="39" t="s">
        <v>590</v>
      </c>
      <c r="T155" s="39"/>
      <c r="U155" s="39"/>
      <c r="V155" s="117">
        <v>46157</v>
      </c>
      <c r="W155" s="39">
        <v>350</v>
      </c>
      <c r="X155" s="117">
        <v>46198</v>
      </c>
      <c r="Y155" s="39">
        <v>312</v>
      </c>
      <c r="Z155" s="39"/>
      <c r="AA155" s="39"/>
      <c r="AB155" s="119">
        <f t="shared" si="52"/>
        <v>312</v>
      </c>
      <c r="AC155" s="39" t="s">
        <v>139</v>
      </c>
      <c r="AD155" s="117">
        <v>46200</v>
      </c>
      <c r="AE155" s="39">
        <v>315</v>
      </c>
      <c r="AF155" s="117">
        <v>46211</v>
      </c>
      <c r="AG155" s="39">
        <v>310</v>
      </c>
      <c r="AH155" s="39">
        <f t="shared" si="3"/>
        <v>-5</v>
      </c>
      <c r="AI155" s="39"/>
      <c r="AJ155" s="39"/>
      <c r="AK155" s="39"/>
      <c r="AL155" s="39"/>
      <c r="AM155" s="39"/>
      <c r="AN155" s="39">
        <f t="shared" si="4"/>
        <v>0</v>
      </c>
      <c r="AO155" s="39"/>
      <c r="AP155" s="39"/>
      <c r="AQ155" s="39"/>
      <c r="AR155" s="39"/>
      <c r="AS155" s="39"/>
      <c r="AT155" s="39">
        <f t="shared" si="5"/>
        <v>0</v>
      </c>
      <c r="AU155" s="39"/>
      <c r="AV155" s="39"/>
      <c r="AW155" s="39"/>
      <c r="AX155" s="39"/>
      <c r="AY155" s="39"/>
      <c r="AZ155" s="39">
        <f t="shared" si="6"/>
        <v>0</v>
      </c>
      <c r="BA155" s="39"/>
      <c r="BB155" s="39"/>
      <c r="BC155" s="39"/>
      <c r="BD155" s="39"/>
      <c r="BE155" s="39"/>
      <c r="BF155" s="39">
        <f t="shared" si="7"/>
        <v>0</v>
      </c>
      <c r="BG155" s="39"/>
      <c r="BH155" s="39"/>
      <c r="BI155" s="39"/>
      <c r="BJ155" s="39"/>
      <c r="BK155" s="39"/>
      <c r="BL155" s="39">
        <f t="shared" si="8"/>
        <v>0</v>
      </c>
      <c r="BM155" s="54" t="str">
        <f t="shared" si="9"/>
        <v/>
      </c>
      <c r="BN155" s="58">
        <v>46183</v>
      </c>
      <c r="BO155" s="57">
        <v>46195</v>
      </c>
      <c r="BP155" s="57">
        <v>46197</v>
      </c>
      <c r="BQ155" s="57">
        <v>46203</v>
      </c>
      <c r="BR155" s="230"/>
      <c r="BS155" s="230"/>
      <c r="BT155" s="39">
        <v>2224</v>
      </c>
      <c r="BU155" s="39">
        <f>309</f>
        <v>309</v>
      </c>
      <c r="BV155" s="39"/>
      <c r="BW155" s="39"/>
      <c r="BX155" s="39"/>
      <c r="BY155" s="39"/>
      <c r="BZ155" s="39">
        <f t="shared" si="10"/>
        <v>309</v>
      </c>
      <c r="CA155" s="39">
        <f t="shared" si="61"/>
        <v>-3</v>
      </c>
      <c r="CB155" s="39">
        <f t="shared" si="12"/>
        <v>0</v>
      </c>
      <c r="CC155" s="39">
        <f t="shared" si="13"/>
        <v>0</v>
      </c>
      <c r="CD155" s="39">
        <v>0</v>
      </c>
      <c r="CE155" s="102">
        <f t="shared" si="15"/>
        <v>0</v>
      </c>
      <c r="CF155" s="36" t="s">
        <v>248</v>
      </c>
      <c r="CG155" s="39" t="s">
        <v>492</v>
      </c>
      <c r="CH155" s="39"/>
      <c r="CI155" s="25">
        <v>1</v>
      </c>
    </row>
    <row r="156" spans="1:87" ht="24.75" customHeight="1">
      <c r="A156" s="36" t="s">
        <v>50</v>
      </c>
      <c r="B156" s="26">
        <v>47582</v>
      </c>
      <c r="C156" s="227">
        <v>13265643</v>
      </c>
      <c r="D156" s="36" t="s">
        <v>37</v>
      </c>
      <c r="E156" s="39">
        <v>200</v>
      </c>
      <c r="F156" s="39" t="s">
        <v>60</v>
      </c>
      <c r="G156" s="36" t="s">
        <v>672</v>
      </c>
      <c r="H156" s="36" t="s">
        <v>89</v>
      </c>
      <c r="I156" s="39">
        <v>65</v>
      </c>
      <c r="J156" s="39"/>
      <c r="K156" s="39"/>
      <c r="L156" s="39">
        <f t="shared" si="79"/>
        <v>65</v>
      </c>
      <c r="M156" s="117">
        <v>46155</v>
      </c>
      <c r="N156" s="117">
        <v>46158</v>
      </c>
      <c r="O156" s="39"/>
      <c r="P156" s="39"/>
      <c r="Q156" s="39"/>
      <c r="R156" s="39">
        <f t="shared" ref="R156:R160" si="80">SUM(O156:Q156)</f>
        <v>0</v>
      </c>
      <c r="S156" s="39" t="s">
        <v>590</v>
      </c>
      <c r="T156" s="39"/>
      <c r="U156" s="39"/>
      <c r="V156" s="117">
        <v>46157</v>
      </c>
      <c r="W156" s="39">
        <v>78</v>
      </c>
      <c r="X156" s="117">
        <v>46198</v>
      </c>
      <c r="Y156" s="39">
        <v>65</v>
      </c>
      <c r="Z156" s="39"/>
      <c r="AA156" s="39"/>
      <c r="AB156" s="119">
        <f t="shared" ref="AB156:AB169" si="81">SUM(Y156:AA156)</f>
        <v>65</v>
      </c>
      <c r="AC156" s="39" t="s">
        <v>139</v>
      </c>
      <c r="AD156" s="117">
        <v>46200</v>
      </c>
      <c r="AE156" s="39">
        <v>66</v>
      </c>
      <c r="AF156" s="117">
        <v>46211</v>
      </c>
      <c r="AG156" s="39">
        <v>66</v>
      </c>
      <c r="AH156" s="39">
        <f t="shared" si="3"/>
        <v>0</v>
      </c>
      <c r="AI156" s="39"/>
      <c r="AJ156" s="39"/>
      <c r="AK156" s="39"/>
      <c r="AL156" s="39"/>
      <c r="AM156" s="39"/>
      <c r="AN156" s="39">
        <f t="shared" si="4"/>
        <v>0</v>
      </c>
      <c r="AO156" s="39"/>
      <c r="AP156" s="39"/>
      <c r="AQ156" s="39"/>
      <c r="AR156" s="39"/>
      <c r="AS156" s="39"/>
      <c r="AT156" s="39">
        <f t="shared" si="5"/>
        <v>0</v>
      </c>
      <c r="AU156" s="39"/>
      <c r="AV156" s="39"/>
      <c r="AW156" s="39"/>
      <c r="AX156" s="39"/>
      <c r="AY156" s="39"/>
      <c r="AZ156" s="39">
        <f t="shared" si="6"/>
        <v>0</v>
      </c>
      <c r="BA156" s="39"/>
      <c r="BB156" s="39"/>
      <c r="BC156" s="39"/>
      <c r="BD156" s="39"/>
      <c r="BE156" s="39"/>
      <c r="BF156" s="39">
        <f t="shared" si="7"/>
        <v>0</v>
      </c>
      <c r="BG156" s="39"/>
      <c r="BH156" s="39"/>
      <c r="BI156" s="39"/>
      <c r="BJ156" s="39"/>
      <c r="BK156" s="39"/>
      <c r="BL156" s="39">
        <f t="shared" si="8"/>
        <v>0</v>
      </c>
      <c r="BM156" s="54" t="str">
        <f t="shared" si="9"/>
        <v/>
      </c>
      <c r="BN156" s="58">
        <v>46183</v>
      </c>
      <c r="BO156" s="57">
        <v>46196</v>
      </c>
      <c r="BP156" s="57">
        <v>46198</v>
      </c>
      <c r="BQ156" s="57">
        <v>46203</v>
      </c>
      <c r="BR156" s="229">
        <v>46212</v>
      </c>
      <c r="BS156" s="229">
        <v>46220</v>
      </c>
      <c r="BT156" s="39">
        <v>2223</v>
      </c>
      <c r="BU156" s="39">
        <v>66</v>
      </c>
      <c r="BV156" s="39"/>
      <c r="BW156" s="39"/>
      <c r="BX156" s="39"/>
      <c r="BY156" s="39"/>
      <c r="BZ156" s="39">
        <f t="shared" si="10"/>
        <v>66</v>
      </c>
      <c r="CA156" s="39">
        <f t="shared" si="61"/>
        <v>1</v>
      </c>
      <c r="CB156" s="39">
        <f t="shared" si="12"/>
        <v>0</v>
      </c>
      <c r="CC156" s="39">
        <f t="shared" si="13"/>
        <v>0</v>
      </c>
      <c r="CD156" s="39">
        <f t="shared" si="14"/>
        <v>0</v>
      </c>
      <c r="CE156" s="102">
        <f t="shared" si="15"/>
        <v>0</v>
      </c>
      <c r="CF156" s="36" t="s">
        <v>248</v>
      </c>
      <c r="CG156" s="39" t="s">
        <v>492</v>
      </c>
      <c r="CH156" s="39"/>
      <c r="CI156" s="25">
        <v>1</v>
      </c>
    </row>
    <row r="157" spans="1:87" ht="24.75" customHeight="1">
      <c r="A157" s="36" t="s">
        <v>50</v>
      </c>
      <c r="B157" s="26">
        <v>47582</v>
      </c>
      <c r="C157" s="228"/>
      <c r="D157" s="36" t="s">
        <v>37</v>
      </c>
      <c r="E157" s="39">
        <v>200</v>
      </c>
      <c r="F157" s="39" t="s">
        <v>60</v>
      </c>
      <c r="G157" s="36" t="s">
        <v>672</v>
      </c>
      <c r="H157" s="36" t="s">
        <v>89</v>
      </c>
      <c r="I157" s="39">
        <v>40</v>
      </c>
      <c r="J157" s="39"/>
      <c r="K157" s="39"/>
      <c r="L157" s="39">
        <f t="shared" si="79"/>
        <v>40</v>
      </c>
      <c r="M157" s="117">
        <v>46155</v>
      </c>
      <c r="N157" s="117">
        <v>46158</v>
      </c>
      <c r="O157" s="39"/>
      <c r="P157" s="39"/>
      <c r="Q157" s="39"/>
      <c r="R157" s="39">
        <f t="shared" si="80"/>
        <v>0</v>
      </c>
      <c r="S157" s="39" t="s">
        <v>590</v>
      </c>
      <c r="T157" s="39"/>
      <c r="U157" s="39"/>
      <c r="V157" s="117">
        <v>46157</v>
      </c>
      <c r="W157" s="39">
        <v>50</v>
      </c>
      <c r="X157" s="117">
        <v>46198</v>
      </c>
      <c r="Y157" s="39">
        <f>35</f>
        <v>35</v>
      </c>
      <c r="Z157" s="39"/>
      <c r="AA157" s="39"/>
      <c r="AB157" s="120">
        <f t="shared" si="81"/>
        <v>35</v>
      </c>
      <c r="AC157" s="39" t="s">
        <v>139</v>
      </c>
      <c r="AD157" s="117">
        <v>46200</v>
      </c>
      <c r="AE157" s="39">
        <v>42</v>
      </c>
      <c r="AF157" s="117">
        <v>46218</v>
      </c>
      <c r="AG157" s="39">
        <v>42</v>
      </c>
      <c r="AH157" s="39">
        <f t="shared" si="3"/>
        <v>0</v>
      </c>
      <c r="AI157" s="39"/>
      <c r="AJ157" s="39"/>
      <c r="AK157" s="39"/>
      <c r="AL157" s="39"/>
      <c r="AM157" s="39"/>
      <c r="AN157" s="39">
        <f t="shared" si="4"/>
        <v>0</v>
      </c>
      <c r="AO157" s="39"/>
      <c r="AP157" s="39"/>
      <c r="AQ157" s="39"/>
      <c r="AR157" s="39"/>
      <c r="AS157" s="39"/>
      <c r="AT157" s="39">
        <f t="shared" si="5"/>
        <v>0</v>
      </c>
      <c r="AU157" s="39"/>
      <c r="AV157" s="39"/>
      <c r="AW157" s="39"/>
      <c r="AX157" s="39"/>
      <c r="AY157" s="39"/>
      <c r="AZ157" s="39">
        <f t="shared" si="6"/>
        <v>0</v>
      </c>
      <c r="BA157" s="39"/>
      <c r="BB157" s="39"/>
      <c r="BC157" s="39"/>
      <c r="BD157" s="39"/>
      <c r="BE157" s="39"/>
      <c r="BF157" s="39">
        <f t="shared" si="7"/>
        <v>0</v>
      </c>
      <c r="BG157" s="39"/>
      <c r="BH157" s="39"/>
      <c r="BI157" s="39"/>
      <c r="BJ157" s="39"/>
      <c r="BK157" s="39"/>
      <c r="BL157" s="39">
        <f t="shared" si="8"/>
        <v>0</v>
      </c>
      <c r="BM157" s="54" t="str">
        <f t="shared" si="9"/>
        <v/>
      </c>
      <c r="BN157" s="58">
        <v>46183</v>
      </c>
      <c r="BO157" s="57">
        <v>46196</v>
      </c>
      <c r="BP157" s="57">
        <v>46198</v>
      </c>
      <c r="BQ157" s="57">
        <v>46203</v>
      </c>
      <c r="BR157" s="230"/>
      <c r="BS157" s="230"/>
      <c r="BT157" s="39">
        <v>2237</v>
      </c>
      <c r="BU157" s="39">
        <v>42</v>
      </c>
      <c r="BV157" s="39"/>
      <c r="BW157" s="39"/>
      <c r="BX157" s="39"/>
      <c r="BY157" s="39"/>
      <c r="BZ157" s="39">
        <f t="shared" si="10"/>
        <v>42</v>
      </c>
      <c r="CA157" s="39">
        <f t="shared" si="61"/>
        <v>2</v>
      </c>
      <c r="CB157" s="39">
        <f t="shared" si="12"/>
        <v>0</v>
      </c>
      <c r="CC157" s="39">
        <f t="shared" si="13"/>
        <v>0</v>
      </c>
      <c r="CD157" s="39">
        <f t="shared" si="14"/>
        <v>0</v>
      </c>
      <c r="CE157" s="102">
        <f t="shared" si="15"/>
        <v>0</v>
      </c>
      <c r="CF157" s="36" t="s">
        <v>248</v>
      </c>
      <c r="CG157" s="39" t="s">
        <v>492</v>
      </c>
      <c r="CH157" s="39"/>
      <c r="CI157" s="25">
        <v>1</v>
      </c>
    </row>
    <row r="158" spans="1:87" ht="24.75" customHeight="1">
      <c r="A158" s="36" t="s">
        <v>50</v>
      </c>
      <c r="B158" s="26">
        <v>47583</v>
      </c>
      <c r="C158" s="227">
        <v>13262616</v>
      </c>
      <c r="D158" s="36" t="s">
        <v>45</v>
      </c>
      <c r="E158" s="39">
        <v>240</v>
      </c>
      <c r="F158" s="39" t="s">
        <v>53</v>
      </c>
      <c r="G158" s="36" t="s">
        <v>671</v>
      </c>
      <c r="H158" s="36" t="s">
        <v>404</v>
      </c>
      <c r="I158" s="39">
        <v>122</v>
      </c>
      <c r="J158" s="39">
        <v>57</v>
      </c>
      <c r="K158" s="39">
        <v>4</v>
      </c>
      <c r="L158" s="39">
        <f t="shared" ref="L158:L161" si="82">SUM(I158:K158)</f>
        <v>183</v>
      </c>
      <c r="M158" s="117">
        <v>46158</v>
      </c>
      <c r="N158" s="117">
        <v>46167</v>
      </c>
      <c r="O158" s="39"/>
      <c r="P158" s="39"/>
      <c r="Q158" s="39"/>
      <c r="R158" s="39">
        <f t="shared" si="80"/>
        <v>0</v>
      </c>
      <c r="S158" s="39" t="s">
        <v>28</v>
      </c>
      <c r="T158" s="39"/>
      <c r="U158" s="39"/>
      <c r="V158" s="117">
        <v>46195</v>
      </c>
      <c r="W158" s="39">
        <f>143+68+6</f>
        <v>217</v>
      </c>
      <c r="X158" s="117" t="s">
        <v>1676</v>
      </c>
      <c r="Y158" s="39">
        <v>140</v>
      </c>
      <c r="Z158" s="39">
        <v>63</v>
      </c>
      <c r="AA158" s="39">
        <v>5</v>
      </c>
      <c r="AB158" s="119">
        <f t="shared" si="81"/>
        <v>208</v>
      </c>
      <c r="AC158" s="39"/>
      <c r="AD158" s="39"/>
      <c r="AE158" s="39"/>
      <c r="AF158" s="39"/>
      <c r="AG158" s="39"/>
      <c r="AH158" s="39">
        <f t="shared" si="3"/>
        <v>0</v>
      </c>
      <c r="AI158" s="39"/>
      <c r="AJ158" s="39"/>
      <c r="AK158" s="39"/>
      <c r="AL158" s="39"/>
      <c r="AM158" s="39"/>
      <c r="AN158" s="39">
        <f t="shared" si="4"/>
        <v>0</v>
      </c>
      <c r="AO158" s="39" t="s">
        <v>280</v>
      </c>
      <c r="AP158" s="117">
        <v>46202</v>
      </c>
      <c r="AQ158" s="39">
        <v>140</v>
      </c>
      <c r="AR158" s="117">
        <v>46209</v>
      </c>
      <c r="AS158" s="39">
        <v>140</v>
      </c>
      <c r="AT158" s="39">
        <f t="shared" si="5"/>
        <v>0</v>
      </c>
      <c r="AU158" s="39" t="s">
        <v>257</v>
      </c>
      <c r="AV158" s="117">
        <v>46209</v>
      </c>
      <c r="AW158" s="39">
        <v>140</v>
      </c>
      <c r="AX158" s="117">
        <v>46210</v>
      </c>
      <c r="AY158" s="39">
        <v>137</v>
      </c>
      <c r="AZ158" s="39">
        <f t="shared" si="6"/>
        <v>-3</v>
      </c>
      <c r="BA158" s="39"/>
      <c r="BB158" s="39"/>
      <c r="BC158" s="39"/>
      <c r="BD158" s="39"/>
      <c r="BE158" s="39"/>
      <c r="BF158" s="39">
        <f t="shared" si="7"/>
        <v>0</v>
      </c>
      <c r="BG158" s="39"/>
      <c r="BH158" s="39"/>
      <c r="BI158" s="39"/>
      <c r="BJ158" s="39"/>
      <c r="BK158" s="39"/>
      <c r="BL158" s="39">
        <f t="shared" si="8"/>
        <v>0</v>
      </c>
      <c r="BM158" s="54" t="str">
        <f t="shared" si="9"/>
        <v/>
      </c>
      <c r="BN158" s="58">
        <v>46183</v>
      </c>
      <c r="BO158" s="57">
        <v>46198</v>
      </c>
      <c r="BP158" s="36"/>
      <c r="BQ158" s="36"/>
      <c r="BR158" s="229">
        <v>46218</v>
      </c>
      <c r="BS158" s="229">
        <v>46224</v>
      </c>
      <c r="BT158" s="39">
        <v>1803</v>
      </c>
      <c r="BU158" s="39">
        <v>137</v>
      </c>
      <c r="BV158" s="39">
        <v>1532</v>
      </c>
      <c r="BW158" s="39">
        <v>63</v>
      </c>
      <c r="BX158" s="39">
        <v>1532</v>
      </c>
      <c r="BY158" s="39">
        <v>5</v>
      </c>
      <c r="BZ158" s="39">
        <f t="shared" si="10"/>
        <v>205</v>
      </c>
      <c r="CA158" s="39">
        <f t="shared" si="61"/>
        <v>15</v>
      </c>
      <c r="CB158" s="39">
        <f t="shared" si="12"/>
        <v>6</v>
      </c>
      <c r="CC158" s="39">
        <f t="shared" si="13"/>
        <v>1</v>
      </c>
      <c r="CD158" s="39">
        <f t="shared" si="14"/>
        <v>0</v>
      </c>
      <c r="CE158" s="102">
        <f t="shared" si="15"/>
        <v>0</v>
      </c>
      <c r="CF158" s="36" t="s">
        <v>248</v>
      </c>
      <c r="CG158" s="39" t="s">
        <v>492</v>
      </c>
      <c r="CH158" s="39"/>
      <c r="CI158" s="25">
        <v>1</v>
      </c>
    </row>
    <row r="159" spans="1:87" ht="24.75" customHeight="1">
      <c r="A159" s="36" t="s">
        <v>50</v>
      </c>
      <c r="B159" s="26">
        <v>47583</v>
      </c>
      <c r="C159" s="228"/>
      <c r="D159" s="36" t="s">
        <v>45</v>
      </c>
      <c r="E159" s="39">
        <v>240</v>
      </c>
      <c r="F159" s="39" t="s">
        <v>53</v>
      </c>
      <c r="G159" s="36" t="s">
        <v>488</v>
      </c>
      <c r="H159" s="36" t="s">
        <v>404</v>
      </c>
      <c r="I159" s="39">
        <v>106</v>
      </c>
      <c r="J159" s="39">
        <v>49</v>
      </c>
      <c r="K159" s="39">
        <v>3</v>
      </c>
      <c r="L159" s="39">
        <f t="shared" si="82"/>
        <v>158</v>
      </c>
      <c r="M159" s="117">
        <v>46158</v>
      </c>
      <c r="N159" s="117">
        <v>46167</v>
      </c>
      <c r="O159" s="39"/>
      <c r="P159" s="39"/>
      <c r="Q159" s="39"/>
      <c r="R159" s="39">
        <f t="shared" si="80"/>
        <v>0</v>
      </c>
      <c r="S159" s="39" t="s">
        <v>130</v>
      </c>
      <c r="T159" s="39">
        <v>107503</v>
      </c>
      <c r="U159" s="117">
        <v>46207</v>
      </c>
      <c r="V159" s="39"/>
      <c r="W159" s="39"/>
      <c r="X159" s="39"/>
      <c r="Y159" s="39">
        <v>133</v>
      </c>
      <c r="Z159" s="39">
        <v>59</v>
      </c>
      <c r="AA159" s="39">
        <v>6</v>
      </c>
      <c r="AB159" s="119">
        <f t="shared" si="81"/>
        <v>198</v>
      </c>
      <c r="AC159" s="39"/>
      <c r="AD159" s="39"/>
      <c r="AE159" s="39"/>
      <c r="AF159" s="39"/>
      <c r="AG159" s="39"/>
      <c r="AH159" s="39">
        <f t="shared" si="3"/>
        <v>0</v>
      </c>
      <c r="AI159" s="39"/>
      <c r="AJ159" s="39"/>
      <c r="AK159" s="39"/>
      <c r="AL159" s="39"/>
      <c r="AM159" s="39"/>
      <c r="AN159" s="39">
        <f t="shared" si="4"/>
        <v>0</v>
      </c>
      <c r="AO159" s="39" t="s">
        <v>257</v>
      </c>
      <c r="AP159" s="117">
        <v>46210</v>
      </c>
      <c r="AQ159" s="39">
        <v>118</v>
      </c>
      <c r="AR159" s="117">
        <v>46217</v>
      </c>
      <c r="AS159" s="39">
        <v>115</v>
      </c>
      <c r="AT159" s="39">
        <f t="shared" si="5"/>
        <v>-3</v>
      </c>
      <c r="AU159" s="39"/>
      <c r="AV159" s="39"/>
      <c r="AW159" s="39"/>
      <c r="AX159" s="39"/>
      <c r="AY159" s="39"/>
      <c r="AZ159" s="39">
        <f t="shared" si="6"/>
        <v>0</v>
      </c>
      <c r="BA159" s="39"/>
      <c r="BB159" s="39"/>
      <c r="BC159" s="39"/>
      <c r="BD159" s="39"/>
      <c r="BE159" s="39"/>
      <c r="BF159" s="39">
        <f t="shared" si="7"/>
        <v>0</v>
      </c>
      <c r="BG159" s="39"/>
      <c r="BH159" s="39"/>
      <c r="BI159" s="39"/>
      <c r="BJ159" s="39"/>
      <c r="BK159" s="39"/>
      <c r="BL159" s="39">
        <f t="shared" si="8"/>
        <v>0</v>
      </c>
      <c r="BM159" s="54" t="str">
        <f t="shared" si="9"/>
        <v/>
      </c>
      <c r="BN159" s="58">
        <v>46183</v>
      </c>
      <c r="BO159" s="57">
        <v>46198</v>
      </c>
      <c r="BP159" s="36"/>
      <c r="BQ159" s="36"/>
      <c r="BR159" s="230"/>
      <c r="BS159" s="230"/>
      <c r="BT159" s="39" t="s">
        <v>1870</v>
      </c>
      <c r="BU159" s="39">
        <f>100+6</f>
        <v>106</v>
      </c>
      <c r="BV159" s="39">
        <v>2044</v>
      </c>
      <c r="BW159" s="39">
        <v>53</v>
      </c>
      <c r="BX159" s="39">
        <v>2041</v>
      </c>
      <c r="BY159" s="39">
        <v>6</v>
      </c>
      <c r="BZ159" s="39">
        <f t="shared" ref="BZ159:BZ169" si="83">BU159+BW159+BY159</f>
        <v>165</v>
      </c>
      <c r="CA159" s="39">
        <f t="shared" si="61"/>
        <v>0</v>
      </c>
      <c r="CB159" s="39">
        <f t="shared" ref="CB159:CB169" si="84">BW159-J159</f>
        <v>4</v>
      </c>
      <c r="CC159" s="39">
        <f t="shared" ref="CC159:CC169" si="85">BY159-K159</f>
        <v>3</v>
      </c>
      <c r="CD159" s="39">
        <f t="shared" ref="CD159:CD169" si="86">SUMIF(CA159:CC159,"&lt;0")</f>
        <v>0</v>
      </c>
      <c r="CE159" s="102">
        <f t="shared" ref="CE159:CE169" si="87">CD159/L159</f>
        <v>0</v>
      </c>
      <c r="CF159" s="36" t="s">
        <v>248</v>
      </c>
      <c r="CG159" s="39" t="s">
        <v>492</v>
      </c>
      <c r="CH159" s="39"/>
      <c r="CI159" s="25">
        <v>1</v>
      </c>
    </row>
    <row r="160" spans="1:87" ht="24.75" customHeight="1">
      <c r="A160" s="36" t="s">
        <v>50</v>
      </c>
      <c r="B160" s="26" t="s">
        <v>760</v>
      </c>
      <c r="C160" s="227">
        <v>13195885</v>
      </c>
      <c r="D160" s="36" t="s">
        <v>98</v>
      </c>
      <c r="E160" s="39">
        <v>240</v>
      </c>
      <c r="F160" s="39" t="s">
        <v>55</v>
      </c>
      <c r="G160" s="36" t="s">
        <v>386</v>
      </c>
      <c r="H160" s="36" t="s">
        <v>94</v>
      </c>
      <c r="I160" s="39">
        <v>452</v>
      </c>
      <c r="J160" s="39"/>
      <c r="K160" s="39"/>
      <c r="L160" s="39">
        <f t="shared" si="82"/>
        <v>452</v>
      </c>
      <c r="M160" s="117">
        <v>46157</v>
      </c>
      <c r="N160" s="117">
        <v>46164</v>
      </c>
      <c r="O160" s="39"/>
      <c r="P160" s="39"/>
      <c r="Q160" s="39"/>
      <c r="R160" s="39">
        <f t="shared" si="80"/>
        <v>0</v>
      </c>
      <c r="S160" s="39" t="s">
        <v>326</v>
      </c>
      <c r="T160" s="39"/>
      <c r="U160" s="39"/>
      <c r="V160" s="117">
        <v>46182</v>
      </c>
      <c r="W160" s="39">
        <v>559</v>
      </c>
      <c r="X160" s="117">
        <v>46195</v>
      </c>
      <c r="Y160" s="39">
        <v>493</v>
      </c>
      <c r="Z160" s="39"/>
      <c r="AA160" s="39"/>
      <c r="AB160" s="119">
        <f t="shared" si="81"/>
        <v>493</v>
      </c>
      <c r="AC160" s="39"/>
      <c r="AD160" s="39"/>
      <c r="AE160" s="39"/>
      <c r="AF160" s="39"/>
      <c r="AG160" s="39"/>
      <c r="AH160" s="39">
        <f t="shared" ref="AH160:AH169" si="88">AG160-AE160</f>
        <v>0</v>
      </c>
      <c r="AI160" s="39" t="s">
        <v>163</v>
      </c>
      <c r="AJ160" s="117">
        <v>46196</v>
      </c>
      <c r="AK160" s="39">
        <v>493</v>
      </c>
      <c r="AL160" s="117">
        <v>46198</v>
      </c>
      <c r="AM160" s="39">
        <v>489</v>
      </c>
      <c r="AN160" s="39">
        <f t="shared" si="4"/>
        <v>-4</v>
      </c>
      <c r="AO160" s="39" t="s">
        <v>280</v>
      </c>
      <c r="AP160" s="117">
        <v>46198</v>
      </c>
      <c r="AQ160" s="39">
        <v>489</v>
      </c>
      <c r="AR160" s="117">
        <v>46199</v>
      </c>
      <c r="AS160" s="39">
        <v>473</v>
      </c>
      <c r="AT160" s="39">
        <f t="shared" ref="AT160:AT169" si="89">AS160-AQ160</f>
        <v>-16</v>
      </c>
      <c r="AU160" s="39"/>
      <c r="AV160" s="39"/>
      <c r="AW160" s="39"/>
      <c r="AX160" s="39"/>
      <c r="AY160" s="39"/>
      <c r="AZ160" s="39">
        <f t="shared" ref="AZ160:AZ169" si="90">AY160-AW160</f>
        <v>0</v>
      </c>
      <c r="BA160" s="39"/>
      <c r="BB160" s="39"/>
      <c r="BC160" s="39"/>
      <c r="BD160" s="39"/>
      <c r="BE160" s="39"/>
      <c r="BF160" s="39">
        <f t="shared" ref="BF160:BF169" si="91">BE160-BC160</f>
        <v>0</v>
      </c>
      <c r="BG160" s="39"/>
      <c r="BH160" s="39"/>
      <c r="BI160" s="39"/>
      <c r="BJ160" s="39"/>
      <c r="BK160" s="39"/>
      <c r="BL160" s="39">
        <f t="shared" ref="BL160:BL169" si="92">BK160-BI160</f>
        <v>0</v>
      </c>
      <c r="BM160" s="54" t="str">
        <f t="shared" ref="BM160:BM169" si="93">IF((BZ160/L160)&lt;0.9,$CO$1-U160,"")</f>
        <v/>
      </c>
      <c r="BN160" s="58">
        <v>46178</v>
      </c>
      <c r="BO160" s="57">
        <v>46188</v>
      </c>
      <c r="BP160" s="36"/>
      <c r="BQ160" s="36"/>
      <c r="BR160" s="229">
        <v>46192</v>
      </c>
      <c r="BS160" s="229">
        <v>46206</v>
      </c>
      <c r="BT160" s="39" t="s">
        <v>1260</v>
      </c>
      <c r="BU160" s="39">
        <f>410+50</f>
        <v>460</v>
      </c>
      <c r="BV160" s="39"/>
      <c r="BW160" s="39"/>
      <c r="BX160" s="39"/>
      <c r="BY160" s="39"/>
      <c r="BZ160" s="39">
        <f t="shared" si="83"/>
        <v>460</v>
      </c>
      <c r="CA160" s="39">
        <f t="shared" si="61"/>
        <v>8</v>
      </c>
      <c r="CB160" s="39">
        <f t="shared" si="84"/>
        <v>0</v>
      </c>
      <c r="CC160" s="39">
        <f t="shared" si="85"/>
        <v>0</v>
      </c>
      <c r="CD160" s="39">
        <f t="shared" si="86"/>
        <v>0</v>
      </c>
      <c r="CE160" s="102">
        <f t="shared" si="87"/>
        <v>0</v>
      </c>
      <c r="CF160" s="36" t="s">
        <v>292</v>
      </c>
      <c r="CG160" s="39" t="s">
        <v>281</v>
      </c>
      <c r="CH160" s="39" t="s">
        <v>560</v>
      </c>
      <c r="CI160" s="25">
        <v>1</v>
      </c>
    </row>
    <row r="161" spans="1:106" ht="24.75" customHeight="1">
      <c r="A161" s="36" t="s">
        <v>50</v>
      </c>
      <c r="B161" s="26" t="s">
        <v>760</v>
      </c>
      <c r="C161" s="231"/>
      <c r="D161" s="36" t="s">
        <v>98</v>
      </c>
      <c r="E161" s="39">
        <v>240</v>
      </c>
      <c r="F161" s="39" t="s">
        <v>55</v>
      </c>
      <c r="G161" s="36" t="s">
        <v>95</v>
      </c>
      <c r="H161" s="36" t="s">
        <v>94</v>
      </c>
      <c r="I161" s="39">
        <v>462</v>
      </c>
      <c r="J161" s="39"/>
      <c r="K161" s="39"/>
      <c r="L161" s="39">
        <f t="shared" si="82"/>
        <v>462</v>
      </c>
      <c r="M161" s="117">
        <v>46157</v>
      </c>
      <c r="N161" s="117">
        <v>46164</v>
      </c>
      <c r="O161" s="39"/>
      <c r="P161" s="39"/>
      <c r="Q161" s="39"/>
      <c r="R161" s="39">
        <f t="shared" ref="R161:R166" si="94">SUM(O161:Q161)</f>
        <v>0</v>
      </c>
      <c r="S161" s="39" t="s">
        <v>31</v>
      </c>
      <c r="T161" s="39"/>
      <c r="U161" s="39"/>
      <c r="V161" s="117">
        <v>46193</v>
      </c>
      <c r="W161" s="39">
        <v>526</v>
      </c>
      <c r="X161" s="117" t="s">
        <v>1145</v>
      </c>
      <c r="Y161" s="39">
        <f>28+513</f>
        <v>541</v>
      </c>
      <c r="Z161" s="39"/>
      <c r="AA161" s="39"/>
      <c r="AB161" s="119">
        <f t="shared" si="81"/>
        <v>541</v>
      </c>
      <c r="AC161" s="39"/>
      <c r="AD161" s="39"/>
      <c r="AE161" s="39"/>
      <c r="AF161" s="39"/>
      <c r="AG161" s="39"/>
      <c r="AH161" s="39">
        <f t="shared" si="88"/>
        <v>0</v>
      </c>
      <c r="AI161" s="39" t="s">
        <v>257</v>
      </c>
      <c r="AJ161" s="117">
        <v>46198</v>
      </c>
      <c r="AK161" s="39">
        <v>514</v>
      </c>
      <c r="AL161" s="117">
        <v>46199</v>
      </c>
      <c r="AM161" s="39">
        <v>500</v>
      </c>
      <c r="AN161" s="39">
        <f t="shared" si="4"/>
        <v>-14</v>
      </c>
      <c r="AO161" s="39" t="s">
        <v>257</v>
      </c>
      <c r="AP161" s="117">
        <v>46198</v>
      </c>
      <c r="AQ161" s="39">
        <v>514</v>
      </c>
      <c r="AR161" s="117">
        <v>46199</v>
      </c>
      <c r="AS161" s="39">
        <v>500</v>
      </c>
      <c r="AT161" s="39">
        <f t="shared" si="89"/>
        <v>-14</v>
      </c>
      <c r="AU161" s="39" t="s">
        <v>257</v>
      </c>
      <c r="AV161" s="117">
        <v>46198</v>
      </c>
      <c r="AW161" s="39">
        <v>514</v>
      </c>
      <c r="AX161" s="117">
        <v>46199</v>
      </c>
      <c r="AY161" s="39">
        <v>500</v>
      </c>
      <c r="AZ161" s="39">
        <f t="shared" si="90"/>
        <v>-14</v>
      </c>
      <c r="BA161" s="39"/>
      <c r="BB161" s="39"/>
      <c r="BC161" s="39"/>
      <c r="BD161" s="39"/>
      <c r="BE161" s="39"/>
      <c r="BF161" s="39">
        <f t="shared" si="91"/>
        <v>0</v>
      </c>
      <c r="BG161" s="39"/>
      <c r="BH161" s="39"/>
      <c r="BI161" s="39"/>
      <c r="BJ161" s="39"/>
      <c r="BK161" s="39"/>
      <c r="BL161" s="39">
        <f t="shared" si="92"/>
        <v>0</v>
      </c>
      <c r="BM161" s="54" t="str">
        <f t="shared" si="93"/>
        <v/>
      </c>
      <c r="BN161" s="58">
        <v>46178</v>
      </c>
      <c r="BO161" s="57">
        <v>46188</v>
      </c>
      <c r="BP161" s="36"/>
      <c r="BQ161" s="36"/>
      <c r="BR161" s="232"/>
      <c r="BS161" s="232"/>
      <c r="BT161" s="39">
        <v>2140</v>
      </c>
      <c r="BU161" s="39">
        <v>464</v>
      </c>
      <c r="BV161" s="39"/>
      <c r="BW161" s="39"/>
      <c r="BX161" s="39"/>
      <c r="BY161" s="39"/>
      <c r="BZ161" s="39">
        <f t="shared" si="83"/>
        <v>464</v>
      </c>
      <c r="CA161" s="39">
        <f t="shared" si="61"/>
        <v>2</v>
      </c>
      <c r="CB161" s="39">
        <f t="shared" si="84"/>
        <v>0</v>
      </c>
      <c r="CC161" s="39">
        <f t="shared" si="85"/>
        <v>0</v>
      </c>
      <c r="CD161" s="39">
        <f t="shared" si="86"/>
        <v>0</v>
      </c>
      <c r="CE161" s="102">
        <f t="shared" si="87"/>
        <v>0</v>
      </c>
      <c r="CF161" s="36" t="s">
        <v>292</v>
      </c>
      <c r="CG161" s="39" t="s">
        <v>281</v>
      </c>
      <c r="CH161" s="39" t="s">
        <v>483</v>
      </c>
      <c r="CI161" s="25">
        <v>1</v>
      </c>
    </row>
    <row r="162" spans="1:106" ht="24.75" customHeight="1">
      <c r="A162" s="36" t="s">
        <v>50</v>
      </c>
      <c r="B162" s="26" t="s">
        <v>760</v>
      </c>
      <c r="C162" s="231"/>
      <c r="D162" s="36" t="s">
        <v>98</v>
      </c>
      <c r="E162" s="39">
        <v>240</v>
      </c>
      <c r="F162" s="39" t="s">
        <v>55</v>
      </c>
      <c r="G162" s="36" t="s">
        <v>216</v>
      </c>
      <c r="H162" s="36" t="s">
        <v>94</v>
      </c>
      <c r="I162" s="39">
        <v>170</v>
      </c>
      <c r="J162" s="39"/>
      <c r="K162" s="39"/>
      <c r="L162" s="39">
        <f t="shared" ref="L162" si="95">SUM(I162:K162)</f>
        <v>170</v>
      </c>
      <c r="M162" s="117">
        <v>46157</v>
      </c>
      <c r="N162" s="117">
        <v>46164</v>
      </c>
      <c r="O162" s="39"/>
      <c r="P162" s="39"/>
      <c r="Q162" s="39"/>
      <c r="R162" s="39">
        <f t="shared" si="94"/>
        <v>0</v>
      </c>
      <c r="S162" s="39" t="s">
        <v>130</v>
      </c>
      <c r="T162" s="39">
        <v>107242</v>
      </c>
      <c r="U162" s="117">
        <v>46201</v>
      </c>
      <c r="V162" s="39"/>
      <c r="W162" s="39"/>
      <c r="X162" s="39"/>
      <c r="Y162" s="39">
        <v>213</v>
      </c>
      <c r="Z162" s="39"/>
      <c r="AA162" s="39"/>
      <c r="AB162" s="119">
        <f t="shared" si="81"/>
        <v>213</v>
      </c>
      <c r="AC162" s="39"/>
      <c r="AD162" s="39"/>
      <c r="AE162" s="39"/>
      <c r="AF162" s="39"/>
      <c r="AG162" s="39"/>
      <c r="AH162" s="39">
        <f t="shared" si="88"/>
        <v>0</v>
      </c>
      <c r="AI162" s="39" t="s">
        <v>257</v>
      </c>
      <c r="AJ162" s="117">
        <v>46202</v>
      </c>
      <c r="AK162" s="39">
        <v>192</v>
      </c>
      <c r="AL162" s="117">
        <v>46204</v>
      </c>
      <c r="AM162" s="39">
        <v>184</v>
      </c>
      <c r="AN162" s="39">
        <f t="shared" si="4"/>
        <v>-8</v>
      </c>
      <c r="AO162" s="39" t="s">
        <v>257</v>
      </c>
      <c r="AP162" s="117">
        <v>46202</v>
      </c>
      <c r="AQ162" s="39">
        <v>192</v>
      </c>
      <c r="AR162" s="117">
        <v>46204</v>
      </c>
      <c r="AS162" s="39">
        <v>184</v>
      </c>
      <c r="AT162" s="39">
        <f t="shared" si="89"/>
        <v>-8</v>
      </c>
      <c r="AU162" s="39"/>
      <c r="AV162" s="39"/>
      <c r="AW162" s="39"/>
      <c r="AX162" s="39"/>
      <c r="AY162" s="39"/>
      <c r="AZ162" s="39">
        <f t="shared" si="90"/>
        <v>0</v>
      </c>
      <c r="BA162" s="39"/>
      <c r="BB162" s="39"/>
      <c r="BC162" s="39"/>
      <c r="BD162" s="39"/>
      <c r="BE162" s="39"/>
      <c r="BF162" s="39">
        <f t="shared" si="91"/>
        <v>0</v>
      </c>
      <c r="BG162" s="39"/>
      <c r="BH162" s="39"/>
      <c r="BI162" s="39"/>
      <c r="BJ162" s="39"/>
      <c r="BK162" s="39"/>
      <c r="BL162" s="39">
        <f t="shared" si="92"/>
        <v>0</v>
      </c>
      <c r="BM162" s="54" t="str">
        <f t="shared" si="93"/>
        <v/>
      </c>
      <c r="BN162" s="58">
        <v>46178</v>
      </c>
      <c r="BO162" s="57">
        <v>46188</v>
      </c>
      <c r="BP162" s="36"/>
      <c r="BQ162" s="36"/>
      <c r="BR162" s="232"/>
      <c r="BS162" s="232"/>
      <c r="BT162" s="39">
        <v>2007</v>
      </c>
      <c r="BU162" s="39">
        <v>180</v>
      </c>
      <c r="BV162" s="39"/>
      <c r="BW162" s="39"/>
      <c r="BX162" s="39"/>
      <c r="BY162" s="39"/>
      <c r="BZ162" s="39">
        <f t="shared" si="83"/>
        <v>180</v>
      </c>
      <c r="CA162" s="39">
        <f t="shared" si="61"/>
        <v>10</v>
      </c>
      <c r="CB162" s="39">
        <f t="shared" si="84"/>
        <v>0</v>
      </c>
      <c r="CC162" s="39">
        <f t="shared" si="85"/>
        <v>0</v>
      </c>
      <c r="CD162" s="39">
        <f t="shared" si="86"/>
        <v>0</v>
      </c>
      <c r="CE162" s="102">
        <f t="shared" si="87"/>
        <v>0</v>
      </c>
      <c r="CF162" s="36" t="s">
        <v>292</v>
      </c>
      <c r="CG162" s="39" t="s">
        <v>281</v>
      </c>
      <c r="CH162" s="39"/>
      <c r="CI162" s="25">
        <v>1</v>
      </c>
    </row>
    <row r="163" spans="1:106" ht="24.75" customHeight="1">
      <c r="A163" s="36" t="s">
        <v>50</v>
      </c>
      <c r="B163" s="26" t="s">
        <v>760</v>
      </c>
      <c r="C163" s="231"/>
      <c r="D163" s="36" t="s">
        <v>98</v>
      </c>
      <c r="E163" s="39">
        <v>240</v>
      </c>
      <c r="F163" s="39" t="s">
        <v>55</v>
      </c>
      <c r="G163" s="36" t="s">
        <v>368</v>
      </c>
      <c r="H163" s="36" t="s">
        <v>94</v>
      </c>
      <c r="I163" s="39">
        <v>441</v>
      </c>
      <c r="J163" s="39"/>
      <c r="K163" s="39"/>
      <c r="L163" s="39">
        <f t="shared" ref="L163:L164" si="96">SUM(I163:K163)</f>
        <v>441</v>
      </c>
      <c r="M163" s="117">
        <v>46157</v>
      </c>
      <c r="N163" s="117">
        <v>46164</v>
      </c>
      <c r="O163" s="39"/>
      <c r="P163" s="39"/>
      <c r="Q163" s="39"/>
      <c r="R163" s="39">
        <f t="shared" si="94"/>
        <v>0</v>
      </c>
      <c r="S163" s="39" t="s">
        <v>31</v>
      </c>
      <c r="T163" s="39"/>
      <c r="U163" s="39"/>
      <c r="V163" s="117">
        <v>46193</v>
      </c>
      <c r="W163" s="39">
        <v>490</v>
      </c>
      <c r="X163" s="117">
        <v>46202</v>
      </c>
      <c r="Y163" s="39">
        <v>482</v>
      </c>
      <c r="Z163" s="39"/>
      <c r="AA163" s="39"/>
      <c r="AB163" s="119">
        <f t="shared" si="81"/>
        <v>482</v>
      </c>
      <c r="AC163" s="39"/>
      <c r="AD163" s="39"/>
      <c r="AE163" s="39"/>
      <c r="AF163" s="39"/>
      <c r="AG163" s="39"/>
      <c r="AH163" s="39">
        <f t="shared" si="88"/>
        <v>0</v>
      </c>
      <c r="AI163" s="39" t="s">
        <v>163</v>
      </c>
      <c r="AJ163" s="117" t="s">
        <v>1389</v>
      </c>
      <c r="AK163" s="39">
        <f>483+37</f>
        <v>520</v>
      </c>
      <c r="AL163" s="117" t="s">
        <v>1396</v>
      </c>
      <c r="AM163" s="39">
        <f>476+37</f>
        <v>513</v>
      </c>
      <c r="AN163" s="39">
        <f t="shared" si="4"/>
        <v>-7</v>
      </c>
      <c r="AO163" s="39" t="s">
        <v>305</v>
      </c>
      <c r="AP163" s="117" t="s">
        <v>1396</v>
      </c>
      <c r="AQ163" s="39">
        <f>476+37</f>
        <v>513</v>
      </c>
      <c r="AR163" s="117" t="s">
        <v>1409</v>
      </c>
      <c r="AS163" s="39">
        <f>468+36</f>
        <v>504</v>
      </c>
      <c r="AT163" s="39">
        <f t="shared" si="89"/>
        <v>-9</v>
      </c>
      <c r="AU163" s="39"/>
      <c r="AV163" s="39"/>
      <c r="AW163" s="39"/>
      <c r="AX163" s="39"/>
      <c r="AY163" s="39"/>
      <c r="AZ163" s="39">
        <f t="shared" si="90"/>
        <v>0</v>
      </c>
      <c r="BA163" s="39"/>
      <c r="BB163" s="39"/>
      <c r="BC163" s="39"/>
      <c r="BD163" s="39"/>
      <c r="BE163" s="39"/>
      <c r="BF163" s="39">
        <f t="shared" si="91"/>
        <v>0</v>
      </c>
      <c r="BG163" s="39"/>
      <c r="BH163" s="39"/>
      <c r="BI163" s="39"/>
      <c r="BJ163" s="39"/>
      <c r="BK163" s="39"/>
      <c r="BL163" s="39">
        <f t="shared" si="92"/>
        <v>0</v>
      </c>
      <c r="BM163" s="54" t="str">
        <f t="shared" si="93"/>
        <v/>
      </c>
      <c r="BN163" s="58">
        <v>46178</v>
      </c>
      <c r="BO163" s="57">
        <v>46188</v>
      </c>
      <c r="BP163" s="36"/>
      <c r="BQ163" s="36"/>
      <c r="BR163" s="232"/>
      <c r="BS163" s="232"/>
      <c r="BT163" s="39" t="s">
        <v>1416</v>
      </c>
      <c r="BU163" s="39">
        <f>366+56+22+36</f>
        <v>480</v>
      </c>
      <c r="BV163" s="39"/>
      <c r="BW163" s="39"/>
      <c r="BX163" s="39"/>
      <c r="BY163" s="39"/>
      <c r="BZ163" s="39">
        <f t="shared" si="83"/>
        <v>480</v>
      </c>
      <c r="CA163" s="39">
        <f t="shared" si="61"/>
        <v>39</v>
      </c>
      <c r="CB163" s="39">
        <f t="shared" si="84"/>
        <v>0</v>
      </c>
      <c r="CC163" s="39">
        <f t="shared" si="85"/>
        <v>0</v>
      </c>
      <c r="CD163" s="39">
        <f t="shared" si="86"/>
        <v>0</v>
      </c>
      <c r="CE163" s="102">
        <f t="shared" si="87"/>
        <v>0</v>
      </c>
      <c r="CF163" s="36" t="s">
        <v>292</v>
      </c>
      <c r="CG163" s="39" t="s">
        <v>281</v>
      </c>
      <c r="CH163" s="39" t="s">
        <v>1322</v>
      </c>
      <c r="CI163" s="25">
        <v>1</v>
      </c>
    </row>
    <row r="164" spans="1:106" ht="24.75" customHeight="1">
      <c r="A164" s="36" t="s">
        <v>50</v>
      </c>
      <c r="B164" s="26" t="s">
        <v>760</v>
      </c>
      <c r="C164" s="231"/>
      <c r="D164" s="36" t="s">
        <v>98</v>
      </c>
      <c r="E164" s="39">
        <v>240</v>
      </c>
      <c r="F164" s="39" t="s">
        <v>55</v>
      </c>
      <c r="G164" s="36" t="s">
        <v>327</v>
      </c>
      <c r="H164" s="36" t="s">
        <v>94</v>
      </c>
      <c r="I164" s="39">
        <v>366</v>
      </c>
      <c r="J164" s="39"/>
      <c r="K164" s="39"/>
      <c r="L164" s="39">
        <f t="shared" si="96"/>
        <v>366</v>
      </c>
      <c r="M164" s="117">
        <v>46157</v>
      </c>
      <c r="N164" s="117">
        <v>46164</v>
      </c>
      <c r="O164" s="39"/>
      <c r="P164" s="39"/>
      <c r="Q164" s="39"/>
      <c r="R164" s="39">
        <f t="shared" si="94"/>
        <v>0</v>
      </c>
      <c r="S164" s="39" t="s">
        <v>326</v>
      </c>
      <c r="T164" s="39"/>
      <c r="U164" s="39"/>
      <c r="V164" s="117">
        <v>46182</v>
      </c>
      <c r="W164" s="39">
        <v>443</v>
      </c>
      <c r="X164" s="117">
        <v>46193</v>
      </c>
      <c r="Y164" s="39">
        <v>403</v>
      </c>
      <c r="Z164" s="39"/>
      <c r="AA164" s="39"/>
      <c r="AB164" s="119">
        <f t="shared" si="81"/>
        <v>403</v>
      </c>
      <c r="AC164" s="39"/>
      <c r="AD164" s="39"/>
      <c r="AE164" s="39"/>
      <c r="AF164" s="39"/>
      <c r="AG164" s="39"/>
      <c r="AH164" s="39">
        <f t="shared" si="88"/>
        <v>0</v>
      </c>
      <c r="AI164" s="39" t="s">
        <v>519</v>
      </c>
      <c r="AJ164" s="117" t="s">
        <v>1388</v>
      </c>
      <c r="AK164" s="39">
        <f>405+12</f>
        <v>417</v>
      </c>
      <c r="AL164" s="117" t="s">
        <v>1408</v>
      </c>
      <c r="AM164" s="39">
        <f>394+12+12</f>
        <v>418</v>
      </c>
      <c r="AN164" s="39">
        <f t="shared" si="4"/>
        <v>1</v>
      </c>
      <c r="AO164" s="39" t="s">
        <v>257</v>
      </c>
      <c r="AP164" s="117" t="s">
        <v>1388</v>
      </c>
      <c r="AQ164" s="39">
        <f>405+12</f>
        <v>417</v>
      </c>
      <c r="AR164" s="117" t="s">
        <v>1412</v>
      </c>
      <c r="AS164" s="39">
        <f>394+11</f>
        <v>405</v>
      </c>
      <c r="AT164" s="39">
        <f t="shared" si="89"/>
        <v>-12</v>
      </c>
      <c r="AU164" s="39"/>
      <c r="AV164" s="39"/>
      <c r="AW164" s="39"/>
      <c r="AX164" s="39"/>
      <c r="AY164" s="39"/>
      <c r="AZ164" s="39">
        <f t="shared" si="90"/>
        <v>0</v>
      </c>
      <c r="BA164" s="39"/>
      <c r="BB164" s="39"/>
      <c r="BC164" s="39"/>
      <c r="BD164" s="39"/>
      <c r="BE164" s="39"/>
      <c r="BF164" s="39">
        <f t="shared" si="91"/>
        <v>0</v>
      </c>
      <c r="BG164" s="39" t="s">
        <v>28</v>
      </c>
      <c r="BH164" s="117">
        <v>46196</v>
      </c>
      <c r="BI164" s="39">
        <v>399</v>
      </c>
      <c r="BJ164" s="117">
        <v>46202</v>
      </c>
      <c r="BK164" s="39">
        <v>382</v>
      </c>
      <c r="BL164" s="39">
        <f t="shared" si="92"/>
        <v>-17</v>
      </c>
      <c r="BM164" s="54" t="str">
        <f t="shared" si="93"/>
        <v/>
      </c>
      <c r="BN164" s="58">
        <v>46178</v>
      </c>
      <c r="BO164" s="57">
        <v>46188</v>
      </c>
      <c r="BP164" s="36"/>
      <c r="BQ164" s="36"/>
      <c r="BR164" s="232"/>
      <c r="BS164" s="232"/>
      <c r="BT164" s="39" t="s">
        <v>1417</v>
      </c>
      <c r="BU164" s="39">
        <f>382+10</f>
        <v>392</v>
      </c>
      <c r="BV164" s="39"/>
      <c r="BW164" s="39"/>
      <c r="BX164" s="39"/>
      <c r="BY164" s="39"/>
      <c r="BZ164" s="39">
        <f t="shared" si="83"/>
        <v>392</v>
      </c>
      <c r="CA164" s="39">
        <f t="shared" si="61"/>
        <v>26</v>
      </c>
      <c r="CB164" s="39">
        <f t="shared" si="84"/>
        <v>0</v>
      </c>
      <c r="CC164" s="39">
        <f t="shared" si="85"/>
        <v>0</v>
      </c>
      <c r="CD164" s="39">
        <f t="shared" si="86"/>
        <v>0</v>
      </c>
      <c r="CE164" s="102">
        <f t="shared" si="87"/>
        <v>0</v>
      </c>
      <c r="CF164" s="36" t="s">
        <v>292</v>
      </c>
      <c r="CG164" s="39" t="s">
        <v>281</v>
      </c>
      <c r="CH164" s="39"/>
      <c r="CI164" s="25">
        <v>1</v>
      </c>
    </row>
    <row r="165" spans="1:106" ht="24.75" customHeight="1">
      <c r="A165" s="36" t="s">
        <v>50</v>
      </c>
      <c r="B165" s="26" t="s">
        <v>760</v>
      </c>
      <c r="C165" s="231"/>
      <c r="D165" s="36" t="s">
        <v>98</v>
      </c>
      <c r="E165" s="39">
        <v>240</v>
      </c>
      <c r="F165" s="39" t="s">
        <v>55</v>
      </c>
      <c r="G165" s="36" t="s">
        <v>310</v>
      </c>
      <c r="H165" s="36" t="s">
        <v>94</v>
      </c>
      <c r="I165" s="39">
        <v>882</v>
      </c>
      <c r="J165" s="39"/>
      <c r="K165" s="39"/>
      <c r="L165" s="39">
        <f t="shared" ref="L165:L168" si="97">SUM(I165:K165)</f>
        <v>882</v>
      </c>
      <c r="M165" s="117">
        <v>46157</v>
      </c>
      <c r="N165" s="117">
        <v>46164</v>
      </c>
      <c r="O165" s="39"/>
      <c r="P165" s="39"/>
      <c r="Q165" s="39"/>
      <c r="R165" s="39">
        <f t="shared" si="94"/>
        <v>0</v>
      </c>
      <c r="S165" s="39" t="s">
        <v>326</v>
      </c>
      <c r="T165" s="39"/>
      <c r="U165" s="39"/>
      <c r="V165" s="117">
        <v>46183</v>
      </c>
      <c r="W165" s="39">
        <v>1032</v>
      </c>
      <c r="X165" s="117" t="s">
        <v>1111</v>
      </c>
      <c r="Y165" s="39">
        <f>490+468</f>
        <v>958</v>
      </c>
      <c r="Z165" s="39"/>
      <c r="AA165" s="39"/>
      <c r="AB165" s="119">
        <f t="shared" si="81"/>
        <v>958</v>
      </c>
      <c r="AC165" s="39"/>
      <c r="AD165" s="39"/>
      <c r="AE165" s="39"/>
      <c r="AF165" s="39"/>
      <c r="AG165" s="39"/>
      <c r="AH165" s="39">
        <f t="shared" si="88"/>
        <v>0</v>
      </c>
      <c r="AI165" s="39" t="s">
        <v>257</v>
      </c>
      <c r="AJ165" s="117" t="s">
        <v>1128</v>
      </c>
      <c r="AK165" s="39">
        <f>488+470</f>
        <v>958</v>
      </c>
      <c r="AL165" s="117">
        <v>46198</v>
      </c>
      <c r="AM165" s="39">
        <f>456+471</f>
        <v>927</v>
      </c>
      <c r="AN165" s="39">
        <f t="shared" si="4"/>
        <v>-31</v>
      </c>
      <c r="AO165" s="39" t="s">
        <v>257</v>
      </c>
      <c r="AP165" s="117" t="s">
        <v>1128</v>
      </c>
      <c r="AQ165" s="39">
        <f>488+470</f>
        <v>958</v>
      </c>
      <c r="AR165" s="117">
        <v>46198</v>
      </c>
      <c r="AS165" s="39">
        <f>456+471</f>
        <v>927</v>
      </c>
      <c r="AT165" s="39">
        <f t="shared" si="89"/>
        <v>-31</v>
      </c>
      <c r="AU165" s="39" t="s">
        <v>257</v>
      </c>
      <c r="AV165" s="117" t="s">
        <v>1128</v>
      </c>
      <c r="AW165" s="39">
        <f>488+470</f>
        <v>958</v>
      </c>
      <c r="AX165" s="117">
        <v>46198</v>
      </c>
      <c r="AY165" s="39">
        <f>456+471</f>
        <v>927</v>
      </c>
      <c r="AZ165" s="39">
        <f t="shared" si="90"/>
        <v>-31</v>
      </c>
      <c r="BA165" s="39"/>
      <c r="BB165" s="39"/>
      <c r="BC165" s="39"/>
      <c r="BD165" s="39"/>
      <c r="BE165" s="39"/>
      <c r="BF165" s="39">
        <f t="shared" si="91"/>
        <v>0</v>
      </c>
      <c r="BG165" s="39"/>
      <c r="BH165" s="39"/>
      <c r="BI165" s="39"/>
      <c r="BJ165" s="39"/>
      <c r="BK165" s="39"/>
      <c r="BL165" s="39">
        <f t="shared" si="92"/>
        <v>0</v>
      </c>
      <c r="BM165" s="54" t="str">
        <f t="shared" si="93"/>
        <v/>
      </c>
      <c r="BN165" s="58">
        <v>46178</v>
      </c>
      <c r="BO165" s="57">
        <v>46188</v>
      </c>
      <c r="BP165" s="36"/>
      <c r="BQ165" s="36"/>
      <c r="BR165" s="232"/>
      <c r="BS165" s="232"/>
      <c r="BT165" s="39" t="s">
        <v>1374</v>
      </c>
      <c r="BU165" s="39">
        <f>441+443+8+31</f>
        <v>923</v>
      </c>
      <c r="BV165" s="39"/>
      <c r="BW165" s="39"/>
      <c r="BX165" s="39"/>
      <c r="BY165" s="39"/>
      <c r="BZ165" s="39">
        <f t="shared" si="83"/>
        <v>923</v>
      </c>
      <c r="CA165" s="39">
        <f t="shared" si="61"/>
        <v>41</v>
      </c>
      <c r="CB165" s="39">
        <f t="shared" si="84"/>
        <v>0</v>
      </c>
      <c r="CC165" s="39">
        <f t="shared" si="85"/>
        <v>0</v>
      </c>
      <c r="CD165" s="39">
        <f t="shared" si="86"/>
        <v>0</v>
      </c>
      <c r="CE165" s="102">
        <f t="shared" si="87"/>
        <v>0</v>
      </c>
      <c r="CF165" s="36" t="s">
        <v>292</v>
      </c>
      <c r="CG165" s="39" t="s">
        <v>281</v>
      </c>
      <c r="CH165" s="39"/>
      <c r="CI165" s="25">
        <v>1</v>
      </c>
    </row>
    <row r="166" spans="1:106" ht="24.75" customHeight="1">
      <c r="A166" s="36" t="s">
        <v>50</v>
      </c>
      <c r="B166" s="26" t="s">
        <v>760</v>
      </c>
      <c r="C166" s="228"/>
      <c r="D166" s="36" t="s">
        <v>98</v>
      </c>
      <c r="E166" s="39">
        <v>240</v>
      </c>
      <c r="F166" s="39" t="s">
        <v>55</v>
      </c>
      <c r="G166" s="36" t="s">
        <v>197</v>
      </c>
      <c r="H166" s="36" t="s">
        <v>94</v>
      </c>
      <c r="I166" s="39">
        <v>170</v>
      </c>
      <c r="J166" s="39"/>
      <c r="K166" s="39"/>
      <c r="L166" s="39">
        <f t="shared" si="97"/>
        <v>170</v>
      </c>
      <c r="M166" s="117">
        <v>46157</v>
      </c>
      <c r="N166" s="117">
        <v>46164</v>
      </c>
      <c r="O166" s="39"/>
      <c r="P166" s="39"/>
      <c r="Q166" s="39"/>
      <c r="R166" s="39">
        <f t="shared" si="94"/>
        <v>0</v>
      </c>
      <c r="S166" s="39" t="s">
        <v>326</v>
      </c>
      <c r="T166" s="39"/>
      <c r="U166" s="39"/>
      <c r="V166" s="117">
        <v>46162</v>
      </c>
      <c r="W166" s="39">
        <v>214</v>
      </c>
      <c r="X166" s="117">
        <v>46189</v>
      </c>
      <c r="Y166" s="39">
        <v>181</v>
      </c>
      <c r="Z166" s="39"/>
      <c r="AA166" s="39"/>
      <c r="AB166" s="119">
        <f t="shared" si="81"/>
        <v>181</v>
      </c>
      <c r="AC166" s="39"/>
      <c r="AD166" s="39"/>
      <c r="AE166" s="39"/>
      <c r="AF166" s="39"/>
      <c r="AG166" s="39"/>
      <c r="AH166" s="39">
        <f t="shared" si="88"/>
        <v>0</v>
      </c>
      <c r="AI166" s="39" t="s">
        <v>257</v>
      </c>
      <c r="AJ166" s="117" t="s">
        <v>1365</v>
      </c>
      <c r="AK166" s="39">
        <f>182+39</f>
        <v>221</v>
      </c>
      <c r="AL166" s="117" t="s">
        <v>1383</v>
      </c>
      <c r="AM166" s="39">
        <f>176+38</f>
        <v>214</v>
      </c>
      <c r="AN166" s="39">
        <f t="shared" si="4"/>
        <v>-7</v>
      </c>
      <c r="AO166" s="39" t="s">
        <v>257</v>
      </c>
      <c r="AP166" s="117" t="s">
        <v>1365</v>
      </c>
      <c r="AQ166" s="39">
        <f>182+39</f>
        <v>221</v>
      </c>
      <c r="AR166" s="117" t="s">
        <v>1383</v>
      </c>
      <c r="AS166" s="39">
        <f>176+38</f>
        <v>214</v>
      </c>
      <c r="AT166" s="39">
        <f t="shared" si="89"/>
        <v>-7</v>
      </c>
      <c r="AU166" s="39"/>
      <c r="AV166" s="39"/>
      <c r="AW166" s="39"/>
      <c r="AX166" s="39"/>
      <c r="AY166" s="39"/>
      <c r="AZ166" s="39">
        <f t="shared" si="90"/>
        <v>0</v>
      </c>
      <c r="BA166" s="39"/>
      <c r="BB166" s="39"/>
      <c r="BC166" s="39"/>
      <c r="BD166" s="39"/>
      <c r="BE166" s="39"/>
      <c r="BF166" s="39">
        <f t="shared" si="91"/>
        <v>0</v>
      </c>
      <c r="BG166" s="39"/>
      <c r="BH166" s="39"/>
      <c r="BI166" s="39"/>
      <c r="BJ166" s="39"/>
      <c r="BK166" s="39"/>
      <c r="BL166" s="39">
        <f t="shared" si="92"/>
        <v>0</v>
      </c>
      <c r="BM166" s="54" t="str">
        <f t="shared" si="93"/>
        <v/>
      </c>
      <c r="BN166" s="58">
        <v>46178</v>
      </c>
      <c r="BO166" s="57">
        <v>46188</v>
      </c>
      <c r="BP166" s="36"/>
      <c r="BQ166" s="36"/>
      <c r="BR166" s="230"/>
      <c r="BS166" s="230"/>
      <c r="BT166" s="39" t="s">
        <v>1404</v>
      </c>
      <c r="BU166" s="39">
        <f>100+75+20+34</f>
        <v>229</v>
      </c>
      <c r="BV166" s="39"/>
      <c r="BW166" s="39"/>
      <c r="BX166" s="39"/>
      <c r="BY166" s="39"/>
      <c r="BZ166" s="39">
        <f t="shared" si="83"/>
        <v>229</v>
      </c>
      <c r="CA166" s="39">
        <f t="shared" si="61"/>
        <v>59</v>
      </c>
      <c r="CB166" s="39">
        <f t="shared" si="84"/>
        <v>0</v>
      </c>
      <c r="CC166" s="39">
        <f t="shared" si="85"/>
        <v>0</v>
      </c>
      <c r="CD166" s="39">
        <f t="shared" si="86"/>
        <v>0</v>
      </c>
      <c r="CE166" s="102">
        <f t="shared" si="87"/>
        <v>0</v>
      </c>
      <c r="CF166" s="36" t="s">
        <v>292</v>
      </c>
      <c r="CG166" s="39" t="s">
        <v>281</v>
      </c>
      <c r="CH166" s="39" t="s">
        <v>451</v>
      </c>
      <c r="CI166" s="25">
        <v>1</v>
      </c>
    </row>
    <row r="167" spans="1:106" ht="24.75" customHeight="1">
      <c r="A167" s="36" t="s">
        <v>50</v>
      </c>
      <c r="B167" s="26" t="s">
        <v>761</v>
      </c>
      <c r="C167" s="227" t="s">
        <v>762</v>
      </c>
      <c r="D167" s="36"/>
      <c r="E167" s="39">
        <v>180</v>
      </c>
      <c r="F167" s="39" t="s">
        <v>55</v>
      </c>
      <c r="G167" s="36" t="s">
        <v>125</v>
      </c>
      <c r="H167" s="36" t="s">
        <v>87</v>
      </c>
      <c r="I167" s="39">
        <v>86</v>
      </c>
      <c r="J167" s="39"/>
      <c r="K167" s="39">
        <v>8</v>
      </c>
      <c r="L167" s="39">
        <f t="shared" si="97"/>
        <v>94</v>
      </c>
      <c r="M167" s="117">
        <v>46157</v>
      </c>
      <c r="N167" s="117">
        <v>46162</v>
      </c>
      <c r="O167" s="39"/>
      <c r="P167" s="39"/>
      <c r="Q167" s="39"/>
      <c r="R167" s="39">
        <f t="shared" ref="R167:R169" si="98">SUM(O167:Q167)</f>
        <v>0</v>
      </c>
      <c r="S167" s="39" t="s">
        <v>130</v>
      </c>
      <c r="T167" s="39">
        <v>107069</v>
      </c>
      <c r="U167" s="117">
        <v>46193</v>
      </c>
      <c r="V167" s="39"/>
      <c r="W167" s="39"/>
      <c r="X167" s="39"/>
      <c r="Y167" s="39">
        <v>108</v>
      </c>
      <c r="Z167" s="39"/>
      <c r="AA167" s="39">
        <v>10</v>
      </c>
      <c r="AB167" s="119">
        <f t="shared" si="81"/>
        <v>118</v>
      </c>
      <c r="AC167" s="39"/>
      <c r="AD167" s="39"/>
      <c r="AE167" s="39"/>
      <c r="AF167" s="39"/>
      <c r="AG167" s="39"/>
      <c r="AH167" s="39">
        <f t="shared" si="88"/>
        <v>0</v>
      </c>
      <c r="AI167" s="39"/>
      <c r="AJ167" s="39"/>
      <c r="AK167" s="39"/>
      <c r="AL167" s="39"/>
      <c r="AM167" s="39"/>
      <c r="AN167" s="39">
        <f t="shared" si="4"/>
        <v>0</v>
      </c>
      <c r="AO167" s="39"/>
      <c r="AP167" s="39"/>
      <c r="AQ167" s="39"/>
      <c r="AR167" s="39"/>
      <c r="AS167" s="39"/>
      <c r="AT167" s="39">
        <f t="shared" si="89"/>
        <v>0</v>
      </c>
      <c r="AU167" s="39"/>
      <c r="AV167" s="39"/>
      <c r="AW167" s="39"/>
      <c r="AX167" s="39"/>
      <c r="AY167" s="39"/>
      <c r="AZ167" s="39">
        <f t="shared" si="90"/>
        <v>0</v>
      </c>
      <c r="BA167" s="39"/>
      <c r="BB167" s="39"/>
      <c r="BC167" s="39"/>
      <c r="BD167" s="39"/>
      <c r="BE167" s="39"/>
      <c r="BF167" s="39">
        <f t="shared" si="91"/>
        <v>0</v>
      </c>
      <c r="BG167" s="39"/>
      <c r="BH167" s="39"/>
      <c r="BI167" s="39"/>
      <c r="BJ167" s="39"/>
      <c r="BK167" s="39"/>
      <c r="BL167" s="39">
        <f t="shared" si="92"/>
        <v>0</v>
      </c>
      <c r="BM167" s="54" t="str">
        <f t="shared" si="93"/>
        <v/>
      </c>
      <c r="BN167" s="58">
        <v>46183</v>
      </c>
      <c r="BO167" s="57">
        <v>46193</v>
      </c>
      <c r="BP167" s="36"/>
      <c r="BQ167" s="36"/>
      <c r="BR167" s="229">
        <v>46196</v>
      </c>
      <c r="BS167" s="229">
        <v>46196</v>
      </c>
      <c r="BT167" s="39">
        <v>2112</v>
      </c>
      <c r="BU167" s="39">
        <v>90</v>
      </c>
      <c r="BV167" s="39"/>
      <c r="BW167" s="39"/>
      <c r="BX167" s="39">
        <v>2112</v>
      </c>
      <c r="BY167" s="39">
        <v>10</v>
      </c>
      <c r="BZ167" s="39">
        <f t="shared" si="83"/>
        <v>100</v>
      </c>
      <c r="CA167" s="39">
        <f t="shared" ref="CA167:CA169" si="99">BU167-I167</f>
        <v>4</v>
      </c>
      <c r="CB167" s="39">
        <f t="shared" si="84"/>
        <v>0</v>
      </c>
      <c r="CC167" s="39">
        <f t="shared" si="85"/>
        <v>2</v>
      </c>
      <c r="CD167" s="39">
        <f t="shared" si="86"/>
        <v>0</v>
      </c>
      <c r="CE167" s="102">
        <f t="shared" si="87"/>
        <v>0</v>
      </c>
      <c r="CF167" s="36" t="s">
        <v>292</v>
      </c>
      <c r="CG167" s="39" t="s">
        <v>281</v>
      </c>
      <c r="CH167" s="39"/>
      <c r="CI167" s="25">
        <v>1</v>
      </c>
    </row>
    <row r="168" spans="1:106" ht="24.75" customHeight="1">
      <c r="A168" s="36" t="s">
        <v>50</v>
      </c>
      <c r="B168" s="26" t="s">
        <v>761</v>
      </c>
      <c r="C168" s="228"/>
      <c r="D168" s="36"/>
      <c r="E168" s="39"/>
      <c r="F168" s="39"/>
      <c r="G168" s="36" t="s">
        <v>75</v>
      </c>
      <c r="H168" s="36">
        <v>1092</v>
      </c>
      <c r="I168" s="39" t="s">
        <v>328</v>
      </c>
      <c r="J168" s="39"/>
      <c r="K168" s="39"/>
      <c r="L168" s="39">
        <f t="shared" si="97"/>
        <v>0</v>
      </c>
      <c r="M168" s="117">
        <v>46157</v>
      </c>
      <c r="N168" s="117">
        <v>46162</v>
      </c>
      <c r="O168" s="39"/>
      <c r="P168" s="39"/>
      <c r="Q168" s="39"/>
      <c r="R168" s="39">
        <f t="shared" ref="R168" si="100">SUM(O168:Q168)</f>
        <v>0</v>
      </c>
      <c r="S168" s="39" t="s">
        <v>130</v>
      </c>
      <c r="T168" s="39"/>
      <c r="U168" s="39"/>
      <c r="V168" s="39"/>
      <c r="W168" s="39"/>
      <c r="X168" s="39"/>
      <c r="Y168" s="39"/>
      <c r="Z168" s="39"/>
      <c r="AA168" s="39"/>
      <c r="AB168" s="39">
        <f t="shared" ref="AB168" si="101">SUM(Y168:AA168)</f>
        <v>0</v>
      </c>
      <c r="AC168" s="39"/>
      <c r="AD168" s="39"/>
      <c r="AE168" s="39"/>
      <c r="AF168" s="39"/>
      <c r="AG168" s="39"/>
      <c r="AH168" s="39">
        <f t="shared" si="88"/>
        <v>0</v>
      </c>
      <c r="AI168" s="39"/>
      <c r="AJ168" s="39"/>
      <c r="AK168" s="39"/>
      <c r="AL168" s="39"/>
      <c r="AM168" s="39"/>
      <c r="AN168" s="39">
        <f t="shared" ref="AN168:AN169" si="102">AM168-AK168</f>
        <v>0</v>
      </c>
      <c r="AO168" s="39"/>
      <c r="AP168" s="39"/>
      <c r="AQ168" s="39"/>
      <c r="AR168" s="39"/>
      <c r="AS168" s="39"/>
      <c r="AT168" s="39">
        <f t="shared" si="89"/>
        <v>0</v>
      </c>
      <c r="AU168" s="39"/>
      <c r="AV168" s="39"/>
      <c r="AW168" s="39"/>
      <c r="AX168" s="39"/>
      <c r="AY168" s="39"/>
      <c r="AZ168" s="39">
        <f t="shared" si="90"/>
        <v>0</v>
      </c>
      <c r="BA168" s="39"/>
      <c r="BB168" s="39"/>
      <c r="BC168" s="39"/>
      <c r="BD168" s="39"/>
      <c r="BE168" s="39"/>
      <c r="BF168" s="39">
        <f t="shared" si="91"/>
        <v>0</v>
      </c>
      <c r="BG168" s="39"/>
      <c r="BH168" s="39"/>
      <c r="BI168" s="39"/>
      <c r="BJ168" s="39"/>
      <c r="BK168" s="39"/>
      <c r="BL168" s="39">
        <f t="shared" si="92"/>
        <v>0</v>
      </c>
      <c r="BM168" s="54" t="e">
        <f t="shared" si="93"/>
        <v>#DIV/0!</v>
      </c>
      <c r="BN168" s="58">
        <v>46183</v>
      </c>
      <c r="BO168" s="57">
        <v>46193</v>
      </c>
      <c r="BP168" s="36"/>
      <c r="BQ168" s="36"/>
      <c r="BR168" s="230"/>
      <c r="BS168" s="230"/>
      <c r="BT168" s="39"/>
      <c r="BU168" s="39"/>
      <c r="BV168" s="39"/>
      <c r="BW168" s="39"/>
      <c r="BX168" s="39"/>
      <c r="BY168" s="39"/>
      <c r="BZ168" s="39">
        <f t="shared" si="83"/>
        <v>0</v>
      </c>
      <c r="CA168" s="39" t="e">
        <f t="shared" si="99"/>
        <v>#VALUE!</v>
      </c>
      <c r="CB168" s="39">
        <f t="shared" si="84"/>
        <v>0</v>
      </c>
      <c r="CC168" s="39">
        <f t="shared" si="85"/>
        <v>0</v>
      </c>
      <c r="CD168" s="39">
        <f t="shared" si="86"/>
        <v>0</v>
      </c>
      <c r="CE168" s="102" t="e">
        <f t="shared" si="87"/>
        <v>#DIV/0!</v>
      </c>
      <c r="CF168" s="36" t="s">
        <v>292</v>
      </c>
      <c r="CG168" s="39" t="s">
        <v>281</v>
      </c>
      <c r="CH168" s="39"/>
      <c r="CI168" s="25">
        <v>1</v>
      </c>
    </row>
    <row r="169" spans="1:106" ht="33.75" customHeight="1">
      <c r="A169" s="36" t="s">
        <v>50</v>
      </c>
      <c r="B169" s="26" t="s">
        <v>763</v>
      </c>
      <c r="C169" s="36">
        <v>13205781</v>
      </c>
      <c r="D169" s="36"/>
      <c r="E169" s="39">
        <v>180</v>
      </c>
      <c r="F169" s="39" t="s">
        <v>55</v>
      </c>
      <c r="G169" s="36" t="s">
        <v>310</v>
      </c>
      <c r="H169" s="36" t="s">
        <v>87</v>
      </c>
      <c r="I169" s="39">
        <v>252</v>
      </c>
      <c r="J169" s="39"/>
      <c r="K169" s="39"/>
      <c r="L169" s="39">
        <f t="shared" ref="L169" si="103">SUM(I169:K169)</f>
        <v>252</v>
      </c>
      <c r="M169" s="117">
        <v>46157</v>
      </c>
      <c r="N169" s="117">
        <v>46161</v>
      </c>
      <c r="O169" s="39"/>
      <c r="P169" s="39"/>
      <c r="Q169" s="39"/>
      <c r="R169" s="39">
        <f t="shared" si="98"/>
        <v>0</v>
      </c>
      <c r="S169" s="39" t="s">
        <v>326</v>
      </c>
      <c r="T169" s="39"/>
      <c r="U169" s="39"/>
      <c r="V169" s="117">
        <v>46162</v>
      </c>
      <c r="W169" s="39">
        <v>280</v>
      </c>
      <c r="X169" s="117">
        <v>46190</v>
      </c>
      <c r="Y169" s="39">
        <v>253</v>
      </c>
      <c r="Z169" s="39"/>
      <c r="AA169" s="39"/>
      <c r="AB169" s="119">
        <f t="shared" si="81"/>
        <v>253</v>
      </c>
      <c r="AC169" s="39"/>
      <c r="AD169" s="39"/>
      <c r="AE169" s="39"/>
      <c r="AF169" s="39"/>
      <c r="AG169" s="39"/>
      <c r="AH169" s="39">
        <f t="shared" si="88"/>
        <v>0</v>
      </c>
      <c r="AI169" s="39"/>
      <c r="AJ169" s="39"/>
      <c r="AK169" s="39"/>
      <c r="AL169" s="39"/>
      <c r="AM169" s="39"/>
      <c r="AN169" s="39">
        <f t="shared" si="102"/>
        <v>0</v>
      </c>
      <c r="AO169" s="39"/>
      <c r="AP169" s="39"/>
      <c r="AQ169" s="39"/>
      <c r="AR169" s="39"/>
      <c r="AS169" s="39"/>
      <c r="AT169" s="39">
        <f t="shared" si="89"/>
        <v>0</v>
      </c>
      <c r="AU169" s="39"/>
      <c r="AV169" s="39"/>
      <c r="AW169" s="39"/>
      <c r="AX169" s="39"/>
      <c r="AY169" s="39"/>
      <c r="AZ169" s="39">
        <f t="shared" si="90"/>
        <v>0</v>
      </c>
      <c r="BA169" s="39"/>
      <c r="BB169" s="39"/>
      <c r="BC169" s="39"/>
      <c r="BD169" s="39"/>
      <c r="BE169" s="39"/>
      <c r="BF169" s="39">
        <f t="shared" si="91"/>
        <v>0</v>
      </c>
      <c r="BG169" s="39"/>
      <c r="BH169" s="39"/>
      <c r="BI169" s="39"/>
      <c r="BJ169" s="39"/>
      <c r="BK169" s="39"/>
      <c r="BL169" s="39">
        <f t="shared" si="92"/>
        <v>0</v>
      </c>
      <c r="BM169" s="54" t="str">
        <f t="shared" si="93"/>
        <v/>
      </c>
      <c r="BN169" s="58">
        <v>46178</v>
      </c>
      <c r="BO169" s="57">
        <v>46182</v>
      </c>
      <c r="BP169" s="36"/>
      <c r="BQ169" s="36"/>
      <c r="BR169" s="50">
        <v>46191</v>
      </c>
      <c r="BS169" s="50">
        <v>46191</v>
      </c>
      <c r="BT169" s="39">
        <v>1501</v>
      </c>
      <c r="BU169" s="39">
        <v>253</v>
      </c>
      <c r="BV169" s="39"/>
      <c r="BW169" s="39"/>
      <c r="BX169" s="39"/>
      <c r="BY169" s="39"/>
      <c r="BZ169" s="39">
        <f t="shared" si="83"/>
        <v>253</v>
      </c>
      <c r="CA169" s="39">
        <f t="shared" si="99"/>
        <v>1</v>
      </c>
      <c r="CB169" s="39">
        <f t="shared" si="84"/>
        <v>0</v>
      </c>
      <c r="CC169" s="39">
        <f t="shared" si="85"/>
        <v>0</v>
      </c>
      <c r="CD169" s="39">
        <f t="shared" si="86"/>
        <v>0</v>
      </c>
      <c r="CE169" s="102">
        <f t="shared" si="87"/>
        <v>0</v>
      </c>
      <c r="CF169" s="36" t="s">
        <v>292</v>
      </c>
      <c r="CG169" s="39" t="s">
        <v>281</v>
      </c>
      <c r="CH169" s="39"/>
      <c r="CI169" s="25">
        <v>1</v>
      </c>
    </row>
    <row r="170" spans="1:106" ht="24.75" customHeight="1">
      <c r="A170" s="36" t="s">
        <v>50</v>
      </c>
      <c r="B170" s="26">
        <v>47556</v>
      </c>
      <c r="C170" s="227">
        <v>13258863</v>
      </c>
      <c r="D170" s="36"/>
      <c r="E170" s="39">
        <v>180</v>
      </c>
      <c r="F170" s="39" t="s">
        <v>55</v>
      </c>
      <c r="G170" s="36" t="s">
        <v>604</v>
      </c>
      <c r="H170" s="36" t="s">
        <v>403</v>
      </c>
      <c r="I170" s="39">
        <v>206</v>
      </c>
      <c r="J170" s="39">
        <v>15</v>
      </c>
      <c r="K170" s="39"/>
      <c r="L170" s="39">
        <f t="shared" si="0"/>
        <v>221</v>
      </c>
      <c r="M170" s="117">
        <v>46157</v>
      </c>
      <c r="N170" s="117">
        <v>46162</v>
      </c>
      <c r="O170" s="39"/>
      <c r="P170" s="39"/>
      <c r="Q170" s="39"/>
      <c r="R170" s="39">
        <f t="shared" si="1"/>
        <v>0</v>
      </c>
      <c r="S170" s="39" t="s">
        <v>130</v>
      </c>
      <c r="T170" s="39">
        <v>107013</v>
      </c>
      <c r="U170" s="117">
        <v>46190</v>
      </c>
      <c r="V170" s="39"/>
      <c r="W170" s="39"/>
      <c r="X170" s="39"/>
      <c r="Y170" s="39">
        <v>237</v>
      </c>
      <c r="Z170" s="39">
        <v>18</v>
      </c>
      <c r="AA170" s="39"/>
      <c r="AB170" s="119">
        <f t="shared" si="2"/>
        <v>255</v>
      </c>
      <c r="AC170" s="39"/>
      <c r="AD170" s="39"/>
      <c r="AE170" s="39"/>
      <c r="AF170" s="39"/>
      <c r="AG170" s="39"/>
      <c r="AH170" s="39">
        <f t="shared" si="3"/>
        <v>0</v>
      </c>
      <c r="AI170" s="39"/>
      <c r="AJ170" s="39"/>
      <c r="AK170" s="39"/>
      <c r="AL170" s="39"/>
      <c r="AM170" s="39"/>
      <c r="AN170" s="39">
        <f t="shared" si="4"/>
        <v>0</v>
      </c>
      <c r="AO170" s="39"/>
      <c r="AP170" s="39"/>
      <c r="AQ170" s="39"/>
      <c r="AR170" s="39"/>
      <c r="AS170" s="39"/>
      <c r="AT170" s="39">
        <f t="shared" si="5"/>
        <v>0</v>
      </c>
      <c r="AU170" s="39"/>
      <c r="AV170" s="39"/>
      <c r="AW170" s="39"/>
      <c r="AX170" s="39"/>
      <c r="AY170" s="39"/>
      <c r="AZ170" s="39">
        <f t="shared" si="6"/>
        <v>0</v>
      </c>
      <c r="BA170" s="39"/>
      <c r="BB170" s="39"/>
      <c r="BC170" s="39"/>
      <c r="BD170" s="39"/>
      <c r="BE170" s="39"/>
      <c r="BF170" s="39">
        <f t="shared" si="7"/>
        <v>0</v>
      </c>
      <c r="BG170" s="39"/>
      <c r="BH170" s="39"/>
      <c r="BI170" s="39"/>
      <c r="BJ170" s="39"/>
      <c r="BK170" s="39"/>
      <c r="BL170" s="39">
        <f t="shared" si="8"/>
        <v>0</v>
      </c>
      <c r="BM170" s="54" t="str">
        <f t="shared" si="9"/>
        <v/>
      </c>
      <c r="BN170" s="58">
        <v>46179</v>
      </c>
      <c r="BO170" s="57">
        <v>46186</v>
      </c>
      <c r="BP170" s="36"/>
      <c r="BQ170" s="36"/>
      <c r="BR170" s="229">
        <v>46192</v>
      </c>
      <c r="BS170" s="229">
        <v>46203</v>
      </c>
      <c r="BT170" s="39">
        <v>1694</v>
      </c>
      <c r="BU170" s="39">
        <v>250</v>
      </c>
      <c r="BV170" s="39">
        <v>1694</v>
      </c>
      <c r="BW170" s="39">
        <v>15</v>
      </c>
      <c r="BX170" s="39"/>
      <c r="BY170" s="39"/>
      <c r="BZ170" s="39">
        <f t="shared" si="10"/>
        <v>265</v>
      </c>
      <c r="CA170" s="39">
        <f t="shared" si="11"/>
        <v>44</v>
      </c>
      <c r="CB170" s="39">
        <f t="shared" si="12"/>
        <v>0</v>
      </c>
      <c r="CC170" s="39">
        <f t="shared" si="13"/>
        <v>0</v>
      </c>
      <c r="CD170" s="39">
        <f t="shared" si="14"/>
        <v>0</v>
      </c>
      <c r="CE170" s="47">
        <f t="shared" si="15"/>
        <v>0</v>
      </c>
      <c r="CF170" s="36" t="s">
        <v>248</v>
      </c>
      <c r="CG170" s="39" t="s">
        <v>492</v>
      </c>
      <c r="CH170" s="39"/>
      <c r="CI170" s="25">
        <v>1</v>
      </c>
      <c r="CZ170" s="22"/>
      <c r="DA170" s="22"/>
      <c r="DB170" s="22"/>
    </row>
    <row r="171" spans="1:106" ht="24.75" customHeight="1">
      <c r="A171" s="36" t="s">
        <v>50</v>
      </c>
      <c r="B171" s="26">
        <v>47556</v>
      </c>
      <c r="C171" s="228"/>
      <c r="D171" s="36"/>
      <c r="E171" s="39">
        <v>180</v>
      </c>
      <c r="F171" s="39" t="s">
        <v>55</v>
      </c>
      <c r="G171" s="36" t="s">
        <v>35</v>
      </c>
      <c r="H171" s="36" t="s">
        <v>403</v>
      </c>
      <c r="I171" s="39">
        <v>133</v>
      </c>
      <c r="J171" s="39">
        <v>9</v>
      </c>
      <c r="K171" s="39"/>
      <c r="L171" s="39">
        <f t="shared" si="0"/>
        <v>142</v>
      </c>
      <c r="M171" s="117">
        <v>46157</v>
      </c>
      <c r="N171" s="117">
        <v>46162</v>
      </c>
      <c r="O171" s="39"/>
      <c r="P171" s="39"/>
      <c r="Q171" s="39"/>
      <c r="R171" s="39">
        <f t="shared" ref="R171" si="104">SUM(O171:Q171)</f>
        <v>0</v>
      </c>
      <c r="S171" s="39" t="s">
        <v>130</v>
      </c>
      <c r="T171" s="39">
        <v>107086</v>
      </c>
      <c r="U171" s="117">
        <v>46194</v>
      </c>
      <c r="V171" s="39"/>
      <c r="W171" s="39"/>
      <c r="X171" s="39"/>
      <c r="Y171" s="39">
        <v>165</v>
      </c>
      <c r="Z171" s="39">
        <v>12</v>
      </c>
      <c r="AA171" s="39"/>
      <c r="AB171" s="119">
        <f t="shared" ref="AB171" si="105">SUM(Y171:AA171)</f>
        <v>177</v>
      </c>
      <c r="AC171" s="39"/>
      <c r="AD171" s="39"/>
      <c r="AE171" s="39"/>
      <c r="AF171" s="39"/>
      <c r="AG171" s="39"/>
      <c r="AH171" s="39">
        <f t="shared" ref="AH171" si="106">AG171-AE171</f>
        <v>0</v>
      </c>
      <c r="AI171" s="39"/>
      <c r="AJ171" s="39"/>
      <c r="AK171" s="39"/>
      <c r="AL171" s="39"/>
      <c r="AM171" s="39"/>
      <c r="AN171" s="39">
        <f t="shared" ref="AN171" si="107">AM171-AK171</f>
        <v>0</v>
      </c>
      <c r="AO171" s="39"/>
      <c r="AP171" s="39"/>
      <c r="AQ171" s="39"/>
      <c r="AR171" s="39"/>
      <c r="AS171" s="39"/>
      <c r="AT171" s="39">
        <f t="shared" ref="AT171" si="108">AS171-AQ171</f>
        <v>0</v>
      </c>
      <c r="AU171" s="39"/>
      <c r="AV171" s="39"/>
      <c r="AW171" s="39"/>
      <c r="AX171" s="39"/>
      <c r="AY171" s="39"/>
      <c r="AZ171" s="39">
        <f t="shared" ref="AZ171" si="109">AY171-AW171</f>
        <v>0</v>
      </c>
      <c r="BA171" s="39"/>
      <c r="BB171" s="39"/>
      <c r="BC171" s="39"/>
      <c r="BD171" s="39"/>
      <c r="BE171" s="39"/>
      <c r="BF171" s="39">
        <f t="shared" ref="BF171" si="110">BE171-BC171</f>
        <v>0</v>
      </c>
      <c r="BG171" s="39"/>
      <c r="BH171" s="39"/>
      <c r="BI171" s="39"/>
      <c r="BJ171" s="39"/>
      <c r="BK171" s="39"/>
      <c r="BL171" s="39">
        <f t="shared" ref="BL171" si="111">BK171-BI171</f>
        <v>0</v>
      </c>
      <c r="BM171" s="54" t="str">
        <f t="shared" ref="BM171" si="112">IF((BZ171/L171)&lt;0.9,$CO$1-U171,"")</f>
        <v/>
      </c>
      <c r="BN171" s="58">
        <v>46179</v>
      </c>
      <c r="BO171" s="57">
        <v>46186</v>
      </c>
      <c r="BP171" s="36"/>
      <c r="BQ171" s="36"/>
      <c r="BR171" s="230"/>
      <c r="BS171" s="230"/>
      <c r="BT171" s="39">
        <v>2145</v>
      </c>
      <c r="BU171" s="39">
        <v>150</v>
      </c>
      <c r="BV171" s="39">
        <v>2145</v>
      </c>
      <c r="BW171" s="39">
        <v>10</v>
      </c>
      <c r="BX171" s="39"/>
      <c r="BY171" s="39"/>
      <c r="BZ171" s="39">
        <f t="shared" si="10"/>
        <v>160</v>
      </c>
      <c r="CA171" s="39">
        <f t="shared" si="11"/>
        <v>17</v>
      </c>
      <c r="CB171" s="39">
        <f t="shared" si="12"/>
        <v>1</v>
      </c>
      <c r="CC171" s="39">
        <f t="shared" si="13"/>
        <v>0</v>
      </c>
      <c r="CD171" s="39">
        <f t="shared" si="14"/>
        <v>0</v>
      </c>
      <c r="CE171" s="47">
        <f t="shared" si="15"/>
        <v>0</v>
      </c>
      <c r="CF171" s="36" t="s">
        <v>248</v>
      </c>
      <c r="CG171" s="39" t="s">
        <v>492</v>
      </c>
      <c r="CH171" s="39"/>
      <c r="CI171" s="25">
        <v>1</v>
      </c>
    </row>
    <row r="172" spans="1:106" ht="24.75" customHeight="1">
      <c r="A172" s="36" t="s">
        <v>50</v>
      </c>
      <c r="B172" s="142">
        <v>47671</v>
      </c>
      <c r="C172" s="227" t="s">
        <v>979</v>
      </c>
      <c r="D172" s="36"/>
      <c r="E172" s="39">
        <v>320</v>
      </c>
      <c r="F172" s="39" t="s">
        <v>53</v>
      </c>
      <c r="G172" s="36" t="s">
        <v>637</v>
      </c>
      <c r="H172" s="36" t="s">
        <v>520</v>
      </c>
      <c r="I172" s="39">
        <v>413</v>
      </c>
      <c r="J172" s="39"/>
      <c r="K172" s="39"/>
      <c r="L172" s="39">
        <f t="shared" si="0"/>
        <v>413</v>
      </c>
      <c r="M172" s="117">
        <v>46157</v>
      </c>
      <c r="N172" s="117">
        <v>46179</v>
      </c>
      <c r="O172" s="39"/>
      <c r="P172" s="39"/>
      <c r="Q172" s="39"/>
      <c r="R172" s="39">
        <f t="shared" ref="R172:R174" si="113">SUM(O172:Q172)</f>
        <v>0</v>
      </c>
      <c r="S172" s="39" t="s">
        <v>130</v>
      </c>
      <c r="T172" s="39" t="s">
        <v>1822</v>
      </c>
      <c r="U172" s="117" t="s">
        <v>1823</v>
      </c>
      <c r="V172" s="39"/>
      <c r="W172" s="39"/>
      <c r="X172" s="39"/>
      <c r="Y172" s="39">
        <f>453+28+3+6</f>
        <v>490</v>
      </c>
      <c r="Z172" s="39"/>
      <c r="AA172" s="39"/>
      <c r="AB172" s="119">
        <f t="shared" ref="AB172:AB175" si="114">SUM(Y172:AA172)</f>
        <v>490</v>
      </c>
      <c r="AC172" s="39"/>
      <c r="AD172" s="39"/>
      <c r="AE172" s="39"/>
      <c r="AF172" s="39"/>
      <c r="AG172" s="39"/>
      <c r="AH172" s="39">
        <f t="shared" ref="AH172:AH179" si="115">AG172-AE172</f>
        <v>0</v>
      </c>
      <c r="AI172" s="39"/>
      <c r="AJ172" s="39"/>
      <c r="AK172" s="39"/>
      <c r="AL172" s="39"/>
      <c r="AM172" s="39"/>
      <c r="AN172" s="39">
        <f t="shared" ref="AN172:AN179" si="116">AM172-AK172</f>
        <v>0</v>
      </c>
      <c r="AO172" s="39"/>
      <c r="AP172" s="39"/>
      <c r="AQ172" s="39"/>
      <c r="AR172" s="39"/>
      <c r="AS172" s="39"/>
      <c r="AT172" s="39">
        <f t="shared" ref="AT172:AT179" si="117">AS172-AQ172</f>
        <v>0</v>
      </c>
      <c r="AU172" s="39"/>
      <c r="AV172" s="39"/>
      <c r="AW172" s="39"/>
      <c r="AX172" s="39"/>
      <c r="AY172" s="39"/>
      <c r="AZ172" s="39">
        <f t="shared" ref="AZ172:AZ179" si="118">AY172-AW172</f>
        <v>0</v>
      </c>
      <c r="BA172" s="39"/>
      <c r="BB172" s="39"/>
      <c r="BC172" s="39"/>
      <c r="BD172" s="39"/>
      <c r="BE172" s="39"/>
      <c r="BF172" s="39">
        <f t="shared" ref="BF172:BF179" si="119">BE172-BC172</f>
        <v>0</v>
      </c>
      <c r="BG172" s="39"/>
      <c r="BH172" s="39"/>
      <c r="BI172" s="39"/>
      <c r="BJ172" s="39"/>
      <c r="BK172" s="39"/>
      <c r="BL172" s="39">
        <f t="shared" ref="BL172:BL179" si="120">BK172-BI172</f>
        <v>0</v>
      </c>
      <c r="BM172" s="54" t="str">
        <f t="shared" ref="BM172:BM179" si="121">IF((BZ172/L172)&lt;0.9,$CO$1-U172,"")</f>
        <v/>
      </c>
      <c r="BN172" s="58">
        <v>46183</v>
      </c>
      <c r="BO172" s="57">
        <v>46196</v>
      </c>
      <c r="BP172" s="36"/>
      <c r="BQ172" s="36"/>
      <c r="BR172" s="229">
        <v>46193</v>
      </c>
      <c r="BS172" s="229">
        <v>46195</v>
      </c>
      <c r="BT172" s="39" t="s">
        <v>1797</v>
      </c>
      <c r="BU172" s="39">
        <f>417+23</f>
        <v>440</v>
      </c>
      <c r="BV172" s="39"/>
      <c r="BW172" s="39"/>
      <c r="BX172" s="39"/>
      <c r="BY172" s="39"/>
      <c r="BZ172" s="39">
        <f t="shared" ref="BZ172:BZ179" si="122">BU172+BW172+BY172</f>
        <v>440</v>
      </c>
      <c r="CA172" s="39">
        <f t="shared" si="11"/>
        <v>27</v>
      </c>
      <c r="CB172" s="39">
        <f t="shared" ref="CB172:CB179" si="123">BW172-J172</f>
        <v>0</v>
      </c>
      <c r="CC172" s="39">
        <f t="shared" ref="CC172:CC179" si="124">BY172-K172</f>
        <v>0</v>
      </c>
      <c r="CD172" s="39">
        <f t="shared" ref="CD172:CD179" si="125">SUMIF(CA172:CC172,"&lt;0")</f>
        <v>0</v>
      </c>
      <c r="CE172" s="102">
        <f t="shared" ref="CE172:CE179" si="126">CD172/L172</f>
        <v>0</v>
      </c>
      <c r="CF172" s="36" t="s">
        <v>293</v>
      </c>
      <c r="CG172" s="39" t="s">
        <v>227</v>
      </c>
      <c r="CH172" s="39"/>
      <c r="CI172" s="25">
        <v>1</v>
      </c>
    </row>
    <row r="173" spans="1:106" ht="24.75" customHeight="1">
      <c r="A173" s="36" t="s">
        <v>50</v>
      </c>
      <c r="B173" s="142">
        <v>47671</v>
      </c>
      <c r="C173" s="231"/>
      <c r="D173" s="36"/>
      <c r="E173" s="39">
        <v>320</v>
      </c>
      <c r="F173" s="39" t="s">
        <v>53</v>
      </c>
      <c r="G173" s="36" t="s">
        <v>310</v>
      </c>
      <c r="H173" s="36" t="s">
        <v>520</v>
      </c>
      <c r="I173" s="39">
        <v>423</v>
      </c>
      <c r="J173" s="39"/>
      <c r="K173" s="39"/>
      <c r="L173" s="39">
        <f t="shared" ref="L173:L175" si="127">SUM(I173:K173)</f>
        <v>423</v>
      </c>
      <c r="M173" s="117">
        <v>46157</v>
      </c>
      <c r="N173" s="117">
        <v>46179</v>
      </c>
      <c r="O173" s="39"/>
      <c r="P173" s="39"/>
      <c r="Q173" s="39"/>
      <c r="R173" s="39">
        <f t="shared" si="113"/>
        <v>0</v>
      </c>
      <c r="S173" s="39" t="s">
        <v>130</v>
      </c>
      <c r="T173" s="39">
        <v>107032</v>
      </c>
      <c r="U173" s="117">
        <v>46190</v>
      </c>
      <c r="V173" s="39"/>
      <c r="W173" s="39"/>
      <c r="X173" s="39"/>
      <c r="Y173" s="39">
        <v>545</v>
      </c>
      <c r="Z173" s="39"/>
      <c r="AA173" s="39"/>
      <c r="AB173" s="119">
        <f t="shared" si="114"/>
        <v>545</v>
      </c>
      <c r="AC173" s="39"/>
      <c r="AD173" s="39"/>
      <c r="AE173" s="39"/>
      <c r="AF173" s="39"/>
      <c r="AG173" s="39"/>
      <c r="AH173" s="39">
        <f t="shared" si="115"/>
        <v>0</v>
      </c>
      <c r="AI173" s="39"/>
      <c r="AJ173" s="39"/>
      <c r="AK173" s="39"/>
      <c r="AL173" s="39"/>
      <c r="AM173" s="39"/>
      <c r="AN173" s="39">
        <f t="shared" si="116"/>
        <v>0</v>
      </c>
      <c r="AO173" s="39"/>
      <c r="AP173" s="39"/>
      <c r="AQ173" s="39"/>
      <c r="AR173" s="39"/>
      <c r="AS173" s="39"/>
      <c r="AT173" s="39">
        <f t="shared" si="117"/>
        <v>0</v>
      </c>
      <c r="AU173" s="39"/>
      <c r="AV173" s="39"/>
      <c r="AW173" s="39"/>
      <c r="AX173" s="39"/>
      <c r="AY173" s="39"/>
      <c r="AZ173" s="39">
        <f t="shared" si="118"/>
        <v>0</v>
      </c>
      <c r="BA173" s="39"/>
      <c r="BB173" s="39"/>
      <c r="BC173" s="39"/>
      <c r="BD173" s="39"/>
      <c r="BE173" s="39"/>
      <c r="BF173" s="39">
        <f t="shared" si="119"/>
        <v>0</v>
      </c>
      <c r="BG173" s="39"/>
      <c r="BH173" s="39"/>
      <c r="BI173" s="39"/>
      <c r="BJ173" s="39"/>
      <c r="BK173" s="39"/>
      <c r="BL173" s="39">
        <f t="shared" si="120"/>
        <v>0</v>
      </c>
      <c r="BM173" s="54" t="str">
        <f t="shared" si="121"/>
        <v/>
      </c>
      <c r="BN173" s="58">
        <v>46183</v>
      </c>
      <c r="BO173" s="57">
        <v>46196</v>
      </c>
      <c r="BP173" s="36"/>
      <c r="BQ173" s="36"/>
      <c r="BR173" s="232"/>
      <c r="BS173" s="232"/>
      <c r="BT173" s="39">
        <v>2105</v>
      </c>
      <c r="BU173" s="39">
        <f>416</f>
        <v>416</v>
      </c>
      <c r="BV173" s="39"/>
      <c r="BW173" s="39"/>
      <c r="BX173" s="39"/>
      <c r="BY173" s="39"/>
      <c r="BZ173" s="39">
        <f t="shared" si="122"/>
        <v>416</v>
      </c>
      <c r="CA173" s="39">
        <f t="shared" si="11"/>
        <v>-7</v>
      </c>
      <c r="CB173" s="39">
        <f t="shared" si="123"/>
        <v>0</v>
      </c>
      <c r="CC173" s="39">
        <f t="shared" si="124"/>
        <v>0</v>
      </c>
      <c r="CD173" s="39">
        <v>0</v>
      </c>
      <c r="CE173" s="102">
        <f t="shared" si="126"/>
        <v>0</v>
      </c>
      <c r="CF173" s="36" t="s">
        <v>293</v>
      </c>
      <c r="CG173" s="39" t="s">
        <v>227</v>
      </c>
      <c r="CH173" s="39"/>
      <c r="CI173" s="25">
        <v>1</v>
      </c>
    </row>
    <row r="174" spans="1:106" ht="24.75" customHeight="1">
      <c r="A174" s="36" t="s">
        <v>50</v>
      </c>
      <c r="B174" s="142">
        <v>47671</v>
      </c>
      <c r="C174" s="228"/>
      <c r="D174" s="36"/>
      <c r="E174" s="39"/>
      <c r="F174" s="39"/>
      <c r="G174" s="36" t="s">
        <v>319</v>
      </c>
      <c r="H174" s="36">
        <f>420+430</f>
        <v>850</v>
      </c>
      <c r="I174" s="39" t="s">
        <v>90</v>
      </c>
      <c r="J174" s="39"/>
      <c r="K174" s="39"/>
      <c r="L174" s="39">
        <f t="shared" si="127"/>
        <v>0</v>
      </c>
      <c r="M174" s="117">
        <v>46157</v>
      </c>
      <c r="N174" s="117">
        <v>46179</v>
      </c>
      <c r="O174" s="39"/>
      <c r="P174" s="39"/>
      <c r="Q174" s="39"/>
      <c r="R174" s="39">
        <f t="shared" si="113"/>
        <v>0</v>
      </c>
      <c r="S174" s="39" t="s">
        <v>130</v>
      </c>
      <c r="T174" s="39" t="s">
        <v>1069</v>
      </c>
      <c r="U174" s="117">
        <v>46190</v>
      </c>
      <c r="V174" s="39"/>
      <c r="W174" s="39"/>
      <c r="X174" s="39"/>
      <c r="Y174" s="39">
        <f>4+4</f>
        <v>8</v>
      </c>
      <c r="Z174" s="39"/>
      <c r="AA174" s="39"/>
      <c r="AB174" s="39">
        <f t="shared" si="114"/>
        <v>8</v>
      </c>
      <c r="AC174" s="39"/>
      <c r="AD174" s="39"/>
      <c r="AE174" s="39"/>
      <c r="AF174" s="39"/>
      <c r="AG174" s="39"/>
      <c r="AH174" s="39">
        <f t="shared" si="115"/>
        <v>0</v>
      </c>
      <c r="AI174" s="39"/>
      <c r="AJ174" s="39"/>
      <c r="AK174" s="39"/>
      <c r="AL174" s="39"/>
      <c r="AM174" s="39"/>
      <c r="AN174" s="39">
        <f t="shared" si="116"/>
        <v>0</v>
      </c>
      <c r="AO174" s="39"/>
      <c r="AP174" s="39"/>
      <c r="AQ174" s="39"/>
      <c r="AR174" s="39"/>
      <c r="AS174" s="39"/>
      <c r="AT174" s="39">
        <f t="shared" si="117"/>
        <v>0</v>
      </c>
      <c r="AU174" s="39"/>
      <c r="AV174" s="39"/>
      <c r="AW174" s="39"/>
      <c r="AX174" s="39"/>
      <c r="AY174" s="39"/>
      <c r="AZ174" s="39">
        <f t="shared" si="118"/>
        <v>0</v>
      </c>
      <c r="BA174" s="39"/>
      <c r="BB174" s="39"/>
      <c r="BC174" s="39"/>
      <c r="BD174" s="39"/>
      <c r="BE174" s="39"/>
      <c r="BF174" s="39">
        <f t="shared" si="119"/>
        <v>0</v>
      </c>
      <c r="BG174" s="39"/>
      <c r="BH174" s="39"/>
      <c r="BI174" s="39"/>
      <c r="BJ174" s="39"/>
      <c r="BK174" s="39"/>
      <c r="BL174" s="39">
        <f t="shared" si="120"/>
        <v>0</v>
      </c>
      <c r="BM174" s="54" t="e">
        <f t="shared" si="121"/>
        <v>#DIV/0!</v>
      </c>
      <c r="BN174" s="58">
        <v>46183</v>
      </c>
      <c r="BO174" s="57">
        <v>46196</v>
      </c>
      <c r="BP174" s="36"/>
      <c r="BQ174" s="36"/>
      <c r="BR174" s="230"/>
      <c r="BS174" s="230"/>
      <c r="BT174" s="39" t="s">
        <v>1674</v>
      </c>
      <c r="BU174" s="39"/>
      <c r="BV174" s="39"/>
      <c r="BW174" s="39"/>
      <c r="BX174" s="39"/>
      <c r="BY174" s="39"/>
      <c r="BZ174" s="39">
        <f t="shared" si="122"/>
        <v>0</v>
      </c>
      <c r="CA174" s="39" t="e">
        <f t="shared" si="11"/>
        <v>#VALUE!</v>
      </c>
      <c r="CB174" s="39">
        <f t="shared" si="123"/>
        <v>0</v>
      </c>
      <c r="CC174" s="39">
        <f t="shared" si="124"/>
        <v>0</v>
      </c>
      <c r="CD174" s="39">
        <f t="shared" si="125"/>
        <v>0</v>
      </c>
      <c r="CE174" s="102" t="e">
        <f t="shared" si="126"/>
        <v>#DIV/0!</v>
      </c>
      <c r="CF174" s="36" t="s">
        <v>293</v>
      </c>
      <c r="CG174" s="39" t="s">
        <v>227</v>
      </c>
      <c r="CH174" s="39"/>
      <c r="CI174" s="25">
        <v>1</v>
      </c>
    </row>
    <row r="175" spans="1:106" ht="33.75" customHeight="1">
      <c r="A175" s="36" t="s">
        <v>50</v>
      </c>
      <c r="B175" s="26">
        <v>47741</v>
      </c>
      <c r="C175" s="36">
        <v>13180124</v>
      </c>
      <c r="D175" s="36"/>
      <c r="E175" s="39">
        <v>180</v>
      </c>
      <c r="F175" s="39" t="s">
        <v>55</v>
      </c>
      <c r="G175" s="36" t="s">
        <v>310</v>
      </c>
      <c r="H175" s="36" t="s">
        <v>87</v>
      </c>
      <c r="I175" s="39">
        <v>68</v>
      </c>
      <c r="J175" s="39"/>
      <c r="K175" s="39"/>
      <c r="L175" s="39">
        <f t="shared" si="127"/>
        <v>68</v>
      </c>
      <c r="M175" s="117">
        <v>46157</v>
      </c>
      <c r="N175" s="117">
        <v>46160</v>
      </c>
      <c r="O175" s="39"/>
      <c r="P175" s="39"/>
      <c r="Q175" s="39"/>
      <c r="R175" s="39">
        <f t="shared" ref="R175:R179" si="128">SUM(O175:Q175)</f>
        <v>0</v>
      </c>
      <c r="S175" s="39" t="s">
        <v>326</v>
      </c>
      <c r="T175" s="39"/>
      <c r="U175" s="39"/>
      <c r="V175" s="117">
        <v>46162</v>
      </c>
      <c r="W175" s="39">
        <v>84</v>
      </c>
      <c r="X175" s="117">
        <v>46186</v>
      </c>
      <c r="Y175" s="39">
        <v>74</v>
      </c>
      <c r="Z175" s="39"/>
      <c r="AA175" s="39"/>
      <c r="AB175" s="119">
        <f t="shared" si="114"/>
        <v>74</v>
      </c>
      <c r="AC175" s="39"/>
      <c r="AD175" s="39"/>
      <c r="AE175" s="39"/>
      <c r="AF175" s="39"/>
      <c r="AG175" s="39"/>
      <c r="AH175" s="39">
        <f t="shared" si="115"/>
        <v>0</v>
      </c>
      <c r="AI175" s="39"/>
      <c r="AJ175" s="39"/>
      <c r="AK175" s="39"/>
      <c r="AL175" s="39"/>
      <c r="AM175" s="39"/>
      <c r="AN175" s="39">
        <f t="shared" si="116"/>
        <v>0</v>
      </c>
      <c r="AO175" s="39"/>
      <c r="AP175" s="39"/>
      <c r="AQ175" s="39"/>
      <c r="AR175" s="39"/>
      <c r="AS175" s="39"/>
      <c r="AT175" s="39">
        <f t="shared" si="117"/>
        <v>0</v>
      </c>
      <c r="AU175" s="39"/>
      <c r="AV175" s="39"/>
      <c r="AW175" s="39"/>
      <c r="AX175" s="39"/>
      <c r="AY175" s="39"/>
      <c r="AZ175" s="39">
        <f t="shared" si="118"/>
        <v>0</v>
      </c>
      <c r="BA175" s="39"/>
      <c r="BB175" s="39"/>
      <c r="BC175" s="39"/>
      <c r="BD175" s="39"/>
      <c r="BE175" s="39"/>
      <c r="BF175" s="39">
        <f t="shared" si="119"/>
        <v>0</v>
      </c>
      <c r="BG175" s="39"/>
      <c r="BH175" s="39"/>
      <c r="BI175" s="39"/>
      <c r="BJ175" s="39"/>
      <c r="BK175" s="39"/>
      <c r="BL175" s="39">
        <f t="shared" si="120"/>
        <v>0</v>
      </c>
      <c r="BM175" s="54" t="str">
        <f t="shared" si="121"/>
        <v/>
      </c>
      <c r="BN175" s="58">
        <v>46178</v>
      </c>
      <c r="BO175" s="57">
        <v>46183</v>
      </c>
      <c r="BP175" s="36"/>
      <c r="BQ175" s="36"/>
      <c r="BR175" s="50">
        <v>46186</v>
      </c>
      <c r="BS175" s="50">
        <v>46186</v>
      </c>
      <c r="BT175" s="39">
        <v>1397</v>
      </c>
      <c r="BU175" s="39">
        <v>74</v>
      </c>
      <c r="BV175" s="39"/>
      <c r="BW175" s="39"/>
      <c r="BX175" s="39"/>
      <c r="BY175" s="39"/>
      <c r="BZ175" s="39">
        <f t="shared" si="122"/>
        <v>74</v>
      </c>
      <c r="CA175" s="39">
        <f t="shared" si="11"/>
        <v>6</v>
      </c>
      <c r="CB175" s="39">
        <f t="shared" si="123"/>
        <v>0</v>
      </c>
      <c r="CC175" s="39">
        <f t="shared" si="124"/>
        <v>0</v>
      </c>
      <c r="CD175" s="39">
        <f t="shared" si="125"/>
        <v>0</v>
      </c>
      <c r="CE175" s="102">
        <f t="shared" si="126"/>
        <v>0</v>
      </c>
      <c r="CF175" s="36"/>
      <c r="CG175" s="39" t="s">
        <v>779</v>
      </c>
      <c r="CH175" s="39"/>
      <c r="CI175" s="25">
        <v>1</v>
      </c>
    </row>
    <row r="176" spans="1:106" ht="24.75" customHeight="1">
      <c r="A176" s="36" t="s">
        <v>50</v>
      </c>
      <c r="B176" s="26" t="s">
        <v>805</v>
      </c>
      <c r="C176" s="227">
        <v>13234729</v>
      </c>
      <c r="D176" s="36"/>
      <c r="E176" s="39">
        <v>200</v>
      </c>
      <c r="F176" s="39" t="s">
        <v>60</v>
      </c>
      <c r="G176" s="36" t="s">
        <v>427</v>
      </c>
      <c r="H176" s="36" t="s">
        <v>89</v>
      </c>
      <c r="I176" s="39">
        <v>175</v>
      </c>
      <c r="J176" s="39">
        <v>11</v>
      </c>
      <c r="K176" s="39"/>
      <c r="L176" s="39">
        <f t="shared" ref="L176:L177" si="129">SUM(I176:K176)</f>
        <v>186</v>
      </c>
      <c r="M176" s="117">
        <v>46162</v>
      </c>
      <c r="N176" s="117">
        <v>46168</v>
      </c>
      <c r="O176" s="39"/>
      <c r="P176" s="39"/>
      <c r="Q176" s="39"/>
      <c r="R176" s="39">
        <f t="shared" si="128"/>
        <v>0</v>
      </c>
      <c r="S176" s="39" t="s">
        <v>130</v>
      </c>
      <c r="T176" s="39">
        <v>107178</v>
      </c>
      <c r="U176" s="117">
        <v>46195</v>
      </c>
      <c r="V176" s="39"/>
      <c r="W176" s="39"/>
      <c r="X176" s="39"/>
      <c r="Y176" s="39">
        <v>204</v>
      </c>
      <c r="Z176" s="39">
        <v>16</v>
      </c>
      <c r="AA176" s="39"/>
      <c r="AB176" s="119">
        <f t="shared" ref="AB176:AB179" si="130">SUM(Y176:AA176)</f>
        <v>220</v>
      </c>
      <c r="AC176" s="39"/>
      <c r="AD176" s="39"/>
      <c r="AE176" s="39"/>
      <c r="AF176" s="39"/>
      <c r="AG176" s="39"/>
      <c r="AH176" s="39">
        <f t="shared" si="115"/>
        <v>0</v>
      </c>
      <c r="AI176" s="39"/>
      <c r="AJ176" s="39"/>
      <c r="AK176" s="39"/>
      <c r="AL176" s="39"/>
      <c r="AM176" s="39"/>
      <c r="AN176" s="39">
        <f t="shared" si="116"/>
        <v>0</v>
      </c>
      <c r="AO176" s="39"/>
      <c r="AP176" s="39"/>
      <c r="AQ176" s="39"/>
      <c r="AR176" s="39"/>
      <c r="AS176" s="39"/>
      <c r="AT176" s="39">
        <f t="shared" si="117"/>
        <v>0</v>
      </c>
      <c r="AU176" s="39"/>
      <c r="AV176" s="39"/>
      <c r="AW176" s="39"/>
      <c r="AX176" s="39"/>
      <c r="AY176" s="39"/>
      <c r="AZ176" s="39">
        <f t="shared" si="118"/>
        <v>0</v>
      </c>
      <c r="BA176" s="39"/>
      <c r="BB176" s="39"/>
      <c r="BC176" s="39"/>
      <c r="BD176" s="39"/>
      <c r="BE176" s="39"/>
      <c r="BF176" s="39">
        <f t="shared" si="119"/>
        <v>0</v>
      </c>
      <c r="BG176" s="39"/>
      <c r="BH176" s="39"/>
      <c r="BI176" s="39"/>
      <c r="BJ176" s="39"/>
      <c r="BK176" s="39"/>
      <c r="BL176" s="39">
        <f t="shared" si="120"/>
        <v>0</v>
      </c>
      <c r="BM176" s="54" t="str">
        <f t="shared" si="121"/>
        <v/>
      </c>
      <c r="BN176" s="58">
        <v>46179</v>
      </c>
      <c r="BO176" s="57">
        <v>46192</v>
      </c>
      <c r="BP176" s="36"/>
      <c r="BQ176" s="36"/>
      <c r="BR176" s="229">
        <v>46198</v>
      </c>
      <c r="BS176" s="233">
        <v>46207</v>
      </c>
      <c r="BT176" s="39">
        <v>2122</v>
      </c>
      <c r="BU176" s="39">
        <v>184</v>
      </c>
      <c r="BV176" s="39">
        <v>2128</v>
      </c>
      <c r="BW176" s="39">
        <v>14</v>
      </c>
      <c r="BX176" s="39"/>
      <c r="BY176" s="39"/>
      <c r="BZ176" s="39">
        <f t="shared" si="122"/>
        <v>198</v>
      </c>
      <c r="CA176" s="39">
        <f t="shared" si="11"/>
        <v>9</v>
      </c>
      <c r="CB176" s="39">
        <f t="shared" si="123"/>
        <v>3</v>
      </c>
      <c r="CC176" s="39">
        <f t="shared" si="124"/>
        <v>0</v>
      </c>
      <c r="CD176" s="39">
        <f t="shared" si="125"/>
        <v>0</v>
      </c>
      <c r="CE176" s="102">
        <f t="shared" si="126"/>
        <v>0</v>
      </c>
      <c r="CF176" s="36" t="s">
        <v>292</v>
      </c>
      <c r="CG176" s="39" t="s">
        <v>281</v>
      </c>
      <c r="CH176" s="39" t="s">
        <v>973</v>
      </c>
      <c r="CI176" s="25">
        <v>1</v>
      </c>
    </row>
    <row r="177" spans="1:87" ht="24.75" customHeight="1">
      <c r="A177" s="36" t="s">
        <v>50</v>
      </c>
      <c r="B177" s="26" t="s">
        <v>805</v>
      </c>
      <c r="C177" s="231"/>
      <c r="D177" s="36"/>
      <c r="E177" s="39">
        <v>200</v>
      </c>
      <c r="F177" s="39" t="s">
        <v>60</v>
      </c>
      <c r="G177" s="36" t="s">
        <v>93</v>
      </c>
      <c r="H177" s="36" t="s">
        <v>89</v>
      </c>
      <c r="I177" s="39">
        <v>173</v>
      </c>
      <c r="J177" s="39">
        <v>13</v>
      </c>
      <c r="K177" s="39"/>
      <c r="L177" s="39">
        <f t="shared" si="129"/>
        <v>186</v>
      </c>
      <c r="M177" s="117">
        <v>46162</v>
      </c>
      <c r="N177" s="117">
        <v>46168</v>
      </c>
      <c r="O177" s="39"/>
      <c r="P177" s="39"/>
      <c r="Q177" s="39"/>
      <c r="R177" s="39">
        <f t="shared" si="128"/>
        <v>0</v>
      </c>
      <c r="S177" s="39" t="s">
        <v>130</v>
      </c>
      <c r="T177" s="39">
        <v>107162</v>
      </c>
      <c r="U177" s="117">
        <v>46196</v>
      </c>
      <c r="V177" s="39"/>
      <c r="W177" s="39"/>
      <c r="X177" s="39"/>
      <c r="Y177" s="39">
        <v>204</v>
      </c>
      <c r="Z177" s="39">
        <v>16</v>
      </c>
      <c r="AA177" s="39"/>
      <c r="AB177" s="119">
        <f t="shared" si="130"/>
        <v>220</v>
      </c>
      <c r="AC177" s="39"/>
      <c r="AD177" s="39"/>
      <c r="AE177" s="39"/>
      <c r="AF177" s="39"/>
      <c r="AG177" s="39"/>
      <c r="AH177" s="39">
        <f t="shared" si="115"/>
        <v>0</v>
      </c>
      <c r="AI177" s="39"/>
      <c r="AJ177" s="39"/>
      <c r="AK177" s="39"/>
      <c r="AL177" s="39"/>
      <c r="AM177" s="39"/>
      <c r="AN177" s="39">
        <f t="shared" si="116"/>
        <v>0</v>
      </c>
      <c r="AO177" s="39"/>
      <c r="AP177" s="39"/>
      <c r="AQ177" s="39"/>
      <c r="AR177" s="39"/>
      <c r="AS177" s="39"/>
      <c r="AT177" s="39">
        <f t="shared" si="117"/>
        <v>0</v>
      </c>
      <c r="AU177" s="39"/>
      <c r="AV177" s="39"/>
      <c r="AW177" s="39"/>
      <c r="AX177" s="39"/>
      <c r="AY177" s="39"/>
      <c r="AZ177" s="39">
        <f t="shared" si="118"/>
        <v>0</v>
      </c>
      <c r="BA177" s="39"/>
      <c r="BB177" s="39"/>
      <c r="BC177" s="39"/>
      <c r="BD177" s="39"/>
      <c r="BE177" s="39"/>
      <c r="BF177" s="39">
        <f t="shared" si="119"/>
        <v>0</v>
      </c>
      <c r="BG177" s="39"/>
      <c r="BH177" s="39"/>
      <c r="BI177" s="39"/>
      <c r="BJ177" s="39"/>
      <c r="BK177" s="39"/>
      <c r="BL177" s="39">
        <f t="shared" si="120"/>
        <v>0</v>
      </c>
      <c r="BM177" s="54" t="str">
        <f t="shared" si="121"/>
        <v/>
      </c>
      <c r="BN177" s="58">
        <v>46179</v>
      </c>
      <c r="BO177" s="57">
        <v>46192</v>
      </c>
      <c r="BP177" s="36"/>
      <c r="BQ177" s="36"/>
      <c r="BR177" s="232"/>
      <c r="BS177" s="241"/>
      <c r="BT177" s="39" t="s">
        <v>1375</v>
      </c>
      <c r="BU177" s="39">
        <f>152+25</f>
        <v>177</v>
      </c>
      <c r="BV177" s="39">
        <v>2126</v>
      </c>
      <c r="BW177" s="39">
        <v>13</v>
      </c>
      <c r="BX177" s="39"/>
      <c r="BY177" s="39"/>
      <c r="BZ177" s="39">
        <f t="shared" si="122"/>
        <v>190</v>
      </c>
      <c r="CA177" s="39">
        <f t="shared" si="11"/>
        <v>4</v>
      </c>
      <c r="CB177" s="39">
        <f t="shared" si="123"/>
        <v>0</v>
      </c>
      <c r="CC177" s="39">
        <f t="shared" si="124"/>
        <v>0</v>
      </c>
      <c r="CD177" s="39">
        <f t="shared" si="125"/>
        <v>0</v>
      </c>
      <c r="CE177" s="102">
        <f t="shared" si="126"/>
        <v>0</v>
      </c>
      <c r="CF177" s="36" t="s">
        <v>292</v>
      </c>
      <c r="CG177" s="39" t="s">
        <v>281</v>
      </c>
      <c r="CH177" s="39" t="s">
        <v>764</v>
      </c>
      <c r="CI177" s="25">
        <v>1</v>
      </c>
    </row>
    <row r="178" spans="1:87" ht="24.75" customHeight="1">
      <c r="A178" s="36" t="s">
        <v>50</v>
      </c>
      <c r="B178" s="26" t="s">
        <v>805</v>
      </c>
      <c r="C178" s="231"/>
      <c r="D178" s="36"/>
      <c r="E178" s="39">
        <v>200</v>
      </c>
      <c r="F178" s="39" t="s">
        <v>60</v>
      </c>
      <c r="G178" s="36" t="s">
        <v>368</v>
      </c>
      <c r="H178" s="36" t="s">
        <v>89</v>
      </c>
      <c r="I178" s="39">
        <v>175</v>
      </c>
      <c r="J178" s="39">
        <v>11</v>
      </c>
      <c r="K178" s="39"/>
      <c r="L178" s="39">
        <f t="shared" ref="L178" si="131">SUM(I178:K178)</f>
        <v>186</v>
      </c>
      <c r="M178" s="117">
        <v>46162</v>
      </c>
      <c r="N178" s="117">
        <v>46168</v>
      </c>
      <c r="O178" s="39"/>
      <c r="P178" s="39"/>
      <c r="Q178" s="39"/>
      <c r="R178" s="39">
        <f t="shared" si="128"/>
        <v>0</v>
      </c>
      <c r="S178" s="39" t="s">
        <v>31</v>
      </c>
      <c r="T178" s="39"/>
      <c r="U178" s="39"/>
      <c r="V178" s="117">
        <v>46193</v>
      </c>
      <c r="W178" s="39">
        <f>190+13</f>
        <v>203</v>
      </c>
      <c r="X178" s="117">
        <v>46203</v>
      </c>
      <c r="Y178" s="39">
        <v>184</v>
      </c>
      <c r="Z178" s="39">
        <v>12</v>
      </c>
      <c r="AA178" s="39"/>
      <c r="AB178" s="119">
        <f t="shared" si="130"/>
        <v>196</v>
      </c>
      <c r="AC178" s="39"/>
      <c r="AD178" s="39"/>
      <c r="AE178" s="39"/>
      <c r="AF178" s="39"/>
      <c r="AG178" s="39"/>
      <c r="AH178" s="39">
        <f t="shared" si="115"/>
        <v>0</v>
      </c>
      <c r="AI178" s="39"/>
      <c r="AJ178" s="39"/>
      <c r="AK178" s="39"/>
      <c r="AL178" s="39"/>
      <c r="AM178" s="39"/>
      <c r="AN178" s="39">
        <f t="shared" si="116"/>
        <v>0</v>
      </c>
      <c r="AO178" s="39"/>
      <c r="AP178" s="39"/>
      <c r="AQ178" s="39"/>
      <c r="AR178" s="39"/>
      <c r="AS178" s="39"/>
      <c r="AT178" s="39">
        <f t="shared" si="117"/>
        <v>0</v>
      </c>
      <c r="AU178" s="39"/>
      <c r="AV178" s="39"/>
      <c r="AW178" s="39"/>
      <c r="AX178" s="39"/>
      <c r="AY178" s="39"/>
      <c r="AZ178" s="39">
        <f t="shared" si="118"/>
        <v>0</v>
      </c>
      <c r="BA178" s="39"/>
      <c r="BB178" s="39"/>
      <c r="BC178" s="39"/>
      <c r="BD178" s="39"/>
      <c r="BE178" s="39"/>
      <c r="BF178" s="39">
        <f t="shared" si="119"/>
        <v>0</v>
      </c>
      <c r="BG178" s="39"/>
      <c r="BH178" s="39"/>
      <c r="BI178" s="39"/>
      <c r="BJ178" s="39"/>
      <c r="BK178" s="39"/>
      <c r="BL178" s="39">
        <f t="shared" si="120"/>
        <v>0</v>
      </c>
      <c r="BM178" s="54" t="str">
        <f t="shared" si="121"/>
        <v/>
      </c>
      <c r="BN178" s="58">
        <v>46179</v>
      </c>
      <c r="BO178" s="57">
        <v>46192</v>
      </c>
      <c r="BP178" s="36"/>
      <c r="BQ178" s="36"/>
      <c r="BR178" s="232"/>
      <c r="BS178" s="241"/>
      <c r="BT178" s="39">
        <v>1762</v>
      </c>
      <c r="BU178" s="39">
        <v>184</v>
      </c>
      <c r="BV178" s="39">
        <v>1762</v>
      </c>
      <c r="BW178" s="39">
        <v>12</v>
      </c>
      <c r="BX178" s="39"/>
      <c r="BY178" s="39"/>
      <c r="BZ178" s="39">
        <f t="shared" si="122"/>
        <v>196</v>
      </c>
      <c r="CA178" s="39">
        <f t="shared" si="11"/>
        <v>9</v>
      </c>
      <c r="CB178" s="39">
        <f t="shared" si="123"/>
        <v>1</v>
      </c>
      <c r="CC178" s="39">
        <f t="shared" si="124"/>
        <v>0</v>
      </c>
      <c r="CD178" s="39">
        <f t="shared" si="125"/>
        <v>0</v>
      </c>
      <c r="CE178" s="102">
        <f t="shared" si="126"/>
        <v>0</v>
      </c>
      <c r="CF178" s="36" t="s">
        <v>292</v>
      </c>
      <c r="CG178" s="39" t="s">
        <v>281</v>
      </c>
      <c r="CH178" s="39"/>
      <c r="CI178" s="25">
        <v>1</v>
      </c>
    </row>
    <row r="179" spans="1:87" ht="24.75" customHeight="1">
      <c r="A179" s="36" t="s">
        <v>50</v>
      </c>
      <c r="B179" s="26" t="s">
        <v>805</v>
      </c>
      <c r="C179" s="228"/>
      <c r="D179" s="36"/>
      <c r="E179" s="39">
        <v>200</v>
      </c>
      <c r="F179" s="39" t="s">
        <v>60</v>
      </c>
      <c r="G179" s="36" t="s">
        <v>310</v>
      </c>
      <c r="H179" s="36" t="s">
        <v>89</v>
      </c>
      <c r="I179" s="39">
        <v>209</v>
      </c>
      <c r="J179" s="39">
        <v>14</v>
      </c>
      <c r="K179" s="39"/>
      <c r="L179" s="39">
        <f t="shared" ref="L179" si="132">SUM(I179:K179)</f>
        <v>223</v>
      </c>
      <c r="M179" s="117">
        <v>46162</v>
      </c>
      <c r="N179" s="117">
        <v>46168</v>
      </c>
      <c r="O179" s="39"/>
      <c r="P179" s="39"/>
      <c r="Q179" s="39"/>
      <c r="R179" s="39">
        <f t="shared" si="128"/>
        <v>0</v>
      </c>
      <c r="S179" s="39" t="s">
        <v>326</v>
      </c>
      <c r="T179" s="39"/>
      <c r="U179" s="39"/>
      <c r="V179" s="117">
        <v>46182</v>
      </c>
      <c r="W179" s="39">
        <f>230+16</f>
        <v>246</v>
      </c>
      <c r="X179" s="117" t="s">
        <v>1191</v>
      </c>
      <c r="Y179" s="39">
        <v>214</v>
      </c>
      <c r="Z179" s="39">
        <v>15</v>
      </c>
      <c r="AA179" s="39"/>
      <c r="AB179" s="119">
        <f t="shared" si="130"/>
        <v>229</v>
      </c>
      <c r="AC179" s="39"/>
      <c r="AD179" s="39"/>
      <c r="AE179" s="39"/>
      <c r="AF179" s="39"/>
      <c r="AG179" s="39"/>
      <c r="AH179" s="39">
        <f t="shared" si="115"/>
        <v>0</v>
      </c>
      <c r="AI179" s="39"/>
      <c r="AJ179" s="39"/>
      <c r="AK179" s="39"/>
      <c r="AL179" s="39"/>
      <c r="AM179" s="39"/>
      <c r="AN179" s="39">
        <f t="shared" si="116"/>
        <v>0</v>
      </c>
      <c r="AO179" s="39"/>
      <c r="AP179" s="39"/>
      <c r="AQ179" s="39"/>
      <c r="AR179" s="39"/>
      <c r="AS179" s="39"/>
      <c r="AT179" s="39">
        <f t="shared" si="117"/>
        <v>0</v>
      </c>
      <c r="AU179" s="39"/>
      <c r="AV179" s="39"/>
      <c r="AW179" s="39"/>
      <c r="AX179" s="39"/>
      <c r="AY179" s="39"/>
      <c r="AZ179" s="39">
        <f t="shared" si="118"/>
        <v>0</v>
      </c>
      <c r="BA179" s="39"/>
      <c r="BB179" s="39"/>
      <c r="BC179" s="39"/>
      <c r="BD179" s="39"/>
      <c r="BE179" s="39"/>
      <c r="BF179" s="39">
        <f t="shared" si="119"/>
        <v>0</v>
      </c>
      <c r="BG179" s="39"/>
      <c r="BH179" s="39"/>
      <c r="BI179" s="39"/>
      <c r="BJ179" s="39"/>
      <c r="BK179" s="39"/>
      <c r="BL179" s="39">
        <f t="shared" si="120"/>
        <v>0</v>
      </c>
      <c r="BM179" s="54" t="str">
        <f t="shared" si="121"/>
        <v/>
      </c>
      <c r="BN179" s="58">
        <v>46179</v>
      </c>
      <c r="BO179" s="57">
        <v>46192</v>
      </c>
      <c r="BP179" s="36"/>
      <c r="BQ179" s="36"/>
      <c r="BR179" s="230"/>
      <c r="BS179" s="242"/>
      <c r="BT179" s="39">
        <v>1759</v>
      </c>
      <c r="BU179" s="39">
        <v>214</v>
      </c>
      <c r="BV179" s="39">
        <v>1514</v>
      </c>
      <c r="BW179" s="39">
        <v>15</v>
      </c>
      <c r="BX179" s="39"/>
      <c r="BY179" s="39"/>
      <c r="BZ179" s="39">
        <f t="shared" si="122"/>
        <v>229</v>
      </c>
      <c r="CA179" s="39">
        <f t="shared" si="11"/>
        <v>5</v>
      </c>
      <c r="CB179" s="39">
        <f t="shared" si="123"/>
        <v>1</v>
      </c>
      <c r="CC179" s="39">
        <f t="shared" si="124"/>
        <v>0</v>
      </c>
      <c r="CD179" s="39">
        <f t="shared" si="125"/>
        <v>0</v>
      </c>
      <c r="CE179" s="102">
        <f t="shared" si="126"/>
        <v>0</v>
      </c>
      <c r="CF179" s="36" t="s">
        <v>292</v>
      </c>
      <c r="CG179" s="39" t="s">
        <v>281</v>
      </c>
      <c r="CH179" s="39"/>
      <c r="CI179" s="25">
        <v>1</v>
      </c>
    </row>
    <row r="180" spans="1:87" ht="24.75" customHeight="1">
      <c r="A180" s="36" t="s">
        <v>50</v>
      </c>
      <c r="B180" s="26"/>
      <c r="C180" s="36"/>
      <c r="D180" s="36"/>
      <c r="E180" s="39"/>
      <c r="F180" s="39"/>
      <c r="G180" s="36"/>
      <c r="H180" s="39"/>
      <c r="I180" s="39"/>
      <c r="J180" s="39"/>
      <c r="K180" s="39"/>
      <c r="L180" s="39">
        <f t="shared" si="0"/>
        <v>0</v>
      </c>
      <c r="M180" s="39"/>
      <c r="N180" s="39"/>
      <c r="O180" s="39"/>
      <c r="P180" s="39"/>
      <c r="Q180" s="39"/>
      <c r="R180" s="39">
        <f t="shared" si="1"/>
        <v>0</v>
      </c>
      <c r="S180" s="39"/>
      <c r="T180" s="39"/>
      <c r="U180" s="39"/>
      <c r="V180" s="39"/>
      <c r="W180" s="39"/>
      <c r="X180" s="39"/>
      <c r="Y180" s="39"/>
      <c r="Z180" s="39"/>
      <c r="AA180" s="39"/>
      <c r="AB180" s="39">
        <f t="shared" si="2"/>
        <v>0</v>
      </c>
      <c r="AC180" s="39"/>
      <c r="AD180" s="39"/>
      <c r="AE180" s="39"/>
      <c r="AF180" s="39"/>
      <c r="AG180" s="39"/>
      <c r="AH180" s="39">
        <f t="shared" si="3"/>
        <v>0</v>
      </c>
      <c r="AI180" s="39"/>
      <c r="AJ180" s="39"/>
      <c r="AK180" s="39"/>
      <c r="AL180" s="39"/>
      <c r="AM180" s="39"/>
      <c r="AN180" s="39">
        <f t="shared" si="4"/>
        <v>0</v>
      </c>
      <c r="AO180" s="39"/>
      <c r="AP180" s="39"/>
      <c r="AQ180" s="39"/>
      <c r="AR180" s="39"/>
      <c r="AS180" s="39"/>
      <c r="AT180" s="39">
        <f t="shared" si="5"/>
        <v>0</v>
      </c>
      <c r="AU180" s="39"/>
      <c r="AV180" s="39"/>
      <c r="AW180" s="39"/>
      <c r="AX180" s="39"/>
      <c r="AY180" s="39"/>
      <c r="AZ180" s="39">
        <f t="shared" si="6"/>
        <v>0</v>
      </c>
      <c r="BA180" s="39"/>
      <c r="BB180" s="39"/>
      <c r="BC180" s="39"/>
      <c r="BD180" s="39"/>
      <c r="BE180" s="39"/>
      <c r="BF180" s="39">
        <f t="shared" si="7"/>
        <v>0</v>
      </c>
      <c r="BG180" s="39"/>
      <c r="BH180" s="39"/>
      <c r="BI180" s="39"/>
      <c r="BJ180" s="39"/>
      <c r="BK180" s="39"/>
      <c r="BL180" s="39">
        <f t="shared" si="8"/>
        <v>0</v>
      </c>
      <c r="BM180" s="54" t="e">
        <f t="shared" si="9"/>
        <v>#DIV/0!</v>
      </c>
      <c r="BN180" s="64"/>
      <c r="BO180" s="36"/>
      <c r="BP180" s="36"/>
      <c r="BQ180" s="36"/>
      <c r="BR180" s="40"/>
      <c r="BS180" s="40"/>
      <c r="BT180" s="39"/>
      <c r="BU180" s="39"/>
      <c r="BV180" s="39"/>
      <c r="BW180" s="39"/>
      <c r="BX180" s="39"/>
      <c r="BY180" s="39"/>
      <c r="BZ180" s="39">
        <f t="shared" si="10"/>
        <v>0</v>
      </c>
      <c r="CA180" s="39">
        <f t="shared" si="11"/>
        <v>0</v>
      </c>
      <c r="CB180" s="39">
        <f t="shared" si="12"/>
        <v>0</v>
      </c>
      <c r="CC180" s="39">
        <f t="shared" si="13"/>
        <v>0</v>
      </c>
      <c r="CD180" s="39">
        <f t="shared" si="14"/>
        <v>0</v>
      </c>
      <c r="CE180" s="47" t="e">
        <f t="shared" si="15"/>
        <v>#DIV/0!</v>
      </c>
      <c r="CF180" s="36"/>
      <c r="CG180" s="39"/>
      <c r="CH180" s="39"/>
      <c r="CI180" s="25">
        <v>1</v>
      </c>
    </row>
    <row r="181" spans="1:87" ht="24.75" customHeight="1">
      <c r="A181" s="36" t="s">
        <v>50</v>
      </c>
      <c r="B181" s="26"/>
      <c r="C181" s="36"/>
      <c r="D181" s="36"/>
      <c r="E181" s="39"/>
      <c r="F181" s="39"/>
      <c r="G181" s="36"/>
      <c r="H181" s="39"/>
      <c r="I181" s="39"/>
      <c r="J181" s="39"/>
      <c r="K181" s="39"/>
      <c r="L181" s="39">
        <f t="shared" si="0"/>
        <v>0</v>
      </c>
      <c r="M181" s="39"/>
      <c r="N181" s="39"/>
      <c r="O181" s="39"/>
      <c r="P181" s="39"/>
      <c r="Q181" s="39"/>
      <c r="R181" s="39">
        <f t="shared" si="1"/>
        <v>0</v>
      </c>
      <c r="S181" s="39"/>
      <c r="T181" s="39"/>
      <c r="U181" s="39"/>
      <c r="V181" s="39"/>
      <c r="W181" s="39"/>
      <c r="X181" s="39"/>
      <c r="Y181" s="39"/>
      <c r="Z181" s="39"/>
      <c r="AA181" s="39"/>
      <c r="AB181" s="39">
        <f t="shared" si="2"/>
        <v>0</v>
      </c>
      <c r="AC181" s="39"/>
      <c r="AD181" s="39"/>
      <c r="AE181" s="39"/>
      <c r="AF181" s="39"/>
      <c r="AG181" s="39"/>
      <c r="AH181" s="39">
        <f t="shared" si="3"/>
        <v>0</v>
      </c>
      <c r="AI181" s="39"/>
      <c r="AJ181" s="39"/>
      <c r="AK181" s="39"/>
      <c r="AL181" s="39"/>
      <c r="AM181" s="39"/>
      <c r="AN181" s="39">
        <f t="shared" si="4"/>
        <v>0</v>
      </c>
      <c r="AO181" s="39"/>
      <c r="AP181" s="39"/>
      <c r="AQ181" s="39"/>
      <c r="AR181" s="39"/>
      <c r="AS181" s="39"/>
      <c r="AT181" s="39">
        <f t="shared" si="5"/>
        <v>0</v>
      </c>
      <c r="AU181" s="39"/>
      <c r="AV181" s="39"/>
      <c r="AW181" s="39"/>
      <c r="AX181" s="39"/>
      <c r="AY181" s="39"/>
      <c r="AZ181" s="39">
        <f t="shared" si="6"/>
        <v>0</v>
      </c>
      <c r="BA181" s="39"/>
      <c r="BB181" s="39"/>
      <c r="BC181" s="39"/>
      <c r="BD181" s="39"/>
      <c r="BE181" s="39"/>
      <c r="BF181" s="39">
        <f t="shared" si="7"/>
        <v>0</v>
      </c>
      <c r="BG181" s="39"/>
      <c r="BH181" s="39"/>
      <c r="BI181" s="39"/>
      <c r="BJ181" s="39"/>
      <c r="BK181" s="39"/>
      <c r="BL181" s="39">
        <f t="shared" si="8"/>
        <v>0</v>
      </c>
      <c r="BM181" s="54" t="e">
        <f t="shared" si="9"/>
        <v>#DIV/0!</v>
      </c>
      <c r="BN181" s="64"/>
      <c r="BO181" s="36"/>
      <c r="BP181" s="36"/>
      <c r="BQ181" s="36"/>
      <c r="BR181" s="40"/>
      <c r="BS181" s="40"/>
      <c r="BT181" s="39"/>
      <c r="BU181" s="39"/>
      <c r="BV181" s="39"/>
      <c r="BW181" s="39"/>
      <c r="BX181" s="39"/>
      <c r="BY181" s="39"/>
      <c r="BZ181" s="39">
        <f t="shared" si="10"/>
        <v>0</v>
      </c>
      <c r="CA181" s="39">
        <f t="shared" si="11"/>
        <v>0</v>
      </c>
      <c r="CB181" s="39">
        <f t="shared" si="12"/>
        <v>0</v>
      </c>
      <c r="CC181" s="39">
        <f t="shared" si="13"/>
        <v>0</v>
      </c>
      <c r="CD181" s="39">
        <f t="shared" si="14"/>
        <v>0</v>
      </c>
      <c r="CE181" s="47" t="e">
        <f t="shared" si="15"/>
        <v>#DIV/0!</v>
      </c>
      <c r="CF181" s="36"/>
      <c r="CG181" s="39"/>
      <c r="CH181" s="39"/>
      <c r="CI181" s="25">
        <v>1</v>
      </c>
    </row>
    <row r="182" spans="1:87" ht="24.75" customHeight="1">
      <c r="A182" s="36" t="s">
        <v>50</v>
      </c>
      <c r="B182" s="26"/>
      <c r="C182" s="36"/>
      <c r="D182" s="36"/>
      <c r="E182" s="39"/>
      <c r="F182" s="39"/>
      <c r="G182" s="36"/>
      <c r="H182" s="39"/>
      <c r="I182" s="39"/>
      <c r="J182" s="39"/>
      <c r="K182" s="39"/>
      <c r="L182" s="39">
        <f t="shared" ref="L182:L185" si="133">SUM(I182:K182)</f>
        <v>0</v>
      </c>
      <c r="M182" s="39"/>
      <c r="N182" s="39"/>
      <c r="O182" s="39"/>
      <c r="P182" s="39"/>
      <c r="Q182" s="39"/>
      <c r="R182" s="39">
        <f t="shared" ref="R182:R185" si="134">SUM(O182:Q182)</f>
        <v>0</v>
      </c>
      <c r="S182" s="39"/>
      <c r="T182" s="39"/>
      <c r="U182" s="39"/>
      <c r="V182" s="39"/>
      <c r="W182" s="39"/>
      <c r="X182" s="39"/>
      <c r="Y182" s="39"/>
      <c r="Z182" s="39"/>
      <c r="AA182" s="39"/>
      <c r="AB182" s="39">
        <f t="shared" ref="AB182:AB185" si="135">SUM(Y182:AA182)</f>
        <v>0</v>
      </c>
      <c r="AC182" s="39"/>
      <c r="AD182" s="39"/>
      <c r="AE182" s="39"/>
      <c r="AF182" s="39"/>
      <c r="AG182" s="39"/>
      <c r="AH182" s="39">
        <f t="shared" ref="AH182:AH185" si="136">AG182-AE182</f>
        <v>0</v>
      </c>
      <c r="AI182" s="39"/>
      <c r="AJ182" s="39"/>
      <c r="AK182" s="39"/>
      <c r="AL182" s="39"/>
      <c r="AM182" s="39"/>
      <c r="AN182" s="39">
        <f t="shared" ref="AN182:AN185" si="137">AM182-AK182</f>
        <v>0</v>
      </c>
      <c r="AO182" s="39"/>
      <c r="AP182" s="39"/>
      <c r="AQ182" s="39"/>
      <c r="AR182" s="39"/>
      <c r="AS182" s="39"/>
      <c r="AT182" s="39">
        <f t="shared" ref="AT182:AT185" si="138">AS182-AQ182</f>
        <v>0</v>
      </c>
      <c r="AU182" s="39"/>
      <c r="AV182" s="39"/>
      <c r="AW182" s="39"/>
      <c r="AX182" s="39"/>
      <c r="AY182" s="39"/>
      <c r="AZ182" s="39">
        <f t="shared" ref="AZ182:AZ185" si="139">AY182-AW182</f>
        <v>0</v>
      </c>
      <c r="BA182" s="39"/>
      <c r="BB182" s="39"/>
      <c r="BC182" s="39"/>
      <c r="BD182" s="39"/>
      <c r="BE182" s="39"/>
      <c r="BF182" s="39">
        <f t="shared" ref="BF182:BF185" si="140">BE182-BC182</f>
        <v>0</v>
      </c>
      <c r="BG182" s="39"/>
      <c r="BH182" s="39"/>
      <c r="BI182" s="39"/>
      <c r="BJ182" s="39"/>
      <c r="BK182" s="39"/>
      <c r="BL182" s="39">
        <f t="shared" ref="BL182:BL185" si="141">BK182-BI182</f>
        <v>0</v>
      </c>
      <c r="BM182" s="54" t="e">
        <f t="shared" ref="BM182:BM185" si="142">IF((BZ182/L182)&lt;0.9,$CO$1-U182,"")</f>
        <v>#DIV/0!</v>
      </c>
      <c r="BN182" s="64"/>
      <c r="BO182" s="36"/>
      <c r="BP182" s="36"/>
      <c r="BQ182" s="36"/>
      <c r="BR182" s="40"/>
      <c r="BS182" s="40"/>
      <c r="BT182" s="39"/>
      <c r="BU182" s="39"/>
      <c r="BV182" s="39"/>
      <c r="BW182" s="39"/>
      <c r="BX182" s="39"/>
      <c r="BY182" s="39"/>
      <c r="BZ182" s="39">
        <f t="shared" ref="BZ182:BZ185" si="143">BU182+BW182+BY182</f>
        <v>0</v>
      </c>
      <c r="CA182" s="39">
        <f t="shared" ref="CA182:CA185" si="144">BU182-I182</f>
        <v>0</v>
      </c>
      <c r="CB182" s="39">
        <f t="shared" ref="CB182:CB185" si="145">BW182-J182</f>
        <v>0</v>
      </c>
      <c r="CC182" s="39">
        <f t="shared" ref="CC182:CC185" si="146">BY182-K182</f>
        <v>0</v>
      </c>
      <c r="CD182" s="39">
        <f t="shared" ref="CD182:CD185" si="147">SUMIF(CA182:CC182,"&lt;0")</f>
        <v>0</v>
      </c>
      <c r="CE182" s="47" t="e">
        <f t="shared" ref="CE182:CE185" si="148">CD182/L182</f>
        <v>#DIV/0!</v>
      </c>
      <c r="CF182" s="36"/>
      <c r="CG182" s="39"/>
      <c r="CH182" s="39"/>
      <c r="CI182" s="25">
        <v>1</v>
      </c>
    </row>
    <row r="183" spans="1:87" ht="24.75" customHeight="1">
      <c r="A183" s="36" t="s">
        <v>50</v>
      </c>
      <c r="B183" s="26"/>
      <c r="C183" s="36"/>
      <c r="D183" s="36"/>
      <c r="E183" s="39"/>
      <c r="F183" s="39"/>
      <c r="G183" s="36"/>
      <c r="H183" s="39"/>
      <c r="I183" s="39"/>
      <c r="J183" s="39"/>
      <c r="K183" s="39"/>
      <c r="L183" s="39">
        <f t="shared" si="133"/>
        <v>0</v>
      </c>
      <c r="M183" s="39"/>
      <c r="N183" s="39"/>
      <c r="O183" s="39"/>
      <c r="P183" s="39"/>
      <c r="Q183" s="39"/>
      <c r="R183" s="39">
        <f t="shared" si="134"/>
        <v>0</v>
      </c>
      <c r="S183" s="39"/>
      <c r="T183" s="39"/>
      <c r="U183" s="39"/>
      <c r="V183" s="39"/>
      <c r="W183" s="39"/>
      <c r="X183" s="39"/>
      <c r="Y183" s="39"/>
      <c r="Z183" s="39"/>
      <c r="AA183" s="39"/>
      <c r="AB183" s="39">
        <f t="shared" si="135"/>
        <v>0</v>
      </c>
      <c r="AC183" s="39"/>
      <c r="AD183" s="39"/>
      <c r="AE183" s="39"/>
      <c r="AF183" s="39"/>
      <c r="AG183" s="39"/>
      <c r="AH183" s="39">
        <f t="shared" si="136"/>
        <v>0</v>
      </c>
      <c r="AI183" s="39"/>
      <c r="AJ183" s="39"/>
      <c r="AK183" s="39"/>
      <c r="AL183" s="39"/>
      <c r="AM183" s="39"/>
      <c r="AN183" s="39">
        <f t="shared" si="137"/>
        <v>0</v>
      </c>
      <c r="AO183" s="39"/>
      <c r="AP183" s="39"/>
      <c r="AQ183" s="39"/>
      <c r="AR183" s="39"/>
      <c r="AS183" s="39"/>
      <c r="AT183" s="39">
        <f t="shared" si="138"/>
        <v>0</v>
      </c>
      <c r="AU183" s="39"/>
      <c r="AV183" s="39"/>
      <c r="AW183" s="39"/>
      <c r="AX183" s="39"/>
      <c r="AY183" s="39"/>
      <c r="AZ183" s="39">
        <f t="shared" si="139"/>
        <v>0</v>
      </c>
      <c r="BA183" s="39"/>
      <c r="BB183" s="39"/>
      <c r="BC183" s="39"/>
      <c r="BD183" s="39"/>
      <c r="BE183" s="39"/>
      <c r="BF183" s="39">
        <f t="shared" si="140"/>
        <v>0</v>
      </c>
      <c r="BG183" s="39"/>
      <c r="BH183" s="39"/>
      <c r="BI183" s="39"/>
      <c r="BJ183" s="39"/>
      <c r="BK183" s="39"/>
      <c r="BL183" s="39">
        <f t="shared" si="141"/>
        <v>0</v>
      </c>
      <c r="BM183" s="54" t="e">
        <f t="shared" si="142"/>
        <v>#DIV/0!</v>
      </c>
      <c r="BN183" s="64"/>
      <c r="BO183" s="36"/>
      <c r="BP183" s="36"/>
      <c r="BQ183" s="36"/>
      <c r="BR183" s="40"/>
      <c r="BS183" s="40"/>
      <c r="BT183" s="39"/>
      <c r="BU183" s="39"/>
      <c r="BV183" s="39"/>
      <c r="BW183" s="39"/>
      <c r="BX183" s="39"/>
      <c r="BY183" s="39"/>
      <c r="BZ183" s="39">
        <f t="shared" si="143"/>
        <v>0</v>
      </c>
      <c r="CA183" s="39">
        <f t="shared" si="144"/>
        <v>0</v>
      </c>
      <c r="CB183" s="39">
        <f t="shared" si="145"/>
        <v>0</v>
      </c>
      <c r="CC183" s="39">
        <f t="shared" si="146"/>
        <v>0</v>
      </c>
      <c r="CD183" s="39">
        <f t="shared" si="147"/>
        <v>0</v>
      </c>
      <c r="CE183" s="47" t="e">
        <f t="shared" si="148"/>
        <v>#DIV/0!</v>
      </c>
      <c r="CF183" s="36"/>
      <c r="CG183" s="39"/>
      <c r="CH183" s="39"/>
      <c r="CI183" s="25">
        <v>1</v>
      </c>
    </row>
    <row r="184" spans="1:87" ht="24.75" customHeight="1">
      <c r="A184" s="36" t="s">
        <v>50</v>
      </c>
      <c r="B184" s="26"/>
      <c r="C184" s="36"/>
      <c r="D184" s="36"/>
      <c r="E184" s="39"/>
      <c r="F184" s="39"/>
      <c r="G184" s="36"/>
      <c r="H184" s="39"/>
      <c r="I184" s="39"/>
      <c r="J184" s="39"/>
      <c r="K184" s="39"/>
      <c r="L184" s="39">
        <f t="shared" si="133"/>
        <v>0</v>
      </c>
      <c r="M184" s="39"/>
      <c r="N184" s="39"/>
      <c r="O184" s="39"/>
      <c r="P184" s="39"/>
      <c r="Q184" s="39"/>
      <c r="R184" s="39">
        <f t="shared" si="134"/>
        <v>0</v>
      </c>
      <c r="S184" s="39"/>
      <c r="T184" s="39"/>
      <c r="U184" s="39"/>
      <c r="V184" s="39"/>
      <c r="W184" s="39"/>
      <c r="X184" s="39"/>
      <c r="Y184" s="39"/>
      <c r="Z184" s="39"/>
      <c r="AA184" s="39"/>
      <c r="AB184" s="39">
        <f t="shared" si="135"/>
        <v>0</v>
      </c>
      <c r="AC184" s="39"/>
      <c r="AD184" s="39"/>
      <c r="AE184" s="39"/>
      <c r="AF184" s="39"/>
      <c r="AG184" s="39"/>
      <c r="AH184" s="39">
        <f t="shared" si="136"/>
        <v>0</v>
      </c>
      <c r="AI184" s="39"/>
      <c r="AJ184" s="39"/>
      <c r="AK184" s="39"/>
      <c r="AL184" s="39"/>
      <c r="AM184" s="39"/>
      <c r="AN184" s="39">
        <f t="shared" si="137"/>
        <v>0</v>
      </c>
      <c r="AO184" s="39"/>
      <c r="AP184" s="39"/>
      <c r="AQ184" s="39"/>
      <c r="AR184" s="39"/>
      <c r="AS184" s="39"/>
      <c r="AT184" s="39">
        <f t="shared" si="138"/>
        <v>0</v>
      </c>
      <c r="AU184" s="39"/>
      <c r="AV184" s="39"/>
      <c r="AW184" s="39"/>
      <c r="AX184" s="39"/>
      <c r="AY184" s="39"/>
      <c r="AZ184" s="39">
        <f t="shared" si="139"/>
        <v>0</v>
      </c>
      <c r="BA184" s="39"/>
      <c r="BB184" s="39"/>
      <c r="BC184" s="39"/>
      <c r="BD184" s="39"/>
      <c r="BE184" s="39"/>
      <c r="BF184" s="39">
        <f t="shared" si="140"/>
        <v>0</v>
      </c>
      <c r="BG184" s="39"/>
      <c r="BH184" s="39"/>
      <c r="BI184" s="39"/>
      <c r="BJ184" s="39"/>
      <c r="BK184" s="39"/>
      <c r="BL184" s="39">
        <f t="shared" si="141"/>
        <v>0</v>
      </c>
      <c r="BM184" s="54" t="e">
        <f t="shared" si="142"/>
        <v>#DIV/0!</v>
      </c>
      <c r="BN184" s="64"/>
      <c r="BO184" s="36"/>
      <c r="BP184" s="36"/>
      <c r="BQ184" s="36"/>
      <c r="BR184" s="40"/>
      <c r="BS184" s="40"/>
      <c r="BT184" s="39"/>
      <c r="BU184" s="39"/>
      <c r="BV184" s="39"/>
      <c r="BW184" s="39"/>
      <c r="BX184" s="39"/>
      <c r="BY184" s="39"/>
      <c r="BZ184" s="39">
        <f t="shared" si="143"/>
        <v>0</v>
      </c>
      <c r="CA184" s="39">
        <f t="shared" si="144"/>
        <v>0</v>
      </c>
      <c r="CB184" s="39">
        <f t="shared" si="145"/>
        <v>0</v>
      </c>
      <c r="CC184" s="39">
        <f t="shared" si="146"/>
        <v>0</v>
      </c>
      <c r="CD184" s="39">
        <f t="shared" si="147"/>
        <v>0</v>
      </c>
      <c r="CE184" s="47" t="e">
        <f t="shared" si="148"/>
        <v>#DIV/0!</v>
      </c>
      <c r="CF184" s="36"/>
      <c r="CG184" s="39"/>
      <c r="CH184" s="39"/>
      <c r="CI184" s="25">
        <v>1</v>
      </c>
    </row>
    <row r="185" spans="1:87" ht="24.75" customHeight="1">
      <c r="A185" s="36" t="s">
        <v>50</v>
      </c>
      <c r="B185" s="26"/>
      <c r="C185" s="36"/>
      <c r="D185" s="36"/>
      <c r="E185" s="39"/>
      <c r="F185" s="39"/>
      <c r="G185" s="36"/>
      <c r="H185" s="39"/>
      <c r="I185" s="39"/>
      <c r="J185" s="39"/>
      <c r="K185" s="39"/>
      <c r="L185" s="39">
        <f t="shared" si="133"/>
        <v>0</v>
      </c>
      <c r="M185" s="39"/>
      <c r="N185" s="39"/>
      <c r="O185" s="39"/>
      <c r="P185" s="39"/>
      <c r="Q185" s="39"/>
      <c r="R185" s="39">
        <f t="shared" si="134"/>
        <v>0</v>
      </c>
      <c r="S185" s="39"/>
      <c r="T185" s="39"/>
      <c r="U185" s="39"/>
      <c r="V185" s="39"/>
      <c r="W185" s="39"/>
      <c r="X185" s="39"/>
      <c r="Y185" s="39"/>
      <c r="Z185" s="39"/>
      <c r="AA185" s="39"/>
      <c r="AB185" s="39">
        <f t="shared" si="135"/>
        <v>0</v>
      </c>
      <c r="AC185" s="39"/>
      <c r="AD185" s="39"/>
      <c r="AE185" s="39"/>
      <c r="AF185" s="39"/>
      <c r="AG185" s="39"/>
      <c r="AH185" s="39">
        <f t="shared" si="136"/>
        <v>0</v>
      </c>
      <c r="AI185" s="39"/>
      <c r="AJ185" s="39"/>
      <c r="AK185" s="39"/>
      <c r="AL185" s="39"/>
      <c r="AM185" s="39"/>
      <c r="AN185" s="39">
        <f t="shared" si="137"/>
        <v>0</v>
      </c>
      <c r="AO185" s="39"/>
      <c r="AP185" s="39"/>
      <c r="AQ185" s="39"/>
      <c r="AR185" s="39"/>
      <c r="AS185" s="39"/>
      <c r="AT185" s="39">
        <f t="shared" si="138"/>
        <v>0</v>
      </c>
      <c r="AU185" s="39"/>
      <c r="AV185" s="39"/>
      <c r="AW185" s="39"/>
      <c r="AX185" s="39"/>
      <c r="AY185" s="39"/>
      <c r="AZ185" s="39">
        <f t="shared" si="139"/>
        <v>0</v>
      </c>
      <c r="BA185" s="39"/>
      <c r="BB185" s="39"/>
      <c r="BC185" s="39"/>
      <c r="BD185" s="39"/>
      <c r="BE185" s="39"/>
      <c r="BF185" s="39">
        <f t="shared" si="140"/>
        <v>0</v>
      </c>
      <c r="BG185" s="39"/>
      <c r="BH185" s="39"/>
      <c r="BI185" s="39"/>
      <c r="BJ185" s="39"/>
      <c r="BK185" s="39"/>
      <c r="BL185" s="39">
        <f t="shared" si="141"/>
        <v>0</v>
      </c>
      <c r="BM185" s="54" t="e">
        <f t="shared" si="142"/>
        <v>#DIV/0!</v>
      </c>
      <c r="BN185" s="64"/>
      <c r="BO185" s="36"/>
      <c r="BP185" s="36"/>
      <c r="BQ185" s="36"/>
      <c r="BR185" s="40"/>
      <c r="BS185" s="40"/>
      <c r="BT185" s="39"/>
      <c r="BU185" s="39"/>
      <c r="BV185" s="39"/>
      <c r="BW185" s="39"/>
      <c r="BX185" s="39"/>
      <c r="BY185" s="39"/>
      <c r="BZ185" s="39">
        <f t="shared" si="143"/>
        <v>0</v>
      </c>
      <c r="CA185" s="39">
        <f t="shared" si="144"/>
        <v>0</v>
      </c>
      <c r="CB185" s="39">
        <f t="shared" si="145"/>
        <v>0</v>
      </c>
      <c r="CC185" s="39">
        <f t="shared" si="146"/>
        <v>0</v>
      </c>
      <c r="CD185" s="39">
        <f t="shared" si="147"/>
        <v>0</v>
      </c>
      <c r="CE185" s="47" t="e">
        <f t="shared" si="148"/>
        <v>#DIV/0!</v>
      </c>
      <c r="CF185" s="36"/>
      <c r="CG185" s="39"/>
      <c r="CH185" s="39"/>
      <c r="CI185" s="25">
        <v>1</v>
      </c>
    </row>
    <row r="186" spans="1:87" ht="24.75" customHeight="1">
      <c r="A186" s="36" t="s">
        <v>50</v>
      </c>
      <c r="B186" s="26"/>
      <c r="C186" s="36"/>
      <c r="D186" s="36"/>
      <c r="E186" s="39"/>
      <c r="F186" s="39"/>
      <c r="G186" s="36"/>
      <c r="H186" s="39"/>
      <c r="I186" s="39"/>
      <c r="J186" s="39"/>
      <c r="K186" s="39"/>
      <c r="L186" s="39">
        <f t="shared" si="0"/>
        <v>0</v>
      </c>
      <c r="M186" s="39"/>
      <c r="N186" s="39"/>
      <c r="O186" s="39"/>
      <c r="P186" s="39"/>
      <c r="Q186" s="39"/>
      <c r="R186" s="39">
        <f t="shared" si="1"/>
        <v>0</v>
      </c>
      <c r="S186" s="39"/>
      <c r="T186" s="39"/>
      <c r="U186" s="39"/>
      <c r="V186" s="39"/>
      <c r="W186" s="39"/>
      <c r="X186" s="39"/>
      <c r="Y186" s="39"/>
      <c r="Z186" s="39"/>
      <c r="AA186" s="39"/>
      <c r="AB186" s="39">
        <f t="shared" si="2"/>
        <v>0</v>
      </c>
      <c r="AC186" s="39"/>
      <c r="AD186" s="39"/>
      <c r="AE186" s="39"/>
      <c r="AF186" s="39"/>
      <c r="AG186" s="39"/>
      <c r="AH186" s="39">
        <f t="shared" si="3"/>
        <v>0</v>
      </c>
      <c r="AI186" s="39"/>
      <c r="AJ186" s="39"/>
      <c r="AK186" s="39"/>
      <c r="AL186" s="39"/>
      <c r="AM186" s="39"/>
      <c r="AN186" s="39">
        <f t="shared" si="4"/>
        <v>0</v>
      </c>
      <c r="AO186" s="39"/>
      <c r="AP186" s="39"/>
      <c r="AQ186" s="39"/>
      <c r="AR186" s="39"/>
      <c r="AS186" s="39"/>
      <c r="AT186" s="39">
        <f t="shared" si="5"/>
        <v>0</v>
      </c>
      <c r="AU186" s="39"/>
      <c r="AV186" s="39"/>
      <c r="AW186" s="39"/>
      <c r="AX186" s="39"/>
      <c r="AY186" s="39"/>
      <c r="AZ186" s="39">
        <f t="shared" si="6"/>
        <v>0</v>
      </c>
      <c r="BA186" s="39"/>
      <c r="BB186" s="39"/>
      <c r="BC186" s="39"/>
      <c r="BD186" s="39"/>
      <c r="BE186" s="39"/>
      <c r="BF186" s="39">
        <f t="shared" si="7"/>
        <v>0</v>
      </c>
      <c r="BG186" s="39"/>
      <c r="BH186" s="39"/>
      <c r="BI186" s="39"/>
      <c r="BJ186" s="39"/>
      <c r="BK186" s="39"/>
      <c r="BL186" s="39">
        <f t="shared" si="8"/>
        <v>0</v>
      </c>
      <c r="BM186" s="54" t="e">
        <f t="shared" si="9"/>
        <v>#DIV/0!</v>
      </c>
      <c r="BN186" s="64"/>
      <c r="BO186" s="36"/>
      <c r="BP186" s="36"/>
      <c r="BQ186" s="36"/>
      <c r="BR186" s="40"/>
      <c r="BS186" s="40"/>
      <c r="BT186" s="39"/>
      <c r="BU186" s="39"/>
      <c r="BV186" s="39"/>
      <c r="BW186" s="39"/>
      <c r="BX186" s="39"/>
      <c r="BY186" s="39"/>
      <c r="BZ186" s="39">
        <f t="shared" si="10"/>
        <v>0</v>
      </c>
      <c r="CA186" s="39">
        <f t="shared" si="11"/>
        <v>0</v>
      </c>
      <c r="CB186" s="39">
        <f t="shared" si="12"/>
        <v>0</v>
      </c>
      <c r="CC186" s="39">
        <f t="shared" si="13"/>
        <v>0</v>
      </c>
      <c r="CD186" s="39">
        <f t="shared" si="14"/>
        <v>0</v>
      </c>
      <c r="CE186" s="47" t="e">
        <f t="shared" si="15"/>
        <v>#DIV/0!</v>
      </c>
      <c r="CF186" s="36"/>
      <c r="CG186" s="39"/>
      <c r="CH186" s="39"/>
      <c r="CI186" s="25">
        <v>1</v>
      </c>
    </row>
    <row r="187" spans="1:87" ht="32.25" customHeight="1">
      <c r="A187" s="36" t="s">
        <v>50</v>
      </c>
      <c r="B187" s="26">
        <v>47523</v>
      </c>
      <c r="C187" s="36">
        <v>13262446</v>
      </c>
      <c r="D187" s="36"/>
      <c r="E187" s="39">
        <v>180</v>
      </c>
      <c r="F187" s="39" t="s">
        <v>55</v>
      </c>
      <c r="G187" s="36" t="s">
        <v>626</v>
      </c>
      <c r="H187" s="39" t="s">
        <v>87</v>
      </c>
      <c r="I187" s="39">
        <v>139</v>
      </c>
      <c r="J187" s="39">
        <v>7</v>
      </c>
      <c r="K187" s="39"/>
      <c r="L187" s="39">
        <f t="shared" si="0"/>
        <v>146</v>
      </c>
      <c r="M187" s="117">
        <v>46160</v>
      </c>
      <c r="N187" s="117">
        <v>46165</v>
      </c>
      <c r="O187" s="39"/>
      <c r="P187" s="39"/>
      <c r="Q187" s="39"/>
      <c r="R187" s="39">
        <f t="shared" si="1"/>
        <v>0</v>
      </c>
      <c r="S187" s="39" t="s">
        <v>28</v>
      </c>
      <c r="T187" s="39"/>
      <c r="U187" s="39"/>
      <c r="V187" s="117">
        <v>46195</v>
      </c>
      <c r="W187" s="39">
        <f>163+11</f>
        <v>174</v>
      </c>
      <c r="X187" s="117">
        <v>46203</v>
      </c>
      <c r="Y187" s="39">
        <v>151</v>
      </c>
      <c r="Z187" s="39">
        <v>10</v>
      </c>
      <c r="AA187" s="39"/>
      <c r="AB187" s="119">
        <f t="shared" si="2"/>
        <v>161</v>
      </c>
      <c r="AC187" s="39"/>
      <c r="AD187" s="39"/>
      <c r="AE187" s="39"/>
      <c r="AF187" s="39"/>
      <c r="AG187" s="39"/>
      <c r="AH187" s="39">
        <f t="shared" si="3"/>
        <v>0</v>
      </c>
      <c r="AI187" s="39"/>
      <c r="AJ187" s="39"/>
      <c r="AK187" s="39"/>
      <c r="AL187" s="39"/>
      <c r="AM187" s="39"/>
      <c r="AN187" s="39">
        <f t="shared" si="4"/>
        <v>0</v>
      </c>
      <c r="AO187" s="39"/>
      <c r="AP187" s="39"/>
      <c r="AQ187" s="39"/>
      <c r="AR187" s="39"/>
      <c r="AS187" s="39"/>
      <c r="AT187" s="39">
        <f t="shared" si="5"/>
        <v>0</v>
      </c>
      <c r="AU187" s="39"/>
      <c r="AV187" s="39"/>
      <c r="AW187" s="39"/>
      <c r="AX187" s="39"/>
      <c r="AY187" s="39"/>
      <c r="AZ187" s="39">
        <f t="shared" si="6"/>
        <v>0</v>
      </c>
      <c r="BA187" s="39"/>
      <c r="BB187" s="39"/>
      <c r="BC187" s="39"/>
      <c r="BD187" s="39"/>
      <c r="BE187" s="39"/>
      <c r="BF187" s="39">
        <f t="shared" si="7"/>
        <v>0</v>
      </c>
      <c r="BG187" s="39"/>
      <c r="BH187" s="39"/>
      <c r="BI187" s="39"/>
      <c r="BJ187" s="39"/>
      <c r="BK187" s="39"/>
      <c r="BL187" s="39">
        <f t="shared" si="8"/>
        <v>0</v>
      </c>
      <c r="BM187" s="54" t="str">
        <f t="shared" si="9"/>
        <v/>
      </c>
      <c r="BN187" s="59">
        <v>46185</v>
      </c>
      <c r="BO187" s="57">
        <v>46195</v>
      </c>
      <c r="BP187" s="36"/>
      <c r="BQ187" s="36"/>
      <c r="BR187" s="50">
        <v>46204</v>
      </c>
      <c r="BS187" s="40"/>
      <c r="BT187" s="39">
        <v>1763</v>
      </c>
      <c r="BU187" s="39">
        <v>151</v>
      </c>
      <c r="BV187" s="39">
        <v>1763</v>
      </c>
      <c r="BW187" s="39">
        <v>10</v>
      </c>
      <c r="BX187" s="39"/>
      <c r="BY187" s="39"/>
      <c r="BZ187" s="39">
        <f t="shared" si="10"/>
        <v>161</v>
      </c>
      <c r="CA187" s="39">
        <f t="shared" si="11"/>
        <v>12</v>
      </c>
      <c r="CB187" s="39">
        <f t="shared" si="12"/>
        <v>3</v>
      </c>
      <c r="CC187" s="39">
        <f t="shared" si="13"/>
        <v>0</v>
      </c>
      <c r="CD187" s="39">
        <f t="shared" si="14"/>
        <v>0</v>
      </c>
      <c r="CE187" s="102">
        <f t="shared" si="15"/>
        <v>0</v>
      </c>
      <c r="CF187" s="36"/>
      <c r="CG187" s="39" t="s">
        <v>258</v>
      </c>
      <c r="CH187" s="39"/>
      <c r="CI187" s="25">
        <v>2</v>
      </c>
    </row>
    <row r="188" spans="1:87" ht="45" customHeight="1">
      <c r="A188" s="36" t="s">
        <v>50</v>
      </c>
      <c r="B188" s="142">
        <v>47670</v>
      </c>
      <c r="C188" s="36" t="s">
        <v>690</v>
      </c>
      <c r="D188" s="36"/>
      <c r="E188" s="39">
        <v>320</v>
      </c>
      <c r="F188" s="39" t="s">
        <v>58</v>
      </c>
      <c r="G188" s="36" t="s">
        <v>611</v>
      </c>
      <c r="H188" s="36" t="s">
        <v>520</v>
      </c>
      <c r="I188" s="39">
        <v>245</v>
      </c>
      <c r="J188" s="39">
        <v>70</v>
      </c>
      <c r="K188" s="39">
        <v>5</v>
      </c>
      <c r="L188" s="39">
        <f t="shared" si="0"/>
        <v>320</v>
      </c>
      <c r="M188" s="117">
        <v>46165</v>
      </c>
      <c r="N188" s="117">
        <v>46181</v>
      </c>
      <c r="O188" s="39"/>
      <c r="P188" s="39"/>
      <c r="Q188" s="39"/>
      <c r="R188" s="39">
        <f t="shared" si="1"/>
        <v>0</v>
      </c>
      <c r="S188" s="39" t="s">
        <v>130</v>
      </c>
      <c r="T188" s="39">
        <v>107018</v>
      </c>
      <c r="U188" s="117">
        <v>46189</v>
      </c>
      <c r="V188" s="39"/>
      <c r="W188" s="39"/>
      <c r="X188" s="39"/>
      <c r="Y188" s="39">
        <v>270</v>
      </c>
      <c r="Z188" s="39">
        <v>85</v>
      </c>
      <c r="AA188" s="39">
        <v>7</v>
      </c>
      <c r="AB188" s="119">
        <f t="shared" si="2"/>
        <v>362</v>
      </c>
      <c r="AC188" s="39"/>
      <c r="AD188" s="39"/>
      <c r="AE188" s="39"/>
      <c r="AF188" s="39"/>
      <c r="AG188" s="39"/>
      <c r="AH188" s="39">
        <f t="shared" si="3"/>
        <v>0</v>
      </c>
      <c r="AI188" s="39"/>
      <c r="AJ188" s="39"/>
      <c r="AK188" s="39"/>
      <c r="AL188" s="39"/>
      <c r="AM188" s="39"/>
      <c r="AN188" s="39">
        <f t="shared" si="4"/>
        <v>0</v>
      </c>
      <c r="AO188" s="39"/>
      <c r="AP188" s="39"/>
      <c r="AQ188" s="39"/>
      <c r="AR188" s="39"/>
      <c r="AS188" s="39"/>
      <c r="AT188" s="39">
        <f t="shared" si="5"/>
        <v>0</v>
      </c>
      <c r="AU188" s="39"/>
      <c r="AV188" s="39"/>
      <c r="AW188" s="39"/>
      <c r="AX188" s="39"/>
      <c r="AY188" s="39"/>
      <c r="AZ188" s="39">
        <f t="shared" si="6"/>
        <v>0</v>
      </c>
      <c r="BA188" s="39"/>
      <c r="BB188" s="39"/>
      <c r="BC188" s="39"/>
      <c r="BD188" s="39"/>
      <c r="BE188" s="39"/>
      <c r="BF188" s="39">
        <f t="shared" si="7"/>
        <v>0</v>
      </c>
      <c r="BG188" s="39"/>
      <c r="BH188" s="39"/>
      <c r="BI188" s="39"/>
      <c r="BJ188" s="39"/>
      <c r="BK188" s="39"/>
      <c r="BL188" s="39">
        <f t="shared" si="8"/>
        <v>0</v>
      </c>
      <c r="BM188" s="54" t="str">
        <f t="shared" si="9"/>
        <v/>
      </c>
      <c r="BN188" s="66">
        <v>46185</v>
      </c>
      <c r="BO188" s="57">
        <v>46197</v>
      </c>
      <c r="BP188" s="36"/>
      <c r="BQ188" s="36"/>
      <c r="BR188" s="50">
        <v>46195</v>
      </c>
      <c r="BS188" s="50">
        <v>46195</v>
      </c>
      <c r="BT188" s="39">
        <v>2105</v>
      </c>
      <c r="BU188" s="39">
        <v>245</v>
      </c>
      <c r="BV188" s="39">
        <v>2105</v>
      </c>
      <c r="BW188" s="39">
        <v>79</v>
      </c>
      <c r="BX188" s="39">
        <v>2105</v>
      </c>
      <c r="BY188" s="39">
        <v>6</v>
      </c>
      <c r="BZ188" s="39">
        <f t="shared" si="10"/>
        <v>330</v>
      </c>
      <c r="CA188" s="39">
        <f t="shared" si="11"/>
        <v>0</v>
      </c>
      <c r="CB188" s="39">
        <f t="shared" si="12"/>
        <v>9</v>
      </c>
      <c r="CC188" s="39">
        <f t="shared" si="13"/>
        <v>1</v>
      </c>
      <c r="CD188" s="39">
        <f t="shared" si="14"/>
        <v>0</v>
      </c>
      <c r="CE188" s="102">
        <f t="shared" si="15"/>
        <v>0</v>
      </c>
      <c r="CF188" s="36" t="s">
        <v>293</v>
      </c>
      <c r="CG188" s="39" t="s">
        <v>227</v>
      </c>
      <c r="CH188" s="39"/>
      <c r="CI188" s="25">
        <v>2</v>
      </c>
    </row>
    <row r="189" spans="1:87" ht="24.75" customHeight="1">
      <c r="A189" s="36" t="s">
        <v>50</v>
      </c>
      <c r="B189" s="142">
        <v>47674</v>
      </c>
      <c r="C189" s="227" t="s">
        <v>691</v>
      </c>
      <c r="D189" s="36" t="s">
        <v>107</v>
      </c>
      <c r="E189" s="39">
        <v>280</v>
      </c>
      <c r="F189" s="39" t="s">
        <v>58</v>
      </c>
      <c r="G189" s="36" t="s">
        <v>642</v>
      </c>
      <c r="H189" s="36" t="s">
        <v>404</v>
      </c>
      <c r="I189" s="39">
        <v>621</v>
      </c>
      <c r="J189" s="39">
        <v>189</v>
      </c>
      <c r="K189" s="39">
        <v>13</v>
      </c>
      <c r="L189" s="39">
        <f t="shared" si="0"/>
        <v>823</v>
      </c>
      <c r="M189" s="117">
        <v>46162</v>
      </c>
      <c r="N189" s="117">
        <v>46184</v>
      </c>
      <c r="O189" s="39"/>
      <c r="P189" s="39"/>
      <c r="Q189" s="39"/>
      <c r="R189" s="39">
        <f t="shared" si="1"/>
        <v>0</v>
      </c>
      <c r="S189" s="39" t="s">
        <v>28</v>
      </c>
      <c r="T189" s="39"/>
      <c r="U189" s="39"/>
      <c r="V189" s="117">
        <v>46198</v>
      </c>
      <c r="W189" s="39">
        <f>670+205+15</f>
        <v>890</v>
      </c>
      <c r="X189" s="117">
        <v>46204</v>
      </c>
      <c r="Y189" s="39">
        <v>625</v>
      </c>
      <c r="Z189" s="39">
        <v>192</v>
      </c>
      <c r="AA189" s="39">
        <v>14</v>
      </c>
      <c r="AB189" s="119">
        <f t="shared" si="2"/>
        <v>831</v>
      </c>
      <c r="AC189" s="39"/>
      <c r="AD189" s="39"/>
      <c r="AE189" s="39"/>
      <c r="AF189" s="39"/>
      <c r="AG189" s="39"/>
      <c r="AH189" s="39">
        <f t="shared" si="3"/>
        <v>0</v>
      </c>
      <c r="AI189" s="39"/>
      <c r="AJ189" s="39"/>
      <c r="AK189" s="39"/>
      <c r="AL189" s="39"/>
      <c r="AM189" s="39"/>
      <c r="AN189" s="39">
        <f t="shared" si="4"/>
        <v>0</v>
      </c>
      <c r="AO189" s="39"/>
      <c r="AP189" s="39"/>
      <c r="AQ189" s="39"/>
      <c r="AR189" s="39"/>
      <c r="AS189" s="39"/>
      <c r="AT189" s="39">
        <f t="shared" si="5"/>
        <v>0</v>
      </c>
      <c r="AU189" s="39" t="s">
        <v>256</v>
      </c>
      <c r="AV189" s="117">
        <v>46205</v>
      </c>
      <c r="AW189" s="39">
        <v>625</v>
      </c>
      <c r="AX189" s="117">
        <v>46207</v>
      </c>
      <c r="AY189" s="39">
        <v>604</v>
      </c>
      <c r="AZ189" s="39">
        <f t="shared" si="6"/>
        <v>-21</v>
      </c>
      <c r="BA189" s="39"/>
      <c r="BB189" s="39"/>
      <c r="BC189" s="39"/>
      <c r="BD189" s="39"/>
      <c r="BE189" s="39"/>
      <c r="BF189" s="39">
        <f t="shared" si="7"/>
        <v>0</v>
      </c>
      <c r="BG189" s="39"/>
      <c r="BH189" s="39"/>
      <c r="BI189" s="39"/>
      <c r="BJ189" s="39"/>
      <c r="BK189" s="39"/>
      <c r="BL189" s="39">
        <f t="shared" si="8"/>
        <v>0</v>
      </c>
      <c r="BM189" s="54" t="str">
        <f t="shared" si="9"/>
        <v/>
      </c>
      <c r="BN189" s="66">
        <v>46188</v>
      </c>
      <c r="BO189" s="57">
        <v>46198</v>
      </c>
      <c r="BP189" s="36"/>
      <c r="BQ189" s="36"/>
      <c r="BR189" s="229">
        <v>46211</v>
      </c>
      <c r="BS189" s="229">
        <v>46216</v>
      </c>
      <c r="BT189" s="39" t="s">
        <v>1608</v>
      </c>
      <c r="BU189" s="39">
        <f>480+81+8+25</f>
        <v>594</v>
      </c>
      <c r="BV189" s="39">
        <v>1774</v>
      </c>
      <c r="BW189" s="39">
        <v>192</v>
      </c>
      <c r="BX189" s="39">
        <v>1774</v>
      </c>
      <c r="BY189" s="39">
        <v>14</v>
      </c>
      <c r="BZ189" s="39">
        <f t="shared" si="10"/>
        <v>800</v>
      </c>
      <c r="CA189" s="39">
        <f t="shared" si="11"/>
        <v>-27</v>
      </c>
      <c r="CB189" s="39">
        <f t="shared" si="12"/>
        <v>3</v>
      </c>
      <c r="CC189" s="39">
        <f t="shared" si="13"/>
        <v>1</v>
      </c>
      <c r="CD189" s="39">
        <f t="shared" si="14"/>
        <v>-27</v>
      </c>
      <c r="CE189" s="102">
        <f t="shared" si="15"/>
        <v>-3.2806804374240585E-2</v>
      </c>
      <c r="CF189" s="36" t="s">
        <v>293</v>
      </c>
      <c r="CG189" s="39" t="s">
        <v>227</v>
      </c>
      <c r="CH189" s="39" t="s">
        <v>1575</v>
      </c>
      <c r="CI189" s="25">
        <v>2</v>
      </c>
    </row>
    <row r="190" spans="1:87" ht="24.75" customHeight="1">
      <c r="A190" s="36" t="s">
        <v>50</v>
      </c>
      <c r="B190" s="142">
        <v>47674</v>
      </c>
      <c r="C190" s="228"/>
      <c r="D190" s="36" t="s">
        <v>107</v>
      </c>
      <c r="E190" s="39">
        <v>280</v>
      </c>
      <c r="F190" s="39" t="s">
        <v>58</v>
      </c>
      <c r="G190" s="36" t="s">
        <v>643</v>
      </c>
      <c r="H190" s="36" t="s">
        <v>404</v>
      </c>
      <c r="I190" s="39">
        <v>485</v>
      </c>
      <c r="J190" s="39">
        <v>147</v>
      </c>
      <c r="K190" s="39">
        <v>10</v>
      </c>
      <c r="L190" s="39">
        <f t="shared" si="0"/>
        <v>642</v>
      </c>
      <c r="M190" s="117">
        <v>46162</v>
      </c>
      <c r="N190" s="117">
        <v>46184</v>
      </c>
      <c r="O190" s="39"/>
      <c r="P190" s="39"/>
      <c r="Q190" s="39"/>
      <c r="R190" s="39">
        <f t="shared" si="1"/>
        <v>0</v>
      </c>
      <c r="S190" s="39" t="s">
        <v>28</v>
      </c>
      <c r="T190" s="39"/>
      <c r="U190" s="39"/>
      <c r="V190" s="117">
        <v>46198</v>
      </c>
      <c r="W190" s="39">
        <f>526+164+12</f>
        <v>702</v>
      </c>
      <c r="X190" s="117">
        <v>46204</v>
      </c>
      <c r="Y190" s="39">
        <v>495</v>
      </c>
      <c r="Z190" s="39">
        <v>155</v>
      </c>
      <c r="AA190" s="39">
        <v>11</v>
      </c>
      <c r="AB190" s="119">
        <f t="shared" si="2"/>
        <v>661</v>
      </c>
      <c r="AC190" s="39"/>
      <c r="AD190" s="39"/>
      <c r="AE190" s="39"/>
      <c r="AF190" s="39"/>
      <c r="AG190" s="39"/>
      <c r="AH190" s="39">
        <f t="shared" si="3"/>
        <v>0</v>
      </c>
      <c r="AI190" s="39"/>
      <c r="AJ190" s="39"/>
      <c r="AK190" s="39"/>
      <c r="AL190" s="39"/>
      <c r="AM190" s="39"/>
      <c r="AN190" s="39">
        <f t="shared" si="4"/>
        <v>0</v>
      </c>
      <c r="AO190" s="39"/>
      <c r="AP190" s="39"/>
      <c r="AQ190" s="39"/>
      <c r="AR190" s="39"/>
      <c r="AS190" s="39"/>
      <c r="AT190" s="39">
        <f t="shared" si="5"/>
        <v>0</v>
      </c>
      <c r="AU190" s="39" t="s">
        <v>256</v>
      </c>
      <c r="AV190" s="117">
        <v>46205</v>
      </c>
      <c r="AW190" s="39">
        <v>497</v>
      </c>
      <c r="AX190" s="117">
        <v>46207</v>
      </c>
      <c r="AY190" s="39">
        <v>491</v>
      </c>
      <c r="AZ190" s="39">
        <f t="shared" si="6"/>
        <v>-6</v>
      </c>
      <c r="BA190" s="39"/>
      <c r="BB190" s="39"/>
      <c r="BC190" s="39"/>
      <c r="BD190" s="39"/>
      <c r="BE190" s="39"/>
      <c r="BF190" s="39">
        <f t="shared" si="7"/>
        <v>0</v>
      </c>
      <c r="BG190" s="39"/>
      <c r="BH190" s="39"/>
      <c r="BI190" s="39"/>
      <c r="BJ190" s="39"/>
      <c r="BK190" s="39"/>
      <c r="BL190" s="39">
        <f t="shared" si="8"/>
        <v>0</v>
      </c>
      <c r="BM190" s="54" t="str">
        <f t="shared" si="9"/>
        <v/>
      </c>
      <c r="BN190" s="66">
        <v>46188</v>
      </c>
      <c r="BO190" s="57">
        <v>46198</v>
      </c>
      <c r="BP190" s="36"/>
      <c r="BQ190" s="36"/>
      <c r="BR190" s="230"/>
      <c r="BS190" s="230"/>
      <c r="BT190" s="39">
        <v>1582</v>
      </c>
      <c r="BU190" s="39">
        <v>484</v>
      </c>
      <c r="BV190" s="39">
        <v>1771</v>
      </c>
      <c r="BW190" s="39">
        <v>155</v>
      </c>
      <c r="BX190" s="39">
        <v>1771</v>
      </c>
      <c r="BY190" s="39">
        <v>11</v>
      </c>
      <c r="BZ190" s="39">
        <f t="shared" si="10"/>
        <v>650</v>
      </c>
      <c r="CA190" s="39">
        <f t="shared" si="11"/>
        <v>-1</v>
      </c>
      <c r="CB190" s="39">
        <f t="shared" si="12"/>
        <v>8</v>
      </c>
      <c r="CC190" s="39">
        <f t="shared" si="13"/>
        <v>1</v>
      </c>
      <c r="CD190" s="39">
        <v>0</v>
      </c>
      <c r="CE190" s="102">
        <f t="shared" si="15"/>
        <v>0</v>
      </c>
      <c r="CF190" s="36" t="s">
        <v>293</v>
      </c>
      <c r="CG190" s="39" t="s">
        <v>227</v>
      </c>
      <c r="CH190" s="39"/>
      <c r="CI190" s="25">
        <v>2</v>
      </c>
    </row>
    <row r="191" spans="1:87" ht="24.75" customHeight="1">
      <c r="A191" s="36" t="s">
        <v>50</v>
      </c>
      <c r="B191" s="147">
        <v>47672</v>
      </c>
      <c r="C191" s="227" t="s">
        <v>1002</v>
      </c>
      <c r="D191" s="36" t="s">
        <v>83</v>
      </c>
      <c r="E191" s="39">
        <v>280</v>
      </c>
      <c r="F191" s="39" t="s">
        <v>58</v>
      </c>
      <c r="G191" s="36" t="s">
        <v>636</v>
      </c>
      <c r="H191" s="36" t="s">
        <v>404</v>
      </c>
      <c r="I191" s="39">
        <v>480</v>
      </c>
      <c r="J191" s="39">
        <v>156</v>
      </c>
      <c r="K191" s="39">
        <v>10</v>
      </c>
      <c r="L191" s="39">
        <f t="shared" si="0"/>
        <v>646</v>
      </c>
      <c r="M191" s="117">
        <v>46153</v>
      </c>
      <c r="N191" s="117">
        <v>46159</v>
      </c>
      <c r="O191" s="39"/>
      <c r="P191" s="39"/>
      <c r="Q191" s="39"/>
      <c r="R191" s="39">
        <f t="shared" si="1"/>
        <v>0</v>
      </c>
      <c r="S191" s="39" t="s">
        <v>130</v>
      </c>
      <c r="T191" s="39">
        <v>107046</v>
      </c>
      <c r="U191" s="117">
        <v>46192</v>
      </c>
      <c r="V191" s="39"/>
      <c r="W191" s="39"/>
      <c r="X191" s="39"/>
      <c r="Y191" s="39">
        <v>562</v>
      </c>
      <c r="Z191" s="39">
        <v>185</v>
      </c>
      <c r="AA191" s="39">
        <v>13</v>
      </c>
      <c r="AB191" s="119">
        <f t="shared" si="2"/>
        <v>760</v>
      </c>
      <c r="AC191" s="39" t="s">
        <v>139</v>
      </c>
      <c r="AD191" s="117">
        <v>46197</v>
      </c>
      <c r="AE191" s="39">
        <v>483</v>
      </c>
      <c r="AF191" s="117">
        <v>46220</v>
      </c>
      <c r="AG191" s="39">
        <f>475</f>
        <v>475</v>
      </c>
      <c r="AH191" s="39">
        <f t="shared" ref="AH191:AH192" si="149">AG191-AE191</f>
        <v>-8</v>
      </c>
      <c r="AI191" s="39"/>
      <c r="AJ191" s="39"/>
      <c r="AK191" s="39"/>
      <c r="AL191" s="39"/>
      <c r="AM191" s="39"/>
      <c r="AN191" s="39">
        <f t="shared" ref="AN191:AN192" si="150">AM191-AK191</f>
        <v>0</v>
      </c>
      <c r="AO191" s="39" t="s">
        <v>280</v>
      </c>
      <c r="AP191" s="117">
        <v>46195</v>
      </c>
      <c r="AQ191" s="39">
        <v>510</v>
      </c>
      <c r="AR191" s="117">
        <v>46196</v>
      </c>
      <c r="AS191" s="39">
        <v>522</v>
      </c>
      <c r="AT191" s="39">
        <f t="shared" ref="AT191:AT192" si="151">AS191-AQ191</f>
        <v>12</v>
      </c>
      <c r="AU191" s="39"/>
      <c r="AV191" s="39"/>
      <c r="AW191" s="39"/>
      <c r="AX191" s="39"/>
      <c r="AY191" s="39"/>
      <c r="AZ191" s="39">
        <f t="shared" ref="AZ191:AZ192" si="152">AY191-AW191</f>
        <v>0</v>
      </c>
      <c r="BA191" s="39"/>
      <c r="BB191" s="39"/>
      <c r="BC191" s="39"/>
      <c r="BD191" s="39"/>
      <c r="BE191" s="39"/>
      <c r="BF191" s="39">
        <f t="shared" ref="BF191:BF192" si="153">BE191-BC191</f>
        <v>0</v>
      </c>
      <c r="BG191" s="39"/>
      <c r="BH191" s="39"/>
      <c r="BI191" s="39"/>
      <c r="BJ191" s="39"/>
      <c r="BK191" s="39"/>
      <c r="BL191" s="39">
        <f t="shared" ref="BL191:BL192" si="154">BK191-BI191</f>
        <v>0</v>
      </c>
      <c r="BM191" s="54" t="str">
        <f t="shared" ref="BM191:BM192" si="155">IF((BZ191/L191)&lt;0.9,$CO$1-U191,"")</f>
        <v/>
      </c>
      <c r="BN191" s="59">
        <v>46162</v>
      </c>
      <c r="BO191" s="57">
        <v>46188</v>
      </c>
      <c r="BP191" s="57">
        <v>46189</v>
      </c>
      <c r="BQ191" s="57">
        <v>46195</v>
      </c>
      <c r="BR191" s="229">
        <v>46214</v>
      </c>
      <c r="BS191" s="229">
        <v>46221</v>
      </c>
      <c r="BT191" s="39">
        <v>2237</v>
      </c>
      <c r="BU191" s="39">
        <v>475</v>
      </c>
      <c r="BV191" s="39">
        <v>2031</v>
      </c>
      <c r="BW191" s="39">
        <v>177</v>
      </c>
      <c r="BX191" s="39">
        <v>2031</v>
      </c>
      <c r="BY191" s="39">
        <v>11</v>
      </c>
      <c r="BZ191" s="39">
        <f t="shared" ref="BZ191:BZ192" si="156">BU191+BW191+BY191</f>
        <v>663</v>
      </c>
      <c r="CA191" s="39">
        <f t="shared" ref="CA191:CA192" si="157">BU191-I191</f>
        <v>-5</v>
      </c>
      <c r="CB191" s="39">
        <f t="shared" ref="CB191:CB192" si="158">BW191-J191</f>
        <v>21</v>
      </c>
      <c r="CC191" s="39">
        <f t="shared" ref="CC191:CC192" si="159">BY191-K191</f>
        <v>1</v>
      </c>
      <c r="CD191" s="39">
        <v>0</v>
      </c>
      <c r="CE191" s="47">
        <f t="shared" ref="CE191:CE192" si="160">CD191/L191</f>
        <v>0</v>
      </c>
      <c r="CF191" s="36" t="s">
        <v>293</v>
      </c>
      <c r="CG191" s="39" t="s">
        <v>227</v>
      </c>
      <c r="CH191" s="39"/>
      <c r="CI191" s="25">
        <v>2</v>
      </c>
    </row>
    <row r="192" spans="1:87" ht="24.75" customHeight="1">
      <c r="A192" s="36" t="s">
        <v>50</v>
      </c>
      <c r="B192" s="147">
        <v>47672</v>
      </c>
      <c r="C192" s="228"/>
      <c r="D192" s="36" t="s">
        <v>45</v>
      </c>
      <c r="E192" s="39">
        <v>280</v>
      </c>
      <c r="F192" s="39" t="s">
        <v>58</v>
      </c>
      <c r="G192" s="36" t="s">
        <v>36</v>
      </c>
      <c r="H192" s="36" t="s">
        <v>404</v>
      </c>
      <c r="I192" s="39">
        <v>249</v>
      </c>
      <c r="J192" s="39">
        <v>80</v>
      </c>
      <c r="K192" s="39">
        <v>5</v>
      </c>
      <c r="L192" s="39">
        <f t="shared" si="0"/>
        <v>334</v>
      </c>
      <c r="M192" s="117">
        <v>46153</v>
      </c>
      <c r="N192" s="117">
        <v>46159</v>
      </c>
      <c r="O192" s="39"/>
      <c r="P192" s="39"/>
      <c r="Q192" s="39"/>
      <c r="R192" s="39">
        <f t="shared" si="1"/>
        <v>0</v>
      </c>
      <c r="S192" s="39" t="s">
        <v>130</v>
      </c>
      <c r="T192" s="39">
        <v>107457</v>
      </c>
      <c r="U192" s="117">
        <v>46206</v>
      </c>
      <c r="V192" s="39"/>
      <c r="W192" s="39"/>
      <c r="X192" s="39"/>
      <c r="Y192" s="39">
        <v>295</v>
      </c>
      <c r="Z192" s="39">
        <v>95</v>
      </c>
      <c r="AA192" s="39">
        <v>7</v>
      </c>
      <c r="AB192" s="119">
        <f t="shared" si="2"/>
        <v>397</v>
      </c>
      <c r="AC192" s="39"/>
      <c r="AD192" s="39"/>
      <c r="AE192" s="39"/>
      <c r="AF192" s="39"/>
      <c r="AG192" s="39"/>
      <c r="AH192" s="39">
        <f t="shared" si="149"/>
        <v>0</v>
      </c>
      <c r="AI192" s="39"/>
      <c r="AJ192" s="39"/>
      <c r="AK192" s="39"/>
      <c r="AL192" s="39"/>
      <c r="AM192" s="39"/>
      <c r="AN192" s="39">
        <f t="shared" si="150"/>
        <v>0</v>
      </c>
      <c r="AO192" s="39" t="s">
        <v>280</v>
      </c>
      <c r="AP192" s="117">
        <v>46209</v>
      </c>
      <c r="AQ192" s="39">
        <v>277</v>
      </c>
      <c r="AR192" s="117">
        <v>46211</v>
      </c>
      <c r="AS192" s="39">
        <v>279</v>
      </c>
      <c r="AT192" s="39">
        <f t="shared" si="151"/>
        <v>2</v>
      </c>
      <c r="AU192" s="39" t="s">
        <v>256</v>
      </c>
      <c r="AV192" s="117">
        <v>46211</v>
      </c>
      <c r="AW192" s="39">
        <v>279</v>
      </c>
      <c r="AX192" s="117">
        <v>46212</v>
      </c>
      <c r="AY192" s="39">
        <v>278</v>
      </c>
      <c r="AZ192" s="39">
        <f t="shared" si="152"/>
        <v>-1</v>
      </c>
      <c r="BA192" s="39"/>
      <c r="BB192" s="39"/>
      <c r="BC192" s="39"/>
      <c r="BD192" s="39"/>
      <c r="BE192" s="39"/>
      <c r="BF192" s="39">
        <f t="shared" si="153"/>
        <v>0</v>
      </c>
      <c r="BG192" s="39"/>
      <c r="BH192" s="39"/>
      <c r="BI192" s="39"/>
      <c r="BJ192" s="39"/>
      <c r="BK192" s="39"/>
      <c r="BL192" s="39">
        <f t="shared" si="154"/>
        <v>0</v>
      </c>
      <c r="BM192" s="54" t="str">
        <f t="shared" si="155"/>
        <v/>
      </c>
      <c r="BN192" s="59">
        <v>46162</v>
      </c>
      <c r="BO192" s="57">
        <v>46188</v>
      </c>
      <c r="BP192" s="57"/>
      <c r="BQ192" s="57"/>
      <c r="BR192" s="230"/>
      <c r="BS192" s="230"/>
      <c r="BT192" s="39">
        <v>1599</v>
      </c>
      <c r="BU192" s="39">
        <f>248+20</f>
        <v>268</v>
      </c>
      <c r="BV192" s="39">
        <v>2022</v>
      </c>
      <c r="BW192" s="39">
        <v>88</v>
      </c>
      <c r="BX192" s="39">
        <v>2022</v>
      </c>
      <c r="BY192" s="39">
        <v>7</v>
      </c>
      <c r="BZ192" s="39">
        <f t="shared" si="156"/>
        <v>363</v>
      </c>
      <c r="CA192" s="39">
        <f t="shared" si="157"/>
        <v>19</v>
      </c>
      <c r="CB192" s="39">
        <f t="shared" si="158"/>
        <v>8</v>
      </c>
      <c r="CC192" s="39">
        <f t="shared" si="159"/>
        <v>2</v>
      </c>
      <c r="CD192" s="39">
        <f t="shared" ref="CD192" si="161">SUMIF(CA192:CC192,"&lt;0")</f>
        <v>0</v>
      </c>
      <c r="CE192" s="47">
        <f t="shared" si="160"/>
        <v>0</v>
      </c>
      <c r="CF192" s="36" t="s">
        <v>293</v>
      </c>
      <c r="CG192" s="39" t="s">
        <v>227</v>
      </c>
      <c r="CH192" s="39"/>
      <c r="CI192" s="25">
        <v>2</v>
      </c>
    </row>
    <row r="193" spans="1:87" ht="33.75" customHeight="1">
      <c r="A193" s="36" t="s">
        <v>50</v>
      </c>
      <c r="B193" s="104">
        <v>47551</v>
      </c>
      <c r="C193" s="36">
        <v>13258872</v>
      </c>
      <c r="D193" s="36" t="s">
        <v>37</v>
      </c>
      <c r="E193" s="39">
        <v>180</v>
      </c>
      <c r="F193" s="39" t="s">
        <v>55</v>
      </c>
      <c r="G193" s="36" t="s">
        <v>608</v>
      </c>
      <c r="H193" s="36" t="s">
        <v>403</v>
      </c>
      <c r="I193" s="39">
        <v>162</v>
      </c>
      <c r="J193" s="39"/>
      <c r="K193" s="39"/>
      <c r="L193" s="39">
        <f t="shared" si="0"/>
        <v>162</v>
      </c>
      <c r="M193" s="117">
        <v>46151</v>
      </c>
      <c r="N193" s="117">
        <v>46156</v>
      </c>
      <c r="O193" s="39"/>
      <c r="P193" s="39"/>
      <c r="Q193" s="39"/>
      <c r="R193" s="39">
        <f t="shared" si="1"/>
        <v>0</v>
      </c>
      <c r="S193" s="39" t="s">
        <v>130</v>
      </c>
      <c r="T193" s="39">
        <v>107005</v>
      </c>
      <c r="U193" s="117">
        <v>46190</v>
      </c>
      <c r="V193" s="39"/>
      <c r="W193" s="39"/>
      <c r="X193" s="39"/>
      <c r="Y193" s="39">
        <v>199</v>
      </c>
      <c r="Z193" s="39"/>
      <c r="AA193" s="39"/>
      <c r="AB193" s="119">
        <f t="shared" si="2"/>
        <v>199</v>
      </c>
      <c r="AC193" s="39" t="s">
        <v>139</v>
      </c>
      <c r="AD193" s="117">
        <v>46193</v>
      </c>
      <c r="AE193" s="39">
        <v>166</v>
      </c>
      <c r="AF193" s="117">
        <v>46202</v>
      </c>
      <c r="AG193" s="39">
        <f>150</f>
        <v>150</v>
      </c>
      <c r="AH193" s="39">
        <f t="shared" ref="AH193" si="162">AG193-AE193</f>
        <v>-16</v>
      </c>
      <c r="AI193" s="39"/>
      <c r="AJ193" s="39"/>
      <c r="AK193" s="39"/>
      <c r="AL193" s="39"/>
      <c r="AM193" s="39"/>
      <c r="AN193" s="39">
        <f t="shared" ref="AN193" si="163">AM193-AK193</f>
        <v>0</v>
      </c>
      <c r="AO193" s="39"/>
      <c r="AP193" s="39"/>
      <c r="AQ193" s="39"/>
      <c r="AR193" s="39"/>
      <c r="AS193" s="39"/>
      <c r="AT193" s="39">
        <f t="shared" ref="AT193" si="164">AS193-AQ193</f>
        <v>0</v>
      </c>
      <c r="AU193" s="39"/>
      <c r="AV193" s="39"/>
      <c r="AW193" s="39"/>
      <c r="AX193" s="39"/>
      <c r="AY193" s="39"/>
      <c r="AZ193" s="39">
        <f t="shared" ref="AZ193" si="165">AY193-AW193</f>
        <v>0</v>
      </c>
      <c r="BA193" s="39"/>
      <c r="BB193" s="39"/>
      <c r="BC193" s="39"/>
      <c r="BD193" s="39"/>
      <c r="BE193" s="39"/>
      <c r="BF193" s="39">
        <f t="shared" ref="BF193" si="166">BE193-BC193</f>
        <v>0</v>
      </c>
      <c r="BG193" s="39"/>
      <c r="BH193" s="39"/>
      <c r="BI193" s="39"/>
      <c r="BJ193" s="39"/>
      <c r="BK193" s="39"/>
      <c r="BL193" s="39">
        <f t="shared" ref="BL193" si="167">BK193-BI193</f>
        <v>0</v>
      </c>
      <c r="BM193" s="54" t="str">
        <f t="shared" ref="BM193" si="168">IF((BZ193/L193)&lt;0.9,$CO$1-U193,"")</f>
        <v/>
      </c>
      <c r="BN193" s="66">
        <v>46162</v>
      </c>
      <c r="BO193" s="57">
        <v>46182</v>
      </c>
      <c r="BP193" s="57">
        <v>46185</v>
      </c>
      <c r="BQ193" s="57">
        <v>46190</v>
      </c>
      <c r="BR193" s="50">
        <v>46203</v>
      </c>
      <c r="BS193" s="50">
        <v>46203</v>
      </c>
      <c r="BT193" s="39">
        <v>2212</v>
      </c>
      <c r="BU193" s="39">
        <f>156</f>
        <v>156</v>
      </c>
      <c r="BV193" s="39"/>
      <c r="BW193" s="39"/>
      <c r="BX193" s="39"/>
      <c r="BY193" s="39"/>
      <c r="BZ193" s="39">
        <f t="shared" ref="BZ193" si="169">BU193+BW193+BY193</f>
        <v>156</v>
      </c>
      <c r="CA193" s="39">
        <f t="shared" ref="CA193" si="170">BU193-I193</f>
        <v>-6</v>
      </c>
      <c r="CB193" s="39">
        <f t="shared" ref="CB193" si="171">BW193-J193</f>
        <v>0</v>
      </c>
      <c r="CC193" s="39">
        <f t="shared" ref="CC193" si="172">BY193-K193</f>
        <v>0</v>
      </c>
      <c r="CD193" s="39">
        <v>0</v>
      </c>
      <c r="CE193" s="47">
        <f t="shared" ref="CE193" si="173">CD193/L193</f>
        <v>0</v>
      </c>
      <c r="CF193" s="36" t="s">
        <v>248</v>
      </c>
      <c r="CG193" s="39" t="s">
        <v>298</v>
      </c>
      <c r="CH193" s="39"/>
      <c r="CI193" s="25">
        <v>2</v>
      </c>
    </row>
    <row r="194" spans="1:87" ht="24.75" customHeight="1">
      <c r="A194" s="36" t="s">
        <v>50</v>
      </c>
      <c r="B194" s="104">
        <v>47589</v>
      </c>
      <c r="C194" s="227">
        <v>13251951</v>
      </c>
      <c r="D194" s="36" t="s">
        <v>83</v>
      </c>
      <c r="E194" s="39">
        <v>240</v>
      </c>
      <c r="F194" s="39" t="s">
        <v>55</v>
      </c>
      <c r="G194" s="36" t="s">
        <v>636</v>
      </c>
      <c r="H194" s="36" t="s">
        <v>94</v>
      </c>
      <c r="I194" s="39">
        <v>82</v>
      </c>
      <c r="J194" s="39">
        <v>35</v>
      </c>
      <c r="K194" s="39">
        <v>2</v>
      </c>
      <c r="L194" s="39">
        <f t="shared" si="0"/>
        <v>119</v>
      </c>
      <c r="M194" s="117">
        <v>46149</v>
      </c>
      <c r="N194" s="117">
        <v>46155</v>
      </c>
      <c r="O194" s="39"/>
      <c r="P194" s="39"/>
      <c r="Q194" s="39"/>
      <c r="R194" s="39">
        <f t="shared" si="1"/>
        <v>0</v>
      </c>
      <c r="S194" s="39" t="s">
        <v>270</v>
      </c>
      <c r="T194" s="39"/>
      <c r="U194" s="39"/>
      <c r="V194" s="117">
        <v>46151</v>
      </c>
      <c r="W194" s="39">
        <f>103+48+4</f>
        <v>155</v>
      </c>
      <c r="X194" s="117" t="s">
        <v>1313</v>
      </c>
      <c r="Y194" s="39">
        <v>89</v>
      </c>
      <c r="Z194" s="39">
        <v>37</v>
      </c>
      <c r="AA194" s="39">
        <v>4</v>
      </c>
      <c r="AB194" s="119">
        <f t="shared" si="2"/>
        <v>130</v>
      </c>
      <c r="AC194" s="39" t="s">
        <v>139</v>
      </c>
      <c r="AD194" s="117">
        <v>46200</v>
      </c>
      <c r="AE194" s="39">
        <v>84</v>
      </c>
      <c r="AF194" s="117">
        <v>46211</v>
      </c>
      <c r="AG194" s="39">
        <v>81</v>
      </c>
      <c r="AH194" s="39">
        <f t="shared" ref="AH194:AH206" si="174">AG194-AE194</f>
        <v>-3</v>
      </c>
      <c r="AI194" s="39"/>
      <c r="AJ194" s="39"/>
      <c r="AK194" s="39"/>
      <c r="AL194" s="39"/>
      <c r="AM194" s="39"/>
      <c r="AN194" s="39">
        <f t="shared" ref="AN194:AN206" si="175">AM194-AK194</f>
        <v>0</v>
      </c>
      <c r="AO194" s="39" t="s">
        <v>280</v>
      </c>
      <c r="AP194" s="117">
        <v>46195</v>
      </c>
      <c r="AQ194" s="39">
        <v>89</v>
      </c>
      <c r="AR194" s="117">
        <v>46196</v>
      </c>
      <c r="AS194" s="39">
        <v>100</v>
      </c>
      <c r="AT194" s="39">
        <f t="shared" ref="AT194:AT206" si="176">AS194-AQ194</f>
        <v>11</v>
      </c>
      <c r="AU194" s="39"/>
      <c r="AV194" s="39"/>
      <c r="AW194" s="39"/>
      <c r="AX194" s="39"/>
      <c r="AY194" s="39"/>
      <c r="AZ194" s="39">
        <f t="shared" ref="AZ194:AZ206" si="177">AY194-AW194</f>
        <v>0</v>
      </c>
      <c r="BA194" s="39"/>
      <c r="BB194" s="39"/>
      <c r="BC194" s="39"/>
      <c r="BD194" s="39"/>
      <c r="BE194" s="39"/>
      <c r="BF194" s="39">
        <f t="shared" ref="BF194:BF206" si="178">BE194-BC194</f>
        <v>0</v>
      </c>
      <c r="BG194" s="39"/>
      <c r="BH194" s="39"/>
      <c r="BI194" s="39"/>
      <c r="BJ194" s="39"/>
      <c r="BK194" s="39"/>
      <c r="BL194" s="39">
        <f t="shared" ref="BL194:BL206" si="179">BK194-BI194</f>
        <v>0</v>
      </c>
      <c r="BM194" s="54" t="str">
        <f t="shared" ref="BM194:BM206" si="180">IF((BZ194/L194)&lt;0.9,$CO$1-U194,"")</f>
        <v/>
      </c>
      <c r="BN194" s="66">
        <v>46157</v>
      </c>
      <c r="BO194" s="57">
        <v>46183</v>
      </c>
      <c r="BP194" s="57">
        <v>46185</v>
      </c>
      <c r="BQ194" s="57">
        <v>46191</v>
      </c>
      <c r="BR194" s="229">
        <v>46214</v>
      </c>
      <c r="BS194" s="229">
        <v>46216</v>
      </c>
      <c r="BT194" s="39">
        <v>2230</v>
      </c>
      <c r="BU194" s="39">
        <v>80</v>
      </c>
      <c r="BV194" s="39">
        <v>1526</v>
      </c>
      <c r="BW194" s="39">
        <v>37</v>
      </c>
      <c r="BX194" s="39">
        <v>1526</v>
      </c>
      <c r="BY194" s="39">
        <v>4</v>
      </c>
      <c r="BZ194" s="39">
        <f t="shared" ref="BZ194:BZ206" si="181">BU194+BW194+BY194</f>
        <v>121</v>
      </c>
      <c r="CA194" s="39">
        <f t="shared" ref="CA194:CA206" si="182">BU194-I194</f>
        <v>-2</v>
      </c>
      <c r="CB194" s="39">
        <f t="shared" ref="CB194:CB206" si="183">BW194-J194</f>
        <v>2</v>
      </c>
      <c r="CC194" s="39">
        <f t="shared" ref="CC194:CC206" si="184">BY194-K194</f>
        <v>2</v>
      </c>
      <c r="CD194" s="39">
        <v>0</v>
      </c>
      <c r="CE194" s="47">
        <f t="shared" ref="CE194:CE206" si="185">CD194/L194</f>
        <v>0</v>
      </c>
      <c r="CF194" s="36" t="s">
        <v>248</v>
      </c>
      <c r="CG194" s="39" t="s">
        <v>298</v>
      </c>
      <c r="CH194" s="39"/>
      <c r="CI194" s="25">
        <v>2</v>
      </c>
    </row>
    <row r="195" spans="1:87" ht="24.75" customHeight="1">
      <c r="A195" s="36" t="s">
        <v>50</v>
      </c>
      <c r="B195" s="104">
        <v>47589</v>
      </c>
      <c r="C195" s="228"/>
      <c r="D195" s="36" t="s">
        <v>83</v>
      </c>
      <c r="E195" s="39">
        <v>240</v>
      </c>
      <c r="F195" s="39" t="s">
        <v>55</v>
      </c>
      <c r="G195" s="36" t="s">
        <v>521</v>
      </c>
      <c r="H195" s="36" t="s">
        <v>94</v>
      </c>
      <c r="I195" s="39">
        <v>82</v>
      </c>
      <c r="J195" s="39">
        <v>35</v>
      </c>
      <c r="K195" s="39">
        <v>2</v>
      </c>
      <c r="L195" s="39">
        <f t="shared" si="0"/>
        <v>119</v>
      </c>
      <c r="M195" s="117">
        <v>46149</v>
      </c>
      <c r="N195" s="117">
        <v>46155</v>
      </c>
      <c r="O195" s="39"/>
      <c r="P195" s="39"/>
      <c r="Q195" s="39"/>
      <c r="R195" s="39">
        <f t="shared" si="1"/>
        <v>0</v>
      </c>
      <c r="S195" s="39" t="s">
        <v>590</v>
      </c>
      <c r="T195" s="39"/>
      <c r="U195" s="39"/>
      <c r="V195" s="117">
        <v>46151</v>
      </c>
      <c r="W195" s="39">
        <f>106+4+42</f>
        <v>152</v>
      </c>
      <c r="X195" s="117" t="s">
        <v>1156</v>
      </c>
      <c r="Y195" s="39">
        <v>83</v>
      </c>
      <c r="Z195" s="39">
        <v>36</v>
      </c>
      <c r="AA195" s="39">
        <v>3</v>
      </c>
      <c r="AB195" s="119">
        <f t="shared" si="2"/>
        <v>122</v>
      </c>
      <c r="AC195" s="39" t="s">
        <v>139</v>
      </c>
      <c r="AD195" s="117">
        <v>46196</v>
      </c>
      <c r="AE195" s="39">
        <v>83</v>
      </c>
      <c r="AF195" s="117">
        <v>46214</v>
      </c>
      <c r="AG195" s="39">
        <v>80</v>
      </c>
      <c r="AH195" s="39">
        <f t="shared" si="174"/>
        <v>-3</v>
      </c>
      <c r="AI195" s="39"/>
      <c r="AJ195" s="39"/>
      <c r="AK195" s="39"/>
      <c r="AL195" s="39"/>
      <c r="AM195" s="39"/>
      <c r="AN195" s="39">
        <f t="shared" si="175"/>
        <v>0</v>
      </c>
      <c r="AO195" s="39"/>
      <c r="AP195" s="39"/>
      <c r="AQ195" s="39"/>
      <c r="AR195" s="39"/>
      <c r="AS195" s="39"/>
      <c r="AT195" s="39">
        <f t="shared" si="176"/>
        <v>0</v>
      </c>
      <c r="AU195" s="39"/>
      <c r="AV195" s="39"/>
      <c r="AW195" s="39"/>
      <c r="AX195" s="39"/>
      <c r="AY195" s="39"/>
      <c r="AZ195" s="39">
        <f t="shared" si="177"/>
        <v>0</v>
      </c>
      <c r="BA195" s="39"/>
      <c r="BB195" s="39"/>
      <c r="BC195" s="39"/>
      <c r="BD195" s="39"/>
      <c r="BE195" s="39"/>
      <c r="BF195" s="39">
        <f t="shared" si="178"/>
        <v>0</v>
      </c>
      <c r="BG195" s="39"/>
      <c r="BH195" s="39"/>
      <c r="BI195" s="39"/>
      <c r="BJ195" s="39"/>
      <c r="BK195" s="39"/>
      <c r="BL195" s="39">
        <f t="shared" si="179"/>
        <v>0</v>
      </c>
      <c r="BM195" s="54" t="str">
        <f t="shared" si="180"/>
        <v/>
      </c>
      <c r="BN195" s="66">
        <v>46157</v>
      </c>
      <c r="BO195" s="57">
        <v>46183</v>
      </c>
      <c r="BP195" s="57">
        <v>46185</v>
      </c>
      <c r="BQ195" s="57">
        <v>46191</v>
      </c>
      <c r="BR195" s="230"/>
      <c r="BS195" s="230"/>
      <c r="BT195" s="39">
        <v>2231</v>
      </c>
      <c r="BU195" s="39">
        <v>80</v>
      </c>
      <c r="BV195" s="39">
        <v>1776</v>
      </c>
      <c r="BW195" s="39">
        <v>36</v>
      </c>
      <c r="BX195" s="39">
        <v>1776</v>
      </c>
      <c r="BY195" s="39">
        <v>3</v>
      </c>
      <c r="BZ195" s="39">
        <f t="shared" si="181"/>
        <v>119</v>
      </c>
      <c r="CA195" s="39">
        <f t="shared" si="182"/>
        <v>-2</v>
      </c>
      <c r="CB195" s="39">
        <f t="shared" si="183"/>
        <v>1</v>
      </c>
      <c r="CC195" s="39">
        <f t="shared" si="184"/>
        <v>1</v>
      </c>
      <c r="CD195" s="39">
        <v>0</v>
      </c>
      <c r="CE195" s="47">
        <f t="shared" si="185"/>
        <v>0</v>
      </c>
      <c r="CF195" s="36" t="s">
        <v>248</v>
      </c>
      <c r="CG195" s="39" t="s">
        <v>298</v>
      </c>
      <c r="CH195" s="39"/>
      <c r="CI195" s="25">
        <v>2</v>
      </c>
    </row>
    <row r="196" spans="1:87" ht="24.75" customHeight="1">
      <c r="A196" s="36" t="s">
        <v>50</v>
      </c>
      <c r="B196" s="104">
        <v>47591</v>
      </c>
      <c r="C196" s="227">
        <v>13255268</v>
      </c>
      <c r="D196" s="36" t="s">
        <v>83</v>
      </c>
      <c r="E196" s="39">
        <v>240</v>
      </c>
      <c r="F196" s="39" t="s">
        <v>55</v>
      </c>
      <c r="G196" s="36" t="s">
        <v>521</v>
      </c>
      <c r="H196" s="36" t="s">
        <v>94</v>
      </c>
      <c r="I196" s="39">
        <v>87</v>
      </c>
      <c r="J196" s="39">
        <v>39</v>
      </c>
      <c r="K196" s="39">
        <v>2</v>
      </c>
      <c r="L196" s="39">
        <f t="shared" si="0"/>
        <v>128</v>
      </c>
      <c r="M196" s="117">
        <v>46149</v>
      </c>
      <c r="N196" s="117">
        <v>46155</v>
      </c>
      <c r="O196" s="39"/>
      <c r="P196" s="39"/>
      <c r="Q196" s="39"/>
      <c r="R196" s="39">
        <f t="shared" si="1"/>
        <v>0</v>
      </c>
      <c r="S196" s="39" t="s">
        <v>590</v>
      </c>
      <c r="T196" s="39"/>
      <c r="U196" s="39"/>
      <c r="V196" s="117">
        <v>46151</v>
      </c>
      <c r="W196" s="39">
        <f>108+4+46</f>
        <v>158</v>
      </c>
      <c r="X196" s="117" t="s">
        <v>1156</v>
      </c>
      <c r="Y196" s="39">
        <f>76</f>
        <v>76</v>
      </c>
      <c r="Z196" s="39">
        <v>42</v>
      </c>
      <c r="AA196" s="39">
        <v>4</v>
      </c>
      <c r="AB196" s="120">
        <f t="shared" si="2"/>
        <v>122</v>
      </c>
      <c r="AC196" s="39" t="s">
        <v>139</v>
      </c>
      <c r="AD196" s="117">
        <v>46196</v>
      </c>
      <c r="AE196" s="39">
        <v>90</v>
      </c>
      <c r="AF196" s="117">
        <v>46214</v>
      </c>
      <c r="AG196" s="39">
        <v>87</v>
      </c>
      <c r="AH196" s="39">
        <f t="shared" si="174"/>
        <v>-3</v>
      </c>
      <c r="AI196" s="39"/>
      <c r="AJ196" s="39"/>
      <c r="AK196" s="39"/>
      <c r="AL196" s="39"/>
      <c r="AM196" s="39"/>
      <c r="AN196" s="39">
        <f t="shared" si="175"/>
        <v>0</v>
      </c>
      <c r="AO196" s="39"/>
      <c r="AP196" s="39"/>
      <c r="AQ196" s="39"/>
      <c r="AR196" s="39"/>
      <c r="AS196" s="39"/>
      <c r="AT196" s="39">
        <f t="shared" si="176"/>
        <v>0</v>
      </c>
      <c r="AU196" s="39"/>
      <c r="AV196" s="39"/>
      <c r="AW196" s="39"/>
      <c r="AX196" s="39"/>
      <c r="AY196" s="39"/>
      <c r="AZ196" s="39">
        <f t="shared" si="177"/>
        <v>0</v>
      </c>
      <c r="BA196" s="39"/>
      <c r="BB196" s="39"/>
      <c r="BC196" s="39"/>
      <c r="BD196" s="39"/>
      <c r="BE196" s="39"/>
      <c r="BF196" s="39">
        <f t="shared" si="178"/>
        <v>0</v>
      </c>
      <c r="BG196" s="39"/>
      <c r="BH196" s="39"/>
      <c r="BI196" s="39"/>
      <c r="BJ196" s="39"/>
      <c r="BK196" s="39"/>
      <c r="BL196" s="39">
        <f t="shared" si="179"/>
        <v>0</v>
      </c>
      <c r="BM196" s="54" t="str">
        <f t="shared" si="180"/>
        <v/>
      </c>
      <c r="BN196" s="66">
        <v>46158</v>
      </c>
      <c r="BO196" s="57">
        <v>46184</v>
      </c>
      <c r="BP196" s="57">
        <v>46186</v>
      </c>
      <c r="BQ196" s="57">
        <v>46193</v>
      </c>
      <c r="BR196" s="229">
        <v>46216</v>
      </c>
      <c r="BS196" s="229">
        <v>46216</v>
      </c>
      <c r="BT196" s="39">
        <v>2231</v>
      </c>
      <c r="BU196" s="39">
        <v>86</v>
      </c>
      <c r="BV196" s="39">
        <v>1776</v>
      </c>
      <c r="BW196" s="39">
        <v>42</v>
      </c>
      <c r="BX196" s="39">
        <v>1776</v>
      </c>
      <c r="BY196" s="39">
        <v>4</v>
      </c>
      <c r="BZ196" s="39">
        <f t="shared" si="181"/>
        <v>132</v>
      </c>
      <c r="CA196" s="39">
        <f t="shared" si="182"/>
        <v>-1</v>
      </c>
      <c r="CB196" s="39">
        <f t="shared" si="183"/>
        <v>3</v>
      </c>
      <c r="CC196" s="39">
        <f t="shared" si="184"/>
        <v>2</v>
      </c>
      <c r="CD196" s="39">
        <v>0</v>
      </c>
      <c r="CE196" s="47">
        <f t="shared" si="185"/>
        <v>0</v>
      </c>
      <c r="CF196" s="36" t="s">
        <v>248</v>
      </c>
      <c r="CG196" s="39" t="s">
        <v>298</v>
      </c>
      <c r="CH196" s="39"/>
      <c r="CI196" s="25">
        <v>2</v>
      </c>
    </row>
    <row r="197" spans="1:87" ht="24.75" customHeight="1">
      <c r="A197" s="36" t="s">
        <v>50</v>
      </c>
      <c r="B197" s="104">
        <v>47591</v>
      </c>
      <c r="C197" s="228"/>
      <c r="D197" s="36" t="s">
        <v>83</v>
      </c>
      <c r="E197" s="39">
        <v>240</v>
      </c>
      <c r="F197" s="39" t="s">
        <v>55</v>
      </c>
      <c r="G197" s="36" t="s">
        <v>521</v>
      </c>
      <c r="H197" s="36" t="s">
        <v>94</v>
      </c>
      <c r="I197" s="39">
        <v>65</v>
      </c>
      <c r="J197" s="39">
        <v>44</v>
      </c>
      <c r="K197" s="39"/>
      <c r="L197" s="39">
        <f t="shared" si="0"/>
        <v>109</v>
      </c>
      <c r="M197" s="117">
        <v>46149</v>
      </c>
      <c r="N197" s="117">
        <v>46155</v>
      </c>
      <c r="O197" s="39"/>
      <c r="P197" s="39"/>
      <c r="Q197" s="39"/>
      <c r="R197" s="39">
        <f t="shared" si="1"/>
        <v>0</v>
      </c>
      <c r="S197" s="39" t="s">
        <v>590</v>
      </c>
      <c r="T197" s="39"/>
      <c r="U197" s="39"/>
      <c r="V197" s="117">
        <v>46151</v>
      </c>
      <c r="W197" s="39">
        <f>85+51</f>
        <v>136</v>
      </c>
      <c r="X197" s="117" t="s">
        <v>1156</v>
      </c>
      <c r="Y197" s="39">
        <v>70</v>
      </c>
      <c r="Z197" s="39">
        <v>46</v>
      </c>
      <c r="AA197" s="39"/>
      <c r="AB197" s="119">
        <f t="shared" si="2"/>
        <v>116</v>
      </c>
      <c r="AC197" s="39" t="s">
        <v>139</v>
      </c>
      <c r="AD197" s="117">
        <v>46196</v>
      </c>
      <c r="AE197" s="39">
        <v>65</v>
      </c>
      <c r="AF197" s="117">
        <v>46214</v>
      </c>
      <c r="AG197" s="39">
        <v>65</v>
      </c>
      <c r="AH197" s="39">
        <f t="shared" si="174"/>
        <v>0</v>
      </c>
      <c r="AI197" s="39"/>
      <c r="AJ197" s="39"/>
      <c r="AK197" s="39"/>
      <c r="AL197" s="39"/>
      <c r="AM197" s="39"/>
      <c r="AN197" s="39">
        <f t="shared" si="175"/>
        <v>0</v>
      </c>
      <c r="AO197" s="39"/>
      <c r="AP197" s="39"/>
      <c r="AQ197" s="39"/>
      <c r="AR197" s="39"/>
      <c r="AS197" s="39"/>
      <c r="AT197" s="39">
        <f t="shared" si="176"/>
        <v>0</v>
      </c>
      <c r="AU197" s="39"/>
      <c r="AV197" s="39"/>
      <c r="AW197" s="39"/>
      <c r="AX197" s="39"/>
      <c r="AY197" s="39"/>
      <c r="AZ197" s="39">
        <f t="shared" si="177"/>
        <v>0</v>
      </c>
      <c r="BA197" s="39"/>
      <c r="BB197" s="39"/>
      <c r="BC197" s="39"/>
      <c r="BD197" s="39"/>
      <c r="BE197" s="39"/>
      <c r="BF197" s="39">
        <f t="shared" si="178"/>
        <v>0</v>
      </c>
      <c r="BG197" s="39"/>
      <c r="BH197" s="39"/>
      <c r="BI197" s="39"/>
      <c r="BJ197" s="39"/>
      <c r="BK197" s="39"/>
      <c r="BL197" s="39">
        <f t="shared" si="179"/>
        <v>0</v>
      </c>
      <c r="BM197" s="54" t="str">
        <f t="shared" si="180"/>
        <v/>
      </c>
      <c r="BN197" s="66">
        <v>46158</v>
      </c>
      <c r="BO197" s="57">
        <v>46184</v>
      </c>
      <c r="BP197" s="57">
        <v>46186</v>
      </c>
      <c r="BQ197" s="57">
        <v>46193</v>
      </c>
      <c r="BR197" s="230"/>
      <c r="BS197" s="230"/>
      <c r="BT197" s="39">
        <v>2231</v>
      </c>
      <c r="BU197" s="39">
        <v>65</v>
      </c>
      <c r="BV197" s="39">
        <v>1776</v>
      </c>
      <c r="BW197" s="39">
        <v>46</v>
      </c>
      <c r="BX197" s="39"/>
      <c r="BY197" s="39"/>
      <c r="BZ197" s="39">
        <f t="shared" si="181"/>
        <v>111</v>
      </c>
      <c r="CA197" s="39">
        <f t="shared" si="182"/>
        <v>0</v>
      </c>
      <c r="CB197" s="39">
        <f t="shared" si="183"/>
        <v>2</v>
      </c>
      <c r="CC197" s="39">
        <f t="shared" si="184"/>
        <v>0</v>
      </c>
      <c r="CD197" s="39">
        <f t="shared" ref="CD197:CD206" si="186">SUMIF(CA197:CC197,"&lt;0")</f>
        <v>0</v>
      </c>
      <c r="CE197" s="47">
        <f t="shared" si="185"/>
        <v>0</v>
      </c>
      <c r="CF197" s="36" t="s">
        <v>248</v>
      </c>
      <c r="CG197" s="39" t="s">
        <v>298</v>
      </c>
      <c r="CH197" s="39"/>
      <c r="CI197" s="25">
        <v>2</v>
      </c>
    </row>
    <row r="198" spans="1:87" ht="24.75" customHeight="1">
      <c r="A198" s="36" t="s">
        <v>50</v>
      </c>
      <c r="B198" s="104">
        <v>47592</v>
      </c>
      <c r="C198" s="227">
        <v>13251904</v>
      </c>
      <c r="D198" s="36" t="s">
        <v>83</v>
      </c>
      <c r="E198" s="39">
        <v>240</v>
      </c>
      <c r="F198" s="39" t="s">
        <v>55</v>
      </c>
      <c r="G198" s="36" t="s">
        <v>677</v>
      </c>
      <c r="H198" s="36" t="s">
        <v>94</v>
      </c>
      <c r="I198" s="39">
        <v>100</v>
      </c>
      <c r="J198" s="39">
        <v>43</v>
      </c>
      <c r="K198" s="39">
        <v>3</v>
      </c>
      <c r="L198" s="39">
        <f t="shared" si="0"/>
        <v>146</v>
      </c>
      <c r="M198" s="117">
        <v>46149</v>
      </c>
      <c r="N198" s="117">
        <v>46155</v>
      </c>
      <c r="O198" s="39"/>
      <c r="P198" s="39"/>
      <c r="Q198" s="39"/>
      <c r="R198" s="39">
        <f t="shared" si="1"/>
        <v>0</v>
      </c>
      <c r="S198" s="39" t="s">
        <v>270</v>
      </c>
      <c r="T198" s="39"/>
      <c r="U198" s="39"/>
      <c r="V198" s="117">
        <v>46151</v>
      </c>
      <c r="W198" s="39">
        <f>128+50+4</f>
        <v>182</v>
      </c>
      <c r="X198" s="117" t="s">
        <v>1485</v>
      </c>
      <c r="Y198" s="39">
        <v>124</v>
      </c>
      <c r="Z198" s="39">
        <v>45</v>
      </c>
      <c r="AA198" s="39">
        <v>4</v>
      </c>
      <c r="AB198" s="119">
        <f t="shared" si="2"/>
        <v>173</v>
      </c>
      <c r="AC198" s="39" t="s">
        <v>139</v>
      </c>
      <c r="AD198" s="117">
        <v>46203</v>
      </c>
      <c r="AE198" s="39">
        <v>105</v>
      </c>
      <c r="AF198" s="117">
        <v>46212</v>
      </c>
      <c r="AG198" s="39">
        <v>103</v>
      </c>
      <c r="AH198" s="39">
        <f t="shared" si="174"/>
        <v>-2</v>
      </c>
      <c r="AI198" s="39"/>
      <c r="AJ198" s="39"/>
      <c r="AK198" s="39"/>
      <c r="AL198" s="39"/>
      <c r="AM198" s="39"/>
      <c r="AN198" s="39">
        <f t="shared" si="175"/>
        <v>0</v>
      </c>
      <c r="AO198" s="39" t="s">
        <v>280</v>
      </c>
      <c r="AP198" s="117">
        <v>46198</v>
      </c>
      <c r="AQ198" s="39">
        <v>124</v>
      </c>
      <c r="AR198" s="117">
        <v>46199</v>
      </c>
      <c r="AS198" s="39">
        <v>125</v>
      </c>
      <c r="AT198" s="39">
        <f t="shared" si="176"/>
        <v>1</v>
      </c>
      <c r="AU198" s="39"/>
      <c r="AV198" s="39"/>
      <c r="AW198" s="39"/>
      <c r="AX198" s="39"/>
      <c r="AY198" s="39"/>
      <c r="AZ198" s="39">
        <f t="shared" si="177"/>
        <v>0</v>
      </c>
      <c r="BA198" s="39"/>
      <c r="BB198" s="39"/>
      <c r="BC198" s="39"/>
      <c r="BD198" s="39"/>
      <c r="BE198" s="39"/>
      <c r="BF198" s="39">
        <f t="shared" si="178"/>
        <v>0</v>
      </c>
      <c r="BG198" s="39"/>
      <c r="BH198" s="39"/>
      <c r="BI198" s="39"/>
      <c r="BJ198" s="39"/>
      <c r="BK198" s="39"/>
      <c r="BL198" s="39">
        <f t="shared" si="179"/>
        <v>0</v>
      </c>
      <c r="BM198" s="54" t="str">
        <f t="shared" si="180"/>
        <v/>
      </c>
      <c r="BN198" s="66">
        <v>46157</v>
      </c>
      <c r="BO198" s="57">
        <v>46183</v>
      </c>
      <c r="BP198" s="57">
        <v>46184</v>
      </c>
      <c r="BQ198" s="57">
        <v>46191</v>
      </c>
      <c r="BR198" s="229">
        <v>46213</v>
      </c>
      <c r="BS198" s="229">
        <v>46216</v>
      </c>
      <c r="BT198" s="39">
        <v>2228</v>
      </c>
      <c r="BU198" s="39">
        <v>102</v>
      </c>
      <c r="BV198" s="39">
        <v>1776</v>
      </c>
      <c r="BW198" s="39">
        <v>45</v>
      </c>
      <c r="BX198" s="39">
        <v>1776</v>
      </c>
      <c r="BY198" s="39">
        <v>4</v>
      </c>
      <c r="BZ198" s="39">
        <f t="shared" si="181"/>
        <v>151</v>
      </c>
      <c r="CA198" s="39">
        <f t="shared" si="182"/>
        <v>2</v>
      </c>
      <c r="CB198" s="39">
        <f t="shared" si="183"/>
        <v>2</v>
      </c>
      <c r="CC198" s="39">
        <f t="shared" si="184"/>
        <v>1</v>
      </c>
      <c r="CD198" s="39">
        <f t="shared" si="186"/>
        <v>0</v>
      </c>
      <c r="CE198" s="47">
        <f t="shared" si="185"/>
        <v>0</v>
      </c>
      <c r="CF198" s="36" t="s">
        <v>248</v>
      </c>
      <c r="CG198" s="39" t="s">
        <v>298</v>
      </c>
      <c r="CH198" s="39"/>
      <c r="CI198" s="25">
        <v>2</v>
      </c>
    </row>
    <row r="199" spans="1:87" ht="24.75" customHeight="1">
      <c r="A199" s="36" t="s">
        <v>50</v>
      </c>
      <c r="B199" s="104">
        <v>47592</v>
      </c>
      <c r="C199" s="228"/>
      <c r="D199" s="36" t="s">
        <v>83</v>
      </c>
      <c r="E199" s="39">
        <v>240</v>
      </c>
      <c r="F199" s="39" t="s">
        <v>55</v>
      </c>
      <c r="G199" s="36" t="s">
        <v>672</v>
      </c>
      <c r="H199" s="36" t="s">
        <v>94</v>
      </c>
      <c r="I199" s="39">
        <v>100</v>
      </c>
      <c r="J199" s="39">
        <v>43</v>
      </c>
      <c r="K199" s="39">
        <v>3</v>
      </c>
      <c r="L199" s="39">
        <f t="shared" si="0"/>
        <v>146</v>
      </c>
      <c r="M199" s="117">
        <v>46149</v>
      </c>
      <c r="N199" s="117">
        <v>46155</v>
      </c>
      <c r="O199" s="39"/>
      <c r="P199" s="39"/>
      <c r="Q199" s="39"/>
      <c r="R199" s="39">
        <f t="shared" si="1"/>
        <v>0</v>
      </c>
      <c r="S199" s="39" t="s">
        <v>590</v>
      </c>
      <c r="T199" s="39"/>
      <c r="U199" s="39"/>
      <c r="V199" s="117">
        <v>46151</v>
      </c>
      <c r="W199" s="39">
        <f>128+50+5</f>
        <v>183</v>
      </c>
      <c r="X199" s="117" t="s">
        <v>1365</v>
      </c>
      <c r="Y199" s="39">
        <v>109</v>
      </c>
      <c r="Z199" s="39">
        <v>44</v>
      </c>
      <c r="AA199" s="39">
        <v>4</v>
      </c>
      <c r="AB199" s="119">
        <f t="shared" si="2"/>
        <v>157</v>
      </c>
      <c r="AC199" s="39" t="s">
        <v>139</v>
      </c>
      <c r="AD199" s="117">
        <v>46200</v>
      </c>
      <c r="AE199" s="39">
        <v>100</v>
      </c>
      <c r="AF199" s="117">
        <v>46212</v>
      </c>
      <c r="AG199" s="39">
        <v>99</v>
      </c>
      <c r="AH199" s="39">
        <f t="shared" si="174"/>
        <v>-1</v>
      </c>
      <c r="AI199" s="39"/>
      <c r="AJ199" s="39"/>
      <c r="AK199" s="39"/>
      <c r="AL199" s="39"/>
      <c r="AM199" s="39"/>
      <c r="AN199" s="39">
        <f t="shared" si="175"/>
        <v>0</v>
      </c>
      <c r="AO199" s="39" t="s">
        <v>280</v>
      </c>
      <c r="AP199" s="117">
        <v>46191</v>
      </c>
      <c r="AQ199" s="39">
        <v>109</v>
      </c>
      <c r="AR199" s="117">
        <v>46195</v>
      </c>
      <c r="AS199" s="39">
        <v>107</v>
      </c>
      <c r="AT199" s="39">
        <f t="shared" si="176"/>
        <v>-2</v>
      </c>
      <c r="AU199" s="39"/>
      <c r="AV199" s="39"/>
      <c r="AW199" s="39"/>
      <c r="AX199" s="39"/>
      <c r="AY199" s="39"/>
      <c r="AZ199" s="39">
        <f t="shared" si="177"/>
        <v>0</v>
      </c>
      <c r="BA199" s="39"/>
      <c r="BB199" s="39"/>
      <c r="BC199" s="39"/>
      <c r="BD199" s="39"/>
      <c r="BE199" s="39"/>
      <c r="BF199" s="39">
        <f t="shared" si="178"/>
        <v>0</v>
      </c>
      <c r="BG199" s="39"/>
      <c r="BH199" s="39"/>
      <c r="BI199" s="39"/>
      <c r="BJ199" s="39"/>
      <c r="BK199" s="39"/>
      <c r="BL199" s="39">
        <f t="shared" si="179"/>
        <v>0</v>
      </c>
      <c r="BM199" s="54" t="str">
        <f t="shared" si="180"/>
        <v/>
      </c>
      <c r="BN199" s="66">
        <v>46157</v>
      </c>
      <c r="BO199" s="57">
        <v>46183</v>
      </c>
      <c r="BP199" s="57">
        <v>46184</v>
      </c>
      <c r="BQ199" s="57">
        <v>46191</v>
      </c>
      <c r="BR199" s="230"/>
      <c r="BS199" s="230"/>
      <c r="BT199" s="39">
        <v>2228</v>
      </c>
      <c r="BU199" s="39">
        <v>98</v>
      </c>
      <c r="BV199" s="39">
        <v>1528</v>
      </c>
      <c r="BW199" s="39">
        <v>44</v>
      </c>
      <c r="BX199" s="39">
        <v>1528</v>
      </c>
      <c r="BY199" s="39">
        <v>4</v>
      </c>
      <c r="BZ199" s="39">
        <f t="shared" si="181"/>
        <v>146</v>
      </c>
      <c r="CA199" s="39">
        <f t="shared" si="182"/>
        <v>-2</v>
      </c>
      <c r="CB199" s="39">
        <f t="shared" si="183"/>
        <v>1</v>
      </c>
      <c r="CC199" s="39">
        <f t="shared" si="184"/>
        <v>1</v>
      </c>
      <c r="CD199" s="39">
        <v>0</v>
      </c>
      <c r="CE199" s="47">
        <f t="shared" si="185"/>
        <v>0</v>
      </c>
      <c r="CF199" s="36" t="s">
        <v>248</v>
      </c>
      <c r="CG199" s="39" t="s">
        <v>298</v>
      </c>
      <c r="CH199" s="39"/>
      <c r="CI199" s="25">
        <v>2</v>
      </c>
    </row>
    <row r="200" spans="1:87" ht="24.75" customHeight="1">
      <c r="A200" s="36" t="s">
        <v>50</v>
      </c>
      <c r="B200" s="104">
        <v>47594</v>
      </c>
      <c r="C200" s="227">
        <v>13255270</v>
      </c>
      <c r="D200" s="36" t="s">
        <v>83</v>
      </c>
      <c r="E200" s="39">
        <v>240</v>
      </c>
      <c r="F200" s="39" t="s">
        <v>55</v>
      </c>
      <c r="G200" s="36" t="s">
        <v>672</v>
      </c>
      <c r="H200" s="36" t="s">
        <v>94</v>
      </c>
      <c r="I200" s="39">
        <v>66</v>
      </c>
      <c r="J200" s="39">
        <v>27</v>
      </c>
      <c r="K200" s="39">
        <v>2</v>
      </c>
      <c r="L200" s="39">
        <f t="shared" si="0"/>
        <v>95</v>
      </c>
      <c r="M200" s="117">
        <v>46152</v>
      </c>
      <c r="N200" s="117">
        <v>46157</v>
      </c>
      <c r="O200" s="39"/>
      <c r="P200" s="39"/>
      <c r="Q200" s="39"/>
      <c r="R200" s="39">
        <f t="shared" si="1"/>
        <v>0</v>
      </c>
      <c r="S200" s="39" t="s">
        <v>590</v>
      </c>
      <c r="T200" s="39"/>
      <c r="U200" s="39"/>
      <c r="V200" s="117">
        <v>46151</v>
      </c>
      <c r="W200" s="39">
        <f>82+32+4</f>
        <v>118</v>
      </c>
      <c r="X200" s="117" t="s">
        <v>1365</v>
      </c>
      <c r="Y200" s="39">
        <v>74</v>
      </c>
      <c r="Z200" s="39">
        <v>28</v>
      </c>
      <c r="AA200" s="39">
        <v>4</v>
      </c>
      <c r="AB200" s="119">
        <f t="shared" si="2"/>
        <v>106</v>
      </c>
      <c r="AC200" s="39" t="s">
        <v>139</v>
      </c>
      <c r="AD200" s="117">
        <v>46200</v>
      </c>
      <c r="AE200" s="39">
        <v>69</v>
      </c>
      <c r="AF200" s="117">
        <v>46217</v>
      </c>
      <c r="AG200" s="39">
        <v>67</v>
      </c>
      <c r="AH200" s="39">
        <f t="shared" si="174"/>
        <v>-2</v>
      </c>
      <c r="AI200" s="39"/>
      <c r="AJ200" s="39"/>
      <c r="AK200" s="39"/>
      <c r="AL200" s="39"/>
      <c r="AM200" s="39"/>
      <c r="AN200" s="39">
        <f t="shared" si="175"/>
        <v>0</v>
      </c>
      <c r="AO200" s="39" t="s">
        <v>280</v>
      </c>
      <c r="AP200" s="117">
        <v>46191</v>
      </c>
      <c r="AQ200" s="39">
        <v>73</v>
      </c>
      <c r="AR200" s="117">
        <v>46195</v>
      </c>
      <c r="AS200" s="39">
        <v>71</v>
      </c>
      <c r="AT200" s="39">
        <f t="shared" si="176"/>
        <v>-2</v>
      </c>
      <c r="AU200" s="39"/>
      <c r="AV200" s="39"/>
      <c r="AW200" s="39"/>
      <c r="AX200" s="39"/>
      <c r="AY200" s="39"/>
      <c r="AZ200" s="39">
        <f t="shared" si="177"/>
        <v>0</v>
      </c>
      <c r="BA200" s="39"/>
      <c r="BB200" s="39"/>
      <c r="BC200" s="39"/>
      <c r="BD200" s="39"/>
      <c r="BE200" s="39"/>
      <c r="BF200" s="39">
        <f t="shared" si="178"/>
        <v>0</v>
      </c>
      <c r="BG200" s="39"/>
      <c r="BH200" s="39"/>
      <c r="BI200" s="39"/>
      <c r="BJ200" s="39"/>
      <c r="BK200" s="39"/>
      <c r="BL200" s="39">
        <f t="shared" si="179"/>
        <v>0</v>
      </c>
      <c r="BM200" s="54" t="str">
        <f t="shared" si="180"/>
        <v/>
      </c>
      <c r="BN200" s="66">
        <v>46160</v>
      </c>
      <c r="BO200" s="57">
        <v>46183</v>
      </c>
      <c r="BP200" s="57">
        <v>46185</v>
      </c>
      <c r="BQ200" s="57">
        <v>46191</v>
      </c>
      <c r="BR200" s="229">
        <v>46218</v>
      </c>
      <c r="BS200" s="229">
        <v>46218</v>
      </c>
      <c r="BT200" s="39">
        <v>2234</v>
      </c>
      <c r="BU200" s="39">
        <v>65</v>
      </c>
      <c r="BV200" s="39">
        <v>1779</v>
      </c>
      <c r="BW200" s="39">
        <v>28</v>
      </c>
      <c r="BX200" s="39">
        <v>1779</v>
      </c>
      <c r="BY200" s="39">
        <v>4</v>
      </c>
      <c r="BZ200" s="39">
        <f t="shared" si="181"/>
        <v>97</v>
      </c>
      <c r="CA200" s="39">
        <f t="shared" si="182"/>
        <v>-1</v>
      </c>
      <c r="CB200" s="39">
        <f t="shared" si="183"/>
        <v>1</v>
      </c>
      <c r="CC200" s="39">
        <f t="shared" si="184"/>
        <v>2</v>
      </c>
      <c r="CD200" s="39">
        <v>0</v>
      </c>
      <c r="CE200" s="47">
        <f t="shared" si="185"/>
        <v>0</v>
      </c>
      <c r="CF200" s="36" t="s">
        <v>248</v>
      </c>
      <c r="CG200" s="39" t="s">
        <v>298</v>
      </c>
      <c r="CH200" s="39"/>
      <c r="CI200" s="25">
        <v>2</v>
      </c>
    </row>
    <row r="201" spans="1:87" ht="24.75" customHeight="1">
      <c r="A201" s="36" t="s">
        <v>50</v>
      </c>
      <c r="B201" s="104">
        <v>47594</v>
      </c>
      <c r="C201" s="228"/>
      <c r="D201" s="36" t="s">
        <v>83</v>
      </c>
      <c r="E201" s="39">
        <v>240</v>
      </c>
      <c r="F201" s="39" t="s">
        <v>55</v>
      </c>
      <c r="G201" s="36" t="s">
        <v>672</v>
      </c>
      <c r="H201" s="36" t="s">
        <v>94</v>
      </c>
      <c r="I201" s="39">
        <v>53</v>
      </c>
      <c r="J201" s="39">
        <v>32</v>
      </c>
      <c r="K201" s="39"/>
      <c r="L201" s="39">
        <f t="shared" si="0"/>
        <v>85</v>
      </c>
      <c r="M201" s="117">
        <v>46152</v>
      </c>
      <c r="N201" s="117">
        <v>46157</v>
      </c>
      <c r="O201" s="39"/>
      <c r="P201" s="39"/>
      <c r="Q201" s="39"/>
      <c r="R201" s="39">
        <f t="shared" si="1"/>
        <v>0</v>
      </c>
      <c r="S201" s="39" t="s">
        <v>590</v>
      </c>
      <c r="T201" s="39"/>
      <c r="U201" s="39"/>
      <c r="V201" s="117">
        <v>46151</v>
      </c>
      <c r="W201" s="39">
        <f>69+37</f>
        <v>106</v>
      </c>
      <c r="X201" s="117" t="s">
        <v>1365</v>
      </c>
      <c r="Y201" s="39">
        <v>60</v>
      </c>
      <c r="Z201" s="39">
        <v>34</v>
      </c>
      <c r="AA201" s="39"/>
      <c r="AB201" s="119">
        <f t="shared" si="2"/>
        <v>94</v>
      </c>
      <c r="AC201" s="39" t="s">
        <v>139</v>
      </c>
      <c r="AD201" s="117">
        <v>46200</v>
      </c>
      <c r="AE201" s="39">
        <v>55</v>
      </c>
      <c r="AF201" s="117">
        <v>46217</v>
      </c>
      <c r="AG201" s="39">
        <v>54</v>
      </c>
      <c r="AH201" s="39">
        <f t="shared" si="174"/>
        <v>-1</v>
      </c>
      <c r="AI201" s="39"/>
      <c r="AJ201" s="39"/>
      <c r="AK201" s="39"/>
      <c r="AL201" s="39"/>
      <c r="AM201" s="39"/>
      <c r="AN201" s="39">
        <f t="shared" si="175"/>
        <v>0</v>
      </c>
      <c r="AO201" s="39" t="s">
        <v>280</v>
      </c>
      <c r="AP201" s="117">
        <v>46191</v>
      </c>
      <c r="AQ201" s="39">
        <v>61</v>
      </c>
      <c r="AR201" s="117">
        <v>46195</v>
      </c>
      <c r="AS201" s="39">
        <v>60</v>
      </c>
      <c r="AT201" s="39">
        <f t="shared" si="176"/>
        <v>-1</v>
      </c>
      <c r="AU201" s="39"/>
      <c r="AV201" s="39"/>
      <c r="AW201" s="39"/>
      <c r="AX201" s="39"/>
      <c r="AY201" s="39"/>
      <c r="AZ201" s="39">
        <f t="shared" si="177"/>
        <v>0</v>
      </c>
      <c r="BA201" s="39"/>
      <c r="BB201" s="39"/>
      <c r="BC201" s="39"/>
      <c r="BD201" s="39"/>
      <c r="BE201" s="39"/>
      <c r="BF201" s="39">
        <f t="shared" si="178"/>
        <v>0</v>
      </c>
      <c r="BG201" s="39"/>
      <c r="BH201" s="39"/>
      <c r="BI201" s="39"/>
      <c r="BJ201" s="39"/>
      <c r="BK201" s="39"/>
      <c r="BL201" s="39">
        <f t="shared" si="179"/>
        <v>0</v>
      </c>
      <c r="BM201" s="54" t="str">
        <f t="shared" si="180"/>
        <v/>
      </c>
      <c r="BN201" s="66">
        <v>46160</v>
      </c>
      <c r="BO201" s="57">
        <v>46183</v>
      </c>
      <c r="BP201" s="57">
        <v>46185</v>
      </c>
      <c r="BQ201" s="57">
        <v>46191</v>
      </c>
      <c r="BR201" s="230"/>
      <c r="BS201" s="230"/>
      <c r="BT201" s="39">
        <v>2234</v>
      </c>
      <c r="BU201" s="39">
        <v>53</v>
      </c>
      <c r="BV201" s="39">
        <v>1779</v>
      </c>
      <c r="BW201" s="39">
        <v>34</v>
      </c>
      <c r="BX201" s="39"/>
      <c r="BY201" s="39"/>
      <c r="BZ201" s="39">
        <f t="shared" si="181"/>
        <v>87</v>
      </c>
      <c r="CA201" s="39">
        <f t="shared" si="182"/>
        <v>0</v>
      </c>
      <c r="CB201" s="39">
        <f t="shared" si="183"/>
        <v>2</v>
      </c>
      <c r="CC201" s="39">
        <f t="shared" si="184"/>
        <v>0</v>
      </c>
      <c r="CD201" s="39">
        <f t="shared" si="186"/>
        <v>0</v>
      </c>
      <c r="CE201" s="47">
        <f t="shared" si="185"/>
        <v>0</v>
      </c>
      <c r="CF201" s="36" t="s">
        <v>248</v>
      </c>
      <c r="CG201" s="39" t="s">
        <v>298</v>
      </c>
      <c r="CH201" s="39"/>
      <c r="CI201" s="25">
        <v>2</v>
      </c>
    </row>
    <row r="202" spans="1:87" ht="24.75" customHeight="1">
      <c r="A202" s="36" t="s">
        <v>50</v>
      </c>
      <c r="B202" s="104">
        <v>47526</v>
      </c>
      <c r="C202" s="227">
        <v>13235162</v>
      </c>
      <c r="D202" s="36"/>
      <c r="E202" s="39">
        <v>200</v>
      </c>
      <c r="F202" s="39" t="s">
        <v>56</v>
      </c>
      <c r="G202" s="36" t="s">
        <v>93</v>
      </c>
      <c r="H202" s="39" t="s">
        <v>217</v>
      </c>
      <c r="I202" s="39">
        <v>237</v>
      </c>
      <c r="J202" s="39"/>
      <c r="K202" s="39"/>
      <c r="L202" s="39">
        <f t="shared" si="0"/>
        <v>237</v>
      </c>
      <c r="M202" s="117">
        <v>46149</v>
      </c>
      <c r="N202" s="117">
        <v>46162</v>
      </c>
      <c r="O202" s="39"/>
      <c r="P202" s="39"/>
      <c r="Q202" s="39"/>
      <c r="R202" s="39">
        <f t="shared" si="1"/>
        <v>0</v>
      </c>
      <c r="S202" s="39" t="s">
        <v>130</v>
      </c>
      <c r="T202" s="39">
        <v>107271</v>
      </c>
      <c r="U202" s="117">
        <v>46205</v>
      </c>
      <c r="V202" s="39"/>
      <c r="W202" s="39"/>
      <c r="X202" s="39"/>
      <c r="Y202" s="39">
        <v>268</v>
      </c>
      <c r="Z202" s="39"/>
      <c r="AA202" s="39"/>
      <c r="AB202" s="119">
        <f t="shared" si="2"/>
        <v>268</v>
      </c>
      <c r="AC202" s="39"/>
      <c r="AD202" s="39"/>
      <c r="AE202" s="39"/>
      <c r="AF202" s="39"/>
      <c r="AG202" s="39"/>
      <c r="AH202" s="39">
        <f t="shared" si="174"/>
        <v>0</v>
      </c>
      <c r="AI202" s="39"/>
      <c r="AJ202" s="39"/>
      <c r="AK202" s="39"/>
      <c r="AL202" s="39"/>
      <c r="AM202" s="39"/>
      <c r="AN202" s="39">
        <f t="shared" si="175"/>
        <v>0</v>
      </c>
      <c r="AO202" s="39"/>
      <c r="AP202" s="39"/>
      <c r="AQ202" s="39"/>
      <c r="AR202" s="39"/>
      <c r="AS202" s="39"/>
      <c r="AT202" s="39">
        <f t="shared" si="176"/>
        <v>0</v>
      </c>
      <c r="AU202" s="39"/>
      <c r="AV202" s="39"/>
      <c r="AW202" s="39"/>
      <c r="AX202" s="39"/>
      <c r="AY202" s="39"/>
      <c r="AZ202" s="39">
        <f t="shared" si="177"/>
        <v>0</v>
      </c>
      <c r="BA202" s="39"/>
      <c r="BB202" s="39"/>
      <c r="BC202" s="39"/>
      <c r="BD202" s="39"/>
      <c r="BE202" s="39"/>
      <c r="BF202" s="39">
        <f t="shared" si="178"/>
        <v>0</v>
      </c>
      <c r="BG202" s="39"/>
      <c r="BH202" s="39"/>
      <c r="BI202" s="39"/>
      <c r="BJ202" s="39"/>
      <c r="BK202" s="39"/>
      <c r="BL202" s="39">
        <f t="shared" si="179"/>
        <v>0</v>
      </c>
      <c r="BM202" s="54" t="str">
        <f t="shared" si="180"/>
        <v/>
      </c>
      <c r="BN202" s="59">
        <v>46163</v>
      </c>
      <c r="BO202" s="57">
        <v>46179</v>
      </c>
      <c r="BP202" s="57"/>
      <c r="BQ202" s="57"/>
      <c r="BR202" s="229">
        <v>46204</v>
      </c>
      <c r="BS202" s="229">
        <v>46211</v>
      </c>
      <c r="BT202" s="39">
        <v>1568</v>
      </c>
      <c r="BU202" s="39">
        <v>244</v>
      </c>
      <c r="BV202" s="39"/>
      <c r="BW202" s="39"/>
      <c r="BX202" s="39"/>
      <c r="BY202" s="39"/>
      <c r="BZ202" s="39">
        <f t="shared" si="181"/>
        <v>244</v>
      </c>
      <c r="CA202" s="39">
        <f t="shared" si="182"/>
        <v>7</v>
      </c>
      <c r="CB202" s="39">
        <f t="shared" si="183"/>
        <v>0</v>
      </c>
      <c r="CC202" s="39">
        <f t="shared" si="184"/>
        <v>0</v>
      </c>
      <c r="CD202" s="39">
        <f t="shared" si="186"/>
        <v>0</v>
      </c>
      <c r="CE202" s="47">
        <f t="shared" si="185"/>
        <v>0</v>
      </c>
      <c r="CF202" s="36"/>
      <c r="CG202" s="39" t="s">
        <v>258</v>
      </c>
      <c r="CH202" s="39"/>
      <c r="CI202" s="25">
        <v>2</v>
      </c>
    </row>
    <row r="203" spans="1:87" ht="24.75" customHeight="1">
      <c r="A203" s="36" t="s">
        <v>50</v>
      </c>
      <c r="B203" s="104">
        <v>47526</v>
      </c>
      <c r="C203" s="231"/>
      <c r="D203" s="36" t="s">
        <v>24</v>
      </c>
      <c r="E203" s="39">
        <v>200</v>
      </c>
      <c r="F203" s="39" t="s">
        <v>56</v>
      </c>
      <c r="G203" s="36" t="s">
        <v>614</v>
      </c>
      <c r="H203" s="39" t="s">
        <v>217</v>
      </c>
      <c r="I203" s="39">
        <v>211</v>
      </c>
      <c r="J203" s="39"/>
      <c r="K203" s="39"/>
      <c r="L203" s="39">
        <f t="shared" si="0"/>
        <v>211</v>
      </c>
      <c r="M203" s="117">
        <v>46149</v>
      </c>
      <c r="N203" s="117">
        <v>46162</v>
      </c>
      <c r="O203" s="39"/>
      <c r="P203" s="39"/>
      <c r="Q203" s="39"/>
      <c r="R203" s="39">
        <f t="shared" si="1"/>
        <v>0</v>
      </c>
      <c r="S203" s="39" t="s">
        <v>130</v>
      </c>
      <c r="T203" s="39">
        <v>107231</v>
      </c>
      <c r="U203" s="117">
        <v>46202</v>
      </c>
      <c r="V203" s="39"/>
      <c r="W203" s="39"/>
      <c r="X203" s="39"/>
      <c r="Y203" s="39">
        <v>226</v>
      </c>
      <c r="Z203" s="39"/>
      <c r="AA203" s="39"/>
      <c r="AB203" s="119">
        <f t="shared" si="2"/>
        <v>226</v>
      </c>
      <c r="AC203" s="39"/>
      <c r="AD203" s="39"/>
      <c r="AE203" s="39"/>
      <c r="AF203" s="39"/>
      <c r="AG203" s="39"/>
      <c r="AH203" s="39">
        <f t="shared" si="174"/>
        <v>0</v>
      </c>
      <c r="AI203" s="39"/>
      <c r="AJ203" s="39"/>
      <c r="AK203" s="39"/>
      <c r="AL203" s="39"/>
      <c r="AM203" s="39"/>
      <c r="AN203" s="39">
        <f t="shared" si="175"/>
        <v>0</v>
      </c>
      <c r="AO203" s="39"/>
      <c r="AP203" s="39"/>
      <c r="AQ203" s="39"/>
      <c r="AR203" s="39"/>
      <c r="AS203" s="39"/>
      <c r="AT203" s="39">
        <f t="shared" si="176"/>
        <v>0</v>
      </c>
      <c r="AU203" s="39"/>
      <c r="AV203" s="39"/>
      <c r="AW203" s="39"/>
      <c r="AX203" s="39"/>
      <c r="AY203" s="39"/>
      <c r="AZ203" s="39">
        <f t="shared" si="177"/>
        <v>0</v>
      </c>
      <c r="BA203" s="39"/>
      <c r="BB203" s="39"/>
      <c r="BC203" s="39"/>
      <c r="BD203" s="39"/>
      <c r="BE203" s="39"/>
      <c r="BF203" s="39">
        <f t="shared" si="178"/>
        <v>0</v>
      </c>
      <c r="BG203" s="39"/>
      <c r="BH203" s="39"/>
      <c r="BI203" s="39"/>
      <c r="BJ203" s="39"/>
      <c r="BK203" s="39"/>
      <c r="BL203" s="39">
        <f t="shared" si="179"/>
        <v>0</v>
      </c>
      <c r="BM203" s="54" t="str">
        <f t="shared" si="180"/>
        <v/>
      </c>
      <c r="BN203" s="59">
        <v>46163</v>
      </c>
      <c r="BO203" s="57">
        <v>46179</v>
      </c>
      <c r="BP203" s="57"/>
      <c r="BQ203" s="57"/>
      <c r="BR203" s="232"/>
      <c r="BS203" s="232"/>
      <c r="BT203" s="39">
        <v>2003</v>
      </c>
      <c r="BU203" s="39">
        <f>208</f>
        <v>208</v>
      </c>
      <c r="BV203" s="39"/>
      <c r="BW203" s="39"/>
      <c r="BX203" s="39"/>
      <c r="BY203" s="39"/>
      <c r="BZ203" s="39">
        <f t="shared" si="181"/>
        <v>208</v>
      </c>
      <c r="CA203" s="39">
        <f t="shared" si="182"/>
        <v>-3</v>
      </c>
      <c r="CB203" s="39">
        <f t="shared" si="183"/>
        <v>0</v>
      </c>
      <c r="CC203" s="39">
        <f t="shared" si="184"/>
        <v>0</v>
      </c>
      <c r="CD203" s="39">
        <v>0</v>
      </c>
      <c r="CE203" s="47">
        <f t="shared" si="185"/>
        <v>0</v>
      </c>
      <c r="CF203" s="36"/>
      <c r="CG203" s="39" t="s">
        <v>258</v>
      </c>
      <c r="CH203" s="39"/>
      <c r="CI203" s="25">
        <v>2</v>
      </c>
    </row>
    <row r="204" spans="1:87" ht="24.75" customHeight="1">
      <c r="A204" s="36" t="s">
        <v>50</v>
      </c>
      <c r="B204" s="104">
        <v>47526</v>
      </c>
      <c r="C204" s="231"/>
      <c r="D204" s="36"/>
      <c r="E204" s="39">
        <v>200</v>
      </c>
      <c r="F204" s="39" t="s">
        <v>56</v>
      </c>
      <c r="G204" s="36" t="s">
        <v>605</v>
      </c>
      <c r="H204" s="39" t="s">
        <v>217</v>
      </c>
      <c r="I204" s="39">
        <v>237</v>
      </c>
      <c r="J204" s="39"/>
      <c r="K204" s="39"/>
      <c r="L204" s="39">
        <f t="shared" si="0"/>
        <v>237</v>
      </c>
      <c r="M204" s="117">
        <v>46149</v>
      </c>
      <c r="N204" s="117">
        <v>46162</v>
      </c>
      <c r="O204" s="39"/>
      <c r="P204" s="39"/>
      <c r="Q204" s="39"/>
      <c r="R204" s="39">
        <f t="shared" si="1"/>
        <v>0</v>
      </c>
      <c r="S204" s="39" t="s">
        <v>130</v>
      </c>
      <c r="T204" s="39">
        <v>107338</v>
      </c>
      <c r="U204" s="117">
        <v>46209</v>
      </c>
      <c r="V204" s="39"/>
      <c r="W204" s="39"/>
      <c r="X204" s="39"/>
      <c r="Y204" s="39">
        <v>270</v>
      </c>
      <c r="Z204" s="39"/>
      <c r="AA204" s="39"/>
      <c r="AB204" s="119">
        <f t="shared" si="2"/>
        <v>270</v>
      </c>
      <c r="AC204" s="39"/>
      <c r="AD204" s="39"/>
      <c r="AE204" s="39"/>
      <c r="AF204" s="39"/>
      <c r="AG204" s="39"/>
      <c r="AH204" s="39">
        <f t="shared" si="174"/>
        <v>0</v>
      </c>
      <c r="AI204" s="39"/>
      <c r="AJ204" s="39"/>
      <c r="AK204" s="39"/>
      <c r="AL204" s="39"/>
      <c r="AM204" s="39"/>
      <c r="AN204" s="39">
        <f t="shared" si="175"/>
        <v>0</v>
      </c>
      <c r="AO204" s="39"/>
      <c r="AP204" s="39"/>
      <c r="AQ204" s="39"/>
      <c r="AR204" s="39"/>
      <c r="AS204" s="39"/>
      <c r="AT204" s="39">
        <f t="shared" si="176"/>
        <v>0</v>
      </c>
      <c r="AU204" s="39"/>
      <c r="AV204" s="39"/>
      <c r="AW204" s="39"/>
      <c r="AX204" s="39"/>
      <c r="AY204" s="39"/>
      <c r="AZ204" s="39">
        <f t="shared" si="177"/>
        <v>0</v>
      </c>
      <c r="BA204" s="39"/>
      <c r="BB204" s="39"/>
      <c r="BC204" s="39"/>
      <c r="BD204" s="39"/>
      <c r="BE204" s="39"/>
      <c r="BF204" s="39">
        <f t="shared" si="178"/>
        <v>0</v>
      </c>
      <c r="BG204" s="39"/>
      <c r="BH204" s="39"/>
      <c r="BI204" s="39"/>
      <c r="BJ204" s="39"/>
      <c r="BK204" s="39"/>
      <c r="BL204" s="39">
        <f t="shared" si="179"/>
        <v>0</v>
      </c>
      <c r="BM204" s="54" t="str">
        <f t="shared" si="180"/>
        <v/>
      </c>
      <c r="BN204" s="59">
        <v>46163</v>
      </c>
      <c r="BO204" s="57">
        <v>46179</v>
      </c>
      <c r="BP204" s="57"/>
      <c r="BQ204" s="57"/>
      <c r="BR204" s="232"/>
      <c r="BS204" s="232"/>
      <c r="BT204" s="39">
        <v>1585</v>
      </c>
      <c r="BU204" s="39">
        <v>251</v>
      </c>
      <c r="BV204" s="39"/>
      <c r="BW204" s="39"/>
      <c r="BX204" s="39"/>
      <c r="BY204" s="39"/>
      <c r="BZ204" s="39">
        <f t="shared" si="181"/>
        <v>251</v>
      </c>
      <c r="CA204" s="39">
        <f t="shared" si="182"/>
        <v>14</v>
      </c>
      <c r="CB204" s="39">
        <f t="shared" si="183"/>
        <v>0</v>
      </c>
      <c r="CC204" s="39">
        <f t="shared" si="184"/>
        <v>0</v>
      </c>
      <c r="CD204" s="39">
        <f t="shared" si="186"/>
        <v>0</v>
      </c>
      <c r="CE204" s="47">
        <f t="shared" si="185"/>
        <v>0</v>
      </c>
      <c r="CF204" s="36"/>
      <c r="CG204" s="39" t="s">
        <v>258</v>
      </c>
      <c r="CH204" s="39"/>
      <c r="CI204" s="25">
        <v>2</v>
      </c>
    </row>
    <row r="205" spans="1:87" ht="24.75" customHeight="1">
      <c r="A205" s="36" t="s">
        <v>50</v>
      </c>
      <c r="B205" s="104">
        <v>47526</v>
      </c>
      <c r="C205" s="231"/>
      <c r="D205" s="36" t="s">
        <v>37</v>
      </c>
      <c r="E205" s="39">
        <v>200</v>
      </c>
      <c r="F205" s="39" t="s">
        <v>56</v>
      </c>
      <c r="G205" s="36" t="s">
        <v>615</v>
      </c>
      <c r="H205" s="39" t="s">
        <v>217</v>
      </c>
      <c r="I205" s="39">
        <v>237</v>
      </c>
      <c r="J205" s="39"/>
      <c r="K205" s="39"/>
      <c r="L205" s="39">
        <f t="shared" si="0"/>
        <v>237</v>
      </c>
      <c r="M205" s="117">
        <v>46149</v>
      </c>
      <c r="N205" s="117">
        <v>46162</v>
      </c>
      <c r="O205" s="39"/>
      <c r="P205" s="39"/>
      <c r="Q205" s="39"/>
      <c r="R205" s="39">
        <f t="shared" si="1"/>
        <v>0</v>
      </c>
      <c r="S205" s="39" t="s">
        <v>130</v>
      </c>
      <c r="T205" s="39">
        <v>107343</v>
      </c>
      <c r="U205" s="117">
        <v>46201</v>
      </c>
      <c r="V205" s="39"/>
      <c r="W205" s="39"/>
      <c r="X205" s="39"/>
      <c r="Y205" s="39">
        <v>269</v>
      </c>
      <c r="Z205" s="39"/>
      <c r="AA205" s="39"/>
      <c r="AB205" s="119">
        <f t="shared" si="2"/>
        <v>269</v>
      </c>
      <c r="AC205" s="39" t="s">
        <v>139</v>
      </c>
      <c r="AD205" s="117">
        <v>46203</v>
      </c>
      <c r="AE205" s="39">
        <v>243</v>
      </c>
      <c r="AF205" s="117">
        <v>46210</v>
      </c>
      <c r="AG205" s="39">
        <v>238</v>
      </c>
      <c r="AH205" s="39">
        <f t="shared" si="174"/>
        <v>-5</v>
      </c>
      <c r="AI205" s="39"/>
      <c r="AJ205" s="39"/>
      <c r="AK205" s="39"/>
      <c r="AL205" s="39"/>
      <c r="AM205" s="39"/>
      <c r="AN205" s="39">
        <f t="shared" si="175"/>
        <v>0</v>
      </c>
      <c r="AO205" s="39"/>
      <c r="AP205" s="39"/>
      <c r="AQ205" s="39"/>
      <c r="AR205" s="39"/>
      <c r="AS205" s="39"/>
      <c r="AT205" s="39">
        <f t="shared" si="176"/>
        <v>0</v>
      </c>
      <c r="AU205" s="39"/>
      <c r="AV205" s="39"/>
      <c r="AW205" s="39"/>
      <c r="AX205" s="39"/>
      <c r="AY205" s="39"/>
      <c r="AZ205" s="39">
        <f t="shared" si="177"/>
        <v>0</v>
      </c>
      <c r="BA205" s="39"/>
      <c r="BB205" s="39"/>
      <c r="BC205" s="39"/>
      <c r="BD205" s="39"/>
      <c r="BE205" s="39"/>
      <c r="BF205" s="39">
        <f t="shared" si="178"/>
        <v>0</v>
      </c>
      <c r="BG205" s="39"/>
      <c r="BH205" s="39"/>
      <c r="BI205" s="39"/>
      <c r="BJ205" s="39"/>
      <c r="BK205" s="39"/>
      <c r="BL205" s="39">
        <f t="shared" si="179"/>
        <v>0</v>
      </c>
      <c r="BM205" s="54" t="str">
        <f t="shared" si="180"/>
        <v/>
      </c>
      <c r="BN205" s="59">
        <v>46163</v>
      </c>
      <c r="BO205" s="57">
        <v>46179</v>
      </c>
      <c r="BP205" s="57">
        <v>46188</v>
      </c>
      <c r="BQ205" s="57">
        <v>46193</v>
      </c>
      <c r="BR205" s="232"/>
      <c r="BS205" s="232"/>
      <c r="BT205" s="39">
        <v>2226</v>
      </c>
      <c r="BU205" s="39">
        <v>237</v>
      </c>
      <c r="BV205" s="39"/>
      <c r="BW205" s="39"/>
      <c r="BX205" s="39"/>
      <c r="BY205" s="39"/>
      <c r="BZ205" s="39">
        <f t="shared" si="181"/>
        <v>237</v>
      </c>
      <c r="CA205" s="39">
        <f t="shared" si="182"/>
        <v>0</v>
      </c>
      <c r="CB205" s="39">
        <f t="shared" si="183"/>
        <v>0</v>
      </c>
      <c r="CC205" s="39">
        <f t="shared" si="184"/>
        <v>0</v>
      </c>
      <c r="CD205" s="39">
        <f t="shared" si="186"/>
        <v>0</v>
      </c>
      <c r="CE205" s="47">
        <f t="shared" si="185"/>
        <v>0</v>
      </c>
      <c r="CF205" s="36"/>
      <c r="CG205" s="39" t="s">
        <v>258</v>
      </c>
      <c r="CH205" s="39"/>
      <c r="CI205" s="25">
        <v>2</v>
      </c>
    </row>
    <row r="206" spans="1:87" ht="24.75" customHeight="1">
      <c r="A206" s="36" t="s">
        <v>50</v>
      </c>
      <c r="B206" s="104">
        <v>47526</v>
      </c>
      <c r="C206" s="228"/>
      <c r="D206" s="36" t="s">
        <v>24</v>
      </c>
      <c r="E206" s="39">
        <v>200</v>
      </c>
      <c r="F206" s="39" t="s">
        <v>56</v>
      </c>
      <c r="G206" s="36" t="s">
        <v>616</v>
      </c>
      <c r="H206" s="39" t="s">
        <v>217</v>
      </c>
      <c r="I206" s="39">
        <v>211</v>
      </c>
      <c r="J206" s="39"/>
      <c r="K206" s="39"/>
      <c r="L206" s="39">
        <f t="shared" si="0"/>
        <v>211</v>
      </c>
      <c r="M206" s="117">
        <v>46149</v>
      </c>
      <c r="N206" s="117">
        <v>46162</v>
      </c>
      <c r="O206" s="39"/>
      <c r="P206" s="39"/>
      <c r="Q206" s="39"/>
      <c r="R206" s="39">
        <f t="shared" si="1"/>
        <v>0</v>
      </c>
      <c r="S206" s="39" t="s">
        <v>130</v>
      </c>
      <c r="T206" s="39">
        <v>107471</v>
      </c>
      <c r="U206" s="117">
        <v>46206</v>
      </c>
      <c r="V206" s="39"/>
      <c r="W206" s="39"/>
      <c r="X206" s="39"/>
      <c r="Y206" s="39">
        <v>225</v>
      </c>
      <c r="Z206" s="39"/>
      <c r="AA206" s="39"/>
      <c r="AB206" s="119">
        <f t="shared" si="2"/>
        <v>225</v>
      </c>
      <c r="AC206" s="39"/>
      <c r="AD206" s="39"/>
      <c r="AE206" s="39"/>
      <c r="AF206" s="39"/>
      <c r="AG206" s="39"/>
      <c r="AH206" s="39">
        <f t="shared" si="174"/>
        <v>0</v>
      </c>
      <c r="AI206" s="39"/>
      <c r="AJ206" s="39"/>
      <c r="AK206" s="39"/>
      <c r="AL206" s="39"/>
      <c r="AM206" s="39"/>
      <c r="AN206" s="39">
        <f t="shared" si="175"/>
        <v>0</v>
      </c>
      <c r="AO206" s="39"/>
      <c r="AP206" s="39"/>
      <c r="AQ206" s="39"/>
      <c r="AR206" s="39"/>
      <c r="AS206" s="39"/>
      <c r="AT206" s="39">
        <f t="shared" si="176"/>
        <v>0</v>
      </c>
      <c r="AU206" s="39"/>
      <c r="AV206" s="39"/>
      <c r="AW206" s="39"/>
      <c r="AX206" s="39"/>
      <c r="AY206" s="39"/>
      <c r="AZ206" s="39">
        <f t="shared" si="177"/>
        <v>0</v>
      </c>
      <c r="BA206" s="39"/>
      <c r="BB206" s="39"/>
      <c r="BC206" s="39"/>
      <c r="BD206" s="39"/>
      <c r="BE206" s="39"/>
      <c r="BF206" s="39">
        <f t="shared" si="178"/>
        <v>0</v>
      </c>
      <c r="BG206" s="39"/>
      <c r="BH206" s="39"/>
      <c r="BI206" s="39"/>
      <c r="BJ206" s="39"/>
      <c r="BK206" s="39"/>
      <c r="BL206" s="39">
        <f t="shared" si="179"/>
        <v>0</v>
      </c>
      <c r="BM206" s="54" t="str">
        <f t="shared" si="180"/>
        <v/>
      </c>
      <c r="BN206" s="59">
        <v>46163</v>
      </c>
      <c r="BO206" s="57">
        <v>46179</v>
      </c>
      <c r="BP206" s="57"/>
      <c r="BQ206" s="57"/>
      <c r="BR206" s="230"/>
      <c r="BS206" s="230"/>
      <c r="BT206" s="39">
        <v>1568</v>
      </c>
      <c r="BU206" s="39">
        <v>211</v>
      </c>
      <c r="BV206" s="39"/>
      <c r="BW206" s="39"/>
      <c r="BX206" s="39"/>
      <c r="BY206" s="39"/>
      <c r="BZ206" s="39">
        <f t="shared" si="181"/>
        <v>211</v>
      </c>
      <c r="CA206" s="39">
        <f t="shared" si="182"/>
        <v>0</v>
      </c>
      <c r="CB206" s="39">
        <f t="shared" si="183"/>
        <v>0</v>
      </c>
      <c r="CC206" s="39">
        <f t="shared" si="184"/>
        <v>0</v>
      </c>
      <c r="CD206" s="39">
        <f t="shared" si="186"/>
        <v>0</v>
      </c>
      <c r="CE206" s="47">
        <f t="shared" si="185"/>
        <v>0</v>
      </c>
      <c r="CF206" s="36"/>
      <c r="CG206" s="39" t="s">
        <v>258</v>
      </c>
      <c r="CH206" s="39"/>
      <c r="CI206" s="25">
        <v>2</v>
      </c>
    </row>
    <row r="207" spans="1:87" ht="33.75" customHeight="1">
      <c r="A207" s="36" t="s">
        <v>50</v>
      </c>
      <c r="B207" s="26">
        <v>47683</v>
      </c>
      <c r="C207" s="36">
        <v>13262445</v>
      </c>
      <c r="D207" s="36"/>
      <c r="E207" s="39">
        <v>180</v>
      </c>
      <c r="F207" s="39" t="s">
        <v>54</v>
      </c>
      <c r="G207" s="36" t="s">
        <v>125</v>
      </c>
      <c r="H207" s="36" t="s">
        <v>22</v>
      </c>
      <c r="I207" s="39">
        <v>120</v>
      </c>
      <c r="J207" s="39">
        <v>6</v>
      </c>
      <c r="K207" s="39"/>
      <c r="L207" s="39">
        <f t="shared" si="0"/>
        <v>126</v>
      </c>
      <c r="M207" s="117">
        <v>46150</v>
      </c>
      <c r="N207" s="117">
        <v>46185</v>
      </c>
      <c r="O207" s="39"/>
      <c r="P207" s="39"/>
      <c r="Q207" s="39"/>
      <c r="R207" s="39">
        <f t="shared" si="1"/>
        <v>0</v>
      </c>
      <c r="S207" s="39" t="s">
        <v>130</v>
      </c>
      <c r="T207" s="39">
        <v>107406</v>
      </c>
      <c r="U207" s="117">
        <v>46204</v>
      </c>
      <c r="V207" s="39"/>
      <c r="W207" s="39"/>
      <c r="X207" s="39"/>
      <c r="Y207" s="39">
        <v>144</v>
      </c>
      <c r="Z207" s="39">
        <v>8</v>
      </c>
      <c r="AA207" s="39"/>
      <c r="AB207" s="119">
        <f t="shared" si="2"/>
        <v>152</v>
      </c>
      <c r="AC207" s="39"/>
      <c r="AD207" s="39"/>
      <c r="AE207" s="39"/>
      <c r="AF207" s="39"/>
      <c r="AG207" s="39"/>
      <c r="AH207" s="39">
        <f t="shared" si="3"/>
        <v>0</v>
      </c>
      <c r="AI207" s="39"/>
      <c r="AJ207" s="39"/>
      <c r="AK207" s="39"/>
      <c r="AL207" s="39"/>
      <c r="AM207" s="39"/>
      <c r="AN207" s="39">
        <f t="shared" si="4"/>
        <v>0</v>
      </c>
      <c r="AO207" s="39"/>
      <c r="AP207" s="39"/>
      <c r="AQ207" s="39"/>
      <c r="AR207" s="39"/>
      <c r="AS207" s="39"/>
      <c r="AT207" s="39">
        <f t="shared" si="5"/>
        <v>0</v>
      </c>
      <c r="AU207" s="39"/>
      <c r="AV207" s="39"/>
      <c r="AW207" s="39"/>
      <c r="AX207" s="39"/>
      <c r="AY207" s="39"/>
      <c r="AZ207" s="39">
        <f t="shared" si="6"/>
        <v>0</v>
      </c>
      <c r="BA207" s="39"/>
      <c r="BB207" s="39"/>
      <c r="BC207" s="39"/>
      <c r="BD207" s="39"/>
      <c r="BE207" s="39"/>
      <c r="BF207" s="39">
        <f t="shared" si="7"/>
        <v>0</v>
      </c>
      <c r="BG207" s="39"/>
      <c r="BH207" s="39"/>
      <c r="BI207" s="39"/>
      <c r="BJ207" s="39"/>
      <c r="BK207" s="39"/>
      <c r="BL207" s="39">
        <f t="shared" si="8"/>
        <v>0</v>
      </c>
      <c r="BM207" s="54" t="str">
        <f t="shared" si="9"/>
        <v/>
      </c>
      <c r="BN207" s="66">
        <v>46189</v>
      </c>
      <c r="BO207" s="57">
        <v>46203</v>
      </c>
      <c r="BP207" s="36"/>
      <c r="BQ207" s="36"/>
      <c r="BR207" s="50">
        <v>46207</v>
      </c>
      <c r="BS207" s="50">
        <v>46207</v>
      </c>
      <c r="BT207" s="39">
        <v>2013</v>
      </c>
      <c r="BU207" s="39">
        <v>129</v>
      </c>
      <c r="BV207" s="39">
        <v>2013</v>
      </c>
      <c r="BW207" s="39">
        <v>7</v>
      </c>
      <c r="BX207" s="39"/>
      <c r="BY207" s="39"/>
      <c r="BZ207" s="39">
        <f t="shared" si="10"/>
        <v>136</v>
      </c>
      <c r="CA207" s="39">
        <f t="shared" si="11"/>
        <v>9</v>
      </c>
      <c r="CB207" s="39">
        <f t="shared" si="12"/>
        <v>1</v>
      </c>
      <c r="CC207" s="39">
        <f t="shared" si="13"/>
        <v>0</v>
      </c>
      <c r="CD207" s="39">
        <f t="shared" si="14"/>
        <v>0</v>
      </c>
      <c r="CE207" s="102">
        <f t="shared" si="15"/>
        <v>0</v>
      </c>
      <c r="CF207" s="36" t="s">
        <v>293</v>
      </c>
      <c r="CG207" s="39" t="s">
        <v>227</v>
      </c>
      <c r="CH207" s="39"/>
      <c r="CI207" s="25">
        <v>2</v>
      </c>
    </row>
    <row r="208" spans="1:87" ht="24.75" customHeight="1">
      <c r="A208" s="36" t="s">
        <v>50</v>
      </c>
      <c r="B208" s="26">
        <v>47684</v>
      </c>
      <c r="C208" s="227" t="s">
        <v>711</v>
      </c>
      <c r="D208" s="36"/>
      <c r="E208" s="39">
        <v>200</v>
      </c>
      <c r="F208" s="39" t="s">
        <v>58</v>
      </c>
      <c r="G208" s="36" t="s">
        <v>368</v>
      </c>
      <c r="H208" s="36" t="s">
        <v>212</v>
      </c>
      <c r="I208" s="39">
        <v>182</v>
      </c>
      <c r="J208" s="39">
        <v>9</v>
      </c>
      <c r="K208" s="39"/>
      <c r="L208" s="39">
        <f t="shared" si="0"/>
        <v>191</v>
      </c>
      <c r="M208" s="117">
        <v>46157</v>
      </c>
      <c r="N208" s="117">
        <v>46164</v>
      </c>
      <c r="O208" s="39"/>
      <c r="P208" s="39"/>
      <c r="Q208" s="39"/>
      <c r="R208" s="39">
        <f t="shared" si="1"/>
        <v>0</v>
      </c>
      <c r="S208" s="39" t="s">
        <v>31</v>
      </c>
      <c r="T208" s="39"/>
      <c r="U208" s="39"/>
      <c r="V208" s="117">
        <v>46193</v>
      </c>
      <c r="W208" s="39">
        <f>218+12</f>
        <v>230</v>
      </c>
      <c r="X208" s="117" t="s">
        <v>1468</v>
      </c>
      <c r="Y208" s="39">
        <v>194</v>
      </c>
      <c r="Z208" s="39">
        <v>11</v>
      </c>
      <c r="AA208" s="39"/>
      <c r="AB208" s="119">
        <f t="shared" si="2"/>
        <v>205</v>
      </c>
      <c r="AC208" s="39"/>
      <c r="AD208" s="39"/>
      <c r="AE208" s="39"/>
      <c r="AF208" s="39"/>
      <c r="AG208" s="39"/>
      <c r="AH208" s="39">
        <f t="shared" si="3"/>
        <v>0</v>
      </c>
      <c r="AI208" s="39"/>
      <c r="AJ208" s="39"/>
      <c r="AK208" s="39"/>
      <c r="AL208" s="39"/>
      <c r="AM208" s="39"/>
      <c r="AN208" s="39">
        <f t="shared" si="4"/>
        <v>0</v>
      </c>
      <c r="AO208" s="39"/>
      <c r="AP208" s="39"/>
      <c r="AQ208" s="39"/>
      <c r="AR208" s="39"/>
      <c r="AS208" s="39"/>
      <c r="AT208" s="39">
        <f t="shared" si="5"/>
        <v>0</v>
      </c>
      <c r="AU208" s="39"/>
      <c r="AV208" s="39"/>
      <c r="AW208" s="39"/>
      <c r="AX208" s="39"/>
      <c r="AY208" s="39"/>
      <c r="AZ208" s="39">
        <f t="shared" si="6"/>
        <v>0</v>
      </c>
      <c r="BA208" s="39"/>
      <c r="BB208" s="39"/>
      <c r="BC208" s="39"/>
      <c r="BD208" s="39"/>
      <c r="BE208" s="39"/>
      <c r="BF208" s="39">
        <f t="shared" si="7"/>
        <v>0</v>
      </c>
      <c r="BG208" s="39"/>
      <c r="BH208" s="39"/>
      <c r="BI208" s="39"/>
      <c r="BJ208" s="39"/>
      <c r="BK208" s="39"/>
      <c r="BL208" s="39">
        <f t="shared" si="8"/>
        <v>0</v>
      </c>
      <c r="BM208" s="54" t="str">
        <f t="shared" si="9"/>
        <v/>
      </c>
      <c r="BN208" s="66">
        <v>46185</v>
      </c>
      <c r="BO208" s="57">
        <v>46200</v>
      </c>
      <c r="BP208" s="36"/>
      <c r="BQ208" s="36"/>
      <c r="BR208" s="229">
        <v>46210</v>
      </c>
      <c r="BS208" s="229">
        <v>46232</v>
      </c>
      <c r="BT208" s="39">
        <v>1524</v>
      </c>
      <c r="BU208" s="39">
        <v>194</v>
      </c>
      <c r="BV208" s="39">
        <v>1525</v>
      </c>
      <c r="BW208" s="39">
        <v>11</v>
      </c>
      <c r="BX208" s="39"/>
      <c r="BY208" s="39"/>
      <c r="BZ208" s="39">
        <f t="shared" si="10"/>
        <v>205</v>
      </c>
      <c r="CA208" s="39">
        <f t="shared" si="11"/>
        <v>12</v>
      </c>
      <c r="CB208" s="39">
        <f t="shared" si="12"/>
        <v>2</v>
      </c>
      <c r="CC208" s="39">
        <f t="shared" si="13"/>
        <v>0</v>
      </c>
      <c r="CD208" s="39">
        <f t="shared" si="14"/>
        <v>0</v>
      </c>
      <c r="CE208" s="102">
        <f t="shared" si="15"/>
        <v>0</v>
      </c>
      <c r="CF208" s="36" t="s">
        <v>293</v>
      </c>
      <c r="CG208" s="39" t="s">
        <v>227</v>
      </c>
      <c r="CH208" s="39"/>
      <c r="CI208" s="25">
        <v>2</v>
      </c>
    </row>
    <row r="209" spans="1:87" ht="24.75" customHeight="1">
      <c r="A209" s="36" t="s">
        <v>50</v>
      </c>
      <c r="B209" s="26">
        <v>47684</v>
      </c>
      <c r="C209" s="228"/>
      <c r="D209" s="36"/>
      <c r="E209" s="39">
        <v>200</v>
      </c>
      <c r="F209" s="39" t="s">
        <v>58</v>
      </c>
      <c r="G209" s="36" t="s">
        <v>93</v>
      </c>
      <c r="H209" s="36" t="s">
        <v>212</v>
      </c>
      <c r="I209" s="39">
        <v>182</v>
      </c>
      <c r="J209" s="39">
        <v>9</v>
      </c>
      <c r="K209" s="39"/>
      <c r="L209" s="39">
        <f t="shared" si="0"/>
        <v>191</v>
      </c>
      <c r="M209" s="117">
        <v>46157</v>
      </c>
      <c r="N209" s="117">
        <v>46164</v>
      </c>
      <c r="O209" s="39"/>
      <c r="P209" s="39"/>
      <c r="Q209" s="39"/>
      <c r="R209" s="39">
        <f t="shared" si="1"/>
        <v>0</v>
      </c>
      <c r="S209" s="39" t="s">
        <v>130</v>
      </c>
      <c r="T209" s="39">
        <v>107939</v>
      </c>
      <c r="U209" s="117">
        <v>46225</v>
      </c>
      <c r="V209" s="39"/>
      <c r="W209" s="39"/>
      <c r="X209" s="39"/>
      <c r="Y209" s="39">
        <v>214</v>
      </c>
      <c r="Z209" s="39">
        <v>13</v>
      </c>
      <c r="AA209" s="39"/>
      <c r="AB209" s="119">
        <f t="shared" si="2"/>
        <v>227</v>
      </c>
      <c r="AC209" s="39"/>
      <c r="AD209" s="39"/>
      <c r="AE209" s="39"/>
      <c r="AF209" s="39"/>
      <c r="AG209" s="39"/>
      <c r="AH209" s="39">
        <f t="shared" si="3"/>
        <v>0</v>
      </c>
      <c r="AI209" s="39"/>
      <c r="AJ209" s="39"/>
      <c r="AK209" s="39"/>
      <c r="AL209" s="39"/>
      <c r="AM209" s="39"/>
      <c r="AN209" s="39">
        <f t="shared" si="4"/>
        <v>0</v>
      </c>
      <c r="AO209" s="39"/>
      <c r="AP209" s="39"/>
      <c r="AQ209" s="39"/>
      <c r="AR209" s="39"/>
      <c r="AS209" s="39"/>
      <c r="AT209" s="39">
        <f t="shared" si="5"/>
        <v>0</v>
      </c>
      <c r="AU209" s="39"/>
      <c r="AV209" s="39"/>
      <c r="AW209" s="39"/>
      <c r="AX209" s="39"/>
      <c r="AY209" s="39"/>
      <c r="AZ209" s="39">
        <f t="shared" si="6"/>
        <v>0</v>
      </c>
      <c r="BA209" s="39"/>
      <c r="BB209" s="39"/>
      <c r="BC209" s="39"/>
      <c r="BD209" s="39"/>
      <c r="BE209" s="39"/>
      <c r="BF209" s="39">
        <f t="shared" si="7"/>
        <v>0</v>
      </c>
      <c r="BG209" s="39"/>
      <c r="BH209" s="39"/>
      <c r="BI209" s="39"/>
      <c r="BJ209" s="39"/>
      <c r="BK209" s="39"/>
      <c r="BL209" s="39">
        <f t="shared" si="8"/>
        <v>0</v>
      </c>
      <c r="BM209" s="54" t="str">
        <f t="shared" si="9"/>
        <v/>
      </c>
      <c r="BN209" s="66">
        <v>46185</v>
      </c>
      <c r="BO209" s="57">
        <v>46200</v>
      </c>
      <c r="BP209" s="36"/>
      <c r="BQ209" s="36"/>
      <c r="BR209" s="230"/>
      <c r="BS209" s="230"/>
      <c r="BT209" s="39">
        <v>1835</v>
      </c>
      <c r="BU209" s="39">
        <v>190</v>
      </c>
      <c r="BV209" s="39">
        <v>1914</v>
      </c>
      <c r="BW209" s="39">
        <v>10</v>
      </c>
      <c r="BX209" s="39"/>
      <c r="BY209" s="39"/>
      <c r="BZ209" s="39">
        <f t="shared" si="10"/>
        <v>200</v>
      </c>
      <c r="CA209" s="39">
        <f t="shared" si="11"/>
        <v>8</v>
      </c>
      <c r="CB209" s="39">
        <f t="shared" si="12"/>
        <v>1</v>
      </c>
      <c r="CC209" s="39">
        <f t="shared" si="13"/>
        <v>0</v>
      </c>
      <c r="CD209" s="39">
        <f t="shared" si="14"/>
        <v>0</v>
      </c>
      <c r="CE209" s="102">
        <f t="shared" si="15"/>
        <v>0</v>
      </c>
      <c r="CF209" s="36" t="s">
        <v>293</v>
      </c>
      <c r="CG209" s="39" t="s">
        <v>227</v>
      </c>
      <c r="CH209" s="39" t="s">
        <v>973</v>
      </c>
      <c r="CI209" s="25">
        <v>2</v>
      </c>
    </row>
    <row r="210" spans="1:87" ht="24.75" customHeight="1">
      <c r="A210" s="36" t="s">
        <v>50</v>
      </c>
      <c r="B210" s="26">
        <v>47611</v>
      </c>
      <c r="C210" s="227" t="s">
        <v>675</v>
      </c>
      <c r="D210" s="36"/>
      <c r="E210" s="39">
        <v>200</v>
      </c>
      <c r="F210" s="39" t="s">
        <v>676</v>
      </c>
      <c r="G210" s="36" t="s">
        <v>677</v>
      </c>
      <c r="H210" s="39" t="s">
        <v>555</v>
      </c>
      <c r="I210" s="39">
        <v>101</v>
      </c>
      <c r="J210" s="39"/>
      <c r="K210" s="39"/>
      <c r="L210" s="39">
        <v>0</v>
      </c>
      <c r="M210" s="117"/>
      <c r="N210" s="117"/>
      <c r="O210" s="39"/>
      <c r="P210" s="39"/>
      <c r="Q210" s="39"/>
      <c r="R210" s="39">
        <f t="shared" si="1"/>
        <v>0</v>
      </c>
      <c r="S210" s="39" t="s">
        <v>130</v>
      </c>
      <c r="T210" s="39"/>
      <c r="U210" s="39"/>
      <c r="V210" s="39"/>
      <c r="W210" s="39"/>
      <c r="X210" s="39"/>
      <c r="Y210" s="39"/>
      <c r="Z210" s="39"/>
      <c r="AA210" s="39"/>
      <c r="AB210" s="39">
        <f t="shared" si="2"/>
        <v>0</v>
      </c>
      <c r="AC210" s="39"/>
      <c r="AD210" s="39"/>
      <c r="AE210" s="39"/>
      <c r="AF210" s="39"/>
      <c r="AG210" s="39"/>
      <c r="AH210" s="39">
        <f t="shared" si="3"/>
        <v>0</v>
      </c>
      <c r="AI210" s="39"/>
      <c r="AJ210" s="39"/>
      <c r="AK210" s="39"/>
      <c r="AL210" s="39"/>
      <c r="AM210" s="39"/>
      <c r="AN210" s="39">
        <f t="shared" si="4"/>
        <v>0</v>
      </c>
      <c r="AO210" s="39"/>
      <c r="AP210" s="39"/>
      <c r="AQ210" s="39"/>
      <c r="AR210" s="39"/>
      <c r="AS210" s="39"/>
      <c r="AT210" s="39">
        <f t="shared" si="5"/>
        <v>0</v>
      </c>
      <c r="AU210" s="39"/>
      <c r="AV210" s="39"/>
      <c r="AW210" s="39"/>
      <c r="AX210" s="39"/>
      <c r="AY210" s="39"/>
      <c r="AZ210" s="39">
        <f t="shared" si="6"/>
        <v>0</v>
      </c>
      <c r="BA210" s="39"/>
      <c r="BB210" s="39"/>
      <c r="BC210" s="39"/>
      <c r="BD210" s="39"/>
      <c r="BE210" s="39"/>
      <c r="BF210" s="39">
        <f t="shared" si="7"/>
        <v>0</v>
      </c>
      <c r="BG210" s="39"/>
      <c r="BH210" s="39"/>
      <c r="BI210" s="39"/>
      <c r="BJ210" s="39"/>
      <c r="BK210" s="39"/>
      <c r="BL210" s="39">
        <f t="shared" si="8"/>
        <v>0</v>
      </c>
      <c r="BM210" s="54" t="e">
        <f t="shared" si="9"/>
        <v>#DIV/0!</v>
      </c>
      <c r="BN210" s="59"/>
      <c r="BO210" s="57"/>
      <c r="BP210" s="36"/>
      <c r="BQ210" s="36"/>
      <c r="BR210" s="229">
        <v>46200</v>
      </c>
      <c r="BS210" s="243"/>
      <c r="BT210" s="39"/>
      <c r="BU210" s="39"/>
      <c r="BV210" s="39"/>
      <c r="BW210" s="39"/>
      <c r="BX210" s="39"/>
      <c r="BY210" s="39"/>
      <c r="BZ210" s="39">
        <f t="shared" si="10"/>
        <v>0</v>
      </c>
      <c r="CA210" s="39">
        <v>0</v>
      </c>
      <c r="CB210" s="39">
        <f t="shared" si="12"/>
        <v>0</v>
      </c>
      <c r="CC210" s="39">
        <f t="shared" si="13"/>
        <v>0</v>
      </c>
      <c r="CD210" s="39">
        <f t="shared" si="14"/>
        <v>0</v>
      </c>
      <c r="CE210" s="102" t="e">
        <f t="shared" si="15"/>
        <v>#DIV/0!</v>
      </c>
      <c r="CF210" s="36" t="s">
        <v>408</v>
      </c>
      <c r="CG210" s="39" t="s">
        <v>282</v>
      </c>
      <c r="CH210" s="39"/>
      <c r="CI210" s="25">
        <v>2</v>
      </c>
    </row>
    <row r="211" spans="1:87" ht="24.75" customHeight="1">
      <c r="A211" s="36" t="s">
        <v>50</v>
      </c>
      <c r="B211" s="26">
        <v>47611</v>
      </c>
      <c r="C211" s="231"/>
      <c r="D211" s="36"/>
      <c r="E211" s="39">
        <v>120</v>
      </c>
      <c r="F211" s="39" t="s">
        <v>59</v>
      </c>
      <c r="G211" s="36" t="s">
        <v>605</v>
      </c>
      <c r="H211" s="39" t="s">
        <v>22</v>
      </c>
      <c r="I211" s="39">
        <v>70</v>
      </c>
      <c r="J211" s="39"/>
      <c r="K211" s="39"/>
      <c r="L211" s="39">
        <f t="shared" ref="L211:L221" si="187">SUM(I211:K211)</f>
        <v>70</v>
      </c>
      <c r="M211" s="117">
        <v>46179</v>
      </c>
      <c r="N211" s="117">
        <v>46185</v>
      </c>
      <c r="O211" s="39"/>
      <c r="P211" s="39"/>
      <c r="Q211" s="39"/>
      <c r="R211" s="39">
        <f t="shared" ref="R211:R218" si="188">SUM(O211:Q211)</f>
        <v>0</v>
      </c>
      <c r="S211" s="39" t="s">
        <v>130</v>
      </c>
      <c r="T211" s="39">
        <v>107195</v>
      </c>
      <c r="U211" s="117">
        <v>46199</v>
      </c>
      <c r="V211" s="39"/>
      <c r="W211" s="39"/>
      <c r="X211" s="39"/>
      <c r="Y211" s="39">
        <v>88</v>
      </c>
      <c r="Z211" s="39"/>
      <c r="AA211" s="39"/>
      <c r="AB211" s="119">
        <f t="shared" ref="AB211:AB218" si="189">SUM(Y211:AA211)</f>
        <v>88</v>
      </c>
      <c r="AC211" s="39"/>
      <c r="AD211" s="39"/>
      <c r="AE211" s="39"/>
      <c r="AF211" s="39"/>
      <c r="AG211" s="39"/>
      <c r="AH211" s="39">
        <f t="shared" si="3"/>
        <v>0</v>
      </c>
      <c r="AI211" s="39"/>
      <c r="AJ211" s="39"/>
      <c r="AK211" s="39"/>
      <c r="AL211" s="39"/>
      <c r="AM211" s="39"/>
      <c r="AN211" s="39">
        <f t="shared" si="4"/>
        <v>0</v>
      </c>
      <c r="AO211" s="39"/>
      <c r="AP211" s="39"/>
      <c r="AQ211" s="39"/>
      <c r="AR211" s="39"/>
      <c r="AS211" s="39"/>
      <c r="AT211" s="39">
        <f t="shared" si="5"/>
        <v>0</v>
      </c>
      <c r="AU211" s="39"/>
      <c r="AV211" s="39"/>
      <c r="AW211" s="39"/>
      <c r="AX211" s="39"/>
      <c r="AY211" s="39"/>
      <c r="AZ211" s="39">
        <f t="shared" si="6"/>
        <v>0</v>
      </c>
      <c r="BA211" s="39"/>
      <c r="BB211" s="39"/>
      <c r="BC211" s="39"/>
      <c r="BD211" s="39"/>
      <c r="BE211" s="39"/>
      <c r="BF211" s="39">
        <f t="shared" si="7"/>
        <v>0</v>
      </c>
      <c r="BG211" s="39"/>
      <c r="BH211" s="39"/>
      <c r="BI211" s="39"/>
      <c r="BJ211" s="39"/>
      <c r="BK211" s="39"/>
      <c r="BL211" s="39">
        <f t="shared" si="8"/>
        <v>0</v>
      </c>
      <c r="BM211" s="54" t="str">
        <f t="shared" si="9"/>
        <v/>
      </c>
      <c r="BN211" s="59">
        <v>46193</v>
      </c>
      <c r="BO211" s="57">
        <v>46201</v>
      </c>
      <c r="BP211" s="36"/>
      <c r="BQ211" s="36"/>
      <c r="BR211" s="232"/>
      <c r="BS211" s="232"/>
      <c r="BT211" s="39">
        <v>2141</v>
      </c>
      <c r="BU211" s="39">
        <v>70</v>
      </c>
      <c r="BV211" s="39"/>
      <c r="BW211" s="39"/>
      <c r="BX211" s="39"/>
      <c r="BY211" s="39"/>
      <c r="BZ211" s="39">
        <f t="shared" si="10"/>
        <v>70</v>
      </c>
      <c r="CA211" s="39">
        <f t="shared" ref="CA211:CA250" si="190">BU211-I211</f>
        <v>0</v>
      </c>
      <c r="CB211" s="39">
        <f t="shared" si="12"/>
        <v>0</v>
      </c>
      <c r="CC211" s="39">
        <f t="shared" si="13"/>
        <v>0</v>
      </c>
      <c r="CD211" s="39">
        <f t="shared" si="14"/>
        <v>0</v>
      </c>
      <c r="CE211" s="102">
        <f t="shared" si="15"/>
        <v>0</v>
      </c>
      <c r="CF211" s="36" t="s">
        <v>408</v>
      </c>
      <c r="CG211" s="39" t="s">
        <v>282</v>
      </c>
      <c r="CH211" s="39"/>
      <c r="CI211" s="25">
        <v>2</v>
      </c>
    </row>
    <row r="212" spans="1:87" ht="24.75" customHeight="1">
      <c r="A212" s="36" t="s">
        <v>50</v>
      </c>
      <c r="B212" s="26">
        <v>47611</v>
      </c>
      <c r="C212" s="231"/>
      <c r="D212" s="36"/>
      <c r="E212" s="39">
        <v>200</v>
      </c>
      <c r="F212" s="39" t="s">
        <v>676</v>
      </c>
      <c r="G212" s="36" t="s">
        <v>672</v>
      </c>
      <c r="H212" s="39" t="s">
        <v>555</v>
      </c>
      <c r="I212" s="39">
        <v>400</v>
      </c>
      <c r="J212" s="39"/>
      <c r="K212" s="39"/>
      <c r="L212" s="39">
        <v>0</v>
      </c>
      <c r="M212" s="117"/>
      <c r="N212" s="117"/>
      <c r="O212" s="39"/>
      <c r="P212" s="39"/>
      <c r="Q212" s="39"/>
      <c r="R212" s="39">
        <f t="shared" si="188"/>
        <v>0</v>
      </c>
      <c r="S212" s="39" t="s">
        <v>130</v>
      </c>
      <c r="T212" s="39"/>
      <c r="U212" s="39"/>
      <c r="V212" s="39"/>
      <c r="W212" s="39"/>
      <c r="X212" s="39"/>
      <c r="Y212" s="39"/>
      <c r="Z212" s="39"/>
      <c r="AA212" s="39"/>
      <c r="AB212" s="39">
        <f t="shared" si="189"/>
        <v>0</v>
      </c>
      <c r="AC212" s="39"/>
      <c r="AD212" s="39"/>
      <c r="AE212" s="39"/>
      <c r="AF212" s="39"/>
      <c r="AG212" s="39"/>
      <c r="AH212" s="39">
        <f t="shared" si="3"/>
        <v>0</v>
      </c>
      <c r="AI212" s="39"/>
      <c r="AJ212" s="39"/>
      <c r="AK212" s="39"/>
      <c r="AL212" s="39"/>
      <c r="AM212" s="39"/>
      <c r="AN212" s="39">
        <f t="shared" si="4"/>
        <v>0</v>
      </c>
      <c r="AO212" s="39"/>
      <c r="AP212" s="39"/>
      <c r="AQ212" s="39"/>
      <c r="AR212" s="39"/>
      <c r="AS212" s="39"/>
      <c r="AT212" s="39">
        <f t="shared" si="5"/>
        <v>0</v>
      </c>
      <c r="AU212" s="39"/>
      <c r="AV212" s="39"/>
      <c r="AW212" s="39"/>
      <c r="AX212" s="39"/>
      <c r="AY212" s="39"/>
      <c r="AZ212" s="39">
        <f t="shared" si="6"/>
        <v>0</v>
      </c>
      <c r="BA212" s="39"/>
      <c r="BB212" s="39"/>
      <c r="BC212" s="39"/>
      <c r="BD212" s="39"/>
      <c r="BE212" s="39"/>
      <c r="BF212" s="39">
        <f t="shared" si="7"/>
        <v>0</v>
      </c>
      <c r="BG212" s="39"/>
      <c r="BH212" s="39"/>
      <c r="BI212" s="39"/>
      <c r="BJ212" s="39"/>
      <c r="BK212" s="39"/>
      <c r="BL212" s="39">
        <f t="shared" si="8"/>
        <v>0</v>
      </c>
      <c r="BM212" s="54" t="e">
        <f t="shared" si="9"/>
        <v>#DIV/0!</v>
      </c>
      <c r="BN212" s="59"/>
      <c r="BO212" s="57"/>
      <c r="BP212" s="36"/>
      <c r="BQ212" s="36"/>
      <c r="BR212" s="232"/>
      <c r="BS212" s="232"/>
      <c r="BT212" s="39"/>
      <c r="BU212" s="39"/>
      <c r="BV212" s="39"/>
      <c r="BW212" s="39"/>
      <c r="BX212" s="39"/>
      <c r="BY212" s="39"/>
      <c r="BZ212" s="39">
        <f t="shared" si="10"/>
        <v>0</v>
      </c>
      <c r="CA212" s="39">
        <v>0</v>
      </c>
      <c r="CB212" s="39">
        <f t="shared" si="12"/>
        <v>0</v>
      </c>
      <c r="CC212" s="39">
        <f t="shared" si="13"/>
        <v>0</v>
      </c>
      <c r="CD212" s="39">
        <f t="shared" si="14"/>
        <v>0</v>
      </c>
      <c r="CE212" s="102" t="e">
        <f t="shared" si="15"/>
        <v>#DIV/0!</v>
      </c>
      <c r="CF212" s="36" t="s">
        <v>408</v>
      </c>
      <c r="CG212" s="39" t="s">
        <v>282</v>
      </c>
      <c r="CH212" s="39"/>
      <c r="CI212" s="25">
        <v>2</v>
      </c>
    </row>
    <row r="213" spans="1:87" ht="24.75" customHeight="1">
      <c r="A213" s="36" t="s">
        <v>50</v>
      </c>
      <c r="B213" s="26">
        <v>47611</v>
      </c>
      <c r="C213" s="231"/>
      <c r="D213" s="36"/>
      <c r="E213" s="39">
        <v>120</v>
      </c>
      <c r="F213" s="39" t="s">
        <v>59</v>
      </c>
      <c r="G213" s="36" t="s">
        <v>671</v>
      </c>
      <c r="H213" s="39" t="s">
        <v>22</v>
      </c>
      <c r="I213" s="39">
        <v>278</v>
      </c>
      <c r="J213" s="39"/>
      <c r="K213" s="39"/>
      <c r="L213" s="39">
        <f t="shared" si="187"/>
        <v>278</v>
      </c>
      <c r="M213" s="117">
        <v>46179</v>
      </c>
      <c r="N213" s="117">
        <v>46185</v>
      </c>
      <c r="O213" s="39"/>
      <c r="P213" s="39"/>
      <c r="Q213" s="39"/>
      <c r="R213" s="39">
        <f t="shared" si="188"/>
        <v>0</v>
      </c>
      <c r="S213" s="39" t="s">
        <v>130</v>
      </c>
      <c r="T213" s="39">
        <v>107200</v>
      </c>
      <c r="U213" s="117">
        <v>46200</v>
      </c>
      <c r="V213" s="39"/>
      <c r="W213" s="39"/>
      <c r="X213" s="39"/>
      <c r="Y213" s="39">
        <v>312</v>
      </c>
      <c r="Z213" s="39"/>
      <c r="AA213" s="39"/>
      <c r="AB213" s="119">
        <f t="shared" si="189"/>
        <v>312</v>
      </c>
      <c r="AC213" s="39"/>
      <c r="AD213" s="39"/>
      <c r="AE213" s="39"/>
      <c r="AF213" s="39"/>
      <c r="AG213" s="39"/>
      <c r="AH213" s="39">
        <f t="shared" si="3"/>
        <v>0</v>
      </c>
      <c r="AI213" s="39"/>
      <c r="AJ213" s="39"/>
      <c r="AK213" s="39"/>
      <c r="AL213" s="39"/>
      <c r="AM213" s="39"/>
      <c r="AN213" s="39">
        <f t="shared" si="4"/>
        <v>0</v>
      </c>
      <c r="AO213" s="39"/>
      <c r="AP213" s="39"/>
      <c r="AQ213" s="39"/>
      <c r="AR213" s="39"/>
      <c r="AS213" s="39"/>
      <c r="AT213" s="39">
        <f t="shared" si="5"/>
        <v>0</v>
      </c>
      <c r="AU213" s="39"/>
      <c r="AV213" s="39"/>
      <c r="AW213" s="39"/>
      <c r="AX213" s="39"/>
      <c r="AY213" s="39"/>
      <c r="AZ213" s="39">
        <f t="shared" si="6"/>
        <v>0</v>
      </c>
      <c r="BA213" s="39"/>
      <c r="BB213" s="39"/>
      <c r="BC213" s="39"/>
      <c r="BD213" s="39"/>
      <c r="BE213" s="39"/>
      <c r="BF213" s="39">
        <f t="shared" si="7"/>
        <v>0</v>
      </c>
      <c r="BG213" s="39"/>
      <c r="BH213" s="39"/>
      <c r="BI213" s="39"/>
      <c r="BJ213" s="39"/>
      <c r="BK213" s="39"/>
      <c r="BL213" s="39">
        <f t="shared" si="8"/>
        <v>0</v>
      </c>
      <c r="BM213" s="54" t="str">
        <f t="shared" si="9"/>
        <v/>
      </c>
      <c r="BN213" s="59">
        <v>46193</v>
      </c>
      <c r="BO213" s="57">
        <v>46201</v>
      </c>
      <c r="BP213" s="36"/>
      <c r="BQ213" s="36"/>
      <c r="BR213" s="232"/>
      <c r="BS213" s="232"/>
      <c r="BT213" s="39">
        <v>2141</v>
      </c>
      <c r="BU213" s="39">
        <v>299</v>
      </c>
      <c r="BV213" s="39"/>
      <c r="BW213" s="39"/>
      <c r="BX213" s="39"/>
      <c r="BY213" s="39"/>
      <c r="BZ213" s="39">
        <f t="shared" si="10"/>
        <v>299</v>
      </c>
      <c r="CA213" s="39">
        <f t="shared" si="190"/>
        <v>21</v>
      </c>
      <c r="CB213" s="39">
        <f t="shared" si="12"/>
        <v>0</v>
      </c>
      <c r="CC213" s="39">
        <f t="shared" si="13"/>
        <v>0</v>
      </c>
      <c r="CD213" s="39">
        <f t="shared" si="14"/>
        <v>0</v>
      </c>
      <c r="CE213" s="102">
        <f t="shared" si="15"/>
        <v>0</v>
      </c>
      <c r="CF213" s="36" t="s">
        <v>408</v>
      </c>
      <c r="CG213" s="39" t="s">
        <v>282</v>
      </c>
      <c r="CH213" s="39"/>
      <c r="CI213" s="25">
        <v>2</v>
      </c>
    </row>
    <row r="214" spans="1:87" ht="24.75" customHeight="1">
      <c r="A214" s="36" t="s">
        <v>50</v>
      </c>
      <c r="B214" s="26">
        <v>47611</v>
      </c>
      <c r="C214" s="231"/>
      <c r="D214" s="36"/>
      <c r="E214" s="39">
        <v>200</v>
      </c>
      <c r="F214" s="39" t="s">
        <v>676</v>
      </c>
      <c r="G214" s="36" t="s">
        <v>678</v>
      </c>
      <c r="H214" s="39" t="s">
        <v>555</v>
      </c>
      <c r="I214" s="39">
        <v>300</v>
      </c>
      <c r="J214" s="39"/>
      <c r="K214" s="39"/>
      <c r="L214" s="39">
        <v>0</v>
      </c>
      <c r="M214" s="117"/>
      <c r="N214" s="117"/>
      <c r="O214" s="39"/>
      <c r="P214" s="39"/>
      <c r="Q214" s="39"/>
      <c r="R214" s="39"/>
      <c r="S214" s="39" t="s">
        <v>130</v>
      </c>
      <c r="T214" s="39"/>
      <c r="U214" s="39"/>
      <c r="V214" s="39"/>
      <c r="W214" s="39"/>
      <c r="X214" s="39"/>
      <c r="Y214" s="39"/>
      <c r="Z214" s="39"/>
      <c r="AA214" s="39"/>
      <c r="AB214" s="39">
        <f t="shared" si="189"/>
        <v>0</v>
      </c>
      <c r="AC214" s="39"/>
      <c r="AD214" s="39"/>
      <c r="AE214" s="39"/>
      <c r="AF214" s="39"/>
      <c r="AG214" s="39"/>
      <c r="AH214" s="39">
        <f t="shared" si="3"/>
        <v>0</v>
      </c>
      <c r="AI214" s="39"/>
      <c r="AJ214" s="39"/>
      <c r="AK214" s="39"/>
      <c r="AL214" s="39"/>
      <c r="AM214" s="39"/>
      <c r="AN214" s="39">
        <f t="shared" si="4"/>
        <v>0</v>
      </c>
      <c r="AO214" s="39"/>
      <c r="AP214" s="39"/>
      <c r="AQ214" s="39"/>
      <c r="AR214" s="39"/>
      <c r="AS214" s="39"/>
      <c r="AT214" s="39">
        <f t="shared" si="5"/>
        <v>0</v>
      </c>
      <c r="AU214" s="39"/>
      <c r="AV214" s="39"/>
      <c r="AW214" s="39"/>
      <c r="AX214" s="39"/>
      <c r="AY214" s="39"/>
      <c r="AZ214" s="39">
        <f t="shared" si="6"/>
        <v>0</v>
      </c>
      <c r="BA214" s="39"/>
      <c r="BB214" s="39"/>
      <c r="BC214" s="39"/>
      <c r="BD214" s="39"/>
      <c r="BE214" s="39"/>
      <c r="BF214" s="39">
        <f t="shared" si="7"/>
        <v>0</v>
      </c>
      <c r="BG214" s="39"/>
      <c r="BH214" s="39"/>
      <c r="BI214" s="39"/>
      <c r="BJ214" s="39"/>
      <c r="BK214" s="39"/>
      <c r="BL214" s="39">
        <f t="shared" si="8"/>
        <v>0</v>
      </c>
      <c r="BM214" s="54" t="e">
        <f t="shared" si="9"/>
        <v>#DIV/0!</v>
      </c>
      <c r="BN214" s="59"/>
      <c r="BO214" s="57"/>
      <c r="BP214" s="36"/>
      <c r="BQ214" s="36"/>
      <c r="BR214" s="232"/>
      <c r="BS214" s="232"/>
      <c r="BT214" s="39"/>
      <c r="BU214" s="39"/>
      <c r="BV214" s="39"/>
      <c r="BW214" s="39"/>
      <c r="BX214" s="39"/>
      <c r="BY214" s="39"/>
      <c r="BZ214" s="39">
        <f t="shared" si="10"/>
        <v>0</v>
      </c>
      <c r="CA214" s="39">
        <v>0</v>
      </c>
      <c r="CB214" s="39">
        <f t="shared" si="12"/>
        <v>0</v>
      </c>
      <c r="CC214" s="39">
        <f t="shared" si="13"/>
        <v>0</v>
      </c>
      <c r="CD214" s="39">
        <f t="shared" si="14"/>
        <v>0</v>
      </c>
      <c r="CE214" s="102" t="e">
        <f t="shared" si="15"/>
        <v>#DIV/0!</v>
      </c>
      <c r="CF214" s="36" t="s">
        <v>408</v>
      </c>
      <c r="CG214" s="39" t="s">
        <v>282</v>
      </c>
      <c r="CH214" s="39"/>
      <c r="CI214" s="25">
        <v>2</v>
      </c>
    </row>
    <row r="215" spans="1:87" ht="24.75" customHeight="1">
      <c r="A215" s="36" t="s">
        <v>50</v>
      </c>
      <c r="B215" s="26">
        <v>47611</v>
      </c>
      <c r="C215" s="231"/>
      <c r="D215" s="36"/>
      <c r="E215" s="39">
        <v>120</v>
      </c>
      <c r="F215" s="39" t="s">
        <v>59</v>
      </c>
      <c r="G215" s="36" t="s">
        <v>352</v>
      </c>
      <c r="H215" s="39" t="s">
        <v>22</v>
      </c>
      <c r="I215" s="39">
        <v>208</v>
      </c>
      <c r="J215" s="39"/>
      <c r="K215" s="39"/>
      <c r="L215" s="39">
        <f t="shared" si="187"/>
        <v>208</v>
      </c>
      <c r="M215" s="117">
        <v>46179</v>
      </c>
      <c r="N215" s="117">
        <v>46185</v>
      </c>
      <c r="O215" s="39"/>
      <c r="P215" s="39"/>
      <c r="Q215" s="39"/>
      <c r="R215" s="39">
        <f t="shared" si="188"/>
        <v>0</v>
      </c>
      <c r="S215" s="39" t="s">
        <v>130</v>
      </c>
      <c r="T215" s="39">
        <v>107192</v>
      </c>
      <c r="U215" s="117">
        <v>46200</v>
      </c>
      <c r="V215" s="39"/>
      <c r="W215" s="39"/>
      <c r="X215" s="39"/>
      <c r="Y215" s="39">
        <v>236</v>
      </c>
      <c r="Z215" s="39"/>
      <c r="AA215" s="39"/>
      <c r="AB215" s="119">
        <f t="shared" si="189"/>
        <v>236</v>
      </c>
      <c r="AC215" s="39"/>
      <c r="AD215" s="39"/>
      <c r="AE215" s="39"/>
      <c r="AF215" s="39"/>
      <c r="AG215" s="39"/>
      <c r="AH215" s="39">
        <f t="shared" si="3"/>
        <v>0</v>
      </c>
      <c r="AI215" s="39"/>
      <c r="AJ215" s="39"/>
      <c r="AK215" s="39"/>
      <c r="AL215" s="39"/>
      <c r="AM215" s="39"/>
      <c r="AN215" s="39">
        <f t="shared" si="4"/>
        <v>0</v>
      </c>
      <c r="AO215" s="39"/>
      <c r="AP215" s="39"/>
      <c r="AQ215" s="39"/>
      <c r="AR215" s="39"/>
      <c r="AS215" s="39"/>
      <c r="AT215" s="39">
        <f t="shared" si="5"/>
        <v>0</v>
      </c>
      <c r="AU215" s="39"/>
      <c r="AV215" s="39"/>
      <c r="AW215" s="39"/>
      <c r="AX215" s="39"/>
      <c r="AY215" s="39"/>
      <c r="AZ215" s="39">
        <f t="shared" si="6"/>
        <v>0</v>
      </c>
      <c r="BA215" s="39"/>
      <c r="BB215" s="39"/>
      <c r="BC215" s="39"/>
      <c r="BD215" s="39"/>
      <c r="BE215" s="39"/>
      <c r="BF215" s="39">
        <f t="shared" si="7"/>
        <v>0</v>
      </c>
      <c r="BG215" s="39"/>
      <c r="BH215" s="39"/>
      <c r="BI215" s="39"/>
      <c r="BJ215" s="39"/>
      <c r="BK215" s="39"/>
      <c r="BL215" s="39">
        <f t="shared" si="8"/>
        <v>0</v>
      </c>
      <c r="BM215" s="54" t="str">
        <f t="shared" si="9"/>
        <v/>
      </c>
      <c r="BN215" s="59">
        <v>46193</v>
      </c>
      <c r="BO215" s="57">
        <v>46201</v>
      </c>
      <c r="BP215" s="36"/>
      <c r="BQ215" s="36"/>
      <c r="BR215" s="232"/>
      <c r="BS215" s="232"/>
      <c r="BT215" s="39">
        <v>2140</v>
      </c>
      <c r="BU215" s="39">
        <v>240</v>
      </c>
      <c r="BV215" s="39"/>
      <c r="BW215" s="39"/>
      <c r="BX215" s="39"/>
      <c r="BY215" s="39"/>
      <c r="BZ215" s="39">
        <f t="shared" si="10"/>
        <v>240</v>
      </c>
      <c r="CA215" s="39">
        <f t="shared" si="190"/>
        <v>32</v>
      </c>
      <c r="CB215" s="39">
        <f t="shared" si="12"/>
        <v>0</v>
      </c>
      <c r="CC215" s="39">
        <f t="shared" si="13"/>
        <v>0</v>
      </c>
      <c r="CD215" s="39">
        <f t="shared" si="14"/>
        <v>0</v>
      </c>
      <c r="CE215" s="102">
        <f t="shared" si="15"/>
        <v>0</v>
      </c>
      <c r="CF215" s="36" t="s">
        <v>408</v>
      </c>
      <c r="CG215" s="39" t="s">
        <v>282</v>
      </c>
      <c r="CH215" s="39"/>
      <c r="CI215" s="25">
        <v>2</v>
      </c>
    </row>
    <row r="216" spans="1:87" ht="24.75" customHeight="1">
      <c r="A216" s="36" t="s">
        <v>50</v>
      </c>
      <c r="B216" s="26">
        <v>47611</v>
      </c>
      <c r="C216" s="231"/>
      <c r="D216" s="36"/>
      <c r="E216" s="39">
        <v>200</v>
      </c>
      <c r="F216" s="39" t="s">
        <v>676</v>
      </c>
      <c r="G216" s="36" t="s">
        <v>607</v>
      </c>
      <c r="H216" s="39" t="s">
        <v>555</v>
      </c>
      <c r="I216" s="39">
        <v>207</v>
      </c>
      <c r="J216" s="39"/>
      <c r="K216" s="39"/>
      <c r="L216" s="39">
        <v>0</v>
      </c>
      <c r="M216" s="117"/>
      <c r="N216" s="117"/>
      <c r="O216" s="39"/>
      <c r="P216" s="39"/>
      <c r="Q216" s="39"/>
      <c r="R216" s="39"/>
      <c r="S216" s="39" t="s">
        <v>130</v>
      </c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9"/>
      <c r="AG216" s="39"/>
      <c r="AH216" s="39"/>
      <c r="AI216" s="39"/>
      <c r="AJ216" s="39"/>
      <c r="AK216" s="39"/>
      <c r="AL216" s="39"/>
      <c r="AM216" s="39"/>
      <c r="AN216" s="39"/>
      <c r="AO216" s="39"/>
      <c r="AP216" s="39"/>
      <c r="AQ216" s="39"/>
      <c r="AR216" s="39"/>
      <c r="AS216" s="39"/>
      <c r="AT216" s="39"/>
      <c r="AU216" s="39"/>
      <c r="AV216" s="39"/>
      <c r="AW216" s="39"/>
      <c r="AX216" s="39"/>
      <c r="AY216" s="39"/>
      <c r="AZ216" s="39"/>
      <c r="BA216" s="39"/>
      <c r="BB216" s="39"/>
      <c r="BC216" s="39"/>
      <c r="BD216" s="39"/>
      <c r="BE216" s="39"/>
      <c r="BF216" s="39"/>
      <c r="BG216" s="39"/>
      <c r="BH216" s="39"/>
      <c r="BI216" s="39"/>
      <c r="BJ216" s="39"/>
      <c r="BK216" s="39"/>
      <c r="BL216" s="39"/>
      <c r="BM216" s="54"/>
      <c r="BN216" s="59"/>
      <c r="BO216" s="57"/>
      <c r="BP216" s="36"/>
      <c r="BQ216" s="36"/>
      <c r="BR216" s="232"/>
      <c r="BS216" s="232"/>
      <c r="BT216" s="39"/>
      <c r="BU216" s="39"/>
      <c r="BV216" s="39"/>
      <c r="BW216" s="39"/>
      <c r="BX216" s="39"/>
      <c r="BY216" s="39"/>
      <c r="BZ216" s="39">
        <f t="shared" si="10"/>
        <v>0</v>
      </c>
      <c r="CA216" s="39">
        <v>0</v>
      </c>
      <c r="CB216" s="39">
        <f t="shared" si="12"/>
        <v>0</v>
      </c>
      <c r="CC216" s="39">
        <f t="shared" si="13"/>
        <v>0</v>
      </c>
      <c r="CD216" s="39">
        <f t="shared" si="14"/>
        <v>0</v>
      </c>
      <c r="CE216" s="102" t="e">
        <f t="shared" si="15"/>
        <v>#DIV/0!</v>
      </c>
      <c r="CF216" s="36" t="s">
        <v>408</v>
      </c>
      <c r="CG216" s="39" t="s">
        <v>282</v>
      </c>
      <c r="CH216" s="39"/>
      <c r="CI216" s="25">
        <v>2</v>
      </c>
    </row>
    <row r="217" spans="1:87" ht="24.75" customHeight="1">
      <c r="A217" s="36" t="s">
        <v>50</v>
      </c>
      <c r="B217" s="26">
        <v>47611</v>
      </c>
      <c r="C217" s="231"/>
      <c r="D217" s="36"/>
      <c r="E217" s="39">
        <v>120</v>
      </c>
      <c r="F217" s="39" t="s">
        <v>59</v>
      </c>
      <c r="G217" s="36" t="s">
        <v>604</v>
      </c>
      <c r="H217" s="39" t="s">
        <v>22</v>
      </c>
      <c r="I217" s="39">
        <v>144</v>
      </c>
      <c r="J217" s="39"/>
      <c r="K217" s="39"/>
      <c r="L217" s="39">
        <f t="shared" si="187"/>
        <v>144</v>
      </c>
      <c r="M217" s="117">
        <v>46179</v>
      </c>
      <c r="N217" s="117">
        <v>46185</v>
      </c>
      <c r="O217" s="39"/>
      <c r="P217" s="39"/>
      <c r="Q217" s="39"/>
      <c r="R217" s="39">
        <f t="shared" si="188"/>
        <v>0</v>
      </c>
      <c r="S217" s="39" t="s">
        <v>130</v>
      </c>
      <c r="T217" s="39">
        <v>107204</v>
      </c>
      <c r="U217" s="117">
        <v>46198</v>
      </c>
      <c r="V217" s="39"/>
      <c r="W217" s="39"/>
      <c r="X217" s="39"/>
      <c r="Y217" s="39">
        <v>174</v>
      </c>
      <c r="Z217" s="39"/>
      <c r="AA217" s="39"/>
      <c r="AB217" s="119">
        <f t="shared" si="189"/>
        <v>174</v>
      </c>
      <c r="AC217" s="39"/>
      <c r="AD217" s="39"/>
      <c r="AE217" s="39"/>
      <c r="AF217" s="39"/>
      <c r="AG217" s="39"/>
      <c r="AH217" s="39">
        <f t="shared" si="3"/>
        <v>0</v>
      </c>
      <c r="AI217" s="39"/>
      <c r="AJ217" s="39"/>
      <c r="AK217" s="39"/>
      <c r="AL217" s="39"/>
      <c r="AM217" s="39"/>
      <c r="AN217" s="39">
        <f t="shared" si="4"/>
        <v>0</v>
      </c>
      <c r="AO217" s="39"/>
      <c r="AP217" s="39"/>
      <c r="AQ217" s="39"/>
      <c r="AR217" s="39"/>
      <c r="AS217" s="39"/>
      <c r="AT217" s="39">
        <f t="shared" si="5"/>
        <v>0</v>
      </c>
      <c r="AU217" s="39"/>
      <c r="AV217" s="39"/>
      <c r="AW217" s="39"/>
      <c r="AX217" s="39"/>
      <c r="AY217" s="39"/>
      <c r="AZ217" s="39">
        <f t="shared" si="6"/>
        <v>0</v>
      </c>
      <c r="BA217" s="39"/>
      <c r="BB217" s="39"/>
      <c r="BC217" s="39"/>
      <c r="BD217" s="39"/>
      <c r="BE217" s="39"/>
      <c r="BF217" s="39">
        <f t="shared" si="7"/>
        <v>0</v>
      </c>
      <c r="BG217" s="39"/>
      <c r="BH217" s="39"/>
      <c r="BI217" s="39"/>
      <c r="BJ217" s="39"/>
      <c r="BK217" s="39"/>
      <c r="BL217" s="39">
        <f t="shared" si="8"/>
        <v>0</v>
      </c>
      <c r="BM217" s="54" t="str">
        <f t="shared" si="9"/>
        <v/>
      </c>
      <c r="BN217" s="59">
        <v>46193</v>
      </c>
      <c r="BO217" s="57">
        <v>46201</v>
      </c>
      <c r="BP217" s="36"/>
      <c r="BQ217" s="36"/>
      <c r="BR217" s="232"/>
      <c r="BS217" s="232"/>
      <c r="BT217" s="39">
        <v>2130</v>
      </c>
      <c r="BU217" s="39">
        <v>188</v>
      </c>
      <c r="BV217" s="39"/>
      <c r="BW217" s="39"/>
      <c r="BX217" s="39"/>
      <c r="BY217" s="39"/>
      <c r="BZ217" s="39">
        <f t="shared" si="10"/>
        <v>188</v>
      </c>
      <c r="CA217" s="39">
        <f t="shared" ref="CA217:CA233" si="191">BU217-I217</f>
        <v>44</v>
      </c>
      <c r="CB217" s="39">
        <f t="shared" si="12"/>
        <v>0</v>
      </c>
      <c r="CC217" s="39">
        <f t="shared" si="13"/>
        <v>0</v>
      </c>
      <c r="CD217" s="39">
        <f t="shared" si="14"/>
        <v>0</v>
      </c>
      <c r="CE217" s="102">
        <f t="shared" si="15"/>
        <v>0</v>
      </c>
      <c r="CF217" s="36" t="s">
        <v>408</v>
      </c>
      <c r="CG217" s="39" t="s">
        <v>282</v>
      </c>
      <c r="CH217" s="39"/>
      <c r="CI217" s="25">
        <v>2</v>
      </c>
    </row>
    <row r="218" spans="1:87" ht="24.75" customHeight="1">
      <c r="A218" s="36" t="s">
        <v>50</v>
      </c>
      <c r="B218" s="26">
        <v>47611</v>
      </c>
      <c r="C218" s="228"/>
      <c r="D218" s="36"/>
      <c r="E218" s="39"/>
      <c r="F218" s="39"/>
      <c r="G218" s="36" t="s">
        <v>750</v>
      </c>
      <c r="H218" s="39">
        <f>737+2911+2184+1505</f>
        <v>7337</v>
      </c>
      <c r="I218" s="39" t="s">
        <v>90</v>
      </c>
      <c r="J218" s="39"/>
      <c r="K218" s="39"/>
      <c r="L218" s="39">
        <f t="shared" si="187"/>
        <v>0</v>
      </c>
      <c r="M218" s="117">
        <v>46179</v>
      </c>
      <c r="N218" s="117">
        <v>46185</v>
      </c>
      <c r="O218" s="39"/>
      <c r="P218" s="39"/>
      <c r="Q218" s="39"/>
      <c r="R218" s="39">
        <f t="shared" si="188"/>
        <v>0</v>
      </c>
      <c r="S218" s="39" t="s">
        <v>130</v>
      </c>
      <c r="T218" s="39"/>
      <c r="U218" s="39"/>
      <c r="V218" s="39"/>
      <c r="W218" s="39"/>
      <c r="X218" s="39"/>
      <c r="Y218" s="39"/>
      <c r="Z218" s="39"/>
      <c r="AA218" s="39"/>
      <c r="AB218" s="39">
        <f t="shared" si="189"/>
        <v>0</v>
      </c>
      <c r="AC218" s="39"/>
      <c r="AD218" s="39"/>
      <c r="AE218" s="39"/>
      <c r="AF218" s="39"/>
      <c r="AG218" s="39"/>
      <c r="AH218" s="39">
        <f t="shared" si="3"/>
        <v>0</v>
      </c>
      <c r="AI218" s="39"/>
      <c r="AJ218" s="39"/>
      <c r="AK218" s="39"/>
      <c r="AL218" s="39"/>
      <c r="AM218" s="39"/>
      <c r="AN218" s="39">
        <f t="shared" si="4"/>
        <v>0</v>
      </c>
      <c r="AO218" s="39"/>
      <c r="AP218" s="39"/>
      <c r="AQ218" s="39"/>
      <c r="AR218" s="39"/>
      <c r="AS218" s="39"/>
      <c r="AT218" s="39">
        <f t="shared" si="5"/>
        <v>0</v>
      </c>
      <c r="AU218" s="39"/>
      <c r="AV218" s="39"/>
      <c r="AW218" s="39"/>
      <c r="AX218" s="39"/>
      <c r="AY218" s="39"/>
      <c r="AZ218" s="39">
        <f t="shared" si="6"/>
        <v>0</v>
      </c>
      <c r="BA218" s="39"/>
      <c r="BB218" s="39"/>
      <c r="BC218" s="39"/>
      <c r="BD218" s="39"/>
      <c r="BE218" s="39"/>
      <c r="BF218" s="39">
        <f t="shared" si="7"/>
        <v>0</v>
      </c>
      <c r="BG218" s="39"/>
      <c r="BH218" s="39"/>
      <c r="BI218" s="39"/>
      <c r="BJ218" s="39"/>
      <c r="BK218" s="39"/>
      <c r="BL218" s="39">
        <f t="shared" si="8"/>
        <v>0</v>
      </c>
      <c r="BM218" s="54" t="e">
        <f t="shared" si="9"/>
        <v>#DIV/0!</v>
      </c>
      <c r="BN218" s="59">
        <v>46193</v>
      </c>
      <c r="BO218" s="57">
        <v>46201</v>
      </c>
      <c r="BP218" s="36"/>
      <c r="BQ218" s="36"/>
      <c r="BR218" s="230"/>
      <c r="BS218" s="230"/>
      <c r="BT218" s="39"/>
      <c r="BU218" s="39"/>
      <c r="BV218" s="39"/>
      <c r="BW218" s="39"/>
      <c r="BX218" s="39"/>
      <c r="BY218" s="39"/>
      <c r="BZ218" s="39">
        <f t="shared" si="10"/>
        <v>0</v>
      </c>
      <c r="CA218" s="39" t="e">
        <f t="shared" si="191"/>
        <v>#VALUE!</v>
      </c>
      <c r="CB218" s="39">
        <f t="shared" si="12"/>
        <v>0</v>
      </c>
      <c r="CC218" s="39">
        <f t="shared" si="13"/>
        <v>0</v>
      </c>
      <c r="CD218" s="39">
        <f t="shared" si="14"/>
        <v>0</v>
      </c>
      <c r="CE218" s="102" t="e">
        <f t="shared" si="15"/>
        <v>#DIV/0!</v>
      </c>
      <c r="CF218" s="36" t="s">
        <v>408</v>
      </c>
      <c r="CG218" s="39" t="s">
        <v>282</v>
      </c>
      <c r="CH218" s="39"/>
      <c r="CI218" s="25">
        <v>2</v>
      </c>
    </row>
    <row r="219" spans="1:87" ht="31.5" customHeight="1">
      <c r="A219" s="36" t="s">
        <v>50</v>
      </c>
      <c r="B219" s="26">
        <v>47609</v>
      </c>
      <c r="C219" s="36">
        <v>13261606</v>
      </c>
      <c r="D219" s="36"/>
      <c r="E219" s="39">
        <v>230</v>
      </c>
      <c r="F219" s="39" t="s">
        <v>66</v>
      </c>
      <c r="G219" s="36" t="s">
        <v>605</v>
      </c>
      <c r="H219" s="39" t="s">
        <v>679</v>
      </c>
      <c r="I219" s="39">
        <v>103</v>
      </c>
      <c r="J219" s="39"/>
      <c r="K219" s="39"/>
      <c r="L219" s="39">
        <f t="shared" si="187"/>
        <v>103</v>
      </c>
      <c r="M219" s="117">
        <v>46179</v>
      </c>
      <c r="N219" s="117">
        <v>46183</v>
      </c>
      <c r="O219" s="39"/>
      <c r="P219" s="39"/>
      <c r="Q219" s="39"/>
      <c r="R219" s="39">
        <f t="shared" ref="R219:R221" si="192">SUM(O219:Q219)</f>
        <v>0</v>
      </c>
      <c r="S219" s="39" t="s">
        <v>130</v>
      </c>
      <c r="T219" s="39">
        <v>107534</v>
      </c>
      <c r="U219" s="117">
        <v>46207</v>
      </c>
      <c r="V219" s="39"/>
      <c r="W219" s="39"/>
      <c r="X219" s="39"/>
      <c r="Y219" s="39">
        <v>128</v>
      </c>
      <c r="Z219" s="39"/>
      <c r="AA219" s="39"/>
      <c r="AB219" s="119">
        <f t="shared" ref="AB219:AB221" si="193">SUM(Y219:AA219)</f>
        <v>128</v>
      </c>
      <c r="AC219" s="39"/>
      <c r="AD219" s="39"/>
      <c r="AE219" s="39"/>
      <c r="AF219" s="39"/>
      <c r="AG219" s="39"/>
      <c r="AH219" s="39">
        <f t="shared" si="3"/>
        <v>0</v>
      </c>
      <c r="AI219" s="39"/>
      <c r="AJ219" s="39"/>
      <c r="AK219" s="39"/>
      <c r="AL219" s="39"/>
      <c r="AM219" s="39"/>
      <c r="AN219" s="39">
        <f t="shared" si="4"/>
        <v>0</v>
      </c>
      <c r="AO219" s="39"/>
      <c r="AP219" s="39"/>
      <c r="AQ219" s="39"/>
      <c r="AR219" s="39"/>
      <c r="AS219" s="39"/>
      <c r="AT219" s="39">
        <f t="shared" si="5"/>
        <v>0</v>
      </c>
      <c r="AU219" s="39"/>
      <c r="AV219" s="39"/>
      <c r="AW219" s="39"/>
      <c r="AX219" s="39"/>
      <c r="AY219" s="39"/>
      <c r="AZ219" s="39">
        <f t="shared" si="6"/>
        <v>0</v>
      </c>
      <c r="BA219" s="39"/>
      <c r="BB219" s="39"/>
      <c r="BC219" s="39"/>
      <c r="BD219" s="39"/>
      <c r="BE219" s="39"/>
      <c r="BF219" s="39">
        <f t="shared" si="7"/>
        <v>0</v>
      </c>
      <c r="BG219" s="39"/>
      <c r="BH219" s="39"/>
      <c r="BI219" s="39"/>
      <c r="BJ219" s="39"/>
      <c r="BK219" s="39"/>
      <c r="BL219" s="39">
        <f t="shared" si="8"/>
        <v>0</v>
      </c>
      <c r="BM219" s="54" t="str">
        <f t="shared" si="9"/>
        <v/>
      </c>
      <c r="BN219" s="59">
        <v>46189</v>
      </c>
      <c r="BO219" s="57">
        <v>46200</v>
      </c>
      <c r="BP219" s="36"/>
      <c r="BQ219" s="36"/>
      <c r="BR219" s="50">
        <v>46212</v>
      </c>
      <c r="BS219" s="50">
        <v>46212</v>
      </c>
      <c r="BT219" s="39">
        <v>1586</v>
      </c>
      <c r="BU219" s="39">
        <v>114</v>
      </c>
      <c r="BV219" s="39"/>
      <c r="BW219" s="39"/>
      <c r="BX219" s="39"/>
      <c r="BY219" s="39"/>
      <c r="BZ219" s="39">
        <f t="shared" si="10"/>
        <v>114</v>
      </c>
      <c r="CA219" s="39">
        <f t="shared" si="191"/>
        <v>11</v>
      </c>
      <c r="CB219" s="39">
        <f t="shared" si="12"/>
        <v>0</v>
      </c>
      <c r="CC219" s="39">
        <f t="shared" si="13"/>
        <v>0</v>
      </c>
      <c r="CD219" s="39">
        <f t="shared" si="14"/>
        <v>0</v>
      </c>
      <c r="CE219" s="102">
        <f t="shared" si="15"/>
        <v>0</v>
      </c>
      <c r="CF219" s="36" t="s">
        <v>408</v>
      </c>
      <c r="CG219" s="39" t="s">
        <v>282</v>
      </c>
      <c r="CH219" s="39"/>
      <c r="CI219" s="25">
        <v>2</v>
      </c>
    </row>
    <row r="220" spans="1:87" ht="33" customHeight="1">
      <c r="A220" s="36" t="s">
        <v>50</v>
      </c>
      <c r="B220" s="26">
        <v>47615</v>
      </c>
      <c r="C220" s="36" t="s">
        <v>747</v>
      </c>
      <c r="D220" s="36" t="s">
        <v>255</v>
      </c>
      <c r="E220" s="39">
        <v>180</v>
      </c>
      <c r="F220" s="39" t="s">
        <v>54</v>
      </c>
      <c r="G220" s="36" t="s">
        <v>116</v>
      </c>
      <c r="H220" s="36" t="s">
        <v>382</v>
      </c>
      <c r="I220" s="39">
        <v>172</v>
      </c>
      <c r="J220" s="39">
        <f>11+2</f>
        <v>13</v>
      </c>
      <c r="K220" s="39"/>
      <c r="L220" s="39">
        <f t="shared" si="187"/>
        <v>185</v>
      </c>
      <c r="M220" s="117">
        <v>46181</v>
      </c>
      <c r="N220" s="117">
        <v>46186</v>
      </c>
      <c r="O220" s="39"/>
      <c r="P220" s="39"/>
      <c r="Q220" s="39"/>
      <c r="R220" s="39">
        <f t="shared" si="192"/>
        <v>0</v>
      </c>
      <c r="S220" s="39" t="s">
        <v>130</v>
      </c>
      <c r="T220" s="39">
        <v>107753</v>
      </c>
      <c r="U220" s="117">
        <v>46222</v>
      </c>
      <c r="V220" s="39"/>
      <c r="W220" s="39"/>
      <c r="X220" s="39"/>
      <c r="Y220" s="39">
        <v>206</v>
      </c>
      <c r="Z220" s="39">
        <v>16</v>
      </c>
      <c r="AA220" s="39"/>
      <c r="AB220" s="119">
        <f t="shared" si="193"/>
        <v>222</v>
      </c>
      <c r="AC220" s="39"/>
      <c r="AD220" s="39"/>
      <c r="AE220" s="39"/>
      <c r="AF220" s="39"/>
      <c r="AG220" s="39"/>
      <c r="AH220" s="39">
        <f t="shared" si="3"/>
        <v>0</v>
      </c>
      <c r="AI220" s="39"/>
      <c r="AJ220" s="39"/>
      <c r="AK220" s="39"/>
      <c r="AL220" s="39"/>
      <c r="AM220" s="39"/>
      <c r="AN220" s="39">
        <f t="shared" si="4"/>
        <v>0</v>
      </c>
      <c r="AO220" s="39"/>
      <c r="AP220" s="39"/>
      <c r="AQ220" s="39"/>
      <c r="AR220" s="39"/>
      <c r="AS220" s="39"/>
      <c r="AT220" s="39">
        <f t="shared" si="5"/>
        <v>0</v>
      </c>
      <c r="AU220" s="39"/>
      <c r="AV220" s="39"/>
      <c r="AW220" s="39"/>
      <c r="AX220" s="39"/>
      <c r="AY220" s="39"/>
      <c r="AZ220" s="39">
        <f t="shared" si="6"/>
        <v>0</v>
      </c>
      <c r="BA220" s="39"/>
      <c r="BB220" s="39"/>
      <c r="BC220" s="39"/>
      <c r="BD220" s="39"/>
      <c r="BE220" s="39"/>
      <c r="BF220" s="39">
        <f t="shared" si="7"/>
        <v>0</v>
      </c>
      <c r="BG220" s="39"/>
      <c r="BH220" s="39"/>
      <c r="BI220" s="39"/>
      <c r="BJ220" s="39"/>
      <c r="BK220" s="39"/>
      <c r="BL220" s="39">
        <f t="shared" si="8"/>
        <v>0</v>
      </c>
      <c r="BM220" s="54" t="str">
        <f t="shared" si="9"/>
        <v/>
      </c>
      <c r="BN220" s="59">
        <v>46191</v>
      </c>
      <c r="BO220" s="57">
        <v>46197</v>
      </c>
      <c r="BP220" s="36"/>
      <c r="BQ220" s="36"/>
      <c r="BR220" s="50">
        <v>46226</v>
      </c>
      <c r="BS220" s="50">
        <v>46226</v>
      </c>
      <c r="BT220" s="39">
        <v>1830</v>
      </c>
      <c r="BU220" s="39">
        <v>182</v>
      </c>
      <c r="BV220" s="39">
        <v>1830</v>
      </c>
      <c r="BW220" s="39">
        <v>14</v>
      </c>
      <c r="BX220" s="39"/>
      <c r="BY220" s="39"/>
      <c r="BZ220" s="39">
        <f t="shared" si="10"/>
        <v>196</v>
      </c>
      <c r="CA220" s="39">
        <f t="shared" si="191"/>
        <v>10</v>
      </c>
      <c r="CB220" s="39">
        <f t="shared" si="12"/>
        <v>1</v>
      </c>
      <c r="CC220" s="39">
        <f t="shared" si="13"/>
        <v>0</v>
      </c>
      <c r="CD220" s="39">
        <f t="shared" si="14"/>
        <v>0</v>
      </c>
      <c r="CE220" s="102">
        <f t="shared" si="15"/>
        <v>0</v>
      </c>
      <c r="CF220" s="36" t="s">
        <v>408</v>
      </c>
      <c r="CG220" s="39" t="s">
        <v>282</v>
      </c>
      <c r="CH220" s="39"/>
      <c r="CI220" s="25">
        <v>2</v>
      </c>
    </row>
    <row r="221" spans="1:87" ht="24.75" customHeight="1">
      <c r="A221" s="36" t="s">
        <v>50</v>
      </c>
      <c r="B221" s="26">
        <v>47616</v>
      </c>
      <c r="C221" s="227">
        <v>13262761</v>
      </c>
      <c r="D221" s="36"/>
      <c r="E221" s="39">
        <v>180</v>
      </c>
      <c r="F221" s="39" t="s">
        <v>54</v>
      </c>
      <c r="G221" s="36" t="s">
        <v>106</v>
      </c>
      <c r="H221" s="39" t="s">
        <v>22</v>
      </c>
      <c r="I221" s="39">
        <v>155</v>
      </c>
      <c r="J221" s="39">
        <v>9</v>
      </c>
      <c r="K221" s="39"/>
      <c r="L221" s="39">
        <f t="shared" si="187"/>
        <v>164</v>
      </c>
      <c r="M221" s="117">
        <v>46179</v>
      </c>
      <c r="N221" s="117">
        <v>46184</v>
      </c>
      <c r="O221" s="39"/>
      <c r="P221" s="39"/>
      <c r="Q221" s="39"/>
      <c r="R221" s="39">
        <f t="shared" si="192"/>
        <v>0</v>
      </c>
      <c r="S221" s="39" t="s">
        <v>130</v>
      </c>
      <c r="T221" s="39">
        <v>107906</v>
      </c>
      <c r="U221" s="117">
        <v>46222</v>
      </c>
      <c r="V221" s="39"/>
      <c r="W221" s="39"/>
      <c r="X221" s="39"/>
      <c r="Y221" s="39">
        <v>188</v>
      </c>
      <c r="Z221" s="39">
        <v>11</v>
      </c>
      <c r="AA221" s="39"/>
      <c r="AB221" s="119">
        <f t="shared" si="193"/>
        <v>199</v>
      </c>
      <c r="AC221" s="39"/>
      <c r="AD221" s="39"/>
      <c r="AE221" s="39"/>
      <c r="AF221" s="39"/>
      <c r="AG221" s="39"/>
      <c r="AH221" s="39">
        <f t="shared" si="3"/>
        <v>0</v>
      </c>
      <c r="AI221" s="39"/>
      <c r="AJ221" s="39"/>
      <c r="AK221" s="39"/>
      <c r="AL221" s="39"/>
      <c r="AM221" s="39"/>
      <c r="AN221" s="39">
        <f t="shared" si="4"/>
        <v>0</v>
      </c>
      <c r="AO221" s="39"/>
      <c r="AP221" s="39"/>
      <c r="AQ221" s="39"/>
      <c r="AR221" s="39"/>
      <c r="AS221" s="39"/>
      <c r="AT221" s="39">
        <f t="shared" si="5"/>
        <v>0</v>
      </c>
      <c r="AU221" s="39"/>
      <c r="AV221" s="39"/>
      <c r="AW221" s="39"/>
      <c r="AX221" s="39"/>
      <c r="AY221" s="39"/>
      <c r="AZ221" s="39">
        <f t="shared" si="6"/>
        <v>0</v>
      </c>
      <c r="BA221" s="39"/>
      <c r="BB221" s="39"/>
      <c r="BC221" s="39"/>
      <c r="BD221" s="39"/>
      <c r="BE221" s="39"/>
      <c r="BF221" s="39">
        <f t="shared" si="7"/>
        <v>0</v>
      </c>
      <c r="BG221" s="39"/>
      <c r="BH221" s="39"/>
      <c r="BI221" s="39"/>
      <c r="BJ221" s="39"/>
      <c r="BK221" s="39"/>
      <c r="BL221" s="39">
        <f t="shared" si="8"/>
        <v>0</v>
      </c>
      <c r="BM221" s="54" t="str">
        <f t="shared" si="9"/>
        <v/>
      </c>
      <c r="BN221" s="59">
        <v>46188</v>
      </c>
      <c r="BO221" s="57">
        <v>46203</v>
      </c>
      <c r="BP221" s="36"/>
      <c r="BQ221" s="36"/>
      <c r="BR221" s="229">
        <v>46224</v>
      </c>
      <c r="BS221" s="243"/>
      <c r="BT221" s="39">
        <v>2044</v>
      </c>
      <c r="BU221" s="39">
        <v>168</v>
      </c>
      <c r="BV221" s="39">
        <v>2044</v>
      </c>
      <c r="BW221" s="39">
        <v>10</v>
      </c>
      <c r="BX221" s="39"/>
      <c r="BY221" s="39"/>
      <c r="BZ221" s="39">
        <f t="shared" si="10"/>
        <v>178</v>
      </c>
      <c r="CA221" s="39">
        <f t="shared" si="191"/>
        <v>13</v>
      </c>
      <c r="CB221" s="39">
        <f t="shared" si="12"/>
        <v>1</v>
      </c>
      <c r="CC221" s="39">
        <f t="shared" si="13"/>
        <v>0</v>
      </c>
      <c r="CD221" s="39">
        <f t="shared" si="14"/>
        <v>0</v>
      </c>
      <c r="CE221" s="102">
        <f t="shared" si="15"/>
        <v>0</v>
      </c>
      <c r="CF221" s="36" t="s">
        <v>408</v>
      </c>
      <c r="CG221" s="39" t="s">
        <v>282</v>
      </c>
      <c r="CH221" s="39"/>
      <c r="CI221" s="25">
        <v>2</v>
      </c>
    </row>
    <row r="222" spans="1:87" ht="24.75" customHeight="1">
      <c r="A222" s="36" t="s">
        <v>50</v>
      </c>
      <c r="B222" s="26">
        <v>47616</v>
      </c>
      <c r="C222" s="228"/>
      <c r="D222" s="36"/>
      <c r="E222" s="39">
        <v>180</v>
      </c>
      <c r="F222" s="39" t="s">
        <v>54</v>
      </c>
      <c r="G222" s="36" t="s">
        <v>93</v>
      </c>
      <c r="H222" s="36" t="s">
        <v>382</v>
      </c>
      <c r="I222" s="39">
        <v>135</v>
      </c>
      <c r="J222" s="39">
        <v>8</v>
      </c>
      <c r="K222" s="39"/>
      <c r="L222" s="39">
        <f t="shared" ref="L222:L233" si="194">SUM(I222:K222)</f>
        <v>143</v>
      </c>
      <c r="M222" s="117">
        <v>46179</v>
      </c>
      <c r="N222" s="117">
        <v>46184</v>
      </c>
      <c r="O222" s="39"/>
      <c r="P222" s="39"/>
      <c r="Q222" s="39"/>
      <c r="R222" s="39">
        <f t="shared" ref="R222" si="195">SUM(O222:Q222)</f>
        <v>0</v>
      </c>
      <c r="S222" s="39" t="s">
        <v>130</v>
      </c>
      <c r="T222" s="39">
        <v>107961</v>
      </c>
      <c r="U222" s="117">
        <v>46225</v>
      </c>
      <c r="V222" s="39"/>
      <c r="W222" s="39"/>
      <c r="X222" s="39"/>
      <c r="Y222" s="39">
        <f>136</f>
        <v>136</v>
      </c>
      <c r="Z222" s="39">
        <v>10</v>
      </c>
      <c r="AA222" s="39"/>
      <c r="AB222" s="118">
        <f t="shared" ref="AB222" si="196">SUM(Y222:AA222)</f>
        <v>146</v>
      </c>
      <c r="AC222" s="39"/>
      <c r="AD222" s="39"/>
      <c r="AE222" s="39"/>
      <c r="AF222" s="39"/>
      <c r="AG222" s="39"/>
      <c r="AH222" s="39">
        <f t="shared" si="3"/>
        <v>0</v>
      </c>
      <c r="AI222" s="39"/>
      <c r="AJ222" s="39"/>
      <c r="AK222" s="39"/>
      <c r="AL222" s="39"/>
      <c r="AM222" s="39"/>
      <c r="AN222" s="39">
        <f t="shared" si="4"/>
        <v>0</v>
      </c>
      <c r="AO222" s="39"/>
      <c r="AP222" s="39"/>
      <c r="AQ222" s="39"/>
      <c r="AR222" s="39"/>
      <c r="AS222" s="39"/>
      <c r="AT222" s="39">
        <f t="shared" si="5"/>
        <v>0</v>
      </c>
      <c r="AU222" s="39"/>
      <c r="AV222" s="39"/>
      <c r="AW222" s="39"/>
      <c r="AX222" s="39"/>
      <c r="AY222" s="39"/>
      <c r="AZ222" s="39">
        <f t="shared" si="6"/>
        <v>0</v>
      </c>
      <c r="BA222" s="39"/>
      <c r="BB222" s="39"/>
      <c r="BC222" s="39"/>
      <c r="BD222" s="39"/>
      <c r="BE222" s="39"/>
      <c r="BF222" s="39">
        <f t="shared" si="7"/>
        <v>0</v>
      </c>
      <c r="BG222" s="39"/>
      <c r="BH222" s="39"/>
      <c r="BI222" s="39"/>
      <c r="BJ222" s="39"/>
      <c r="BK222" s="39"/>
      <c r="BL222" s="39">
        <f t="shared" si="8"/>
        <v>0</v>
      </c>
      <c r="BM222" s="54" t="str">
        <f t="shared" si="9"/>
        <v/>
      </c>
      <c r="BN222" s="59">
        <v>46188</v>
      </c>
      <c r="BO222" s="57">
        <v>46203</v>
      </c>
      <c r="BP222" s="36"/>
      <c r="BQ222" s="36"/>
      <c r="BR222" s="230"/>
      <c r="BS222" s="230"/>
      <c r="BT222" s="39" t="s">
        <v>1890</v>
      </c>
      <c r="BU222" s="39">
        <f>122+26</f>
        <v>148</v>
      </c>
      <c r="BV222" s="39">
        <v>1837</v>
      </c>
      <c r="BW222" s="39">
        <v>9</v>
      </c>
      <c r="BX222" s="39"/>
      <c r="BY222" s="39"/>
      <c r="BZ222" s="39">
        <f t="shared" si="10"/>
        <v>157</v>
      </c>
      <c r="CA222" s="39">
        <f t="shared" si="191"/>
        <v>13</v>
      </c>
      <c r="CB222" s="39">
        <f t="shared" si="12"/>
        <v>1</v>
      </c>
      <c r="CC222" s="39">
        <f t="shared" si="13"/>
        <v>0</v>
      </c>
      <c r="CD222" s="39">
        <f t="shared" si="14"/>
        <v>0</v>
      </c>
      <c r="CE222" s="102">
        <f t="shared" si="15"/>
        <v>0</v>
      </c>
      <c r="CF222" s="36" t="s">
        <v>408</v>
      </c>
      <c r="CG222" s="39" t="s">
        <v>282</v>
      </c>
      <c r="CH222" s="39"/>
      <c r="CI222" s="25">
        <v>2</v>
      </c>
    </row>
    <row r="223" spans="1:87" ht="24.75" customHeight="1">
      <c r="A223" s="36" t="s">
        <v>50</v>
      </c>
      <c r="B223" s="26">
        <v>47618</v>
      </c>
      <c r="C223" s="227">
        <v>13262680</v>
      </c>
      <c r="D223" s="36" t="s">
        <v>37</v>
      </c>
      <c r="E223" s="39">
        <v>220</v>
      </c>
      <c r="F223" s="39" t="s">
        <v>60</v>
      </c>
      <c r="G223" s="36" t="s">
        <v>674</v>
      </c>
      <c r="H223" s="39" t="s">
        <v>89</v>
      </c>
      <c r="I223" s="39">
        <v>418</v>
      </c>
      <c r="J223" s="39"/>
      <c r="K223" s="39"/>
      <c r="L223" s="39">
        <f t="shared" si="194"/>
        <v>418</v>
      </c>
      <c r="M223" s="117">
        <v>46162</v>
      </c>
      <c r="N223" s="117">
        <v>46179</v>
      </c>
      <c r="O223" s="39"/>
      <c r="P223" s="39"/>
      <c r="Q223" s="39"/>
      <c r="R223" s="39">
        <f t="shared" ref="R223:R225" si="197">SUM(O223:Q223)</f>
        <v>0</v>
      </c>
      <c r="S223" s="39" t="s">
        <v>326</v>
      </c>
      <c r="T223" s="39"/>
      <c r="U223" s="39"/>
      <c r="V223" s="117">
        <v>46186</v>
      </c>
      <c r="W223" s="39">
        <v>468</v>
      </c>
      <c r="X223" s="117">
        <v>46202</v>
      </c>
      <c r="Y223" s="39">
        <f>406</f>
        <v>406</v>
      </c>
      <c r="Z223" s="39"/>
      <c r="AA223" s="39"/>
      <c r="AB223" s="120">
        <f t="shared" ref="AB223:AB225" si="198">SUM(Y223:AA223)</f>
        <v>406</v>
      </c>
      <c r="AC223" s="39" t="s">
        <v>139</v>
      </c>
      <c r="AD223" s="117">
        <v>46204</v>
      </c>
      <c r="AE223" s="39">
        <v>412</v>
      </c>
      <c r="AF223" s="117">
        <v>46211</v>
      </c>
      <c r="AG223" s="39">
        <v>402</v>
      </c>
      <c r="AH223" s="39">
        <f t="shared" si="3"/>
        <v>-10</v>
      </c>
      <c r="AI223" s="39"/>
      <c r="AJ223" s="39"/>
      <c r="AK223" s="39"/>
      <c r="AL223" s="39"/>
      <c r="AM223" s="39"/>
      <c r="AN223" s="39">
        <f t="shared" si="4"/>
        <v>0</v>
      </c>
      <c r="AO223" s="39"/>
      <c r="AP223" s="39"/>
      <c r="AQ223" s="39"/>
      <c r="AR223" s="39"/>
      <c r="AS223" s="39"/>
      <c r="AT223" s="39">
        <f t="shared" si="5"/>
        <v>0</v>
      </c>
      <c r="AU223" s="39"/>
      <c r="AV223" s="39"/>
      <c r="AW223" s="39"/>
      <c r="AX223" s="39"/>
      <c r="AY223" s="39"/>
      <c r="AZ223" s="39">
        <f t="shared" si="6"/>
        <v>0</v>
      </c>
      <c r="BA223" s="39"/>
      <c r="BB223" s="39"/>
      <c r="BC223" s="39"/>
      <c r="BD223" s="39"/>
      <c r="BE223" s="39"/>
      <c r="BF223" s="39">
        <f t="shared" si="7"/>
        <v>0</v>
      </c>
      <c r="BG223" s="39"/>
      <c r="BH223" s="39"/>
      <c r="BI223" s="39"/>
      <c r="BJ223" s="39"/>
      <c r="BK223" s="39"/>
      <c r="BL223" s="39">
        <f t="shared" si="8"/>
        <v>0</v>
      </c>
      <c r="BM223" s="54" t="str">
        <f t="shared" si="9"/>
        <v/>
      </c>
      <c r="BN223" s="59">
        <v>46185</v>
      </c>
      <c r="BO223" s="57">
        <v>46197</v>
      </c>
      <c r="BP223" s="57">
        <v>46200</v>
      </c>
      <c r="BQ223" s="57">
        <v>46207</v>
      </c>
      <c r="BR223" s="229">
        <v>46211</v>
      </c>
      <c r="BS223" s="229">
        <v>46212</v>
      </c>
      <c r="BT223" s="39">
        <v>2224</v>
      </c>
      <c r="BU223" s="39">
        <f>401</f>
        <v>401</v>
      </c>
      <c r="BV223" s="39"/>
      <c r="BW223" s="39"/>
      <c r="BX223" s="39"/>
      <c r="BY223" s="39"/>
      <c r="BZ223" s="39">
        <f t="shared" si="10"/>
        <v>401</v>
      </c>
      <c r="CA223" s="39">
        <f t="shared" si="191"/>
        <v>-17</v>
      </c>
      <c r="CB223" s="39">
        <f t="shared" si="12"/>
        <v>0</v>
      </c>
      <c r="CC223" s="39">
        <f t="shared" si="13"/>
        <v>0</v>
      </c>
      <c r="CD223" s="39">
        <v>0</v>
      </c>
      <c r="CE223" s="102">
        <f t="shared" si="15"/>
        <v>0</v>
      </c>
      <c r="CF223" s="36" t="s">
        <v>408</v>
      </c>
      <c r="CG223" s="39" t="s">
        <v>282</v>
      </c>
      <c r="CH223" s="39"/>
      <c r="CI223" s="25">
        <v>2</v>
      </c>
    </row>
    <row r="224" spans="1:87" ht="24.75" customHeight="1">
      <c r="A224" s="36" t="s">
        <v>50</v>
      </c>
      <c r="B224" s="26">
        <v>47618</v>
      </c>
      <c r="C224" s="228"/>
      <c r="D224" s="36" t="s">
        <v>37</v>
      </c>
      <c r="E224" s="39">
        <v>220</v>
      </c>
      <c r="F224" s="39" t="s">
        <v>60</v>
      </c>
      <c r="G224" s="36" t="s">
        <v>323</v>
      </c>
      <c r="H224" s="39" t="s">
        <v>89</v>
      </c>
      <c r="I224" s="39">
        <v>184</v>
      </c>
      <c r="J224" s="39"/>
      <c r="K224" s="39"/>
      <c r="L224" s="39">
        <f t="shared" si="194"/>
        <v>184</v>
      </c>
      <c r="M224" s="117">
        <v>46162</v>
      </c>
      <c r="N224" s="117">
        <v>46179</v>
      </c>
      <c r="O224" s="39"/>
      <c r="P224" s="39"/>
      <c r="Q224" s="39"/>
      <c r="R224" s="39">
        <f t="shared" ref="R224" si="199">SUM(O224:Q224)</f>
        <v>0</v>
      </c>
      <c r="S224" s="39" t="s">
        <v>130</v>
      </c>
      <c r="T224" s="39">
        <v>107168</v>
      </c>
      <c r="U224" s="117">
        <v>46195</v>
      </c>
      <c r="V224" s="39"/>
      <c r="W224" s="39"/>
      <c r="X224" s="39"/>
      <c r="Y224" s="39">
        <v>216</v>
      </c>
      <c r="Z224" s="39"/>
      <c r="AA224" s="39"/>
      <c r="AB224" s="119">
        <f t="shared" ref="AB224" si="200">SUM(Y224:AA224)</f>
        <v>216</v>
      </c>
      <c r="AC224" s="39" t="s">
        <v>139</v>
      </c>
      <c r="AD224" s="117">
        <v>46197</v>
      </c>
      <c r="AE224" s="39">
        <v>187</v>
      </c>
      <c r="AF224" s="117">
        <v>46210</v>
      </c>
      <c r="AG224" s="39">
        <v>187</v>
      </c>
      <c r="AH224" s="39">
        <f t="shared" si="3"/>
        <v>0</v>
      </c>
      <c r="AI224" s="39"/>
      <c r="AJ224" s="39"/>
      <c r="AK224" s="39"/>
      <c r="AL224" s="39"/>
      <c r="AM224" s="39"/>
      <c r="AN224" s="39">
        <f t="shared" si="4"/>
        <v>0</v>
      </c>
      <c r="AO224" s="39"/>
      <c r="AP224" s="39"/>
      <c r="AQ224" s="39"/>
      <c r="AR224" s="39"/>
      <c r="AS224" s="39"/>
      <c r="AT224" s="39">
        <f t="shared" si="5"/>
        <v>0</v>
      </c>
      <c r="AU224" s="39"/>
      <c r="AV224" s="39"/>
      <c r="AW224" s="39"/>
      <c r="AX224" s="39"/>
      <c r="AY224" s="39"/>
      <c r="AZ224" s="39">
        <f t="shared" si="6"/>
        <v>0</v>
      </c>
      <c r="BA224" s="39"/>
      <c r="BB224" s="39"/>
      <c r="BC224" s="39"/>
      <c r="BD224" s="39"/>
      <c r="BE224" s="39"/>
      <c r="BF224" s="39">
        <f t="shared" si="7"/>
        <v>0</v>
      </c>
      <c r="BG224" s="39"/>
      <c r="BH224" s="39"/>
      <c r="BI224" s="39"/>
      <c r="BJ224" s="39"/>
      <c r="BK224" s="39"/>
      <c r="BL224" s="39">
        <f t="shared" si="8"/>
        <v>0</v>
      </c>
      <c r="BM224" s="54" t="str">
        <f t="shared" si="9"/>
        <v/>
      </c>
      <c r="BN224" s="59">
        <v>46185</v>
      </c>
      <c r="BO224" s="57">
        <v>46197</v>
      </c>
      <c r="BP224" s="57">
        <v>46200</v>
      </c>
      <c r="BQ224" s="57">
        <v>46207</v>
      </c>
      <c r="BR224" s="230"/>
      <c r="BS224" s="230"/>
      <c r="BT224" s="39">
        <v>2226</v>
      </c>
      <c r="BU224" s="39">
        <v>186</v>
      </c>
      <c r="BV224" s="39"/>
      <c r="BW224" s="39"/>
      <c r="BX224" s="39"/>
      <c r="BY224" s="39"/>
      <c r="BZ224" s="39">
        <f t="shared" si="10"/>
        <v>186</v>
      </c>
      <c r="CA224" s="39">
        <f t="shared" si="191"/>
        <v>2</v>
      </c>
      <c r="CB224" s="39">
        <f t="shared" si="12"/>
        <v>0</v>
      </c>
      <c r="CC224" s="39">
        <f t="shared" si="13"/>
        <v>0</v>
      </c>
      <c r="CD224" s="39">
        <f t="shared" si="14"/>
        <v>0</v>
      </c>
      <c r="CE224" s="102">
        <f t="shared" si="15"/>
        <v>0</v>
      </c>
      <c r="CF224" s="36" t="s">
        <v>408</v>
      </c>
      <c r="CG224" s="39" t="s">
        <v>282</v>
      </c>
      <c r="CH224" s="39"/>
      <c r="CI224" s="25">
        <v>2</v>
      </c>
    </row>
    <row r="225" spans="1:87" ht="24.75" customHeight="1">
      <c r="A225" s="36" t="s">
        <v>50</v>
      </c>
      <c r="B225" s="26">
        <v>47619</v>
      </c>
      <c r="C225" s="227" t="s">
        <v>745</v>
      </c>
      <c r="D225" s="36" t="s">
        <v>37</v>
      </c>
      <c r="E225" s="39">
        <v>220</v>
      </c>
      <c r="F225" s="39" t="s">
        <v>60</v>
      </c>
      <c r="G225" s="36" t="s">
        <v>674</v>
      </c>
      <c r="H225" s="39" t="s">
        <v>89</v>
      </c>
      <c r="I225" s="39">
        <f>142+4</f>
        <v>146</v>
      </c>
      <c r="J225" s="39"/>
      <c r="K225" s="39"/>
      <c r="L225" s="39">
        <f t="shared" si="194"/>
        <v>146</v>
      </c>
      <c r="M225" s="117">
        <v>46162</v>
      </c>
      <c r="N225" s="117">
        <v>46179</v>
      </c>
      <c r="O225" s="39"/>
      <c r="P225" s="39"/>
      <c r="Q225" s="39"/>
      <c r="R225" s="39">
        <f t="shared" si="197"/>
        <v>0</v>
      </c>
      <c r="S225" s="39" t="s">
        <v>590</v>
      </c>
      <c r="T225" s="39"/>
      <c r="U225" s="39"/>
      <c r="V225" s="117">
        <v>46179</v>
      </c>
      <c r="W225" s="39">
        <v>179</v>
      </c>
      <c r="X225" s="117">
        <v>46205</v>
      </c>
      <c r="Y225" s="39">
        <v>145</v>
      </c>
      <c r="Z225" s="39"/>
      <c r="AA225" s="39"/>
      <c r="AB225" s="119">
        <f t="shared" si="198"/>
        <v>145</v>
      </c>
      <c r="AC225" s="39" t="s">
        <v>139</v>
      </c>
      <c r="AD225" s="117">
        <v>46209</v>
      </c>
      <c r="AE225" s="39">
        <v>152</v>
      </c>
      <c r="AF225" s="117">
        <v>46217</v>
      </c>
      <c r="AG225" s="39">
        <v>152</v>
      </c>
      <c r="AH225" s="39">
        <f t="shared" si="3"/>
        <v>0</v>
      </c>
      <c r="AI225" s="39"/>
      <c r="AJ225" s="39"/>
      <c r="AK225" s="39"/>
      <c r="AL225" s="39"/>
      <c r="AM225" s="39"/>
      <c r="AN225" s="39">
        <f t="shared" si="4"/>
        <v>0</v>
      </c>
      <c r="AO225" s="39"/>
      <c r="AP225" s="39"/>
      <c r="AQ225" s="39"/>
      <c r="AR225" s="39"/>
      <c r="AS225" s="39"/>
      <c r="AT225" s="39">
        <f t="shared" si="5"/>
        <v>0</v>
      </c>
      <c r="AU225" s="39"/>
      <c r="AV225" s="39"/>
      <c r="AW225" s="39"/>
      <c r="AX225" s="39"/>
      <c r="AY225" s="39"/>
      <c r="AZ225" s="39">
        <f t="shared" si="6"/>
        <v>0</v>
      </c>
      <c r="BA225" s="39"/>
      <c r="BB225" s="39"/>
      <c r="BC225" s="39"/>
      <c r="BD225" s="39"/>
      <c r="BE225" s="39"/>
      <c r="BF225" s="39">
        <f t="shared" si="7"/>
        <v>0</v>
      </c>
      <c r="BG225" s="39"/>
      <c r="BH225" s="39"/>
      <c r="BI225" s="39"/>
      <c r="BJ225" s="39"/>
      <c r="BK225" s="39"/>
      <c r="BL225" s="39">
        <f t="shared" si="8"/>
        <v>0</v>
      </c>
      <c r="BM225" s="54" t="str">
        <f t="shared" si="9"/>
        <v/>
      </c>
      <c r="BN225" s="59">
        <v>46185</v>
      </c>
      <c r="BO225" s="57">
        <v>46197</v>
      </c>
      <c r="BP225" s="57">
        <v>46200</v>
      </c>
      <c r="BQ225" s="57">
        <v>46207</v>
      </c>
      <c r="BR225" s="229">
        <v>46212</v>
      </c>
      <c r="BS225" s="243"/>
      <c r="BT225" s="39" t="s">
        <v>1955</v>
      </c>
      <c r="BU225" s="39">
        <f>108+28</f>
        <v>136</v>
      </c>
      <c r="BV225" s="39"/>
      <c r="BW225" s="39"/>
      <c r="BX225" s="39"/>
      <c r="BY225" s="39"/>
      <c r="BZ225" s="39">
        <f t="shared" si="10"/>
        <v>136</v>
      </c>
      <c r="CA225" s="39">
        <f t="shared" si="191"/>
        <v>-10</v>
      </c>
      <c r="CB225" s="39">
        <f t="shared" si="12"/>
        <v>0</v>
      </c>
      <c r="CC225" s="39">
        <f t="shared" si="13"/>
        <v>0</v>
      </c>
      <c r="CD225" s="39">
        <f t="shared" si="14"/>
        <v>-10</v>
      </c>
      <c r="CE225" s="102">
        <f t="shared" si="15"/>
        <v>-6.8493150684931503E-2</v>
      </c>
      <c r="CF225" s="36" t="s">
        <v>408</v>
      </c>
      <c r="CG225" s="39" t="s">
        <v>282</v>
      </c>
      <c r="CH225" s="39" t="s">
        <v>540</v>
      </c>
      <c r="CI225" s="25">
        <v>2</v>
      </c>
    </row>
    <row r="226" spans="1:87" ht="24.75" customHeight="1">
      <c r="A226" s="36" t="s">
        <v>50</v>
      </c>
      <c r="B226" s="26">
        <v>47619</v>
      </c>
      <c r="C226" s="228"/>
      <c r="D226" s="36" t="s">
        <v>37</v>
      </c>
      <c r="E226" s="39">
        <v>220</v>
      </c>
      <c r="F226" s="39" t="s">
        <v>60</v>
      </c>
      <c r="G226" s="36" t="s">
        <v>323</v>
      </c>
      <c r="H226" s="39" t="s">
        <v>89</v>
      </c>
      <c r="I226" s="39">
        <f>167+5</f>
        <v>172</v>
      </c>
      <c r="J226" s="39"/>
      <c r="K226" s="39"/>
      <c r="L226" s="39">
        <f t="shared" si="194"/>
        <v>172</v>
      </c>
      <c r="M226" s="117">
        <v>46162</v>
      </c>
      <c r="N226" s="117">
        <v>46179</v>
      </c>
      <c r="O226" s="39"/>
      <c r="P226" s="39"/>
      <c r="Q226" s="39"/>
      <c r="R226" s="39">
        <f t="shared" ref="R226:R250" si="201">SUM(O226:Q226)</f>
        <v>0</v>
      </c>
      <c r="S226" s="39" t="s">
        <v>130</v>
      </c>
      <c r="T226" s="39">
        <v>107169</v>
      </c>
      <c r="U226" s="117">
        <v>46195</v>
      </c>
      <c r="V226" s="39"/>
      <c r="W226" s="39"/>
      <c r="X226" s="39"/>
      <c r="Y226" s="39">
        <v>207</v>
      </c>
      <c r="Z226" s="39"/>
      <c r="AA226" s="39"/>
      <c r="AB226" s="119">
        <f t="shared" ref="AB226:AB250" si="202">SUM(Y226:AA226)</f>
        <v>207</v>
      </c>
      <c r="AC226" s="39" t="s">
        <v>139</v>
      </c>
      <c r="AD226" s="117">
        <v>46197</v>
      </c>
      <c r="AE226" s="39">
        <v>175</v>
      </c>
      <c r="AF226" s="117">
        <v>46211</v>
      </c>
      <c r="AG226" s="39">
        <v>170</v>
      </c>
      <c r="AH226" s="39">
        <f t="shared" si="3"/>
        <v>-5</v>
      </c>
      <c r="AI226" s="39"/>
      <c r="AJ226" s="39"/>
      <c r="AK226" s="39"/>
      <c r="AL226" s="39"/>
      <c r="AM226" s="39"/>
      <c r="AN226" s="39">
        <f t="shared" si="4"/>
        <v>0</v>
      </c>
      <c r="AO226" s="39"/>
      <c r="AP226" s="39"/>
      <c r="AQ226" s="39"/>
      <c r="AR226" s="39"/>
      <c r="AS226" s="39"/>
      <c r="AT226" s="39">
        <f t="shared" si="5"/>
        <v>0</v>
      </c>
      <c r="AU226" s="39"/>
      <c r="AV226" s="39"/>
      <c r="AW226" s="39"/>
      <c r="AX226" s="39"/>
      <c r="AY226" s="39"/>
      <c r="AZ226" s="39">
        <f t="shared" si="6"/>
        <v>0</v>
      </c>
      <c r="BA226" s="39"/>
      <c r="BB226" s="39"/>
      <c r="BC226" s="39"/>
      <c r="BD226" s="39"/>
      <c r="BE226" s="39"/>
      <c r="BF226" s="39">
        <f t="shared" si="7"/>
        <v>0</v>
      </c>
      <c r="BG226" s="39"/>
      <c r="BH226" s="39"/>
      <c r="BI226" s="39"/>
      <c r="BJ226" s="39"/>
      <c r="BK226" s="39"/>
      <c r="BL226" s="39">
        <f t="shared" si="8"/>
        <v>0</v>
      </c>
      <c r="BM226" s="54" t="str">
        <f t="shared" si="9"/>
        <v/>
      </c>
      <c r="BN226" s="59">
        <v>46185</v>
      </c>
      <c r="BO226" s="57">
        <v>46197</v>
      </c>
      <c r="BP226" s="57">
        <v>46200</v>
      </c>
      <c r="BQ226" s="57">
        <v>46207</v>
      </c>
      <c r="BR226" s="230"/>
      <c r="BS226" s="230"/>
      <c r="BT226" s="39">
        <v>2223</v>
      </c>
      <c r="BU226" s="39">
        <v>169</v>
      </c>
      <c r="BV226" s="39"/>
      <c r="BW226" s="39"/>
      <c r="BX226" s="39"/>
      <c r="BY226" s="39"/>
      <c r="BZ226" s="39">
        <f t="shared" si="10"/>
        <v>169</v>
      </c>
      <c r="CA226" s="39">
        <f t="shared" si="191"/>
        <v>-3</v>
      </c>
      <c r="CB226" s="39">
        <f t="shared" si="12"/>
        <v>0</v>
      </c>
      <c r="CC226" s="39">
        <f t="shared" si="13"/>
        <v>0</v>
      </c>
      <c r="CD226" s="39">
        <v>0</v>
      </c>
      <c r="CE226" s="102">
        <f t="shared" si="15"/>
        <v>0</v>
      </c>
      <c r="CF226" s="36" t="s">
        <v>408</v>
      </c>
      <c r="CG226" s="39" t="s">
        <v>282</v>
      </c>
      <c r="CH226" s="39"/>
      <c r="CI226" s="25">
        <v>2</v>
      </c>
    </row>
    <row r="227" spans="1:87" ht="24.75" customHeight="1">
      <c r="A227" s="36" t="s">
        <v>50</v>
      </c>
      <c r="B227" s="26">
        <v>47622</v>
      </c>
      <c r="C227" s="227">
        <v>13263242</v>
      </c>
      <c r="D227" s="36"/>
      <c r="E227" s="39">
        <v>200</v>
      </c>
      <c r="F227" s="39" t="s">
        <v>60</v>
      </c>
      <c r="G227" s="36" t="s">
        <v>671</v>
      </c>
      <c r="H227" s="39" t="s">
        <v>89</v>
      </c>
      <c r="I227" s="39">
        <v>100</v>
      </c>
      <c r="J227" s="39"/>
      <c r="K227" s="39">
        <v>67</v>
      </c>
      <c r="L227" s="39">
        <f t="shared" ref="L227:L232" si="203">SUM(I227:K227)</f>
        <v>167</v>
      </c>
      <c r="M227" s="117">
        <v>46178</v>
      </c>
      <c r="N227" s="117">
        <v>46184</v>
      </c>
      <c r="O227" s="39"/>
      <c r="P227" s="39"/>
      <c r="Q227" s="39"/>
      <c r="R227" s="39">
        <f t="shared" si="201"/>
        <v>0</v>
      </c>
      <c r="S227" s="39" t="s">
        <v>590</v>
      </c>
      <c r="T227" s="39"/>
      <c r="U227" s="39"/>
      <c r="V227" s="117">
        <v>46164</v>
      </c>
      <c r="W227" s="39">
        <f>124+86</f>
        <v>210</v>
      </c>
      <c r="X227" s="117">
        <v>46207</v>
      </c>
      <c r="Y227" s="39">
        <v>100</v>
      </c>
      <c r="Z227" s="39"/>
      <c r="AA227" s="39">
        <f>55</f>
        <v>55</v>
      </c>
      <c r="AB227" s="120">
        <f t="shared" si="202"/>
        <v>155</v>
      </c>
      <c r="AC227" s="39"/>
      <c r="AD227" s="39"/>
      <c r="AE227" s="39"/>
      <c r="AF227" s="39"/>
      <c r="AG227" s="39"/>
      <c r="AH227" s="39">
        <f t="shared" si="3"/>
        <v>0</v>
      </c>
      <c r="AI227" s="39"/>
      <c r="AJ227" s="39"/>
      <c r="AK227" s="39"/>
      <c r="AL227" s="39"/>
      <c r="AM227" s="39"/>
      <c r="AN227" s="39">
        <f t="shared" si="4"/>
        <v>0</v>
      </c>
      <c r="AO227" s="39"/>
      <c r="AP227" s="39"/>
      <c r="AQ227" s="39"/>
      <c r="AR227" s="39"/>
      <c r="AS227" s="39"/>
      <c r="AT227" s="39">
        <f t="shared" si="5"/>
        <v>0</v>
      </c>
      <c r="AU227" s="39"/>
      <c r="AV227" s="39"/>
      <c r="AW227" s="39"/>
      <c r="AX227" s="39"/>
      <c r="AY227" s="39"/>
      <c r="AZ227" s="39">
        <f t="shared" si="6"/>
        <v>0</v>
      </c>
      <c r="BA227" s="39"/>
      <c r="BB227" s="39"/>
      <c r="BC227" s="39"/>
      <c r="BD227" s="39"/>
      <c r="BE227" s="39"/>
      <c r="BF227" s="39">
        <f t="shared" si="7"/>
        <v>0</v>
      </c>
      <c r="BG227" s="39"/>
      <c r="BH227" s="39"/>
      <c r="BI227" s="39"/>
      <c r="BJ227" s="39"/>
      <c r="BK227" s="39"/>
      <c r="BL227" s="39">
        <f t="shared" si="8"/>
        <v>0</v>
      </c>
      <c r="BM227" s="54" t="str">
        <f t="shared" si="9"/>
        <v/>
      </c>
      <c r="BN227" s="59">
        <v>46188</v>
      </c>
      <c r="BO227" s="57">
        <v>46203</v>
      </c>
      <c r="BP227" s="36"/>
      <c r="BQ227" s="36"/>
      <c r="BR227" s="229">
        <v>46213</v>
      </c>
      <c r="BS227" s="229">
        <v>46228</v>
      </c>
      <c r="BT227" s="39">
        <v>1591</v>
      </c>
      <c r="BU227" s="39">
        <v>105</v>
      </c>
      <c r="BV227" s="39"/>
      <c r="BW227" s="39"/>
      <c r="BX227" s="39">
        <v>1591</v>
      </c>
      <c r="BY227" s="39">
        <v>67</v>
      </c>
      <c r="BZ227" s="39">
        <f t="shared" si="10"/>
        <v>172</v>
      </c>
      <c r="CA227" s="39">
        <f t="shared" si="191"/>
        <v>5</v>
      </c>
      <c r="CB227" s="39">
        <f t="shared" si="12"/>
        <v>0</v>
      </c>
      <c r="CC227" s="39">
        <f t="shared" si="13"/>
        <v>0</v>
      </c>
      <c r="CD227" s="39">
        <f t="shared" si="14"/>
        <v>0</v>
      </c>
      <c r="CE227" s="102">
        <f t="shared" si="15"/>
        <v>0</v>
      </c>
      <c r="CF227" s="36" t="s">
        <v>408</v>
      </c>
      <c r="CG227" s="39" t="s">
        <v>282</v>
      </c>
      <c r="CH227" s="39"/>
      <c r="CI227" s="25">
        <v>2</v>
      </c>
    </row>
    <row r="228" spans="1:87" ht="24.75" customHeight="1">
      <c r="A228" s="36" t="s">
        <v>50</v>
      </c>
      <c r="B228" s="26">
        <v>47622</v>
      </c>
      <c r="C228" s="231"/>
      <c r="D228" s="36"/>
      <c r="E228" s="39">
        <v>200</v>
      </c>
      <c r="F228" s="39" t="s">
        <v>60</v>
      </c>
      <c r="G228" s="36" t="s">
        <v>308</v>
      </c>
      <c r="H228" s="39" t="s">
        <v>89</v>
      </c>
      <c r="I228" s="39">
        <v>99</v>
      </c>
      <c r="J228" s="39"/>
      <c r="K228" s="39">
        <v>67</v>
      </c>
      <c r="L228" s="39">
        <f t="shared" si="203"/>
        <v>166</v>
      </c>
      <c r="M228" s="117">
        <v>46178</v>
      </c>
      <c r="N228" s="117">
        <v>46184</v>
      </c>
      <c r="O228" s="39"/>
      <c r="P228" s="39"/>
      <c r="Q228" s="39"/>
      <c r="R228" s="39">
        <f t="shared" ref="R228:R230" si="204">SUM(O228:Q228)</f>
        <v>0</v>
      </c>
      <c r="S228" s="39" t="s">
        <v>130</v>
      </c>
      <c r="T228" s="39">
        <v>107302</v>
      </c>
      <c r="U228" s="117">
        <v>46226</v>
      </c>
      <c r="V228" s="39"/>
      <c r="W228" s="39"/>
      <c r="X228" s="39"/>
      <c r="Y228" s="39">
        <v>122</v>
      </c>
      <c r="Z228" s="39"/>
      <c r="AA228" s="39">
        <v>84</v>
      </c>
      <c r="AB228" s="119">
        <f t="shared" ref="AB228:AB230" si="205">SUM(Y228:AA228)</f>
        <v>206</v>
      </c>
      <c r="AC228" s="39"/>
      <c r="AD228" s="39"/>
      <c r="AE228" s="39"/>
      <c r="AF228" s="39"/>
      <c r="AG228" s="39"/>
      <c r="AH228" s="39">
        <f t="shared" si="3"/>
        <v>0</v>
      </c>
      <c r="AI228" s="39"/>
      <c r="AJ228" s="39"/>
      <c r="AK228" s="39"/>
      <c r="AL228" s="39"/>
      <c r="AM228" s="39"/>
      <c r="AN228" s="39">
        <f t="shared" si="4"/>
        <v>0</v>
      </c>
      <c r="AO228" s="39"/>
      <c r="AP228" s="39"/>
      <c r="AQ228" s="39"/>
      <c r="AR228" s="39"/>
      <c r="AS228" s="39"/>
      <c r="AT228" s="39">
        <f t="shared" si="5"/>
        <v>0</v>
      </c>
      <c r="AU228" s="39"/>
      <c r="AV228" s="39"/>
      <c r="AW228" s="39"/>
      <c r="AX228" s="39"/>
      <c r="AY228" s="39"/>
      <c r="AZ228" s="39">
        <f t="shared" si="6"/>
        <v>0</v>
      </c>
      <c r="BA228" s="39"/>
      <c r="BB228" s="39"/>
      <c r="BC228" s="39"/>
      <c r="BD228" s="39"/>
      <c r="BE228" s="39"/>
      <c r="BF228" s="39">
        <f t="shared" si="7"/>
        <v>0</v>
      </c>
      <c r="BG228" s="39"/>
      <c r="BH228" s="39"/>
      <c r="BI228" s="39"/>
      <c r="BJ228" s="39"/>
      <c r="BK228" s="39"/>
      <c r="BL228" s="39">
        <f t="shared" si="8"/>
        <v>0</v>
      </c>
      <c r="BM228" s="54" t="str">
        <f t="shared" si="9"/>
        <v/>
      </c>
      <c r="BN228" s="59">
        <v>46188</v>
      </c>
      <c r="BO228" s="57">
        <v>46203</v>
      </c>
      <c r="BP228" s="36"/>
      <c r="BQ228" s="36"/>
      <c r="BR228" s="232"/>
      <c r="BS228" s="232"/>
      <c r="BT228" s="39">
        <v>1843</v>
      </c>
      <c r="BU228" s="39">
        <v>109</v>
      </c>
      <c r="BV228" s="39"/>
      <c r="BW228" s="39"/>
      <c r="BX228" s="39">
        <v>1843</v>
      </c>
      <c r="BY228" s="39">
        <v>72</v>
      </c>
      <c r="BZ228" s="39">
        <f t="shared" si="10"/>
        <v>181</v>
      </c>
      <c r="CA228" s="39">
        <f t="shared" si="191"/>
        <v>10</v>
      </c>
      <c r="CB228" s="39">
        <f t="shared" si="12"/>
        <v>0</v>
      </c>
      <c r="CC228" s="39">
        <f t="shared" si="13"/>
        <v>5</v>
      </c>
      <c r="CD228" s="39">
        <f t="shared" si="14"/>
        <v>0</v>
      </c>
      <c r="CE228" s="102">
        <f t="shared" si="15"/>
        <v>0</v>
      </c>
      <c r="CF228" s="36" t="s">
        <v>408</v>
      </c>
      <c r="CG228" s="39" t="s">
        <v>282</v>
      </c>
      <c r="CH228" s="39"/>
      <c r="CI228" s="25">
        <v>2</v>
      </c>
    </row>
    <row r="229" spans="1:87" ht="24.75" customHeight="1">
      <c r="A229" s="36" t="s">
        <v>50</v>
      </c>
      <c r="B229" s="26">
        <v>47622</v>
      </c>
      <c r="C229" s="231"/>
      <c r="D229" s="36"/>
      <c r="E229" s="39"/>
      <c r="F229" s="39"/>
      <c r="G229" s="36" t="s">
        <v>750</v>
      </c>
      <c r="H229" s="39">
        <f>695+694</f>
        <v>1389</v>
      </c>
      <c r="I229" s="39" t="s">
        <v>90</v>
      </c>
      <c r="J229" s="39"/>
      <c r="K229" s="39"/>
      <c r="L229" s="39">
        <f t="shared" si="203"/>
        <v>0</v>
      </c>
      <c r="M229" s="117">
        <v>46178</v>
      </c>
      <c r="N229" s="117">
        <v>46184</v>
      </c>
      <c r="O229" s="39"/>
      <c r="P229" s="39"/>
      <c r="Q229" s="39"/>
      <c r="R229" s="39">
        <f t="shared" si="204"/>
        <v>0</v>
      </c>
      <c r="S229" s="39" t="s">
        <v>130</v>
      </c>
      <c r="T229" s="39"/>
      <c r="U229" s="39"/>
      <c r="V229" s="39"/>
      <c r="W229" s="39"/>
      <c r="X229" s="39"/>
      <c r="Y229" s="39"/>
      <c r="Z229" s="39"/>
      <c r="AA229" s="39"/>
      <c r="AB229" s="39">
        <f t="shared" si="205"/>
        <v>0</v>
      </c>
      <c r="AC229" s="39"/>
      <c r="AD229" s="39"/>
      <c r="AE229" s="39"/>
      <c r="AF229" s="39"/>
      <c r="AG229" s="39"/>
      <c r="AH229" s="39">
        <f t="shared" si="3"/>
        <v>0</v>
      </c>
      <c r="AI229" s="39"/>
      <c r="AJ229" s="39"/>
      <c r="AK229" s="39"/>
      <c r="AL229" s="39"/>
      <c r="AM229" s="39"/>
      <c r="AN229" s="39">
        <f t="shared" si="4"/>
        <v>0</v>
      </c>
      <c r="AO229" s="39"/>
      <c r="AP229" s="39"/>
      <c r="AQ229" s="39"/>
      <c r="AR229" s="39"/>
      <c r="AS229" s="39"/>
      <c r="AT229" s="39">
        <f t="shared" si="5"/>
        <v>0</v>
      </c>
      <c r="AU229" s="39"/>
      <c r="AV229" s="39"/>
      <c r="AW229" s="39"/>
      <c r="AX229" s="39"/>
      <c r="AY229" s="39"/>
      <c r="AZ229" s="39">
        <f t="shared" si="6"/>
        <v>0</v>
      </c>
      <c r="BA229" s="39"/>
      <c r="BB229" s="39"/>
      <c r="BC229" s="39"/>
      <c r="BD229" s="39"/>
      <c r="BE229" s="39"/>
      <c r="BF229" s="39">
        <f t="shared" si="7"/>
        <v>0</v>
      </c>
      <c r="BG229" s="39"/>
      <c r="BH229" s="39"/>
      <c r="BI229" s="39"/>
      <c r="BJ229" s="39"/>
      <c r="BK229" s="39"/>
      <c r="BL229" s="39">
        <f t="shared" si="8"/>
        <v>0</v>
      </c>
      <c r="BM229" s="54" t="e">
        <f t="shared" si="9"/>
        <v>#DIV/0!</v>
      </c>
      <c r="BN229" s="59">
        <v>46188</v>
      </c>
      <c r="BO229" s="57">
        <v>46203</v>
      </c>
      <c r="BP229" s="36"/>
      <c r="BQ229" s="36"/>
      <c r="BR229" s="232"/>
      <c r="BS229" s="232"/>
      <c r="BT229" s="39"/>
      <c r="BU229" s="39"/>
      <c r="BV229" s="39"/>
      <c r="BW229" s="39"/>
      <c r="BX229" s="39"/>
      <c r="BY229" s="39"/>
      <c r="BZ229" s="39">
        <f t="shared" si="10"/>
        <v>0</v>
      </c>
      <c r="CA229" s="39" t="e">
        <f t="shared" si="191"/>
        <v>#VALUE!</v>
      </c>
      <c r="CB229" s="39">
        <f t="shared" si="12"/>
        <v>0</v>
      </c>
      <c r="CC229" s="39">
        <f t="shared" si="13"/>
        <v>0</v>
      </c>
      <c r="CD229" s="39">
        <f t="shared" si="14"/>
        <v>0</v>
      </c>
      <c r="CE229" s="102" t="e">
        <f t="shared" si="15"/>
        <v>#DIV/0!</v>
      </c>
      <c r="CF229" s="36" t="s">
        <v>408</v>
      </c>
      <c r="CG229" s="39" t="s">
        <v>282</v>
      </c>
      <c r="CH229" s="39"/>
      <c r="CI229" s="25">
        <v>2</v>
      </c>
    </row>
    <row r="230" spans="1:87" ht="24.75" customHeight="1">
      <c r="A230" s="36" t="s">
        <v>50</v>
      </c>
      <c r="B230" s="26">
        <v>47622</v>
      </c>
      <c r="C230" s="228"/>
      <c r="D230" s="36"/>
      <c r="E230" s="39"/>
      <c r="F230" s="39"/>
      <c r="G230" s="36" t="s">
        <v>751</v>
      </c>
      <c r="H230" s="39">
        <f>974+971</f>
        <v>1945</v>
      </c>
      <c r="I230" s="39" t="s">
        <v>90</v>
      </c>
      <c r="J230" s="39"/>
      <c r="K230" s="39"/>
      <c r="L230" s="39">
        <f t="shared" si="203"/>
        <v>0</v>
      </c>
      <c r="M230" s="117">
        <v>46178</v>
      </c>
      <c r="N230" s="117">
        <v>46184</v>
      </c>
      <c r="O230" s="39"/>
      <c r="P230" s="39"/>
      <c r="Q230" s="39"/>
      <c r="R230" s="39">
        <f t="shared" si="204"/>
        <v>0</v>
      </c>
      <c r="S230" s="39" t="s">
        <v>130</v>
      </c>
      <c r="T230" s="39"/>
      <c r="U230" s="39"/>
      <c r="V230" s="39"/>
      <c r="W230" s="39"/>
      <c r="X230" s="39"/>
      <c r="Y230" s="39"/>
      <c r="Z230" s="39"/>
      <c r="AA230" s="39"/>
      <c r="AB230" s="39">
        <f t="shared" si="205"/>
        <v>0</v>
      </c>
      <c r="AC230" s="39"/>
      <c r="AD230" s="39"/>
      <c r="AE230" s="39"/>
      <c r="AF230" s="39"/>
      <c r="AG230" s="39"/>
      <c r="AH230" s="39">
        <f t="shared" si="3"/>
        <v>0</v>
      </c>
      <c r="AI230" s="39"/>
      <c r="AJ230" s="39"/>
      <c r="AK230" s="39"/>
      <c r="AL230" s="39"/>
      <c r="AM230" s="39"/>
      <c r="AN230" s="39">
        <f t="shared" si="4"/>
        <v>0</v>
      </c>
      <c r="AO230" s="39"/>
      <c r="AP230" s="39"/>
      <c r="AQ230" s="39"/>
      <c r="AR230" s="39"/>
      <c r="AS230" s="39"/>
      <c r="AT230" s="39">
        <f t="shared" si="5"/>
        <v>0</v>
      </c>
      <c r="AU230" s="39"/>
      <c r="AV230" s="39"/>
      <c r="AW230" s="39"/>
      <c r="AX230" s="39"/>
      <c r="AY230" s="39"/>
      <c r="AZ230" s="39">
        <f t="shared" si="6"/>
        <v>0</v>
      </c>
      <c r="BA230" s="39"/>
      <c r="BB230" s="39"/>
      <c r="BC230" s="39"/>
      <c r="BD230" s="39"/>
      <c r="BE230" s="39"/>
      <c r="BF230" s="39">
        <f t="shared" si="7"/>
        <v>0</v>
      </c>
      <c r="BG230" s="39"/>
      <c r="BH230" s="39"/>
      <c r="BI230" s="39"/>
      <c r="BJ230" s="39"/>
      <c r="BK230" s="39"/>
      <c r="BL230" s="39">
        <f t="shared" si="8"/>
        <v>0</v>
      </c>
      <c r="BM230" s="54" t="e">
        <f t="shared" si="9"/>
        <v>#DIV/0!</v>
      </c>
      <c r="BN230" s="59">
        <v>46188</v>
      </c>
      <c r="BO230" s="57">
        <v>46203</v>
      </c>
      <c r="BP230" s="36"/>
      <c r="BQ230" s="36"/>
      <c r="BR230" s="230"/>
      <c r="BS230" s="230"/>
      <c r="BT230" s="39"/>
      <c r="BU230" s="39"/>
      <c r="BV230" s="39"/>
      <c r="BW230" s="39"/>
      <c r="BX230" s="39"/>
      <c r="BY230" s="39"/>
      <c r="BZ230" s="39">
        <f t="shared" si="10"/>
        <v>0</v>
      </c>
      <c r="CA230" s="39" t="e">
        <f t="shared" si="191"/>
        <v>#VALUE!</v>
      </c>
      <c r="CB230" s="39">
        <f t="shared" si="12"/>
        <v>0</v>
      </c>
      <c r="CC230" s="39">
        <f t="shared" si="13"/>
        <v>0</v>
      </c>
      <c r="CD230" s="39">
        <f t="shared" si="14"/>
        <v>0</v>
      </c>
      <c r="CE230" s="102" t="e">
        <f t="shared" si="15"/>
        <v>#DIV/0!</v>
      </c>
      <c r="CF230" s="36" t="s">
        <v>408</v>
      </c>
      <c r="CG230" s="39" t="s">
        <v>282</v>
      </c>
      <c r="CH230" s="39"/>
      <c r="CI230" s="25">
        <v>2</v>
      </c>
    </row>
    <row r="231" spans="1:87" ht="24.75" customHeight="1">
      <c r="A231" s="36" t="s">
        <v>50</v>
      </c>
      <c r="B231" s="26">
        <v>47623</v>
      </c>
      <c r="C231" s="227" t="s">
        <v>746</v>
      </c>
      <c r="D231" s="36"/>
      <c r="E231" s="39">
        <v>120</v>
      </c>
      <c r="F231" s="39" t="s">
        <v>59</v>
      </c>
      <c r="G231" s="36" t="s">
        <v>671</v>
      </c>
      <c r="H231" s="39" t="s">
        <v>22</v>
      </c>
      <c r="I231" s="39">
        <v>50</v>
      </c>
      <c r="J231" s="39"/>
      <c r="K231" s="39"/>
      <c r="L231" s="39">
        <f t="shared" si="203"/>
        <v>50</v>
      </c>
      <c r="M231" s="117">
        <v>46179</v>
      </c>
      <c r="N231" s="117">
        <v>46186</v>
      </c>
      <c r="O231" s="39"/>
      <c r="P231" s="39"/>
      <c r="Q231" s="39"/>
      <c r="R231" s="39">
        <f t="shared" si="201"/>
        <v>0</v>
      </c>
      <c r="S231" s="39" t="s">
        <v>130</v>
      </c>
      <c r="T231" s="39">
        <v>107201</v>
      </c>
      <c r="U231" s="117">
        <v>46209</v>
      </c>
      <c r="V231" s="39"/>
      <c r="W231" s="39"/>
      <c r="X231" s="39"/>
      <c r="Y231" s="39">
        <v>62</v>
      </c>
      <c r="Z231" s="39"/>
      <c r="AA231" s="39"/>
      <c r="AB231" s="119">
        <f t="shared" si="202"/>
        <v>62</v>
      </c>
      <c r="AC231" s="39"/>
      <c r="AD231" s="39"/>
      <c r="AE231" s="39"/>
      <c r="AF231" s="39"/>
      <c r="AG231" s="39"/>
      <c r="AH231" s="39">
        <f t="shared" si="3"/>
        <v>0</v>
      </c>
      <c r="AI231" s="39"/>
      <c r="AJ231" s="39"/>
      <c r="AK231" s="39"/>
      <c r="AL231" s="39"/>
      <c r="AM231" s="39"/>
      <c r="AN231" s="39">
        <f t="shared" si="4"/>
        <v>0</v>
      </c>
      <c r="AO231" s="39"/>
      <c r="AP231" s="39"/>
      <c r="AQ231" s="39"/>
      <c r="AR231" s="39"/>
      <c r="AS231" s="39"/>
      <c r="AT231" s="39">
        <f t="shared" si="5"/>
        <v>0</v>
      </c>
      <c r="AU231" s="39"/>
      <c r="AV231" s="39"/>
      <c r="AW231" s="39"/>
      <c r="AX231" s="39"/>
      <c r="AY231" s="39"/>
      <c r="AZ231" s="39">
        <f t="shared" si="6"/>
        <v>0</v>
      </c>
      <c r="BA231" s="39"/>
      <c r="BB231" s="39"/>
      <c r="BC231" s="39"/>
      <c r="BD231" s="39"/>
      <c r="BE231" s="39"/>
      <c r="BF231" s="39">
        <f t="shared" si="7"/>
        <v>0</v>
      </c>
      <c r="BG231" s="39"/>
      <c r="BH231" s="39"/>
      <c r="BI231" s="39"/>
      <c r="BJ231" s="39"/>
      <c r="BK231" s="39"/>
      <c r="BL231" s="39">
        <f t="shared" si="8"/>
        <v>0</v>
      </c>
      <c r="BM231" s="54" t="str">
        <f t="shared" si="9"/>
        <v/>
      </c>
      <c r="BN231" s="59">
        <v>46188</v>
      </c>
      <c r="BO231" s="57">
        <v>46203</v>
      </c>
      <c r="BP231" s="36"/>
      <c r="BQ231" s="36"/>
      <c r="BR231" s="229">
        <v>46209</v>
      </c>
      <c r="BS231" s="229">
        <v>46211</v>
      </c>
      <c r="BT231" s="39">
        <v>1583</v>
      </c>
      <c r="BU231" s="39">
        <v>53</v>
      </c>
      <c r="BV231" s="39"/>
      <c r="BW231" s="39"/>
      <c r="BX231" s="39"/>
      <c r="BY231" s="39"/>
      <c r="BZ231" s="39">
        <f t="shared" si="10"/>
        <v>53</v>
      </c>
      <c r="CA231" s="39">
        <f t="shared" si="191"/>
        <v>3</v>
      </c>
      <c r="CB231" s="39">
        <f t="shared" si="12"/>
        <v>0</v>
      </c>
      <c r="CC231" s="39">
        <f t="shared" si="13"/>
        <v>0</v>
      </c>
      <c r="CD231" s="39">
        <f t="shared" si="14"/>
        <v>0</v>
      </c>
      <c r="CE231" s="102">
        <f t="shared" si="15"/>
        <v>0</v>
      </c>
      <c r="CF231" s="36" t="s">
        <v>408</v>
      </c>
      <c r="CG231" s="39" t="s">
        <v>282</v>
      </c>
      <c r="CH231" s="39"/>
      <c r="CI231" s="25">
        <v>2</v>
      </c>
    </row>
    <row r="232" spans="1:87" ht="24.75" customHeight="1">
      <c r="A232" s="36" t="s">
        <v>50</v>
      </c>
      <c r="B232" s="26">
        <v>47623</v>
      </c>
      <c r="C232" s="231"/>
      <c r="D232" s="36"/>
      <c r="E232" s="39">
        <v>120</v>
      </c>
      <c r="F232" s="39" t="s">
        <v>59</v>
      </c>
      <c r="G232" s="36" t="s">
        <v>308</v>
      </c>
      <c r="H232" s="39" t="s">
        <v>22</v>
      </c>
      <c r="I232" s="39">
        <v>51</v>
      </c>
      <c r="J232" s="39"/>
      <c r="K232" s="39"/>
      <c r="L232" s="39">
        <f t="shared" si="203"/>
        <v>51</v>
      </c>
      <c r="M232" s="117">
        <v>46179</v>
      </c>
      <c r="N232" s="117">
        <v>46186</v>
      </c>
      <c r="O232" s="39"/>
      <c r="P232" s="39"/>
      <c r="Q232" s="39"/>
      <c r="R232" s="39">
        <f t="shared" si="201"/>
        <v>0</v>
      </c>
      <c r="S232" s="39" t="s">
        <v>130</v>
      </c>
      <c r="T232" s="39">
        <v>107244</v>
      </c>
      <c r="U232" s="117">
        <v>46206</v>
      </c>
      <c r="V232" s="39"/>
      <c r="W232" s="39"/>
      <c r="X232" s="39"/>
      <c r="Y232" s="39">
        <v>68</v>
      </c>
      <c r="Z232" s="39"/>
      <c r="AA232" s="39"/>
      <c r="AB232" s="119">
        <f t="shared" si="202"/>
        <v>68</v>
      </c>
      <c r="AC232" s="39"/>
      <c r="AD232" s="39"/>
      <c r="AE232" s="39"/>
      <c r="AF232" s="39"/>
      <c r="AG232" s="39"/>
      <c r="AH232" s="39">
        <f t="shared" si="3"/>
        <v>0</v>
      </c>
      <c r="AI232" s="39"/>
      <c r="AJ232" s="39"/>
      <c r="AK232" s="39"/>
      <c r="AL232" s="39"/>
      <c r="AM232" s="39"/>
      <c r="AN232" s="39">
        <f t="shared" si="4"/>
        <v>0</v>
      </c>
      <c r="AO232" s="39"/>
      <c r="AP232" s="39"/>
      <c r="AQ232" s="39"/>
      <c r="AR232" s="39"/>
      <c r="AS232" s="39"/>
      <c r="AT232" s="39">
        <f t="shared" si="5"/>
        <v>0</v>
      </c>
      <c r="AU232" s="39"/>
      <c r="AV232" s="39"/>
      <c r="AW232" s="39"/>
      <c r="AX232" s="39"/>
      <c r="AY232" s="39"/>
      <c r="AZ232" s="39">
        <f t="shared" si="6"/>
        <v>0</v>
      </c>
      <c r="BA232" s="39"/>
      <c r="BB232" s="39"/>
      <c r="BC232" s="39"/>
      <c r="BD232" s="39"/>
      <c r="BE232" s="39"/>
      <c r="BF232" s="39">
        <f t="shared" si="7"/>
        <v>0</v>
      </c>
      <c r="BG232" s="39"/>
      <c r="BH232" s="39"/>
      <c r="BI232" s="39"/>
      <c r="BJ232" s="39"/>
      <c r="BK232" s="39"/>
      <c r="BL232" s="39">
        <f t="shared" si="8"/>
        <v>0</v>
      </c>
      <c r="BM232" s="54" t="str">
        <f t="shared" si="9"/>
        <v/>
      </c>
      <c r="BN232" s="59">
        <v>46188</v>
      </c>
      <c r="BO232" s="57">
        <v>46203</v>
      </c>
      <c r="BP232" s="36"/>
      <c r="BQ232" s="36"/>
      <c r="BR232" s="232"/>
      <c r="BS232" s="232"/>
      <c r="BT232" s="39">
        <v>1568</v>
      </c>
      <c r="BU232" s="39">
        <v>66</v>
      </c>
      <c r="BV232" s="39"/>
      <c r="BW232" s="39"/>
      <c r="BX232" s="39"/>
      <c r="BY232" s="39"/>
      <c r="BZ232" s="39">
        <f t="shared" si="10"/>
        <v>66</v>
      </c>
      <c r="CA232" s="39">
        <f t="shared" si="191"/>
        <v>15</v>
      </c>
      <c r="CB232" s="39">
        <f t="shared" si="12"/>
        <v>0</v>
      </c>
      <c r="CC232" s="39">
        <f t="shared" si="13"/>
        <v>0</v>
      </c>
      <c r="CD232" s="39">
        <f t="shared" si="14"/>
        <v>0</v>
      </c>
      <c r="CE232" s="102">
        <f t="shared" si="15"/>
        <v>0</v>
      </c>
      <c r="CF232" s="36" t="s">
        <v>408</v>
      </c>
      <c r="CG232" s="39" t="s">
        <v>282</v>
      </c>
      <c r="CH232" s="39"/>
      <c r="CI232" s="25">
        <v>2</v>
      </c>
    </row>
    <row r="233" spans="1:87" ht="24.75" customHeight="1">
      <c r="A233" s="36" t="s">
        <v>50</v>
      </c>
      <c r="B233" s="26">
        <v>47623</v>
      </c>
      <c r="C233" s="231"/>
      <c r="D233" s="36"/>
      <c r="E233" s="39"/>
      <c r="F233" s="39"/>
      <c r="G233" s="36" t="s">
        <v>750</v>
      </c>
      <c r="H233" s="39">
        <f>564+567</f>
        <v>1131</v>
      </c>
      <c r="I233" s="39" t="s">
        <v>90</v>
      </c>
      <c r="J233" s="39"/>
      <c r="K233" s="39"/>
      <c r="L233" s="39">
        <f t="shared" si="194"/>
        <v>0</v>
      </c>
      <c r="M233" s="117">
        <v>46179</v>
      </c>
      <c r="N233" s="117">
        <v>46186</v>
      </c>
      <c r="O233" s="39"/>
      <c r="P233" s="39"/>
      <c r="Q233" s="39"/>
      <c r="R233" s="39">
        <f t="shared" si="201"/>
        <v>0</v>
      </c>
      <c r="S233" s="39" t="s">
        <v>130</v>
      </c>
      <c r="T233" s="39"/>
      <c r="U233" s="39"/>
      <c r="V233" s="39"/>
      <c r="W233" s="39"/>
      <c r="X233" s="39"/>
      <c r="Y233" s="39"/>
      <c r="Z233" s="39"/>
      <c r="AA233" s="39"/>
      <c r="AB233" s="39">
        <f t="shared" si="202"/>
        <v>0</v>
      </c>
      <c r="AC233" s="39"/>
      <c r="AD233" s="39"/>
      <c r="AE233" s="39"/>
      <c r="AF233" s="39"/>
      <c r="AG233" s="39"/>
      <c r="AH233" s="39">
        <f t="shared" si="3"/>
        <v>0</v>
      </c>
      <c r="AI233" s="39"/>
      <c r="AJ233" s="39"/>
      <c r="AK233" s="39"/>
      <c r="AL233" s="39"/>
      <c r="AM233" s="39"/>
      <c r="AN233" s="39">
        <f t="shared" si="4"/>
        <v>0</v>
      </c>
      <c r="AO233" s="39"/>
      <c r="AP233" s="39"/>
      <c r="AQ233" s="39"/>
      <c r="AR233" s="39"/>
      <c r="AS233" s="39"/>
      <c r="AT233" s="39">
        <f t="shared" si="5"/>
        <v>0</v>
      </c>
      <c r="AU233" s="39"/>
      <c r="AV233" s="39"/>
      <c r="AW233" s="39"/>
      <c r="AX233" s="39"/>
      <c r="AY233" s="39"/>
      <c r="AZ233" s="39">
        <f t="shared" si="6"/>
        <v>0</v>
      </c>
      <c r="BA233" s="39"/>
      <c r="BB233" s="39"/>
      <c r="BC233" s="39"/>
      <c r="BD233" s="39"/>
      <c r="BE233" s="39"/>
      <c r="BF233" s="39">
        <f t="shared" si="7"/>
        <v>0</v>
      </c>
      <c r="BG233" s="39"/>
      <c r="BH233" s="39"/>
      <c r="BI233" s="39"/>
      <c r="BJ233" s="39"/>
      <c r="BK233" s="39"/>
      <c r="BL233" s="39">
        <f t="shared" si="8"/>
        <v>0</v>
      </c>
      <c r="BM233" s="54" t="e">
        <f t="shared" si="9"/>
        <v>#DIV/0!</v>
      </c>
      <c r="BN233" s="59">
        <v>46188</v>
      </c>
      <c r="BO233" s="57">
        <v>46203</v>
      </c>
      <c r="BP233" s="36"/>
      <c r="BQ233" s="36"/>
      <c r="BR233" s="232"/>
      <c r="BS233" s="232"/>
      <c r="BT233" s="39"/>
      <c r="BU233" s="39"/>
      <c r="BV233" s="39"/>
      <c r="BW233" s="39"/>
      <c r="BX233" s="39"/>
      <c r="BY233" s="39"/>
      <c r="BZ233" s="39">
        <f t="shared" si="10"/>
        <v>0</v>
      </c>
      <c r="CA233" s="39" t="e">
        <f t="shared" si="191"/>
        <v>#VALUE!</v>
      </c>
      <c r="CB233" s="39">
        <f t="shared" si="12"/>
        <v>0</v>
      </c>
      <c r="CC233" s="39">
        <f t="shared" si="13"/>
        <v>0</v>
      </c>
      <c r="CD233" s="39">
        <f t="shared" si="14"/>
        <v>0</v>
      </c>
      <c r="CE233" s="102" t="e">
        <f t="shared" si="15"/>
        <v>#DIV/0!</v>
      </c>
      <c r="CF233" s="36" t="s">
        <v>408</v>
      </c>
      <c r="CG233" s="39" t="s">
        <v>282</v>
      </c>
      <c r="CH233" s="39"/>
      <c r="CI233" s="25">
        <v>2</v>
      </c>
    </row>
    <row r="234" spans="1:87" ht="24.75" customHeight="1">
      <c r="A234" s="36" t="s">
        <v>50</v>
      </c>
      <c r="B234" s="26">
        <v>47623</v>
      </c>
      <c r="C234" s="228"/>
      <c r="D234" s="36"/>
      <c r="E234" s="39"/>
      <c r="F234" s="39"/>
      <c r="G234" s="36" t="s">
        <v>751</v>
      </c>
      <c r="H234" s="39">
        <f>916+921</f>
        <v>1837</v>
      </c>
      <c r="I234" s="39" t="s">
        <v>90</v>
      </c>
      <c r="J234" s="39"/>
      <c r="K234" s="39"/>
      <c r="L234" s="39">
        <f t="shared" ref="L234:L250" si="206">SUM(I234:K234)</f>
        <v>0</v>
      </c>
      <c r="M234" s="117">
        <v>46179</v>
      </c>
      <c r="N234" s="117">
        <v>46186</v>
      </c>
      <c r="O234" s="39"/>
      <c r="P234" s="39"/>
      <c r="Q234" s="39"/>
      <c r="R234" s="39">
        <f t="shared" si="201"/>
        <v>0</v>
      </c>
      <c r="S234" s="39" t="s">
        <v>130</v>
      </c>
      <c r="T234" s="39"/>
      <c r="U234" s="39"/>
      <c r="V234" s="39"/>
      <c r="W234" s="39"/>
      <c r="X234" s="39"/>
      <c r="Y234" s="39"/>
      <c r="Z234" s="39"/>
      <c r="AA234" s="39"/>
      <c r="AB234" s="39">
        <f t="shared" si="202"/>
        <v>0</v>
      </c>
      <c r="AC234" s="39"/>
      <c r="AD234" s="39"/>
      <c r="AE234" s="39"/>
      <c r="AF234" s="39"/>
      <c r="AG234" s="39"/>
      <c r="AH234" s="39">
        <f t="shared" si="3"/>
        <v>0</v>
      </c>
      <c r="AI234" s="39"/>
      <c r="AJ234" s="39"/>
      <c r="AK234" s="39"/>
      <c r="AL234" s="39"/>
      <c r="AM234" s="39"/>
      <c r="AN234" s="39">
        <f t="shared" si="4"/>
        <v>0</v>
      </c>
      <c r="AO234" s="39"/>
      <c r="AP234" s="39"/>
      <c r="AQ234" s="39"/>
      <c r="AR234" s="39"/>
      <c r="AS234" s="39"/>
      <c r="AT234" s="39">
        <f t="shared" si="5"/>
        <v>0</v>
      </c>
      <c r="AU234" s="39"/>
      <c r="AV234" s="39"/>
      <c r="AW234" s="39"/>
      <c r="AX234" s="39"/>
      <c r="AY234" s="39"/>
      <c r="AZ234" s="39">
        <f t="shared" si="6"/>
        <v>0</v>
      </c>
      <c r="BA234" s="39"/>
      <c r="BB234" s="39"/>
      <c r="BC234" s="39"/>
      <c r="BD234" s="39"/>
      <c r="BE234" s="39"/>
      <c r="BF234" s="39">
        <f t="shared" si="7"/>
        <v>0</v>
      </c>
      <c r="BG234" s="39"/>
      <c r="BH234" s="39"/>
      <c r="BI234" s="39"/>
      <c r="BJ234" s="39"/>
      <c r="BK234" s="39"/>
      <c r="BL234" s="39">
        <f t="shared" si="8"/>
        <v>0</v>
      </c>
      <c r="BM234" s="54" t="e">
        <f t="shared" si="9"/>
        <v>#DIV/0!</v>
      </c>
      <c r="BN234" s="59">
        <v>46188</v>
      </c>
      <c r="BO234" s="57">
        <v>46203</v>
      </c>
      <c r="BP234" s="36"/>
      <c r="BQ234" s="36"/>
      <c r="BR234" s="230"/>
      <c r="BS234" s="230"/>
      <c r="BT234" s="39"/>
      <c r="BU234" s="39"/>
      <c r="BV234" s="39"/>
      <c r="BW234" s="39"/>
      <c r="BX234" s="39"/>
      <c r="BY234" s="39"/>
      <c r="BZ234" s="39">
        <f t="shared" si="10"/>
        <v>0</v>
      </c>
      <c r="CA234" s="39" t="e">
        <f t="shared" si="190"/>
        <v>#VALUE!</v>
      </c>
      <c r="CB234" s="39">
        <f t="shared" si="12"/>
        <v>0</v>
      </c>
      <c r="CC234" s="39">
        <f t="shared" si="13"/>
        <v>0</v>
      </c>
      <c r="CD234" s="39">
        <f t="shared" si="14"/>
        <v>0</v>
      </c>
      <c r="CE234" s="102" t="e">
        <f t="shared" si="15"/>
        <v>#DIV/0!</v>
      </c>
      <c r="CF234" s="36" t="s">
        <v>408</v>
      </c>
      <c r="CG234" s="39" t="s">
        <v>282</v>
      </c>
      <c r="CH234" s="39"/>
      <c r="CI234" s="25">
        <v>2</v>
      </c>
    </row>
    <row r="235" spans="1:87" ht="24.75" customHeight="1">
      <c r="A235" s="36" t="s">
        <v>50</v>
      </c>
      <c r="B235" s="26">
        <v>47566</v>
      </c>
      <c r="C235" s="227" t="s">
        <v>703</v>
      </c>
      <c r="D235" s="36"/>
      <c r="E235" s="39">
        <v>180</v>
      </c>
      <c r="F235" s="39" t="s">
        <v>55</v>
      </c>
      <c r="G235" s="36" t="s">
        <v>93</v>
      </c>
      <c r="H235" s="36" t="s">
        <v>87</v>
      </c>
      <c r="I235" s="39">
        <v>120</v>
      </c>
      <c r="J235" s="39">
        <v>15</v>
      </c>
      <c r="K235" s="39"/>
      <c r="L235" s="39">
        <f t="shared" si="206"/>
        <v>135</v>
      </c>
      <c r="M235" s="117">
        <v>46157</v>
      </c>
      <c r="N235" s="117">
        <v>46160</v>
      </c>
      <c r="O235" s="39"/>
      <c r="P235" s="39"/>
      <c r="Q235" s="39"/>
      <c r="R235" s="39">
        <f t="shared" si="201"/>
        <v>0</v>
      </c>
      <c r="S235" s="39" t="s">
        <v>130</v>
      </c>
      <c r="T235" s="39">
        <v>107295</v>
      </c>
      <c r="U235" s="117">
        <v>46204</v>
      </c>
      <c r="V235" s="39"/>
      <c r="W235" s="39"/>
      <c r="X235" s="39"/>
      <c r="Y235" s="39">
        <v>153</v>
      </c>
      <c r="Z235" s="39">
        <v>18</v>
      </c>
      <c r="AA235" s="39"/>
      <c r="AB235" s="119">
        <f t="shared" si="202"/>
        <v>171</v>
      </c>
      <c r="AC235" s="39"/>
      <c r="AD235" s="39"/>
      <c r="AE235" s="39"/>
      <c r="AF235" s="39"/>
      <c r="AG235" s="39"/>
      <c r="AH235" s="39">
        <f t="shared" ref="AH235:AH250" si="207">AG235-AE235</f>
        <v>0</v>
      </c>
      <c r="AI235" s="39"/>
      <c r="AJ235" s="39"/>
      <c r="AK235" s="39"/>
      <c r="AL235" s="39"/>
      <c r="AM235" s="39"/>
      <c r="AN235" s="39">
        <f t="shared" si="4"/>
        <v>0</v>
      </c>
      <c r="AO235" s="39"/>
      <c r="AP235" s="39"/>
      <c r="AQ235" s="39"/>
      <c r="AR235" s="39"/>
      <c r="AS235" s="39"/>
      <c r="AT235" s="39">
        <f t="shared" ref="AT235:AT250" si="208">AS235-AQ235</f>
        <v>0</v>
      </c>
      <c r="AU235" s="39"/>
      <c r="AV235" s="39"/>
      <c r="AW235" s="39"/>
      <c r="AX235" s="39"/>
      <c r="AY235" s="39"/>
      <c r="AZ235" s="39">
        <f t="shared" ref="AZ235:AZ250" si="209">AY235-AW235</f>
        <v>0</v>
      </c>
      <c r="BA235" s="39"/>
      <c r="BB235" s="39"/>
      <c r="BC235" s="39"/>
      <c r="BD235" s="39"/>
      <c r="BE235" s="39"/>
      <c r="BF235" s="39">
        <f t="shared" ref="BF235:BF250" si="210">BE235-BC235</f>
        <v>0</v>
      </c>
      <c r="BG235" s="39"/>
      <c r="BH235" s="39"/>
      <c r="BI235" s="39"/>
      <c r="BJ235" s="39"/>
      <c r="BK235" s="39"/>
      <c r="BL235" s="39">
        <f t="shared" ref="BL235:BL250" si="211">BK235-BI235</f>
        <v>0</v>
      </c>
      <c r="BM235" s="54" t="str">
        <f t="shared" ref="BM235:BM250" si="212">IF((BZ235/L235)&lt;0.9,$CO$1-U235,"")</f>
        <v/>
      </c>
      <c r="BN235" s="66">
        <v>46185</v>
      </c>
      <c r="BO235" s="57">
        <v>46195</v>
      </c>
      <c r="BP235" s="36"/>
      <c r="BQ235" s="36"/>
      <c r="BR235" s="229">
        <v>46207</v>
      </c>
      <c r="BS235" s="229">
        <v>46207</v>
      </c>
      <c r="BT235" s="39">
        <v>2015</v>
      </c>
      <c r="BU235" s="39">
        <v>139</v>
      </c>
      <c r="BV235" s="39">
        <v>2015</v>
      </c>
      <c r="BW235" s="39">
        <v>16</v>
      </c>
      <c r="BX235" s="39"/>
      <c r="BY235" s="39"/>
      <c r="BZ235" s="39">
        <f t="shared" ref="BZ235:BZ250" si="213">BU235+BW235+BY235</f>
        <v>155</v>
      </c>
      <c r="CA235" s="39">
        <f t="shared" si="190"/>
        <v>19</v>
      </c>
      <c r="CB235" s="39">
        <f t="shared" ref="CB235:CB250" si="214">BW235-J235</f>
        <v>1</v>
      </c>
      <c r="CC235" s="39">
        <f t="shared" ref="CC235:CC250" si="215">BY235-K235</f>
        <v>0</v>
      </c>
      <c r="CD235" s="39">
        <f t="shared" ref="CD235:CD250" si="216">SUMIF(CA235:CC235,"&lt;0")</f>
        <v>0</v>
      </c>
      <c r="CE235" s="102">
        <f t="shared" ref="CE235:CE250" si="217">CD235/L235</f>
        <v>0</v>
      </c>
      <c r="CF235" s="36" t="s">
        <v>248</v>
      </c>
      <c r="CG235" s="39" t="s">
        <v>492</v>
      </c>
      <c r="CH235" s="39"/>
      <c r="CI235" s="25">
        <v>2</v>
      </c>
    </row>
    <row r="236" spans="1:87" ht="24.75" customHeight="1">
      <c r="A236" s="36" t="s">
        <v>50</v>
      </c>
      <c r="B236" s="26">
        <v>47566</v>
      </c>
      <c r="C236" s="231"/>
      <c r="D236" s="36"/>
      <c r="E236" s="39">
        <v>180</v>
      </c>
      <c r="F236" s="39" t="s">
        <v>55</v>
      </c>
      <c r="G236" s="36" t="s">
        <v>35</v>
      </c>
      <c r="H236" s="36" t="s">
        <v>87</v>
      </c>
      <c r="I236" s="39">
        <v>3</v>
      </c>
      <c r="J236" s="39"/>
      <c r="K236" s="39"/>
      <c r="L236" s="39">
        <f t="shared" si="206"/>
        <v>3</v>
      </c>
      <c r="M236" s="117">
        <v>46157</v>
      </c>
      <c r="N236" s="117">
        <v>46160</v>
      </c>
      <c r="O236" s="39"/>
      <c r="P236" s="39"/>
      <c r="Q236" s="39"/>
      <c r="R236" s="39">
        <f t="shared" si="201"/>
        <v>0</v>
      </c>
      <c r="S236" s="39" t="s">
        <v>130</v>
      </c>
      <c r="T236" s="39">
        <v>107068</v>
      </c>
      <c r="U236" s="117">
        <v>46194</v>
      </c>
      <c r="V236" s="39"/>
      <c r="W236" s="39"/>
      <c r="X236" s="39"/>
      <c r="Y236" s="39">
        <v>5</v>
      </c>
      <c r="Z236" s="39"/>
      <c r="AA236" s="39"/>
      <c r="AB236" s="119">
        <f t="shared" si="202"/>
        <v>5</v>
      </c>
      <c r="AC236" s="39"/>
      <c r="AD236" s="39"/>
      <c r="AE236" s="39"/>
      <c r="AF236" s="39"/>
      <c r="AG236" s="39"/>
      <c r="AH236" s="39">
        <f t="shared" si="207"/>
        <v>0</v>
      </c>
      <c r="AI236" s="39"/>
      <c r="AJ236" s="39"/>
      <c r="AK236" s="39"/>
      <c r="AL236" s="39"/>
      <c r="AM236" s="39"/>
      <c r="AN236" s="39">
        <f t="shared" si="4"/>
        <v>0</v>
      </c>
      <c r="AO236" s="39"/>
      <c r="AP236" s="39"/>
      <c r="AQ236" s="39"/>
      <c r="AR236" s="39"/>
      <c r="AS236" s="39"/>
      <c r="AT236" s="39">
        <f t="shared" si="208"/>
        <v>0</v>
      </c>
      <c r="AU236" s="39"/>
      <c r="AV236" s="39"/>
      <c r="AW236" s="39"/>
      <c r="AX236" s="39"/>
      <c r="AY236" s="39"/>
      <c r="AZ236" s="39">
        <f t="shared" si="209"/>
        <v>0</v>
      </c>
      <c r="BA236" s="39"/>
      <c r="BB236" s="39"/>
      <c r="BC236" s="39"/>
      <c r="BD236" s="39"/>
      <c r="BE236" s="39"/>
      <c r="BF236" s="39">
        <f t="shared" si="210"/>
        <v>0</v>
      </c>
      <c r="BG236" s="39"/>
      <c r="BH236" s="39"/>
      <c r="BI236" s="39"/>
      <c r="BJ236" s="39"/>
      <c r="BK236" s="39"/>
      <c r="BL236" s="39">
        <f t="shared" si="211"/>
        <v>0</v>
      </c>
      <c r="BM236" s="54" t="str">
        <f t="shared" si="212"/>
        <v/>
      </c>
      <c r="BN236" s="66">
        <v>46185</v>
      </c>
      <c r="BO236" s="57">
        <v>46195</v>
      </c>
      <c r="BP236" s="36"/>
      <c r="BQ236" s="36"/>
      <c r="BR236" s="232"/>
      <c r="BS236" s="232"/>
      <c r="BT236" s="39">
        <v>2016</v>
      </c>
      <c r="BU236" s="39">
        <v>4</v>
      </c>
      <c r="BV236" s="39"/>
      <c r="BW236" s="39"/>
      <c r="BX236" s="39"/>
      <c r="BY236" s="39"/>
      <c r="BZ236" s="39">
        <f t="shared" si="213"/>
        <v>4</v>
      </c>
      <c r="CA236" s="39">
        <f t="shared" si="190"/>
        <v>1</v>
      </c>
      <c r="CB236" s="39">
        <f t="shared" si="214"/>
        <v>0</v>
      </c>
      <c r="CC236" s="39">
        <f t="shared" si="215"/>
        <v>0</v>
      </c>
      <c r="CD236" s="39">
        <f t="shared" si="216"/>
        <v>0</v>
      </c>
      <c r="CE236" s="102">
        <f t="shared" si="217"/>
        <v>0</v>
      </c>
      <c r="CF236" s="36" t="s">
        <v>248</v>
      </c>
      <c r="CG236" s="39" t="s">
        <v>492</v>
      </c>
      <c r="CH236" s="39"/>
      <c r="CI236" s="25">
        <v>2</v>
      </c>
    </row>
    <row r="237" spans="1:87" ht="24.75" customHeight="1">
      <c r="A237" s="36" t="s">
        <v>50</v>
      </c>
      <c r="B237" s="26">
        <v>47566</v>
      </c>
      <c r="C237" s="228"/>
      <c r="D237" s="36"/>
      <c r="E237" s="39"/>
      <c r="F237" s="39"/>
      <c r="G237" s="36" t="s">
        <v>704</v>
      </c>
      <c r="H237" s="36">
        <v>900</v>
      </c>
      <c r="I237" s="39" t="s">
        <v>90</v>
      </c>
      <c r="J237" s="39"/>
      <c r="K237" s="39"/>
      <c r="L237" s="39">
        <f t="shared" si="206"/>
        <v>0</v>
      </c>
      <c r="M237" s="117">
        <v>46157</v>
      </c>
      <c r="N237" s="117">
        <v>46160</v>
      </c>
      <c r="O237" s="39"/>
      <c r="P237" s="39"/>
      <c r="Q237" s="39"/>
      <c r="R237" s="39">
        <f t="shared" si="201"/>
        <v>0</v>
      </c>
      <c r="S237" s="39" t="s">
        <v>130</v>
      </c>
      <c r="T237" s="39"/>
      <c r="U237" s="39"/>
      <c r="V237" s="39"/>
      <c r="W237" s="39"/>
      <c r="X237" s="39"/>
      <c r="Y237" s="39"/>
      <c r="Z237" s="39"/>
      <c r="AA237" s="39"/>
      <c r="AB237" s="39">
        <f t="shared" si="202"/>
        <v>0</v>
      </c>
      <c r="AC237" s="39"/>
      <c r="AD237" s="39"/>
      <c r="AE237" s="39"/>
      <c r="AF237" s="39"/>
      <c r="AG237" s="39"/>
      <c r="AH237" s="39">
        <f t="shared" si="207"/>
        <v>0</v>
      </c>
      <c r="AI237" s="39"/>
      <c r="AJ237" s="39"/>
      <c r="AK237" s="39"/>
      <c r="AL237" s="39"/>
      <c r="AM237" s="39"/>
      <c r="AN237" s="39">
        <f t="shared" si="4"/>
        <v>0</v>
      </c>
      <c r="AO237" s="39"/>
      <c r="AP237" s="39"/>
      <c r="AQ237" s="39"/>
      <c r="AR237" s="39"/>
      <c r="AS237" s="39"/>
      <c r="AT237" s="39">
        <f t="shared" si="208"/>
        <v>0</v>
      </c>
      <c r="AU237" s="39"/>
      <c r="AV237" s="39"/>
      <c r="AW237" s="39"/>
      <c r="AX237" s="39"/>
      <c r="AY237" s="39"/>
      <c r="AZ237" s="39">
        <f t="shared" si="209"/>
        <v>0</v>
      </c>
      <c r="BA237" s="39"/>
      <c r="BB237" s="39"/>
      <c r="BC237" s="39"/>
      <c r="BD237" s="39"/>
      <c r="BE237" s="39"/>
      <c r="BF237" s="39">
        <f t="shared" si="210"/>
        <v>0</v>
      </c>
      <c r="BG237" s="39"/>
      <c r="BH237" s="39"/>
      <c r="BI237" s="39"/>
      <c r="BJ237" s="39"/>
      <c r="BK237" s="39"/>
      <c r="BL237" s="39">
        <f t="shared" si="211"/>
        <v>0</v>
      </c>
      <c r="BM237" s="54" t="e">
        <f t="shared" si="212"/>
        <v>#DIV/0!</v>
      </c>
      <c r="BN237" s="66">
        <v>46185</v>
      </c>
      <c r="BO237" s="57">
        <v>46195</v>
      </c>
      <c r="BP237" s="36"/>
      <c r="BQ237" s="36"/>
      <c r="BR237" s="230"/>
      <c r="BS237" s="230"/>
      <c r="BT237" s="39"/>
      <c r="BU237" s="39"/>
      <c r="BV237" s="39"/>
      <c r="BW237" s="39"/>
      <c r="BX237" s="39"/>
      <c r="BY237" s="39"/>
      <c r="BZ237" s="39">
        <f t="shared" si="213"/>
        <v>0</v>
      </c>
      <c r="CA237" s="39" t="e">
        <f t="shared" si="190"/>
        <v>#VALUE!</v>
      </c>
      <c r="CB237" s="39">
        <f t="shared" si="214"/>
        <v>0</v>
      </c>
      <c r="CC237" s="39">
        <f t="shared" si="215"/>
        <v>0</v>
      </c>
      <c r="CD237" s="39">
        <f t="shared" si="216"/>
        <v>0</v>
      </c>
      <c r="CE237" s="102" t="e">
        <f t="shared" si="217"/>
        <v>#DIV/0!</v>
      </c>
      <c r="CF237" s="36" t="s">
        <v>248</v>
      </c>
      <c r="CG237" s="39" t="s">
        <v>492</v>
      </c>
      <c r="CH237" s="39"/>
      <c r="CI237" s="25">
        <v>2</v>
      </c>
    </row>
    <row r="238" spans="1:87" ht="24.75" customHeight="1">
      <c r="A238" s="36" t="s">
        <v>50</v>
      </c>
      <c r="B238" s="26">
        <v>47572</v>
      </c>
      <c r="C238" s="227">
        <v>13261566</v>
      </c>
      <c r="D238" s="36" t="s">
        <v>107</v>
      </c>
      <c r="E238" s="39">
        <v>240</v>
      </c>
      <c r="F238" s="39" t="s">
        <v>55</v>
      </c>
      <c r="G238" s="36" t="s">
        <v>705</v>
      </c>
      <c r="H238" s="36" t="s">
        <v>94</v>
      </c>
      <c r="I238" s="39">
        <v>418</v>
      </c>
      <c r="J238" s="39">
        <v>130</v>
      </c>
      <c r="K238" s="39">
        <v>10</v>
      </c>
      <c r="L238" s="39">
        <f t="shared" si="206"/>
        <v>558</v>
      </c>
      <c r="M238" s="117">
        <v>46164</v>
      </c>
      <c r="N238" s="117">
        <v>46183</v>
      </c>
      <c r="O238" s="39"/>
      <c r="P238" s="39"/>
      <c r="Q238" s="39"/>
      <c r="R238" s="39">
        <f t="shared" si="201"/>
        <v>0</v>
      </c>
      <c r="S238" s="39" t="s">
        <v>28</v>
      </c>
      <c r="T238" s="39"/>
      <c r="U238" s="39"/>
      <c r="V238" s="117">
        <v>46198</v>
      </c>
      <c r="W238" s="39">
        <f>454+138+11</f>
        <v>603</v>
      </c>
      <c r="X238" s="117">
        <v>46204</v>
      </c>
      <c r="Y238" s="39">
        <v>426</v>
      </c>
      <c r="Z238" s="39">
        <v>133</v>
      </c>
      <c r="AA238" s="39">
        <v>10</v>
      </c>
      <c r="AB238" s="119">
        <f t="shared" si="202"/>
        <v>569</v>
      </c>
      <c r="AC238" s="39"/>
      <c r="AD238" s="39"/>
      <c r="AE238" s="39"/>
      <c r="AF238" s="39"/>
      <c r="AG238" s="39"/>
      <c r="AH238" s="39">
        <f t="shared" si="207"/>
        <v>0</v>
      </c>
      <c r="AI238" s="39"/>
      <c r="AJ238" s="39"/>
      <c r="AK238" s="39"/>
      <c r="AL238" s="39"/>
      <c r="AM238" s="39"/>
      <c r="AN238" s="39">
        <f t="shared" si="4"/>
        <v>0</v>
      </c>
      <c r="AO238" s="39"/>
      <c r="AP238" s="39"/>
      <c r="AQ238" s="39"/>
      <c r="AR238" s="39"/>
      <c r="AS238" s="39"/>
      <c r="AT238" s="39">
        <f t="shared" si="208"/>
        <v>0</v>
      </c>
      <c r="AU238" s="39" t="s">
        <v>256</v>
      </c>
      <c r="AV238" s="117">
        <v>46205</v>
      </c>
      <c r="AW238" s="39">
        <v>428</v>
      </c>
      <c r="AX238" s="117">
        <v>46207</v>
      </c>
      <c r="AY238" s="39">
        <v>428</v>
      </c>
      <c r="AZ238" s="39">
        <f t="shared" si="209"/>
        <v>0</v>
      </c>
      <c r="BA238" s="39"/>
      <c r="BB238" s="39"/>
      <c r="BC238" s="39"/>
      <c r="BD238" s="39"/>
      <c r="BE238" s="39"/>
      <c r="BF238" s="39">
        <f t="shared" si="210"/>
        <v>0</v>
      </c>
      <c r="BG238" s="39"/>
      <c r="BH238" s="39"/>
      <c r="BI238" s="39"/>
      <c r="BJ238" s="39"/>
      <c r="BK238" s="39"/>
      <c r="BL238" s="39">
        <f t="shared" si="211"/>
        <v>0</v>
      </c>
      <c r="BM238" s="54" t="str">
        <f t="shared" si="212"/>
        <v/>
      </c>
      <c r="BN238" s="66">
        <v>46187</v>
      </c>
      <c r="BO238" s="57">
        <v>46193</v>
      </c>
      <c r="BP238" s="36"/>
      <c r="BQ238" s="36"/>
      <c r="BR238" s="229">
        <v>46211</v>
      </c>
      <c r="BS238" s="229">
        <v>46213</v>
      </c>
      <c r="BT238" s="39" t="s">
        <v>1607</v>
      </c>
      <c r="BU238" s="39">
        <f>395+19</f>
        <v>414</v>
      </c>
      <c r="BV238" s="39">
        <v>1769</v>
      </c>
      <c r="BW238" s="39">
        <v>133</v>
      </c>
      <c r="BX238" s="39">
        <v>1769</v>
      </c>
      <c r="BY238" s="39">
        <v>10</v>
      </c>
      <c r="BZ238" s="39">
        <f t="shared" si="213"/>
        <v>557</v>
      </c>
      <c r="CA238" s="39">
        <f t="shared" si="190"/>
        <v>-4</v>
      </c>
      <c r="CB238" s="39">
        <f t="shared" si="214"/>
        <v>3</v>
      </c>
      <c r="CC238" s="39">
        <f t="shared" si="215"/>
        <v>0</v>
      </c>
      <c r="CD238" s="39">
        <v>0</v>
      </c>
      <c r="CE238" s="102">
        <f t="shared" si="217"/>
        <v>0</v>
      </c>
      <c r="CF238" s="36" t="s">
        <v>248</v>
      </c>
      <c r="CG238" s="39" t="s">
        <v>492</v>
      </c>
      <c r="CH238" s="39" t="s">
        <v>561</v>
      </c>
      <c r="CI238" s="25">
        <v>2</v>
      </c>
    </row>
    <row r="239" spans="1:87" ht="24.75" customHeight="1">
      <c r="A239" s="36" t="s">
        <v>50</v>
      </c>
      <c r="B239" s="26">
        <v>47572</v>
      </c>
      <c r="C239" s="228"/>
      <c r="D239" s="36" t="s">
        <v>107</v>
      </c>
      <c r="E239" s="39">
        <v>240</v>
      </c>
      <c r="F239" s="39" t="s">
        <v>55</v>
      </c>
      <c r="G239" s="36" t="s">
        <v>706</v>
      </c>
      <c r="H239" s="36" t="s">
        <v>94</v>
      </c>
      <c r="I239" s="39">
        <v>270</v>
      </c>
      <c r="J239" s="39">
        <v>84</v>
      </c>
      <c r="K239" s="39">
        <v>7</v>
      </c>
      <c r="L239" s="39">
        <f t="shared" si="206"/>
        <v>361</v>
      </c>
      <c r="M239" s="117">
        <v>46164</v>
      </c>
      <c r="N239" s="117">
        <v>46183</v>
      </c>
      <c r="O239" s="39"/>
      <c r="P239" s="39"/>
      <c r="Q239" s="39"/>
      <c r="R239" s="39">
        <f t="shared" si="201"/>
        <v>0</v>
      </c>
      <c r="S239" s="39" t="s">
        <v>28</v>
      </c>
      <c r="T239" s="39"/>
      <c r="U239" s="39"/>
      <c r="V239" s="117">
        <v>46198</v>
      </c>
      <c r="W239" s="39">
        <f>292+90+9</f>
        <v>391</v>
      </c>
      <c r="X239" s="117">
        <v>46205</v>
      </c>
      <c r="Y239" s="39">
        <v>272</v>
      </c>
      <c r="Z239" s="39">
        <v>84</v>
      </c>
      <c r="AA239" s="39">
        <v>8</v>
      </c>
      <c r="AB239" s="119">
        <f t="shared" si="202"/>
        <v>364</v>
      </c>
      <c r="AC239" s="39"/>
      <c r="AD239" s="39"/>
      <c r="AE239" s="39"/>
      <c r="AF239" s="39"/>
      <c r="AG239" s="39"/>
      <c r="AH239" s="39">
        <f t="shared" si="207"/>
        <v>0</v>
      </c>
      <c r="AI239" s="39"/>
      <c r="AJ239" s="39"/>
      <c r="AK239" s="39"/>
      <c r="AL239" s="39"/>
      <c r="AM239" s="39"/>
      <c r="AN239" s="39">
        <f t="shared" si="4"/>
        <v>0</v>
      </c>
      <c r="AO239" s="39"/>
      <c r="AP239" s="39"/>
      <c r="AQ239" s="39"/>
      <c r="AR239" s="39"/>
      <c r="AS239" s="39"/>
      <c r="AT239" s="39">
        <f t="shared" si="208"/>
        <v>0</v>
      </c>
      <c r="AU239" s="39" t="s">
        <v>256</v>
      </c>
      <c r="AV239" s="117">
        <v>46206</v>
      </c>
      <c r="AW239" s="39">
        <v>272</v>
      </c>
      <c r="AX239" s="117">
        <v>46207</v>
      </c>
      <c r="AY239" s="39">
        <v>263</v>
      </c>
      <c r="AZ239" s="39">
        <f t="shared" si="209"/>
        <v>-9</v>
      </c>
      <c r="BA239" s="39"/>
      <c r="BB239" s="39"/>
      <c r="BC239" s="39"/>
      <c r="BD239" s="39"/>
      <c r="BE239" s="39"/>
      <c r="BF239" s="39">
        <f t="shared" si="210"/>
        <v>0</v>
      </c>
      <c r="BG239" s="39"/>
      <c r="BH239" s="39"/>
      <c r="BI239" s="39"/>
      <c r="BJ239" s="39"/>
      <c r="BK239" s="39"/>
      <c r="BL239" s="39">
        <f t="shared" si="211"/>
        <v>0</v>
      </c>
      <c r="BM239" s="54" t="str">
        <f t="shared" si="212"/>
        <v/>
      </c>
      <c r="BN239" s="66">
        <v>46187</v>
      </c>
      <c r="BO239" s="57">
        <v>46193</v>
      </c>
      <c r="BP239" s="36"/>
      <c r="BQ239" s="36"/>
      <c r="BR239" s="230"/>
      <c r="BS239" s="230"/>
      <c r="BT239" s="39">
        <v>1587</v>
      </c>
      <c r="BU239" s="39">
        <f>259</f>
        <v>259</v>
      </c>
      <c r="BV239" s="39">
        <v>1773</v>
      </c>
      <c r="BW239" s="39">
        <v>84</v>
      </c>
      <c r="BX239" s="39">
        <v>1773</v>
      </c>
      <c r="BY239" s="39">
        <v>8</v>
      </c>
      <c r="BZ239" s="39">
        <f t="shared" si="213"/>
        <v>351</v>
      </c>
      <c r="CA239" s="39">
        <f t="shared" si="190"/>
        <v>-11</v>
      </c>
      <c r="CB239" s="39">
        <f t="shared" si="214"/>
        <v>0</v>
      </c>
      <c r="CC239" s="39">
        <f t="shared" si="215"/>
        <v>1</v>
      </c>
      <c r="CD239" s="39">
        <f t="shared" si="216"/>
        <v>-11</v>
      </c>
      <c r="CE239" s="102">
        <f t="shared" si="217"/>
        <v>-3.0470914127423823E-2</v>
      </c>
      <c r="CF239" s="36" t="s">
        <v>248</v>
      </c>
      <c r="CG239" s="39" t="s">
        <v>492</v>
      </c>
      <c r="CH239" s="39"/>
      <c r="CI239" s="25">
        <v>2</v>
      </c>
    </row>
    <row r="240" spans="1:87" ht="24.75" customHeight="1">
      <c r="A240" s="36" t="s">
        <v>50</v>
      </c>
      <c r="B240" s="26">
        <v>47573</v>
      </c>
      <c r="C240" s="227" t="s">
        <v>707</v>
      </c>
      <c r="D240" s="36" t="s">
        <v>107</v>
      </c>
      <c r="E240" s="39">
        <v>240</v>
      </c>
      <c r="F240" s="39" t="s">
        <v>55</v>
      </c>
      <c r="G240" s="36" t="s">
        <v>705</v>
      </c>
      <c r="H240" s="36" t="s">
        <v>94</v>
      </c>
      <c r="I240" s="39">
        <v>131</v>
      </c>
      <c r="J240" s="39">
        <v>82</v>
      </c>
      <c r="K240" s="39"/>
      <c r="L240" s="39">
        <f t="shared" si="206"/>
        <v>213</v>
      </c>
      <c r="M240" s="117">
        <v>46181</v>
      </c>
      <c r="N240" s="117">
        <v>46189</v>
      </c>
      <c r="O240" s="39"/>
      <c r="P240" s="39"/>
      <c r="Q240" s="39"/>
      <c r="R240" s="39">
        <f t="shared" si="201"/>
        <v>0</v>
      </c>
      <c r="S240" s="39" t="s">
        <v>28</v>
      </c>
      <c r="T240" s="39"/>
      <c r="U240" s="39"/>
      <c r="V240" s="117">
        <v>46198</v>
      </c>
      <c r="W240" s="39">
        <f>150+91</f>
        <v>241</v>
      </c>
      <c r="X240" s="117">
        <v>46205</v>
      </c>
      <c r="Y240" s="39">
        <v>139</v>
      </c>
      <c r="Z240" s="39">
        <v>86</v>
      </c>
      <c r="AA240" s="39"/>
      <c r="AB240" s="119">
        <f t="shared" si="202"/>
        <v>225</v>
      </c>
      <c r="AC240" s="39"/>
      <c r="AD240" s="39"/>
      <c r="AE240" s="39"/>
      <c r="AF240" s="39"/>
      <c r="AG240" s="39"/>
      <c r="AH240" s="39">
        <f t="shared" si="207"/>
        <v>0</v>
      </c>
      <c r="AI240" s="39"/>
      <c r="AJ240" s="39"/>
      <c r="AK240" s="39"/>
      <c r="AL240" s="39"/>
      <c r="AM240" s="39"/>
      <c r="AN240" s="39">
        <f t="shared" si="4"/>
        <v>0</v>
      </c>
      <c r="AO240" s="39"/>
      <c r="AP240" s="39"/>
      <c r="AQ240" s="39"/>
      <c r="AR240" s="39"/>
      <c r="AS240" s="39"/>
      <c r="AT240" s="39">
        <f t="shared" si="208"/>
        <v>0</v>
      </c>
      <c r="AU240" s="39" t="s">
        <v>256</v>
      </c>
      <c r="AV240" s="117">
        <v>46206</v>
      </c>
      <c r="AW240" s="39">
        <v>141</v>
      </c>
      <c r="AX240" s="117">
        <v>46207</v>
      </c>
      <c r="AY240" s="39">
        <v>138</v>
      </c>
      <c r="AZ240" s="39">
        <f t="shared" si="209"/>
        <v>-3</v>
      </c>
      <c r="BA240" s="39"/>
      <c r="BB240" s="39"/>
      <c r="BC240" s="39"/>
      <c r="BD240" s="39"/>
      <c r="BE240" s="39"/>
      <c r="BF240" s="39">
        <f t="shared" si="210"/>
        <v>0</v>
      </c>
      <c r="BG240" s="39"/>
      <c r="BH240" s="39"/>
      <c r="BI240" s="39"/>
      <c r="BJ240" s="39"/>
      <c r="BK240" s="39"/>
      <c r="BL240" s="39">
        <f t="shared" si="211"/>
        <v>0</v>
      </c>
      <c r="BM240" s="54" t="str">
        <f t="shared" si="212"/>
        <v/>
      </c>
      <c r="BN240" s="66">
        <v>46191</v>
      </c>
      <c r="BO240" s="57">
        <v>46200</v>
      </c>
      <c r="BP240" s="36"/>
      <c r="BQ240" s="36"/>
      <c r="BR240" s="229">
        <v>46210</v>
      </c>
      <c r="BS240" s="229">
        <v>46213</v>
      </c>
      <c r="BT240" s="39">
        <v>1580</v>
      </c>
      <c r="BU240" s="39">
        <v>130</v>
      </c>
      <c r="BV240" s="39">
        <v>1769</v>
      </c>
      <c r="BW240" s="39">
        <v>86</v>
      </c>
      <c r="BX240" s="39"/>
      <c r="BY240" s="39"/>
      <c r="BZ240" s="39">
        <f t="shared" si="213"/>
        <v>216</v>
      </c>
      <c r="CA240" s="39">
        <f t="shared" si="190"/>
        <v>-1</v>
      </c>
      <c r="CB240" s="39">
        <f t="shared" si="214"/>
        <v>4</v>
      </c>
      <c r="CC240" s="39">
        <f t="shared" si="215"/>
        <v>0</v>
      </c>
      <c r="CD240" s="39">
        <v>0</v>
      </c>
      <c r="CE240" s="102">
        <f t="shared" si="217"/>
        <v>0</v>
      </c>
      <c r="CF240" s="36" t="s">
        <v>248</v>
      </c>
      <c r="CG240" s="39" t="s">
        <v>492</v>
      </c>
      <c r="CH240" s="39"/>
      <c r="CI240" s="25">
        <v>2</v>
      </c>
    </row>
    <row r="241" spans="1:87" ht="24.75" customHeight="1">
      <c r="A241" s="36" t="s">
        <v>50</v>
      </c>
      <c r="B241" s="26">
        <v>47573</v>
      </c>
      <c r="C241" s="228"/>
      <c r="D241" s="36" t="s">
        <v>107</v>
      </c>
      <c r="E241" s="39">
        <v>240</v>
      </c>
      <c r="F241" s="39" t="s">
        <v>55</v>
      </c>
      <c r="G241" s="36" t="s">
        <v>706</v>
      </c>
      <c r="H241" s="36" t="s">
        <v>94</v>
      </c>
      <c r="I241" s="39">
        <v>65</v>
      </c>
      <c r="J241" s="39">
        <v>41</v>
      </c>
      <c r="K241" s="39"/>
      <c r="L241" s="39">
        <f t="shared" si="206"/>
        <v>106</v>
      </c>
      <c r="M241" s="117">
        <v>46181</v>
      </c>
      <c r="N241" s="117">
        <v>46189</v>
      </c>
      <c r="O241" s="39"/>
      <c r="P241" s="39"/>
      <c r="Q241" s="39"/>
      <c r="R241" s="39">
        <f t="shared" si="201"/>
        <v>0</v>
      </c>
      <c r="S241" s="39" t="s">
        <v>28</v>
      </c>
      <c r="T241" s="39"/>
      <c r="U241" s="39"/>
      <c r="V241" s="117">
        <v>46198</v>
      </c>
      <c r="W241" s="39">
        <f>76+47</f>
        <v>123</v>
      </c>
      <c r="X241" s="117">
        <v>46202</v>
      </c>
      <c r="Y241" s="39">
        <v>67</v>
      </c>
      <c r="Z241" s="39">
        <v>44</v>
      </c>
      <c r="AA241" s="39"/>
      <c r="AB241" s="119">
        <f t="shared" si="202"/>
        <v>111</v>
      </c>
      <c r="AC241" s="39"/>
      <c r="AD241" s="39"/>
      <c r="AE241" s="39"/>
      <c r="AF241" s="39"/>
      <c r="AG241" s="39"/>
      <c r="AH241" s="39">
        <f t="shared" si="207"/>
        <v>0</v>
      </c>
      <c r="AI241" s="39"/>
      <c r="AJ241" s="39"/>
      <c r="AK241" s="39"/>
      <c r="AL241" s="39"/>
      <c r="AM241" s="39"/>
      <c r="AN241" s="39">
        <f t="shared" si="4"/>
        <v>0</v>
      </c>
      <c r="AO241" s="39"/>
      <c r="AP241" s="39"/>
      <c r="AQ241" s="39"/>
      <c r="AR241" s="39"/>
      <c r="AS241" s="39"/>
      <c r="AT241" s="39">
        <f t="shared" si="208"/>
        <v>0</v>
      </c>
      <c r="AU241" s="39" t="s">
        <v>256</v>
      </c>
      <c r="AV241" s="117">
        <v>46205</v>
      </c>
      <c r="AW241" s="39">
        <v>68</v>
      </c>
      <c r="AX241" s="117">
        <v>46207</v>
      </c>
      <c r="AY241" s="39">
        <v>66</v>
      </c>
      <c r="AZ241" s="39">
        <f t="shared" si="209"/>
        <v>-2</v>
      </c>
      <c r="BA241" s="39"/>
      <c r="BB241" s="39"/>
      <c r="BC241" s="39"/>
      <c r="BD241" s="39"/>
      <c r="BE241" s="39"/>
      <c r="BF241" s="39">
        <f t="shared" si="210"/>
        <v>0</v>
      </c>
      <c r="BG241" s="39"/>
      <c r="BH241" s="39"/>
      <c r="BI241" s="39"/>
      <c r="BJ241" s="39"/>
      <c r="BK241" s="39"/>
      <c r="BL241" s="39">
        <f t="shared" si="211"/>
        <v>0</v>
      </c>
      <c r="BM241" s="54" t="str">
        <f t="shared" si="212"/>
        <v/>
      </c>
      <c r="BN241" s="66">
        <v>46191</v>
      </c>
      <c r="BO241" s="57">
        <v>46200</v>
      </c>
      <c r="BP241" s="36"/>
      <c r="BQ241" s="36"/>
      <c r="BR241" s="230"/>
      <c r="BS241" s="230"/>
      <c r="BT241" s="39">
        <v>1582</v>
      </c>
      <c r="BU241" s="39">
        <f>63</f>
        <v>63</v>
      </c>
      <c r="BV241" s="39">
        <v>1772</v>
      </c>
      <c r="BW241" s="39">
        <v>44</v>
      </c>
      <c r="BX241" s="39"/>
      <c r="BY241" s="39"/>
      <c r="BZ241" s="39">
        <f t="shared" si="213"/>
        <v>107</v>
      </c>
      <c r="CA241" s="39">
        <f t="shared" si="190"/>
        <v>-2</v>
      </c>
      <c r="CB241" s="39">
        <f t="shared" si="214"/>
        <v>3</v>
      </c>
      <c r="CC241" s="39">
        <f t="shared" si="215"/>
        <v>0</v>
      </c>
      <c r="CD241" s="39">
        <v>0</v>
      </c>
      <c r="CE241" s="102">
        <f t="shared" si="217"/>
        <v>0</v>
      </c>
      <c r="CF241" s="36" t="s">
        <v>248</v>
      </c>
      <c r="CG241" s="39" t="s">
        <v>492</v>
      </c>
      <c r="CH241" s="39"/>
      <c r="CI241" s="25">
        <v>2</v>
      </c>
    </row>
    <row r="242" spans="1:87" ht="33" customHeight="1">
      <c r="A242" s="36" t="s">
        <v>50</v>
      </c>
      <c r="B242" s="26">
        <v>47577</v>
      </c>
      <c r="C242" s="36">
        <v>13261558</v>
      </c>
      <c r="D242" s="36"/>
      <c r="E242" s="39">
        <v>200</v>
      </c>
      <c r="F242" s="39" t="s">
        <v>58</v>
      </c>
      <c r="G242" s="36" t="s">
        <v>93</v>
      </c>
      <c r="H242" s="36" t="s">
        <v>504</v>
      </c>
      <c r="I242" s="39">
        <v>323</v>
      </c>
      <c r="J242" s="39"/>
      <c r="K242" s="39"/>
      <c r="L242" s="39">
        <f t="shared" si="206"/>
        <v>323</v>
      </c>
      <c r="M242" s="117">
        <v>46162</v>
      </c>
      <c r="N242" s="117">
        <v>46181</v>
      </c>
      <c r="O242" s="39"/>
      <c r="P242" s="39"/>
      <c r="Q242" s="39"/>
      <c r="R242" s="39">
        <f t="shared" si="201"/>
        <v>0</v>
      </c>
      <c r="S242" s="39" t="s">
        <v>130</v>
      </c>
      <c r="T242" s="39">
        <v>107576</v>
      </c>
      <c r="U242" s="117">
        <v>46212</v>
      </c>
      <c r="V242" s="39"/>
      <c r="W242" s="39"/>
      <c r="X242" s="39"/>
      <c r="Y242" s="39">
        <v>354</v>
      </c>
      <c r="Z242" s="39"/>
      <c r="AA242" s="39"/>
      <c r="AB242" s="119">
        <f t="shared" si="202"/>
        <v>354</v>
      </c>
      <c r="AC242" s="39"/>
      <c r="AD242" s="39"/>
      <c r="AE242" s="39"/>
      <c r="AF242" s="39"/>
      <c r="AG242" s="39"/>
      <c r="AH242" s="39">
        <f t="shared" si="207"/>
        <v>0</v>
      </c>
      <c r="AI242" s="39"/>
      <c r="AJ242" s="39"/>
      <c r="AK242" s="39"/>
      <c r="AL242" s="39"/>
      <c r="AM242" s="39"/>
      <c r="AN242" s="39">
        <f t="shared" si="4"/>
        <v>0</v>
      </c>
      <c r="AO242" s="39"/>
      <c r="AP242" s="39"/>
      <c r="AQ242" s="39"/>
      <c r="AR242" s="39"/>
      <c r="AS242" s="39"/>
      <c r="AT242" s="39">
        <f t="shared" si="208"/>
        <v>0</v>
      </c>
      <c r="AU242" s="39"/>
      <c r="AV242" s="39"/>
      <c r="AW242" s="39"/>
      <c r="AX242" s="39"/>
      <c r="AY242" s="39"/>
      <c r="AZ242" s="39">
        <f t="shared" si="209"/>
        <v>0</v>
      </c>
      <c r="BA242" s="39"/>
      <c r="BB242" s="39"/>
      <c r="BC242" s="39"/>
      <c r="BD242" s="39"/>
      <c r="BE242" s="39"/>
      <c r="BF242" s="39">
        <f t="shared" si="210"/>
        <v>0</v>
      </c>
      <c r="BG242" s="39"/>
      <c r="BH242" s="39"/>
      <c r="BI242" s="39"/>
      <c r="BJ242" s="39"/>
      <c r="BK242" s="39"/>
      <c r="BL242" s="39">
        <f t="shared" si="211"/>
        <v>0</v>
      </c>
      <c r="BM242" s="54" t="str">
        <f t="shared" si="212"/>
        <v/>
      </c>
      <c r="BN242" s="66">
        <v>46188</v>
      </c>
      <c r="BO242" s="57">
        <v>46198</v>
      </c>
      <c r="BP242" s="36"/>
      <c r="BQ242" s="36"/>
      <c r="BR242" s="50">
        <v>46214</v>
      </c>
      <c r="BS242" s="50">
        <v>46214</v>
      </c>
      <c r="BT242" s="39">
        <v>1598</v>
      </c>
      <c r="BU242" s="39">
        <f>318</f>
        <v>318</v>
      </c>
      <c r="BV242" s="39"/>
      <c r="BW242" s="39"/>
      <c r="BX242" s="39"/>
      <c r="BY242" s="39"/>
      <c r="BZ242" s="39">
        <f t="shared" si="213"/>
        <v>318</v>
      </c>
      <c r="CA242" s="39">
        <f t="shared" si="190"/>
        <v>-5</v>
      </c>
      <c r="CB242" s="39">
        <f t="shared" si="214"/>
        <v>0</v>
      </c>
      <c r="CC242" s="39">
        <f t="shared" si="215"/>
        <v>0</v>
      </c>
      <c r="CD242" s="39">
        <v>0</v>
      </c>
      <c r="CE242" s="102">
        <f t="shared" si="217"/>
        <v>0</v>
      </c>
      <c r="CF242" s="36" t="s">
        <v>248</v>
      </c>
      <c r="CG242" s="39" t="s">
        <v>492</v>
      </c>
      <c r="CH242" s="39"/>
      <c r="CI242" s="25">
        <v>2</v>
      </c>
    </row>
    <row r="243" spans="1:87" ht="24.75" customHeight="1">
      <c r="A243" s="36" t="s">
        <v>50</v>
      </c>
      <c r="B243" s="26">
        <v>47584</v>
      </c>
      <c r="C243" s="227">
        <v>13262617</v>
      </c>
      <c r="D243" s="36" t="s">
        <v>45</v>
      </c>
      <c r="E243" s="39">
        <v>240</v>
      </c>
      <c r="F243" s="39" t="s">
        <v>55</v>
      </c>
      <c r="G243" s="36" t="s">
        <v>488</v>
      </c>
      <c r="H243" s="36" t="s">
        <v>404</v>
      </c>
      <c r="I243" s="39">
        <v>79</v>
      </c>
      <c r="J243" s="39"/>
      <c r="K243" s="39"/>
      <c r="L243" s="39">
        <f t="shared" si="206"/>
        <v>79</v>
      </c>
      <c r="M243" s="117">
        <v>46179</v>
      </c>
      <c r="N243" s="117">
        <v>46183</v>
      </c>
      <c r="O243" s="39"/>
      <c r="P243" s="39"/>
      <c r="Q243" s="39"/>
      <c r="R243" s="39">
        <f t="shared" si="201"/>
        <v>0</v>
      </c>
      <c r="S243" s="39" t="s">
        <v>130</v>
      </c>
      <c r="T243" s="39">
        <v>107504</v>
      </c>
      <c r="U243" s="117">
        <v>46207</v>
      </c>
      <c r="V243" s="39"/>
      <c r="W243" s="39"/>
      <c r="X243" s="39"/>
      <c r="Y243" s="39">
        <v>101</v>
      </c>
      <c r="Z243" s="39"/>
      <c r="AA243" s="39"/>
      <c r="AB243" s="119">
        <f t="shared" si="202"/>
        <v>101</v>
      </c>
      <c r="AC243" s="39"/>
      <c r="AD243" s="39"/>
      <c r="AE243" s="39"/>
      <c r="AF243" s="39"/>
      <c r="AG243" s="39"/>
      <c r="AH243" s="39">
        <f t="shared" si="207"/>
        <v>0</v>
      </c>
      <c r="AI243" s="39"/>
      <c r="AJ243" s="39"/>
      <c r="AK243" s="39"/>
      <c r="AL243" s="39"/>
      <c r="AM243" s="39"/>
      <c r="AN243" s="39">
        <f t="shared" si="4"/>
        <v>0</v>
      </c>
      <c r="AO243" s="39" t="s">
        <v>257</v>
      </c>
      <c r="AP243" s="117">
        <v>46210</v>
      </c>
      <c r="AQ243" s="39">
        <v>90</v>
      </c>
      <c r="AR243" s="117">
        <v>46217</v>
      </c>
      <c r="AS243" s="39">
        <v>88</v>
      </c>
      <c r="AT243" s="39">
        <f t="shared" si="208"/>
        <v>-2</v>
      </c>
      <c r="AU243" s="39"/>
      <c r="AV243" s="39"/>
      <c r="AW243" s="39"/>
      <c r="AX243" s="39"/>
      <c r="AY243" s="39"/>
      <c r="AZ243" s="39">
        <f t="shared" si="209"/>
        <v>0</v>
      </c>
      <c r="BA243" s="39"/>
      <c r="BB243" s="39"/>
      <c r="BC243" s="39"/>
      <c r="BD243" s="39"/>
      <c r="BE243" s="39"/>
      <c r="BF243" s="39">
        <f t="shared" si="210"/>
        <v>0</v>
      </c>
      <c r="BG243" s="39"/>
      <c r="BH243" s="39"/>
      <c r="BI243" s="39"/>
      <c r="BJ243" s="39"/>
      <c r="BK243" s="39"/>
      <c r="BL243" s="39">
        <f t="shared" si="211"/>
        <v>0</v>
      </c>
      <c r="BM243" s="54" t="str">
        <f t="shared" si="212"/>
        <v/>
      </c>
      <c r="BN243" s="66">
        <v>46188</v>
      </c>
      <c r="BO243" s="57">
        <v>46200</v>
      </c>
      <c r="BP243" s="36"/>
      <c r="BQ243" s="36"/>
      <c r="BR243" s="229">
        <v>46218</v>
      </c>
      <c r="BS243" s="229">
        <v>46223</v>
      </c>
      <c r="BT243" s="39" t="s">
        <v>1870</v>
      </c>
      <c r="BU243" s="39">
        <f>81+6</f>
        <v>87</v>
      </c>
      <c r="BV243" s="39"/>
      <c r="BW243" s="39"/>
      <c r="BX243" s="39"/>
      <c r="BY243" s="39"/>
      <c r="BZ243" s="39">
        <f t="shared" si="213"/>
        <v>87</v>
      </c>
      <c r="CA243" s="39">
        <f t="shared" si="190"/>
        <v>8</v>
      </c>
      <c r="CB243" s="39">
        <f t="shared" si="214"/>
        <v>0</v>
      </c>
      <c r="CC243" s="39">
        <f t="shared" si="215"/>
        <v>0</v>
      </c>
      <c r="CD243" s="39">
        <f t="shared" si="216"/>
        <v>0</v>
      </c>
      <c r="CE243" s="102">
        <f t="shared" si="217"/>
        <v>0</v>
      </c>
      <c r="CF243" s="36" t="s">
        <v>248</v>
      </c>
      <c r="CG243" s="39" t="s">
        <v>492</v>
      </c>
      <c r="CH243" s="39"/>
      <c r="CI243" s="25">
        <v>2</v>
      </c>
    </row>
    <row r="244" spans="1:87" ht="24.75" customHeight="1">
      <c r="A244" s="36" t="s">
        <v>50</v>
      </c>
      <c r="B244" s="26">
        <v>47584</v>
      </c>
      <c r="C244" s="228"/>
      <c r="D244" s="36" t="s">
        <v>45</v>
      </c>
      <c r="E244" s="39">
        <v>240</v>
      </c>
      <c r="F244" s="39" t="s">
        <v>55</v>
      </c>
      <c r="G244" s="36" t="s">
        <v>671</v>
      </c>
      <c r="H244" s="36" t="s">
        <v>404</v>
      </c>
      <c r="I244" s="39">
        <v>72</v>
      </c>
      <c r="J244" s="39"/>
      <c r="K244" s="39"/>
      <c r="L244" s="39">
        <f t="shared" si="206"/>
        <v>72</v>
      </c>
      <c r="M244" s="117">
        <v>46179</v>
      </c>
      <c r="N244" s="117">
        <v>46183</v>
      </c>
      <c r="O244" s="39"/>
      <c r="P244" s="39"/>
      <c r="Q244" s="39"/>
      <c r="R244" s="39">
        <f t="shared" si="201"/>
        <v>0</v>
      </c>
      <c r="S244" s="39" t="s">
        <v>28</v>
      </c>
      <c r="T244" s="39"/>
      <c r="U244" s="39"/>
      <c r="V244" s="117">
        <v>46195</v>
      </c>
      <c r="W244" s="39">
        <v>87</v>
      </c>
      <c r="X244" s="117">
        <v>46201</v>
      </c>
      <c r="Y244" s="39">
        <v>81</v>
      </c>
      <c r="Z244" s="39"/>
      <c r="AA244" s="39"/>
      <c r="AB244" s="119">
        <f t="shared" si="202"/>
        <v>81</v>
      </c>
      <c r="AC244" s="39"/>
      <c r="AD244" s="39"/>
      <c r="AE244" s="39"/>
      <c r="AF244" s="39"/>
      <c r="AG244" s="39"/>
      <c r="AH244" s="39">
        <f t="shared" si="207"/>
        <v>0</v>
      </c>
      <c r="AI244" s="39"/>
      <c r="AJ244" s="39"/>
      <c r="AK244" s="39"/>
      <c r="AL244" s="39"/>
      <c r="AM244" s="39"/>
      <c r="AN244" s="39">
        <f t="shared" si="4"/>
        <v>0</v>
      </c>
      <c r="AO244" s="39" t="s">
        <v>280</v>
      </c>
      <c r="AP244" s="117">
        <v>46202</v>
      </c>
      <c r="AQ244" s="39">
        <v>81</v>
      </c>
      <c r="AR244" s="117">
        <v>46209</v>
      </c>
      <c r="AS244" s="39">
        <v>80</v>
      </c>
      <c r="AT244" s="39">
        <f t="shared" si="208"/>
        <v>-1</v>
      </c>
      <c r="AU244" s="39" t="s">
        <v>257</v>
      </c>
      <c r="AV244" s="117">
        <v>46209</v>
      </c>
      <c r="AW244" s="39">
        <v>80</v>
      </c>
      <c r="AX244" s="117">
        <v>46210</v>
      </c>
      <c r="AY244" s="39">
        <v>78</v>
      </c>
      <c r="AZ244" s="39">
        <f t="shared" si="209"/>
        <v>-2</v>
      </c>
      <c r="BA244" s="39"/>
      <c r="BB244" s="39"/>
      <c r="BC244" s="39"/>
      <c r="BD244" s="39"/>
      <c r="BE244" s="39"/>
      <c r="BF244" s="39">
        <f t="shared" si="210"/>
        <v>0</v>
      </c>
      <c r="BG244" s="39"/>
      <c r="BH244" s="39"/>
      <c r="BI244" s="39"/>
      <c r="BJ244" s="39"/>
      <c r="BK244" s="39"/>
      <c r="BL244" s="39">
        <f t="shared" si="211"/>
        <v>0</v>
      </c>
      <c r="BM244" s="54" t="str">
        <f t="shared" si="212"/>
        <v/>
      </c>
      <c r="BN244" s="66">
        <v>46188</v>
      </c>
      <c r="BO244" s="57">
        <v>46200</v>
      </c>
      <c r="BP244" s="36"/>
      <c r="BQ244" s="36"/>
      <c r="BR244" s="230"/>
      <c r="BS244" s="230"/>
      <c r="BT244" s="39">
        <v>1803</v>
      </c>
      <c r="BU244" s="39">
        <v>77</v>
      </c>
      <c r="BV244" s="39"/>
      <c r="BW244" s="39"/>
      <c r="BX244" s="39"/>
      <c r="BY244" s="39"/>
      <c r="BZ244" s="39">
        <f t="shared" si="213"/>
        <v>77</v>
      </c>
      <c r="CA244" s="39">
        <f t="shared" si="190"/>
        <v>5</v>
      </c>
      <c r="CB244" s="39">
        <f t="shared" si="214"/>
        <v>0</v>
      </c>
      <c r="CC244" s="39">
        <f t="shared" si="215"/>
        <v>0</v>
      </c>
      <c r="CD244" s="39">
        <f t="shared" si="216"/>
        <v>0</v>
      </c>
      <c r="CE244" s="102">
        <f t="shared" si="217"/>
        <v>0</v>
      </c>
      <c r="CF244" s="36" t="s">
        <v>248</v>
      </c>
      <c r="CG244" s="39" t="s">
        <v>492</v>
      </c>
      <c r="CH244" s="39"/>
      <c r="CI244" s="25">
        <v>2</v>
      </c>
    </row>
    <row r="245" spans="1:87" ht="24.75" customHeight="1">
      <c r="A245" s="36" t="s">
        <v>50</v>
      </c>
      <c r="B245" s="26">
        <v>47587</v>
      </c>
      <c r="C245" s="227">
        <v>13262630</v>
      </c>
      <c r="D245" s="36"/>
      <c r="E245" s="39">
        <v>200</v>
      </c>
      <c r="F245" s="39" t="s">
        <v>60</v>
      </c>
      <c r="G245" s="36" t="s">
        <v>671</v>
      </c>
      <c r="H245" s="36" t="s">
        <v>89</v>
      </c>
      <c r="I245" s="39">
        <v>114</v>
      </c>
      <c r="J245" s="39"/>
      <c r="K245" s="39">
        <v>78</v>
      </c>
      <c r="L245" s="39">
        <f t="shared" si="206"/>
        <v>192</v>
      </c>
      <c r="M245" s="117">
        <v>46159</v>
      </c>
      <c r="N245" s="117">
        <v>46162</v>
      </c>
      <c r="O245" s="39"/>
      <c r="P245" s="39"/>
      <c r="Q245" s="39"/>
      <c r="R245" s="39">
        <f t="shared" si="201"/>
        <v>0</v>
      </c>
      <c r="S245" s="39" t="s">
        <v>590</v>
      </c>
      <c r="T245" s="39"/>
      <c r="U245" s="39"/>
      <c r="V245" s="117">
        <v>46157</v>
      </c>
      <c r="W245" s="39">
        <f>138+96</f>
        <v>234</v>
      </c>
      <c r="X245" s="117">
        <v>46207</v>
      </c>
      <c r="Y245" s="39">
        <v>115</v>
      </c>
      <c r="Z245" s="39"/>
      <c r="AA245" s="39">
        <v>85</v>
      </c>
      <c r="AB245" s="119">
        <f t="shared" si="202"/>
        <v>200</v>
      </c>
      <c r="AC245" s="39"/>
      <c r="AD245" s="39"/>
      <c r="AE245" s="39"/>
      <c r="AF245" s="39"/>
      <c r="AG245" s="39"/>
      <c r="AH245" s="39">
        <f t="shared" si="207"/>
        <v>0</v>
      </c>
      <c r="AI245" s="39"/>
      <c r="AJ245" s="39"/>
      <c r="AK245" s="39"/>
      <c r="AL245" s="39"/>
      <c r="AM245" s="39"/>
      <c r="AN245" s="39">
        <f t="shared" si="4"/>
        <v>0</v>
      </c>
      <c r="AO245" s="39"/>
      <c r="AP245" s="39"/>
      <c r="AQ245" s="39"/>
      <c r="AR245" s="39"/>
      <c r="AS245" s="39"/>
      <c r="AT245" s="39">
        <f t="shared" si="208"/>
        <v>0</v>
      </c>
      <c r="AU245" s="39"/>
      <c r="AV245" s="39"/>
      <c r="AW245" s="39"/>
      <c r="AX245" s="39"/>
      <c r="AY245" s="39"/>
      <c r="AZ245" s="39">
        <f t="shared" si="209"/>
        <v>0</v>
      </c>
      <c r="BA245" s="39"/>
      <c r="BB245" s="39"/>
      <c r="BC245" s="39"/>
      <c r="BD245" s="39"/>
      <c r="BE245" s="39"/>
      <c r="BF245" s="39">
        <f t="shared" si="210"/>
        <v>0</v>
      </c>
      <c r="BG245" s="39"/>
      <c r="BH245" s="39"/>
      <c r="BI245" s="39"/>
      <c r="BJ245" s="39"/>
      <c r="BK245" s="39"/>
      <c r="BL245" s="39">
        <f t="shared" si="211"/>
        <v>0</v>
      </c>
      <c r="BM245" s="54" t="str">
        <f t="shared" si="212"/>
        <v/>
      </c>
      <c r="BN245" s="66">
        <v>46193</v>
      </c>
      <c r="BO245" s="57">
        <v>46203</v>
      </c>
      <c r="BP245" s="36"/>
      <c r="BQ245" s="36"/>
      <c r="BR245" s="229">
        <v>46213</v>
      </c>
      <c r="BS245" s="229">
        <v>46213</v>
      </c>
      <c r="BT245" s="39">
        <v>1591</v>
      </c>
      <c r="BU245" s="39">
        <v>116</v>
      </c>
      <c r="BV245" s="39"/>
      <c r="BW245" s="39"/>
      <c r="BX245" s="39">
        <v>1591</v>
      </c>
      <c r="BY245" s="39">
        <v>79</v>
      </c>
      <c r="BZ245" s="39">
        <f t="shared" si="213"/>
        <v>195</v>
      </c>
      <c r="CA245" s="39">
        <f t="shared" si="190"/>
        <v>2</v>
      </c>
      <c r="CB245" s="39">
        <f t="shared" si="214"/>
        <v>0</v>
      </c>
      <c r="CC245" s="39">
        <f t="shared" si="215"/>
        <v>1</v>
      </c>
      <c r="CD245" s="39">
        <f t="shared" si="216"/>
        <v>0</v>
      </c>
      <c r="CE245" s="102">
        <f t="shared" si="217"/>
        <v>0</v>
      </c>
      <c r="CF245" s="36" t="s">
        <v>248</v>
      </c>
      <c r="CG245" s="39" t="s">
        <v>492</v>
      </c>
      <c r="CH245" s="39"/>
      <c r="CI245" s="25">
        <v>2</v>
      </c>
    </row>
    <row r="246" spans="1:87" ht="24.75" customHeight="1">
      <c r="A246" s="36" t="s">
        <v>50</v>
      </c>
      <c r="B246" s="26">
        <v>47587</v>
      </c>
      <c r="C246" s="231"/>
      <c r="D246" s="36"/>
      <c r="E246" s="39"/>
      <c r="F246" s="39"/>
      <c r="G246" s="36" t="s">
        <v>708</v>
      </c>
      <c r="H246" s="36">
        <v>1178</v>
      </c>
      <c r="I246" s="39" t="s">
        <v>90</v>
      </c>
      <c r="J246" s="39"/>
      <c r="K246" s="39"/>
      <c r="L246" s="39">
        <f t="shared" si="206"/>
        <v>0</v>
      </c>
      <c r="M246" s="117">
        <v>46159</v>
      </c>
      <c r="N246" s="117">
        <v>46162</v>
      </c>
      <c r="O246" s="39"/>
      <c r="P246" s="39"/>
      <c r="Q246" s="39"/>
      <c r="R246" s="39">
        <f t="shared" si="201"/>
        <v>0</v>
      </c>
      <c r="S246" s="39" t="s">
        <v>130</v>
      </c>
      <c r="T246" s="39"/>
      <c r="U246" s="39"/>
      <c r="V246" s="39"/>
      <c r="W246" s="39"/>
      <c r="X246" s="39"/>
      <c r="Y246" s="39"/>
      <c r="Z246" s="39"/>
      <c r="AA246" s="39"/>
      <c r="AB246" s="39">
        <f t="shared" si="202"/>
        <v>0</v>
      </c>
      <c r="AC246" s="39"/>
      <c r="AD246" s="39"/>
      <c r="AE246" s="39"/>
      <c r="AF246" s="39"/>
      <c r="AG246" s="39"/>
      <c r="AH246" s="39">
        <f t="shared" si="207"/>
        <v>0</v>
      </c>
      <c r="AI246" s="39"/>
      <c r="AJ246" s="39"/>
      <c r="AK246" s="39"/>
      <c r="AL246" s="39"/>
      <c r="AM246" s="39"/>
      <c r="AN246" s="39">
        <f t="shared" si="4"/>
        <v>0</v>
      </c>
      <c r="AO246" s="39"/>
      <c r="AP246" s="39"/>
      <c r="AQ246" s="39"/>
      <c r="AR246" s="39"/>
      <c r="AS246" s="39"/>
      <c r="AT246" s="39">
        <f t="shared" si="208"/>
        <v>0</v>
      </c>
      <c r="AU246" s="39"/>
      <c r="AV246" s="39"/>
      <c r="AW246" s="39"/>
      <c r="AX246" s="39"/>
      <c r="AY246" s="39"/>
      <c r="AZ246" s="39">
        <f t="shared" si="209"/>
        <v>0</v>
      </c>
      <c r="BA246" s="39"/>
      <c r="BB246" s="39"/>
      <c r="BC246" s="39"/>
      <c r="BD246" s="39"/>
      <c r="BE246" s="39"/>
      <c r="BF246" s="39">
        <f t="shared" si="210"/>
        <v>0</v>
      </c>
      <c r="BG246" s="39"/>
      <c r="BH246" s="39"/>
      <c r="BI246" s="39"/>
      <c r="BJ246" s="39"/>
      <c r="BK246" s="39"/>
      <c r="BL246" s="39">
        <f t="shared" si="211"/>
        <v>0</v>
      </c>
      <c r="BM246" s="54" t="e">
        <f t="shared" si="212"/>
        <v>#DIV/0!</v>
      </c>
      <c r="BN246" s="66">
        <v>46193</v>
      </c>
      <c r="BO246" s="57">
        <v>46203</v>
      </c>
      <c r="BP246" s="36"/>
      <c r="BQ246" s="36"/>
      <c r="BR246" s="232"/>
      <c r="BS246" s="232"/>
      <c r="BT246" s="39"/>
      <c r="BU246" s="39"/>
      <c r="BV246" s="39"/>
      <c r="BW246" s="39"/>
      <c r="BX246" s="39"/>
      <c r="BY246" s="39"/>
      <c r="BZ246" s="39">
        <f t="shared" si="213"/>
        <v>0</v>
      </c>
      <c r="CA246" s="39" t="e">
        <f t="shared" si="190"/>
        <v>#VALUE!</v>
      </c>
      <c r="CB246" s="39">
        <f t="shared" si="214"/>
        <v>0</v>
      </c>
      <c r="CC246" s="39">
        <f t="shared" si="215"/>
        <v>0</v>
      </c>
      <c r="CD246" s="39">
        <f t="shared" si="216"/>
        <v>0</v>
      </c>
      <c r="CE246" s="102" t="e">
        <f t="shared" si="217"/>
        <v>#DIV/0!</v>
      </c>
      <c r="CF246" s="36" t="s">
        <v>248</v>
      </c>
      <c r="CG246" s="39" t="s">
        <v>492</v>
      </c>
      <c r="CH246" s="39"/>
      <c r="CI246" s="25">
        <v>2</v>
      </c>
    </row>
    <row r="247" spans="1:87" ht="24.75" customHeight="1">
      <c r="A247" s="36" t="s">
        <v>50</v>
      </c>
      <c r="B247" s="26">
        <v>47587</v>
      </c>
      <c r="C247" s="228"/>
      <c r="D247" s="36"/>
      <c r="E247" s="39"/>
      <c r="F247" s="39"/>
      <c r="G247" s="36" t="s">
        <v>709</v>
      </c>
      <c r="H247" s="36">
        <v>825</v>
      </c>
      <c r="I247" s="39" t="s">
        <v>90</v>
      </c>
      <c r="J247" s="39"/>
      <c r="K247" s="39"/>
      <c r="L247" s="39">
        <f t="shared" si="206"/>
        <v>0</v>
      </c>
      <c r="M247" s="117">
        <v>46159</v>
      </c>
      <c r="N247" s="117">
        <v>46162</v>
      </c>
      <c r="O247" s="39"/>
      <c r="P247" s="39"/>
      <c r="Q247" s="39"/>
      <c r="R247" s="39">
        <f t="shared" si="201"/>
        <v>0</v>
      </c>
      <c r="S247" s="39" t="s">
        <v>130</v>
      </c>
      <c r="T247" s="39"/>
      <c r="U247" s="39"/>
      <c r="V247" s="39"/>
      <c r="W247" s="39"/>
      <c r="X247" s="39"/>
      <c r="Y247" s="39"/>
      <c r="Z247" s="39"/>
      <c r="AA247" s="39"/>
      <c r="AB247" s="39">
        <f t="shared" si="202"/>
        <v>0</v>
      </c>
      <c r="AC247" s="39"/>
      <c r="AD247" s="39"/>
      <c r="AE247" s="39"/>
      <c r="AF247" s="39"/>
      <c r="AG247" s="39"/>
      <c r="AH247" s="39">
        <f t="shared" si="207"/>
        <v>0</v>
      </c>
      <c r="AI247" s="39"/>
      <c r="AJ247" s="39"/>
      <c r="AK247" s="39"/>
      <c r="AL247" s="39"/>
      <c r="AM247" s="39"/>
      <c r="AN247" s="39">
        <f t="shared" si="4"/>
        <v>0</v>
      </c>
      <c r="AO247" s="39"/>
      <c r="AP247" s="39"/>
      <c r="AQ247" s="39"/>
      <c r="AR247" s="39"/>
      <c r="AS247" s="39"/>
      <c r="AT247" s="39">
        <f t="shared" si="208"/>
        <v>0</v>
      </c>
      <c r="AU247" s="39"/>
      <c r="AV247" s="39"/>
      <c r="AW247" s="39"/>
      <c r="AX247" s="39"/>
      <c r="AY247" s="39"/>
      <c r="AZ247" s="39">
        <f t="shared" si="209"/>
        <v>0</v>
      </c>
      <c r="BA247" s="39"/>
      <c r="BB247" s="39"/>
      <c r="BC247" s="39"/>
      <c r="BD247" s="39"/>
      <c r="BE247" s="39"/>
      <c r="BF247" s="39">
        <f t="shared" si="210"/>
        <v>0</v>
      </c>
      <c r="BG247" s="39"/>
      <c r="BH247" s="39"/>
      <c r="BI247" s="39"/>
      <c r="BJ247" s="39"/>
      <c r="BK247" s="39"/>
      <c r="BL247" s="39">
        <f t="shared" si="211"/>
        <v>0</v>
      </c>
      <c r="BM247" s="54" t="e">
        <f t="shared" si="212"/>
        <v>#DIV/0!</v>
      </c>
      <c r="BN247" s="66">
        <v>46193</v>
      </c>
      <c r="BO247" s="57">
        <v>46203</v>
      </c>
      <c r="BP247" s="36"/>
      <c r="BQ247" s="36"/>
      <c r="BR247" s="230"/>
      <c r="BS247" s="230"/>
      <c r="BT247" s="39"/>
      <c r="BU247" s="39"/>
      <c r="BV247" s="39"/>
      <c r="BW247" s="39"/>
      <c r="BX247" s="39"/>
      <c r="BY247" s="39"/>
      <c r="BZ247" s="39">
        <f t="shared" si="213"/>
        <v>0</v>
      </c>
      <c r="CA247" s="39" t="e">
        <f t="shared" si="190"/>
        <v>#VALUE!</v>
      </c>
      <c r="CB247" s="39">
        <f t="shared" si="214"/>
        <v>0</v>
      </c>
      <c r="CC247" s="39">
        <f t="shared" si="215"/>
        <v>0</v>
      </c>
      <c r="CD247" s="39">
        <f t="shared" si="216"/>
        <v>0</v>
      </c>
      <c r="CE247" s="102" t="e">
        <f t="shared" si="217"/>
        <v>#DIV/0!</v>
      </c>
      <c r="CF247" s="36" t="s">
        <v>248</v>
      </c>
      <c r="CG247" s="39" t="s">
        <v>492</v>
      </c>
      <c r="CH247" s="39"/>
      <c r="CI247" s="25">
        <v>2</v>
      </c>
    </row>
    <row r="248" spans="1:87" ht="24.75" customHeight="1">
      <c r="A248" s="36" t="s">
        <v>50</v>
      </c>
      <c r="B248" s="26">
        <v>47588</v>
      </c>
      <c r="C248" s="227">
        <v>13262631</v>
      </c>
      <c r="D248" s="36"/>
      <c r="E248" s="39">
        <v>120</v>
      </c>
      <c r="F248" s="39" t="s">
        <v>59</v>
      </c>
      <c r="G248" s="36" t="s">
        <v>308</v>
      </c>
      <c r="H248" s="36" t="s">
        <v>22</v>
      </c>
      <c r="I248" s="39">
        <v>43</v>
      </c>
      <c r="J248" s="39"/>
      <c r="K248" s="39"/>
      <c r="L248" s="39">
        <f t="shared" si="206"/>
        <v>43</v>
      </c>
      <c r="M248" s="117">
        <v>46157</v>
      </c>
      <c r="N248" s="117">
        <v>46159</v>
      </c>
      <c r="O248" s="39"/>
      <c r="P248" s="39"/>
      <c r="Q248" s="39"/>
      <c r="R248" s="39">
        <f t="shared" si="201"/>
        <v>0</v>
      </c>
      <c r="S248" s="39" t="s">
        <v>130</v>
      </c>
      <c r="T248" s="39">
        <v>107243</v>
      </c>
      <c r="U248" s="117">
        <v>46206</v>
      </c>
      <c r="V248" s="39"/>
      <c r="W248" s="39"/>
      <c r="X248" s="39"/>
      <c r="Y248" s="39">
        <v>55</v>
      </c>
      <c r="Z248" s="39"/>
      <c r="AA248" s="39"/>
      <c r="AB248" s="119">
        <f t="shared" si="202"/>
        <v>55</v>
      </c>
      <c r="AC248" s="39"/>
      <c r="AD248" s="39"/>
      <c r="AE248" s="39"/>
      <c r="AF248" s="39"/>
      <c r="AG248" s="39"/>
      <c r="AH248" s="39">
        <f t="shared" si="207"/>
        <v>0</v>
      </c>
      <c r="AI248" s="39"/>
      <c r="AJ248" s="39"/>
      <c r="AK248" s="39"/>
      <c r="AL248" s="39"/>
      <c r="AM248" s="39"/>
      <c r="AN248" s="39">
        <f t="shared" si="4"/>
        <v>0</v>
      </c>
      <c r="AO248" s="39"/>
      <c r="AP248" s="39"/>
      <c r="AQ248" s="39"/>
      <c r="AR248" s="39"/>
      <c r="AS248" s="39"/>
      <c r="AT248" s="39">
        <f t="shared" si="208"/>
        <v>0</v>
      </c>
      <c r="AU248" s="39"/>
      <c r="AV248" s="39"/>
      <c r="AW248" s="39"/>
      <c r="AX248" s="39"/>
      <c r="AY248" s="39"/>
      <c r="AZ248" s="39">
        <f t="shared" si="209"/>
        <v>0</v>
      </c>
      <c r="BA248" s="39"/>
      <c r="BB248" s="39"/>
      <c r="BC248" s="39"/>
      <c r="BD248" s="39"/>
      <c r="BE248" s="39"/>
      <c r="BF248" s="39">
        <f t="shared" si="210"/>
        <v>0</v>
      </c>
      <c r="BG248" s="39"/>
      <c r="BH248" s="39"/>
      <c r="BI248" s="39"/>
      <c r="BJ248" s="39"/>
      <c r="BK248" s="39"/>
      <c r="BL248" s="39">
        <f t="shared" si="211"/>
        <v>0</v>
      </c>
      <c r="BM248" s="54" t="str">
        <f t="shared" si="212"/>
        <v/>
      </c>
      <c r="BN248" s="66">
        <v>46193</v>
      </c>
      <c r="BO248" s="57">
        <v>46200</v>
      </c>
      <c r="BP248" s="36"/>
      <c r="BQ248" s="36"/>
      <c r="BR248" s="229">
        <v>46209</v>
      </c>
      <c r="BS248" s="229">
        <v>46209</v>
      </c>
      <c r="BT248" s="39">
        <v>1568</v>
      </c>
      <c r="BU248" s="39">
        <v>43</v>
      </c>
      <c r="BV248" s="39"/>
      <c r="BW248" s="39"/>
      <c r="BX248" s="39"/>
      <c r="BY248" s="39"/>
      <c r="BZ248" s="39">
        <f t="shared" si="213"/>
        <v>43</v>
      </c>
      <c r="CA248" s="39">
        <f t="shared" si="190"/>
        <v>0</v>
      </c>
      <c r="CB248" s="39">
        <f t="shared" si="214"/>
        <v>0</v>
      </c>
      <c r="CC248" s="39">
        <f t="shared" si="215"/>
        <v>0</v>
      </c>
      <c r="CD248" s="39">
        <f t="shared" si="216"/>
        <v>0</v>
      </c>
      <c r="CE248" s="102">
        <f t="shared" si="217"/>
        <v>0</v>
      </c>
      <c r="CF248" s="36" t="s">
        <v>248</v>
      </c>
      <c r="CG248" s="39" t="s">
        <v>492</v>
      </c>
      <c r="CH248" s="39"/>
      <c r="CI248" s="25">
        <v>2</v>
      </c>
    </row>
    <row r="249" spans="1:87" ht="24.75" customHeight="1">
      <c r="A249" s="36" t="s">
        <v>50</v>
      </c>
      <c r="B249" s="26">
        <v>47588</v>
      </c>
      <c r="C249" s="231"/>
      <c r="D249" s="36"/>
      <c r="E249" s="39"/>
      <c r="F249" s="39"/>
      <c r="G249" s="36" t="s">
        <v>708</v>
      </c>
      <c r="H249" s="36">
        <v>537</v>
      </c>
      <c r="I249" s="39" t="s">
        <v>90</v>
      </c>
      <c r="J249" s="39"/>
      <c r="K249" s="39"/>
      <c r="L249" s="39">
        <f t="shared" si="206"/>
        <v>0</v>
      </c>
      <c r="M249" s="117">
        <v>46157</v>
      </c>
      <c r="N249" s="117">
        <v>46159</v>
      </c>
      <c r="O249" s="39"/>
      <c r="P249" s="39"/>
      <c r="Q249" s="39"/>
      <c r="R249" s="39">
        <f t="shared" si="201"/>
        <v>0</v>
      </c>
      <c r="S249" s="39" t="s">
        <v>130</v>
      </c>
      <c r="T249" s="39"/>
      <c r="U249" s="39"/>
      <c r="V249" s="39"/>
      <c r="W249" s="39"/>
      <c r="X249" s="39"/>
      <c r="Y249" s="39"/>
      <c r="Z249" s="39"/>
      <c r="AA249" s="39"/>
      <c r="AB249" s="39">
        <f t="shared" si="202"/>
        <v>0</v>
      </c>
      <c r="AC249" s="39"/>
      <c r="AD249" s="39"/>
      <c r="AE249" s="39"/>
      <c r="AF249" s="39"/>
      <c r="AG249" s="39"/>
      <c r="AH249" s="39">
        <f t="shared" si="207"/>
        <v>0</v>
      </c>
      <c r="AI249" s="39"/>
      <c r="AJ249" s="39"/>
      <c r="AK249" s="39"/>
      <c r="AL249" s="39"/>
      <c r="AM249" s="39"/>
      <c r="AN249" s="39">
        <f t="shared" si="4"/>
        <v>0</v>
      </c>
      <c r="AO249" s="39"/>
      <c r="AP249" s="39"/>
      <c r="AQ249" s="39"/>
      <c r="AR249" s="39"/>
      <c r="AS249" s="39"/>
      <c r="AT249" s="39">
        <f t="shared" si="208"/>
        <v>0</v>
      </c>
      <c r="AU249" s="39"/>
      <c r="AV249" s="39"/>
      <c r="AW249" s="39"/>
      <c r="AX249" s="39"/>
      <c r="AY249" s="39"/>
      <c r="AZ249" s="39">
        <f t="shared" si="209"/>
        <v>0</v>
      </c>
      <c r="BA249" s="39"/>
      <c r="BB249" s="39"/>
      <c r="BC249" s="39"/>
      <c r="BD249" s="39"/>
      <c r="BE249" s="39"/>
      <c r="BF249" s="39">
        <f t="shared" si="210"/>
        <v>0</v>
      </c>
      <c r="BG249" s="39"/>
      <c r="BH249" s="39"/>
      <c r="BI249" s="39"/>
      <c r="BJ249" s="39"/>
      <c r="BK249" s="39"/>
      <c r="BL249" s="39">
        <f t="shared" si="211"/>
        <v>0</v>
      </c>
      <c r="BM249" s="54" t="e">
        <f t="shared" si="212"/>
        <v>#DIV/0!</v>
      </c>
      <c r="BN249" s="66">
        <v>46193</v>
      </c>
      <c r="BO249" s="57">
        <v>46200</v>
      </c>
      <c r="BP249" s="36"/>
      <c r="BQ249" s="36"/>
      <c r="BR249" s="232"/>
      <c r="BS249" s="232"/>
      <c r="BT249" s="39"/>
      <c r="BU249" s="39"/>
      <c r="BV249" s="39"/>
      <c r="BW249" s="39"/>
      <c r="BX249" s="39"/>
      <c r="BY249" s="39"/>
      <c r="BZ249" s="39">
        <f t="shared" si="213"/>
        <v>0</v>
      </c>
      <c r="CA249" s="39" t="e">
        <f t="shared" si="190"/>
        <v>#VALUE!</v>
      </c>
      <c r="CB249" s="39">
        <f t="shared" si="214"/>
        <v>0</v>
      </c>
      <c r="CC249" s="39">
        <f t="shared" si="215"/>
        <v>0</v>
      </c>
      <c r="CD249" s="39">
        <f t="shared" si="216"/>
        <v>0</v>
      </c>
      <c r="CE249" s="102" t="e">
        <f t="shared" si="217"/>
        <v>#DIV/0!</v>
      </c>
      <c r="CF249" s="36" t="s">
        <v>248</v>
      </c>
      <c r="CG249" s="39" t="s">
        <v>492</v>
      </c>
      <c r="CH249" s="39"/>
      <c r="CI249" s="25">
        <v>2</v>
      </c>
    </row>
    <row r="250" spans="1:87" ht="24.75" customHeight="1">
      <c r="A250" s="36" t="s">
        <v>50</v>
      </c>
      <c r="B250" s="26">
        <v>47588</v>
      </c>
      <c r="C250" s="228"/>
      <c r="D250" s="36"/>
      <c r="E250" s="39"/>
      <c r="F250" s="39"/>
      <c r="G250" s="36" t="s">
        <v>709</v>
      </c>
      <c r="H250" s="36">
        <v>363</v>
      </c>
      <c r="I250" s="39" t="s">
        <v>90</v>
      </c>
      <c r="J250" s="39"/>
      <c r="K250" s="39"/>
      <c r="L250" s="39">
        <f t="shared" si="206"/>
        <v>0</v>
      </c>
      <c r="M250" s="117">
        <v>46157</v>
      </c>
      <c r="N250" s="117">
        <v>46159</v>
      </c>
      <c r="O250" s="39"/>
      <c r="P250" s="39"/>
      <c r="Q250" s="39"/>
      <c r="R250" s="39">
        <f t="shared" si="201"/>
        <v>0</v>
      </c>
      <c r="S250" s="39" t="s">
        <v>130</v>
      </c>
      <c r="T250" s="39"/>
      <c r="U250" s="39"/>
      <c r="V250" s="39"/>
      <c r="W250" s="39"/>
      <c r="X250" s="39"/>
      <c r="Y250" s="39"/>
      <c r="Z250" s="39"/>
      <c r="AA250" s="39"/>
      <c r="AB250" s="39">
        <f t="shared" si="202"/>
        <v>0</v>
      </c>
      <c r="AC250" s="39"/>
      <c r="AD250" s="39"/>
      <c r="AE250" s="39"/>
      <c r="AF250" s="39"/>
      <c r="AG250" s="39"/>
      <c r="AH250" s="39">
        <f t="shared" si="207"/>
        <v>0</v>
      </c>
      <c r="AI250" s="39"/>
      <c r="AJ250" s="39"/>
      <c r="AK250" s="39"/>
      <c r="AL250" s="39"/>
      <c r="AM250" s="39"/>
      <c r="AN250" s="39">
        <f t="shared" si="4"/>
        <v>0</v>
      </c>
      <c r="AO250" s="39"/>
      <c r="AP250" s="39"/>
      <c r="AQ250" s="39"/>
      <c r="AR250" s="39"/>
      <c r="AS250" s="39"/>
      <c r="AT250" s="39">
        <f t="shared" si="208"/>
        <v>0</v>
      </c>
      <c r="AU250" s="39"/>
      <c r="AV250" s="39"/>
      <c r="AW250" s="39"/>
      <c r="AX250" s="39"/>
      <c r="AY250" s="39"/>
      <c r="AZ250" s="39">
        <f t="shared" si="209"/>
        <v>0</v>
      </c>
      <c r="BA250" s="39"/>
      <c r="BB250" s="39"/>
      <c r="BC250" s="39"/>
      <c r="BD250" s="39"/>
      <c r="BE250" s="39"/>
      <c r="BF250" s="39">
        <f t="shared" si="210"/>
        <v>0</v>
      </c>
      <c r="BG250" s="39"/>
      <c r="BH250" s="39"/>
      <c r="BI250" s="39"/>
      <c r="BJ250" s="39"/>
      <c r="BK250" s="39"/>
      <c r="BL250" s="39">
        <f t="shared" si="211"/>
        <v>0</v>
      </c>
      <c r="BM250" s="54" t="e">
        <f t="shared" si="212"/>
        <v>#DIV/0!</v>
      </c>
      <c r="BN250" s="66">
        <v>46193</v>
      </c>
      <c r="BO250" s="57">
        <v>46200</v>
      </c>
      <c r="BP250" s="36"/>
      <c r="BQ250" s="36"/>
      <c r="BR250" s="230"/>
      <c r="BS250" s="230"/>
      <c r="BT250" s="39"/>
      <c r="BU250" s="39"/>
      <c r="BV250" s="39"/>
      <c r="BW250" s="39"/>
      <c r="BX250" s="39"/>
      <c r="BY250" s="39"/>
      <c r="BZ250" s="39">
        <f t="shared" si="213"/>
        <v>0</v>
      </c>
      <c r="CA250" s="39" t="e">
        <f t="shared" si="190"/>
        <v>#VALUE!</v>
      </c>
      <c r="CB250" s="39">
        <f t="shared" si="214"/>
        <v>0</v>
      </c>
      <c r="CC250" s="39">
        <f t="shared" si="215"/>
        <v>0</v>
      </c>
      <c r="CD250" s="39">
        <f t="shared" si="216"/>
        <v>0</v>
      </c>
      <c r="CE250" s="102" t="e">
        <f t="shared" si="217"/>
        <v>#DIV/0!</v>
      </c>
      <c r="CF250" s="36" t="s">
        <v>248</v>
      </c>
      <c r="CG250" s="39" t="s">
        <v>492</v>
      </c>
      <c r="CH250" s="39"/>
      <c r="CI250" s="25">
        <v>2</v>
      </c>
    </row>
    <row r="251" spans="1:87" ht="24.75" customHeight="1">
      <c r="A251" s="36" t="s">
        <v>50</v>
      </c>
      <c r="B251" s="26">
        <v>47563</v>
      </c>
      <c r="C251" s="227" t="s">
        <v>766</v>
      </c>
      <c r="D251" s="36"/>
      <c r="E251" s="39">
        <v>240</v>
      </c>
      <c r="F251" s="39" t="s">
        <v>55</v>
      </c>
      <c r="G251" s="36" t="s">
        <v>308</v>
      </c>
      <c r="H251" s="36" t="s">
        <v>402</v>
      </c>
      <c r="I251" s="39">
        <v>98</v>
      </c>
      <c r="J251" s="39">
        <v>27</v>
      </c>
      <c r="K251" s="39"/>
      <c r="L251" s="39">
        <f t="shared" ref="L251:L313" si="218">SUM(I251:K251)</f>
        <v>125</v>
      </c>
      <c r="M251" s="117">
        <v>46159</v>
      </c>
      <c r="N251" s="117">
        <v>46164</v>
      </c>
      <c r="O251" s="39"/>
      <c r="P251" s="39"/>
      <c r="Q251" s="39"/>
      <c r="R251" s="39">
        <f t="shared" si="1"/>
        <v>0</v>
      </c>
      <c r="S251" s="39" t="s">
        <v>31</v>
      </c>
      <c r="T251" s="39"/>
      <c r="U251" s="39"/>
      <c r="V251" s="117">
        <v>46193</v>
      </c>
      <c r="W251" s="39">
        <f>117+33</f>
        <v>150</v>
      </c>
      <c r="X251" s="117" t="s">
        <v>1256</v>
      </c>
      <c r="Y251" s="39">
        <v>109</v>
      </c>
      <c r="Z251" s="39">
        <v>30</v>
      </c>
      <c r="AA251" s="39"/>
      <c r="AB251" s="119">
        <f t="shared" si="2"/>
        <v>139</v>
      </c>
      <c r="AC251" s="39"/>
      <c r="AD251" s="39"/>
      <c r="AE251" s="39"/>
      <c r="AF251" s="39"/>
      <c r="AG251" s="39"/>
      <c r="AH251" s="39">
        <f t="shared" si="3"/>
        <v>0</v>
      </c>
      <c r="AI251" s="39"/>
      <c r="AJ251" s="39"/>
      <c r="AK251" s="39"/>
      <c r="AL251" s="39"/>
      <c r="AM251" s="39"/>
      <c r="AN251" s="39">
        <f t="shared" si="4"/>
        <v>0</v>
      </c>
      <c r="AO251" s="39"/>
      <c r="AP251" s="39"/>
      <c r="AQ251" s="39"/>
      <c r="AR251" s="39"/>
      <c r="AS251" s="39"/>
      <c r="AT251" s="39">
        <f t="shared" si="5"/>
        <v>0</v>
      </c>
      <c r="AU251" s="39"/>
      <c r="AV251" s="39"/>
      <c r="AW251" s="39"/>
      <c r="AX251" s="39"/>
      <c r="AY251" s="39"/>
      <c r="AZ251" s="39">
        <f t="shared" si="6"/>
        <v>0</v>
      </c>
      <c r="BA251" s="39"/>
      <c r="BB251" s="39"/>
      <c r="BC251" s="39"/>
      <c r="BD251" s="39"/>
      <c r="BE251" s="39"/>
      <c r="BF251" s="39">
        <f t="shared" si="7"/>
        <v>0</v>
      </c>
      <c r="BG251" s="39"/>
      <c r="BH251" s="39"/>
      <c r="BI251" s="39"/>
      <c r="BJ251" s="39"/>
      <c r="BK251" s="39"/>
      <c r="BL251" s="39">
        <f t="shared" si="8"/>
        <v>0</v>
      </c>
      <c r="BM251" s="54" t="str">
        <f t="shared" si="9"/>
        <v/>
      </c>
      <c r="BN251" s="59">
        <v>46185</v>
      </c>
      <c r="BO251" s="57">
        <v>46197</v>
      </c>
      <c r="BP251" s="36"/>
      <c r="BQ251" s="36"/>
      <c r="BR251" s="229">
        <v>46202</v>
      </c>
      <c r="BS251" s="229">
        <v>46210</v>
      </c>
      <c r="BT251" s="39">
        <v>1517</v>
      </c>
      <c r="BU251" s="39">
        <v>109</v>
      </c>
      <c r="BV251" s="39">
        <v>1762</v>
      </c>
      <c r="BW251" s="39">
        <v>30</v>
      </c>
      <c r="BX251" s="39"/>
      <c r="BY251" s="39"/>
      <c r="BZ251" s="39">
        <f t="shared" si="10"/>
        <v>139</v>
      </c>
      <c r="CA251" s="39">
        <f t="shared" si="11"/>
        <v>11</v>
      </c>
      <c r="CB251" s="39">
        <f t="shared" si="12"/>
        <v>3</v>
      </c>
      <c r="CC251" s="39">
        <f t="shared" si="13"/>
        <v>0</v>
      </c>
      <c r="CD251" s="39">
        <f t="shared" si="14"/>
        <v>0</v>
      </c>
      <c r="CE251" s="47">
        <f t="shared" si="15"/>
        <v>0</v>
      </c>
      <c r="CF251" s="36" t="s">
        <v>248</v>
      </c>
      <c r="CG251" s="39" t="s">
        <v>492</v>
      </c>
      <c r="CH251" s="39"/>
      <c r="CI251" s="25">
        <v>2</v>
      </c>
    </row>
    <row r="252" spans="1:87" ht="24.75" customHeight="1">
      <c r="A252" s="36" t="s">
        <v>50</v>
      </c>
      <c r="B252" s="26">
        <v>47563</v>
      </c>
      <c r="C252" s="228"/>
      <c r="D252" s="36"/>
      <c r="E252" s="39">
        <v>180</v>
      </c>
      <c r="F252" s="39" t="s">
        <v>55</v>
      </c>
      <c r="G252" s="36" t="s">
        <v>637</v>
      </c>
      <c r="H252" s="36" t="s">
        <v>403</v>
      </c>
      <c r="I252" s="39">
        <v>6</v>
      </c>
      <c r="J252" s="39"/>
      <c r="K252" s="39"/>
      <c r="L252" s="39">
        <f t="shared" si="218"/>
        <v>6</v>
      </c>
      <c r="M252" s="117">
        <v>46159</v>
      </c>
      <c r="N252" s="117">
        <v>46164</v>
      </c>
      <c r="O252" s="39"/>
      <c r="P252" s="39"/>
      <c r="Q252" s="39"/>
      <c r="R252" s="39">
        <f t="shared" ref="R252:R253" si="219">SUM(O252:Q252)</f>
        <v>0</v>
      </c>
      <c r="S252" s="39" t="s">
        <v>28</v>
      </c>
      <c r="T252" s="39"/>
      <c r="U252" s="39"/>
      <c r="V252" s="117">
        <v>46190</v>
      </c>
      <c r="W252" s="39">
        <v>9</v>
      </c>
      <c r="X252" s="117">
        <v>46209</v>
      </c>
      <c r="Y252" s="39">
        <v>8</v>
      </c>
      <c r="Z252" s="39"/>
      <c r="AA252" s="39"/>
      <c r="AB252" s="119">
        <f t="shared" ref="AB252:AB253" si="220">SUM(Y252:AA252)</f>
        <v>8</v>
      </c>
      <c r="AC252" s="39"/>
      <c r="AD252" s="39"/>
      <c r="AE252" s="39"/>
      <c r="AF252" s="39"/>
      <c r="AG252" s="39"/>
      <c r="AH252" s="39">
        <f t="shared" ref="AH252:AH253" si="221">AG252-AE252</f>
        <v>0</v>
      </c>
      <c r="AI252" s="39"/>
      <c r="AJ252" s="39"/>
      <c r="AK252" s="39"/>
      <c r="AL252" s="39"/>
      <c r="AM252" s="39"/>
      <c r="AN252" s="39">
        <f t="shared" ref="AN252:AN253" si="222">AM252-AK252</f>
        <v>0</v>
      </c>
      <c r="AO252" s="39"/>
      <c r="AP252" s="39"/>
      <c r="AQ252" s="39"/>
      <c r="AR252" s="39"/>
      <c r="AS252" s="39"/>
      <c r="AT252" s="39">
        <f t="shared" ref="AT252:AT253" si="223">AS252-AQ252</f>
        <v>0</v>
      </c>
      <c r="AU252" s="39"/>
      <c r="AV252" s="39"/>
      <c r="AW252" s="39"/>
      <c r="AX252" s="39"/>
      <c r="AY252" s="39"/>
      <c r="AZ252" s="39">
        <f t="shared" ref="AZ252:AZ253" si="224">AY252-AW252</f>
        <v>0</v>
      </c>
      <c r="BA252" s="39"/>
      <c r="BB252" s="39"/>
      <c r="BC252" s="39"/>
      <c r="BD252" s="39"/>
      <c r="BE252" s="39"/>
      <c r="BF252" s="39">
        <f t="shared" ref="BF252:BF253" si="225">BE252-BC252</f>
        <v>0</v>
      </c>
      <c r="BG252" s="39"/>
      <c r="BH252" s="39"/>
      <c r="BI252" s="39"/>
      <c r="BJ252" s="39"/>
      <c r="BK252" s="39"/>
      <c r="BL252" s="39">
        <f t="shared" ref="BL252:BL253" si="226">BK252-BI252</f>
        <v>0</v>
      </c>
      <c r="BM252" s="54" t="str">
        <f t="shared" ref="BM252:BM253" si="227">IF((BZ252/L252)&lt;0.9,$CO$1-U252,"")</f>
        <v/>
      </c>
      <c r="BN252" s="59">
        <v>46185</v>
      </c>
      <c r="BO252" s="57">
        <v>46197</v>
      </c>
      <c r="BP252" s="36"/>
      <c r="BQ252" s="36"/>
      <c r="BR252" s="230"/>
      <c r="BS252" s="230"/>
      <c r="BT252" s="39">
        <v>1522</v>
      </c>
      <c r="BU252" s="39">
        <v>8</v>
      </c>
      <c r="BV252" s="39"/>
      <c r="BW252" s="39"/>
      <c r="BX252" s="39"/>
      <c r="BY252" s="39"/>
      <c r="BZ252" s="39">
        <f t="shared" si="10"/>
        <v>8</v>
      </c>
      <c r="CA252" s="39">
        <f t="shared" si="11"/>
        <v>2</v>
      </c>
      <c r="CB252" s="39">
        <f t="shared" si="12"/>
        <v>0</v>
      </c>
      <c r="CC252" s="39">
        <f t="shared" si="13"/>
        <v>0</v>
      </c>
      <c r="CD252" s="39">
        <f t="shared" si="14"/>
        <v>0</v>
      </c>
      <c r="CE252" s="47">
        <f t="shared" si="15"/>
        <v>0</v>
      </c>
      <c r="CF252" s="36" t="s">
        <v>248</v>
      </c>
      <c r="CG252" s="39" t="s">
        <v>492</v>
      </c>
      <c r="CH252" s="39"/>
      <c r="CI252" s="25">
        <v>2</v>
      </c>
    </row>
    <row r="253" spans="1:87" ht="24.75" customHeight="1">
      <c r="A253" s="36" t="s">
        <v>50</v>
      </c>
      <c r="B253" s="26">
        <v>47564</v>
      </c>
      <c r="C253" s="227" t="s">
        <v>767</v>
      </c>
      <c r="D253" s="36"/>
      <c r="E253" s="39">
        <v>240</v>
      </c>
      <c r="F253" s="39" t="s">
        <v>55</v>
      </c>
      <c r="G253" s="36" t="s">
        <v>308</v>
      </c>
      <c r="H253" s="36" t="s">
        <v>402</v>
      </c>
      <c r="I253" s="39">
        <v>67</v>
      </c>
      <c r="J253" s="39">
        <v>21</v>
      </c>
      <c r="K253" s="39"/>
      <c r="L253" s="39">
        <f t="shared" ref="L253:L254" si="228">SUM(I253:K253)</f>
        <v>88</v>
      </c>
      <c r="M253" s="117">
        <v>46159</v>
      </c>
      <c r="N253" s="117">
        <v>46164</v>
      </c>
      <c r="O253" s="39"/>
      <c r="P253" s="39"/>
      <c r="Q253" s="39"/>
      <c r="R253" s="39">
        <f t="shared" si="219"/>
        <v>0</v>
      </c>
      <c r="S253" s="39" t="s">
        <v>31</v>
      </c>
      <c r="T253" s="39"/>
      <c r="U253" s="39"/>
      <c r="V253" s="117">
        <v>46193</v>
      </c>
      <c r="W253" s="39">
        <f>81+26</f>
        <v>107</v>
      </c>
      <c r="X253" s="117">
        <v>46202</v>
      </c>
      <c r="Y253" s="39">
        <v>73</v>
      </c>
      <c r="Z253" s="39">
        <v>23</v>
      </c>
      <c r="AA253" s="39"/>
      <c r="AB253" s="119">
        <f t="shared" si="220"/>
        <v>96</v>
      </c>
      <c r="AC253" s="39"/>
      <c r="AD253" s="39"/>
      <c r="AE253" s="39"/>
      <c r="AF253" s="39"/>
      <c r="AG253" s="39"/>
      <c r="AH253" s="39">
        <f t="shared" si="221"/>
        <v>0</v>
      </c>
      <c r="AI253" s="39"/>
      <c r="AJ253" s="39"/>
      <c r="AK253" s="39"/>
      <c r="AL253" s="39"/>
      <c r="AM253" s="39"/>
      <c r="AN253" s="39">
        <f t="shared" si="222"/>
        <v>0</v>
      </c>
      <c r="AO253" s="39"/>
      <c r="AP253" s="39"/>
      <c r="AQ253" s="39"/>
      <c r="AR253" s="39"/>
      <c r="AS253" s="39"/>
      <c r="AT253" s="39">
        <f t="shared" si="223"/>
        <v>0</v>
      </c>
      <c r="AU253" s="39"/>
      <c r="AV253" s="39"/>
      <c r="AW253" s="39"/>
      <c r="AX253" s="39"/>
      <c r="AY253" s="39"/>
      <c r="AZ253" s="39">
        <f t="shared" si="224"/>
        <v>0</v>
      </c>
      <c r="BA253" s="39"/>
      <c r="BB253" s="39"/>
      <c r="BC253" s="39"/>
      <c r="BD253" s="39"/>
      <c r="BE253" s="39"/>
      <c r="BF253" s="39">
        <f t="shared" si="225"/>
        <v>0</v>
      </c>
      <c r="BG253" s="39"/>
      <c r="BH253" s="39"/>
      <c r="BI253" s="39"/>
      <c r="BJ253" s="39"/>
      <c r="BK253" s="39"/>
      <c r="BL253" s="39">
        <f t="shared" si="226"/>
        <v>0</v>
      </c>
      <c r="BM253" s="54" t="str">
        <f t="shared" si="227"/>
        <v/>
      </c>
      <c r="BN253" s="59">
        <v>46185</v>
      </c>
      <c r="BO253" s="57">
        <v>46197</v>
      </c>
      <c r="BP253" s="36"/>
      <c r="BQ253" s="36"/>
      <c r="BR253" s="229">
        <v>46202</v>
      </c>
      <c r="BS253" s="229">
        <v>46210</v>
      </c>
      <c r="BT253" s="39">
        <v>1517</v>
      </c>
      <c r="BU253" s="39">
        <v>73</v>
      </c>
      <c r="BV253" s="39">
        <v>1517</v>
      </c>
      <c r="BW253" s="39">
        <v>23</v>
      </c>
      <c r="BX253" s="39"/>
      <c r="BY253" s="39"/>
      <c r="BZ253" s="39">
        <f t="shared" ref="BZ253:BZ262" si="229">BU253+BW253+BY253</f>
        <v>96</v>
      </c>
      <c r="CA253" s="39">
        <f t="shared" ref="CA253:CA261" si="230">BU253-I253</f>
        <v>6</v>
      </c>
      <c r="CB253" s="39">
        <f t="shared" ref="CB253:CB262" si="231">BW253-J253</f>
        <v>2</v>
      </c>
      <c r="CC253" s="39">
        <f t="shared" ref="CC253:CC262" si="232">BY253-K253</f>
        <v>0</v>
      </c>
      <c r="CD253" s="39">
        <f t="shared" ref="CD253:CD262" si="233">SUMIF(CA253:CC253,"&lt;0")</f>
        <v>0</v>
      </c>
      <c r="CE253" s="47">
        <f t="shared" ref="CE253:CE262" si="234">CD253/L253</f>
        <v>0</v>
      </c>
      <c r="CF253" s="36" t="s">
        <v>248</v>
      </c>
      <c r="CG253" s="39" t="s">
        <v>492</v>
      </c>
      <c r="CH253" s="39"/>
      <c r="CI253" s="25">
        <v>2</v>
      </c>
    </row>
    <row r="254" spans="1:87" ht="24.75" customHeight="1">
      <c r="A254" s="36" t="s">
        <v>50</v>
      </c>
      <c r="B254" s="26">
        <v>47564</v>
      </c>
      <c r="C254" s="228"/>
      <c r="D254" s="36"/>
      <c r="E254" s="39">
        <v>180</v>
      </c>
      <c r="F254" s="39" t="s">
        <v>55</v>
      </c>
      <c r="G254" s="36" t="s">
        <v>637</v>
      </c>
      <c r="H254" s="36" t="s">
        <v>403</v>
      </c>
      <c r="I254" s="39">
        <v>4</v>
      </c>
      <c r="J254" s="39"/>
      <c r="K254" s="39"/>
      <c r="L254" s="39">
        <f t="shared" si="228"/>
        <v>4</v>
      </c>
      <c r="M254" s="117">
        <v>46159</v>
      </c>
      <c r="N254" s="117">
        <v>46164</v>
      </c>
      <c r="O254" s="39"/>
      <c r="P254" s="39"/>
      <c r="Q254" s="39"/>
      <c r="R254" s="39">
        <f t="shared" ref="R254" si="235">SUM(O254:Q254)</f>
        <v>0</v>
      </c>
      <c r="S254" s="39" t="s">
        <v>28</v>
      </c>
      <c r="T254" s="39"/>
      <c r="U254" s="39"/>
      <c r="V254" s="117">
        <v>46190</v>
      </c>
      <c r="W254" s="39">
        <v>7</v>
      </c>
      <c r="X254" s="117">
        <v>46209</v>
      </c>
      <c r="Y254" s="39">
        <v>6</v>
      </c>
      <c r="Z254" s="39"/>
      <c r="AA254" s="39"/>
      <c r="AB254" s="119">
        <f t="shared" ref="AB254:AB262" si="236">SUM(Y254:AA254)</f>
        <v>6</v>
      </c>
      <c r="AC254" s="39"/>
      <c r="AD254" s="39"/>
      <c r="AE254" s="39"/>
      <c r="AF254" s="39"/>
      <c r="AG254" s="39"/>
      <c r="AH254" s="39">
        <f t="shared" ref="AH254:AH262" si="237">AG254-AE254</f>
        <v>0</v>
      </c>
      <c r="AI254" s="39"/>
      <c r="AJ254" s="39"/>
      <c r="AK254" s="39"/>
      <c r="AL254" s="39"/>
      <c r="AM254" s="39"/>
      <c r="AN254" s="39">
        <f t="shared" ref="AN254:AN262" si="238">AM254-AK254</f>
        <v>0</v>
      </c>
      <c r="AO254" s="39"/>
      <c r="AP254" s="39"/>
      <c r="AQ254" s="39"/>
      <c r="AR254" s="39"/>
      <c r="AS254" s="39"/>
      <c r="AT254" s="39">
        <f t="shared" ref="AT254:AT262" si="239">AS254-AQ254</f>
        <v>0</v>
      </c>
      <c r="AU254" s="39"/>
      <c r="AV254" s="39"/>
      <c r="AW254" s="39"/>
      <c r="AX254" s="39"/>
      <c r="AY254" s="39"/>
      <c r="AZ254" s="39">
        <f t="shared" ref="AZ254:AZ262" si="240">AY254-AW254</f>
        <v>0</v>
      </c>
      <c r="BA254" s="39"/>
      <c r="BB254" s="39"/>
      <c r="BC254" s="39"/>
      <c r="BD254" s="39"/>
      <c r="BE254" s="39"/>
      <c r="BF254" s="39">
        <f t="shared" ref="BF254:BF262" si="241">BE254-BC254</f>
        <v>0</v>
      </c>
      <c r="BG254" s="39"/>
      <c r="BH254" s="39"/>
      <c r="BI254" s="39"/>
      <c r="BJ254" s="39"/>
      <c r="BK254" s="39"/>
      <c r="BL254" s="39">
        <f t="shared" ref="BL254:BL262" si="242">BK254-BI254</f>
        <v>0</v>
      </c>
      <c r="BM254" s="54" t="str">
        <f t="shared" ref="BM254:BM262" si="243">IF((BZ254/L254)&lt;0.9,$CO$1-U254,"")</f>
        <v/>
      </c>
      <c r="BN254" s="59">
        <v>46185</v>
      </c>
      <c r="BO254" s="57">
        <v>46197</v>
      </c>
      <c r="BP254" s="36"/>
      <c r="BQ254" s="36"/>
      <c r="BR254" s="230"/>
      <c r="BS254" s="230"/>
      <c r="BT254" s="39">
        <v>1522</v>
      </c>
      <c r="BU254" s="39">
        <v>6</v>
      </c>
      <c r="BV254" s="39"/>
      <c r="BW254" s="39"/>
      <c r="BX254" s="39"/>
      <c r="BY254" s="39"/>
      <c r="BZ254" s="39">
        <f t="shared" si="229"/>
        <v>6</v>
      </c>
      <c r="CA254" s="39">
        <f t="shared" si="230"/>
        <v>2</v>
      </c>
      <c r="CB254" s="39">
        <f t="shared" si="231"/>
        <v>0</v>
      </c>
      <c r="CC254" s="39">
        <f t="shared" si="232"/>
        <v>0</v>
      </c>
      <c r="CD254" s="39">
        <f t="shared" si="233"/>
        <v>0</v>
      </c>
      <c r="CE254" s="47">
        <f t="shared" si="234"/>
        <v>0</v>
      </c>
      <c r="CF254" s="36" t="s">
        <v>248</v>
      </c>
      <c r="CG254" s="39" t="s">
        <v>492</v>
      </c>
      <c r="CH254" s="39"/>
      <c r="CI254" s="25">
        <v>2</v>
      </c>
    </row>
    <row r="255" spans="1:87" ht="34.5" customHeight="1">
      <c r="A255" s="36" t="s">
        <v>50</v>
      </c>
      <c r="B255" s="26" t="s">
        <v>804</v>
      </c>
      <c r="C255" s="36">
        <v>13247093</v>
      </c>
      <c r="D255" s="36"/>
      <c r="E255" s="39">
        <v>200</v>
      </c>
      <c r="F255" s="39" t="s">
        <v>60</v>
      </c>
      <c r="G255" s="36" t="s">
        <v>310</v>
      </c>
      <c r="H255" s="36" t="s">
        <v>89</v>
      </c>
      <c r="I255" s="39">
        <v>228</v>
      </c>
      <c r="J255" s="39"/>
      <c r="K255" s="39"/>
      <c r="L255" s="39">
        <f t="shared" ref="L255" si="244">SUM(I255:K255)</f>
        <v>228</v>
      </c>
      <c r="M255" s="117">
        <v>46178</v>
      </c>
      <c r="N255" s="117">
        <v>46183</v>
      </c>
      <c r="O255" s="39"/>
      <c r="P255" s="39"/>
      <c r="Q255" s="39"/>
      <c r="R255" s="39">
        <f t="shared" ref="R255" si="245">SUM(O255:Q255)</f>
        <v>0</v>
      </c>
      <c r="S255" s="39" t="s">
        <v>326</v>
      </c>
      <c r="T255" s="39"/>
      <c r="U255" s="39"/>
      <c r="V255" s="117">
        <v>46182</v>
      </c>
      <c r="W255" s="39">
        <v>250</v>
      </c>
      <c r="X255" s="117">
        <v>46199</v>
      </c>
      <c r="Y255" s="39">
        <v>229</v>
      </c>
      <c r="Z255" s="39"/>
      <c r="AA255" s="39"/>
      <c r="AB255" s="119">
        <f t="shared" si="236"/>
        <v>229</v>
      </c>
      <c r="AC255" s="39"/>
      <c r="AD255" s="39"/>
      <c r="AE255" s="39"/>
      <c r="AF255" s="39"/>
      <c r="AG255" s="39"/>
      <c r="AH255" s="39">
        <f t="shared" si="237"/>
        <v>0</v>
      </c>
      <c r="AI255" s="39"/>
      <c r="AJ255" s="39"/>
      <c r="AK255" s="39"/>
      <c r="AL255" s="39"/>
      <c r="AM255" s="39"/>
      <c r="AN255" s="39">
        <f t="shared" si="238"/>
        <v>0</v>
      </c>
      <c r="AO255" s="39"/>
      <c r="AP255" s="39"/>
      <c r="AQ255" s="39"/>
      <c r="AR255" s="39"/>
      <c r="AS255" s="39"/>
      <c r="AT255" s="39">
        <f t="shared" si="239"/>
        <v>0</v>
      </c>
      <c r="AU255" s="39"/>
      <c r="AV255" s="39"/>
      <c r="AW255" s="39"/>
      <c r="AX255" s="39"/>
      <c r="AY255" s="39"/>
      <c r="AZ255" s="39">
        <f t="shared" si="240"/>
        <v>0</v>
      </c>
      <c r="BA255" s="39"/>
      <c r="BB255" s="39"/>
      <c r="BC255" s="39"/>
      <c r="BD255" s="39"/>
      <c r="BE255" s="39"/>
      <c r="BF255" s="39">
        <f t="shared" si="241"/>
        <v>0</v>
      </c>
      <c r="BG255" s="39"/>
      <c r="BH255" s="39"/>
      <c r="BI255" s="39"/>
      <c r="BJ255" s="39"/>
      <c r="BK255" s="39"/>
      <c r="BL255" s="39">
        <f t="shared" si="242"/>
        <v>0</v>
      </c>
      <c r="BM255" s="54" t="str">
        <f t="shared" si="243"/>
        <v/>
      </c>
      <c r="BN255" s="66">
        <v>46185</v>
      </c>
      <c r="BO255" s="57">
        <v>46195</v>
      </c>
      <c r="BP255" s="36"/>
      <c r="BQ255" s="36"/>
      <c r="BR255" s="50">
        <v>46199</v>
      </c>
      <c r="BS255" s="50">
        <v>46199</v>
      </c>
      <c r="BT255" s="39">
        <v>1512</v>
      </c>
      <c r="BU255" s="39">
        <v>229</v>
      </c>
      <c r="BV255" s="39"/>
      <c r="BW255" s="39"/>
      <c r="BX255" s="39"/>
      <c r="BY255" s="39"/>
      <c r="BZ255" s="39">
        <f t="shared" si="229"/>
        <v>229</v>
      </c>
      <c r="CA255" s="39">
        <f t="shared" si="230"/>
        <v>1</v>
      </c>
      <c r="CB255" s="39">
        <f t="shared" si="231"/>
        <v>0</v>
      </c>
      <c r="CC255" s="39">
        <f t="shared" si="232"/>
        <v>0</v>
      </c>
      <c r="CD255" s="39">
        <f t="shared" si="233"/>
        <v>0</v>
      </c>
      <c r="CE255" s="102">
        <f t="shared" si="234"/>
        <v>0</v>
      </c>
      <c r="CF255" s="36" t="s">
        <v>292</v>
      </c>
      <c r="CG255" s="39" t="s">
        <v>281</v>
      </c>
      <c r="CH255" s="39"/>
      <c r="CI255" s="25">
        <v>2</v>
      </c>
    </row>
    <row r="256" spans="1:87" ht="34.5" customHeight="1">
      <c r="A256" s="36" t="s">
        <v>50</v>
      </c>
      <c r="B256" s="26" t="s">
        <v>896</v>
      </c>
      <c r="C256" s="36">
        <v>13205781</v>
      </c>
      <c r="D256" s="36"/>
      <c r="E256" s="39">
        <v>180</v>
      </c>
      <c r="F256" s="39" t="s">
        <v>55</v>
      </c>
      <c r="G256" s="36" t="s">
        <v>310</v>
      </c>
      <c r="H256" s="36" t="s">
        <v>87</v>
      </c>
      <c r="I256" s="39">
        <v>248</v>
      </c>
      <c r="J256" s="39"/>
      <c r="K256" s="39"/>
      <c r="L256" s="39">
        <f t="shared" ref="L256:L260" si="246">SUM(I256:K256)</f>
        <v>248</v>
      </c>
      <c r="M256" s="117">
        <v>46178</v>
      </c>
      <c r="N256" s="117">
        <v>46182</v>
      </c>
      <c r="O256" s="39"/>
      <c r="P256" s="39"/>
      <c r="Q256" s="39"/>
      <c r="R256" s="39">
        <f t="shared" ref="R256:R260" si="247">SUM(O256:Q256)</f>
        <v>0</v>
      </c>
      <c r="S256" s="39" t="s">
        <v>326</v>
      </c>
      <c r="T256" s="39"/>
      <c r="U256" s="39"/>
      <c r="V256" s="117">
        <v>46182</v>
      </c>
      <c r="W256" s="39">
        <v>275</v>
      </c>
      <c r="X256" s="117" t="s">
        <v>1128</v>
      </c>
      <c r="Y256" s="39">
        <f>213+32+1</f>
        <v>246</v>
      </c>
      <c r="Z256" s="39"/>
      <c r="AA256" s="39"/>
      <c r="AB256" s="119">
        <f t="shared" si="236"/>
        <v>246</v>
      </c>
      <c r="AC256" s="39"/>
      <c r="AD256" s="39"/>
      <c r="AE256" s="39"/>
      <c r="AF256" s="39"/>
      <c r="AG256" s="39"/>
      <c r="AH256" s="39">
        <f t="shared" si="237"/>
        <v>0</v>
      </c>
      <c r="AI256" s="39"/>
      <c r="AJ256" s="39"/>
      <c r="AK256" s="39"/>
      <c r="AL256" s="39"/>
      <c r="AM256" s="39"/>
      <c r="AN256" s="39">
        <f t="shared" si="238"/>
        <v>0</v>
      </c>
      <c r="AO256" s="39"/>
      <c r="AP256" s="39"/>
      <c r="AQ256" s="39"/>
      <c r="AR256" s="39"/>
      <c r="AS256" s="39"/>
      <c r="AT256" s="39">
        <f t="shared" si="239"/>
        <v>0</v>
      </c>
      <c r="AU256" s="39"/>
      <c r="AV256" s="39"/>
      <c r="AW256" s="39"/>
      <c r="AX256" s="39"/>
      <c r="AY256" s="39"/>
      <c r="AZ256" s="39">
        <f t="shared" si="240"/>
        <v>0</v>
      </c>
      <c r="BA256" s="39"/>
      <c r="BB256" s="39"/>
      <c r="BC256" s="39"/>
      <c r="BD256" s="39"/>
      <c r="BE256" s="39"/>
      <c r="BF256" s="39">
        <f t="shared" si="241"/>
        <v>0</v>
      </c>
      <c r="BG256" s="39"/>
      <c r="BH256" s="39"/>
      <c r="BI256" s="39"/>
      <c r="BJ256" s="39"/>
      <c r="BK256" s="39"/>
      <c r="BL256" s="39">
        <f t="shared" si="242"/>
        <v>0</v>
      </c>
      <c r="BM256" s="54" t="str">
        <f t="shared" si="243"/>
        <v/>
      </c>
      <c r="BN256" s="66">
        <v>46185</v>
      </c>
      <c r="BO256" s="57">
        <v>46193</v>
      </c>
      <c r="BP256" s="36"/>
      <c r="BQ256" s="36"/>
      <c r="BR256" s="50">
        <v>46191</v>
      </c>
      <c r="BS256" s="50">
        <v>46196</v>
      </c>
      <c r="BT256" s="39" t="s">
        <v>1143</v>
      </c>
      <c r="BU256" s="39">
        <f>213+32</f>
        <v>245</v>
      </c>
      <c r="BV256" s="39"/>
      <c r="BW256" s="39"/>
      <c r="BX256" s="39"/>
      <c r="BY256" s="39"/>
      <c r="BZ256" s="39">
        <f t="shared" si="229"/>
        <v>245</v>
      </c>
      <c r="CA256" s="39">
        <f t="shared" si="230"/>
        <v>-3</v>
      </c>
      <c r="CB256" s="39">
        <f t="shared" si="231"/>
        <v>0</v>
      </c>
      <c r="CC256" s="39">
        <f t="shared" si="232"/>
        <v>0</v>
      </c>
      <c r="CD256" s="39">
        <v>0</v>
      </c>
      <c r="CE256" s="102">
        <f t="shared" si="234"/>
        <v>0</v>
      </c>
      <c r="CF256" s="36" t="s">
        <v>292</v>
      </c>
      <c r="CG256" s="39" t="s">
        <v>281</v>
      </c>
      <c r="CH256" s="39"/>
      <c r="CI256" s="25">
        <v>2</v>
      </c>
    </row>
    <row r="257" spans="1:87" ht="33" customHeight="1">
      <c r="A257" s="36" t="s">
        <v>50</v>
      </c>
      <c r="B257" s="26" t="s">
        <v>897</v>
      </c>
      <c r="C257" s="36">
        <v>13227981</v>
      </c>
      <c r="D257" s="36" t="s">
        <v>37</v>
      </c>
      <c r="E257" s="39">
        <v>180</v>
      </c>
      <c r="F257" s="39" t="s">
        <v>55</v>
      </c>
      <c r="G257" s="36" t="s">
        <v>202</v>
      </c>
      <c r="H257" s="36" t="s">
        <v>87</v>
      </c>
      <c r="I257" s="39">
        <v>140</v>
      </c>
      <c r="J257" s="39"/>
      <c r="K257" s="39"/>
      <c r="L257" s="39">
        <f t="shared" si="246"/>
        <v>140</v>
      </c>
      <c r="M257" s="117">
        <v>46178</v>
      </c>
      <c r="N257" s="117">
        <v>46182</v>
      </c>
      <c r="O257" s="39"/>
      <c r="P257" s="39"/>
      <c r="Q257" s="39"/>
      <c r="R257" s="39">
        <f t="shared" si="247"/>
        <v>0</v>
      </c>
      <c r="S257" s="39" t="s">
        <v>130</v>
      </c>
      <c r="T257" s="39">
        <v>107299</v>
      </c>
      <c r="U257" s="117">
        <v>46203</v>
      </c>
      <c r="V257" s="39"/>
      <c r="W257" s="39"/>
      <c r="X257" s="39"/>
      <c r="Y257" s="39">
        <v>175</v>
      </c>
      <c r="Z257" s="39"/>
      <c r="AA257" s="39"/>
      <c r="AB257" s="119">
        <f t="shared" si="236"/>
        <v>175</v>
      </c>
      <c r="AC257" s="39" t="s">
        <v>268</v>
      </c>
      <c r="AD257" s="117">
        <v>46206</v>
      </c>
      <c r="AE257" s="39">
        <v>141</v>
      </c>
      <c r="AF257" s="117">
        <v>46214</v>
      </c>
      <c r="AG257" s="39">
        <v>139</v>
      </c>
      <c r="AH257" s="39">
        <f t="shared" si="237"/>
        <v>-2</v>
      </c>
      <c r="AI257" s="39"/>
      <c r="AJ257" s="39"/>
      <c r="AK257" s="39"/>
      <c r="AL257" s="39"/>
      <c r="AM257" s="39"/>
      <c r="AN257" s="39">
        <f t="shared" si="238"/>
        <v>0</v>
      </c>
      <c r="AO257" s="39"/>
      <c r="AP257" s="39"/>
      <c r="AQ257" s="39"/>
      <c r="AR257" s="39"/>
      <c r="AS257" s="39"/>
      <c r="AT257" s="39">
        <f t="shared" si="239"/>
        <v>0</v>
      </c>
      <c r="AU257" s="39"/>
      <c r="AV257" s="39"/>
      <c r="AW257" s="39"/>
      <c r="AX257" s="39"/>
      <c r="AY257" s="39"/>
      <c r="AZ257" s="39">
        <f t="shared" si="240"/>
        <v>0</v>
      </c>
      <c r="BA257" s="39"/>
      <c r="BB257" s="39"/>
      <c r="BC257" s="39"/>
      <c r="BD257" s="39"/>
      <c r="BE257" s="39"/>
      <c r="BF257" s="39">
        <f t="shared" si="241"/>
        <v>0</v>
      </c>
      <c r="BG257" s="39"/>
      <c r="BH257" s="39"/>
      <c r="BI257" s="39"/>
      <c r="BJ257" s="39"/>
      <c r="BK257" s="39"/>
      <c r="BL257" s="39">
        <f t="shared" si="242"/>
        <v>0</v>
      </c>
      <c r="BM257" s="54" t="str">
        <f t="shared" si="243"/>
        <v/>
      </c>
      <c r="BN257" s="66">
        <v>46188</v>
      </c>
      <c r="BO257" s="57">
        <v>46195</v>
      </c>
      <c r="BP257" s="57">
        <v>46198</v>
      </c>
      <c r="BQ257" s="57">
        <v>46203</v>
      </c>
      <c r="BR257" s="50">
        <v>46216</v>
      </c>
      <c r="BS257" s="50">
        <v>46216</v>
      </c>
      <c r="BT257" s="39">
        <v>2231</v>
      </c>
      <c r="BU257" s="39">
        <v>138</v>
      </c>
      <c r="BV257" s="39"/>
      <c r="BW257" s="39"/>
      <c r="BX257" s="39"/>
      <c r="BY257" s="39"/>
      <c r="BZ257" s="39">
        <f t="shared" si="229"/>
        <v>138</v>
      </c>
      <c r="CA257" s="39">
        <f t="shared" si="230"/>
        <v>-2</v>
      </c>
      <c r="CB257" s="39">
        <f t="shared" si="231"/>
        <v>0</v>
      </c>
      <c r="CC257" s="39">
        <f t="shared" si="232"/>
        <v>0</v>
      </c>
      <c r="CD257" s="39">
        <v>0</v>
      </c>
      <c r="CE257" s="102">
        <f t="shared" si="234"/>
        <v>0</v>
      </c>
      <c r="CF257" s="36" t="s">
        <v>292</v>
      </c>
      <c r="CG257" s="39" t="s">
        <v>281</v>
      </c>
      <c r="CH257" s="39"/>
      <c r="CI257" s="25">
        <v>2</v>
      </c>
    </row>
    <row r="258" spans="1:87" ht="24.75" customHeight="1">
      <c r="A258" s="36" t="s">
        <v>50</v>
      </c>
      <c r="B258" s="26" t="s">
        <v>898</v>
      </c>
      <c r="C258" s="227">
        <v>13180124</v>
      </c>
      <c r="D258" s="36"/>
      <c r="E258" s="39">
        <v>180</v>
      </c>
      <c r="F258" s="39" t="s">
        <v>55</v>
      </c>
      <c r="G258" s="36" t="s">
        <v>95</v>
      </c>
      <c r="H258" s="36" t="s">
        <v>87</v>
      </c>
      <c r="I258" s="39">
        <v>124</v>
      </c>
      <c r="J258" s="39"/>
      <c r="K258" s="39"/>
      <c r="L258" s="39">
        <f t="shared" si="246"/>
        <v>124</v>
      </c>
      <c r="M258" s="117">
        <v>46178</v>
      </c>
      <c r="N258" s="117">
        <v>46183</v>
      </c>
      <c r="O258" s="39"/>
      <c r="P258" s="39"/>
      <c r="Q258" s="39"/>
      <c r="R258" s="39">
        <f t="shared" si="247"/>
        <v>0</v>
      </c>
      <c r="S258" s="39" t="s">
        <v>130</v>
      </c>
      <c r="T258" s="39">
        <v>107298</v>
      </c>
      <c r="U258" s="117">
        <v>46203</v>
      </c>
      <c r="V258" s="39"/>
      <c r="W258" s="39"/>
      <c r="X258" s="39"/>
      <c r="Y258" s="39">
        <v>158</v>
      </c>
      <c r="Z258" s="39"/>
      <c r="AA258" s="39"/>
      <c r="AB258" s="119">
        <f t="shared" si="236"/>
        <v>158</v>
      </c>
      <c r="AC258" s="39"/>
      <c r="AD258" s="39"/>
      <c r="AE258" s="39"/>
      <c r="AF258" s="39"/>
      <c r="AG258" s="39"/>
      <c r="AH258" s="39">
        <f t="shared" si="237"/>
        <v>0</v>
      </c>
      <c r="AI258" s="39"/>
      <c r="AJ258" s="39"/>
      <c r="AK258" s="39"/>
      <c r="AL258" s="39"/>
      <c r="AM258" s="39"/>
      <c r="AN258" s="39">
        <f t="shared" si="238"/>
        <v>0</v>
      </c>
      <c r="AO258" s="39"/>
      <c r="AP258" s="39"/>
      <c r="AQ258" s="39"/>
      <c r="AR258" s="39"/>
      <c r="AS258" s="39"/>
      <c r="AT258" s="39">
        <f t="shared" si="239"/>
        <v>0</v>
      </c>
      <c r="AU258" s="39"/>
      <c r="AV258" s="39"/>
      <c r="AW258" s="39"/>
      <c r="AX258" s="39"/>
      <c r="AY258" s="39"/>
      <c r="AZ258" s="39">
        <f t="shared" si="240"/>
        <v>0</v>
      </c>
      <c r="BA258" s="39"/>
      <c r="BB258" s="39"/>
      <c r="BC258" s="39"/>
      <c r="BD258" s="39"/>
      <c r="BE258" s="39"/>
      <c r="BF258" s="39">
        <f t="shared" si="241"/>
        <v>0</v>
      </c>
      <c r="BG258" s="39"/>
      <c r="BH258" s="39"/>
      <c r="BI258" s="39"/>
      <c r="BJ258" s="39"/>
      <c r="BK258" s="39"/>
      <c r="BL258" s="39">
        <f t="shared" si="242"/>
        <v>0</v>
      </c>
      <c r="BM258" s="54" t="str">
        <f t="shared" si="243"/>
        <v/>
      </c>
      <c r="BN258" s="66">
        <v>46185</v>
      </c>
      <c r="BO258" s="57">
        <v>46193</v>
      </c>
      <c r="BP258" s="36"/>
      <c r="BQ258" s="36"/>
      <c r="BR258" s="229">
        <v>46197</v>
      </c>
      <c r="BS258" s="229">
        <v>46204</v>
      </c>
      <c r="BT258" s="39">
        <v>2150</v>
      </c>
      <c r="BU258" s="39">
        <v>150</v>
      </c>
      <c r="BV258" s="39"/>
      <c r="BW258" s="39"/>
      <c r="BX258" s="39"/>
      <c r="BY258" s="39"/>
      <c r="BZ258" s="39">
        <f t="shared" si="229"/>
        <v>150</v>
      </c>
      <c r="CA258" s="39">
        <f t="shared" si="230"/>
        <v>26</v>
      </c>
      <c r="CB258" s="39">
        <f t="shared" si="231"/>
        <v>0</v>
      </c>
      <c r="CC258" s="39">
        <f t="shared" si="232"/>
        <v>0</v>
      </c>
      <c r="CD258" s="39">
        <f t="shared" si="233"/>
        <v>0</v>
      </c>
      <c r="CE258" s="102">
        <f t="shared" si="234"/>
        <v>0</v>
      </c>
      <c r="CF258" s="36" t="s">
        <v>292</v>
      </c>
      <c r="CG258" s="39" t="s">
        <v>281</v>
      </c>
      <c r="CH258" s="39"/>
      <c r="CI258" s="25">
        <v>2</v>
      </c>
    </row>
    <row r="259" spans="1:87" ht="24.75" customHeight="1">
      <c r="A259" s="36" t="s">
        <v>50</v>
      </c>
      <c r="B259" s="26" t="s">
        <v>898</v>
      </c>
      <c r="C259" s="231"/>
      <c r="D259" s="36"/>
      <c r="E259" s="39">
        <v>180</v>
      </c>
      <c r="F259" s="39" t="s">
        <v>55</v>
      </c>
      <c r="G259" s="36" t="s">
        <v>339</v>
      </c>
      <c r="H259" s="36" t="s">
        <v>87</v>
      </c>
      <c r="I259" s="39">
        <v>120</v>
      </c>
      <c r="J259" s="39"/>
      <c r="K259" s="39"/>
      <c r="L259" s="39">
        <f t="shared" si="246"/>
        <v>120</v>
      </c>
      <c r="M259" s="117">
        <v>46178</v>
      </c>
      <c r="N259" s="117">
        <v>46183</v>
      </c>
      <c r="O259" s="39"/>
      <c r="P259" s="39"/>
      <c r="Q259" s="39"/>
      <c r="R259" s="39">
        <f t="shared" si="247"/>
        <v>0</v>
      </c>
      <c r="S259" s="39" t="s">
        <v>130</v>
      </c>
      <c r="T259" s="39">
        <v>107101</v>
      </c>
      <c r="U259" s="117">
        <v>46195</v>
      </c>
      <c r="V259" s="39"/>
      <c r="W259" s="39"/>
      <c r="X259" s="39"/>
      <c r="Y259" s="39">
        <v>149</v>
      </c>
      <c r="Z259" s="39"/>
      <c r="AA259" s="39"/>
      <c r="AB259" s="119">
        <f t="shared" si="236"/>
        <v>149</v>
      </c>
      <c r="AC259" s="39"/>
      <c r="AD259" s="39"/>
      <c r="AE259" s="39"/>
      <c r="AF259" s="39"/>
      <c r="AG259" s="39"/>
      <c r="AH259" s="39">
        <f t="shared" si="237"/>
        <v>0</v>
      </c>
      <c r="AI259" s="39"/>
      <c r="AJ259" s="39"/>
      <c r="AK259" s="39"/>
      <c r="AL259" s="39"/>
      <c r="AM259" s="39"/>
      <c r="AN259" s="39">
        <f t="shared" si="238"/>
        <v>0</v>
      </c>
      <c r="AO259" s="39"/>
      <c r="AP259" s="39"/>
      <c r="AQ259" s="39"/>
      <c r="AR259" s="39"/>
      <c r="AS259" s="39"/>
      <c r="AT259" s="39">
        <f t="shared" si="239"/>
        <v>0</v>
      </c>
      <c r="AU259" s="39"/>
      <c r="AV259" s="39"/>
      <c r="AW259" s="39"/>
      <c r="AX259" s="39"/>
      <c r="AY259" s="39"/>
      <c r="AZ259" s="39">
        <f t="shared" si="240"/>
        <v>0</v>
      </c>
      <c r="BA259" s="39"/>
      <c r="BB259" s="39"/>
      <c r="BC259" s="39"/>
      <c r="BD259" s="39"/>
      <c r="BE259" s="39"/>
      <c r="BF259" s="39">
        <f t="shared" si="241"/>
        <v>0</v>
      </c>
      <c r="BG259" s="39"/>
      <c r="BH259" s="39"/>
      <c r="BI259" s="39"/>
      <c r="BJ259" s="39"/>
      <c r="BK259" s="39"/>
      <c r="BL259" s="39">
        <f t="shared" si="242"/>
        <v>0</v>
      </c>
      <c r="BM259" s="54" t="str">
        <f t="shared" si="243"/>
        <v/>
      </c>
      <c r="BN259" s="66">
        <v>46185</v>
      </c>
      <c r="BO259" s="57">
        <v>46193</v>
      </c>
      <c r="BP259" s="36"/>
      <c r="BQ259" s="36"/>
      <c r="BR259" s="232"/>
      <c r="BS259" s="232"/>
      <c r="BT259" s="39">
        <v>2116</v>
      </c>
      <c r="BU259" s="39">
        <v>130</v>
      </c>
      <c r="BV259" s="39"/>
      <c r="BW259" s="39"/>
      <c r="BX259" s="39"/>
      <c r="BY259" s="39"/>
      <c r="BZ259" s="39">
        <f t="shared" si="229"/>
        <v>130</v>
      </c>
      <c r="CA259" s="39">
        <f t="shared" si="230"/>
        <v>10</v>
      </c>
      <c r="CB259" s="39">
        <f t="shared" si="231"/>
        <v>0</v>
      </c>
      <c r="CC259" s="39">
        <f t="shared" si="232"/>
        <v>0</v>
      </c>
      <c r="CD259" s="39">
        <f t="shared" si="233"/>
        <v>0</v>
      </c>
      <c r="CE259" s="102">
        <f t="shared" si="234"/>
        <v>0</v>
      </c>
      <c r="CF259" s="36" t="s">
        <v>292</v>
      </c>
      <c r="CG259" s="39" t="s">
        <v>281</v>
      </c>
      <c r="CH259" s="39"/>
      <c r="CI259" s="25">
        <v>2</v>
      </c>
    </row>
    <row r="260" spans="1:87" ht="24.75" customHeight="1">
      <c r="A260" s="36" t="s">
        <v>50</v>
      </c>
      <c r="B260" s="26" t="s">
        <v>898</v>
      </c>
      <c r="C260" s="228"/>
      <c r="D260" s="36"/>
      <c r="E260" s="39">
        <v>180</v>
      </c>
      <c r="F260" s="39" t="s">
        <v>55</v>
      </c>
      <c r="G260" s="36" t="s">
        <v>197</v>
      </c>
      <c r="H260" s="36" t="s">
        <v>87</v>
      </c>
      <c r="I260" s="39">
        <v>128</v>
      </c>
      <c r="J260" s="39"/>
      <c r="K260" s="39"/>
      <c r="L260" s="39">
        <f t="shared" si="246"/>
        <v>128</v>
      </c>
      <c r="M260" s="117">
        <v>46178</v>
      </c>
      <c r="N260" s="117">
        <v>46183</v>
      </c>
      <c r="O260" s="39"/>
      <c r="P260" s="39"/>
      <c r="Q260" s="39"/>
      <c r="R260" s="39">
        <f t="shared" si="247"/>
        <v>0</v>
      </c>
      <c r="S260" s="39" t="s">
        <v>130</v>
      </c>
      <c r="T260" s="39">
        <v>107102</v>
      </c>
      <c r="U260" s="117">
        <v>46195</v>
      </c>
      <c r="V260" s="39"/>
      <c r="W260" s="39"/>
      <c r="X260" s="39"/>
      <c r="Y260" s="39">
        <v>158</v>
      </c>
      <c r="Z260" s="39"/>
      <c r="AA260" s="39"/>
      <c r="AB260" s="119">
        <f t="shared" si="236"/>
        <v>158</v>
      </c>
      <c r="AC260" s="39"/>
      <c r="AD260" s="39"/>
      <c r="AE260" s="39"/>
      <c r="AF260" s="39"/>
      <c r="AG260" s="39"/>
      <c r="AH260" s="39">
        <f t="shared" si="237"/>
        <v>0</v>
      </c>
      <c r="AI260" s="39"/>
      <c r="AJ260" s="39"/>
      <c r="AK260" s="39"/>
      <c r="AL260" s="39"/>
      <c r="AM260" s="39"/>
      <c r="AN260" s="39">
        <f t="shared" si="238"/>
        <v>0</v>
      </c>
      <c r="AO260" s="39"/>
      <c r="AP260" s="39"/>
      <c r="AQ260" s="39"/>
      <c r="AR260" s="39"/>
      <c r="AS260" s="39"/>
      <c r="AT260" s="39">
        <f t="shared" si="239"/>
        <v>0</v>
      </c>
      <c r="AU260" s="39"/>
      <c r="AV260" s="39"/>
      <c r="AW260" s="39"/>
      <c r="AX260" s="39"/>
      <c r="AY260" s="39"/>
      <c r="AZ260" s="39">
        <f t="shared" si="240"/>
        <v>0</v>
      </c>
      <c r="BA260" s="39"/>
      <c r="BB260" s="39"/>
      <c r="BC260" s="39"/>
      <c r="BD260" s="39"/>
      <c r="BE260" s="39"/>
      <c r="BF260" s="39">
        <f t="shared" si="241"/>
        <v>0</v>
      </c>
      <c r="BG260" s="39"/>
      <c r="BH260" s="39"/>
      <c r="BI260" s="39"/>
      <c r="BJ260" s="39"/>
      <c r="BK260" s="39"/>
      <c r="BL260" s="39">
        <f t="shared" si="242"/>
        <v>0</v>
      </c>
      <c r="BM260" s="54" t="str">
        <f t="shared" si="243"/>
        <v/>
      </c>
      <c r="BN260" s="66">
        <v>46185</v>
      </c>
      <c r="BO260" s="57">
        <v>46193</v>
      </c>
      <c r="BP260" s="36"/>
      <c r="BQ260" s="36"/>
      <c r="BR260" s="230"/>
      <c r="BS260" s="230"/>
      <c r="BT260" s="39" t="s">
        <v>1198</v>
      </c>
      <c r="BU260" s="39">
        <f>92+38</f>
        <v>130</v>
      </c>
      <c r="BV260" s="39"/>
      <c r="BW260" s="39"/>
      <c r="BX260" s="39"/>
      <c r="BY260" s="39"/>
      <c r="BZ260" s="39">
        <f t="shared" si="229"/>
        <v>130</v>
      </c>
      <c r="CA260" s="39">
        <f t="shared" si="230"/>
        <v>2</v>
      </c>
      <c r="CB260" s="39">
        <f t="shared" si="231"/>
        <v>0</v>
      </c>
      <c r="CC260" s="39">
        <f t="shared" si="232"/>
        <v>0</v>
      </c>
      <c r="CD260" s="39">
        <f t="shared" si="233"/>
        <v>0</v>
      </c>
      <c r="CE260" s="102">
        <f t="shared" si="234"/>
        <v>0</v>
      </c>
      <c r="CF260" s="36" t="s">
        <v>292</v>
      </c>
      <c r="CG260" s="39" t="s">
        <v>281</v>
      </c>
      <c r="CH260" s="39" t="s">
        <v>540</v>
      </c>
      <c r="CI260" s="25">
        <v>2</v>
      </c>
    </row>
    <row r="261" spans="1:87" ht="24.75" customHeight="1">
      <c r="A261" s="36" t="s">
        <v>50</v>
      </c>
      <c r="B261" s="26">
        <v>47225</v>
      </c>
      <c r="C261" s="227" t="s">
        <v>989</v>
      </c>
      <c r="D261" s="36" t="s">
        <v>45</v>
      </c>
      <c r="E261" s="39">
        <v>260</v>
      </c>
      <c r="F261" s="39" t="s">
        <v>55</v>
      </c>
      <c r="G261" s="36" t="s">
        <v>310</v>
      </c>
      <c r="H261" s="36" t="s">
        <v>399</v>
      </c>
      <c r="I261" s="39">
        <v>90</v>
      </c>
      <c r="J261" s="39"/>
      <c r="K261" s="39"/>
      <c r="L261" s="39">
        <f t="shared" ref="L261" si="248">SUM(I261:K261)</f>
        <v>90</v>
      </c>
      <c r="M261" s="117">
        <v>46184</v>
      </c>
      <c r="N261" s="117">
        <v>46186</v>
      </c>
      <c r="O261" s="39"/>
      <c r="P261" s="39"/>
      <c r="Q261" s="39"/>
      <c r="R261" s="39">
        <f t="shared" ref="R261:R262" si="249">SUM(O261:Q261)</f>
        <v>0</v>
      </c>
      <c r="S261" s="39" t="s">
        <v>130</v>
      </c>
      <c r="T261" s="39">
        <v>107141</v>
      </c>
      <c r="U261" s="117">
        <v>46197</v>
      </c>
      <c r="V261" s="39"/>
      <c r="W261" s="39"/>
      <c r="X261" s="39"/>
      <c r="Y261" s="39">
        <v>111</v>
      </c>
      <c r="Z261" s="39"/>
      <c r="AA261" s="39"/>
      <c r="AB261" s="119">
        <f t="shared" si="236"/>
        <v>111</v>
      </c>
      <c r="AC261" s="39"/>
      <c r="AD261" s="39"/>
      <c r="AE261" s="39"/>
      <c r="AF261" s="39"/>
      <c r="AG261" s="39"/>
      <c r="AH261" s="39">
        <f t="shared" si="237"/>
        <v>0</v>
      </c>
      <c r="AI261" s="39"/>
      <c r="AJ261" s="39"/>
      <c r="AK261" s="39"/>
      <c r="AL261" s="39"/>
      <c r="AM261" s="39"/>
      <c r="AN261" s="39">
        <f t="shared" si="238"/>
        <v>0</v>
      </c>
      <c r="AO261" s="39" t="s">
        <v>257</v>
      </c>
      <c r="AP261" s="117">
        <v>46199</v>
      </c>
      <c r="AQ261" s="39">
        <v>100</v>
      </c>
      <c r="AR261" s="117">
        <v>46199</v>
      </c>
      <c r="AS261" s="39">
        <v>99</v>
      </c>
      <c r="AT261" s="39">
        <f t="shared" si="239"/>
        <v>-1</v>
      </c>
      <c r="AU261" s="39" t="s">
        <v>257</v>
      </c>
      <c r="AV261" s="117">
        <v>46199</v>
      </c>
      <c r="AW261" s="39">
        <v>100</v>
      </c>
      <c r="AX261" s="117">
        <v>46199</v>
      </c>
      <c r="AY261" s="39">
        <v>99</v>
      </c>
      <c r="AZ261" s="39">
        <f t="shared" si="240"/>
        <v>-1</v>
      </c>
      <c r="BA261" s="39"/>
      <c r="BB261" s="39"/>
      <c r="BC261" s="39"/>
      <c r="BD261" s="39"/>
      <c r="BE261" s="39"/>
      <c r="BF261" s="39">
        <f t="shared" si="241"/>
        <v>0</v>
      </c>
      <c r="BG261" s="39"/>
      <c r="BH261" s="39"/>
      <c r="BI261" s="39"/>
      <c r="BJ261" s="39"/>
      <c r="BK261" s="39"/>
      <c r="BL261" s="39">
        <f t="shared" si="242"/>
        <v>0</v>
      </c>
      <c r="BM261" s="54" t="str">
        <f t="shared" si="243"/>
        <v/>
      </c>
      <c r="BN261" s="66">
        <v>46188</v>
      </c>
      <c r="BO261" s="57">
        <v>46193</v>
      </c>
      <c r="BP261" s="36"/>
      <c r="BQ261" s="36"/>
      <c r="BR261" s="229">
        <v>46200</v>
      </c>
      <c r="BS261" s="243"/>
      <c r="BT261" s="39">
        <v>2137</v>
      </c>
      <c r="BU261" s="39">
        <v>96</v>
      </c>
      <c r="BV261" s="39"/>
      <c r="BW261" s="39"/>
      <c r="BX261" s="39"/>
      <c r="BY261" s="39"/>
      <c r="BZ261" s="39">
        <f t="shared" si="229"/>
        <v>96</v>
      </c>
      <c r="CA261" s="39">
        <f t="shared" si="230"/>
        <v>6</v>
      </c>
      <c r="CB261" s="39">
        <f t="shared" si="231"/>
        <v>0</v>
      </c>
      <c r="CC261" s="39">
        <f t="shared" si="232"/>
        <v>0</v>
      </c>
      <c r="CD261" s="39">
        <f t="shared" si="233"/>
        <v>0</v>
      </c>
      <c r="CE261" s="102">
        <f t="shared" si="234"/>
        <v>0</v>
      </c>
      <c r="CF261" s="36"/>
      <c r="CG261" s="39" t="s">
        <v>227</v>
      </c>
      <c r="CH261" s="39"/>
      <c r="CI261" s="25">
        <v>2</v>
      </c>
    </row>
    <row r="262" spans="1:87" ht="24.75" customHeight="1">
      <c r="A262" s="36" t="s">
        <v>50</v>
      </c>
      <c r="B262" s="26">
        <v>47225</v>
      </c>
      <c r="C262" s="228"/>
      <c r="D262" s="36" t="s">
        <v>45</v>
      </c>
      <c r="E262" s="39">
        <v>260</v>
      </c>
      <c r="F262" s="39" t="s">
        <v>55</v>
      </c>
      <c r="G262" s="36" t="s">
        <v>368</v>
      </c>
      <c r="H262" s="36" t="s">
        <v>399</v>
      </c>
      <c r="I262" s="39">
        <v>102</v>
      </c>
      <c r="J262" s="39"/>
      <c r="K262" s="39"/>
      <c r="L262" s="39">
        <v>0</v>
      </c>
      <c r="M262" s="117">
        <v>46184</v>
      </c>
      <c r="N262" s="117">
        <v>46186</v>
      </c>
      <c r="O262" s="39"/>
      <c r="P262" s="39"/>
      <c r="Q262" s="39"/>
      <c r="R262" s="39">
        <f t="shared" si="249"/>
        <v>0</v>
      </c>
      <c r="S262" s="39" t="s">
        <v>130</v>
      </c>
      <c r="T262" s="154" t="s">
        <v>1863</v>
      </c>
      <c r="U262" s="39"/>
      <c r="V262" s="39"/>
      <c r="W262" s="39"/>
      <c r="X262" s="39"/>
      <c r="Y262" s="39"/>
      <c r="Z262" s="39"/>
      <c r="AA262" s="39"/>
      <c r="AB262" s="39">
        <f t="shared" si="236"/>
        <v>0</v>
      </c>
      <c r="AC262" s="39"/>
      <c r="AD262" s="39"/>
      <c r="AE262" s="39"/>
      <c r="AF262" s="39"/>
      <c r="AG262" s="39"/>
      <c r="AH262" s="39">
        <f t="shared" si="237"/>
        <v>0</v>
      </c>
      <c r="AI262" s="39"/>
      <c r="AJ262" s="39"/>
      <c r="AK262" s="39"/>
      <c r="AL262" s="39"/>
      <c r="AM262" s="39"/>
      <c r="AN262" s="39">
        <f t="shared" si="238"/>
        <v>0</v>
      </c>
      <c r="AO262" s="39"/>
      <c r="AP262" s="39"/>
      <c r="AQ262" s="39"/>
      <c r="AR262" s="39"/>
      <c r="AS262" s="39"/>
      <c r="AT262" s="39">
        <f t="shared" si="239"/>
        <v>0</v>
      </c>
      <c r="AU262" s="39"/>
      <c r="AV262" s="39"/>
      <c r="AW262" s="39"/>
      <c r="AX262" s="39"/>
      <c r="AY262" s="39"/>
      <c r="AZ262" s="39">
        <f t="shared" si="240"/>
        <v>0</v>
      </c>
      <c r="BA262" s="39"/>
      <c r="BB262" s="39"/>
      <c r="BC262" s="39"/>
      <c r="BD262" s="39"/>
      <c r="BE262" s="39"/>
      <c r="BF262" s="39">
        <f t="shared" si="241"/>
        <v>0</v>
      </c>
      <c r="BG262" s="39"/>
      <c r="BH262" s="39"/>
      <c r="BI262" s="39"/>
      <c r="BJ262" s="39"/>
      <c r="BK262" s="39"/>
      <c r="BL262" s="39">
        <f t="shared" si="242"/>
        <v>0</v>
      </c>
      <c r="BM262" s="54" t="e">
        <f t="shared" si="243"/>
        <v>#DIV/0!</v>
      </c>
      <c r="BN262" s="66">
        <v>46188</v>
      </c>
      <c r="BO262" s="57">
        <v>46193</v>
      </c>
      <c r="BP262" s="36"/>
      <c r="BQ262" s="36"/>
      <c r="BR262" s="230"/>
      <c r="BS262" s="230"/>
      <c r="BT262" s="39"/>
      <c r="BU262" s="39"/>
      <c r="BV262" s="39"/>
      <c r="BW262" s="39"/>
      <c r="BX262" s="39"/>
      <c r="BY262" s="39"/>
      <c r="BZ262" s="39">
        <f t="shared" si="229"/>
        <v>0</v>
      </c>
      <c r="CA262" s="39">
        <v>0</v>
      </c>
      <c r="CB262" s="39">
        <f t="shared" si="231"/>
        <v>0</v>
      </c>
      <c r="CC262" s="39">
        <f t="shared" si="232"/>
        <v>0</v>
      </c>
      <c r="CD262" s="39">
        <f t="shared" si="233"/>
        <v>0</v>
      </c>
      <c r="CE262" s="102" t="e">
        <f t="shared" si="234"/>
        <v>#DIV/0!</v>
      </c>
      <c r="CF262" s="36"/>
      <c r="CG262" s="39" t="s">
        <v>227</v>
      </c>
      <c r="CH262" s="39" t="s">
        <v>1862</v>
      </c>
      <c r="CI262" s="25">
        <v>2</v>
      </c>
    </row>
    <row r="263" spans="1:87" ht="24.75" customHeight="1">
      <c r="A263" s="36" t="s">
        <v>50</v>
      </c>
      <c r="B263" s="26"/>
      <c r="C263" s="36"/>
      <c r="D263" s="36"/>
      <c r="E263" s="39"/>
      <c r="F263" s="39"/>
      <c r="G263" s="36"/>
      <c r="H263" s="39"/>
      <c r="I263" s="39"/>
      <c r="J263" s="39"/>
      <c r="K263" s="39"/>
      <c r="L263" s="39">
        <f t="shared" si="218"/>
        <v>0</v>
      </c>
      <c r="M263" s="39"/>
      <c r="N263" s="39"/>
      <c r="O263" s="39"/>
      <c r="P263" s="39"/>
      <c r="Q263" s="39"/>
      <c r="R263" s="39">
        <f t="shared" si="1"/>
        <v>0</v>
      </c>
      <c r="S263" s="39"/>
      <c r="T263" s="39"/>
      <c r="U263" s="39"/>
      <c r="V263" s="39"/>
      <c r="W263" s="39"/>
      <c r="X263" s="39"/>
      <c r="Y263" s="39"/>
      <c r="Z263" s="39"/>
      <c r="AA263" s="39"/>
      <c r="AB263" s="39">
        <f t="shared" si="2"/>
        <v>0</v>
      </c>
      <c r="AC263" s="39"/>
      <c r="AD263" s="39"/>
      <c r="AE263" s="39"/>
      <c r="AF263" s="39"/>
      <c r="AG263" s="39"/>
      <c r="AH263" s="39">
        <f t="shared" si="3"/>
        <v>0</v>
      </c>
      <c r="AI263" s="39"/>
      <c r="AJ263" s="39"/>
      <c r="AK263" s="39"/>
      <c r="AL263" s="39"/>
      <c r="AM263" s="39"/>
      <c r="AN263" s="39">
        <f t="shared" si="4"/>
        <v>0</v>
      </c>
      <c r="AO263" s="39"/>
      <c r="AP263" s="39"/>
      <c r="AQ263" s="39"/>
      <c r="AR263" s="39"/>
      <c r="AS263" s="39"/>
      <c r="AT263" s="39">
        <f t="shared" si="5"/>
        <v>0</v>
      </c>
      <c r="AU263" s="39"/>
      <c r="AV263" s="39"/>
      <c r="AW263" s="39"/>
      <c r="AX263" s="39"/>
      <c r="AY263" s="39"/>
      <c r="AZ263" s="39">
        <f t="shared" si="6"/>
        <v>0</v>
      </c>
      <c r="BA263" s="39"/>
      <c r="BB263" s="39"/>
      <c r="BC263" s="39"/>
      <c r="BD263" s="39"/>
      <c r="BE263" s="39"/>
      <c r="BF263" s="39">
        <f t="shared" si="7"/>
        <v>0</v>
      </c>
      <c r="BG263" s="39"/>
      <c r="BH263" s="39"/>
      <c r="BI263" s="39"/>
      <c r="BJ263" s="39"/>
      <c r="BK263" s="39"/>
      <c r="BL263" s="39">
        <f t="shared" si="8"/>
        <v>0</v>
      </c>
      <c r="BM263" s="54" t="e">
        <f t="shared" si="9"/>
        <v>#DIV/0!</v>
      </c>
      <c r="BN263" s="65"/>
      <c r="BO263" s="36"/>
      <c r="BP263" s="36"/>
      <c r="BQ263" s="36"/>
      <c r="BR263" s="40"/>
      <c r="BS263" s="40"/>
      <c r="BT263" s="39"/>
      <c r="BU263" s="39"/>
      <c r="BV263" s="39"/>
      <c r="BW263" s="39"/>
      <c r="BX263" s="39"/>
      <c r="BY263" s="39"/>
      <c r="BZ263" s="39">
        <f t="shared" si="10"/>
        <v>0</v>
      </c>
      <c r="CA263" s="39">
        <f t="shared" si="11"/>
        <v>0</v>
      </c>
      <c r="CB263" s="39">
        <f t="shared" si="12"/>
        <v>0</v>
      </c>
      <c r="CC263" s="39">
        <f t="shared" si="13"/>
        <v>0</v>
      </c>
      <c r="CD263" s="39">
        <f t="shared" si="14"/>
        <v>0</v>
      </c>
      <c r="CE263" s="47" t="e">
        <f t="shared" si="15"/>
        <v>#DIV/0!</v>
      </c>
      <c r="CF263" s="36"/>
      <c r="CG263" s="39"/>
      <c r="CH263" s="39"/>
      <c r="CI263" s="25">
        <v>2</v>
      </c>
    </row>
    <row r="264" spans="1:87" ht="24.75" customHeight="1">
      <c r="A264" s="36" t="s">
        <v>50</v>
      </c>
      <c r="B264" s="26"/>
      <c r="C264" s="36"/>
      <c r="D264" s="36"/>
      <c r="E264" s="39"/>
      <c r="F264" s="39"/>
      <c r="G264" s="36"/>
      <c r="H264" s="39"/>
      <c r="I264" s="39"/>
      <c r="J264" s="39"/>
      <c r="K264" s="39"/>
      <c r="L264" s="39">
        <f t="shared" si="218"/>
        <v>0</v>
      </c>
      <c r="M264" s="39"/>
      <c r="N264" s="39"/>
      <c r="O264" s="39"/>
      <c r="P264" s="39"/>
      <c r="Q264" s="39"/>
      <c r="R264" s="39">
        <f t="shared" si="1"/>
        <v>0</v>
      </c>
      <c r="S264" s="39"/>
      <c r="T264" s="39"/>
      <c r="U264" s="39"/>
      <c r="V264" s="39"/>
      <c r="W264" s="39"/>
      <c r="X264" s="39"/>
      <c r="Y264" s="39"/>
      <c r="Z264" s="39"/>
      <c r="AA264" s="39"/>
      <c r="AB264" s="39">
        <f t="shared" si="2"/>
        <v>0</v>
      </c>
      <c r="AC264" s="39"/>
      <c r="AD264" s="39"/>
      <c r="AE264" s="39"/>
      <c r="AF264" s="39"/>
      <c r="AG264" s="39"/>
      <c r="AH264" s="39">
        <f t="shared" si="3"/>
        <v>0</v>
      </c>
      <c r="AI264" s="39"/>
      <c r="AJ264" s="39"/>
      <c r="AK264" s="39"/>
      <c r="AL264" s="39"/>
      <c r="AM264" s="39"/>
      <c r="AN264" s="39">
        <f t="shared" si="4"/>
        <v>0</v>
      </c>
      <c r="AO264" s="39"/>
      <c r="AP264" s="39"/>
      <c r="AQ264" s="39"/>
      <c r="AR264" s="39"/>
      <c r="AS264" s="39"/>
      <c r="AT264" s="39">
        <f t="shared" si="5"/>
        <v>0</v>
      </c>
      <c r="AU264" s="39"/>
      <c r="AV264" s="39"/>
      <c r="AW264" s="39"/>
      <c r="AX264" s="39"/>
      <c r="AY264" s="39"/>
      <c r="AZ264" s="39">
        <f t="shared" si="6"/>
        <v>0</v>
      </c>
      <c r="BA264" s="39"/>
      <c r="BB264" s="39"/>
      <c r="BC264" s="39"/>
      <c r="BD264" s="39"/>
      <c r="BE264" s="39"/>
      <c r="BF264" s="39">
        <f t="shared" si="7"/>
        <v>0</v>
      </c>
      <c r="BG264" s="39"/>
      <c r="BH264" s="39"/>
      <c r="BI264" s="39"/>
      <c r="BJ264" s="39"/>
      <c r="BK264" s="39"/>
      <c r="BL264" s="39">
        <f t="shared" si="8"/>
        <v>0</v>
      </c>
      <c r="BM264" s="54" t="e">
        <f t="shared" si="9"/>
        <v>#DIV/0!</v>
      </c>
      <c r="BN264" s="65"/>
      <c r="BO264" s="36"/>
      <c r="BP264" s="36"/>
      <c r="BQ264" s="36"/>
      <c r="BR264" s="40"/>
      <c r="BS264" s="40"/>
      <c r="BT264" s="39"/>
      <c r="BU264" s="39"/>
      <c r="BV264" s="39"/>
      <c r="BW264" s="39"/>
      <c r="BX264" s="39"/>
      <c r="BY264" s="39"/>
      <c r="BZ264" s="39">
        <f t="shared" si="10"/>
        <v>0</v>
      </c>
      <c r="CA264" s="39">
        <f t="shared" si="11"/>
        <v>0</v>
      </c>
      <c r="CB264" s="39">
        <f t="shared" si="12"/>
        <v>0</v>
      </c>
      <c r="CC264" s="39">
        <f t="shared" si="13"/>
        <v>0</v>
      </c>
      <c r="CD264" s="39">
        <f t="shared" si="14"/>
        <v>0</v>
      </c>
      <c r="CE264" s="47" t="e">
        <f t="shared" si="15"/>
        <v>#DIV/0!</v>
      </c>
      <c r="CF264" s="36"/>
      <c r="CG264" s="39"/>
      <c r="CH264" s="39"/>
      <c r="CI264" s="25">
        <v>2</v>
      </c>
    </row>
    <row r="265" spans="1:87" ht="24.75" customHeight="1">
      <c r="A265" s="36" t="s">
        <v>50</v>
      </c>
      <c r="B265" s="26"/>
      <c r="C265" s="36"/>
      <c r="D265" s="36"/>
      <c r="E265" s="39"/>
      <c r="F265" s="39"/>
      <c r="G265" s="36"/>
      <c r="H265" s="39"/>
      <c r="I265" s="39"/>
      <c r="J265" s="39"/>
      <c r="K265" s="39"/>
      <c r="L265" s="39">
        <f t="shared" si="218"/>
        <v>0</v>
      </c>
      <c r="M265" s="39"/>
      <c r="N265" s="39"/>
      <c r="O265" s="39"/>
      <c r="P265" s="39"/>
      <c r="Q265" s="39"/>
      <c r="R265" s="39">
        <f t="shared" si="1"/>
        <v>0</v>
      </c>
      <c r="S265" s="39"/>
      <c r="T265" s="39"/>
      <c r="U265" s="39"/>
      <c r="V265" s="39"/>
      <c r="W265" s="39"/>
      <c r="X265" s="39"/>
      <c r="Y265" s="39"/>
      <c r="Z265" s="39"/>
      <c r="AA265" s="39"/>
      <c r="AB265" s="39">
        <f t="shared" si="2"/>
        <v>0</v>
      </c>
      <c r="AC265" s="39"/>
      <c r="AD265" s="39"/>
      <c r="AE265" s="39"/>
      <c r="AF265" s="39"/>
      <c r="AG265" s="39"/>
      <c r="AH265" s="39">
        <f t="shared" si="3"/>
        <v>0</v>
      </c>
      <c r="AI265" s="39"/>
      <c r="AJ265" s="39"/>
      <c r="AK265" s="39"/>
      <c r="AL265" s="39"/>
      <c r="AM265" s="39"/>
      <c r="AN265" s="39">
        <f t="shared" si="4"/>
        <v>0</v>
      </c>
      <c r="AO265" s="39"/>
      <c r="AP265" s="39"/>
      <c r="AQ265" s="39"/>
      <c r="AR265" s="39"/>
      <c r="AS265" s="39"/>
      <c r="AT265" s="39">
        <f t="shared" si="5"/>
        <v>0</v>
      </c>
      <c r="AU265" s="39"/>
      <c r="AV265" s="39"/>
      <c r="AW265" s="39"/>
      <c r="AX265" s="39"/>
      <c r="AY265" s="39"/>
      <c r="AZ265" s="39">
        <f t="shared" si="6"/>
        <v>0</v>
      </c>
      <c r="BA265" s="39"/>
      <c r="BB265" s="39"/>
      <c r="BC265" s="39"/>
      <c r="BD265" s="39"/>
      <c r="BE265" s="39"/>
      <c r="BF265" s="39">
        <f t="shared" si="7"/>
        <v>0</v>
      </c>
      <c r="BG265" s="39"/>
      <c r="BH265" s="39"/>
      <c r="BI265" s="39"/>
      <c r="BJ265" s="39"/>
      <c r="BK265" s="39"/>
      <c r="BL265" s="39">
        <f t="shared" si="8"/>
        <v>0</v>
      </c>
      <c r="BM265" s="54" t="e">
        <f t="shared" si="9"/>
        <v>#DIV/0!</v>
      </c>
      <c r="BN265" s="65"/>
      <c r="BO265" s="36"/>
      <c r="BP265" s="36"/>
      <c r="BQ265" s="36"/>
      <c r="BR265" s="40"/>
      <c r="BS265" s="40"/>
      <c r="BT265" s="39"/>
      <c r="BU265" s="39"/>
      <c r="BV265" s="39"/>
      <c r="BW265" s="39"/>
      <c r="BX265" s="39"/>
      <c r="BY265" s="39"/>
      <c r="BZ265" s="39">
        <f t="shared" si="10"/>
        <v>0</v>
      </c>
      <c r="CA265" s="39">
        <f t="shared" si="11"/>
        <v>0</v>
      </c>
      <c r="CB265" s="39">
        <f t="shared" si="12"/>
        <v>0</v>
      </c>
      <c r="CC265" s="39">
        <f t="shared" si="13"/>
        <v>0</v>
      </c>
      <c r="CD265" s="39">
        <f t="shared" si="14"/>
        <v>0</v>
      </c>
      <c r="CE265" s="47" t="e">
        <f t="shared" si="15"/>
        <v>#DIV/0!</v>
      </c>
      <c r="CF265" s="36"/>
      <c r="CG265" s="39"/>
      <c r="CH265" s="39"/>
      <c r="CI265" s="25">
        <v>2</v>
      </c>
    </row>
    <row r="266" spans="1:87" ht="24.75" customHeight="1">
      <c r="A266" s="36" t="s">
        <v>50</v>
      </c>
      <c r="B266" s="26"/>
      <c r="C266" s="36"/>
      <c r="D266" s="36"/>
      <c r="E266" s="39"/>
      <c r="F266" s="39"/>
      <c r="G266" s="36"/>
      <c r="H266" s="39"/>
      <c r="I266" s="39"/>
      <c r="J266" s="39"/>
      <c r="K266" s="39"/>
      <c r="L266" s="39">
        <f t="shared" si="218"/>
        <v>0</v>
      </c>
      <c r="M266" s="39"/>
      <c r="N266" s="39"/>
      <c r="O266" s="39"/>
      <c r="P266" s="39"/>
      <c r="Q266" s="39"/>
      <c r="R266" s="39">
        <f t="shared" si="1"/>
        <v>0</v>
      </c>
      <c r="S266" s="39"/>
      <c r="T266" s="39"/>
      <c r="U266" s="39"/>
      <c r="V266" s="39"/>
      <c r="W266" s="39"/>
      <c r="X266" s="39"/>
      <c r="Y266" s="39"/>
      <c r="Z266" s="39"/>
      <c r="AA266" s="39"/>
      <c r="AB266" s="39">
        <f t="shared" si="2"/>
        <v>0</v>
      </c>
      <c r="AC266" s="39"/>
      <c r="AD266" s="39"/>
      <c r="AE266" s="39"/>
      <c r="AF266" s="39"/>
      <c r="AG266" s="39"/>
      <c r="AH266" s="39">
        <f t="shared" si="3"/>
        <v>0</v>
      </c>
      <c r="AI266" s="39"/>
      <c r="AJ266" s="39"/>
      <c r="AK266" s="39"/>
      <c r="AL266" s="39"/>
      <c r="AM266" s="39"/>
      <c r="AN266" s="39">
        <f t="shared" si="4"/>
        <v>0</v>
      </c>
      <c r="AO266" s="39"/>
      <c r="AP266" s="39"/>
      <c r="AQ266" s="39"/>
      <c r="AR266" s="39"/>
      <c r="AS266" s="39"/>
      <c r="AT266" s="39">
        <f t="shared" si="5"/>
        <v>0</v>
      </c>
      <c r="AU266" s="39"/>
      <c r="AV266" s="39"/>
      <c r="AW266" s="39"/>
      <c r="AX266" s="39"/>
      <c r="AY266" s="39"/>
      <c r="AZ266" s="39">
        <f t="shared" si="6"/>
        <v>0</v>
      </c>
      <c r="BA266" s="39"/>
      <c r="BB266" s="39"/>
      <c r="BC266" s="39"/>
      <c r="BD266" s="39"/>
      <c r="BE266" s="39"/>
      <c r="BF266" s="39">
        <f t="shared" si="7"/>
        <v>0</v>
      </c>
      <c r="BG266" s="39"/>
      <c r="BH266" s="39"/>
      <c r="BI266" s="39"/>
      <c r="BJ266" s="39"/>
      <c r="BK266" s="39"/>
      <c r="BL266" s="39">
        <f t="shared" si="8"/>
        <v>0</v>
      </c>
      <c r="BM266" s="54" t="e">
        <f t="shared" si="9"/>
        <v>#DIV/0!</v>
      </c>
      <c r="BN266" s="65"/>
      <c r="BO266" s="36"/>
      <c r="BP266" s="36"/>
      <c r="BQ266" s="36"/>
      <c r="BR266" s="40"/>
      <c r="BS266" s="40"/>
      <c r="BT266" s="39"/>
      <c r="BU266" s="39"/>
      <c r="BV266" s="39"/>
      <c r="BW266" s="39"/>
      <c r="BX266" s="39"/>
      <c r="BY266" s="39"/>
      <c r="BZ266" s="39">
        <f t="shared" si="10"/>
        <v>0</v>
      </c>
      <c r="CA266" s="39">
        <f t="shared" si="11"/>
        <v>0</v>
      </c>
      <c r="CB266" s="39">
        <f t="shared" si="12"/>
        <v>0</v>
      </c>
      <c r="CC266" s="39">
        <f t="shared" si="13"/>
        <v>0</v>
      </c>
      <c r="CD266" s="39">
        <f t="shared" si="14"/>
        <v>0</v>
      </c>
      <c r="CE266" s="47" t="e">
        <f t="shared" si="15"/>
        <v>#DIV/0!</v>
      </c>
      <c r="CF266" s="36"/>
      <c r="CG266" s="39"/>
      <c r="CH266" s="39"/>
      <c r="CI266" s="25">
        <v>2</v>
      </c>
    </row>
    <row r="267" spans="1:87" ht="24.75" customHeight="1">
      <c r="A267" s="36" t="s">
        <v>50</v>
      </c>
      <c r="B267" s="26"/>
      <c r="C267" s="36"/>
      <c r="D267" s="36"/>
      <c r="E267" s="39"/>
      <c r="F267" s="39"/>
      <c r="G267" s="36"/>
      <c r="H267" s="39"/>
      <c r="I267" s="39"/>
      <c r="J267" s="39"/>
      <c r="K267" s="39"/>
      <c r="L267" s="39">
        <f t="shared" si="218"/>
        <v>0</v>
      </c>
      <c r="M267" s="39"/>
      <c r="N267" s="39"/>
      <c r="O267" s="39"/>
      <c r="P267" s="39"/>
      <c r="Q267" s="39"/>
      <c r="R267" s="39">
        <f t="shared" si="1"/>
        <v>0</v>
      </c>
      <c r="S267" s="39"/>
      <c r="T267" s="39"/>
      <c r="U267" s="39"/>
      <c r="V267" s="39"/>
      <c r="W267" s="39"/>
      <c r="X267" s="39"/>
      <c r="Y267" s="39"/>
      <c r="Z267" s="39"/>
      <c r="AA267" s="39"/>
      <c r="AB267" s="39">
        <f t="shared" si="2"/>
        <v>0</v>
      </c>
      <c r="AC267" s="39"/>
      <c r="AD267" s="39"/>
      <c r="AE267" s="39"/>
      <c r="AF267" s="39"/>
      <c r="AG267" s="39"/>
      <c r="AH267" s="39">
        <f t="shared" si="3"/>
        <v>0</v>
      </c>
      <c r="AI267" s="39"/>
      <c r="AJ267" s="39"/>
      <c r="AK267" s="39"/>
      <c r="AL267" s="39"/>
      <c r="AM267" s="39"/>
      <c r="AN267" s="39">
        <f t="shared" si="4"/>
        <v>0</v>
      </c>
      <c r="AO267" s="39"/>
      <c r="AP267" s="39"/>
      <c r="AQ267" s="39"/>
      <c r="AR267" s="39"/>
      <c r="AS267" s="39"/>
      <c r="AT267" s="39">
        <f t="shared" si="5"/>
        <v>0</v>
      </c>
      <c r="AU267" s="39"/>
      <c r="AV267" s="39"/>
      <c r="AW267" s="39"/>
      <c r="AX267" s="39"/>
      <c r="AY267" s="39"/>
      <c r="AZ267" s="39">
        <f t="shared" si="6"/>
        <v>0</v>
      </c>
      <c r="BA267" s="39"/>
      <c r="BB267" s="39"/>
      <c r="BC267" s="39"/>
      <c r="BD267" s="39"/>
      <c r="BE267" s="39"/>
      <c r="BF267" s="39">
        <f t="shared" si="7"/>
        <v>0</v>
      </c>
      <c r="BG267" s="39"/>
      <c r="BH267" s="39"/>
      <c r="BI267" s="39"/>
      <c r="BJ267" s="39"/>
      <c r="BK267" s="39"/>
      <c r="BL267" s="39">
        <f t="shared" si="8"/>
        <v>0</v>
      </c>
      <c r="BM267" s="54" t="e">
        <f t="shared" si="9"/>
        <v>#DIV/0!</v>
      </c>
      <c r="BN267" s="65"/>
      <c r="BO267" s="36"/>
      <c r="BP267" s="36"/>
      <c r="BQ267" s="36"/>
      <c r="BR267" s="40"/>
      <c r="BS267" s="40"/>
      <c r="BT267" s="39"/>
      <c r="BU267" s="39"/>
      <c r="BV267" s="39"/>
      <c r="BW267" s="39"/>
      <c r="BX267" s="39"/>
      <c r="BY267" s="39"/>
      <c r="BZ267" s="39">
        <f t="shared" si="10"/>
        <v>0</v>
      </c>
      <c r="CA267" s="39">
        <f t="shared" si="11"/>
        <v>0</v>
      </c>
      <c r="CB267" s="39">
        <f t="shared" si="12"/>
        <v>0</v>
      </c>
      <c r="CC267" s="39">
        <f t="shared" si="13"/>
        <v>0</v>
      </c>
      <c r="CD267" s="39">
        <f t="shared" si="14"/>
        <v>0</v>
      </c>
      <c r="CE267" s="47" t="e">
        <f t="shared" si="15"/>
        <v>#DIV/0!</v>
      </c>
      <c r="CF267" s="36"/>
      <c r="CG267" s="39"/>
      <c r="CH267" s="39"/>
      <c r="CI267" s="25">
        <v>2</v>
      </c>
    </row>
    <row r="268" spans="1:87" ht="24.75" customHeight="1">
      <c r="A268" s="36" t="s">
        <v>50</v>
      </c>
      <c r="B268" s="26"/>
      <c r="C268" s="36"/>
      <c r="D268" s="36"/>
      <c r="E268" s="39"/>
      <c r="F268" s="39"/>
      <c r="G268" s="36"/>
      <c r="H268" s="39"/>
      <c r="I268" s="39"/>
      <c r="J268" s="39"/>
      <c r="K268" s="39"/>
      <c r="L268" s="39">
        <f t="shared" si="218"/>
        <v>0</v>
      </c>
      <c r="M268" s="39"/>
      <c r="N268" s="39"/>
      <c r="O268" s="39"/>
      <c r="P268" s="39"/>
      <c r="Q268" s="39"/>
      <c r="R268" s="39">
        <f t="shared" si="1"/>
        <v>0</v>
      </c>
      <c r="S268" s="39"/>
      <c r="T268" s="39"/>
      <c r="U268" s="39"/>
      <c r="V268" s="39"/>
      <c r="W268" s="39"/>
      <c r="X268" s="39"/>
      <c r="Y268" s="39"/>
      <c r="Z268" s="39"/>
      <c r="AA268" s="39"/>
      <c r="AB268" s="39">
        <f t="shared" si="2"/>
        <v>0</v>
      </c>
      <c r="AC268" s="39"/>
      <c r="AD268" s="39"/>
      <c r="AE268" s="39"/>
      <c r="AF268" s="39"/>
      <c r="AG268" s="39"/>
      <c r="AH268" s="39">
        <f t="shared" si="3"/>
        <v>0</v>
      </c>
      <c r="AI268" s="39"/>
      <c r="AJ268" s="39"/>
      <c r="AK268" s="39"/>
      <c r="AL268" s="39"/>
      <c r="AM268" s="39"/>
      <c r="AN268" s="39">
        <f t="shared" si="4"/>
        <v>0</v>
      </c>
      <c r="AO268" s="39"/>
      <c r="AP268" s="39"/>
      <c r="AQ268" s="39"/>
      <c r="AR268" s="39"/>
      <c r="AS268" s="39"/>
      <c r="AT268" s="39">
        <f t="shared" si="5"/>
        <v>0</v>
      </c>
      <c r="AU268" s="39"/>
      <c r="AV268" s="39"/>
      <c r="AW268" s="39"/>
      <c r="AX268" s="39"/>
      <c r="AY268" s="39"/>
      <c r="AZ268" s="39">
        <f t="shared" si="6"/>
        <v>0</v>
      </c>
      <c r="BA268" s="39"/>
      <c r="BB268" s="39"/>
      <c r="BC268" s="39"/>
      <c r="BD268" s="39"/>
      <c r="BE268" s="39"/>
      <c r="BF268" s="39">
        <f t="shared" si="7"/>
        <v>0</v>
      </c>
      <c r="BG268" s="39"/>
      <c r="BH268" s="39"/>
      <c r="BI268" s="39"/>
      <c r="BJ268" s="39"/>
      <c r="BK268" s="39"/>
      <c r="BL268" s="39">
        <f t="shared" si="8"/>
        <v>0</v>
      </c>
      <c r="BM268" s="54" t="e">
        <f t="shared" si="9"/>
        <v>#DIV/0!</v>
      </c>
      <c r="BN268" s="65"/>
      <c r="BO268" s="36"/>
      <c r="BP268" s="36"/>
      <c r="BQ268" s="36"/>
      <c r="BR268" s="40"/>
      <c r="BS268" s="40"/>
      <c r="BT268" s="39"/>
      <c r="BU268" s="39"/>
      <c r="BV268" s="39"/>
      <c r="BW268" s="39"/>
      <c r="BX268" s="39"/>
      <c r="BY268" s="39"/>
      <c r="BZ268" s="39">
        <f t="shared" si="10"/>
        <v>0</v>
      </c>
      <c r="CA268" s="39">
        <f t="shared" si="11"/>
        <v>0</v>
      </c>
      <c r="CB268" s="39">
        <f t="shared" si="12"/>
        <v>0</v>
      </c>
      <c r="CC268" s="39">
        <f t="shared" si="13"/>
        <v>0</v>
      </c>
      <c r="CD268" s="39">
        <f t="shared" si="14"/>
        <v>0</v>
      </c>
      <c r="CE268" s="47" t="e">
        <f t="shared" si="15"/>
        <v>#DIV/0!</v>
      </c>
      <c r="CF268" s="36"/>
      <c r="CG268" s="39"/>
      <c r="CH268" s="39"/>
      <c r="CI268" s="25">
        <v>2</v>
      </c>
    </row>
    <row r="269" spans="1:87" ht="24.75" customHeight="1">
      <c r="A269" s="36" t="s">
        <v>50</v>
      </c>
      <c r="B269" s="142">
        <v>47686</v>
      </c>
      <c r="C269" s="227" t="s">
        <v>1007</v>
      </c>
      <c r="D269" s="36" t="s">
        <v>45</v>
      </c>
      <c r="E269" s="39">
        <v>280</v>
      </c>
      <c r="F269" s="39" t="s">
        <v>58</v>
      </c>
      <c r="G269" s="36" t="s">
        <v>613</v>
      </c>
      <c r="H269" s="36" t="s">
        <v>404</v>
      </c>
      <c r="I269" s="39">
        <v>315</v>
      </c>
      <c r="J269" s="39"/>
      <c r="K269" s="39"/>
      <c r="L269" s="39">
        <f t="shared" si="218"/>
        <v>315</v>
      </c>
      <c r="M269" s="117">
        <v>46186</v>
      </c>
      <c r="N269" s="117">
        <v>46193</v>
      </c>
      <c r="O269" s="39"/>
      <c r="P269" s="39"/>
      <c r="Q269" s="39"/>
      <c r="R269" s="39">
        <f t="shared" si="1"/>
        <v>0</v>
      </c>
      <c r="S269" s="39" t="s">
        <v>28</v>
      </c>
      <c r="T269" s="39"/>
      <c r="U269" s="39"/>
      <c r="V269" s="117">
        <v>46200</v>
      </c>
      <c r="W269" s="39">
        <v>369</v>
      </c>
      <c r="X269" s="117">
        <v>46212</v>
      </c>
      <c r="Y269" s="39">
        <v>335</v>
      </c>
      <c r="Z269" s="39"/>
      <c r="AA269" s="39"/>
      <c r="AB269" s="119">
        <f t="shared" si="2"/>
        <v>335</v>
      </c>
      <c r="AC269" s="39"/>
      <c r="AD269" s="39"/>
      <c r="AE269" s="39"/>
      <c r="AF269" s="39"/>
      <c r="AG269" s="39"/>
      <c r="AH269" s="39">
        <f t="shared" si="3"/>
        <v>0</v>
      </c>
      <c r="AI269" s="39"/>
      <c r="AJ269" s="39"/>
      <c r="AK269" s="39"/>
      <c r="AL269" s="39"/>
      <c r="AM269" s="39"/>
      <c r="AN269" s="39">
        <f t="shared" si="4"/>
        <v>0</v>
      </c>
      <c r="AO269" s="39" t="s">
        <v>280</v>
      </c>
      <c r="AP269" s="117">
        <v>46216</v>
      </c>
      <c r="AQ269" s="39">
        <v>336</v>
      </c>
      <c r="AR269" s="117">
        <v>46219</v>
      </c>
      <c r="AS269" s="39">
        <v>335</v>
      </c>
      <c r="AT269" s="39">
        <f t="shared" si="5"/>
        <v>-1</v>
      </c>
      <c r="AU269" s="39" t="s">
        <v>256</v>
      </c>
      <c r="AV269" s="117">
        <v>46219</v>
      </c>
      <c r="AW269" s="39">
        <v>335</v>
      </c>
      <c r="AX269" s="117">
        <v>46221</v>
      </c>
      <c r="AY269" s="39">
        <v>333</v>
      </c>
      <c r="AZ269" s="39">
        <f t="shared" si="6"/>
        <v>-2</v>
      </c>
      <c r="BA269" s="39"/>
      <c r="BB269" s="39"/>
      <c r="BC269" s="39"/>
      <c r="BD269" s="39"/>
      <c r="BE269" s="39"/>
      <c r="BF269" s="39">
        <f t="shared" si="7"/>
        <v>0</v>
      </c>
      <c r="BG269" s="39"/>
      <c r="BH269" s="39"/>
      <c r="BI269" s="39"/>
      <c r="BJ269" s="39"/>
      <c r="BK269" s="39"/>
      <c r="BL269" s="39">
        <f t="shared" si="8"/>
        <v>0</v>
      </c>
      <c r="BM269" s="54" t="str">
        <f t="shared" si="9"/>
        <v/>
      </c>
      <c r="BN269" s="60">
        <v>46200</v>
      </c>
      <c r="BO269" s="57">
        <v>46215</v>
      </c>
      <c r="BP269" s="36"/>
      <c r="BQ269" s="36"/>
      <c r="BR269" s="229">
        <v>46225</v>
      </c>
      <c r="BS269" s="229">
        <v>46230</v>
      </c>
      <c r="BT269" s="39">
        <v>1823</v>
      </c>
      <c r="BU269" s="39">
        <v>318</v>
      </c>
      <c r="BV269" s="39"/>
      <c r="BW269" s="39"/>
      <c r="BX269" s="39"/>
      <c r="BY269" s="39"/>
      <c r="BZ269" s="39">
        <f t="shared" si="10"/>
        <v>318</v>
      </c>
      <c r="CA269" s="39">
        <f t="shared" si="11"/>
        <v>3</v>
      </c>
      <c r="CB269" s="39">
        <f t="shared" si="12"/>
        <v>0</v>
      </c>
      <c r="CC269" s="39">
        <f t="shared" si="13"/>
        <v>0</v>
      </c>
      <c r="CD269" s="39">
        <f t="shared" si="14"/>
        <v>0</v>
      </c>
      <c r="CE269" s="102">
        <f t="shared" si="15"/>
        <v>0</v>
      </c>
      <c r="CF269" s="36" t="s">
        <v>293</v>
      </c>
      <c r="CG269" s="39" t="s">
        <v>227</v>
      </c>
      <c r="CH269" s="39"/>
      <c r="CI269" s="25">
        <v>3</v>
      </c>
    </row>
    <row r="270" spans="1:87" ht="24.75" customHeight="1">
      <c r="A270" s="36" t="s">
        <v>50</v>
      </c>
      <c r="B270" s="142">
        <v>47686</v>
      </c>
      <c r="C270" s="231"/>
      <c r="D270" s="36" t="s">
        <v>45</v>
      </c>
      <c r="E270" s="39">
        <v>280</v>
      </c>
      <c r="F270" s="39" t="s">
        <v>58</v>
      </c>
      <c r="G270" s="36" t="s">
        <v>36</v>
      </c>
      <c r="H270" s="36" t="s">
        <v>404</v>
      </c>
      <c r="I270" s="39">
        <v>562</v>
      </c>
      <c r="J270" s="39"/>
      <c r="K270" s="39"/>
      <c r="L270" s="39">
        <f t="shared" si="218"/>
        <v>562</v>
      </c>
      <c r="M270" s="117">
        <v>46186</v>
      </c>
      <c r="N270" s="117">
        <v>46193</v>
      </c>
      <c r="O270" s="39"/>
      <c r="P270" s="39"/>
      <c r="Q270" s="39"/>
      <c r="R270" s="39">
        <f t="shared" si="1"/>
        <v>0</v>
      </c>
      <c r="S270" s="39" t="s">
        <v>130</v>
      </c>
      <c r="T270" s="39">
        <v>107701</v>
      </c>
      <c r="U270" s="117">
        <v>46217</v>
      </c>
      <c r="V270" s="39"/>
      <c r="W270" s="39"/>
      <c r="X270" s="39"/>
      <c r="Y270" s="39">
        <v>663</v>
      </c>
      <c r="Z270" s="39"/>
      <c r="AA270" s="39"/>
      <c r="AB270" s="119">
        <f t="shared" si="2"/>
        <v>663</v>
      </c>
      <c r="AC270" s="39"/>
      <c r="AD270" s="39"/>
      <c r="AE270" s="39"/>
      <c r="AF270" s="39"/>
      <c r="AG270" s="39"/>
      <c r="AH270" s="39">
        <f t="shared" si="3"/>
        <v>0</v>
      </c>
      <c r="AI270" s="39"/>
      <c r="AJ270" s="39"/>
      <c r="AK270" s="39"/>
      <c r="AL270" s="39"/>
      <c r="AM270" s="39"/>
      <c r="AN270" s="39">
        <f t="shared" si="4"/>
        <v>0</v>
      </c>
      <c r="AO270" s="39" t="s">
        <v>280</v>
      </c>
      <c r="AP270" s="117">
        <v>46219</v>
      </c>
      <c r="AQ270" s="39">
        <v>607</v>
      </c>
      <c r="AR270" s="117">
        <v>46221</v>
      </c>
      <c r="AS270" s="39">
        <v>615</v>
      </c>
      <c r="AT270" s="39">
        <f t="shared" si="5"/>
        <v>8</v>
      </c>
      <c r="AU270" s="39" t="s">
        <v>257</v>
      </c>
      <c r="AV270" s="117">
        <v>46221</v>
      </c>
      <c r="AW270" s="39">
        <v>615</v>
      </c>
      <c r="AX270" s="117">
        <v>46222</v>
      </c>
      <c r="AY270" s="39">
        <v>604</v>
      </c>
      <c r="AZ270" s="39">
        <f t="shared" si="6"/>
        <v>-11</v>
      </c>
      <c r="BA270" s="39"/>
      <c r="BB270" s="39"/>
      <c r="BC270" s="39"/>
      <c r="BD270" s="39"/>
      <c r="BE270" s="39"/>
      <c r="BF270" s="39">
        <f t="shared" si="7"/>
        <v>0</v>
      </c>
      <c r="BG270" s="39"/>
      <c r="BH270" s="39"/>
      <c r="BI270" s="39"/>
      <c r="BJ270" s="39"/>
      <c r="BK270" s="39"/>
      <c r="BL270" s="39">
        <f t="shared" si="8"/>
        <v>0</v>
      </c>
      <c r="BM270" s="54" t="str">
        <f t="shared" si="9"/>
        <v/>
      </c>
      <c r="BN270" s="60">
        <v>46200</v>
      </c>
      <c r="BO270" s="57">
        <v>46215</v>
      </c>
      <c r="BP270" s="36"/>
      <c r="BQ270" s="36"/>
      <c r="BR270" s="232"/>
      <c r="BS270" s="232"/>
      <c r="BT270" s="39" t="s">
        <v>1965</v>
      </c>
      <c r="BU270" s="39">
        <f>507+61</f>
        <v>568</v>
      </c>
      <c r="BV270" s="39"/>
      <c r="BW270" s="39"/>
      <c r="BX270" s="39"/>
      <c r="BY270" s="39"/>
      <c r="BZ270" s="39">
        <f t="shared" si="10"/>
        <v>568</v>
      </c>
      <c r="CA270" s="39">
        <f t="shared" si="11"/>
        <v>6</v>
      </c>
      <c r="CB270" s="39">
        <f t="shared" si="12"/>
        <v>0</v>
      </c>
      <c r="CC270" s="39">
        <f t="shared" si="13"/>
        <v>0</v>
      </c>
      <c r="CD270" s="39">
        <f t="shared" si="14"/>
        <v>0</v>
      </c>
      <c r="CE270" s="102">
        <f t="shared" si="15"/>
        <v>0</v>
      </c>
      <c r="CF270" s="36" t="s">
        <v>293</v>
      </c>
      <c r="CG270" s="39" t="s">
        <v>227</v>
      </c>
      <c r="CH270" s="39" t="s">
        <v>451</v>
      </c>
      <c r="CI270" s="25">
        <v>3</v>
      </c>
    </row>
    <row r="271" spans="1:87" ht="24.75" customHeight="1">
      <c r="A271" s="36" t="s">
        <v>50</v>
      </c>
      <c r="B271" s="142">
        <v>47686</v>
      </c>
      <c r="C271" s="228"/>
      <c r="D271" s="36"/>
      <c r="E271" s="39"/>
      <c r="F271" s="39"/>
      <c r="G271" s="36" t="s">
        <v>319</v>
      </c>
      <c r="H271" s="36">
        <f>590+1120</f>
        <v>1710</v>
      </c>
      <c r="I271" s="39" t="s">
        <v>90</v>
      </c>
      <c r="J271" s="39"/>
      <c r="K271" s="39"/>
      <c r="L271" s="39">
        <f t="shared" si="218"/>
        <v>0</v>
      </c>
      <c r="M271" s="117">
        <v>46186</v>
      </c>
      <c r="N271" s="117">
        <v>46193</v>
      </c>
      <c r="O271" s="39"/>
      <c r="P271" s="39"/>
      <c r="Q271" s="39"/>
      <c r="R271" s="39">
        <f t="shared" si="1"/>
        <v>0</v>
      </c>
      <c r="S271" s="39" t="s">
        <v>130</v>
      </c>
      <c r="T271" s="39">
        <v>107701</v>
      </c>
      <c r="U271" s="117">
        <v>46217</v>
      </c>
      <c r="V271" s="117">
        <v>46200</v>
      </c>
      <c r="W271" s="39">
        <f>6</f>
        <v>6</v>
      </c>
      <c r="X271" s="117">
        <v>46212</v>
      </c>
      <c r="Y271" s="39">
        <f>5+14</f>
        <v>19</v>
      </c>
      <c r="Z271" s="39"/>
      <c r="AA271" s="39"/>
      <c r="AB271" s="39">
        <f t="shared" si="2"/>
        <v>19</v>
      </c>
      <c r="AC271" s="39"/>
      <c r="AD271" s="39"/>
      <c r="AE271" s="39"/>
      <c r="AF271" s="39"/>
      <c r="AG271" s="39"/>
      <c r="AH271" s="39">
        <f t="shared" si="3"/>
        <v>0</v>
      </c>
      <c r="AI271" s="39"/>
      <c r="AJ271" s="39"/>
      <c r="AK271" s="39"/>
      <c r="AL271" s="39"/>
      <c r="AM271" s="39"/>
      <c r="AN271" s="39">
        <f t="shared" si="4"/>
        <v>0</v>
      </c>
      <c r="AO271" s="39"/>
      <c r="AP271" s="39"/>
      <c r="AQ271" s="39"/>
      <c r="AR271" s="39"/>
      <c r="AS271" s="39"/>
      <c r="AT271" s="39">
        <f t="shared" si="5"/>
        <v>0</v>
      </c>
      <c r="AU271" s="39"/>
      <c r="AV271" s="39"/>
      <c r="AW271" s="39"/>
      <c r="AX271" s="39"/>
      <c r="AY271" s="39"/>
      <c r="AZ271" s="39">
        <f t="shared" si="6"/>
        <v>0</v>
      </c>
      <c r="BA271" s="39"/>
      <c r="BB271" s="39"/>
      <c r="BC271" s="39"/>
      <c r="BD271" s="39"/>
      <c r="BE271" s="39"/>
      <c r="BF271" s="39">
        <f t="shared" si="7"/>
        <v>0</v>
      </c>
      <c r="BG271" s="39"/>
      <c r="BH271" s="39"/>
      <c r="BI271" s="39"/>
      <c r="BJ271" s="39"/>
      <c r="BK271" s="39"/>
      <c r="BL271" s="39">
        <f t="shared" si="8"/>
        <v>0</v>
      </c>
      <c r="BM271" s="54" t="e">
        <f t="shared" si="9"/>
        <v>#DIV/0!</v>
      </c>
      <c r="BN271" s="60">
        <v>46200</v>
      </c>
      <c r="BO271" s="57">
        <v>46215</v>
      </c>
      <c r="BP271" s="36"/>
      <c r="BQ271" s="36"/>
      <c r="BR271" s="230"/>
      <c r="BS271" s="230"/>
      <c r="BT271" s="39" t="s">
        <v>1973</v>
      </c>
      <c r="BU271" s="39"/>
      <c r="BV271" s="39"/>
      <c r="BW271" s="39"/>
      <c r="BX271" s="39"/>
      <c r="BY271" s="39"/>
      <c r="BZ271" s="39">
        <f t="shared" si="10"/>
        <v>0</v>
      </c>
      <c r="CA271" s="39" t="e">
        <f t="shared" si="11"/>
        <v>#VALUE!</v>
      </c>
      <c r="CB271" s="39">
        <f t="shared" si="12"/>
        <v>0</v>
      </c>
      <c r="CC271" s="39">
        <f t="shared" si="13"/>
        <v>0</v>
      </c>
      <c r="CD271" s="39">
        <f t="shared" si="14"/>
        <v>0</v>
      </c>
      <c r="CE271" s="102" t="e">
        <f t="shared" si="15"/>
        <v>#DIV/0!</v>
      </c>
      <c r="CF271" s="36" t="s">
        <v>293</v>
      </c>
      <c r="CG271" s="39" t="s">
        <v>227</v>
      </c>
      <c r="CH271" s="39"/>
      <c r="CI271" s="25">
        <v>3</v>
      </c>
    </row>
    <row r="272" spans="1:87" ht="31.5" customHeight="1">
      <c r="A272" s="36" t="s">
        <v>50</v>
      </c>
      <c r="B272" s="26">
        <v>47612</v>
      </c>
      <c r="C272" s="36">
        <v>13265388</v>
      </c>
      <c r="D272" s="36"/>
      <c r="E272" s="39"/>
      <c r="F272" s="39"/>
      <c r="G272" s="36" t="s">
        <v>689</v>
      </c>
      <c r="H272" s="39"/>
      <c r="I272" s="39"/>
      <c r="J272" s="39"/>
      <c r="K272" s="39"/>
      <c r="L272" s="39">
        <f t="shared" ref="L272:L278" si="250">SUM(I272:K272)</f>
        <v>0</v>
      </c>
      <c r="M272" s="39"/>
      <c r="N272" s="39"/>
      <c r="O272" s="39"/>
      <c r="P272" s="39"/>
      <c r="Q272" s="39"/>
      <c r="R272" s="39">
        <f t="shared" si="1"/>
        <v>0</v>
      </c>
      <c r="S272" s="39" t="s">
        <v>130</v>
      </c>
      <c r="T272" s="39"/>
      <c r="U272" s="39"/>
      <c r="V272" s="39"/>
      <c r="W272" s="39"/>
      <c r="X272" s="39"/>
      <c r="Y272" s="39"/>
      <c r="Z272" s="39"/>
      <c r="AA272" s="39"/>
      <c r="AB272" s="39">
        <f t="shared" si="2"/>
        <v>0</v>
      </c>
      <c r="AC272" s="39"/>
      <c r="AD272" s="39"/>
      <c r="AE272" s="39"/>
      <c r="AF272" s="39"/>
      <c r="AG272" s="39"/>
      <c r="AH272" s="39">
        <f t="shared" si="3"/>
        <v>0</v>
      </c>
      <c r="AI272" s="39"/>
      <c r="AJ272" s="39"/>
      <c r="AK272" s="39"/>
      <c r="AL272" s="39"/>
      <c r="AM272" s="39"/>
      <c r="AN272" s="39">
        <f t="shared" si="4"/>
        <v>0</v>
      </c>
      <c r="AO272" s="39"/>
      <c r="AP272" s="39"/>
      <c r="AQ272" s="39"/>
      <c r="AR272" s="39"/>
      <c r="AS272" s="39"/>
      <c r="AT272" s="39">
        <f t="shared" si="5"/>
        <v>0</v>
      </c>
      <c r="AU272" s="39"/>
      <c r="AV272" s="39"/>
      <c r="AW272" s="39"/>
      <c r="AX272" s="39"/>
      <c r="AY272" s="39"/>
      <c r="AZ272" s="39">
        <f t="shared" si="6"/>
        <v>0</v>
      </c>
      <c r="BA272" s="39"/>
      <c r="BB272" s="39"/>
      <c r="BC272" s="39"/>
      <c r="BD272" s="39"/>
      <c r="BE272" s="39"/>
      <c r="BF272" s="39">
        <f t="shared" si="7"/>
        <v>0</v>
      </c>
      <c r="BG272" s="39"/>
      <c r="BH272" s="39"/>
      <c r="BI272" s="39"/>
      <c r="BJ272" s="39"/>
      <c r="BK272" s="39"/>
      <c r="BL272" s="39">
        <f t="shared" si="8"/>
        <v>0</v>
      </c>
      <c r="BM272" s="54" t="e">
        <f t="shared" si="9"/>
        <v>#DIV/0!</v>
      </c>
      <c r="BN272" s="61"/>
      <c r="BO272" s="36" t="s">
        <v>680</v>
      </c>
      <c r="BP272" s="36"/>
      <c r="BQ272" s="36"/>
      <c r="BR272" s="40"/>
      <c r="BS272" s="40"/>
      <c r="BT272" s="39"/>
      <c r="BU272" s="39"/>
      <c r="BV272" s="39"/>
      <c r="BW272" s="39"/>
      <c r="BX272" s="39"/>
      <c r="BY272" s="39"/>
      <c r="BZ272" s="39">
        <f t="shared" si="10"/>
        <v>0</v>
      </c>
      <c r="CA272" s="39">
        <f t="shared" si="11"/>
        <v>0</v>
      </c>
      <c r="CB272" s="39">
        <f t="shared" si="12"/>
        <v>0</v>
      </c>
      <c r="CC272" s="39">
        <f t="shared" si="13"/>
        <v>0</v>
      </c>
      <c r="CD272" s="39">
        <f t="shared" si="14"/>
        <v>0</v>
      </c>
      <c r="CE272" s="102" t="e">
        <f t="shared" si="15"/>
        <v>#DIV/0!</v>
      </c>
      <c r="CF272" s="36" t="s">
        <v>408</v>
      </c>
      <c r="CG272" s="39" t="s">
        <v>282</v>
      </c>
      <c r="CH272" s="39"/>
      <c r="CI272" s="25">
        <v>3</v>
      </c>
    </row>
    <row r="273" spans="1:87" ht="24.75" customHeight="1">
      <c r="A273" s="36" t="s">
        <v>50</v>
      </c>
      <c r="B273" s="26">
        <v>47620</v>
      </c>
      <c r="C273" s="36">
        <v>13262657</v>
      </c>
      <c r="D273" s="36"/>
      <c r="E273" s="39"/>
      <c r="F273" s="39"/>
      <c r="G273" s="36" t="s">
        <v>689</v>
      </c>
      <c r="H273" s="39"/>
      <c r="I273" s="39"/>
      <c r="J273" s="39"/>
      <c r="K273" s="39"/>
      <c r="L273" s="39">
        <f t="shared" si="250"/>
        <v>0</v>
      </c>
      <c r="M273" s="39"/>
      <c r="N273" s="39"/>
      <c r="O273" s="39"/>
      <c r="P273" s="39"/>
      <c r="Q273" s="39"/>
      <c r="R273" s="39">
        <f t="shared" si="1"/>
        <v>0</v>
      </c>
      <c r="S273" s="39" t="s">
        <v>130</v>
      </c>
      <c r="T273" s="39"/>
      <c r="U273" s="39"/>
      <c r="V273" s="39"/>
      <c r="W273" s="39"/>
      <c r="X273" s="39"/>
      <c r="Y273" s="39"/>
      <c r="Z273" s="39"/>
      <c r="AA273" s="39"/>
      <c r="AB273" s="39">
        <f t="shared" si="2"/>
        <v>0</v>
      </c>
      <c r="AC273" s="39"/>
      <c r="AD273" s="39"/>
      <c r="AE273" s="39"/>
      <c r="AF273" s="39"/>
      <c r="AG273" s="39"/>
      <c r="AH273" s="39">
        <f t="shared" si="3"/>
        <v>0</v>
      </c>
      <c r="AI273" s="39"/>
      <c r="AJ273" s="39"/>
      <c r="AK273" s="39"/>
      <c r="AL273" s="39"/>
      <c r="AM273" s="39"/>
      <c r="AN273" s="39">
        <f t="shared" si="4"/>
        <v>0</v>
      </c>
      <c r="AO273" s="39"/>
      <c r="AP273" s="39"/>
      <c r="AQ273" s="39"/>
      <c r="AR273" s="39"/>
      <c r="AS273" s="39"/>
      <c r="AT273" s="39">
        <f t="shared" si="5"/>
        <v>0</v>
      </c>
      <c r="AU273" s="39"/>
      <c r="AV273" s="39"/>
      <c r="AW273" s="39"/>
      <c r="AX273" s="39"/>
      <c r="AY273" s="39"/>
      <c r="AZ273" s="39">
        <f t="shared" si="6"/>
        <v>0</v>
      </c>
      <c r="BA273" s="39"/>
      <c r="BB273" s="39"/>
      <c r="BC273" s="39"/>
      <c r="BD273" s="39"/>
      <c r="BE273" s="39"/>
      <c r="BF273" s="39">
        <f t="shared" si="7"/>
        <v>0</v>
      </c>
      <c r="BG273" s="39"/>
      <c r="BH273" s="39"/>
      <c r="BI273" s="39"/>
      <c r="BJ273" s="39"/>
      <c r="BK273" s="39"/>
      <c r="BL273" s="39">
        <f t="shared" si="8"/>
        <v>0</v>
      </c>
      <c r="BM273" s="54" t="e">
        <f t="shared" si="9"/>
        <v>#DIV/0!</v>
      </c>
      <c r="BN273" s="61"/>
      <c r="BO273" s="36" t="s">
        <v>681</v>
      </c>
      <c r="BP273" s="36"/>
      <c r="BQ273" s="36"/>
      <c r="BR273" s="40"/>
      <c r="BS273" s="40"/>
      <c r="BT273" s="39"/>
      <c r="BU273" s="39"/>
      <c r="BV273" s="39"/>
      <c r="BW273" s="39"/>
      <c r="BX273" s="39"/>
      <c r="BY273" s="39"/>
      <c r="BZ273" s="39">
        <f t="shared" si="10"/>
        <v>0</v>
      </c>
      <c r="CA273" s="39">
        <f t="shared" si="11"/>
        <v>0</v>
      </c>
      <c r="CB273" s="39">
        <f t="shared" si="12"/>
        <v>0</v>
      </c>
      <c r="CC273" s="39">
        <f t="shared" si="13"/>
        <v>0</v>
      </c>
      <c r="CD273" s="39">
        <f t="shared" si="14"/>
        <v>0</v>
      </c>
      <c r="CE273" s="102" t="e">
        <f t="shared" si="15"/>
        <v>#DIV/0!</v>
      </c>
      <c r="CF273" s="36" t="s">
        <v>408</v>
      </c>
      <c r="CG273" s="39" t="s">
        <v>282</v>
      </c>
      <c r="CH273" s="39"/>
      <c r="CI273" s="25">
        <v>3</v>
      </c>
    </row>
    <row r="274" spans="1:87" ht="30" customHeight="1">
      <c r="A274" s="36" t="s">
        <v>50</v>
      </c>
      <c r="B274" s="26">
        <v>47613</v>
      </c>
      <c r="C274" s="36">
        <v>13265387</v>
      </c>
      <c r="D274" s="36"/>
      <c r="E274" s="39"/>
      <c r="F274" s="39"/>
      <c r="G274" s="36" t="s">
        <v>689</v>
      </c>
      <c r="H274" s="39"/>
      <c r="I274" s="39"/>
      <c r="J274" s="39"/>
      <c r="K274" s="39"/>
      <c r="L274" s="39">
        <f t="shared" si="250"/>
        <v>0</v>
      </c>
      <c r="M274" s="39"/>
      <c r="N274" s="39"/>
      <c r="O274" s="39"/>
      <c r="P274" s="39"/>
      <c r="Q274" s="39"/>
      <c r="R274" s="39">
        <f t="shared" si="1"/>
        <v>0</v>
      </c>
      <c r="S274" s="39" t="s">
        <v>130</v>
      </c>
      <c r="T274" s="39"/>
      <c r="U274" s="39"/>
      <c r="V274" s="39"/>
      <c r="W274" s="39"/>
      <c r="X274" s="39"/>
      <c r="Y274" s="39"/>
      <c r="Z274" s="39"/>
      <c r="AA274" s="39"/>
      <c r="AB274" s="39">
        <f t="shared" si="2"/>
        <v>0</v>
      </c>
      <c r="AC274" s="39"/>
      <c r="AD274" s="39"/>
      <c r="AE274" s="39"/>
      <c r="AF274" s="39"/>
      <c r="AG274" s="39"/>
      <c r="AH274" s="39">
        <f t="shared" si="3"/>
        <v>0</v>
      </c>
      <c r="AI274" s="39"/>
      <c r="AJ274" s="39"/>
      <c r="AK274" s="39"/>
      <c r="AL274" s="39"/>
      <c r="AM274" s="39"/>
      <c r="AN274" s="39">
        <f t="shared" si="4"/>
        <v>0</v>
      </c>
      <c r="AO274" s="39"/>
      <c r="AP274" s="39"/>
      <c r="AQ274" s="39"/>
      <c r="AR274" s="39"/>
      <c r="AS274" s="39"/>
      <c r="AT274" s="39">
        <f t="shared" si="5"/>
        <v>0</v>
      </c>
      <c r="AU274" s="39"/>
      <c r="AV274" s="39"/>
      <c r="AW274" s="39"/>
      <c r="AX274" s="39"/>
      <c r="AY274" s="39"/>
      <c r="AZ274" s="39">
        <f t="shared" si="6"/>
        <v>0</v>
      </c>
      <c r="BA274" s="39"/>
      <c r="BB274" s="39"/>
      <c r="BC274" s="39"/>
      <c r="BD274" s="39"/>
      <c r="BE274" s="39"/>
      <c r="BF274" s="39">
        <f t="shared" si="7"/>
        <v>0</v>
      </c>
      <c r="BG274" s="39"/>
      <c r="BH274" s="39"/>
      <c r="BI274" s="39"/>
      <c r="BJ274" s="39"/>
      <c r="BK274" s="39"/>
      <c r="BL274" s="39">
        <f t="shared" si="8"/>
        <v>0</v>
      </c>
      <c r="BM274" s="54" t="e">
        <f t="shared" si="9"/>
        <v>#DIV/0!</v>
      </c>
      <c r="BN274" s="61"/>
      <c r="BO274" s="36" t="s">
        <v>680</v>
      </c>
      <c r="BP274" s="36"/>
      <c r="BQ274" s="36"/>
      <c r="BR274" s="40"/>
      <c r="BS274" s="40"/>
      <c r="BT274" s="39"/>
      <c r="BU274" s="39"/>
      <c r="BV274" s="39"/>
      <c r="BW274" s="39"/>
      <c r="BX274" s="39"/>
      <c r="BY274" s="39"/>
      <c r="BZ274" s="39">
        <f t="shared" si="10"/>
        <v>0</v>
      </c>
      <c r="CA274" s="39">
        <f t="shared" si="11"/>
        <v>0</v>
      </c>
      <c r="CB274" s="39">
        <f t="shared" si="12"/>
        <v>0</v>
      </c>
      <c r="CC274" s="39">
        <f t="shared" si="13"/>
        <v>0</v>
      </c>
      <c r="CD274" s="39">
        <f t="shared" si="14"/>
        <v>0</v>
      </c>
      <c r="CE274" s="102" t="e">
        <f t="shared" si="15"/>
        <v>#DIV/0!</v>
      </c>
      <c r="CF274" s="36" t="s">
        <v>408</v>
      </c>
      <c r="CG274" s="39" t="s">
        <v>282</v>
      </c>
      <c r="CH274" s="39"/>
      <c r="CI274" s="25">
        <v>3</v>
      </c>
    </row>
    <row r="275" spans="1:87" ht="24.75" customHeight="1">
      <c r="A275" s="36" t="s">
        <v>50</v>
      </c>
      <c r="B275" s="26">
        <v>47614</v>
      </c>
      <c r="C275" s="227" t="s">
        <v>682</v>
      </c>
      <c r="D275" s="36"/>
      <c r="E275" s="39">
        <v>200</v>
      </c>
      <c r="F275" s="39" t="s">
        <v>676</v>
      </c>
      <c r="G275" s="36" t="s">
        <v>677</v>
      </c>
      <c r="H275" s="152" t="s">
        <v>555</v>
      </c>
      <c r="I275" s="39">
        <v>175</v>
      </c>
      <c r="J275" s="39"/>
      <c r="K275" s="39"/>
      <c r="L275" s="39">
        <v>0</v>
      </c>
      <c r="M275" s="117"/>
      <c r="N275" s="117"/>
      <c r="O275" s="39"/>
      <c r="P275" s="39"/>
      <c r="Q275" s="39"/>
      <c r="R275" s="39">
        <f t="shared" si="1"/>
        <v>0</v>
      </c>
      <c r="S275" s="39" t="s">
        <v>130</v>
      </c>
      <c r="T275" s="39"/>
      <c r="U275" s="39"/>
      <c r="V275" s="39"/>
      <c r="W275" s="39"/>
      <c r="X275" s="39"/>
      <c r="Y275" s="39"/>
      <c r="Z275" s="39"/>
      <c r="AA275" s="39"/>
      <c r="AB275" s="39">
        <f t="shared" si="2"/>
        <v>0</v>
      </c>
      <c r="AC275" s="39"/>
      <c r="AD275" s="39"/>
      <c r="AE275" s="39"/>
      <c r="AF275" s="39"/>
      <c r="AG275" s="39"/>
      <c r="AH275" s="39">
        <f t="shared" si="3"/>
        <v>0</v>
      </c>
      <c r="AI275" s="39"/>
      <c r="AJ275" s="39"/>
      <c r="AK275" s="39"/>
      <c r="AL275" s="39"/>
      <c r="AM275" s="39"/>
      <c r="AN275" s="39">
        <f t="shared" si="4"/>
        <v>0</v>
      </c>
      <c r="AO275" s="39"/>
      <c r="AP275" s="39"/>
      <c r="AQ275" s="39"/>
      <c r="AR275" s="39"/>
      <c r="AS275" s="39"/>
      <c r="AT275" s="39">
        <f t="shared" si="5"/>
        <v>0</v>
      </c>
      <c r="AU275" s="39"/>
      <c r="AV275" s="39"/>
      <c r="AW275" s="39"/>
      <c r="AX275" s="39"/>
      <c r="AY275" s="39"/>
      <c r="AZ275" s="39">
        <f t="shared" si="6"/>
        <v>0</v>
      </c>
      <c r="BA275" s="39"/>
      <c r="BB275" s="39"/>
      <c r="BC275" s="39"/>
      <c r="BD275" s="39"/>
      <c r="BE275" s="39"/>
      <c r="BF275" s="39">
        <f t="shared" si="7"/>
        <v>0</v>
      </c>
      <c r="BG275" s="39"/>
      <c r="BH275" s="39"/>
      <c r="BI275" s="39"/>
      <c r="BJ275" s="39"/>
      <c r="BK275" s="39"/>
      <c r="BL275" s="39">
        <f t="shared" si="8"/>
        <v>0</v>
      </c>
      <c r="BM275" s="54" t="e">
        <f t="shared" si="9"/>
        <v>#DIV/0!</v>
      </c>
      <c r="BN275" s="60"/>
      <c r="BO275" s="57"/>
      <c r="BP275" s="36"/>
      <c r="BQ275" s="36"/>
      <c r="BR275" s="229">
        <v>46200</v>
      </c>
      <c r="BS275" s="243"/>
      <c r="BT275" s="39"/>
      <c r="BU275" s="39"/>
      <c r="BV275" s="39"/>
      <c r="BW275" s="39"/>
      <c r="BX275" s="39"/>
      <c r="BY275" s="39"/>
      <c r="BZ275" s="39">
        <f t="shared" si="10"/>
        <v>0</v>
      </c>
      <c r="CA275" s="39">
        <v>0</v>
      </c>
      <c r="CB275" s="39">
        <f t="shared" si="12"/>
        <v>0</v>
      </c>
      <c r="CC275" s="39">
        <f t="shared" si="13"/>
        <v>0</v>
      </c>
      <c r="CD275" s="39">
        <f t="shared" si="14"/>
        <v>0</v>
      </c>
      <c r="CE275" s="102" t="e">
        <f t="shared" si="15"/>
        <v>#DIV/0!</v>
      </c>
      <c r="CF275" s="36" t="s">
        <v>408</v>
      </c>
      <c r="CG275" s="39" t="s">
        <v>282</v>
      </c>
      <c r="CH275" s="39"/>
      <c r="CI275" s="25">
        <v>3</v>
      </c>
    </row>
    <row r="276" spans="1:87" ht="24.75" customHeight="1">
      <c r="A276" s="36" t="s">
        <v>50</v>
      </c>
      <c r="B276" s="26">
        <v>47614</v>
      </c>
      <c r="C276" s="231"/>
      <c r="D276" s="36"/>
      <c r="E276" s="39">
        <v>120</v>
      </c>
      <c r="F276" s="39" t="s">
        <v>59</v>
      </c>
      <c r="G276" s="36" t="s">
        <v>605</v>
      </c>
      <c r="H276" s="39" t="s">
        <v>22</v>
      </c>
      <c r="I276" s="39">
        <v>108</v>
      </c>
      <c r="J276" s="39"/>
      <c r="K276" s="39"/>
      <c r="L276" s="39">
        <f t="shared" si="250"/>
        <v>108</v>
      </c>
      <c r="M276" s="117">
        <v>46179</v>
      </c>
      <c r="N276" s="117">
        <v>46183</v>
      </c>
      <c r="O276" s="39"/>
      <c r="P276" s="39"/>
      <c r="Q276" s="39"/>
      <c r="R276" s="39">
        <f t="shared" si="1"/>
        <v>0</v>
      </c>
      <c r="S276" s="39" t="s">
        <v>130</v>
      </c>
      <c r="T276" s="39">
        <v>107496</v>
      </c>
      <c r="U276" s="117">
        <v>46199</v>
      </c>
      <c r="V276" s="39"/>
      <c r="W276" s="39"/>
      <c r="X276" s="39"/>
      <c r="Y276" s="39">
        <v>133</v>
      </c>
      <c r="Z276" s="39"/>
      <c r="AA276" s="39"/>
      <c r="AB276" s="119">
        <f t="shared" si="2"/>
        <v>133</v>
      </c>
      <c r="AC276" s="39"/>
      <c r="AD276" s="39"/>
      <c r="AE276" s="39"/>
      <c r="AF276" s="39"/>
      <c r="AG276" s="39"/>
      <c r="AH276" s="39">
        <f t="shared" si="3"/>
        <v>0</v>
      </c>
      <c r="AI276" s="39"/>
      <c r="AJ276" s="39"/>
      <c r="AK276" s="39"/>
      <c r="AL276" s="39"/>
      <c r="AM276" s="39"/>
      <c r="AN276" s="39">
        <f t="shared" si="4"/>
        <v>0</v>
      </c>
      <c r="AO276" s="39"/>
      <c r="AP276" s="39"/>
      <c r="AQ276" s="39"/>
      <c r="AR276" s="39"/>
      <c r="AS276" s="39"/>
      <c r="AT276" s="39">
        <f t="shared" si="5"/>
        <v>0</v>
      </c>
      <c r="AU276" s="39"/>
      <c r="AV276" s="39"/>
      <c r="AW276" s="39"/>
      <c r="AX276" s="39"/>
      <c r="AY276" s="39"/>
      <c r="AZ276" s="39">
        <f t="shared" si="6"/>
        <v>0</v>
      </c>
      <c r="BA276" s="39"/>
      <c r="BB276" s="39"/>
      <c r="BC276" s="39"/>
      <c r="BD276" s="39"/>
      <c r="BE276" s="39"/>
      <c r="BF276" s="39">
        <f t="shared" si="7"/>
        <v>0</v>
      </c>
      <c r="BG276" s="39"/>
      <c r="BH276" s="39"/>
      <c r="BI276" s="39"/>
      <c r="BJ276" s="39"/>
      <c r="BK276" s="39"/>
      <c r="BL276" s="39">
        <f t="shared" si="8"/>
        <v>0</v>
      </c>
      <c r="BM276" s="54" t="str">
        <f t="shared" si="9"/>
        <v/>
      </c>
      <c r="BN276" s="60">
        <v>46195</v>
      </c>
      <c r="BO276" s="57">
        <v>46199</v>
      </c>
      <c r="BP276" s="36"/>
      <c r="BQ276" s="36"/>
      <c r="BR276" s="232"/>
      <c r="BS276" s="232"/>
      <c r="BT276" s="39">
        <v>2141</v>
      </c>
      <c r="BU276" s="39">
        <v>152</v>
      </c>
      <c r="BV276" s="39"/>
      <c r="BW276" s="39"/>
      <c r="BX276" s="39"/>
      <c r="BY276" s="39"/>
      <c r="BZ276" s="39">
        <f t="shared" si="10"/>
        <v>152</v>
      </c>
      <c r="CA276" s="39">
        <f t="shared" si="11"/>
        <v>44</v>
      </c>
      <c r="CB276" s="39">
        <f t="shared" si="12"/>
        <v>0</v>
      </c>
      <c r="CC276" s="39">
        <f t="shared" si="13"/>
        <v>0</v>
      </c>
      <c r="CD276" s="39">
        <f t="shared" si="14"/>
        <v>0</v>
      </c>
      <c r="CE276" s="102">
        <f t="shared" si="15"/>
        <v>0</v>
      </c>
      <c r="CF276" s="36" t="s">
        <v>408</v>
      </c>
      <c r="CG276" s="39" t="s">
        <v>282</v>
      </c>
      <c r="CH276" s="39"/>
      <c r="CI276" s="25">
        <v>3</v>
      </c>
    </row>
    <row r="277" spans="1:87" ht="24.75" customHeight="1">
      <c r="A277" s="36" t="s">
        <v>50</v>
      </c>
      <c r="B277" s="26">
        <v>47614</v>
      </c>
      <c r="C277" s="231"/>
      <c r="D277" s="36"/>
      <c r="E277" s="39">
        <v>200</v>
      </c>
      <c r="F277" s="39" t="s">
        <v>676</v>
      </c>
      <c r="G277" s="36" t="s">
        <v>419</v>
      </c>
      <c r="H277" s="152" t="s">
        <v>555</v>
      </c>
      <c r="I277" s="39">
        <v>175</v>
      </c>
      <c r="J277" s="39"/>
      <c r="K277" s="39"/>
      <c r="L277" s="39">
        <v>0</v>
      </c>
      <c r="M277" s="117"/>
      <c r="N277" s="117"/>
      <c r="O277" s="39"/>
      <c r="P277" s="39"/>
      <c r="Q277" s="39"/>
      <c r="R277" s="39">
        <f t="shared" si="1"/>
        <v>0</v>
      </c>
      <c r="S277" s="39" t="s">
        <v>130</v>
      </c>
      <c r="T277" s="39"/>
      <c r="U277" s="39"/>
      <c r="V277" s="39"/>
      <c r="W277" s="39"/>
      <c r="X277" s="39"/>
      <c r="Y277" s="39"/>
      <c r="Z277" s="39"/>
      <c r="AA277" s="39"/>
      <c r="AB277" s="39">
        <f t="shared" si="2"/>
        <v>0</v>
      </c>
      <c r="AC277" s="39"/>
      <c r="AD277" s="39"/>
      <c r="AE277" s="39"/>
      <c r="AF277" s="39"/>
      <c r="AG277" s="39"/>
      <c r="AH277" s="39">
        <f t="shared" si="3"/>
        <v>0</v>
      </c>
      <c r="AI277" s="39"/>
      <c r="AJ277" s="39"/>
      <c r="AK277" s="39"/>
      <c r="AL277" s="39"/>
      <c r="AM277" s="39"/>
      <c r="AN277" s="39">
        <f t="shared" si="4"/>
        <v>0</v>
      </c>
      <c r="AO277" s="39"/>
      <c r="AP277" s="39"/>
      <c r="AQ277" s="39"/>
      <c r="AR277" s="39"/>
      <c r="AS277" s="39"/>
      <c r="AT277" s="39">
        <f t="shared" si="5"/>
        <v>0</v>
      </c>
      <c r="AU277" s="39"/>
      <c r="AV277" s="39"/>
      <c r="AW277" s="39"/>
      <c r="AX277" s="39"/>
      <c r="AY277" s="39"/>
      <c r="AZ277" s="39">
        <f t="shared" si="6"/>
        <v>0</v>
      </c>
      <c r="BA277" s="39"/>
      <c r="BB277" s="39"/>
      <c r="BC277" s="39"/>
      <c r="BD277" s="39"/>
      <c r="BE277" s="39"/>
      <c r="BF277" s="39">
        <f t="shared" si="7"/>
        <v>0</v>
      </c>
      <c r="BG277" s="39"/>
      <c r="BH277" s="39"/>
      <c r="BI277" s="39"/>
      <c r="BJ277" s="39"/>
      <c r="BK277" s="39"/>
      <c r="BL277" s="39">
        <f t="shared" si="8"/>
        <v>0</v>
      </c>
      <c r="BM277" s="54" t="e">
        <f t="shared" si="9"/>
        <v>#DIV/0!</v>
      </c>
      <c r="BN277" s="60"/>
      <c r="BO277" s="57"/>
      <c r="BP277" s="36"/>
      <c r="BQ277" s="36"/>
      <c r="BR277" s="232"/>
      <c r="BS277" s="232"/>
      <c r="BT277" s="39"/>
      <c r="BU277" s="39"/>
      <c r="BV277" s="39"/>
      <c r="BW277" s="39"/>
      <c r="BX277" s="39"/>
      <c r="BY277" s="39"/>
      <c r="BZ277" s="39">
        <f t="shared" si="10"/>
        <v>0</v>
      </c>
      <c r="CA277" s="39">
        <v>0</v>
      </c>
      <c r="CB277" s="39">
        <f t="shared" si="12"/>
        <v>0</v>
      </c>
      <c r="CC277" s="39">
        <f t="shared" si="13"/>
        <v>0</v>
      </c>
      <c r="CD277" s="39">
        <f t="shared" si="14"/>
        <v>0</v>
      </c>
      <c r="CE277" s="102" t="e">
        <f t="shared" si="15"/>
        <v>#DIV/0!</v>
      </c>
      <c r="CF277" s="36" t="s">
        <v>408</v>
      </c>
      <c r="CG277" s="39" t="s">
        <v>282</v>
      </c>
      <c r="CH277" s="39"/>
      <c r="CI277" s="25">
        <v>3</v>
      </c>
    </row>
    <row r="278" spans="1:87" ht="24.75" customHeight="1">
      <c r="A278" s="36" t="s">
        <v>50</v>
      </c>
      <c r="B278" s="26">
        <v>47614</v>
      </c>
      <c r="C278" s="231"/>
      <c r="D278" s="36"/>
      <c r="E278" s="39">
        <v>120</v>
      </c>
      <c r="F278" s="39" t="s">
        <v>59</v>
      </c>
      <c r="G278" s="36" t="s">
        <v>440</v>
      </c>
      <c r="H278" s="39" t="s">
        <v>22</v>
      </c>
      <c r="I278" s="39">
        <v>108</v>
      </c>
      <c r="J278" s="39"/>
      <c r="K278" s="39"/>
      <c r="L278" s="39">
        <f t="shared" si="250"/>
        <v>108</v>
      </c>
      <c r="M278" s="117">
        <v>46179</v>
      </c>
      <c r="N278" s="117">
        <v>46183</v>
      </c>
      <c r="O278" s="39"/>
      <c r="P278" s="39"/>
      <c r="Q278" s="39"/>
      <c r="R278" s="39">
        <f t="shared" si="1"/>
        <v>0</v>
      </c>
      <c r="S278" s="39" t="s">
        <v>130</v>
      </c>
      <c r="T278" s="39">
        <v>107634</v>
      </c>
      <c r="U278" s="117">
        <v>46213</v>
      </c>
      <c r="V278" s="39"/>
      <c r="W278" s="39"/>
      <c r="X278" s="39"/>
      <c r="Y278" s="39">
        <v>133</v>
      </c>
      <c r="Z278" s="39"/>
      <c r="AA278" s="39"/>
      <c r="AB278" s="119">
        <f t="shared" si="2"/>
        <v>133</v>
      </c>
      <c r="AC278" s="39"/>
      <c r="AD278" s="39"/>
      <c r="AE278" s="39"/>
      <c r="AF278" s="39"/>
      <c r="AG278" s="39"/>
      <c r="AH278" s="39">
        <f t="shared" si="3"/>
        <v>0</v>
      </c>
      <c r="AI278" s="39"/>
      <c r="AJ278" s="39"/>
      <c r="AK278" s="39"/>
      <c r="AL278" s="39"/>
      <c r="AM278" s="39"/>
      <c r="AN278" s="39">
        <f t="shared" si="4"/>
        <v>0</v>
      </c>
      <c r="AO278" s="39"/>
      <c r="AP278" s="39"/>
      <c r="AQ278" s="39"/>
      <c r="AR278" s="39"/>
      <c r="AS278" s="39"/>
      <c r="AT278" s="39">
        <f t="shared" si="5"/>
        <v>0</v>
      </c>
      <c r="AU278" s="39"/>
      <c r="AV278" s="39"/>
      <c r="AW278" s="39"/>
      <c r="AX278" s="39"/>
      <c r="AY278" s="39"/>
      <c r="AZ278" s="39">
        <f t="shared" si="6"/>
        <v>0</v>
      </c>
      <c r="BA278" s="39"/>
      <c r="BB278" s="39"/>
      <c r="BC278" s="39"/>
      <c r="BD278" s="39"/>
      <c r="BE278" s="39"/>
      <c r="BF278" s="39">
        <f t="shared" si="7"/>
        <v>0</v>
      </c>
      <c r="BG278" s="39"/>
      <c r="BH278" s="39"/>
      <c r="BI278" s="39"/>
      <c r="BJ278" s="39"/>
      <c r="BK278" s="39"/>
      <c r="BL278" s="39">
        <f t="shared" si="8"/>
        <v>0</v>
      </c>
      <c r="BM278" s="54" t="str">
        <f t="shared" si="9"/>
        <v/>
      </c>
      <c r="BN278" s="60">
        <v>46195</v>
      </c>
      <c r="BO278" s="57">
        <v>46199</v>
      </c>
      <c r="BP278" s="36"/>
      <c r="BQ278" s="36"/>
      <c r="BR278" s="232"/>
      <c r="BS278" s="232"/>
      <c r="BT278" s="39">
        <v>2017</v>
      </c>
      <c r="BU278" s="39">
        <v>131</v>
      </c>
      <c r="BV278" s="39"/>
      <c r="BW278" s="39"/>
      <c r="BX278" s="39"/>
      <c r="BY278" s="39"/>
      <c r="BZ278" s="39">
        <f t="shared" si="10"/>
        <v>131</v>
      </c>
      <c r="CA278" s="39">
        <f t="shared" si="11"/>
        <v>23</v>
      </c>
      <c r="CB278" s="39">
        <f t="shared" si="12"/>
        <v>0</v>
      </c>
      <c r="CC278" s="39">
        <f t="shared" si="13"/>
        <v>0</v>
      </c>
      <c r="CD278" s="39">
        <f t="shared" si="14"/>
        <v>0</v>
      </c>
      <c r="CE278" s="102">
        <f t="shared" si="15"/>
        <v>0</v>
      </c>
      <c r="CF278" s="36" t="s">
        <v>408</v>
      </c>
      <c r="CG278" s="39" t="s">
        <v>282</v>
      </c>
      <c r="CH278" s="39"/>
      <c r="CI278" s="25">
        <v>3</v>
      </c>
    </row>
    <row r="279" spans="1:87" ht="24.75" customHeight="1">
      <c r="A279" s="36" t="s">
        <v>50</v>
      </c>
      <c r="B279" s="26">
        <v>47614</v>
      </c>
      <c r="C279" s="231"/>
      <c r="D279" s="36"/>
      <c r="E279" s="39">
        <v>200</v>
      </c>
      <c r="F279" s="39" t="s">
        <v>676</v>
      </c>
      <c r="G279" s="36" t="s">
        <v>607</v>
      </c>
      <c r="H279" s="152" t="s">
        <v>555</v>
      </c>
      <c r="I279" s="39">
        <v>65</v>
      </c>
      <c r="J279" s="39"/>
      <c r="K279" s="39"/>
      <c r="L279" s="39">
        <v>0</v>
      </c>
      <c r="M279" s="117"/>
      <c r="N279" s="117"/>
      <c r="O279" s="39"/>
      <c r="P279" s="39"/>
      <c r="Q279" s="39"/>
      <c r="R279" s="39">
        <f t="shared" si="1"/>
        <v>0</v>
      </c>
      <c r="S279" s="39" t="s">
        <v>130</v>
      </c>
      <c r="T279" s="39"/>
      <c r="U279" s="39"/>
      <c r="V279" s="39"/>
      <c r="W279" s="39"/>
      <c r="X279" s="39"/>
      <c r="Y279" s="39"/>
      <c r="Z279" s="39"/>
      <c r="AA279" s="39"/>
      <c r="AB279" s="39">
        <f t="shared" si="2"/>
        <v>0</v>
      </c>
      <c r="AC279" s="39"/>
      <c r="AD279" s="39"/>
      <c r="AE279" s="39"/>
      <c r="AF279" s="39"/>
      <c r="AG279" s="39"/>
      <c r="AH279" s="39">
        <f t="shared" si="3"/>
        <v>0</v>
      </c>
      <c r="AI279" s="39"/>
      <c r="AJ279" s="39"/>
      <c r="AK279" s="39"/>
      <c r="AL279" s="39"/>
      <c r="AM279" s="39"/>
      <c r="AN279" s="39">
        <f t="shared" si="4"/>
        <v>0</v>
      </c>
      <c r="AO279" s="39"/>
      <c r="AP279" s="39"/>
      <c r="AQ279" s="39"/>
      <c r="AR279" s="39"/>
      <c r="AS279" s="39"/>
      <c r="AT279" s="39">
        <f t="shared" si="5"/>
        <v>0</v>
      </c>
      <c r="AU279" s="39"/>
      <c r="AV279" s="39"/>
      <c r="AW279" s="39"/>
      <c r="AX279" s="39"/>
      <c r="AY279" s="39"/>
      <c r="AZ279" s="39">
        <f t="shared" si="6"/>
        <v>0</v>
      </c>
      <c r="BA279" s="39"/>
      <c r="BB279" s="39"/>
      <c r="BC279" s="39"/>
      <c r="BD279" s="39"/>
      <c r="BE279" s="39"/>
      <c r="BF279" s="39">
        <f t="shared" si="7"/>
        <v>0</v>
      </c>
      <c r="BG279" s="39"/>
      <c r="BH279" s="39"/>
      <c r="BI279" s="39"/>
      <c r="BJ279" s="39"/>
      <c r="BK279" s="39"/>
      <c r="BL279" s="39">
        <f t="shared" si="8"/>
        <v>0</v>
      </c>
      <c r="BM279" s="54" t="e">
        <f t="shared" si="9"/>
        <v>#DIV/0!</v>
      </c>
      <c r="BN279" s="60"/>
      <c r="BO279" s="57"/>
      <c r="BP279" s="36"/>
      <c r="BQ279" s="36"/>
      <c r="BR279" s="232"/>
      <c r="BS279" s="232"/>
      <c r="BT279" s="39"/>
      <c r="BU279" s="39"/>
      <c r="BV279" s="39"/>
      <c r="BW279" s="39"/>
      <c r="BX279" s="39"/>
      <c r="BY279" s="39"/>
      <c r="BZ279" s="39">
        <f t="shared" si="10"/>
        <v>0</v>
      </c>
      <c r="CA279" s="39">
        <v>0</v>
      </c>
      <c r="CB279" s="39">
        <f t="shared" si="12"/>
        <v>0</v>
      </c>
      <c r="CC279" s="39">
        <f t="shared" si="13"/>
        <v>0</v>
      </c>
      <c r="CD279" s="39">
        <f t="shared" si="14"/>
        <v>0</v>
      </c>
      <c r="CE279" s="102" t="e">
        <f t="shared" si="15"/>
        <v>#DIV/0!</v>
      </c>
      <c r="CF279" s="36" t="s">
        <v>408</v>
      </c>
      <c r="CG279" s="39" t="s">
        <v>282</v>
      </c>
      <c r="CH279" s="39"/>
      <c r="CI279" s="25">
        <v>3</v>
      </c>
    </row>
    <row r="280" spans="1:87" ht="24.75" customHeight="1">
      <c r="A280" s="36" t="s">
        <v>50</v>
      </c>
      <c r="B280" s="26">
        <v>47614</v>
      </c>
      <c r="C280" s="231"/>
      <c r="D280" s="36"/>
      <c r="E280" s="39">
        <v>120</v>
      </c>
      <c r="F280" s="39" t="s">
        <v>59</v>
      </c>
      <c r="G280" s="36" t="s">
        <v>604</v>
      </c>
      <c r="H280" s="39" t="s">
        <v>22</v>
      </c>
      <c r="I280" s="39">
        <v>40</v>
      </c>
      <c r="J280" s="39"/>
      <c r="K280" s="39"/>
      <c r="L280" s="39">
        <f t="shared" ref="L280:L288" si="251">SUM(I280:K280)</f>
        <v>40</v>
      </c>
      <c r="M280" s="117">
        <v>46179</v>
      </c>
      <c r="N280" s="117">
        <v>46183</v>
      </c>
      <c r="O280" s="39"/>
      <c r="P280" s="39"/>
      <c r="Q280" s="39"/>
      <c r="R280" s="39">
        <f t="shared" si="1"/>
        <v>0</v>
      </c>
      <c r="S280" s="39" t="s">
        <v>130</v>
      </c>
      <c r="T280" s="39">
        <v>107205</v>
      </c>
      <c r="U280" s="117">
        <v>46198</v>
      </c>
      <c r="V280" s="39"/>
      <c r="W280" s="39"/>
      <c r="X280" s="39"/>
      <c r="Y280" s="39">
        <v>52</v>
      </c>
      <c r="Z280" s="39"/>
      <c r="AA280" s="39"/>
      <c r="AB280" s="119">
        <f t="shared" si="2"/>
        <v>52</v>
      </c>
      <c r="AC280" s="39"/>
      <c r="AD280" s="39"/>
      <c r="AE280" s="39"/>
      <c r="AF280" s="39"/>
      <c r="AG280" s="39"/>
      <c r="AH280" s="39">
        <f t="shared" si="3"/>
        <v>0</v>
      </c>
      <c r="AI280" s="39"/>
      <c r="AJ280" s="39"/>
      <c r="AK280" s="39"/>
      <c r="AL280" s="39"/>
      <c r="AM280" s="39"/>
      <c r="AN280" s="39">
        <f t="shared" si="4"/>
        <v>0</v>
      </c>
      <c r="AO280" s="39"/>
      <c r="AP280" s="39"/>
      <c r="AQ280" s="39"/>
      <c r="AR280" s="39"/>
      <c r="AS280" s="39"/>
      <c r="AT280" s="39">
        <f t="shared" si="5"/>
        <v>0</v>
      </c>
      <c r="AU280" s="39"/>
      <c r="AV280" s="39"/>
      <c r="AW280" s="39"/>
      <c r="AX280" s="39"/>
      <c r="AY280" s="39"/>
      <c r="AZ280" s="39">
        <f t="shared" si="6"/>
        <v>0</v>
      </c>
      <c r="BA280" s="39"/>
      <c r="BB280" s="39"/>
      <c r="BC280" s="39"/>
      <c r="BD280" s="39"/>
      <c r="BE280" s="39"/>
      <c r="BF280" s="39">
        <f t="shared" si="7"/>
        <v>0</v>
      </c>
      <c r="BG280" s="39"/>
      <c r="BH280" s="39"/>
      <c r="BI280" s="39"/>
      <c r="BJ280" s="39"/>
      <c r="BK280" s="39"/>
      <c r="BL280" s="39">
        <f t="shared" si="8"/>
        <v>0</v>
      </c>
      <c r="BM280" s="54" t="str">
        <f t="shared" si="9"/>
        <v/>
      </c>
      <c r="BN280" s="60">
        <v>46195</v>
      </c>
      <c r="BO280" s="57">
        <v>46199</v>
      </c>
      <c r="BP280" s="36"/>
      <c r="BQ280" s="36"/>
      <c r="BR280" s="232"/>
      <c r="BS280" s="232"/>
      <c r="BT280" s="39">
        <v>2130</v>
      </c>
      <c r="BU280" s="39">
        <v>42</v>
      </c>
      <c r="BV280" s="39"/>
      <c r="BW280" s="39"/>
      <c r="BX280" s="39"/>
      <c r="BY280" s="39"/>
      <c r="BZ280" s="39">
        <f t="shared" si="10"/>
        <v>42</v>
      </c>
      <c r="CA280" s="39">
        <f t="shared" ref="CA280:CA290" si="252">BU280-I280</f>
        <v>2</v>
      </c>
      <c r="CB280" s="39">
        <f t="shared" si="12"/>
        <v>0</v>
      </c>
      <c r="CC280" s="39">
        <f t="shared" si="13"/>
        <v>0</v>
      </c>
      <c r="CD280" s="39">
        <f t="shared" si="14"/>
        <v>0</v>
      </c>
      <c r="CE280" s="102">
        <f t="shared" si="15"/>
        <v>0</v>
      </c>
      <c r="CF280" s="36" t="s">
        <v>408</v>
      </c>
      <c r="CG280" s="39" t="s">
        <v>282</v>
      </c>
      <c r="CH280" s="39"/>
      <c r="CI280" s="25">
        <v>3</v>
      </c>
    </row>
    <row r="281" spans="1:87" ht="24.75" customHeight="1">
      <c r="A281" s="36" t="s">
        <v>50</v>
      </c>
      <c r="B281" s="26">
        <v>47614</v>
      </c>
      <c r="C281" s="228"/>
      <c r="D281" s="36"/>
      <c r="E281" s="39"/>
      <c r="F281" s="39"/>
      <c r="G281" s="36" t="s">
        <v>750</v>
      </c>
      <c r="H281" s="39">
        <f>1238+1238+462</f>
        <v>2938</v>
      </c>
      <c r="I281" s="39" t="s">
        <v>90</v>
      </c>
      <c r="J281" s="39"/>
      <c r="K281" s="39"/>
      <c r="L281" s="39">
        <f t="shared" si="251"/>
        <v>0</v>
      </c>
      <c r="M281" s="117">
        <v>46179</v>
      </c>
      <c r="N281" s="117">
        <v>46183</v>
      </c>
      <c r="O281" s="39"/>
      <c r="P281" s="39"/>
      <c r="Q281" s="39"/>
      <c r="R281" s="39">
        <f t="shared" si="1"/>
        <v>0</v>
      </c>
      <c r="S281" s="39" t="s">
        <v>130</v>
      </c>
      <c r="T281" s="39"/>
      <c r="U281" s="39"/>
      <c r="V281" s="39"/>
      <c r="W281" s="39"/>
      <c r="X281" s="39"/>
      <c r="Y281" s="39"/>
      <c r="Z281" s="39"/>
      <c r="AA281" s="39"/>
      <c r="AB281" s="39">
        <f t="shared" si="2"/>
        <v>0</v>
      </c>
      <c r="AC281" s="39"/>
      <c r="AD281" s="39"/>
      <c r="AE281" s="39"/>
      <c r="AF281" s="39"/>
      <c r="AG281" s="39"/>
      <c r="AH281" s="39">
        <f t="shared" si="3"/>
        <v>0</v>
      </c>
      <c r="AI281" s="39"/>
      <c r="AJ281" s="39"/>
      <c r="AK281" s="39"/>
      <c r="AL281" s="39"/>
      <c r="AM281" s="39"/>
      <c r="AN281" s="39">
        <f t="shared" si="4"/>
        <v>0</v>
      </c>
      <c r="AO281" s="39"/>
      <c r="AP281" s="39"/>
      <c r="AQ281" s="39"/>
      <c r="AR281" s="39"/>
      <c r="AS281" s="39"/>
      <c r="AT281" s="39">
        <f t="shared" si="5"/>
        <v>0</v>
      </c>
      <c r="AU281" s="39"/>
      <c r="AV281" s="39"/>
      <c r="AW281" s="39"/>
      <c r="AX281" s="39"/>
      <c r="AY281" s="39"/>
      <c r="AZ281" s="39">
        <f t="shared" si="6"/>
        <v>0</v>
      </c>
      <c r="BA281" s="39"/>
      <c r="BB281" s="39"/>
      <c r="BC281" s="39"/>
      <c r="BD281" s="39"/>
      <c r="BE281" s="39"/>
      <c r="BF281" s="39">
        <f t="shared" si="7"/>
        <v>0</v>
      </c>
      <c r="BG281" s="39"/>
      <c r="BH281" s="39"/>
      <c r="BI281" s="39"/>
      <c r="BJ281" s="39"/>
      <c r="BK281" s="39"/>
      <c r="BL281" s="39">
        <f t="shared" si="8"/>
        <v>0</v>
      </c>
      <c r="BM281" s="54" t="e">
        <f t="shared" si="9"/>
        <v>#DIV/0!</v>
      </c>
      <c r="BN281" s="60">
        <v>46195</v>
      </c>
      <c r="BO281" s="57">
        <v>46199</v>
      </c>
      <c r="BP281" s="36"/>
      <c r="BQ281" s="36"/>
      <c r="BR281" s="230"/>
      <c r="BS281" s="230"/>
      <c r="BT281" s="39"/>
      <c r="BU281" s="39"/>
      <c r="BV281" s="39"/>
      <c r="BW281" s="39"/>
      <c r="BX281" s="39"/>
      <c r="BY281" s="39"/>
      <c r="BZ281" s="39">
        <f t="shared" si="10"/>
        <v>0</v>
      </c>
      <c r="CA281" s="39" t="e">
        <f t="shared" si="252"/>
        <v>#VALUE!</v>
      </c>
      <c r="CB281" s="39">
        <f t="shared" si="12"/>
        <v>0</v>
      </c>
      <c r="CC281" s="39">
        <f t="shared" si="13"/>
        <v>0</v>
      </c>
      <c r="CD281" s="39">
        <f t="shared" si="14"/>
        <v>0</v>
      </c>
      <c r="CE281" s="102" t="e">
        <f t="shared" si="15"/>
        <v>#DIV/0!</v>
      </c>
      <c r="CF281" s="36" t="s">
        <v>408</v>
      </c>
      <c r="CG281" s="39" t="s">
        <v>282</v>
      </c>
      <c r="CH281" s="39"/>
      <c r="CI281" s="25">
        <v>3</v>
      </c>
    </row>
    <row r="282" spans="1:87" ht="24.75" customHeight="1">
      <c r="A282" s="36" t="s">
        <v>50</v>
      </c>
      <c r="B282" s="26">
        <v>47621</v>
      </c>
      <c r="C282" s="227" t="s">
        <v>683</v>
      </c>
      <c r="D282" s="36"/>
      <c r="E282" s="39">
        <v>240</v>
      </c>
      <c r="F282" s="39" t="s">
        <v>56</v>
      </c>
      <c r="G282" s="36" t="s">
        <v>671</v>
      </c>
      <c r="H282" s="152" t="s">
        <v>555</v>
      </c>
      <c r="I282" s="39">
        <v>197</v>
      </c>
      <c r="J282" s="39"/>
      <c r="K282" s="39"/>
      <c r="L282" s="39">
        <v>0</v>
      </c>
      <c r="M282" s="117"/>
      <c r="N282" s="117"/>
      <c r="O282" s="39"/>
      <c r="P282" s="39"/>
      <c r="Q282" s="39"/>
      <c r="R282" s="39">
        <f t="shared" si="1"/>
        <v>0</v>
      </c>
      <c r="S282" s="39" t="s">
        <v>130</v>
      </c>
      <c r="T282" s="39"/>
      <c r="U282" s="39"/>
      <c r="V282" s="39"/>
      <c r="W282" s="39"/>
      <c r="X282" s="39"/>
      <c r="Y282" s="39"/>
      <c r="Z282" s="39"/>
      <c r="AA282" s="39"/>
      <c r="AB282" s="39">
        <f t="shared" si="2"/>
        <v>0</v>
      </c>
      <c r="AC282" s="39"/>
      <c r="AD282" s="39"/>
      <c r="AE282" s="39"/>
      <c r="AF282" s="39"/>
      <c r="AG282" s="39"/>
      <c r="AH282" s="39">
        <f t="shared" si="3"/>
        <v>0</v>
      </c>
      <c r="AI282" s="39"/>
      <c r="AJ282" s="39"/>
      <c r="AK282" s="39"/>
      <c r="AL282" s="39"/>
      <c r="AM282" s="39"/>
      <c r="AN282" s="39">
        <f t="shared" si="4"/>
        <v>0</v>
      </c>
      <c r="AO282" s="39"/>
      <c r="AP282" s="39"/>
      <c r="AQ282" s="39"/>
      <c r="AR282" s="39"/>
      <c r="AS282" s="39"/>
      <c r="AT282" s="39">
        <f t="shared" si="5"/>
        <v>0</v>
      </c>
      <c r="AU282" s="39"/>
      <c r="AV282" s="39"/>
      <c r="AW282" s="39"/>
      <c r="AX282" s="39"/>
      <c r="AY282" s="39"/>
      <c r="AZ282" s="39">
        <f t="shared" si="6"/>
        <v>0</v>
      </c>
      <c r="BA282" s="39"/>
      <c r="BB282" s="39"/>
      <c r="BC282" s="39"/>
      <c r="BD282" s="39"/>
      <c r="BE282" s="39"/>
      <c r="BF282" s="39">
        <f t="shared" si="7"/>
        <v>0</v>
      </c>
      <c r="BG282" s="39"/>
      <c r="BH282" s="39"/>
      <c r="BI282" s="39"/>
      <c r="BJ282" s="39"/>
      <c r="BK282" s="39"/>
      <c r="BL282" s="39">
        <f t="shared" si="8"/>
        <v>0</v>
      </c>
      <c r="BM282" s="54" t="e">
        <f t="shared" si="9"/>
        <v>#DIV/0!</v>
      </c>
      <c r="BN282" s="60"/>
      <c r="BO282" s="57"/>
      <c r="BP282" s="36"/>
      <c r="BQ282" s="36"/>
      <c r="BR282" s="229">
        <v>46220</v>
      </c>
      <c r="BS282" s="229">
        <v>46220</v>
      </c>
      <c r="BT282" s="39"/>
      <c r="BU282" s="39"/>
      <c r="BV282" s="39"/>
      <c r="BW282" s="39"/>
      <c r="BX282" s="39"/>
      <c r="BY282" s="39"/>
      <c r="BZ282" s="39">
        <f t="shared" si="10"/>
        <v>0</v>
      </c>
      <c r="CA282" s="39">
        <v>0</v>
      </c>
      <c r="CB282" s="39">
        <f t="shared" si="12"/>
        <v>0</v>
      </c>
      <c r="CC282" s="39">
        <f t="shared" si="13"/>
        <v>0</v>
      </c>
      <c r="CD282" s="39">
        <f t="shared" si="14"/>
        <v>0</v>
      </c>
      <c r="CE282" s="102" t="e">
        <f t="shared" si="15"/>
        <v>#DIV/0!</v>
      </c>
      <c r="CF282" s="36" t="s">
        <v>408</v>
      </c>
      <c r="CG282" s="39" t="s">
        <v>282</v>
      </c>
      <c r="CH282" s="39"/>
      <c r="CI282" s="25">
        <v>3</v>
      </c>
    </row>
    <row r="283" spans="1:87" ht="24.75" customHeight="1">
      <c r="A283" s="36" t="s">
        <v>50</v>
      </c>
      <c r="B283" s="26">
        <v>47621</v>
      </c>
      <c r="C283" s="231"/>
      <c r="D283" s="36"/>
      <c r="E283" s="39">
        <v>160</v>
      </c>
      <c r="F283" s="39" t="s">
        <v>55</v>
      </c>
      <c r="G283" s="36" t="s">
        <v>671</v>
      </c>
      <c r="H283" s="39" t="s">
        <v>22</v>
      </c>
      <c r="I283" s="39">
        <v>35</v>
      </c>
      <c r="J283" s="39">
        <v>35</v>
      </c>
      <c r="K283" s="39"/>
      <c r="L283" s="39">
        <f t="shared" si="251"/>
        <v>70</v>
      </c>
      <c r="M283" s="117">
        <v>46179</v>
      </c>
      <c r="N283" s="117">
        <v>46183</v>
      </c>
      <c r="O283" s="39"/>
      <c r="P283" s="39"/>
      <c r="Q283" s="39"/>
      <c r="R283" s="39">
        <f t="shared" ref="R283:R290" si="253">SUM(O283:Q283)</f>
        <v>0</v>
      </c>
      <c r="S283" s="39" t="s">
        <v>130</v>
      </c>
      <c r="T283" s="39">
        <v>107222</v>
      </c>
      <c r="U283" s="117">
        <v>46213</v>
      </c>
      <c r="V283" s="39"/>
      <c r="W283" s="39"/>
      <c r="X283" s="39"/>
      <c r="Y283" s="39">
        <v>43</v>
      </c>
      <c r="Z283" s="39">
        <v>43</v>
      </c>
      <c r="AA283" s="39"/>
      <c r="AB283" s="119">
        <f t="shared" ref="AB283:AB290" si="254">SUM(Y283:AA283)</f>
        <v>86</v>
      </c>
      <c r="AC283" s="39"/>
      <c r="AD283" s="39"/>
      <c r="AE283" s="39"/>
      <c r="AF283" s="39"/>
      <c r="AG283" s="39"/>
      <c r="AH283" s="39">
        <f t="shared" si="3"/>
        <v>0</v>
      </c>
      <c r="AI283" s="39"/>
      <c r="AJ283" s="39"/>
      <c r="AK283" s="39"/>
      <c r="AL283" s="39"/>
      <c r="AM283" s="39"/>
      <c r="AN283" s="39">
        <f t="shared" si="4"/>
        <v>0</v>
      </c>
      <c r="AO283" s="39"/>
      <c r="AP283" s="39"/>
      <c r="AQ283" s="39"/>
      <c r="AR283" s="39"/>
      <c r="AS283" s="39"/>
      <c r="AT283" s="39">
        <f t="shared" si="5"/>
        <v>0</v>
      </c>
      <c r="AU283" s="39"/>
      <c r="AV283" s="39"/>
      <c r="AW283" s="39"/>
      <c r="AX283" s="39"/>
      <c r="AY283" s="39"/>
      <c r="AZ283" s="39">
        <f t="shared" si="6"/>
        <v>0</v>
      </c>
      <c r="BA283" s="39"/>
      <c r="BB283" s="39"/>
      <c r="BC283" s="39"/>
      <c r="BD283" s="39"/>
      <c r="BE283" s="39"/>
      <c r="BF283" s="39">
        <f t="shared" si="7"/>
        <v>0</v>
      </c>
      <c r="BG283" s="39"/>
      <c r="BH283" s="39"/>
      <c r="BI283" s="39"/>
      <c r="BJ283" s="39"/>
      <c r="BK283" s="39"/>
      <c r="BL283" s="39">
        <f t="shared" si="8"/>
        <v>0</v>
      </c>
      <c r="BM283" s="54" t="str">
        <f t="shared" si="9"/>
        <v/>
      </c>
      <c r="BN283" s="60">
        <v>46195</v>
      </c>
      <c r="BO283" s="57">
        <v>46203</v>
      </c>
      <c r="BP283" s="36"/>
      <c r="BQ283" s="36"/>
      <c r="BR283" s="232"/>
      <c r="BS283" s="232"/>
      <c r="BT283" s="39">
        <v>1815</v>
      </c>
      <c r="BU283" s="39">
        <v>37</v>
      </c>
      <c r="BV283" s="39">
        <v>1815</v>
      </c>
      <c r="BW283" s="39">
        <v>40</v>
      </c>
      <c r="BX283" s="39"/>
      <c r="BY283" s="39"/>
      <c r="BZ283" s="39">
        <f t="shared" si="10"/>
        <v>77</v>
      </c>
      <c r="CA283" s="39">
        <f t="shared" si="252"/>
        <v>2</v>
      </c>
      <c r="CB283" s="39">
        <f t="shared" si="12"/>
        <v>5</v>
      </c>
      <c r="CC283" s="39">
        <f t="shared" si="13"/>
        <v>0</v>
      </c>
      <c r="CD283" s="39">
        <f t="shared" si="14"/>
        <v>0</v>
      </c>
      <c r="CE283" s="102">
        <f t="shared" si="15"/>
        <v>0</v>
      </c>
      <c r="CF283" s="36" t="s">
        <v>408</v>
      </c>
      <c r="CG283" s="39" t="s">
        <v>282</v>
      </c>
      <c r="CH283" s="39"/>
      <c r="CI283" s="25">
        <v>3</v>
      </c>
    </row>
    <row r="284" spans="1:87" ht="24.75" customHeight="1">
      <c r="A284" s="36" t="s">
        <v>50</v>
      </c>
      <c r="B284" s="26">
        <v>47621</v>
      </c>
      <c r="C284" s="231"/>
      <c r="D284" s="36"/>
      <c r="E284" s="39">
        <v>240</v>
      </c>
      <c r="F284" s="39" t="s">
        <v>56</v>
      </c>
      <c r="G284" s="36" t="s">
        <v>352</v>
      </c>
      <c r="H284" s="152" t="s">
        <v>555</v>
      </c>
      <c r="I284" s="39"/>
      <c r="J284" s="39"/>
      <c r="K284" s="39"/>
      <c r="L284" s="39">
        <f t="shared" si="251"/>
        <v>0</v>
      </c>
      <c r="M284" s="117"/>
      <c r="N284" s="117"/>
      <c r="O284" s="39"/>
      <c r="P284" s="39"/>
      <c r="Q284" s="39"/>
      <c r="R284" s="39">
        <f t="shared" si="253"/>
        <v>0</v>
      </c>
      <c r="S284" s="39" t="s">
        <v>130</v>
      </c>
      <c r="T284" s="39"/>
      <c r="U284" s="39"/>
      <c r="V284" s="39"/>
      <c r="W284" s="39"/>
      <c r="X284" s="39"/>
      <c r="Y284" s="39"/>
      <c r="Z284" s="39"/>
      <c r="AA284" s="39"/>
      <c r="AB284" s="39">
        <f t="shared" si="254"/>
        <v>0</v>
      </c>
      <c r="AC284" s="39"/>
      <c r="AD284" s="39"/>
      <c r="AE284" s="39"/>
      <c r="AF284" s="39"/>
      <c r="AG284" s="39"/>
      <c r="AH284" s="39">
        <f t="shared" si="3"/>
        <v>0</v>
      </c>
      <c r="AI284" s="39"/>
      <c r="AJ284" s="39"/>
      <c r="AK284" s="39"/>
      <c r="AL284" s="39"/>
      <c r="AM284" s="39"/>
      <c r="AN284" s="39">
        <f t="shared" si="4"/>
        <v>0</v>
      </c>
      <c r="AO284" s="39"/>
      <c r="AP284" s="39"/>
      <c r="AQ284" s="39"/>
      <c r="AR284" s="39"/>
      <c r="AS284" s="39"/>
      <c r="AT284" s="39">
        <f t="shared" si="5"/>
        <v>0</v>
      </c>
      <c r="AU284" s="39"/>
      <c r="AV284" s="39"/>
      <c r="AW284" s="39"/>
      <c r="AX284" s="39"/>
      <c r="AY284" s="39"/>
      <c r="AZ284" s="39">
        <f t="shared" si="6"/>
        <v>0</v>
      </c>
      <c r="BA284" s="39"/>
      <c r="BB284" s="39"/>
      <c r="BC284" s="39"/>
      <c r="BD284" s="39"/>
      <c r="BE284" s="39"/>
      <c r="BF284" s="39">
        <f t="shared" si="7"/>
        <v>0</v>
      </c>
      <c r="BG284" s="39"/>
      <c r="BH284" s="39"/>
      <c r="BI284" s="39"/>
      <c r="BJ284" s="39"/>
      <c r="BK284" s="39"/>
      <c r="BL284" s="39">
        <f t="shared" si="8"/>
        <v>0</v>
      </c>
      <c r="BM284" s="54" t="e">
        <f t="shared" si="9"/>
        <v>#DIV/0!</v>
      </c>
      <c r="BN284" s="60"/>
      <c r="BO284" s="57"/>
      <c r="BP284" s="36"/>
      <c r="BQ284" s="36"/>
      <c r="BR284" s="232"/>
      <c r="BS284" s="232"/>
      <c r="BT284" s="39"/>
      <c r="BU284" s="39"/>
      <c r="BV284" s="39"/>
      <c r="BW284" s="39"/>
      <c r="BX284" s="39"/>
      <c r="BY284" s="39"/>
      <c r="BZ284" s="39">
        <f t="shared" si="10"/>
        <v>0</v>
      </c>
      <c r="CA284" s="39">
        <f t="shared" si="252"/>
        <v>0</v>
      </c>
      <c r="CB284" s="39">
        <f t="shared" si="12"/>
        <v>0</v>
      </c>
      <c r="CC284" s="39">
        <f t="shared" si="13"/>
        <v>0</v>
      </c>
      <c r="CD284" s="39">
        <f t="shared" si="14"/>
        <v>0</v>
      </c>
      <c r="CE284" s="102" t="e">
        <f t="shared" si="15"/>
        <v>#DIV/0!</v>
      </c>
      <c r="CF284" s="36" t="s">
        <v>408</v>
      </c>
      <c r="CG284" s="39" t="s">
        <v>282</v>
      </c>
      <c r="CH284" s="39"/>
      <c r="CI284" s="25">
        <v>3</v>
      </c>
    </row>
    <row r="285" spans="1:87" ht="24.75" customHeight="1">
      <c r="A285" s="36" t="s">
        <v>50</v>
      </c>
      <c r="B285" s="26">
        <v>47621</v>
      </c>
      <c r="C285" s="228"/>
      <c r="D285" s="36"/>
      <c r="E285" s="39">
        <v>160</v>
      </c>
      <c r="F285" s="39" t="s">
        <v>55</v>
      </c>
      <c r="G285" s="36" t="s">
        <v>352</v>
      </c>
      <c r="H285" s="39" t="s">
        <v>22</v>
      </c>
      <c r="I285" s="39">
        <v>36</v>
      </c>
      <c r="J285" s="39">
        <v>36</v>
      </c>
      <c r="K285" s="39"/>
      <c r="L285" s="39">
        <f t="shared" si="251"/>
        <v>72</v>
      </c>
      <c r="M285" s="117">
        <v>46179</v>
      </c>
      <c r="N285" s="117">
        <v>46183</v>
      </c>
      <c r="O285" s="39"/>
      <c r="P285" s="39"/>
      <c r="Q285" s="39"/>
      <c r="R285" s="39">
        <f t="shared" si="253"/>
        <v>0</v>
      </c>
      <c r="S285" s="39" t="s">
        <v>130</v>
      </c>
      <c r="T285" s="39">
        <v>107223</v>
      </c>
      <c r="U285" s="117">
        <v>46214</v>
      </c>
      <c r="V285" s="39"/>
      <c r="W285" s="39"/>
      <c r="X285" s="39"/>
      <c r="Y285" s="39">
        <v>44</v>
      </c>
      <c r="Z285" s="39">
        <v>43</v>
      </c>
      <c r="AA285" s="39"/>
      <c r="AB285" s="119">
        <f t="shared" si="254"/>
        <v>87</v>
      </c>
      <c r="AC285" s="39"/>
      <c r="AD285" s="39"/>
      <c r="AE285" s="39"/>
      <c r="AF285" s="39"/>
      <c r="AG285" s="39"/>
      <c r="AH285" s="39">
        <f t="shared" si="3"/>
        <v>0</v>
      </c>
      <c r="AI285" s="39"/>
      <c r="AJ285" s="39"/>
      <c r="AK285" s="39"/>
      <c r="AL285" s="39"/>
      <c r="AM285" s="39"/>
      <c r="AN285" s="39">
        <f t="shared" si="4"/>
        <v>0</v>
      </c>
      <c r="AO285" s="39"/>
      <c r="AP285" s="39"/>
      <c r="AQ285" s="39"/>
      <c r="AR285" s="39"/>
      <c r="AS285" s="39"/>
      <c r="AT285" s="39">
        <f t="shared" si="5"/>
        <v>0</v>
      </c>
      <c r="AU285" s="39"/>
      <c r="AV285" s="39"/>
      <c r="AW285" s="39"/>
      <c r="AX285" s="39"/>
      <c r="AY285" s="39"/>
      <c r="AZ285" s="39">
        <f t="shared" si="6"/>
        <v>0</v>
      </c>
      <c r="BA285" s="39"/>
      <c r="BB285" s="39"/>
      <c r="BC285" s="39"/>
      <c r="BD285" s="39"/>
      <c r="BE285" s="39"/>
      <c r="BF285" s="39">
        <f t="shared" si="7"/>
        <v>0</v>
      </c>
      <c r="BG285" s="39"/>
      <c r="BH285" s="39"/>
      <c r="BI285" s="39"/>
      <c r="BJ285" s="39"/>
      <c r="BK285" s="39"/>
      <c r="BL285" s="39">
        <f t="shared" si="8"/>
        <v>0</v>
      </c>
      <c r="BM285" s="54" t="str">
        <f t="shared" si="9"/>
        <v/>
      </c>
      <c r="BN285" s="60">
        <v>46195</v>
      </c>
      <c r="BO285" s="57">
        <v>46203</v>
      </c>
      <c r="BP285" s="36"/>
      <c r="BQ285" s="36"/>
      <c r="BR285" s="230"/>
      <c r="BS285" s="230"/>
      <c r="BT285" s="39">
        <v>1815</v>
      </c>
      <c r="BU285" s="39">
        <v>39</v>
      </c>
      <c r="BV285" s="39">
        <v>1815</v>
      </c>
      <c r="BW285" s="39">
        <v>38</v>
      </c>
      <c r="BX285" s="39"/>
      <c r="BY285" s="39"/>
      <c r="BZ285" s="39">
        <f t="shared" si="10"/>
        <v>77</v>
      </c>
      <c r="CA285" s="39">
        <f t="shared" si="252"/>
        <v>3</v>
      </c>
      <c r="CB285" s="39">
        <f t="shared" si="12"/>
        <v>2</v>
      </c>
      <c r="CC285" s="39">
        <f t="shared" si="13"/>
        <v>0</v>
      </c>
      <c r="CD285" s="39">
        <f t="shared" si="14"/>
        <v>0</v>
      </c>
      <c r="CE285" s="102">
        <f t="shared" si="15"/>
        <v>0</v>
      </c>
      <c r="CF285" s="36" t="s">
        <v>408</v>
      </c>
      <c r="CG285" s="39" t="s">
        <v>282</v>
      </c>
      <c r="CH285" s="39"/>
      <c r="CI285" s="25">
        <v>3</v>
      </c>
    </row>
    <row r="286" spans="1:87" ht="24.75" customHeight="1">
      <c r="A286" s="36" t="s">
        <v>50</v>
      </c>
      <c r="B286" s="26">
        <v>47585</v>
      </c>
      <c r="C286" s="227" t="s">
        <v>765</v>
      </c>
      <c r="D286" s="36" t="s">
        <v>45</v>
      </c>
      <c r="E286" s="39">
        <v>240</v>
      </c>
      <c r="F286" s="39" t="s">
        <v>55</v>
      </c>
      <c r="G286" s="36" t="s">
        <v>488</v>
      </c>
      <c r="H286" s="36" t="s">
        <v>94</v>
      </c>
      <c r="I286" s="39">
        <v>98</v>
      </c>
      <c r="J286" s="39"/>
      <c r="K286" s="39">
        <v>4</v>
      </c>
      <c r="L286" s="39">
        <f t="shared" si="251"/>
        <v>102</v>
      </c>
      <c r="M286" s="117">
        <v>46188</v>
      </c>
      <c r="N286" s="117">
        <v>46193</v>
      </c>
      <c r="O286" s="39"/>
      <c r="P286" s="39"/>
      <c r="Q286" s="39"/>
      <c r="R286" s="39">
        <f t="shared" si="253"/>
        <v>0</v>
      </c>
      <c r="S286" s="39" t="s">
        <v>130</v>
      </c>
      <c r="T286" s="39">
        <v>107505</v>
      </c>
      <c r="U286" s="117">
        <v>46207</v>
      </c>
      <c r="V286" s="39"/>
      <c r="W286" s="39"/>
      <c r="X286" s="39"/>
      <c r="Y286" s="39">
        <v>124</v>
      </c>
      <c r="Z286" s="39"/>
      <c r="AA286" s="39">
        <v>6</v>
      </c>
      <c r="AB286" s="119">
        <f t="shared" si="254"/>
        <v>130</v>
      </c>
      <c r="AC286" s="39"/>
      <c r="AD286" s="39"/>
      <c r="AE286" s="39"/>
      <c r="AF286" s="39"/>
      <c r="AG286" s="39"/>
      <c r="AH286" s="39">
        <f t="shared" ref="AH286:AH290" si="255">AG286-AE286</f>
        <v>0</v>
      </c>
      <c r="AI286" s="39"/>
      <c r="AJ286" s="39"/>
      <c r="AK286" s="39"/>
      <c r="AL286" s="39"/>
      <c r="AM286" s="39"/>
      <c r="AN286" s="39">
        <f t="shared" si="4"/>
        <v>0</v>
      </c>
      <c r="AO286" s="39" t="s">
        <v>257</v>
      </c>
      <c r="AP286" s="117">
        <v>46210</v>
      </c>
      <c r="AQ286" s="39">
        <v>109</v>
      </c>
      <c r="AR286" s="117">
        <v>46217</v>
      </c>
      <c r="AS286" s="39">
        <v>106</v>
      </c>
      <c r="AT286" s="39">
        <f t="shared" ref="AT286:AT290" si="256">AS286-AQ286</f>
        <v>-3</v>
      </c>
      <c r="AU286" s="39"/>
      <c r="AV286" s="39"/>
      <c r="AW286" s="39"/>
      <c r="AX286" s="39"/>
      <c r="AY286" s="39"/>
      <c r="AZ286" s="39">
        <f t="shared" ref="AZ286:AZ290" si="257">AY286-AW286</f>
        <v>0</v>
      </c>
      <c r="BA286" s="39"/>
      <c r="BB286" s="39"/>
      <c r="BC286" s="39"/>
      <c r="BD286" s="39"/>
      <c r="BE286" s="39"/>
      <c r="BF286" s="39">
        <f t="shared" ref="BF286:BF290" si="258">BE286-BC286</f>
        <v>0</v>
      </c>
      <c r="BG286" s="39"/>
      <c r="BH286" s="39"/>
      <c r="BI286" s="39"/>
      <c r="BJ286" s="39"/>
      <c r="BK286" s="39"/>
      <c r="BL286" s="39">
        <f t="shared" ref="BL286:BL290" si="259">BK286-BI286</f>
        <v>0</v>
      </c>
      <c r="BM286" s="54" t="str">
        <f t="shared" ref="BM286:BM290" si="260">IF((BZ286/L286)&lt;0.9,$CO$1-U286,"")</f>
        <v/>
      </c>
      <c r="BN286" s="60">
        <v>46199</v>
      </c>
      <c r="BO286" s="57">
        <v>46211</v>
      </c>
      <c r="BP286" s="36"/>
      <c r="BQ286" s="36"/>
      <c r="BR286" s="229">
        <v>46218</v>
      </c>
      <c r="BS286" s="243"/>
      <c r="BT286" s="39" t="s">
        <v>1870</v>
      </c>
      <c r="BU286" s="39">
        <f>99+6</f>
        <v>105</v>
      </c>
      <c r="BV286" s="39"/>
      <c r="BW286" s="39"/>
      <c r="BX286" s="39">
        <v>2041</v>
      </c>
      <c r="BY286" s="39">
        <v>6</v>
      </c>
      <c r="BZ286" s="39">
        <f t="shared" ref="BZ286:BZ290" si="261">BU286+BW286+BY286</f>
        <v>111</v>
      </c>
      <c r="CA286" s="39">
        <f t="shared" si="252"/>
        <v>7</v>
      </c>
      <c r="CB286" s="39">
        <f t="shared" ref="CB286:CB290" si="262">BW286-J286</f>
        <v>0</v>
      </c>
      <c r="CC286" s="39">
        <f t="shared" ref="CC286:CC290" si="263">BY286-K286</f>
        <v>2</v>
      </c>
      <c r="CD286" s="39">
        <f t="shared" ref="CD286:CD290" si="264">SUMIF(CA286:CC286,"&lt;0")</f>
        <v>0</v>
      </c>
      <c r="CE286" s="102">
        <f t="shared" ref="CE286:CE290" si="265">CD286/L286</f>
        <v>0</v>
      </c>
      <c r="CF286" s="36" t="s">
        <v>248</v>
      </c>
      <c r="CG286" s="39" t="s">
        <v>492</v>
      </c>
      <c r="CH286" s="39"/>
      <c r="CI286" s="25">
        <v>3</v>
      </c>
    </row>
    <row r="287" spans="1:87" ht="24.75" customHeight="1">
      <c r="A287" s="36" t="s">
        <v>50</v>
      </c>
      <c r="B287" s="26">
        <v>47585</v>
      </c>
      <c r="C287" s="231"/>
      <c r="D287" s="36" t="s">
        <v>45</v>
      </c>
      <c r="E287" s="39">
        <v>240</v>
      </c>
      <c r="F287" s="39" t="s">
        <v>55</v>
      </c>
      <c r="G287" s="36" t="s">
        <v>368</v>
      </c>
      <c r="H287" s="36" t="s">
        <v>94</v>
      </c>
      <c r="I287" s="39">
        <v>60</v>
      </c>
      <c r="J287" s="39"/>
      <c r="K287" s="39"/>
      <c r="L287" s="39">
        <f t="shared" si="251"/>
        <v>60</v>
      </c>
      <c r="M287" s="117">
        <v>46188</v>
      </c>
      <c r="N287" s="117">
        <v>46193</v>
      </c>
      <c r="O287" s="39"/>
      <c r="P287" s="39"/>
      <c r="Q287" s="39"/>
      <c r="R287" s="39">
        <f t="shared" si="253"/>
        <v>0</v>
      </c>
      <c r="S287" s="39" t="s">
        <v>130</v>
      </c>
      <c r="T287" s="39">
        <v>107507</v>
      </c>
      <c r="U287" s="117">
        <v>46209</v>
      </c>
      <c r="V287" s="39"/>
      <c r="W287" s="39"/>
      <c r="X287" s="39"/>
      <c r="Y287" s="39">
        <v>79</v>
      </c>
      <c r="Z287" s="39"/>
      <c r="AA287" s="39"/>
      <c r="AB287" s="119">
        <f t="shared" si="254"/>
        <v>79</v>
      </c>
      <c r="AC287" s="39"/>
      <c r="AD287" s="39"/>
      <c r="AE287" s="39"/>
      <c r="AF287" s="39"/>
      <c r="AG287" s="39"/>
      <c r="AH287" s="39">
        <f t="shared" si="255"/>
        <v>0</v>
      </c>
      <c r="AI287" s="39"/>
      <c r="AJ287" s="39"/>
      <c r="AK287" s="39"/>
      <c r="AL287" s="39"/>
      <c r="AM287" s="39"/>
      <c r="AN287" s="39">
        <f t="shared" si="4"/>
        <v>0</v>
      </c>
      <c r="AO287" s="39" t="s">
        <v>280</v>
      </c>
      <c r="AP287" s="117">
        <v>46211</v>
      </c>
      <c r="AQ287" s="39">
        <v>73</v>
      </c>
      <c r="AR287" s="117">
        <v>46211</v>
      </c>
      <c r="AS287" s="39">
        <v>70</v>
      </c>
      <c r="AT287" s="39">
        <f t="shared" si="256"/>
        <v>-3</v>
      </c>
      <c r="AU287" s="39" t="s">
        <v>256</v>
      </c>
      <c r="AV287" s="117">
        <v>46211</v>
      </c>
      <c r="AW287" s="39">
        <v>70</v>
      </c>
      <c r="AX287" s="117">
        <v>46213</v>
      </c>
      <c r="AY287" s="39">
        <v>70</v>
      </c>
      <c r="AZ287" s="39">
        <f t="shared" si="257"/>
        <v>0</v>
      </c>
      <c r="BA287" s="39"/>
      <c r="BB287" s="39"/>
      <c r="BC287" s="39"/>
      <c r="BD287" s="39"/>
      <c r="BE287" s="39"/>
      <c r="BF287" s="39">
        <f t="shared" si="258"/>
        <v>0</v>
      </c>
      <c r="BG287" s="39"/>
      <c r="BH287" s="39"/>
      <c r="BI287" s="39"/>
      <c r="BJ287" s="39"/>
      <c r="BK287" s="39"/>
      <c r="BL287" s="39">
        <f t="shared" si="259"/>
        <v>0</v>
      </c>
      <c r="BM287" s="54" t="str">
        <f t="shared" si="260"/>
        <v/>
      </c>
      <c r="BN287" s="60">
        <v>46199</v>
      </c>
      <c r="BO287" s="57">
        <v>46211</v>
      </c>
      <c r="BP287" s="36"/>
      <c r="BQ287" s="36"/>
      <c r="BR287" s="232"/>
      <c r="BS287" s="232"/>
      <c r="BT287" s="39">
        <v>1802</v>
      </c>
      <c r="BU287" s="39">
        <v>68</v>
      </c>
      <c r="BV287" s="39"/>
      <c r="BW287" s="39"/>
      <c r="BX287" s="39"/>
      <c r="BY287" s="39"/>
      <c r="BZ287" s="39">
        <f t="shared" si="261"/>
        <v>68</v>
      </c>
      <c r="CA287" s="39">
        <f t="shared" si="252"/>
        <v>8</v>
      </c>
      <c r="CB287" s="39">
        <f t="shared" si="262"/>
        <v>0</v>
      </c>
      <c r="CC287" s="39">
        <f t="shared" si="263"/>
        <v>0</v>
      </c>
      <c r="CD287" s="39">
        <f t="shared" si="264"/>
        <v>0</v>
      </c>
      <c r="CE287" s="102">
        <f t="shared" si="265"/>
        <v>0</v>
      </c>
      <c r="CF287" s="36" t="s">
        <v>248</v>
      </c>
      <c r="CG287" s="39" t="s">
        <v>492</v>
      </c>
      <c r="CH287" s="39"/>
      <c r="CI287" s="25">
        <v>3</v>
      </c>
    </row>
    <row r="288" spans="1:87" ht="24.75" customHeight="1">
      <c r="A288" s="36" t="s">
        <v>50</v>
      </c>
      <c r="B288" s="26">
        <v>47585</v>
      </c>
      <c r="C288" s="228"/>
      <c r="D288" s="36" t="s">
        <v>24</v>
      </c>
      <c r="E288" s="39">
        <v>350</v>
      </c>
      <c r="F288" s="39" t="s">
        <v>350</v>
      </c>
      <c r="G288" s="36" t="s">
        <v>710</v>
      </c>
      <c r="H288" s="36" t="s">
        <v>91</v>
      </c>
      <c r="I288" s="39">
        <v>47</v>
      </c>
      <c r="J288" s="39"/>
      <c r="K288" s="39"/>
      <c r="L288" s="39">
        <f t="shared" si="251"/>
        <v>47</v>
      </c>
      <c r="M288" s="117">
        <v>46188</v>
      </c>
      <c r="N288" s="117">
        <v>46193</v>
      </c>
      <c r="O288" s="39"/>
      <c r="P288" s="39"/>
      <c r="Q288" s="39"/>
      <c r="R288" s="39">
        <f t="shared" si="253"/>
        <v>0</v>
      </c>
      <c r="S288" s="39" t="s">
        <v>130</v>
      </c>
      <c r="T288" s="39">
        <v>107443</v>
      </c>
      <c r="U288" s="117">
        <v>46205</v>
      </c>
      <c r="V288" s="39"/>
      <c r="W288" s="39"/>
      <c r="X288" s="39"/>
      <c r="Y288" s="39">
        <v>53</v>
      </c>
      <c r="Z288" s="39"/>
      <c r="AA288" s="39"/>
      <c r="AB288" s="119">
        <f t="shared" si="254"/>
        <v>53</v>
      </c>
      <c r="AC288" s="39"/>
      <c r="AD288" s="39"/>
      <c r="AE288" s="39"/>
      <c r="AF288" s="39"/>
      <c r="AG288" s="39"/>
      <c r="AH288" s="39">
        <f t="shared" si="255"/>
        <v>0</v>
      </c>
      <c r="AI288" s="39"/>
      <c r="AJ288" s="39"/>
      <c r="AK288" s="39"/>
      <c r="AL288" s="39"/>
      <c r="AM288" s="39"/>
      <c r="AN288" s="39">
        <f t="shared" si="4"/>
        <v>0</v>
      </c>
      <c r="AO288" s="39"/>
      <c r="AP288" s="39"/>
      <c r="AQ288" s="39"/>
      <c r="AR288" s="39"/>
      <c r="AS288" s="39"/>
      <c r="AT288" s="39">
        <f t="shared" si="256"/>
        <v>0</v>
      </c>
      <c r="AU288" s="39"/>
      <c r="AV288" s="39"/>
      <c r="AW288" s="39"/>
      <c r="AX288" s="39"/>
      <c r="AY288" s="39"/>
      <c r="AZ288" s="39">
        <f t="shared" si="257"/>
        <v>0</v>
      </c>
      <c r="BA288" s="39"/>
      <c r="BB288" s="39"/>
      <c r="BC288" s="39"/>
      <c r="BD288" s="39"/>
      <c r="BE288" s="39"/>
      <c r="BF288" s="39">
        <f t="shared" si="258"/>
        <v>0</v>
      </c>
      <c r="BG288" s="39"/>
      <c r="BH288" s="39"/>
      <c r="BI288" s="39"/>
      <c r="BJ288" s="39"/>
      <c r="BK288" s="39"/>
      <c r="BL288" s="39">
        <f t="shared" si="259"/>
        <v>0</v>
      </c>
      <c r="BM288" s="54" t="str">
        <f t="shared" si="260"/>
        <v/>
      </c>
      <c r="BN288" s="60">
        <v>46199</v>
      </c>
      <c r="BO288" s="57">
        <v>46211</v>
      </c>
      <c r="BP288" s="36"/>
      <c r="BQ288" s="36"/>
      <c r="BR288" s="230"/>
      <c r="BS288" s="230"/>
      <c r="BT288" s="39">
        <v>1804</v>
      </c>
      <c r="BU288" s="39">
        <v>49</v>
      </c>
      <c r="BV288" s="39"/>
      <c r="BW288" s="39"/>
      <c r="BX288" s="39"/>
      <c r="BY288" s="39"/>
      <c r="BZ288" s="39">
        <f t="shared" si="261"/>
        <v>49</v>
      </c>
      <c r="CA288" s="39">
        <f t="shared" si="252"/>
        <v>2</v>
      </c>
      <c r="CB288" s="39">
        <f t="shared" si="262"/>
        <v>0</v>
      </c>
      <c r="CC288" s="39">
        <f t="shared" si="263"/>
        <v>0</v>
      </c>
      <c r="CD288" s="39">
        <f t="shared" si="264"/>
        <v>0</v>
      </c>
      <c r="CE288" s="102">
        <f t="shared" si="265"/>
        <v>0</v>
      </c>
      <c r="CF288" s="36" t="s">
        <v>248</v>
      </c>
      <c r="CG288" s="39" t="s">
        <v>492</v>
      </c>
      <c r="CH288" s="39"/>
      <c r="CI288" s="25">
        <v>3</v>
      </c>
    </row>
    <row r="289" spans="1:87" ht="24.75" customHeight="1">
      <c r="A289" s="36" t="s">
        <v>50</v>
      </c>
      <c r="B289" s="26">
        <v>47565</v>
      </c>
      <c r="C289" s="227">
        <v>13246585</v>
      </c>
      <c r="D289" s="36" t="s">
        <v>24</v>
      </c>
      <c r="E289" s="39">
        <v>240</v>
      </c>
      <c r="F289" s="39" t="s">
        <v>55</v>
      </c>
      <c r="G289" s="36" t="s">
        <v>778</v>
      </c>
      <c r="H289" s="36" t="s">
        <v>97</v>
      </c>
      <c r="I289" s="39">
        <v>129</v>
      </c>
      <c r="J289" s="39">
        <v>38</v>
      </c>
      <c r="K289" s="39">
        <v>8</v>
      </c>
      <c r="L289" s="39">
        <f t="shared" ref="L289:L290" si="266">SUM(I289:K289)</f>
        <v>175</v>
      </c>
      <c r="M289" s="117">
        <v>46186</v>
      </c>
      <c r="N289" s="117">
        <v>46192</v>
      </c>
      <c r="O289" s="39"/>
      <c r="P289" s="39"/>
      <c r="Q289" s="39"/>
      <c r="R289" s="39">
        <f t="shared" si="253"/>
        <v>0</v>
      </c>
      <c r="S289" s="39" t="s">
        <v>130</v>
      </c>
      <c r="T289" s="39">
        <v>106871</v>
      </c>
      <c r="U289" s="117">
        <v>46186</v>
      </c>
      <c r="V289" s="39"/>
      <c r="W289" s="39"/>
      <c r="X289" s="39"/>
      <c r="Y289" s="39">
        <v>144</v>
      </c>
      <c r="Z289" s="39">
        <v>44</v>
      </c>
      <c r="AA289" s="39">
        <v>11</v>
      </c>
      <c r="AB289" s="119">
        <f t="shared" si="254"/>
        <v>199</v>
      </c>
      <c r="AC289" s="39"/>
      <c r="AD289" s="39"/>
      <c r="AE289" s="39"/>
      <c r="AF289" s="39"/>
      <c r="AG289" s="39"/>
      <c r="AH289" s="39">
        <f t="shared" si="255"/>
        <v>0</v>
      </c>
      <c r="AI289" s="39"/>
      <c r="AJ289" s="39"/>
      <c r="AK289" s="39"/>
      <c r="AL289" s="39"/>
      <c r="AM289" s="39"/>
      <c r="AN289" s="39">
        <f t="shared" si="4"/>
        <v>0</v>
      </c>
      <c r="AO289" s="39"/>
      <c r="AP289" s="39"/>
      <c r="AQ289" s="39"/>
      <c r="AR289" s="39"/>
      <c r="AS289" s="39"/>
      <c r="AT289" s="39">
        <f t="shared" si="256"/>
        <v>0</v>
      </c>
      <c r="AU289" s="39"/>
      <c r="AV289" s="39"/>
      <c r="AW289" s="39"/>
      <c r="AX289" s="39"/>
      <c r="AY289" s="39"/>
      <c r="AZ289" s="39">
        <f t="shared" si="257"/>
        <v>0</v>
      </c>
      <c r="BA289" s="39"/>
      <c r="BB289" s="39"/>
      <c r="BC289" s="39"/>
      <c r="BD289" s="39"/>
      <c r="BE289" s="39"/>
      <c r="BF289" s="39">
        <f t="shared" si="258"/>
        <v>0</v>
      </c>
      <c r="BG289" s="39"/>
      <c r="BH289" s="39"/>
      <c r="BI289" s="39"/>
      <c r="BJ289" s="39"/>
      <c r="BK289" s="39"/>
      <c r="BL289" s="39">
        <f t="shared" si="259"/>
        <v>0</v>
      </c>
      <c r="BM289" s="54" t="str">
        <f t="shared" si="260"/>
        <v/>
      </c>
      <c r="BN289" s="60">
        <v>46195</v>
      </c>
      <c r="BO289" s="57">
        <v>46200</v>
      </c>
      <c r="BP289" s="36"/>
      <c r="BQ289" s="36"/>
      <c r="BR289" s="229">
        <v>46188</v>
      </c>
      <c r="BS289" s="229">
        <v>46202</v>
      </c>
      <c r="BT289" s="39">
        <v>1730</v>
      </c>
      <c r="BU289" s="39">
        <v>133</v>
      </c>
      <c r="BV289" s="39">
        <v>2142</v>
      </c>
      <c r="BW289" s="39">
        <v>41</v>
      </c>
      <c r="BX289" s="39">
        <v>2142</v>
      </c>
      <c r="BY289" s="39">
        <v>10</v>
      </c>
      <c r="BZ289" s="39">
        <f t="shared" si="261"/>
        <v>184</v>
      </c>
      <c r="CA289" s="39">
        <f t="shared" si="252"/>
        <v>4</v>
      </c>
      <c r="CB289" s="39">
        <f t="shared" si="262"/>
        <v>3</v>
      </c>
      <c r="CC289" s="39">
        <f t="shared" si="263"/>
        <v>2</v>
      </c>
      <c r="CD289" s="39">
        <f t="shared" si="264"/>
        <v>0</v>
      </c>
      <c r="CE289" s="102">
        <f t="shared" si="265"/>
        <v>0</v>
      </c>
      <c r="CF289" s="36"/>
      <c r="CG289" s="39" t="s">
        <v>492</v>
      </c>
      <c r="CH289" s="39" t="s">
        <v>1032</v>
      </c>
      <c r="CI289" s="25">
        <v>3</v>
      </c>
    </row>
    <row r="290" spans="1:87" ht="24.75" customHeight="1">
      <c r="A290" s="36" t="s">
        <v>50</v>
      </c>
      <c r="B290" s="26">
        <v>47565</v>
      </c>
      <c r="C290" s="228"/>
      <c r="D290" s="36"/>
      <c r="E290" s="39"/>
      <c r="F290" s="39"/>
      <c r="G290" s="36" t="s">
        <v>407</v>
      </c>
      <c r="H290" s="36">
        <f>185+660+260+197+45</f>
        <v>1347</v>
      </c>
      <c r="I290" s="39" t="s">
        <v>199</v>
      </c>
      <c r="J290" s="39"/>
      <c r="K290" s="39"/>
      <c r="L290" s="39">
        <f t="shared" si="266"/>
        <v>0</v>
      </c>
      <c r="M290" s="117">
        <v>46186</v>
      </c>
      <c r="N290" s="117">
        <v>46192</v>
      </c>
      <c r="O290" s="39"/>
      <c r="P290" s="39"/>
      <c r="Q290" s="39"/>
      <c r="R290" s="39">
        <f t="shared" si="253"/>
        <v>0</v>
      </c>
      <c r="S290" s="39" t="s">
        <v>130</v>
      </c>
      <c r="T290" s="39">
        <v>106871</v>
      </c>
      <c r="U290" s="117">
        <v>46197</v>
      </c>
      <c r="V290" s="39"/>
      <c r="W290" s="39"/>
      <c r="X290" s="39"/>
      <c r="Y290" s="39">
        <f>32</f>
        <v>32</v>
      </c>
      <c r="Z290" s="39"/>
      <c r="AA290" s="39"/>
      <c r="AB290" s="39">
        <f t="shared" si="254"/>
        <v>32</v>
      </c>
      <c r="AC290" s="39"/>
      <c r="AD290" s="39"/>
      <c r="AE290" s="39"/>
      <c r="AF290" s="39"/>
      <c r="AG290" s="39"/>
      <c r="AH290" s="39">
        <f t="shared" si="255"/>
        <v>0</v>
      </c>
      <c r="AI290" s="39"/>
      <c r="AJ290" s="39"/>
      <c r="AK290" s="39"/>
      <c r="AL290" s="39"/>
      <c r="AM290" s="39"/>
      <c r="AN290" s="39">
        <f t="shared" si="4"/>
        <v>0</v>
      </c>
      <c r="AO290" s="39"/>
      <c r="AP290" s="39"/>
      <c r="AQ290" s="39"/>
      <c r="AR290" s="39"/>
      <c r="AS290" s="39"/>
      <c r="AT290" s="39">
        <f t="shared" si="256"/>
        <v>0</v>
      </c>
      <c r="AU290" s="39"/>
      <c r="AV290" s="39"/>
      <c r="AW290" s="39"/>
      <c r="AX290" s="39"/>
      <c r="AY290" s="39"/>
      <c r="AZ290" s="39">
        <f t="shared" si="257"/>
        <v>0</v>
      </c>
      <c r="BA290" s="39"/>
      <c r="BB290" s="39"/>
      <c r="BC290" s="39"/>
      <c r="BD290" s="39"/>
      <c r="BE290" s="39"/>
      <c r="BF290" s="39">
        <f t="shared" si="258"/>
        <v>0</v>
      </c>
      <c r="BG290" s="39"/>
      <c r="BH290" s="39"/>
      <c r="BI290" s="39"/>
      <c r="BJ290" s="39"/>
      <c r="BK290" s="39"/>
      <c r="BL290" s="39">
        <f t="shared" si="259"/>
        <v>0</v>
      </c>
      <c r="BM290" s="54" t="e">
        <f t="shared" si="260"/>
        <v>#DIV/0!</v>
      </c>
      <c r="BN290" s="60">
        <v>46195</v>
      </c>
      <c r="BO290" s="57">
        <v>46200</v>
      </c>
      <c r="BP290" s="36"/>
      <c r="BQ290" s="36"/>
      <c r="BR290" s="230"/>
      <c r="BS290" s="230"/>
      <c r="BT290" s="39" t="s">
        <v>1203</v>
      </c>
      <c r="BU290" s="39"/>
      <c r="BV290" s="39"/>
      <c r="BW290" s="39"/>
      <c r="BX290" s="39"/>
      <c r="BY290" s="39"/>
      <c r="BZ290" s="39">
        <f t="shared" si="261"/>
        <v>0</v>
      </c>
      <c r="CA290" s="39" t="e">
        <f t="shared" si="252"/>
        <v>#VALUE!</v>
      </c>
      <c r="CB290" s="39">
        <f t="shared" si="262"/>
        <v>0</v>
      </c>
      <c r="CC290" s="39">
        <f t="shared" si="263"/>
        <v>0</v>
      </c>
      <c r="CD290" s="39">
        <f t="shared" si="264"/>
        <v>0</v>
      </c>
      <c r="CE290" s="102" t="e">
        <f t="shared" si="265"/>
        <v>#DIV/0!</v>
      </c>
      <c r="CF290" s="36"/>
      <c r="CG290" s="39" t="s">
        <v>492</v>
      </c>
      <c r="CH290" s="39"/>
      <c r="CI290" s="25">
        <v>3</v>
      </c>
    </row>
    <row r="291" spans="1:87" ht="30.75" customHeight="1">
      <c r="A291" s="36" t="s">
        <v>50</v>
      </c>
      <c r="B291" s="26" t="s">
        <v>957</v>
      </c>
      <c r="C291" s="36">
        <v>13180124</v>
      </c>
      <c r="D291" s="36"/>
      <c r="E291" s="39">
        <v>180</v>
      </c>
      <c r="F291" s="39" t="s">
        <v>55</v>
      </c>
      <c r="G291" s="36" t="s">
        <v>124</v>
      </c>
      <c r="H291" s="39" t="s">
        <v>87</v>
      </c>
      <c r="I291" s="39">
        <v>106</v>
      </c>
      <c r="J291" s="39"/>
      <c r="K291" s="39"/>
      <c r="L291" s="39">
        <f t="shared" si="218"/>
        <v>106</v>
      </c>
      <c r="M291" s="117">
        <v>46183</v>
      </c>
      <c r="N291" s="117">
        <v>46193</v>
      </c>
      <c r="O291" s="39"/>
      <c r="P291" s="39"/>
      <c r="Q291" s="39"/>
      <c r="R291" s="39">
        <f t="shared" si="1"/>
        <v>0</v>
      </c>
      <c r="S291" s="39" t="s">
        <v>130</v>
      </c>
      <c r="T291" s="39">
        <v>107301</v>
      </c>
      <c r="U291" s="117">
        <v>46203</v>
      </c>
      <c r="V291" s="39"/>
      <c r="W291" s="39"/>
      <c r="X291" s="39"/>
      <c r="Y291" s="39">
        <v>132</v>
      </c>
      <c r="Z291" s="39"/>
      <c r="AA291" s="39"/>
      <c r="AB291" s="119">
        <f t="shared" si="2"/>
        <v>132</v>
      </c>
      <c r="AC291" s="39"/>
      <c r="AD291" s="39"/>
      <c r="AE291" s="39"/>
      <c r="AF291" s="39"/>
      <c r="AG291" s="39"/>
      <c r="AH291" s="39">
        <f t="shared" si="3"/>
        <v>0</v>
      </c>
      <c r="AI291" s="39"/>
      <c r="AJ291" s="39"/>
      <c r="AK291" s="39"/>
      <c r="AL291" s="39"/>
      <c r="AM291" s="39"/>
      <c r="AN291" s="39">
        <f t="shared" si="4"/>
        <v>0</v>
      </c>
      <c r="AO291" s="39"/>
      <c r="AP291" s="39"/>
      <c r="AQ291" s="39"/>
      <c r="AR291" s="39"/>
      <c r="AS291" s="39"/>
      <c r="AT291" s="39">
        <f t="shared" si="5"/>
        <v>0</v>
      </c>
      <c r="AU291" s="39"/>
      <c r="AV291" s="39"/>
      <c r="AW291" s="39"/>
      <c r="AX291" s="39"/>
      <c r="AY291" s="39"/>
      <c r="AZ291" s="39">
        <f t="shared" si="6"/>
        <v>0</v>
      </c>
      <c r="BA291" s="39"/>
      <c r="BB291" s="39"/>
      <c r="BC291" s="39"/>
      <c r="BD291" s="39"/>
      <c r="BE291" s="39"/>
      <c r="BF291" s="39">
        <f t="shared" si="7"/>
        <v>0</v>
      </c>
      <c r="BG291" s="39"/>
      <c r="BH291" s="39"/>
      <c r="BI291" s="39"/>
      <c r="BJ291" s="39"/>
      <c r="BK291" s="39"/>
      <c r="BL291" s="39">
        <f t="shared" si="8"/>
        <v>0</v>
      </c>
      <c r="BM291" s="54" t="str">
        <f t="shared" si="9"/>
        <v/>
      </c>
      <c r="BN291" s="60">
        <v>46198</v>
      </c>
      <c r="BO291" s="57">
        <v>46207</v>
      </c>
      <c r="BP291" s="36"/>
      <c r="BQ291" s="36"/>
      <c r="BR291" s="50">
        <v>46205</v>
      </c>
      <c r="BS291" s="50">
        <v>46205</v>
      </c>
      <c r="BT291" s="39">
        <v>2005</v>
      </c>
      <c r="BU291" s="39">
        <v>117</v>
      </c>
      <c r="BV291" s="39"/>
      <c r="BW291" s="39"/>
      <c r="BX291" s="39"/>
      <c r="BY291" s="39"/>
      <c r="BZ291" s="39">
        <f t="shared" si="10"/>
        <v>117</v>
      </c>
      <c r="CA291" s="39">
        <f t="shared" si="11"/>
        <v>11</v>
      </c>
      <c r="CB291" s="39">
        <f t="shared" si="12"/>
        <v>0</v>
      </c>
      <c r="CC291" s="39">
        <f t="shared" si="13"/>
        <v>0</v>
      </c>
      <c r="CD291" s="39">
        <f t="shared" si="14"/>
        <v>0</v>
      </c>
      <c r="CE291" s="47">
        <f t="shared" si="15"/>
        <v>0</v>
      </c>
      <c r="CF291" s="36" t="s">
        <v>292</v>
      </c>
      <c r="CG291" s="39" t="s">
        <v>281</v>
      </c>
      <c r="CH291" s="39"/>
      <c r="CI291" s="25">
        <v>3</v>
      </c>
    </row>
    <row r="292" spans="1:87" ht="24.75" customHeight="1">
      <c r="A292" s="36" t="s">
        <v>50</v>
      </c>
      <c r="B292" s="26" t="s">
        <v>958</v>
      </c>
      <c r="C292" s="227">
        <v>13235093</v>
      </c>
      <c r="D292" s="36" t="s">
        <v>45</v>
      </c>
      <c r="E292" s="39">
        <v>240</v>
      </c>
      <c r="F292" s="39" t="s">
        <v>53</v>
      </c>
      <c r="G292" s="36" t="s">
        <v>310</v>
      </c>
      <c r="H292" s="39" t="s">
        <v>196</v>
      </c>
      <c r="I292" s="39">
        <v>411</v>
      </c>
      <c r="J292" s="39">
        <v>77</v>
      </c>
      <c r="K292" s="39"/>
      <c r="L292" s="39">
        <f t="shared" si="218"/>
        <v>488</v>
      </c>
      <c r="M292" s="117">
        <v>46188</v>
      </c>
      <c r="N292" s="117">
        <v>46193</v>
      </c>
      <c r="O292" s="39"/>
      <c r="P292" s="39"/>
      <c r="Q292" s="39"/>
      <c r="R292" s="39">
        <f t="shared" si="1"/>
        <v>0</v>
      </c>
      <c r="S292" s="39" t="s">
        <v>326</v>
      </c>
      <c r="T292" s="39"/>
      <c r="U292" s="39"/>
      <c r="V292" s="117">
        <v>46205</v>
      </c>
      <c r="W292" s="39">
        <f>458+89</f>
        <v>547</v>
      </c>
      <c r="X292" s="117">
        <v>46217</v>
      </c>
      <c r="Y292" s="39">
        <f>400</f>
        <v>400</v>
      </c>
      <c r="Z292" s="39">
        <v>84</v>
      </c>
      <c r="AA292" s="39"/>
      <c r="AB292" s="120">
        <f t="shared" si="2"/>
        <v>484</v>
      </c>
      <c r="AC292" s="39"/>
      <c r="AD292" s="39"/>
      <c r="AE292" s="39"/>
      <c r="AF292" s="39"/>
      <c r="AG292" s="39"/>
      <c r="AH292" s="39">
        <f t="shared" si="3"/>
        <v>0</v>
      </c>
      <c r="AI292" s="39"/>
      <c r="AJ292" s="39"/>
      <c r="AK292" s="39"/>
      <c r="AL292" s="39"/>
      <c r="AM292" s="39"/>
      <c r="AN292" s="39">
        <f t="shared" si="4"/>
        <v>0</v>
      </c>
      <c r="AO292" s="39"/>
      <c r="AP292" s="39"/>
      <c r="AQ292" s="39"/>
      <c r="AR292" s="39"/>
      <c r="AS292" s="39"/>
      <c r="AT292" s="39">
        <f t="shared" si="5"/>
        <v>0</v>
      </c>
      <c r="AU292" s="39"/>
      <c r="AV292" s="39"/>
      <c r="AW292" s="39"/>
      <c r="AX292" s="39"/>
      <c r="AY292" s="39"/>
      <c r="AZ292" s="39">
        <f t="shared" si="6"/>
        <v>0</v>
      </c>
      <c r="BA292" s="39"/>
      <c r="BB292" s="39"/>
      <c r="BC292" s="39"/>
      <c r="BD292" s="39"/>
      <c r="BE292" s="39"/>
      <c r="BF292" s="39">
        <f t="shared" si="7"/>
        <v>0</v>
      </c>
      <c r="BG292" s="39"/>
      <c r="BH292" s="39"/>
      <c r="BI292" s="39"/>
      <c r="BJ292" s="39"/>
      <c r="BK292" s="39"/>
      <c r="BL292" s="39">
        <f t="shared" si="8"/>
        <v>0</v>
      </c>
      <c r="BM292" s="54" t="str">
        <f t="shared" si="9"/>
        <v/>
      </c>
      <c r="BN292" s="60">
        <v>46198</v>
      </c>
      <c r="BO292" s="57">
        <v>46209</v>
      </c>
      <c r="BP292" s="36"/>
      <c r="BQ292" s="36"/>
      <c r="BR292" s="229">
        <v>46217</v>
      </c>
      <c r="BS292" s="229">
        <v>46217</v>
      </c>
      <c r="BT292" s="39">
        <v>1530</v>
      </c>
      <c r="BU292" s="39">
        <f>400</f>
        <v>400</v>
      </c>
      <c r="BV292" s="39">
        <v>1530</v>
      </c>
      <c r="BW292" s="39">
        <v>84</v>
      </c>
      <c r="BX292" s="39"/>
      <c r="BY292" s="39"/>
      <c r="BZ292" s="39">
        <f t="shared" si="10"/>
        <v>484</v>
      </c>
      <c r="CA292" s="39">
        <f t="shared" si="11"/>
        <v>-11</v>
      </c>
      <c r="CB292" s="39">
        <f t="shared" si="12"/>
        <v>7</v>
      </c>
      <c r="CC292" s="39">
        <f t="shared" si="13"/>
        <v>0</v>
      </c>
      <c r="CD292" s="39">
        <v>0</v>
      </c>
      <c r="CE292" s="47">
        <f t="shared" si="15"/>
        <v>0</v>
      </c>
      <c r="CF292" s="36" t="s">
        <v>292</v>
      </c>
      <c r="CG292" s="39" t="s">
        <v>281</v>
      </c>
      <c r="CH292" s="39"/>
      <c r="CI292" s="25">
        <v>3</v>
      </c>
    </row>
    <row r="293" spans="1:87" ht="24.75" customHeight="1">
      <c r="A293" s="36" t="s">
        <v>50</v>
      </c>
      <c r="B293" s="26" t="s">
        <v>958</v>
      </c>
      <c r="C293" s="228"/>
      <c r="D293" s="36"/>
      <c r="E293" s="39"/>
      <c r="F293" s="39"/>
      <c r="G293" s="36" t="s">
        <v>205</v>
      </c>
      <c r="H293" s="39">
        <v>520</v>
      </c>
      <c r="I293" s="39" t="s">
        <v>90</v>
      </c>
      <c r="J293" s="39"/>
      <c r="K293" s="39"/>
      <c r="L293" s="39">
        <f t="shared" si="218"/>
        <v>0</v>
      </c>
      <c r="M293" s="117">
        <v>46188</v>
      </c>
      <c r="N293" s="117">
        <v>46193</v>
      </c>
      <c r="O293" s="39"/>
      <c r="P293" s="39"/>
      <c r="Q293" s="39"/>
      <c r="R293" s="39">
        <f t="shared" ref="R293" si="267">SUM(O293:Q293)</f>
        <v>0</v>
      </c>
      <c r="S293" s="39" t="s">
        <v>326</v>
      </c>
      <c r="T293" s="39"/>
      <c r="U293" s="39"/>
      <c r="V293" s="117">
        <v>46205</v>
      </c>
      <c r="W293" s="39">
        <v>6</v>
      </c>
      <c r="X293" s="117">
        <v>46217</v>
      </c>
      <c r="Y293" s="39">
        <v>6</v>
      </c>
      <c r="Z293" s="39"/>
      <c r="AA293" s="39"/>
      <c r="AB293" s="39">
        <f t="shared" ref="AB293" si="268">SUM(Y293:AA293)</f>
        <v>6</v>
      </c>
      <c r="AC293" s="39"/>
      <c r="AD293" s="39"/>
      <c r="AE293" s="39"/>
      <c r="AF293" s="39"/>
      <c r="AG293" s="39"/>
      <c r="AH293" s="39">
        <f t="shared" ref="AH293" si="269">AG293-AE293</f>
        <v>0</v>
      </c>
      <c r="AI293" s="39"/>
      <c r="AJ293" s="39"/>
      <c r="AK293" s="39"/>
      <c r="AL293" s="39"/>
      <c r="AM293" s="39"/>
      <c r="AN293" s="39">
        <f t="shared" ref="AN293" si="270">AM293-AK293</f>
        <v>0</v>
      </c>
      <c r="AO293" s="39"/>
      <c r="AP293" s="39"/>
      <c r="AQ293" s="39"/>
      <c r="AR293" s="39"/>
      <c r="AS293" s="39"/>
      <c r="AT293" s="39">
        <f t="shared" ref="AT293" si="271">AS293-AQ293</f>
        <v>0</v>
      </c>
      <c r="AU293" s="39"/>
      <c r="AV293" s="39"/>
      <c r="AW293" s="39"/>
      <c r="AX293" s="39"/>
      <c r="AY293" s="39"/>
      <c r="AZ293" s="39">
        <f t="shared" ref="AZ293" si="272">AY293-AW293</f>
        <v>0</v>
      </c>
      <c r="BA293" s="39"/>
      <c r="BB293" s="39"/>
      <c r="BC293" s="39"/>
      <c r="BD293" s="39"/>
      <c r="BE293" s="39"/>
      <c r="BF293" s="39">
        <f t="shared" ref="BF293" si="273">BE293-BC293</f>
        <v>0</v>
      </c>
      <c r="BG293" s="39"/>
      <c r="BH293" s="39"/>
      <c r="BI293" s="39"/>
      <c r="BJ293" s="39"/>
      <c r="BK293" s="39"/>
      <c r="BL293" s="39">
        <f t="shared" ref="BL293" si="274">BK293-BI293</f>
        <v>0</v>
      </c>
      <c r="BM293" s="54" t="e">
        <f t="shared" ref="BM293" si="275">IF((BZ293/L293)&lt;0.9,$CO$1-U293,"")</f>
        <v>#DIV/0!</v>
      </c>
      <c r="BN293" s="60">
        <v>46198</v>
      </c>
      <c r="BO293" s="57">
        <v>46209</v>
      </c>
      <c r="BP293" s="36"/>
      <c r="BQ293" s="36"/>
      <c r="BR293" s="230"/>
      <c r="BS293" s="230"/>
      <c r="BT293" s="39" t="s">
        <v>1635</v>
      </c>
      <c r="BU293" s="39"/>
      <c r="BV293" s="39"/>
      <c r="BW293" s="39"/>
      <c r="BX293" s="39"/>
      <c r="BY293" s="39"/>
      <c r="BZ293" s="39">
        <f t="shared" si="10"/>
        <v>0</v>
      </c>
      <c r="CA293" s="39" t="e">
        <f t="shared" si="11"/>
        <v>#VALUE!</v>
      </c>
      <c r="CB293" s="39">
        <f t="shared" si="12"/>
        <v>0</v>
      </c>
      <c r="CC293" s="39">
        <f t="shared" si="13"/>
        <v>0</v>
      </c>
      <c r="CD293" s="39">
        <f t="shared" si="14"/>
        <v>0</v>
      </c>
      <c r="CE293" s="47" t="e">
        <f t="shared" si="15"/>
        <v>#DIV/0!</v>
      </c>
      <c r="CF293" s="36" t="s">
        <v>292</v>
      </c>
      <c r="CG293" s="39" t="s">
        <v>281</v>
      </c>
      <c r="CH293" s="39"/>
      <c r="CI293" s="25">
        <v>3</v>
      </c>
    </row>
    <row r="294" spans="1:87" ht="34.5" customHeight="1">
      <c r="A294" s="36" t="s">
        <v>50</v>
      </c>
      <c r="B294" s="26" t="s">
        <v>959</v>
      </c>
      <c r="C294" s="36">
        <v>13247093</v>
      </c>
      <c r="D294" s="36"/>
      <c r="E294" s="39">
        <v>200</v>
      </c>
      <c r="F294" s="39" t="s">
        <v>60</v>
      </c>
      <c r="G294" s="36" t="s">
        <v>310</v>
      </c>
      <c r="H294" s="39" t="s">
        <v>89</v>
      </c>
      <c r="I294" s="39">
        <v>280</v>
      </c>
      <c r="J294" s="39"/>
      <c r="K294" s="39"/>
      <c r="L294" s="39">
        <f t="shared" si="218"/>
        <v>280</v>
      </c>
      <c r="M294" s="117">
        <v>46188</v>
      </c>
      <c r="N294" s="117">
        <v>46193</v>
      </c>
      <c r="O294" s="39"/>
      <c r="P294" s="39"/>
      <c r="Q294" s="39"/>
      <c r="R294" s="39">
        <f t="shared" si="1"/>
        <v>0</v>
      </c>
      <c r="S294" s="39" t="s">
        <v>326</v>
      </c>
      <c r="T294" s="39"/>
      <c r="U294" s="39"/>
      <c r="V294" s="117">
        <v>46186</v>
      </c>
      <c r="W294" s="39">
        <v>306</v>
      </c>
      <c r="X294" s="117">
        <v>46199</v>
      </c>
      <c r="Y294" s="39">
        <f>277+1</f>
        <v>278</v>
      </c>
      <c r="Z294" s="39"/>
      <c r="AA294" s="39"/>
      <c r="AB294" s="119">
        <f t="shared" si="2"/>
        <v>278</v>
      </c>
      <c r="AC294" s="39"/>
      <c r="AD294" s="39"/>
      <c r="AE294" s="39"/>
      <c r="AF294" s="39"/>
      <c r="AG294" s="39"/>
      <c r="AH294" s="39">
        <f t="shared" si="3"/>
        <v>0</v>
      </c>
      <c r="AI294" s="39"/>
      <c r="AJ294" s="39"/>
      <c r="AK294" s="39"/>
      <c r="AL294" s="39"/>
      <c r="AM294" s="39"/>
      <c r="AN294" s="39">
        <f t="shared" si="4"/>
        <v>0</v>
      </c>
      <c r="AO294" s="39"/>
      <c r="AP294" s="39"/>
      <c r="AQ294" s="39"/>
      <c r="AR294" s="39"/>
      <c r="AS294" s="39"/>
      <c r="AT294" s="39">
        <f t="shared" si="5"/>
        <v>0</v>
      </c>
      <c r="AU294" s="39"/>
      <c r="AV294" s="39"/>
      <c r="AW294" s="39"/>
      <c r="AX294" s="39"/>
      <c r="AY294" s="39"/>
      <c r="AZ294" s="39">
        <f t="shared" si="6"/>
        <v>0</v>
      </c>
      <c r="BA294" s="39"/>
      <c r="BB294" s="39"/>
      <c r="BC294" s="39"/>
      <c r="BD294" s="39"/>
      <c r="BE294" s="39"/>
      <c r="BF294" s="39">
        <f t="shared" si="7"/>
        <v>0</v>
      </c>
      <c r="BG294" s="39"/>
      <c r="BH294" s="39"/>
      <c r="BI294" s="39"/>
      <c r="BJ294" s="39"/>
      <c r="BK294" s="39"/>
      <c r="BL294" s="39">
        <f t="shared" si="8"/>
        <v>0</v>
      </c>
      <c r="BM294" s="54" t="str">
        <f t="shared" si="9"/>
        <v/>
      </c>
      <c r="BN294" s="60">
        <v>46198</v>
      </c>
      <c r="BO294" s="57">
        <v>46207</v>
      </c>
      <c r="BP294" s="36"/>
      <c r="BQ294" s="36"/>
      <c r="BR294" s="50">
        <v>46199</v>
      </c>
      <c r="BS294" s="50">
        <v>46199</v>
      </c>
      <c r="BT294" s="39">
        <v>1512</v>
      </c>
      <c r="BU294" s="39">
        <v>277</v>
      </c>
      <c r="BV294" s="39"/>
      <c r="BW294" s="39"/>
      <c r="BX294" s="39"/>
      <c r="BY294" s="39"/>
      <c r="BZ294" s="39">
        <f t="shared" si="10"/>
        <v>277</v>
      </c>
      <c r="CA294" s="39">
        <f t="shared" si="11"/>
        <v>-3</v>
      </c>
      <c r="CB294" s="39">
        <f t="shared" si="12"/>
        <v>0</v>
      </c>
      <c r="CC294" s="39">
        <f t="shared" si="13"/>
        <v>0</v>
      </c>
      <c r="CD294" s="39">
        <v>0</v>
      </c>
      <c r="CE294" s="47">
        <f t="shared" si="15"/>
        <v>0</v>
      </c>
      <c r="CF294" s="36" t="s">
        <v>292</v>
      </c>
      <c r="CG294" s="39" t="s">
        <v>281</v>
      </c>
      <c r="CH294" s="39"/>
      <c r="CI294" s="25">
        <v>3</v>
      </c>
    </row>
    <row r="295" spans="1:87" ht="24.75" customHeight="1">
      <c r="A295" s="36" t="s">
        <v>50</v>
      </c>
      <c r="B295" s="26" t="s">
        <v>960</v>
      </c>
      <c r="C295" s="227">
        <v>13234729</v>
      </c>
      <c r="D295" s="36"/>
      <c r="E295" s="39">
        <v>200</v>
      </c>
      <c r="F295" s="39" t="s">
        <v>60</v>
      </c>
      <c r="G295" s="36" t="s">
        <v>427</v>
      </c>
      <c r="H295" s="39" t="s">
        <v>89</v>
      </c>
      <c r="I295" s="39">
        <v>170</v>
      </c>
      <c r="J295" s="39">
        <v>11</v>
      </c>
      <c r="K295" s="39"/>
      <c r="L295" s="39">
        <f t="shared" si="218"/>
        <v>181</v>
      </c>
      <c r="M295" s="117">
        <v>46188</v>
      </c>
      <c r="N295" s="117">
        <v>46195</v>
      </c>
      <c r="O295" s="39"/>
      <c r="P295" s="39"/>
      <c r="Q295" s="39"/>
      <c r="R295" s="39">
        <f t="shared" si="1"/>
        <v>0</v>
      </c>
      <c r="S295" s="39" t="s">
        <v>130</v>
      </c>
      <c r="T295" s="39">
        <v>107320</v>
      </c>
      <c r="U295" s="117">
        <v>46204</v>
      </c>
      <c r="V295" s="39"/>
      <c r="W295" s="39"/>
      <c r="X295" s="39"/>
      <c r="Y295" s="39">
        <v>205</v>
      </c>
      <c r="Z295" s="39">
        <v>16</v>
      </c>
      <c r="AA295" s="39"/>
      <c r="AB295" s="119">
        <f t="shared" si="2"/>
        <v>221</v>
      </c>
      <c r="AC295" s="39"/>
      <c r="AD295" s="39"/>
      <c r="AE295" s="39"/>
      <c r="AF295" s="39"/>
      <c r="AG295" s="39"/>
      <c r="AH295" s="39">
        <f t="shared" si="3"/>
        <v>0</v>
      </c>
      <c r="AI295" s="39"/>
      <c r="AJ295" s="39"/>
      <c r="AK295" s="39"/>
      <c r="AL295" s="39"/>
      <c r="AM295" s="39"/>
      <c r="AN295" s="39">
        <f t="shared" si="4"/>
        <v>0</v>
      </c>
      <c r="AO295" s="39"/>
      <c r="AP295" s="39"/>
      <c r="AQ295" s="39"/>
      <c r="AR295" s="39"/>
      <c r="AS295" s="39"/>
      <c r="AT295" s="39">
        <f t="shared" si="5"/>
        <v>0</v>
      </c>
      <c r="AU295" s="39"/>
      <c r="AV295" s="39"/>
      <c r="AW295" s="39"/>
      <c r="AX295" s="39"/>
      <c r="AY295" s="39"/>
      <c r="AZ295" s="39">
        <f t="shared" si="6"/>
        <v>0</v>
      </c>
      <c r="BA295" s="39"/>
      <c r="BB295" s="39"/>
      <c r="BC295" s="39"/>
      <c r="BD295" s="39"/>
      <c r="BE295" s="39"/>
      <c r="BF295" s="39">
        <f t="shared" si="7"/>
        <v>0</v>
      </c>
      <c r="BG295" s="39"/>
      <c r="BH295" s="39"/>
      <c r="BI295" s="39"/>
      <c r="BJ295" s="39"/>
      <c r="BK295" s="39"/>
      <c r="BL295" s="39">
        <f t="shared" si="8"/>
        <v>0</v>
      </c>
      <c r="BM295" s="54" t="str">
        <f t="shared" si="9"/>
        <v/>
      </c>
      <c r="BN295" s="60">
        <v>46195</v>
      </c>
      <c r="BO295" s="57">
        <v>46205</v>
      </c>
      <c r="BP295" s="36"/>
      <c r="BQ295" s="36"/>
      <c r="BR295" s="229">
        <v>46198</v>
      </c>
      <c r="BS295" s="229">
        <v>46207</v>
      </c>
      <c r="BT295" s="39">
        <v>2015</v>
      </c>
      <c r="BU295" s="39">
        <v>183</v>
      </c>
      <c r="BV295" s="39">
        <v>2015</v>
      </c>
      <c r="BW295" s="39">
        <v>10</v>
      </c>
      <c r="BX295" s="39"/>
      <c r="BY295" s="39"/>
      <c r="BZ295" s="39">
        <f t="shared" si="10"/>
        <v>193</v>
      </c>
      <c r="CA295" s="39">
        <f t="shared" si="11"/>
        <v>13</v>
      </c>
      <c r="CB295" s="39">
        <f t="shared" si="12"/>
        <v>-1</v>
      </c>
      <c r="CC295" s="39">
        <f t="shared" si="13"/>
        <v>0</v>
      </c>
      <c r="CD295" s="39">
        <v>0</v>
      </c>
      <c r="CE295" s="47">
        <f t="shared" si="15"/>
        <v>0</v>
      </c>
      <c r="CF295" s="36" t="s">
        <v>292</v>
      </c>
      <c r="CG295" s="39" t="s">
        <v>281</v>
      </c>
      <c r="CH295" s="39"/>
      <c r="CI295" s="25">
        <v>3</v>
      </c>
    </row>
    <row r="296" spans="1:87" ht="24.75" customHeight="1">
      <c r="A296" s="36" t="s">
        <v>50</v>
      </c>
      <c r="B296" s="26" t="s">
        <v>960</v>
      </c>
      <c r="C296" s="231"/>
      <c r="D296" s="36"/>
      <c r="E296" s="39">
        <v>200</v>
      </c>
      <c r="F296" s="39" t="s">
        <v>60</v>
      </c>
      <c r="G296" s="36" t="s">
        <v>93</v>
      </c>
      <c r="H296" s="39" t="s">
        <v>89</v>
      </c>
      <c r="I296" s="39">
        <v>203</v>
      </c>
      <c r="J296" s="39">
        <v>13</v>
      </c>
      <c r="K296" s="39"/>
      <c r="L296" s="39">
        <f t="shared" si="218"/>
        <v>216</v>
      </c>
      <c r="M296" s="117">
        <v>46188</v>
      </c>
      <c r="N296" s="117">
        <v>46195</v>
      </c>
      <c r="O296" s="39"/>
      <c r="P296" s="39"/>
      <c r="Q296" s="39"/>
      <c r="R296" s="39">
        <f t="shared" ref="R296:R298" si="276">SUM(O296:Q296)</f>
        <v>0</v>
      </c>
      <c r="S296" s="39" t="s">
        <v>130</v>
      </c>
      <c r="T296" s="39">
        <v>107163</v>
      </c>
      <c r="U296" s="117">
        <v>46196</v>
      </c>
      <c r="V296" s="39"/>
      <c r="W296" s="39"/>
      <c r="X296" s="39"/>
      <c r="Y296" s="39">
        <v>229</v>
      </c>
      <c r="Z296" s="39">
        <v>16</v>
      </c>
      <c r="AA296" s="39"/>
      <c r="AB296" s="119">
        <f t="shared" ref="AB296:AB298" si="277">SUM(Y296:AA296)</f>
        <v>245</v>
      </c>
      <c r="AC296" s="39"/>
      <c r="AD296" s="39"/>
      <c r="AE296" s="39"/>
      <c r="AF296" s="39"/>
      <c r="AG296" s="39"/>
      <c r="AH296" s="39">
        <f t="shared" ref="AH296:AH298" si="278">AG296-AE296</f>
        <v>0</v>
      </c>
      <c r="AI296" s="39"/>
      <c r="AJ296" s="39"/>
      <c r="AK296" s="39"/>
      <c r="AL296" s="39"/>
      <c r="AM296" s="39"/>
      <c r="AN296" s="39">
        <f t="shared" ref="AN296:AN298" si="279">AM296-AK296</f>
        <v>0</v>
      </c>
      <c r="AO296" s="39"/>
      <c r="AP296" s="39"/>
      <c r="AQ296" s="39"/>
      <c r="AR296" s="39"/>
      <c r="AS296" s="39"/>
      <c r="AT296" s="39">
        <f t="shared" ref="AT296:AT298" si="280">AS296-AQ296</f>
        <v>0</v>
      </c>
      <c r="AU296" s="39"/>
      <c r="AV296" s="39"/>
      <c r="AW296" s="39"/>
      <c r="AX296" s="39"/>
      <c r="AY296" s="39"/>
      <c r="AZ296" s="39">
        <f t="shared" ref="AZ296:AZ298" si="281">AY296-AW296</f>
        <v>0</v>
      </c>
      <c r="BA296" s="39"/>
      <c r="BB296" s="39"/>
      <c r="BC296" s="39"/>
      <c r="BD296" s="39"/>
      <c r="BE296" s="39"/>
      <c r="BF296" s="39">
        <f t="shared" ref="BF296:BF298" si="282">BE296-BC296</f>
        <v>0</v>
      </c>
      <c r="BG296" s="39"/>
      <c r="BH296" s="39"/>
      <c r="BI296" s="39"/>
      <c r="BJ296" s="39"/>
      <c r="BK296" s="39"/>
      <c r="BL296" s="39">
        <f t="shared" ref="BL296:BL298" si="283">BK296-BI296</f>
        <v>0</v>
      </c>
      <c r="BM296" s="54" t="str">
        <f t="shared" ref="BM296:BM298" si="284">IF((BZ296/L296)&lt;0.9,$CO$1-U296,"")</f>
        <v/>
      </c>
      <c r="BN296" s="60">
        <v>46195</v>
      </c>
      <c r="BO296" s="57">
        <v>46205</v>
      </c>
      <c r="BP296" s="36"/>
      <c r="BQ296" s="36"/>
      <c r="BR296" s="232"/>
      <c r="BS296" s="232"/>
      <c r="BT296" s="39" t="s">
        <v>1347</v>
      </c>
      <c r="BU296" s="39">
        <f>150+56</f>
        <v>206</v>
      </c>
      <c r="BV296" s="39">
        <v>2126</v>
      </c>
      <c r="BW296" s="39">
        <v>14</v>
      </c>
      <c r="BX296" s="39"/>
      <c r="BY296" s="39"/>
      <c r="BZ296" s="39">
        <f t="shared" si="10"/>
        <v>220</v>
      </c>
      <c r="CA296" s="39">
        <f t="shared" si="11"/>
        <v>3</v>
      </c>
      <c r="CB296" s="39">
        <f t="shared" si="12"/>
        <v>1</v>
      </c>
      <c r="CC296" s="39">
        <f t="shared" si="13"/>
        <v>0</v>
      </c>
      <c r="CD296" s="39">
        <f t="shared" si="14"/>
        <v>0</v>
      </c>
      <c r="CE296" s="47">
        <f t="shared" si="15"/>
        <v>0</v>
      </c>
      <c r="CF296" s="36" t="s">
        <v>292</v>
      </c>
      <c r="CG296" s="39" t="s">
        <v>281</v>
      </c>
      <c r="CH296" s="39" t="s">
        <v>1197</v>
      </c>
      <c r="CI296" s="25">
        <v>3</v>
      </c>
    </row>
    <row r="297" spans="1:87" ht="24.75" customHeight="1">
      <c r="A297" s="36" t="s">
        <v>50</v>
      </c>
      <c r="B297" s="26" t="s">
        <v>960</v>
      </c>
      <c r="C297" s="231"/>
      <c r="D297" s="36"/>
      <c r="E297" s="39">
        <v>200</v>
      </c>
      <c r="F297" s="39" t="s">
        <v>60</v>
      </c>
      <c r="G297" s="36" t="s">
        <v>368</v>
      </c>
      <c r="H297" s="39" t="s">
        <v>89</v>
      </c>
      <c r="I297" s="39">
        <v>170</v>
      </c>
      <c r="J297" s="39">
        <v>11</v>
      </c>
      <c r="K297" s="39"/>
      <c r="L297" s="39">
        <f t="shared" ref="L297:L303" si="285">SUM(I297:K297)</f>
        <v>181</v>
      </c>
      <c r="M297" s="117">
        <v>46188</v>
      </c>
      <c r="N297" s="117">
        <v>46195</v>
      </c>
      <c r="O297" s="39"/>
      <c r="P297" s="39"/>
      <c r="Q297" s="39"/>
      <c r="R297" s="39">
        <f t="shared" si="276"/>
        <v>0</v>
      </c>
      <c r="S297" s="39" t="s">
        <v>31</v>
      </c>
      <c r="T297" s="39"/>
      <c r="U297" s="39"/>
      <c r="V297" s="117">
        <v>46193</v>
      </c>
      <c r="W297" s="39">
        <f>189+13</f>
        <v>202</v>
      </c>
      <c r="X297" s="117">
        <v>46203</v>
      </c>
      <c r="Y297" s="39">
        <v>184</v>
      </c>
      <c r="Z297" s="39">
        <v>12</v>
      </c>
      <c r="AA297" s="39"/>
      <c r="AB297" s="119">
        <f t="shared" si="277"/>
        <v>196</v>
      </c>
      <c r="AC297" s="39"/>
      <c r="AD297" s="39"/>
      <c r="AE297" s="39"/>
      <c r="AF297" s="39"/>
      <c r="AG297" s="39"/>
      <c r="AH297" s="39">
        <f t="shared" si="278"/>
        <v>0</v>
      </c>
      <c r="AI297" s="39"/>
      <c r="AJ297" s="39"/>
      <c r="AK297" s="39"/>
      <c r="AL297" s="39"/>
      <c r="AM297" s="39"/>
      <c r="AN297" s="39">
        <f t="shared" si="279"/>
        <v>0</v>
      </c>
      <c r="AO297" s="39"/>
      <c r="AP297" s="39"/>
      <c r="AQ297" s="39"/>
      <c r="AR297" s="39"/>
      <c r="AS297" s="39"/>
      <c r="AT297" s="39">
        <f t="shared" si="280"/>
        <v>0</v>
      </c>
      <c r="AU297" s="39"/>
      <c r="AV297" s="39"/>
      <c r="AW297" s="39"/>
      <c r="AX297" s="39"/>
      <c r="AY297" s="39"/>
      <c r="AZ297" s="39">
        <f t="shared" si="281"/>
        <v>0</v>
      </c>
      <c r="BA297" s="39"/>
      <c r="BB297" s="39"/>
      <c r="BC297" s="39"/>
      <c r="BD297" s="39"/>
      <c r="BE297" s="39"/>
      <c r="BF297" s="39">
        <f t="shared" si="282"/>
        <v>0</v>
      </c>
      <c r="BG297" s="39"/>
      <c r="BH297" s="39"/>
      <c r="BI297" s="39"/>
      <c r="BJ297" s="39"/>
      <c r="BK297" s="39"/>
      <c r="BL297" s="39">
        <f t="shared" si="283"/>
        <v>0</v>
      </c>
      <c r="BM297" s="54" t="str">
        <f t="shared" si="284"/>
        <v/>
      </c>
      <c r="BN297" s="60">
        <v>46195</v>
      </c>
      <c r="BO297" s="57">
        <v>46205</v>
      </c>
      <c r="BP297" s="36"/>
      <c r="BQ297" s="36"/>
      <c r="BR297" s="232"/>
      <c r="BS297" s="232"/>
      <c r="BT297" s="39">
        <v>1762</v>
      </c>
      <c r="BU297" s="39">
        <v>184</v>
      </c>
      <c r="BV297" s="39">
        <v>1762</v>
      </c>
      <c r="BW297" s="39">
        <v>12</v>
      </c>
      <c r="BX297" s="39"/>
      <c r="BY297" s="39"/>
      <c r="BZ297" s="39">
        <f t="shared" ref="BZ297:BZ303" si="286">BU297+BW297+BY297</f>
        <v>196</v>
      </c>
      <c r="CA297" s="39">
        <f t="shared" ref="CA297:CA303" si="287">BU297-I297</f>
        <v>14</v>
      </c>
      <c r="CB297" s="39">
        <f t="shared" ref="CB297:CB303" si="288">BW297-J297</f>
        <v>1</v>
      </c>
      <c r="CC297" s="39">
        <f t="shared" ref="CC297:CC303" si="289">BY297-K297</f>
        <v>0</v>
      </c>
      <c r="CD297" s="39">
        <f t="shared" ref="CD297:CD303" si="290">SUMIF(CA297:CC297,"&lt;0")</f>
        <v>0</v>
      </c>
      <c r="CE297" s="47">
        <f t="shared" ref="CE297:CE303" si="291">CD297/L297</f>
        <v>0</v>
      </c>
      <c r="CF297" s="36" t="s">
        <v>292</v>
      </c>
      <c r="CG297" s="39" t="s">
        <v>281</v>
      </c>
      <c r="CH297" s="39"/>
      <c r="CI297" s="25">
        <v>3</v>
      </c>
    </row>
    <row r="298" spans="1:87" ht="24.75" customHeight="1">
      <c r="A298" s="36" t="s">
        <v>50</v>
      </c>
      <c r="B298" s="26" t="s">
        <v>960</v>
      </c>
      <c r="C298" s="228"/>
      <c r="D298" s="36"/>
      <c r="E298" s="39">
        <v>200</v>
      </c>
      <c r="F298" s="39" t="s">
        <v>60</v>
      </c>
      <c r="G298" s="36" t="s">
        <v>310</v>
      </c>
      <c r="H298" s="39" t="s">
        <v>89</v>
      </c>
      <c r="I298" s="39">
        <v>203</v>
      </c>
      <c r="J298" s="39">
        <v>13</v>
      </c>
      <c r="K298" s="39"/>
      <c r="L298" s="39">
        <f t="shared" si="285"/>
        <v>216</v>
      </c>
      <c r="M298" s="117">
        <v>46188</v>
      </c>
      <c r="N298" s="117">
        <v>46195</v>
      </c>
      <c r="O298" s="39"/>
      <c r="P298" s="39"/>
      <c r="Q298" s="39"/>
      <c r="R298" s="39">
        <f t="shared" si="276"/>
        <v>0</v>
      </c>
      <c r="S298" s="39" t="s">
        <v>326</v>
      </c>
      <c r="T298" s="39"/>
      <c r="U298" s="39"/>
      <c r="V298" s="117">
        <v>46186</v>
      </c>
      <c r="W298" s="39">
        <f>321+15</f>
        <v>336</v>
      </c>
      <c r="X298" s="117">
        <v>46197</v>
      </c>
      <c r="Y298" s="39">
        <v>203</v>
      </c>
      <c r="Z298" s="39">
        <v>14</v>
      </c>
      <c r="AA298" s="39"/>
      <c r="AB298" s="119">
        <f t="shared" si="277"/>
        <v>217</v>
      </c>
      <c r="AC298" s="39"/>
      <c r="AD298" s="39"/>
      <c r="AE298" s="39"/>
      <c r="AF298" s="39"/>
      <c r="AG298" s="39"/>
      <c r="AH298" s="39">
        <f t="shared" si="278"/>
        <v>0</v>
      </c>
      <c r="AI298" s="39"/>
      <c r="AJ298" s="39"/>
      <c r="AK298" s="39"/>
      <c r="AL298" s="39"/>
      <c r="AM298" s="39"/>
      <c r="AN298" s="39">
        <f t="shared" si="279"/>
        <v>0</v>
      </c>
      <c r="AO298" s="39"/>
      <c r="AP298" s="39"/>
      <c r="AQ298" s="39"/>
      <c r="AR298" s="39"/>
      <c r="AS298" s="39"/>
      <c r="AT298" s="39">
        <f t="shared" si="280"/>
        <v>0</v>
      </c>
      <c r="AU298" s="39"/>
      <c r="AV298" s="39"/>
      <c r="AW298" s="39"/>
      <c r="AX298" s="39"/>
      <c r="AY298" s="39"/>
      <c r="AZ298" s="39">
        <f t="shared" si="281"/>
        <v>0</v>
      </c>
      <c r="BA298" s="39"/>
      <c r="BB298" s="39"/>
      <c r="BC298" s="39"/>
      <c r="BD298" s="39"/>
      <c r="BE298" s="39"/>
      <c r="BF298" s="39">
        <f t="shared" si="282"/>
        <v>0</v>
      </c>
      <c r="BG298" s="39"/>
      <c r="BH298" s="39"/>
      <c r="BI298" s="39"/>
      <c r="BJ298" s="39"/>
      <c r="BK298" s="39"/>
      <c r="BL298" s="39">
        <f t="shared" si="283"/>
        <v>0</v>
      </c>
      <c r="BM298" s="54" t="str">
        <f t="shared" si="284"/>
        <v/>
      </c>
      <c r="BN298" s="60">
        <v>46195</v>
      </c>
      <c r="BO298" s="57">
        <v>46205</v>
      </c>
      <c r="BP298" s="36"/>
      <c r="BQ298" s="36"/>
      <c r="BR298" s="230"/>
      <c r="BS298" s="230"/>
      <c r="BT298" s="39">
        <v>1759</v>
      </c>
      <c r="BU298" s="39">
        <v>203</v>
      </c>
      <c r="BV298" s="39">
        <v>1512</v>
      </c>
      <c r="BW298" s="39">
        <v>14</v>
      </c>
      <c r="BX298" s="39"/>
      <c r="BY298" s="39"/>
      <c r="BZ298" s="39">
        <f t="shared" si="286"/>
        <v>217</v>
      </c>
      <c r="CA298" s="39">
        <f t="shared" si="287"/>
        <v>0</v>
      </c>
      <c r="CB298" s="39">
        <f t="shared" si="288"/>
        <v>1</v>
      </c>
      <c r="CC298" s="39">
        <f t="shared" si="289"/>
        <v>0</v>
      </c>
      <c r="CD298" s="39">
        <f t="shared" si="290"/>
        <v>0</v>
      </c>
      <c r="CE298" s="47">
        <f t="shared" si="291"/>
        <v>0</v>
      </c>
      <c r="CF298" s="36" t="s">
        <v>292</v>
      </c>
      <c r="CG298" s="39" t="s">
        <v>281</v>
      </c>
      <c r="CH298" s="39"/>
      <c r="CI298" s="25">
        <v>3</v>
      </c>
    </row>
    <row r="299" spans="1:87" ht="31.5" customHeight="1">
      <c r="A299" s="36" t="s">
        <v>50</v>
      </c>
      <c r="B299" s="26" t="s">
        <v>961</v>
      </c>
      <c r="C299" s="36">
        <v>13197665</v>
      </c>
      <c r="D299" s="36"/>
      <c r="E299" s="39">
        <v>250</v>
      </c>
      <c r="F299" s="39" t="s">
        <v>55</v>
      </c>
      <c r="G299" s="36" t="s">
        <v>322</v>
      </c>
      <c r="H299" s="36" t="s">
        <v>206</v>
      </c>
      <c r="I299" s="39">
        <v>357</v>
      </c>
      <c r="J299" s="39">
        <v>70</v>
      </c>
      <c r="K299" s="39">
        <v>42</v>
      </c>
      <c r="L299" s="39">
        <f t="shared" si="285"/>
        <v>469</v>
      </c>
      <c r="M299" s="117">
        <v>46188</v>
      </c>
      <c r="N299" s="117">
        <v>46193</v>
      </c>
      <c r="O299" s="39"/>
      <c r="P299" s="39"/>
      <c r="Q299" s="39"/>
      <c r="R299" s="39">
        <f t="shared" ref="R299:R303" si="292">SUM(O299:Q299)</f>
        <v>0</v>
      </c>
      <c r="S299" s="39" t="s">
        <v>326</v>
      </c>
      <c r="T299" s="39"/>
      <c r="U299" s="39"/>
      <c r="V299" s="117">
        <v>46204</v>
      </c>
      <c r="W299" s="39">
        <f>384+82+48</f>
        <v>514</v>
      </c>
      <c r="X299" s="117" t="s">
        <v>1553</v>
      </c>
      <c r="Y299" s="39">
        <f>352</f>
        <v>352</v>
      </c>
      <c r="Z299" s="39">
        <f>63+14</f>
        <v>77</v>
      </c>
      <c r="AA299" s="39">
        <v>44</v>
      </c>
      <c r="AB299" s="120">
        <f t="shared" ref="AB299:AB303" si="293">SUM(Y299:AA299)</f>
        <v>473</v>
      </c>
      <c r="AC299" s="39"/>
      <c r="AD299" s="39"/>
      <c r="AE299" s="39"/>
      <c r="AF299" s="39"/>
      <c r="AG299" s="39"/>
      <c r="AH299" s="39">
        <f t="shared" ref="AH299:AH303" si="294">AG299-AE299</f>
        <v>0</v>
      </c>
      <c r="AI299" s="39"/>
      <c r="AJ299" s="39"/>
      <c r="AK299" s="39"/>
      <c r="AL299" s="39"/>
      <c r="AM299" s="39"/>
      <c r="AN299" s="39">
        <f t="shared" ref="AN299:AN303" si="295">AM299-AK299</f>
        <v>0</v>
      </c>
      <c r="AO299" s="39"/>
      <c r="AP299" s="39"/>
      <c r="AQ299" s="39"/>
      <c r="AR299" s="39"/>
      <c r="AS299" s="39"/>
      <c r="AT299" s="39">
        <f t="shared" ref="AT299:AT303" si="296">AS299-AQ299</f>
        <v>0</v>
      </c>
      <c r="AU299" s="39"/>
      <c r="AV299" s="39"/>
      <c r="AW299" s="39"/>
      <c r="AX299" s="39"/>
      <c r="AY299" s="39"/>
      <c r="AZ299" s="39">
        <f t="shared" ref="AZ299:AZ303" si="297">AY299-AW299</f>
        <v>0</v>
      </c>
      <c r="BA299" s="39"/>
      <c r="BB299" s="39"/>
      <c r="BC299" s="39"/>
      <c r="BD299" s="39"/>
      <c r="BE299" s="39"/>
      <c r="BF299" s="39">
        <f t="shared" ref="BF299:BF303" si="298">BE299-BC299</f>
        <v>0</v>
      </c>
      <c r="BG299" s="39"/>
      <c r="BH299" s="39"/>
      <c r="BI299" s="39"/>
      <c r="BJ299" s="39"/>
      <c r="BK299" s="39"/>
      <c r="BL299" s="39">
        <f t="shared" ref="BL299:BL303" si="299">BK299-BI299</f>
        <v>0</v>
      </c>
      <c r="BM299" s="54" t="str">
        <f t="shared" ref="BM299:BM303" si="300">IF((BZ299/L299)&lt;0.9,$CO$1-U299,"")</f>
        <v/>
      </c>
      <c r="BN299" s="60">
        <v>46197</v>
      </c>
      <c r="BO299" s="57">
        <v>46207</v>
      </c>
      <c r="BP299" s="36"/>
      <c r="BQ299" s="36"/>
      <c r="BR299" s="50">
        <v>46214</v>
      </c>
      <c r="BS299" s="50">
        <v>46216</v>
      </c>
      <c r="BT299" s="39">
        <v>1528</v>
      </c>
      <c r="BU299" s="39">
        <f>352</f>
        <v>352</v>
      </c>
      <c r="BV299" s="39" t="s">
        <v>1580</v>
      </c>
      <c r="BW299" s="39">
        <f>63+14</f>
        <v>77</v>
      </c>
      <c r="BX299" s="39">
        <v>1528</v>
      </c>
      <c r="BY299" s="39">
        <v>44</v>
      </c>
      <c r="BZ299" s="39">
        <f t="shared" si="286"/>
        <v>473</v>
      </c>
      <c r="CA299" s="39">
        <f t="shared" si="287"/>
        <v>-5</v>
      </c>
      <c r="CB299" s="39">
        <f t="shared" si="288"/>
        <v>7</v>
      </c>
      <c r="CC299" s="39">
        <f t="shared" si="289"/>
        <v>2</v>
      </c>
      <c r="CD299" s="39">
        <v>0</v>
      </c>
      <c r="CE299" s="47">
        <f t="shared" si="291"/>
        <v>0</v>
      </c>
      <c r="CF299" s="36" t="s">
        <v>292</v>
      </c>
      <c r="CG299" s="39" t="s">
        <v>281</v>
      </c>
      <c r="CH299" s="39"/>
      <c r="CI299" s="25">
        <v>3</v>
      </c>
    </row>
    <row r="300" spans="1:87" ht="32.25" customHeight="1">
      <c r="A300" s="36" t="s">
        <v>50</v>
      </c>
      <c r="B300" s="26">
        <v>47946</v>
      </c>
      <c r="C300" s="36">
        <v>13264455</v>
      </c>
      <c r="D300" s="36" t="s">
        <v>45</v>
      </c>
      <c r="E300" s="39">
        <v>260</v>
      </c>
      <c r="F300" s="39" t="s">
        <v>53</v>
      </c>
      <c r="G300" s="36" t="s">
        <v>201</v>
      </c>
      <c r="H300" s="39" t="s">
        <v>196</v>
      </c>
      <c r="I300" s="39">
        <v>651</v>
      </c>
      <c r="J300" s="39"/>
      <c r="K300" s="39"/>
      <c r="L300" s="39">
        <f t="shared" ref="L300" si="301">SUM(I300:K300)</f>
        <v>651</v>
      </c>
      <c r="M300" s="117">
        <v>46193</v>
      </c>
      <c r="N300" s="117">
        <v>46198</v>
      </c>
      <c r="O300" s="39"/>
      <c r="P300" s="39"/>
      <c r="Q300" s="39"/>
      <c r="R300" s="39">
        <f t="shared" ref="R300" si="302">SUM(O300:Q300)</f>
        <v>0</v>
      </c>
      <c r="S300" s="39" t="s">
        <v>130</v>
      </c>
      <c r="T300" s="39" t="s">
        <v>1820</v>
      </c>
      <c r="U300" s="117" t="s">
        <v>1821</v>
      </c>
      <c r="V300" s="39"/>
      <c r="W300" s="39"/>
      <c r="X300" s="39"/>
      <c r="Y300" s="39">
        <f>745+33</f>
        <v>778</v>
      </c>
      <c r="Z300" s="39"/>
      <c r="AA300" s="39"/>
      <c r="AB300" s="119">
        <f t="shared" si="293"/>
        <v>778</v>
      </c>
      <c r="AC300" s="39"/>
      <c r="AD300" s="39"/>
      <c r="AE300" s="39"/>
      <c r="AF300" s="39"/>
      <c r="AG300" s="39"/>
      <c r="AH300" s="39">
        <f t="shared" si="294"/>
        <v>0</v>
      </c>
      <c r="AI300" s="39"/>
      <c r="AJ300" s="39"/>
      <c r="AK300" s="39"/>
      <c r="AL300" s="39"/>
      <c r="AM300" s="39"/>
      <c r="AN300" s="39">
        <f t="shared" si="295"/>
        <v>0</v>
      </c>
      <c r="AO300" s="39" t="s">
        <v>280</v>
      </c>
      <c r="AP300" s="117" t="s">
        <v>1812</v>
      </c>
      <c r="AQ300" s="39">
        <f>636+41+29</f>
        <v>706</v>
      </c>
      <c r="AR300" s="117" t="s">
        <v>1815</v>
      </c>
      <c r="AS300" s="39">
        <f>659+27</f>
        <v>686</v>
      </c>
      <c r="AT300" s="39">
        <f t="shared" si="296"/>
        <v>-20</v>
      </c>
      <c r="AU300" s="39" t="s">
        <v>274</v>
      </c>
      <c r="AV300" s="117" t="s">
        <v>1815</v>
      </c>
      <c r="AW300" s="39">
        <f>659+27</f>
        <v>686</v>
      </c>
      <c r="AX300" s="117" t="s">
        <v>1817</v>
      </c>
      <c r="AY300" s="39">
        <f>649+26</f>
        <v>675</v>
      </c>
      <c r="AZ300" s="39">
        <f t="shared" si="297"/>
        <v>-11</v>
      </c>
      <c r="BA300" s="39"/>
      <c r="BB300" s="39"/>
      <c r="BC300" s="39"/>
      <c r="BD300" s="39"/>
      <c r="BE300" s="39"/>
      <c r="BF300" s="39">
        <f t="shared" si="298"/>
        <v>0</v>
      </c>
      <c r="BG300" s="39"/>
      <c r="BH300" s="39"/>
      <c r="BI300" s="39"/>
      <c r="BJ300" s="39"/>
      <c r="BK300" s="39"/>
      <c r="BL300" s="39">
        <f t="shared" si="299"/>
        <v>0</v>
      </c>
      <c r="BM300" s="54" t="str">
        <f t="shared" si="300"/>
        <v/>
      </c>
      <c r="BN300" s="60">
        <v>46200</v>
      </c>
      <c r="BO300" s="57">
        <v>46207</v>
      </c>
      <c r="BP300" s="36"/>
      <c r="BQ300" s="36"/>
      <c r="BR300" s="50">
        <v>46216</v>
      </c>
      <c r="BS300" s="50">
        <v>46216</v>
      </c>
      <c r="BT300" s="39" t="s">
        <v>1830</v>
      </c>
      <c r="BU300" s="39">
        <f>650+25</f>
        <v>675</v>
      </c>
      <c r="BV300" s="39"/>
      <c r="BW300" s="39"/>
      <c r="BX300" s="39"/>
      <c r="BY300" s="39"/>
      <c r="BZ300" s="39">
        <f t="shared" si="286"/>
        <v>675</v>
      </c>
      <c r="CA300" s="39">
        <f t="shared" si="287"/>
        <v>24</v>
      </c>
      <c r="CB300" s="39">
        <f t="shared" si="288"/>
        <v>0</v>
      </c>
      <c r="CC300" s="39">
        <f t="shared" si="289"/>
        <v>0</v>
      </c>
      <c r="CD300" s="39">
        <v>0</v>
      </c>
      <c r="CE300" s="102">
        <f t="shared" si="291"/>
        <v>0</v>
      </c>
      <c r="CF300" s="36" t="s">
        <v>293</v>
      </c>
      <c r="CG300" s="39" t="s">
        <v>227</v>
      </c>
      <c r="CH300" s="39"/>
      <c r="CI300" s="25">
        <v>3</v>
      </c>
    </row>
    <row r="301" spans="1:87" ht="33.75" customHeight="1">
      <c r="A301" s="36" t="s">
        <v>50</v>
      </c>
      <c r="B301" s="26">
        <v>47230</v>
      </c>
      <c r="C301" s="36" t="s">
        <v>1147</v>
      </c>
      <c r="D301" s="36" t="s">
        <v>45</v>
      </c>
      <c r="E301" s="39">
        <v>260</v>
      </c>
      <c r="F301" s="39" t="s">
        <v>53</v>
      </c>
      <c r="G301" s="36" t="s">
        <v>397</v>
      </c>
      <c r="H301" s="36" t="s">
        <v>406</v>
      </c>
      <c r="I301" s="39">
        <v>299</v>
      </c>
      <c r="J301" s="39">
        <v>50</v>
      </c>
      <c r="K301" s="39">
        <v>29</v>
      </c>
      <c r="L301" s="39">
        <f t="shared" ref="L301" si="303">SUM(I301:K301)</f>
        <v>378</v>
      </c>
      <c r="M301" s="117">
        <v>46198</v>
      </c>
      <c r="N301" s="117">
        <v>46200</v>
      </c>
      <c r="O301" s="39"/>
      <c r="P301" s="39"/>
      <c r="Q301" s="39"/>
      <c r="R301" s="39">
        <f t="shared" ref="R301" si="304">SUM(O301:Q301)</f>
        <v>0</v>
      </c>
      <c r="S301" s="39" t="s">
        <v>130</v>
      </c>
      <c r="T301" s="39">
        <v>107363</v>
      </c>
      <c r="U301" s="117">
        <v>46202</v>
      </c>
      <c r="V301" s="39"/>
      <c r="W301" s="39"/>
      <c r="X301" s="39"/>
      <c r="Y301" s="39">
        <v>349</v>
      </c>
      <c r="Z301" s="39">
        <v>59</v>
      </c>
      <c r="AA301" s="39">
        <v>35</v>
      </c>
      <c r="AB301" s="119">
        <f t="shared" si="293"/>
        <v>443</v>
      </c>
      <c r="AC301" s="39"/>
      <c r="AD301" s="39"/>
      <c r="AE301" s="39"/>
      <c r="AF301" s="39"/>
      <c r="AG301" s="39"/>
      <c r="AH301" s="39">
        <f t="shared" si="294"/>
        <v>0</v>
      </c>
      <c r="AI301" s="39"/>
      <c r="AJ301" s="39"/>
      <c r="AK301" s="39"/>
      <c r="AL301" s="39"/>
      <c r="AM301" s="39"/>
      <c r="AN301" s="39">
        <f t="shared" si="295"/>
        <v>0</v>
      </c>
      <c r="AO301" s="39" t="s">
        <v>280</v>
      </c>
      <c r="AP301" s="117">
        <v>46204</v>
      </c>
      <c r="AQ301" s="39">
        <v>321</v>
      </c>
      <c r="AR301" s="117">
        <v>46205</v>
      </c>
      <c r="AS301" s="39">
        <v>323</v>
      </c>
      <c r="AT301" s="39">
        <f t="shared" si="296"/>
        <v>2</v>
      </c>
      <c r="AU301" s="39" t="s">
        <v>256</v>
      </c>
      <c r="AV301" s="117">
        <v>46205</v>
      </c>
      <c r="AW301" s="39">
        <v>323</v>
      </c>
      <c r="AX301" s="117">
        <v>46205</v>
      </c>
      <c r="AY301" s="39">
        <v>323</v>
      </c>
      <c r="AZ301" s="39">
        <f t="shared" si="297"/>
        <v>0</v>
      </c>
      <c r="BA301" s="39"/>
      <c r="BB301" s="39"/>
      <c r="BC301" s="39"/>
      <c r="BD301" s="39"/>
      <c r="BE301" s="39"/>
      <c r="BF301" s="39">
        <f t="shared" si="298"/>
        <v>0</v>
      </c>
      <c r="BG301" s="39"/>
      <c r="BH301" s="39"/>
      <c r="BI301" s="39"/>
      <c r="BJ301" s="39"/>
      <c r="BK301" s="39"/>
      <c r="BL301" s="39">
        <f t="shared" si="299"/>
        <v>0</v>
      </c>
      <c r="BM301" s="54" t="str">
        <f t="shared" si="300"/>
        <v/>
      </c>
      <c r="BN301" s="60">
        <v>46202</v>
      </c>
      <c r="BO301" s="57">
        <v>46204</v>
      </c>
      <c r="BP301" s="36"/>
      <c r="BQ301" s="36"/>
      <c r="BR301" s="50">
        <v>46207</v>
      </c>
      <c r="BS301" s="50">
        <v>46209</v>
      </c>
      <c r="BT301" s="39">
        <v>2014</v>
      </c>
      <c r="BU301" s="39">
        <v>308</v>
      </c>
      <c r="BV301" s="39">
        <v>1570</v>
      </c>
      <c r="BW301" s="39">
        <v>55</v>
      </c>
      <c r="BX301" s="39">
        <v>1570</v>
      </c>
      <c r="BY301" s="39">
        <v>31</v>
      </c>
      <c r="BZ301" s="39">
        <f t="shared" si="286"/>
        <v>394</v>
      </c>
      <c r="CA301" s="39">
        <f t="shared" si="287"/>
        <v>9</v>
      </c>
      <c r="CB301" s="39">
        <f t="shared" si="288"/>
        <v>5</v>
      </c>
      <c r="CC301" s="39">
        <f t="shared" si="289"/>
        <v>2</v>
      </c>
      <c r="CD301" s="39">
        <f t="shared" si="290"/>
        <v>0</v>
      </c>
      <c r="CE301" s="102">
        <f t="shared" si="291"/>
        <v>0</v>
      </c>
      <c r="CF301" s="36" t="s">
        <v>293</v>
      </c>
      <c r="CG301" s="39" t="s">
        <v>227</v>
      </c>
      <c r="CH301" s="39"/>
      <c r="CI301" s="25">
        <v>3</v>
      </c>
    </row>
    <row r="302" spans="1:87" ht="24.75" customHeight="1">
      <c r="A302" s="36" t="s">
        <v>50</v>
      </c>
      <c r="B302" s="26"/>
      <c r="C302" s="36"/>
      <c r="D302" s="36"/>
      <c r="E302" s="39"/>
      <c r="F302" s="39"/>
      <c r="G302" s="36"/>
      <c r="H302" s="39"/>
      <c r="I302" s="39"/>
      <c r="J302" s="39"/>
      <c r="K302" s="39"/>
      <c r="L302" s="39">
        <f t="shared" si="285"/>
        <v>0</v>
      </c>
      <c r="M302" s="39"/>
      <c r="N302" s="39"/>
      <c r="O302" s="39"/>
      <c r="P302" s="39"/>
      <c r="Q302" s="39"/>
      <c r="R302" s="39">
        <f t="shared" si="292"/>
        <v>0</v>
      </c>
      <c r="S302" s="39"/>
      <c r="T302" s="39"/>
      <c r="U302" s="39"/>
      <c r="V302" s="39"/>
      <c r="W302" s="39"/>
      <c r="X302" s="39"/>
      <c r="Y302" s="39"/>
      <c r="Z302" s="39"/>
      <c r="AA302" s="39"/>
      <c r="AB302" s="39">
        <f t="shared" si="293"/>
        <v>0</v>
      </c>
      <c r="AC302" s="39"/>
      <c r="AD302" s="39"/>
      <c r="AE302" s="39"/>
      <c r="AF302" s="39"/>
      <c r="AG302" s="39"/>
      <c r="AH302" s="39">
        <f t="shared" si="294"/>
        <v>0</v>
      </c>
      <c r="AI302" s="39"/>
      <c r="AJ302" s="39"/>
      <c r="AK302" s="39"/>
      <c r="AL302" s="39"/>
      <c r="AM302" s="39"/>
      <c r="AN302" s="39">
        <f t="shared" si="295"/>
        <v>0</v>
      </c>
      <c r="AO302" s="39"/>
      <c r="AP302" s="39"/>
      <c r="AQ302" s="39"/>
      <c r="AR302" s="39"/>
      <c r="AS302" s="39"/>
      <c r="AT302" s="39">
        <f t="shared" si="296"/>
        <v>0</v>
      </c>
      <c r="AU302" s="39"/>
      <c r="AV302" s="39"/>
      <c r="AW302" s="39"/>
      <c r="AX302" s="39"/>
      <c r="AY302" s="39"/>
      <c r="AZ302" s="39">
        <f t="shared" si="297"/>
        <v>0</v>
      </c>
      <c r="BA302" s="39"/>
      <c r="BB302" s="39"/>
      <c r="BC302" s="39"/>
      <c r="BD302" s="39"/>
      <c r="BE302" s="39"/>
      <c r="BF302" s="39">
        <f t="shared" si="298"/>
        <v>0</v>
      </c>
      <c r="BG302" s="39"/>
      <c r="BH302" s="39"/>
      <c r="BI302" s="39"/>
      <c r="BJ302" s="39"/>
      <c r="BK302" s="39"/>
      <c r="BL302" s="39">
        <f t="shared" si="299"/>
        <v>0</v>
      </c>
      <c r="BM302" s="54" t="e">
        <f t="shared" si="300"/>
        <v>#DIV/0!</v>
      </c>
      <c r="BN302" s="61"/>
      <c r="BO302" s="36"/>
      <c r="BP302" s="36"/>
      <c r="BQ302" s="36"/>
      <c r="BR302" s="40"/>
      <c r="BS302" s="40"/>
      <c r="BT302" s="39"/>
      <c r="BU302" s="39"/>
      <c r="BV302" s="39"/>
      <c r="BW302" s="39"/>
      <c r="BX302" s="39"/>
      <c r="BY302" s="39"/>
      <c r="BZ302" s="39">
        <f t="shared" si="286"/>
        <v>0</v>
      </c>
      <c r="CA302" s="39">
        <f t="shared" si="287"/>
        <v>0</v>
      </c>
      <c r="CB302" s="39">
        <f t="shared" si="288"/>
        <v>0</v>
      </c>
      <c r="CC302" s="39">
        <f t="shared" si="289"/>
        <v>0</v>
      </c>
      <c r="CD302" s="39">
        <f t="shared" si="290"/>
        <v>0</v>
      </c>
      <c r="CE302" s="47" t="e">
        <f t="shared" si="291"/>
        <v>#DIV/0!</v>
      </c>
      <c r="CF302" s="36"/>
      <c r="CG302" s="39"/>
      <c r="CH302" s="39"/>
      <c r="CI302" s="25">
        <v>3</v>
      </c>
    </row>
    <row r="303" spans="1:87" ht="24.75" customHeight="1">
      <c r="A303" s="36" t="s">
        <v>50</v>
      </c>
      <c r="B303" s="26"/>
      <c r="C303" s="36"/>
      <c r="D303" s="36"/>
      <c r="E303" s="39"/>
      <c r="F303" s="39"/>
      <c r="G303" s="36"/>
      <c r="H303" s="39"/>
      <c r="I303" s="39"/>
      <c r="J303" s="39"/>
      <c r="K303" s="39"/>
      <c r="L303" s="39">
        <f t="shared" si="285"/>
        <v>0</v>
      </c>
      <c r="M303" s="39"/>
      <c r="N303" s="39"/>
      <c r="O303" s="39"/>
      <c r="P303" s="39"/>
      <c r="Q303" s="39"/>
      <c r="R303" s="39">
        <f t="shared" si="292"/>
        <v>0</v>
      </c>
      <c r="S303" s="39"/>
      <c r="T303" s="39"/>
      <c r="U303" s="39"/>
      <c r="V303" s="39"/>
      <c r="W303" s="39"/>
      <c r="X303" s="39"/>
      <c r="Y303" s="39"/>
      <c r="Z303" s="39"/>
      <c r="AA303" s="39"/>
      <c r="AB303" s="39">
        <f t="shared" si="293"/>
        <v>0</v>
      </c>
      <c r="AC303" s="39"/>
      <c r="AD303" s="39"/>
      <c r="AE303" s="39"/>
      <c r="AF303" s="39"/>
      <c r="AG303" s="39"/>
      <c r="AH303" s="39">
        <f t="shared" si="294"/>
        <v>0</v>
      </c>
      <c r="AI303" s="39"/>
      <c r="AJ303" s="39"/>
      <c r="AK303" s="39"/>
      <c r="AL303" s="39"/>
      <c r="AM303" s="39"/>
      <c r="AN303" s="39">
        <f t="shared" si="295"/>
        <v>0</v>
      </c>
      <c r="AO303" s="39"/>
      <c r="AP303" s="39"/>
      <c r="AQ303" s="39"/>
      <c r="AR303" s="39"/>
      <c r="AS303" s="39"/>
      <c r="AT303" s="39">
        <f t="shared" si="296"/>
        <v>0</v>
      </c>
      <c r="AU303" s="39"/>
      <c r="AV303" s="39"/>
      <c r="AW303" s="39"/>
      <c r="AX303" s="39"/>
      <c r="AY303" s="39"/>
      <c r="AZ303" s="39">
        <f t="shared" si="297"/>
        <v>0</v>
      </c>
      <c r="BA303" s="39"/>
      <c r="BB303" s="39"/>
      <c r="BC303" s="39"/>
      <c r="BD303" s="39"/>
      <c r="BE303" s="39"/>
      <c r="BF303" s="39">
        <f t="shared" si="298"/>
        <v>0</v>
      </c>
      <c r="BG303" s="39"/>
      <c r="BH303" s="39"/>
      <c r="BI303" s="39"/>
      <c r="BJ303" s="39"/>
      <c r="BK303" s="39"/>
      <c r="BL303" s="39">
        <f t="shared" si="299"/>
        <v>0</v>
      </c>
      <c r="BM303" s="54" t="e">
        <f t="shared" si="300"/>
        <v>#DIV/0!</v>
      </c>
      <c r="BN303" s="61"/>
      <c r="BO303" s="36"/>
      <c r="BP303" s="36"/>
      <c r="BQ303" s="36"/>
      <c r="BR303" s="40"/>
      <c r="BS303" s="40"/>
      <c r="BT303" s="39"/>
      <c r="BU303" s="39"/>
      <c r="BV303" s="39"/>
      <c r="BW303" s="39"/>
      <c r="BX303" s="39"/>
      <c r="BY303" s="39"/>
      <c r="BZ303" s="39">
        <f t="shared" si="286"/>
        <v>0</v>
      </c>
      <c r="CA303" s="39">
        <f t="shared" si="287"/>
        <v>0</v>
      </c>
      <c r="CB303" s="39">
        <f t="shared" si="288"/>
        <v>0</v>
      </c>
      <c r="CC303" s="39">
        <f t="shared" si="289"/>
        <v>0</v>
      </c>
      <c r="CD303" s="39">
        <f t="shared" si="290"/>
        <v>0</v>
      </c>
      <c r="CE303" s="47" t="e">
        <f t="shared" si="291"/>
        <v>#DIV/0!</v>
      </c>
      <c r="CF303" s="36"/>
      <c r="CG303" s="39"/>
      <c r="CH303" s="39"/>
      <c r="CI303" s="25">
        <v>3</v>
      </c>
    </row>
    <row r="304" spans="1:87" ht="24.75" customHeight="1">
      <c r="A304" s="36" t="s">
        <v>50</v>
      </c>
      <c r="B304" s="26"/>
      <c r="C304" s="36"/>
      <c r="D304" s="36"/>
      <c r="E304" s="39"/>
      <c r="F304" s="39"/>
      <c r="G304" s="36"/>
      <c r="H304" s="39"/>
      <c r="I304" s="39"/>
      <c r="J304" s="39"/>
      <c r="K304" s="39"/>
      <c r="L304" s="39">
        <f t="shared" si="218"/>
        <v>0</v>
      </c>
      <c r="M304" s="39"/>
      <c r="N304" s="39"/>
      <c r="O304" s="39"/>
      <c r="P304" s="39"/>
      <c r="Q304" s="39"/>
      <c r="R304" s="39">
        <f t="shared" si="1"/>
        <v>0</v>
      </c>
      <c r="S304" s="39"/>
      <c r="T304" s="39"/>
      <c r="U304" s="39"/>
      <c r="V304" s="39"/>
      <c r="W304" s="39"/>
      <c r="X304" s="39"/>
      <c r="Y304" s="39"/>
      <c r="Z304" s="39"/>
      <c r="AA304" s="39"/>
      <c r="AB304" s="39">
        <f t="shared" si="2"/>
        <v>0</v>
      </c>
      <c r="AC304" s="39"/>
      <c r="AD304" s="39"/>
      <c r="AE304" s="39"/>
      <c r="AF304" s="39"/>
      <c r="AG304" s="39"/>
      <c r="AH304" s="39">
        <f t="shared" si="3"/>
        <v>0</v>
      </c>
      <c r="AI304" s="39"/>
      <c r="AJ304" s="39"/>
      <c r="AK304" s="39"/>
      <c r="AL304" s="39"/>
      <c r="AM304" s="39"/>
      <c r="AN304" s="39">
        <f t="shared" si="4"/>
        <v>0</v>
      </c>
      <c r="AO304" s="39"/>
      <c r="AP304" s="39"/>
      <c r="AQ304" s="39"/>
      <c r="AR304" s="39"/>
      <c r="AS304" s="39"/>
      <c r="AT304" s="39">
        <f t="shared" si="5"/>
        <v>0</v>
      </c>
      <c r="AU304" s="39"/>
      <c r="AV304" s="39"/>
      <c r="AW304" s="39"/>
      <c r="AX304" s="39"/>
      <c r="AY304" s="39"/>
      <c r="AZ304" s="39">
        <f t="shared" si="6"/>
        <v>0</v>
      </c>
      <c r="BA304" s="39"/>
      <c r="BB304" s="39"/>
      <c r="BC304" s="39"/>
      <c r="BD304" s="39"/>
      <c r="BE304" s="39"/>
      <c r="BF304" s="39">
        <f t="shared" si="7"/>
        <v>0</v>
      </c>
      <c r="BG304" s="39"/>
      <c r="BH304" s="39"/>
      <c r="BI304" s="39"/>
      <c r="BJ304" s="39"/>
      <c r="BK304" s="39"/>
      <c r="BL304" s="39">
        <f t="shared" si="8"/>
        <v>0</v>
      </c>
      <c r="BM304" s="54" t="e">
        <f t="shared" si="9"/>
        <v>#DIV/0!</v>
      </c>
      <c r="BN304" s="61"/>
      <c r="BO304" s="36"/>
      <c r="BP304" s="36"/>
      <c r="BQ304" s="36"/>
      <c r="BR304" s="40"/>
      <c r="BS304" s="40"/>
      <c r="BT304" s="39"/>
      <c r="BU304" s="39"/>
      <c r="BV304" s="39"/>
      <c r="BW304" s="39"/>
      <c r="BX304" s="39"/>
      <c r="BY304" s="39"/>
      <c r="BZ304" s="39">
        <f t="shared" si="10"/>
        <v>0</v>
      </c>
      <c r="CA304" s="39">
        <f t="shared" si="11"/>
        <v>0</v>
      </c>
      <c r="CB304" s="39">
        <f t="shared" si="12"/>
        <v>0</v>
      </c>
      <c r="CC304" s="39">
        <f t="shared" si="13"/>
        <v>0</v>
      </c>
      <c r="CD304" s="39">
        <f t="shared" si="14"/>
        <v>0</v>
      </c>
      <c r="CE304" s="47" t="e">
        <f t="shared" si="15"/>
        <v>#DIV/0!</v>
      </c>
      <c r="CF304" s="36"/>
      <c r="CG304" s="39"/>
      <c r="CH304" s="39"/>
      <c r="CI304" s="25">
        <v>3</v>
      </c>
    </row>
    <row r="305" spans="1:88" ht="24.75" customHeight="1">
      <c r="A305" s="36" t="s">
        <v>50</v>
      </c>
      <c r="B305" s="26"/>
      <c r="C305" s="36"/>
      <c r="D305" s="36"/>
      <c r="E305" s="39"/>
      <c r="F305" s="39"/>
      <c r="G305" s="36"/>
      <c r="H305" s="39"/>
      <c r="I305" s="39"/>
      <c r="J305" s="39"/>
      <c r="K305" s="39"/>
      <c r="L305" s="39">
        <f t="shared" si="218"/>
        <v>0</v>
      </c>
      <c r="M305" s="39"/>
      <c r="N305" s="39"/>
      <c r="O305" s="39"/>
      <c r="P305" s="39"/>
      <c r="Q305" s="39"/>
      <c r="R305" s="39">
        <f t="shared" si="1"/>
        <v>0</v>
      </c>
      <c r="S305" s="39"/>
      <c r="T305" s="39"/>
      <c r="U305" s="39"/>
      <c r="V305" s="39"/>
      <c r="W305" s="39"/>
      <c r="X305" s="39"/>
      <c r="Y305" s="39"/>
      <c r="Z305" s="39"/>
      <c r="AA305" s="39"/>
      <c r="AB305" s="39">
        <f t="shared" si="2"/>
        <v>0</v>
      </c>
      <c r="AC305" s="39"/>
      <c r="AD305" s="39"/>
      <c r="AE305" s="39"/>
      <c r="AF305" s="39"/>
      <c r="AG305" s="39"/>
      <c r="AH305" s="39">
        <f t="shared" si="3"/>
        <v>0</v>
      </c>
      <c r="AI305" s="39"/>
      <c r="AJ305" s="39"/>
      <c r="AK305" s="39"/>
      <c r="AL305" s="39"/>
      <c r="AM305" s="39"/>
      <c r="AN305" s="39">
        <f t="shared" si="4"/>
        <v>0</v>
      </c>
      <c r="AO305" s="39"/>
      <c r="AP305" s="39"/>
      <c r="AQ305" s="39"/>
      <c r="AR305" s="39"/>
      <c r="AS305" s="39"/>
      <c r="AT305" s="39">
        <f t="shared" si="5"/>
        <v>0</v>
      </c>
      <c r="AU305" s="39"/>
      <c r="AV305" s="39"/>
      <c r="AW305" s="39"/>
      <c r="AX305" s="39"/>
      <c r="AY305" s="39"/>
      <c r="AZ305" s="39">
        <f t="shared" si="6"/>
        <v>0</v>
      </c>
      <c r="BA305" s="39"/>
      <c r="BB305" s="39"/>
      <c r="BC305" s="39"/>
      <c r="BD305" s="39"/>
      <c r="BE305" s="39"/>
      <c r="BF305" s="39">
        <f t="shared" si="7"/>
        <v>0</v>
      </c>
      <c r="BG305" s="39"/>
      <c r="BH305" s="39"/>
      <c r="BI305" s="39"/>
      <c r="BJ305" s="39"/>
      <c r="BK305" s="39"/>
      <c r="BL305" s="39">
        <f t="shared" si="8"/>
        <v>0</v>
      </c>
      <c r="BM305" s="54" t="e">
        <f t="shared" si="9"/>
        <v>#DIV/0!</v>
      </c>
      <c r="BN305" s="61"/>
      <c r="BO305" s="36"/>
      <c r="BP305" s="36"/>
      <c r="BQ305" s="36"/>
      <c r="BR305" s="40"/>
      <c r="BS305" s="40"/>
      <c r="BT305" s="39"/>
      <c r="BU305" s="39"/>
      <c r="BV305" s="39"/>
      <c r="BW305" s="39"/>
      <c r="BX305" s="39"/>
      <c r="BY305" s="39"/>
      <c r="BZ305" s="39">
        <f t="shared" si="10"/>
        <v>0</v>
      </c>
      <c r="CA305" s="39">
        <f t="shared" si="11"/>
        <v>0</v>
      </c>
      <c r="CB305" s="39">
        <f t="shared" si="12"/>
        <v>0</v>
      </c>
      <c r="CC305" s="39">
        <f t="shared" si="13"/>
        <v>0</v>
      </c>
      <c r="CD305" s="39">
        <f t="shared" si="14"/>
        <v>0</v>
      </c>
      <c r="CE305" s="47" t="e">
        <f t="shared" si="15"/>
        <v>#DIV/0!</v>
      </c>
      <c r="CF305" s="36"/>
      <c r="CG305" s="39"/>
      <c r="CH305" s="39"/>
      <c r="CI305" s="25">
        <v>3</v>
      </c>
    </row>
    <row r="306" spans="1:88" ht="24.75" customHeight="1">
      <c r="A306" s="36" t="s">
        <v>51</v>
      </c>
      <c r="B306" s="28" t="s">
        <v>712</v>
      </c>
      <c r="C306" s="235" t="s">
        <v>360</v>
      </c>
      <c r="D306" s="36"/>
      <c r="E306" s="39">
        <v>150</v>
      </c>
      <c r="F306" s="39" t="s">
        <v>58</v>
      </c>
      <c r="G306" s="36" t="s">
        <v>347</v>
      </c>
      <c r="H306" s="36" t="s">
        <v>22</v>
      </c>
      <c r="I306" s="39">
        <v>325</v>
      </c>
      <c r="J306" s="39"/>
      <c r="K306" s="39"/>
      <c r="L306" s="39">
        <f t="shared" si="218"/>
        <v>325</v>
      </c>
      <c r="M306" s="117">
        <v>46158</v>
      </c>
      <c r="N306" s="117">
        <v>46164</v>
      </c>
      <c r="O306" s="39"/>
      <c r="P306" s="39"/>
      <c r="Q306" s="39"/>
      <c r="R306" s="39">
        <f t="shared" ref="R306:R309" si="305">SUM(O306:Q306)</f>
        <v>0</v>
      </c>
      <c r="S306" s="39" t="s">
        <v>130</v>
      </c>
      <c r="T306" s="39">
        <v>107053</v>
      </c>
      <c r="U306" s="117">
        <v>46191</v>
      </c>
      <c r="V306" s="39"/>
      <c r="W306" s="39"/>
      <c r="X306" s="39"/>
      <c r="Y306" s="39">
        <v>364</v>
      </c>
      <c r="Z306" s="39"/>
      <c r="AA306" s="39"/>
      <c r="AB306" s="119">
        <f t="shared" ref="AB306:AB315" si="306">SUM(Y306:AA306)</f>
        <v>364</v>
      </c>
      <c r="AC306" s="39"/>
      <c r="AD306" s="39"/>
      <c r="AE306" s="39"/>
      <c r="AF306" s="39"/>
      <c r="AG306" s="39"/>
      <c r="AH306" s="39">
        <f t="shared" ref="AH306:AH315" si="307">AG306-AE306</f>
        <v>0</v>
      </c>
      <c r="AI306" s="39"/>
      <c r="AJ306" s="39"/>
      <c r="AK306" s="39"/>
      <c r="AL306" s="39"/>
      <c r="AM306" s="39"/>
      <c r="AN306" s="39">
        <f t="shared" si="4"/>
        <v>0</v>
      </c>
      <c r="AO306" s="39"/>
      <c r="AP306" s="39"/>
      <c r="AQ306" s="39"/>
      <c r="AR306" s="39"/>
      <c r="AS306" s="39"/>
      <c r="AT306" s="39">
        <f t="shared" ref="AT306:AT315" si="308">AS306-AQ306</f>
        <v>0</v>
      </c>
      <c r="AU306" s="39"/>
      <c r="AV306" s="39"/>
      <c r="AW306" s="39"/>
      <c r="AX306" s="39"/>
      <c r="AY306" s="39"/>
      <c r="AZ306" s="39">
        <f t="shared" ref="AZ306:AZ315" si="309">AY306-AW306</f>
        <v>0</v>
      </c>
      <c r="BA306" s="39"/>
      <c r="BB306" s="39"/>
      <c r="BC306" s="39"/>
      <c r="BD306" s="39"/>
      <c r="BE306" s="39"/>
      <c r="BF306" s="39">
        <f t="shared" ref="BF306:BF315" si="310">BE306-BC306</f>
        <v>0</v>
      </c>
      <c r="BG306" s="39"/>
      <c r="BH306" s="39"/>
      <c r="BI306" s="39"/>
      <c r="BJ306" s="39"/>
      <c r="BK306" s="39"/>
      <c r="BL306" s="39">
        <f t="shared" ref="BL306:BL315" si="311">BK306-BI306</f>
        <v>0</v>
      </c>
      <c r="BM306" s="54" t="str">
        <f t="shared" ref="BM306:BM315" si="312">IF((BZ306/L306)&lt;0.9,$CO$1-U306,"")</f>
        <v/>
      </c>
      <c r="BN306" s="56">
        <v>46179</v>
      </c>
      <c r="BO306" s="117">
        <v>46191</v>
      </c>
      <c r="BP306" s="39"/>
      <c r="BQ306" s="39"/>
      <c r="BR306" s="237">
        <v>46192</v>
      </c>
      <c r="BS306" s="237">
        <v>46204</v>
      </c>
      <c r="BT306" s="39">
        <v>1695</v>
      </c>
      <c r="BU306" s="39">
        <v>331</v>
      </c>
      <c r="BV306" s="39"/>
      <c r="BW306" s="39"/>
      <c r="BX306" s="39"/>
      <c r="BY306" s="39"/>
      <c r="BZ306" s="39">
        <f t="shared" ref="BZ306:BZ315" si="313">BU306+BW306+BY306</f>
        <v>331</v>
      </c>
      <c r="CA306" s="39">
        <f t="shared" si="11"/>
        <v>6</v>
      </c>
      <c r="CB306" s="39">
        <f t="shared" ref="CB306:CB315" si="314">BW306-J306</f>
        <v>0</v>
      </c>
      <c r="CC306" s="39">
        <f t="shared" ref="CC306:CC315" si="315">BY306-K306</f>
        <v>0</v>
      </c>
      <c r="CD306" s="39">
        <f t="shared" ref="CD306:CD315" si="316">SUMIF(CA306:CC306,"&lt;0")</f>
        <v>0</v>
      </c>
      <c r="CE306" s="102">
        <f t="shared" ref="CE306:CE315" si="317">CD306/L306</f>
        <v>0</v>
      </c>
      <c r="CF306" s="36" t="s">
        <v>292</v>
      </c>
      <c r="CG306" s="39" t="s">
        <v>230</v>
      </c>
      <c r="CH306" s="39"/>
      <c r="CI306" s="25">
        <v>1</v>
      </c>
    </row>
    <row r="307" spans="1:88" ht="24.75" customHeight="1">
      <c r="A307" s="36" t="s">
        <v>51</v>
      </c>
      <c r="B307" s="28" t="s">
        <v>712</v>
      </c>
      <c r="C307" s="240"/>
      <c r="D307" s="36"/>
      <c r="E307" s="39">
        <v>150</v>
      </c>
      <c r="F307" s="39" t="s">
        <v>58</v>
      </c>
      <c r="G307" s="36" t="s">
        <v>347</v>
      </c>
      <c r="H307" s="36" t="s">
        <v>22</v>
      </c>
      <c r="I307" s="39">
        <v>172</v>
      </c>
      <c r="J307" s="39"/>
      <c r="K307" s="39"/>
      <c r="L307" s="39">
        <f t="shared" si="218"/>
        <v>172</v>
      </c>
      <c r="M307" s="117">
        <v>46158</v>
      </c>
      <c r="N307" s="117">
        <v>46164</v>
      </c>
      <c r="O307" s="39"/>
      <c r="P307" s="39"/>
      <c r="Q307" s="39"/>
      <c r="R307" s="39">
        <f t="shared" si="305"/>
        <v>0</v>
      </c>
      <c r="S307" s="39" t="s">
        <v>130</v>
      </c>
      <c r="T307" s="39">
        <v>107053</v>
      </c>
      <c r="U307" s="117">
        <v>46191</v>
      </c>
      <c r="V307" s="39"/>
      <c r="W307" s="39"/>
      <c r="X307" s="39"/>
      <c r="Y307" s="39">
        <v>198</v>
      </c>
      <c r="Z307" s="39"/>
      <c r="AA307" s="39"/>
      <c r="AB307" s="119">
        <f t="shared" si="306"/>
        <v>198</v>
      </c>
      <c r="AC307" s="39"/>
      <c r="AD307" s="39"/>
      <c r="AE307" s="39"/>
      <c r="AF307" s="39"/>
      <c r="AG307" s="39"/>
      <c r="AH307" s="39">
        <f t="shared" si="307"/>
        <v>0</v>
      </c>
      <c r="AI307" s="39"/>
      <c r="AJ307" s="39"/>
      <c r="AK307" s="39"/>
      <c r="AL307" s="39"/>
      <c r="AM307" s="39"/>
      <c r="AN307" s="39">
        <f t="shared" si="4"/>
        <v>0</v>
      </c>
      <c r="AO307" s="39"/>
      <c r="AP307" s="39"/>
      <c r="AQ307" s="39"/>
      <c r="AR307" s="39"/>
      <c r="AS307" s="39"/>
      <c r="AT307" s="39">
        <f t="shared" si="308"/>
        <v>0</v>
      </c>
      <c r="AU307" s="39"/>
      <c r="AV307" s="39"/>
      <c r="AW307" s="39"/>
      <c r="AX307" s="39"/>
      <c r="AY307" s="39"/>
      <c r="AZ307" s="39">
        <f t="shared" si="309"/>
        <v>0</v>
      </c>
      <c r="BA307" s="39"/>
      <c r="BB307" s="39"/>
      <c r="BC307" s="39"/>
      <c r="BD307" s="39"/>
      <c r="BE307" s="39"/>
      <c r="BF307" s="39">
        <f t="shared" si="310"/>
        <v>0</v>
      </c>
      <c r="BG307" s="39"/>
      <c r="BH307" s="39"/>
      <c r="BI307" s="39"/>
      <c r="BJ307" s="39"/>
      <c r="BK307" s="39"/>
      <c r="BL307" s="39">
        <f t="shared" si="311"/>
        <v>0</v>
      </c>
      <c r="BM307" s="54" t="str">
        <f t="shared" si="312"/>
        <v/>
      </c>
      <c r="BN307" s="56">
        <v>46179</v>
      </c>
      <c r="BO307" s="117">
        <v>46191</v>
      </c>
      <c r="BP307" s="39"/>
      <c r="BQ307" s="39"/>
      <c r="BR307" s="238"/>
      <c r="BS307" s="238"/>
      <c r="BT307" s="39">
        <v>1695</v>
      </c>
      <c r="BU307" s="39">
        <v>180</v>
      </c>
      <c r="BV307" s="39"/>
      <c r="BW307" s="39"/>
      <c r="BX307" s="39"/>
      <c r="BY307" s="39"/>
      <c r="BZ307" s="39">
        <f t="shared" si="313"/>
        <v>180</v>
      </c>
      <c r="CA307" s="39">
        <f t="shared" si="11"/>
        <v>8</v>
      </c>
      <c r="CB307" s="39">
        <f t="shared" si="314"/>
        <v>0</v>
      </c>
      <c r="CC307" s="39">
        <f t="shared" si="315"/>
        <v>0</v>
      </c>
      <c r="CD307" s="39">
        <f t="shared" si="316"/>
        <v>0</v>
      </c>
      <c r="CE307" s="102">
        <f t="shared" si="317"/>
        <v>0</v>
      </c>
      <c r="CF307" s="36" t="s">
        <v>292</v>
      </c>
      <c r="CG307" s="39" t="s">
        <v>230</v>
      </c>
      <c r="CH307" s="39"/>
      <c r="CI307" s="25">
        <v>1</v>
      </c>
    </row>
    <row r="308" spans="1:88" ht="24.75" customHeight="1">
      <c r="A308" s="36" t="s">
        <v>51</v>
      </c>
      <c r="B308" s="28" t="s">
        <v>712</v>
      </c>
      <c r="C308" s="240"/>
      <c r="D308" s="36"/>
      <c r="E308" s="39">
        <v>150</v>
      </c>
      <c r="F308" s="39" t="s">
        <v>58</v>
      </c>
      <c r="G308" s="36" t="s">
        <v>310</v>
      </c>
      <c r="H308" s="36" t="s">
        <v>22</v>
      </c>
      <c r="I308" s="39">
        <v>172</v>
      </c>
      <c r="J308" s="39"/>
      <c r="K308" s="39"/>
      <c r="L308" s="39">
        <f t="shared" si="218"/>
        <v>172</v>
      </c>
      <c r="M308" s="117">
        <v>46158</v>
      </c>
      <c r="N308" s="117">
        <v>46164</v>
      </c>
      <c r="O308" s="39"/>
      <c r="P308" s="39"/>
      <c r="Q308" s="39"/>
      <c r="R308" s="39">
        <f t="shared" si="305"/>
        <v>0</v>
      </c>
      <c r="S308" s="39" t="s">
        <v>270</v>
      </c>
      <c r="T308" s="39"/>
      <c r="U308" s="39"/>
      <c r="V308" s="117">
        <v>46184</v>
      </c>
      <c r="W308" s="39">
        <v>203</v>
      </c>
      <c r="X308" s="117">
        <v>46196</v>
      </c>
      <c r="Y308" s="39">
        <v>189</v>
      </c>
      <c r="Z308" s="39"/>
      <c r="AA308" s="39"/>
      <c r="AB308" s="119">
        <f t="shared" si="306"/>
        <v>189</v>
      </c>
      <c r="AC308" s="39"/>
      <c r="AD308" s="39"/>
      <c r="AE308" s="39"/>
      <c r="AF308" s="39"/>
      <c r="AG308" s="39"/>
      <c r="AH308" s="39">
        <f t="shared" si="307"/>
        <v>0</v>
      </c>
      <c r="AI308" s="39"/>
      <c r="AJ308" s="39"/>
      <c r="AK308" s="39"/>
      <c r="AL308" s="39"/>
      <c r="AM308" s="39"/>
      <c r="AN308" s="39">
        <f t="shared" si="4"/>
        <v>0</v>
      </c>
      <c r="AO308" s="39"/>
      <c r="AP308" s="39"/>
      <c r="AQ308" s="39"/>
      <c r="AR308" s="39"/>
      <c r="AS308" s="39"/>
      <c r="AT308" s="39">
        <f t="shared" si="308"/>
        <v>0</v>
      </c>
      <c r="AU308" s="39"/>
      <c r="AV308" s="39"/>
      <c r="AW308" s="39"/>
      <c r="AX308" s="39"/>
      <c r="AY308" s="39"/>
      <c r="AZ308" s="39">
        <f t="shared" si="309"/>
        <v>0</v>
      </c>
      <c r="BA308" s="39"/>
      <c r="BB308" s="39"/>
      <c r="BC308" s="39"/>
      <c r="BD308" s="39"/>
      <c r="BE308" s="39"/>
      <c r="BF308" s="39">
        <f t="shared" si="310"/>
        <v>0</v>
      </c>
      <c r="BG308" s="39"/>
      <c r="BH308" s="39"/>
      <c r="BI308" s="39"/>
      <c r="BJ308" s="39"/>
      <c r="BK308" s="39"/>
      <c r="BL308" s="39">
        <f t="shared" si="311"/>
        <v>0</v>
      </c>
      <c r="BM308" s="54" t="str">
        <f t="shared" si="312"/>
        <v/>
      </c>
      <c r="BN308" s="56">
        <v>46179</v>
      </c>
      <c r="BO308" s="117">
        <v>46191</v>
      </c>
      <c r="BP308" s="39"/>
      <c r="BQ308" s="39"/>
      <c r="BR308" s="238"/>
      <c r="BS308" s="238"/>
      <c r="BT308" s="39">
        <v>1758</v>
      </c>
      <c r="BU308" s="39">
        <v>172</v>
      </c>
      <c r="BV308" s="39"/>
      <c r="BW308" s="39"/>
      <c r="BX308" s="39"/>
      <c r="BY308" s="39"/>
      <c r="BZ308" s="39">
        <f t="shared" si="313"/>
        <v>172</v>
      </c>
      <c r="CA308" s="39">
        <f t="shared" si="11"/>
        <v>0</v>
      </c>
      <c r="CB308" s="39">
        <f t="shared" si="314"/>
        <v>0</v>
      </c>
      <c r="CC308" s="39">
        <f t="shared" si="315"/>
        <v>0</v>
      </c>
      <c r="CD308" s="39">
        <f t="shared" si="316"/>
        <v>0</v>
      </c>
      <c r="CE308" s="102">
        <f t="shared" si="317"/>
        <v>0</v>
      </c>
      <c r="CF308" s="36" t="s">
        <v>292</v>
      </c>
      <c r="CG308" s="39" t="s">
        <v>230</v>
      </c>
      <c r="CH308" s="39"/>
      <c r="CI308" s="25">
        <v>1</v>
      </c>
    </row>
    <row r="309" spans="1:88" ht="24.75" customHeight="1">
      <c r="A309" s="36" t="s">
        <v>51</v>
      </c>
      <c r="B309" s="28" t="s">
        <v>712</v>
      </c>
      <c r="C309" s="236"/>
      <c r="D309" s="36"/>
      <c r="E309" s="39">
        <v>150</v>
      </c>
      <c r="F309" s="39" t="s">
        <v>58</v>
      </c>
      <c r="G309" s="36" t="s">
        <v>35</v>
      </c>
      <c r="H309" s="36" t="s">
        <v>22</v>
      </c>
      <c r="I309" s="39">
        <v>172</v>
      </c>
      <c r="J309" s="39"/>
      <c r="K309" s="39"/>
      <c r="L309" s="39">
        <f t="shared" si="218"/>
        <v>172</v>
      </c>
      <c r="M309" s="117">
        <v>46158</v>
      </c>
      <c r="N309" s="117">
        <v>46164</v>
      </c>
      <c r="O309" s="39"/>
      <c r="P309" s="39"/>
      <c r="Q309" s="39"/>
      <c r="R309" s="39">
        <f t="shared" si="305"/>
        <v>0</v>
      </c>
      <c r="S309" s="39" t="s">
        <v>270</v>
      </c>
      <c r="T309" s="39"/>
      <c r="U309" s="39"/>
      <c r="V309" s="117">
        <v>46184</v>
      </c>
      <c r="W309" s="39">
        <v>206</v>
      </c>
      <c r="X309" s="117">
        <v>46203</v>
      </c>
      <c r="Y309" s="39">
        <v>180</v>
      </c>
      <c r="Z309" s="39"/>
      <c r="AA309" s="39"/>
      <c r="AB309" s="119">
        <f t="shared" si="306"/>
        <v>180</v>
      </c>
      <c r="AC309" s="39"/>
      <c r="AD309" s="39"/>
      <c r="AE309" s="39"/>
      <c r="AF309" s="39"/>
      <c r="AG309" s="39"/>
      <c r="AH309" s="39">
        <f t="shared" si="307"/>
        <v>0</v>
      </c>
      <c r="AI309" s="39"/>
      <c r="AJ309" s="39"/>
      <c r="AK309" s="39"/>
      <c r="AL309" s="39"/>
      <c r="AM309" s="39"/>
      <c r="AN309" s="39">
        <f t="shared" si="4"/>
        <v>0</v>
      </c>
      <c r="AO309" s="39"/>
      <c r="AP309" s="39"/>
      <c r="AQ309" s="39"/>
      <c r="AR309" s="39"/>
      <c r="AS309" s="39"/>
      <c r="AT309" s="39">
        <f t="shared" si="308"/>
        <v>0</v>
      </c>
      <c r="AU309" s="39"/>
      <c r="AV309" s="39"/>
      <c r="AW309" s="39"/>
      <c r="AX309" s="39"/>
      <c r="AY309" s="39"/>
      <c r="AZ309" s="39">
        <f t="shared" si="309"/>
        <v>0</v>
      </c>
      <c r="BA309" s="39"/>
      <c r="BB309" s="39"/>
      <c r="BC309" s="39"/>
      <c r="BD309" s="39"/>
      <c r="BE309" s="39"/>
      <c r="BF309" s="39">
        <f t="shared" si="310"/>
        <v>0</v>
      </c>
      <c r="BG309" s="39"/>
      <c r="BH309" s="39"/>
      <c r="BI309" s="39"/>
      <c r="BJ309" s="39"/>
      <c r="BK309" s="39"/>
      <c r="BL309" s="39">
        <f t="shared" si="311"/>
        <v>0</v>
      </c>
      <c r="BM309" s="54" t="str">
        <f t="shared" si="312"/>
        <v/>
      </c>
      <c r="BN309" s="56">
        <v>46179</v>
      </c>
      <c r="BO309" s="117">
        <v>46191</v>
      </c>
      <c r="BP309" s="39"/>
      <c r="BQ309" s="39"/>
      <c r="BR309" s="239"/>
      <c r="BS309" s="239"/>
      <c r="BT309" s="39">
        <v>1762</v>
      </c>
      <c r="BU309" s="39">
        <v>180</v>
      </c>
      <c r="BV309" s="39"/>
      <c r="BW309" s="39"/>
      <c r="BX309" s="39"/>
      <c r="BY309" s="39"/>
      <c r="BZ309" s="39">
        <f t="shared" si="313"/>
        <v>180</v>
      </c>
      <c r="CA309" s="39">
        <f t="shared" si="11"/>
        <v>8</v>
      </c>
      <c r="CB309" s="39">
        <f t="shared" si="314"/>
        <v>0</v>
      </c>
      <c r="CC309" s="39">
        <f t="shared" si="315"/>
        <v>0</v>
      </c>
      <c r="CD309" s="39">
        <f t="shared" si="316"/>
        <v>0</v>
      </c>
      <c r="CE309" s="102">
        <f t="shared" si="317"/>
        <v>0</v>
      </c>
      <c r="CF309" s="36" t="s">
        <v>292</v>
      </c>
      <c r="CG309" s="39" t="s">
        <v>230</v>
      </c>
      <c r="CH309" s="39"/>
      <c r="CI309" s="25">
        <v>1</v>
      </c>
    </row>
    <row r="310" spans="1:88" ht="33.75" customHeight="1">
      <c r="A310" s="36" t="s">
        <v>51</v>
      </c>
      <c r="B310" s="28" t="s">
        <v>759</v>
      </c>
      <c r="C310" s="41">
        <v>22031724</v>
      </c>
      <c r="D310" s="36"/>
      <c r="E310" s="39">
        <v>250</v>
      </c>
      <c r="F310" s="39" t="s">
        <v>60</v>
      </c>
      <c r="G310" s="36" t="s">
        <v>21</v>
      </c>
      <c r="H310" s="36" t="s">
        <v>312</v>
      </c>
      <c r="I310" s="39">
        <v>1213</v>
      </c>
      <c r="J310" s="39">
        <v>43</v>
      </c>
      <c r="K310" s="39"/>
      <c r="L310" s="39">
        <f t="shared" si="218"/>
        <v>1256</v>
      </c>
      <c r="M310" s="117">
        <v>46157</v>
      </c>
      <c r="N310" s="117">
        <v>46167</v>
      </c>
      <c r="O310" s="39"/>
      <c r="P310" s="39"/>
      <c r="Q310" s="39"/>
      <c r="R310" s="39">
        <f t="shared" ref="R310" si="318">SUM(O310:Q310)</f>
        <v>0</v>
      </c>
      <c r="S310" s="39" t="s">
        <v>130</v>
      </c>
      <c r="T310" s="39" t="s">
        <v>1097</v>
      </c>
      <c r="U310" s="117">
        <v>46191</v>
      </c>
      <c r="V310" s="39"/>
      <c r="W310" s="39"/>
      <c r="X310" s="39"/>
      <c r="Y310" s="39">
        <f>704+679</f>
        <v>1383</v>
      </c>
      <c r="Z310" s="39">
        <f>25+26</f>
        <v>51</v>
      </c>
      <c r="AA310" s="39"/>
      <c r="AB310" s="119">
        <f t="shared" si="306"/>
        <v>1434</v>
      </c>
      <c r="AC310" s="39"/>
      <c r="AD310" s="39"/>
      <c r="AE310" s="39"/>
      <c r="AF310" s="39"/>
      <c r="AG310" s="39"/>
      <c r="AH310" s="39">
        <f t="shared" si="307"/>
        <v>0</v>
      </c>
      <c r="AI310" s="39"/>
      <c r="AJ310" s="39"/>
      <c r="AK310" s="39"/>
      <c r="AL310" s="39"/>
      <c r="AM310" s="39"/>
      <c r="AN310" s="39">
        <f t="shared" si="4"/>
        <v>0</v>
      </c>
      <c r="AO310" s="39"/>
      <c r="AP310" s="39"/>
      <c r="AQ310" s="39"/>
      <c r="AR310" s="39"/>
      <c r="AS310" s="39"/>
      <c r="AT310" s="39">
        <f t="shared" si="308"/>
        <v>0</v>
      </c>
      <c r="AU310" s="39"/>
      <c r="AV310" s="39"/>
      <c r="AW310" s="39"/>
      <c r="AX310" s="39"/>
      <c r="AY310" s="39"/>
      <c r="AZ310" s="39">
        <f t="shared" si="309"/>
        <v>0</v>
      </c>
      <c r="BA310" s="39"/>
      <c r="BB310" s="39"/>
      <c r="BC310" s="39"/>
      <c r="BD310" s="39"/>
      <c r="BE310" s="39"/>
      <c r="BF310" s="39">
        <f t="shared" si="310"/>
        <v>0</v>
      </c>
      <c r="BG310" s="39"/>
      <c r="BH310" s="39"/>
      <c r="BI310" s="39"/>
      <c r="BJ310" s="39"/>
      <c r="BK310" s="39"/>
      <c r="BL310" s="39">
        <f t="shared" si="311"/>
        <v>0</v>
      </c>
      <c r="BM310" s="54" t="str">
        <f t="shared" si="312"/>
        <v/>
      </c>
      <c r="BN310" s="56">
        <v>46181</v>
      </c>
      <c r="BO310" s="117">
        <v>46186</v>
      </c>
      <c r="BP310" s="39"/>
      <c r="BQ310" s="39"/>
      <c r="BR310" s="50">
        <v>46193</v>
      </c>
      <c r="BS310" s="50">
        <v>46193</v>
      </c>
      <c r="BT310" s="39" t="s">
        <v>1159</v>
      </c>
      <c r="BU310" s="39">
        <f>613+575+71</f>
        <v>1259</v>
      </c>
      <c r="BV310" s="39">
        <v>1700</v>
      </c>
      <c r="BW310" s="39">
        <f>22+24</f>
        <v>46</v>
      </c>
      <c r="BX310" s="39"/>
      <c r="BY310" s="39"/>
      <c r="BZ310" s="39">
        <f t="shared" si="313"/>
        <v>1305</v>
      </c>
      <c r="CA310" s="39">
        <f t="shared" si="11"/>
        <v>46</v>
      </c>
      <c r="CB310" s="39">
        <f t="shared" si="314"/>
        <v>3</v>
      </c>
      <c r="CC310" s="39">
        <f t="shared" si="315"/>
        <v>0</v>
      </c>
      <c r="CD310" s="39">
        <f t="shared" si="316"/>
        <v>0</v>
      </c>
      <c r="CE310" s="102">
        <f t="shared" si="317"/>
        <v>0</v>
      </c>
      <c r="CF310" s="36"/>
      <c r="CG310" s="39" t="s">
        <v>223</v>
      </c>
      <c r="CH310" s="39"/>
      <c r="CI310" s="25">
        <v>1</v>
      </c>
    </row>
    <row r="311" spans="1:88" ht="24.75" customHeight="1">
      <c r="A311" s="36" t="s">
        <v>51</v>
      </c>
      <c r="B311" s="28" t="s">
        <v>801</v>
      </c>
      <c r="C311" s="41">
        <v>22029226</v>
      </c>
      <c r="D311" s="36" t="s">
        <v>45</v>
      </c>
      <c r="E311" s="39">
        <v>340</v>
      </c>
      <c r="F311" s="39" t="s">
        <v>55</v>
      </c>
      <c r="G311" s="36" t="s">
        <v>366</v>
      </c>
      <c r="H311" s="36" t="s">
        <v>362</v>
      </c>
      <c r="I311" s="39">
        <v>203</v>
      </c>
      <c r="J311" s="39">
        <v>52</v>
      </c>
      <c r="K311" s="39">
        <v>2</v>
      </c>
      <c r="L311" s="39">
        <f t="shared" si="218"/>
        <v>257</v>
      </c>
      <c r="M311" s="39" t="s">
        <v>42</v>
      </c>
      <c r="N311" s="39" t="s">
        <v>42</v>
      </c>
      <c r="O311" s="39"/>
      <c r="P311" s="39"/>
      <c r="Q311" s="39"/>
      <c r="R311" s="39">
        <f t="shared" ref="R311:R315" si="319">SUM(O311:Q311)</f>
        <v>0</v>
      </c>
      <c r="S311" s="39" t="s">
        <v>130</v>
      </c>
      <c r="T311" s="39" t="s">
        <v>321</v>
      </c>
      <c r="U311" s="39"/>
      <c r="V311" s="39"/>
      <c r="W311" s="39"/>
      <c r="X311" s="39"/>
      <c r="Y311" s="39"/>
      <c r="Z311" s="39"/>
      <c r="AA311" s="39"/>
      <c r="AB311" s="39">
        <f t="shared" si="306"/>
        <v>0</v>
      </c>
      <c r="AC311" s="39"/>
      <c r="AD311" s="39"/>
      <c r="AE311" s="39"/>
      <c r="AF311" s="39"/>
      <c r="AG311" s="39"/>
      <c r="AH311" s="39">
        <f t="shared" si="307"/>
        <v>0</v>
      </c>
      <c r="AI311" s="39"/>
      <c r="AJ311" s="39"/>
      <c r="AK311" s="39"/>
      <c r="AL311" s="39"/>
      <c r="AM311" s="39"/>
      <c r="AN311" s="39">
        <f t="shared" si="4"/>
        <v>0</v>
      </c>
      <c r="AO311" s="39"/>
      <c r="AP311" s="39"/>
      <c r="AQ311" s="39"/>
      <c r="AR311" s="39"/>
      <c r="AS311" s="39"/>
      <c r="AT311" s="39">
        <f t="shared" si="308"/>
        <v>0</v>
      </c>
      <c r="AU311" s="39"/>
      <c r="AV311" s="39"/>
      <c r="AW311" s="39"/>
      <c r="AX311" s="39"/>
      <c r="AY311" s="39"/>
      <c r="AZ311" s="39">
        <f t="shared" si="309"/>
        <v>0</v>
      </c>
      <c r="BA311" s="39"/>
      <c r="BB311" s="39"/>
      <c r="BC311" s="39"/>
      <c r="BD311" s="39"/>
      <c r="BE311" s="39"/>
      <c r="BF311" s="39">
        <f t="shared" si="310"/>
        <v>0</v>
      </c>
      <c r="BG311" s="39"/>
      <c r="BH311" s="39"/>
      <c r="BI311" s="39"/>
      <c r="BJ311" s="39"/>
      <c r="BK311" s="39"/>
      <c r="BL311" s="39">
        <f t="shared" si="311"/>
        <v>0</v>
      </c>
      <c r="BM311" s="54" t="str">
        <f t="shared" si="312"/>
        <v/>
      </c>
      <c r="BN311" s="42" t="s">
        <v>42</v>
      </c>
      <c r="BO311" s="39" t="s">
        <v>42</v>
      </c>
      <c r="BP311" s="39"/>
      <c r="BQ311" s="39"/>
      <c r="BR311" s="40"/>
      <c r="BS311" s="40"/>
      <c r="BT311" s="39" t="s">
        <v>802</v>
      </c>
      <c r="BU311" s="39">
        <v>203</v>
      </c>
      <c r="BV311" s="39" t="s">
        <v>802</v>
      </c>
      <c r="BW311" s="39">
        <v>52</v>
      </c>
      <c r="BX311" s="39" t="s">
        <v>802</v>
      </c>
      <c r="BY311" s="39">
        <v>2</v>
      </c>
      <c r="BZ311" s="39">
        <f t="shared" si="313"/>
        <v>257</v>
      </c>
      <c r="CA311" s="39">
        <f t="shared" si="11"/>
        <v>0</v>
      </c>
      <c r="CB311" s="39">
        <f t="shared" si="314"/>
        <v>0</v>
      </c>
      <c r="CC311" s="39">
        <f t="shared" si="315"/>
        <v>0</v>
      </c>
      <c r="CD311" s="39">
        <f t="shared" si="316"/>
        <v>0</v>
      </c>
      <c r="CE311" s="102">
        <f t="shared" si="317"/>
        <v>0</v>
      </c>
      <c r="CF311" s="36" t="s">
        <v>292</v>
      </c>
      <c r="CG311" s="39" t="s">
        <v>230</v>
      </c>
      <c r="CH311" s="39"/>
      <c r="CI311" s="25">
        <v>1</v>
      </c>
    </row>
    <row r="312" spans="1:88" ht="24.75" customHeight="1">
      <c r="A312" s="36" t="s">
        <v>51</v>
      </c>
      <c r="B312" s="28" t="s">
        <v>803</v>
      </c>
      <c r="C312" s="235">
        <v>22029226</v>
      </c>
      <c r="D312" s="36" t="s">
        <v>45</v>
      </c>
      <c r="E312" s="39">
        <v>340</v>
      </c>
      <c r="F312" s="39" t="s">
        <v>55</v>
      </c>
      <c r="G312" s="36" t="s">
        <v>366</v>
      </c>
      <c r="H312" s="36" t="s">
        <v>362</v>
      </c>
      <c r="I312" s="39">
        <v>497</v>
      </c>
      <c r="J312" s="39">
        <v>126</v>
      </c>
      <c r="K312" s="39"/>
      <c r="L312" s="39">
        <f t="shared" si="218"/>
        <v>623</v>
      </c>
      <c r="M312" s="117">
        <v>46160</v>
      </c>
      <c r="N312" s="117">
        <v>46164</v>
      </c>
      <c r="O312" s="39"/>
      <c r="P312" s="39"/>
      <c r="Q312" s="39"/>
      <c r="R312" s="39">
        <f t="shared" si="319"/>
        <v>0</v>
      </c>
      <c r="S312" s="39" t="s">
        <v>130</v>
      </c>
      <c r="T312" s="39" t="s">
        <v>321</v>
      </c>
      <c r="U312" s="39"/>
      <c r="V312" s="39"/>
      <c r="W312" s="39"/>
      <c r="X312" s="39"/>
      <c r="Y312" s="39"/>
      <c r="Z312" s="39"/>
      <c r="AA312" s="39"/>
      <c r="AB312" s="39">
        <f t="shared" si="306"/>
        <v>0</v>
      </c>
      <c r="AC312" s="39"/>
      <c r="AD312" s="39"/>
      <c r="AE312" s="39"/>
      <c r="AF312" s="39"/>
      <c r="AG312" s="39"/>
      <c r="AH312" s="39">
        <f t="shared" si="307"/>
        <v>0</v>
      </c>
      <c r="AI312" s="39"/>
      <c r="AJ312" s="39"/>
      <c r="AK312" s="39"/>
      <c r="AL312" s="39"/>
      <c r="AM312" s="39"/>
      <c r="AN312" s="39">
        <f t="shared" si="4"/>
        <v>0</v>
      </c>
      <c r="AO312" s="39"/>
      <c r="AP312" s="39"/>
      <c r="AQ312" s="39"/>
      <c r="AR312" s="39"/>
      <c r="AS312" s="39"/>
      <c r="AT312" s="39">
        <f t="shared" si="308"/>
        <v>0</v>
      </c>
      <c r="AU312" s="39"/>
      <c r="AV312" s="39"/>
      <c r="AW312" s="39"/>
      <c r="AX312" s="39"/>
      <c r="AY312" s="39"/>
      <c r="AZ312" s="39">
        <f t="shared" si="309"/>
        <v>0</v>
      </c>
      <c r="BA312" s="39"/>
      <c r="BB312" s="39"/>
      <c r="BC312" s="39"/>
      <c r="BD312" s="39"/>
      <c r="BE312" s="39"/>
      <c r="BF312" s="39">
        <f t="shared" si="310"/>
        <v>0</v>
      </c>
      <c r="BG312" s="39"/>
      <c r="BH312" s="39"/>
      <c r="BI312" s="39"/>
      <c r="BJ312" s="39"/>
      <c r="BK312" s="39"/>
      <c r="BL312" s="39">
        <f t="shared" si="311"/>
        <v>0</v>
      </c>
      <c r="BM312" s="54" t="str">
        <f t="shared" si="312"/>
        <v/>
      </c>
      <c r="BN312" s="56">
        <v>46179</v>
      </c>
      <c r="BO312" s="117">
        <v>46186</v>
      </c>
      <c r="BP312" s="39"/>
      <c r="BQ312" s="39"/>
      <c r="BR312" s="237">
        <v>46195</v>
      </c>
      <c r="BS312" s="255"/>
      <c r="BT312" s="39" t="s">
        <v>802</v>
      </c>
      <c r="BU312" s="39">
        <v>497</v>
      </c>
      <c r="BV312" s="39" t="s">
        <v>802</v>
      </c>
      <c r="BW312" s="39">
        <v>126</v>
      </c>
      <c r="BX312" s="39"/>
      <c r="BY312" s="39"/>
      <c r="BZ312" s="39">
        <f t="shared" si="313"/>
        <v>623</v>
      </c>
      <c r="CA312" s="39">
        <f t="shared" si="11"/>
        <v>0</v>
      </c>
      <c r="CB312" s="39">
        <f t="shared" si="314"/>
        <v>0</v>
      </c>
      <c r="CC312" s="39">
        <f t="shared" si="315"/>
        <v>0</v>
      </c>
      <c r="CD312" s="39">
        <f t="shared" si="316"/>
        <v>0</v>
      </c>
      <c r="CE312" s="102">
        <f t="shared" si="317"/>
        <v>0</v>
      </c>
      <c r="CF312" s="36" t="s">
        <v>292</v>
      </c>
      <c r="CG312" s="39" t="s">
        <v>230</v>
      </c>
      <c r="CH312" s="39"/>
      <c r="CI312" s="25">
        <v>1</v>
      </c>
    </row>
    <row r="313" spans="1:88" ht="24.75" customHeight="1">
      <c r="A313" s="36" t="s">
        <v>51</v>
      </c>
      <c r="B313" s="28" t="s">
        <v>803</v>
      </c>
      <c r="C313" s="240"/>
      <c r="D313" s="36" t="s">
        <v>45</v>
      </c>
      <c r="E313" s="39">
        <v>340</v>
      </c>
      <c r="F313" s="39" t="s">
        <v>55</v>
      </c>
      <c r="G313" s="36" t="s">
        <v>322</v>
      </c>
      <c r="H313" s="36" t="s">
        <v>362</v>
      </c>
      <c r="I313" s="39">
        <v>331</v>
      </c>
      <c r="J313" s="39">
        <v>84</v>
      </c>
      <c r="K313" s="39"/>
      <c r="L313" s="39">
        <f t="shared" si="218"/>
        <v>415</v>
      </c>
      <c r="M313" s="117">
        <v>46160</v>
      </c>
      <c r="N313" s="117">
        <v>46164</v>
      </c>
      <c r="O313" s="39"/>
      <c r="P313" s="39"/>
      <c r="Q313" s="39"/>
      <c r="R313" s="39">
        <f t="shared" si="319"/>
        <v>0</v>
      </c>
      <c r="S313" s="39" t="s">
        <v>130</v>
      </c>
      <c r="T313" s="39" t="s">
        <v>321</v>
      </c>
      <c r="U313" s="39"/>
      <c r="V313" s="39"/>
      <c r="W313" s="39"/>
      <c r="X313" s="39"/>
      <c r="Y313" s="39"/>
      <c r="Z313" s="39"/>
      <c r="AA313" s="39"/>
      <c r="AB313" s="39">
        <f t="shared" si="306"/>
        <v>0</v>
      </c>
      <c r="AC313" s="39"/>
      <c r="AD313" s="39"/>
      <c r="AE313" s="39"/>
      <c r="AF313" s="39"/>
      <c r="AG313" s="39"/>
      <c r="AH313" s="39">
        <f t="shared" si="307"/>
        <v>0</v>
      </c>
      <c r="AI313" s="39"/>
      <c r="AJ313" s="39"/>
      <c r="AK313" s="39"/>
      <c r="AL313" s="39"/>
      <c r="AM313" s="39"/>
      <c r="AN313" s="39">
        <f t="shared" si="4"/>
        <v>0</v>
      </c>
      <c r="AO313" s="39"/>
      <c r="AP313" s="39"/>
      <c r="AQ313" s="39"/>
      <c r="AR313" s="39"/>
      <c r="AS313" s="39"/>
      <c r="AT313" s="39">
        <f t="shared" si="308"/>
        <v>0</v>
      </c>
      <c r="AU313" s="39"/>
      <c r="AV313" s="39"/>
      <c r="AW313" s="39"/>
      <c r="AX313" s="39"/>
      <c r="AY313" s="39"/>
      <c r="AZ313" s="39">
        <f t="shared" si="309"/>
        <v>0</v>
      </c>
      <c r="BA313" s="39"/>
      <c r="BB313" s="39"/>
      <c r="BC313" s="39"/>
      <c r="BD313" s="39"/>
      <c r="BE313" s="39"/>
      <c r="BF313" s="39">
        <f t="shared" si="310"/>
        <v>0</v>
      </c>
      <c r="BG313" s="39"/>
      <c r="BH313" s="39"/>
      <c r="BI313" s="39"/>
      <c r="BJ313" s="39"/>
      <c r="BK313" s="39"/>
      <c r="BL313" s="39">
        <f t="shared" si="311"/>
        <v>0</v>
      </c>
      <c r="BM313" s="54" t="str">
        <f t="shared" si="312"/>
        <v/>
      </c>
      <c r="BN313" s="56">
        <v>46179</v>
      </c>
      <c r="BO313" s="117">
        <v>46186</v>
      </c>
      <c r="BP313" s="39"/>
      <c r="BQ313" s="39"/>
      <c r="BR313" s="238"/>
      <c r="BS313" s="238"/>
      <c r="BT313" s="39" t="s">
        <v>802</v>
      </c>
      <c r="BU313" s="39">
        <v>331</v>
      </c>
      <c r="BV313" s="39" t="s">
        <v>802</v>
      </c>
      <c r="BW313" s="39">
        <v>84</v>
      </c>
      <c r="BX313" s="39"/>
      <c r="BY313" s="39"/>
      <c r="BZ313" s="39">
        <f t="shared" si="313"/>
        <v>415</v>
      </c>
      <c r="CA313" s="39">
        <f t="shared" si="11"/>
        <v>0</v>
      </c>
      <c r="CB313" s="39">
        <f t="shared" si="314"/>
        <v>0</v>
      </c>
      <c r="CC313" s="39">
        <f t="shared" si="315"/>
        <v>0</v>
      </c>
      <c r="CD313" s="39">
        <f t="shared" si="316"/>
        <v>0</v>
      </c>
      <c r="CE313" s="102">
        <f t="shared" si="317"/>
        <v>0</v>
      </c>
      <c r="CF313" s="36" t="s">
        <v>292</v>
      </c>
      <c r="CG313" s="39" t="s">
        <v>230</v>
      </c>
      <c r="CH313" s="39"/>
      <c r="CI313" s="25">
        <v>1</v>
      </c>
    </row>
    <row r="314" spans="1:88" ht="24.75" customHeight="1">
      <c r="A314" s="36" t="s">
        <v>51</v>
      </c>
      <c r="B314" s="28" t="s">
        <v>803</v>
      </c>
      <c r="C314" s="240"/>
      <c r="D314" s="36"/>
      <c r="E314" s="39">
        <v>160</v>
      </c>
      <c r="F314" s="39" t="s">
        <v>57</v>
      </c>
      <c r="G314" s="36" t="s">
        <v>325</v>
      </c>
      <c r="H314" s="36" t="s">
        <v>22</v>
      </c>
      <c r="I314" s="39">
        <v>4</v>
      </c>
      <c r="J314" s="39">
        <v>7</v>
      </c>
      <c r="K314" s="39"/>
      <c r="L314" s="39">
        <f t="shared" ref="L314" si="320">SUM(I314:K314)</f>
        <v>11</v>
      </c>
      <c r="M314" s="117">
        <v>46160</v>
      </c>
      <c r="N314" s="117">
        <v>46164</v>
      </c>
      <c r="O314" s="39"/>
      <c r="P314" s="39"/>
      <c r="Q314" s="39"/>
      <c r="R314" s="39">
        <f t="shared" si="319"/>
        <v>0</v>
      </c>
      <c r="S314" s="39" t="s">
        <v>130</v>
      </c>
      <c r="T314" s="39"/>
      <c r="U314" s="39"/>
      <c r="V314" s="39"/>
      <c r="W314" s="39"/>
      <c r="X314" s="39"/>
      <c r="Y314" s="39"/>
      <c r="Z314" s="39"/>
      <c r="AA314" s="39"/>
      <c r="AB314" s="118">
        <f t="shared" si="306"/>
        <v>0</v>
      </c>
      <c r="AC314" s="39"/>
      <c r="AD314" s="39"/>
      <c r="AE314" s="39"/>
      <c r="AF314" s="39"/>
      <c r="AG314" s="39"/>
      <c r="AH314" s="39">
        <f t="shared" si="307"/>
        <v>0</v>
      </c>
      <c r="AI314" s="39"/>
      <c r="AJ314" s="39"/>
      <c r="AK314" s="39"/>
      <c r="AL314" s="39"/>
      <c r="AM314" s="39"/>
      <c r="AN314" s="39">
        <f t="shared" si="4"/>
        <v>0</v>
      </c>
      <c r="AO314" s="39"/>
      <c r="AP314" s="39"/>
      <c r="AQ314" s="39"/>
      <c r="AR314" s="39"/>
      <c r="AS314" s="39"/>
      <c r="AT314" s="39">
        <f t="shared" si="308"/>
        <v>0</v>
      </c>
      <c r="AU314" s="39"/>
      <c r="AV314" s="39"/>
      <c r="AW314" s="39"/>
      <c r="AX314" s="39"/>
      <c r="AY314" s="39"/>
      <c r="AZ314" s="39">
        <f t="shared" si="309"/>
        <v>0</v>
      </c>
      <c r="BA314" s="39"/>
      <c r="BB314" s="39"/>
      <c r="BC314" s="39"/>
      <c r="BD314" s="39"/>
      <c r="BE314" s="39"/>
      <c r="BF314" s="39">
        <f t="shared" si="310"/>
        <v>0</v>
      </c>
      <c r="BG314" s="39"/>
      <c r="BH314" s="39"/>
      <c r="BI314" s="39"/>
      <c r="BJ314" s="39"/>
      <c r="BK314" s="39"/>
      <c r="BL314" s="39">
        <f t="shared" si="311"/>
        <v>0</v>
      </c>
      <c r="BM314" s="54">
        <f t="shared" ca="1" si="312"/>
        <v>46283</v>
      </c>
      <c r="BN314" s="56">
        <v>46179</v>
      </c>
      <c r="BO314" s="117">
        <v>46186</v>
      </c>
      <c r="BP314" s="39"/>
      <c r="BQ314" s="39"/>
      <c r="BR314" s="238"/>
      <c r="BS314" s="238"/>
      <c r="BT314" s="39"/>
      <c r="BU314" s="39"/>
      <c r="BV314" s="39"/>
      <c r="BW314" s="39"/>
      <c r="BX314" s="39"/>
      <c r="BY314" s="39"/>
      <c r="BZ314" s="39">
        <f t="shared" si="313"/>
        <v>0</v>
      </c>
      <c r="CA314" s="39">
        <v>0</v>
      </c>
      <c r="CB314" s="39">
        <v>0</v>
      </c>
      <c r="CC314" s="39">
        <f t="shared" si="315"/>
        <v>0</v>
      </c>
      <c r="CD314" s="39">
        <f t="shared" si="316"/>
        <v>0</v>
      </c>
      <c r="CE314" s="102">
        <f t="shared" si="317"/>
        <v>0</v>
      </c>
      <c r="CF314" s="36" t="s">
        <v>292</v>
      </c>
      <c r="CG314" s="39" t="s">
        <v>230</v>
      </c>
      <c r="CH314" s="39" t="s">
        <v>2047</v>
      </c>
      <c r="CI314" s="25">
        <v>1</v>
      </c>
    </row>
    <row r="315" spans="1:88" ht="24.75" customHeight="1">
      <c r="A315" s="36" t="s">
        <v>51</v>
      </c>
      <c r="B315" s="28" t="s">
        <v>803</v>
      </c>
      <c r="C315" s="236"/>
      <c r="D315" s="36"/>
      <c r="E315" s="39">
        <v>160</v>
      </c>
      <c r="F315" s="39" t="s">
        <v>57</v>
      </c>
      <c r="G315" s="36" t="s">
        <v>310</v>
      </c>
      <c r="H315" s="36" t="s">
        <v>22</v>
      </c>
      <c r="I315" s="39">
        <v>4</v>
      </c>
      <c r="J315" s="39"/>
      <c r="K315" s="39"/>
      <c r="L315" s="39">
        <f t="shared" ref="L315" si="321">SUM(I315:K315)</f>
        <v>4</v>
      </c>
      <c r="M315" s="117">
        <v>46160</v>
      </c>
      <c r="N315" s="117">
        <v>46164</v>
      </c>
      <c r="O315" s="39"/>
      <c r="P315" s="39"/>
      <c r="Q315" s="39"/>
      <c r="R315" s="39">
        <f t="shared" si="319"/>
        <v>0</v>
      </c>
      <c r="S315" s="39" t="s">
        <v>130</v>
      </c>
      <c r="T315" s="39"/>
      <c r="U315" s="39"/>
      <c r="V315" s="39"/>
      <c r="W315" s="39"/>
      <c r="X315" s="39"/>
      <c r="Y315" s="39"/>
      <c r="Z315" s="39"/>
      <c r="AA315" s="39"/>
      <c r="AB315" s="118">
        <f t="shared" si="306"/>
        <v>0</v>
      </c>
      <c r="AC315" s="39"/>
      <c r="AD315" s="39"/>
      <c r="AE315" s="39"/>
      <c r="AF315" s="39"/>
      <c r="AG315" s="39"/>
      <c r="AH315" s="39">
        <f t="shared" si="307"/>
        <v>0</v>
      </c>
      <c r="AI315" s="39"/>
      <c r="AJ315" s="39"/>
      <c r="AK315" s="39"/>
      <c r="AL315" s="39"/>
      <c r="AM315" s="39"/>
      <c r="AN315" s="39">
        <f t="shared" si="4"/>
        <v>0</v>
      </c>
      <c r="AO315" s="39"/>
      <c r="AP315" s="39"/>
      <c r="AQ315" s="39"/>
      <c r="AR315" s="39"/>
      <c r="AS315" s="39"/>
      <c r="AT315" s="39">
        <f t="shared" si="308"/>
        <v>0</v>
      </c>
      <c r="AU315" s="39"/>
      <c r="AV315" s="39"/>
      <c r="AW315" s="39"/>
      <c r="AX315" s="39"/>
      <c r="AY315" s="39"/>
      <c r="AZ315" s="39">
        <f t="shared" si="309"/>
        <v>0</v>
      </c>
      <c r="BA315" s="39"/>
      <c r="BB315" s="39"/>
      <c r="BC315" s="39"/>
      <c r="BD315" s="39"/>
      <c r="BE315" s="39"/>
      <c r="BF315" s="39">
        <f t="shared" si="310"/>
        <v>0</v>
      </c>
      <c r="BG315" s="39"/>
      <c r="BH315" s="39"/>
      <c r="BI315" s="39"/>
      <c r="BJ315" s="39"/>
      <c r="BK315" s="39"/>
      <c r="BL315" s="39">
        <f t="shared" si="311"/>
        <v>0</v>
      </c>
      <c r="BM315" s="54" t="str">
        <f t="shared" si="312"/>
        <v/>
      </c>
      <c r="BN315" s="56">
        <v>46179</v>
      </c>
      <c r="BO315" s="117">
        <v>46186</v>
      </c>
      <c r="BP315" s="39"/>
      <c r="BQ315" s="39"/>
      <c r="BR315" s="239"/>
      <c r="BS315" s="239"/>
      <c r="BT315" s="39">
        <v>2102</v>
      </c>
      <c r="BU315" s="39">
        <v>10</v>
      </c>
      <c r="BV315" s="39"/>
      <c r="BW315" s="39"/>
      <c r="BX315" s="39"/>
      <c r="BY315" s="39"/>
      <c r="BZ315" s="39">
        <f t="shared" si="313"/>
        <v>10</v>
      </c>
      <c r="CA315" s="39">
        <f t="shared" si="11"/>
        <v>6</v>
      </c>
      <c r="CB315" s="39">
        <f t="shared" si="314"/>
        <v>0</v>
      </c>
      <c r="CC315" s="39">
        <f t="shared" si="315"/>
        <v>0</v>
      </c>
      <c r="CD315" s="39">
        <f t="shared" si="316"/>
        <v>0</v>
      </c>
      <c r="CE315" s="102">
        <f t="shared" si="317"/>
        <v>0</v>
      </c>
      <c r="CF315" s="36" t="s">
        <v>292</v>
      </c>
      <c r="CG315" s="39" t="s">
        <v>230</v>
      </c>
      <c r="CH315" s="39"/>
      <c r="CI315" s="25">
        <v>1</v>
      </c>
    </row>
    <row r="316" spans="1:88" ht="24.75" customHeight="1">
      <c r="A316" s="36" t="s">
        <v>51</v>
      </c>
      <c r="B316" s="28" t="s">
        <v>929</v>
      </c>
      <c r="C316" s="257" t="s">
        <v>930</v>
      </c>
      <c r="D316" s="36" t="s">
        <v>45</v>
      </c>
      <c r="E316" s="39">
        <v>340</v>
      </c>
      <c r="F316" s="39" t="s">
        <v>55</v>
      </c>
      <c r="G316" s="36" t="s">
        <v>367</v>
      </c>
      <c r="H316" s="36" t="s">
        <v>362</v>
      </c>
      <c r="I316" s="39">
        <v>561</v>
      </c>
      <c r="J316" s="39">
        <v>106</v>
      </c>
      <c r="K316" s="39">
        <v>7</v>
      </c>
      <c r="L316" s="39">
        <f t="shared" ref="L316:L351" si="322">SUM(I316:K316)</f>
        <v>674</v>
      </c>
      <c r="M316" s="117">
        <v>46178</v>
      </c>
      <c r="N316" s="117">
        <v>46183</v>
      </c>
      <c r="O316" s="39"/>
      <c r="P316" s="39"/>
      <c r="Q316" s="39"/>
      <c r="R316" s="39">
        <f t="shared" ref="R316:R351" si="323">SUM(O316:Q316)</f>
        <v>0</v>
      </c>
      <c r="S316" s="39" t="s">
        <v>270</v>
      </c>
      <c r="T316" s="39"/>
      <c r="U316" s="39"/>
      <c r="V316" s="117">
        <v>46186</v>
      </c>
      <c r="W316" s="39">
        <f>655+129+10</f>
        <v>794</v>
      </c>
      <c r="X316" s="117" t="s">
        <v>1164</v>
      </c>
      <c r="Y316" s="39">
        <v>611</v>
      </c>
      <c r="Z316" s="39">
        <v>119</v>
      </c>
      <c r="AA316" s="39">
        <v>9</v>
      </c>
      <c r="AB316" s="119">
        <f t="shared" ref="AB316:AB351" si="324">SUM(Y316:AA316)</f>
        <v>739</v>
      </c>
      <c r="AC316" s="39"/>
      <c r="AD316" s="39"/>
      <c r="AE316" s="39"/>
      <c r="AF316" s="39"/>
      <c r="AG316" s="39"/>
      <c r="AH316" s="39">
        <f t="shared" si="3"/>
        <v>0</v>
      </c>
      <c r="AI316" s="39"/>
      <c r="AJ316" s="39"/>
      <c r="AK316" s="39"/>
      <c r="AL316" s="39"/>
      <c r="AM316" s="39"/>
      <c r="AN316" s="39">
        <f t="shared" si="4"/>
        <v>0</v>
      </c>
      <c r="AO316" s="39" t="s">
        <v>280</v>
      </c>
      <c r="AP316" s="117">
        <v>46195</v>
      </c>
      <c r="AQ316" s="39">
        <v>613</v>
      </c>
      <c r="AR316" s="117">
        <v>46196</v>
      </c>
      <c r="AS316" s="39">
        <v>604</v>
      </c>
      <c r="AT316" s="39">
        <f t="shared" si="5"/>
        <v>-9</v>
      </c>
      <c r="AU316" s="39" t="s">
        <v>257</v>
      </c>
      <c r="AV316" s="117">
        <v>46196</v>
      </c>
      <c r="AW316" s="39">
        <v>604</v>
      </c>
      <c r="AX316" s="117">
        <v>46196</v>
      </c>
      <c r="AY316" s="39">
        <v>594</v>
      </c>
      <c r="AZ316" s="39">
        <f t="shared" si="6"/>
        <v>-10</v>
      </c>
      <c r="BA316" s="39"/>
      <c r="BB316" s="39"/>
      <c r="BC316" s="39"/>
      <c r="BD316" s="39"/>
      <c r="BE316" s="39"/>
      <c r="BF316" s="39">
        <f t="shared" si="7"/>
        <v>0</v>
      </c>
      <c r="BG316" s="39"/>
      <c r="BH316" s="39"/>
      <c r="BI316" s="39"/>
      <c r="BJ316" s="39"/>
      <c r="BK316" s="39"/>
      <c r="BL316" s="39">
        <f t="shared" si="8"/>
        <v>0</v>
      </c>
      <c r="BM316" s="54" t="str">
        <f t="shared" si="9"/>
        <v/>
      </c>
      <c r="BN316" s="56">
        <v>46183</v>
      </c>
      <c r="BO316" s="117">
        <v>46192</v>
      </c>
      <c r="BP316" s="39"/>
      <c r="BQ316" s="39"/>
      <c r="BR316" s="237">
        <v>46195</v>
      </c>
      <c r="BS316" s="237">
        <v>46200</v>
      </c>
      <c r="BT316" s="39">
        <v>2122</v>
      </c>
      <c r="BU316" s="39">
        <v>588</v>
      </c>
      <c r="BV316" s="39">
        <v>2130</v>
      </c>
      <c r="BW316" s="39">
        <v>114</v>
      </c>
      <c r="BX316" s="39">
        <v>2130</v>
      </c>
      <c r="BY316" s="39">
        <v>9</v>
      </c>
      <c r="BZ316" s="39">
        <f t="shared" si="10"/>
        <v>711</v>
      </c>
      <c r="CA316" s="39">
        <f t="shared" si="11"/>
        <v>27</v>
      </c>
      <c r="CB316" s="39">
        <f t="shared" si="12"/>
        <v>8</v>
      </c>
      <c r="CC316" s="39">
        <f t="shared" si="13"/>
        <v>2</v>
      </c>
      <c r="CD316" s="39">
        <f t="shared" si="14"/>
        <v>0</v>
      </c>
      <c r="CE316" s="47">
        <f t="shared" si="15"/>
        <v>0</v>
      </c>
      <c r="CF316" s="36" t="s">
        <v>292</v>
      </c>
      <c r="CG316" s="39" t="s">
        <v>230</v>
      </c>
      <c r="CH316" s="39"/>
      <c r="CI316" s="25">
        <v>1</v>
      </c>
      <c r="CJ316" s="6" t="s">
        <v>19</v>
      </c>
    </row>
    <row r="317" spans="1:88" ht="24.75" customHeight="1">
      <c r="A317" s="36" t="s">
        <v>51</v>
      </c>
      <c r="B317" s="28" t="s">
        <v>929</v>
      </c>
      <c r="C317" s="258"/>
      <c r="D317" s="36" t="s">
        <v>45</v>
      </c>
      <c r="E317" s="39">
        <v>340</v>
      </c>
      <c r="F317" s="39" t="s">
        <v>55</v>
      </c>
      <c r="G317" s="36" t="s">
        <v>366</v>
      </c>
      <c r="H317" s="36" t="s">
        <v>362</v>
      </c>
      <c r="I317" s="39">
        <v>561</v>
      </c>
      <c r="J317" s="39">
        <v>106</v>
      </c>
      <c r="K317" s="39">
        <v>7</v>
      </c>
      <c r="L317" s="39">
        <f t="shared" si="322"/>
        <v>674</v>
      </c>
      <c r="M317" s="117">
        <v>46178</v>
      </c>
      <c r="N317" s="117">
        <v>46183</v>
      </c>
      <c r="O317" s="39"/>
      <c r="P317" s="39"/>
      <c r="Q317" s="39"/>
      <c r="R317" s="39">
        <f t="shared" ref="R317:R318" si="325">SUM(O317:Q317)</f>
        <v>0</v>
      </c>
      <c r="S317" s="39" t="s">
        <v>270</v>
      </c>
      <c r="T317" s="39"/>
      <c r="U317" s="39"/>
      <c r="V317" s="117">
        <v>46184</v>
      </c>
      <c r="W317" s="39">
        <f>659+124+10</f>
        <v>793</v>
      </c>
      <c r="X317" s="117" t="s">
        <v>1161</v>
      </c>
      <c r="Y317" s="39">
        <v>615</v>
      </c>
      <c r="Z317" s="39">
        <v>114</v>
      </c>
      <c r="AA317" s="39">
        <v>9</v>
      </c>
      <c r="AB317" s="119">
        <f t="shared" ref="AB317:AB318" si="326">SUM(Y317:AA317)</f>
        <v>738</v>
      </c>
      <c r="AC317" s="39"/>
      <c r="AD317" s="39"/>
      <c r="AE317" s="39"/>
      <c r="AF317" s="39"/>
      <c r="AG317" s="39"/>
      <c r="AH317" s="39">
        <f t="shared" ref="AH317:AH318" si="327">AG317-AE317</f>
        <v>0</v>
      </c>
      <c r="AI317" s="39"/>
      <c r="AJ317" s="39"/>
      <c r="AK317" s="39"/>
      <c r="AL317" s="39"/>
      <c r="AM317" s="39"/>
      <c r="AN317" s="39">
        <f t="shared" ref="AN317:AN318" si="328">AM317-AK317</f>
        <v>0</v>
      </c>
      <c r="AO317" s="39" t="s">
        <v>280</v>
      </c>
      <c r="AP317" s="117">
        <v>46189</v>
      </c>
      <c r="AQ317" s="39">
        <v>614</v>
      </c>
      <c r="AR317" s="117">
        <v>46191</v>
      </c>
      <c r="AS317" s="39">
        <v>612</v>
      </c>
      <c r="AT317" s="39">
        <f t="shared" ref="AT317:AT318" si="329">AS317-AQ317</f>
        <v>-2</v>
      </c>
      <c r="AU317" s="39" t="s">
        <v>257</v>
      </c>
      <c r="AV317" s="117">
        <v>46191</v>
      </c>
      <c r="AW317" s="39">
        <v>612</v>
      </c>
      <c r="AX317" s="117">
        <v>46192</v>
      </c>
      <c r="AY317" s="39">
        <v>600</v>
      </c>
      <c r="AZ317" s="39">
        <f t="shared" ref="AZ317:AZ318" si="330">AY317-AW317</f>
        <v>-12</v>
      </c>
      <c r="BA317" s="39"/>
      <c r="BB317" s="39"/>
      <c r="BC317" s="39"/>
      <c r="BD317" s="39"/>
      <c r="BE317" s="39"/>
      <c r="BF317" s="39">
        <f t="shared" ref="BF317:BF318" si="331">BE317-BC317</f>
        <v>0</v>
      </c>
      <c r="BG317" s="39"/>
      <c r="BH317" s="39"/>
      <c r="BI317" s="39"/>
      <c r="BJ317" s="39"/>
      <c r="BK317" s="39"/>
      <c r="BL317" s="39">
        <f t="shared" ref="BL317:BL318" si="332">BK317-BI317</f>
        <v>0</v>
      </c>
      <c r="BM317" s="54" t="str">
        <f t="shared" ref="BM317:BM318" si="333">IF((BZ317/L317)&lt;0.9,$CO$1-U317,"")</f>
        <v/>
      </c>
      <c r="BN317" s="56">
        <v>46183</v>
      </c>
      <c r="BO317" s="117">
        <v>46192</v>
      </c>
      <c r="BP317" s="39"/>
      <c r="BQ317" s="39"/>
      <c r="BR317" s="238"/>
      <c r="BS317" s="238"/>
      <c r="BT317" s="39" t="s">
        <v>1202</v>
      </c>
      <c r="BU317" s="39">
        <f>514+20+28+23</f>
        <v>585</v>
      </c>
      <c r="BV317" s="39">
        <v>1758</v>
      </c>
      <c r="BW317" s="39">
        <v>114</v>
      </c>
      <c r="BX317" s="39">
        <v>1758</v>
      </c>
      <c r="BY317" s="39">
        <v>9</v>
      </c>
      <c r="BZ317" s="39">
        <f t="shared" si="10"/>
        <v>708</v>
      </c>
      <c r="CA317" s="39">
        <f t="shared" si="11"/>
        <v>24</v>
      </c>
      <c r="CB317" s="39">
        <f t="shared" si="12"/>
        <v>8</v>
      </c>
      <c r="CC317" s="39">
        <f t="shared" si="13"/>
        <v>2</v>
      </c>
      <c r="CD317" s="39">
        <f t="shared" si="14"/>
        <v>0</v>
      </c>
      <c r="CE317" s="47">
        <f t="shared" si="15"/>
        <v>0</v>
      </c>
      <c r="CF317" s="36" t="s">
        <v>292</v>
      </c>
      <c r="CG317" s="39" t="s">
        <v>230</v>
      </c>
      <c r="CH317" s="39" t="s">
        <v>543</v>
      </c>
      <c r="CI317" s="25">
        <v>1</v>
      </c>
    </row>
    <row r="318" spans="1:88" ht="24.75" customHeight="1">
      <c r="A318" s="36" t="s">
        <v>51</v>
      </c>
      <c r="B318" s="28" t="s">
        <v>929</v>
      </c>
      <c r="C318" s="259"/>
      <c r="D318" s="36" t="s">
        <v>45</v>
      </c>
      <c r="E318" s="39">
        <v>340</v>
      </c>
      <c r="F318" s="39" t="s">
        <v>55</v>
      </c>
      <c r="G318" s="36" t="s">
        <v>322</v>
      </c>
      <c r="H318" s="36" t="s">
        <v>362</v>
      </c>
      <c r="I318" s="39">
        <v>561</v>
      </c>
      <c r="J318" s="39">
        <v>106</v>
      </c>
      <c r="K318" s="39">
        <v>7</v>
      </c>
      <c r="L318" s="39">
        <f t="shared" si="322"/>
        <v>674</v>
      </c>
      <c r="M318" s="117">
        <v>46178</v>
      </c>
      <c r="N318" s="117">
        <v>46183</v>
      </c>
      <c r="O318" s="39"/>
      <c r="P318" s="39"/>
      <c r="Q318" s="39"/>
      <c r="R318" s="39">
        <f t="shared" si="325"/>
        <v>0</v>
      </c>
      <c r="S318" s="39" t="s">
        <v>270</v>
      </c>
      <c r="T318" s="39"/>
      <c r="U318" s="39"/>
      <c r="V318" s="117">
        <v>46184</v>
      </c>
      <c r="W318" s="39">
        <f>649+124+10</f>
        <v>783</v>
      </c>
      <c r="X318" s="117" t="s">
        <v>1185</v>
      </c>
      <c r="Y318" s="39">
        <v>617</v>
      </c>
      <c r="Z318" s="39">
        <v>116</v>
      </c>
      <c r="AA318" s="39">
        <v>9</v>
      </c>
      <c r="AB318" s="119">
        <f t="shared" si="326"/>
        <v>742</v>
      </c>
      <c r="AC318" s="39"/>
      <c r="AD318" s="39"/>
      <c r="AE318" s="39"/>
      <c r="AF318" s="39"/>
      <c r="AG318" s="39"/>
      <c r="AH318" s="39">
        <f t="shared" si="327"/>
        <v>0</v>
      </c>
      <c r="AI318" s="39"/>
      <c r="AJ318" s="39"/>
      <c r="AK318" s="39"/>
      <c r="AL318" s="39"/>
      <c r="AM318" s="39"/>
      <c r="AN318" s="39">
        <f t="shared" si="328"/>
        <v>0</v>
      </c>
      <c r="AO318" s="39" t="s">
        <v>280</v>
      </c>
      <c r="AP318" s="117">
        <v>46192</v>
      </c>
      <c r="AQ318" s="39">
        <v>619</v>
      </c>
      <c r="AR318" s="117">
        <v>46193</v>
      </c>
      <c r="AS318" s="39">
        <v>614</v>
      </c>
      <c r="AT318" s="39">
        <f t="shared" si="329"/>
        <v>-5</v>
      </c>
      <c r="AU318" s="39" t="s">
        <v>257</v>
      </c>
      <c r="AV318" s="117">
        <v>46193</v>
      </c>
      <c r="AW318" s="39">
        <v>614</v>
      </c>
      <c r="AX318" s="117">
        <v>46194</v>
      </c>
      <c r="AY318" s="39">
        <v>604</v>
      </c>
      <c r="AZ318" s="39">
        <f t="shared" si="330"/>
        <v>-10</v>
      </c>
      <c r="BA318" s="39"/>
      <c r="BB318" s="39"/>
      <c r="BC318" s="39"/>
      <c r="BD318" s="39"/>
      <c r="BE318" s="39"/>
      <c r="BF318" s="39">
        <f t="shared" si="331"/>
        <v>0</v>
      </c>
      <c r="BG318" s="39"/>
      <c r="BH318" s="39"/>
      <c r="BI318" s="39"/>
      <c r="BJ318" s="39"/>
      <c r="BK318" s="39"/>
      <c r="BL318" s="39">
        <f t="shared" si="332"/>
        <v>0</v>
      </c>
      <c r="BM318" s="54" t="str">
        <f t="shared" si="333"/>
        <v/>
      </c>
      <c r="BN318" s="56">
        <v>46183</v>
      </c>
      <c r="BO318" s="117">
        <v>46192</v>
      </c>
      <c r="BP318" s="39"/>
      <c r="BQ318" s="39"/>
      <c r="BR318" s="239"/>
      <c r="BS318" s="239"/>
      <c r="BT318" s="39">
        <v>2110</v>
      </c>
      <c r="BU318" s="39">
        <v>582</v>
      </c>
      <c r="BV318" s="39">
        <v>1511</v>
      </c>
      <c r="BW318" s="39">
        <v>116</v>
      </c>
      <c r="BX318" s="39">
        <v>1511</v>
      </c>
      <c r="BY318" s="39">
        <v>9</v>
      </c>
      <c r="BZ318" s="39">
        <f t="shared" si="10"/>
        <v>707</v>
      </c>
      <c r="CA318" s="39">
        <f t="shared" si="11"/>
        <v>21</v>
      </c>
      <c r="CB318" s="39">
        <f t="shared" si="12"/>
        <v>10</v>
      </c>
      <c r="CC318" s="39">
        <f t="shared" si="13"/>
        <v>2</v>
      </c>
      <c r="CD318" s="39">
        <f t="shared" si="14"/>
        <v>0</v>
      </c>
      <c r="CE318" s="47">
        <f t="shared" si="15"/>
        <v>0</v>
      </c>
      <c r="CF318" s="36" t="s">
        <v>292</v>
      </c>
      <c r="CG318" s="39" t="s">
        <v>230</v>
      </c>
      <c r="CH318" s="39"/>
      <c r="CI318" s="25">
        <v>1</v>
      </c>
    </row>
    <row r="319" spans="1:88" ht="33.75" customHeight="1">
      <c r="A319" s="36" t="s">
        <v>51</v>
      </c>
      <c r="B319" s="28">
        <v>47819</v>
      </c>
      <c r="C319" s="138" t="s">
        <v>952</v>
      </c>
      <c r="D319" s="36" t="s">
        <v>24</v>
      </c>
      <c r="E319" s="39">
        <v>250</v>
      </c>
      <c r="F319" s="39" t="s">
        <v>64</v>
      </c>
      <c r="G319" s="36" t="s">
        <v>931</v>
      </c>
      <c r="H319" s="39" t="s">
        <v>212</v>
      </c>
      <c r="I319" s="39">
        <f>1197+60</f>
        <v>1257</v>
      </c>
      <c r="J319" s="39">
        <f>43+2</f>
        <v>45</v>
      </c>
      <c r="K319" s="39">
        <v>11</v>
      </c>
      <c r="L319" s="39">
        <f t="shared" si="322"/>
        <v>1313</v>
      </c>
      <c r="M319" s="117">
        <v>46183</v>
      </c>
      <c r="N319" s="117">
        <v>46188</v>
      </c>
      <c r="O319" s="39"/>
      <c r="P319" s="39"/>
      <c r="Q319" s="39"/>
      <c r="R319" s="39">
        <f t="shared" si="323"/>
        <v>0</v>
      </c>
      <c r="S319" s="39" t="s">
        <v>130</v>
      </c>
      <c r="T319" s="39" t="s">
        <v>1120</v>
      </c>
      <c r="U319" s="117" t="s">
        <v>1121</v>
      </c>
      <c r="V319" s="39"/>
      <c r="W319" s="39"/>
      <c r="X319" s="39"/>
      <c r="Y319" s="39">
        <f>709+610</f>
        <v>1319</v>
      </c>
      <c r="Z319" s="39">
        <f>27+26</f>
        <v>53</v>
      </c>
      <c r="AA319" s="39">
        <f>7+6</f>
        <v>13</v>
      </c>
      <c r="AB319" s="119">
        <f t="shared" si="324"/>
        <v>1385</v>
      </c>
      <c r="AC319" s="39"/>
      <c r="AD319" s="39"/>
      <c r="AE319" s="39"/>
      <c r="AF319" s="39"/>
      <c r="AG319" s="39"/>
      <c r="AH319" s="39">
        <f t="shared" si="3"/>
        <v>0</v>
      </c>
      <c r="AI319" s="39"/>
      <c r="AJ319" s="39"/>
      <c r="AK319" s="39"/>
      <c r="AL319" s="39"/>
      <c r="AM319" s="39"/>
      <c r="AN319" s="39">
        <f t="shared" si="4"/>
        <v>0</v>
      </c>
      <c r="AO319" s="39"/>
      <c r="AP319" s="39"/>
      <c r="AQ319" s="39"/>
      <c r="AR319" s="39"/>
      <c r="AS319" s="39"/>
      <c r="AT319" s="39">
        <f t="shared" si="5"/>
        <v>0</v>
      </c>
      <c r="AU319" s="39"/>
      <c r="AV319" s="39"/>
      <c r="AW319" s="39"/>
      <c r="AX319" s="39"/>
      <c r="AY319" s="39"/>
      <c r="AZ319" s="39">
        <f t="shared" si="6"/>
        <v>0</v>
      </c>
      <c r="BA319" s="39"/>
      <c r="BB319" s="39"/>
      <c r="BC319" s="39"/>
      <c r="BD319" s="39"/>
      <c r="BE319" s="39"/>
      <c r="BF319" s="39">
        <f t="shared" si="7"/>
        <v>0</v>
      </c>
      <c r="BG319" s="39"/>
      <c r="BH319" s="39"/>
      <c r="BI319" s="39"/>
      <c r="BJ319" s="39"/>
      <c r="BK319" s="39"/>
      <c r="BL319" s="39">
        <f t="shared" si="8"/>
        <v>0</v>
      </c>
      <c r="BM319" s="54" t="str">
        <f t="shared" si="9"/>
        <v/>
      </c>
      <c r="BN319" s="56">
        <v>46186</v>
      </c>
      <c r="BO319" s="117">
        <v>46191</v>
      </c>
      <c r="BP319" s="39"/>
      <c r="BQ319" s="39"/>
      <c r="BR319" s="50">
        <v>46193</v>
      </c>
      <c r="BS319" s="50">
        <v>46196</v>
      </c>
      <c r="BT319" s="39" t="s">
        <v>1138</v>
      </c>
      <c r="BU319" s="39">
        <f>658+569</f>
        <v>1227</v>
      </c>
      <c r="BV319" s="39" t="s">
        <v>1138</v>
      </c>
      <c r="BW319" s="39">
        <f>25+25</f>
        <v>50</v>
      </c>
      <c r="BX319" s="39" t="s">
        <v>1138</v>
      </c>
      <c r="BY319" s="39">
        <f>6+5</f>
        <v>11</v>
      </c>
      <c r="BZ319" s="39">
        <f t="shared" si="10"/>
        <v>1288</v>
      </c>
      <c r="CA319" s="39">
        <f t="shared" si="11"/>
        <v>-30</v>
      </c>
      <c r="CB319" s="39">
        <f t="shared" si="12"/>
        <v>5</v>
      </c>
      <c r="CC319" s="39">
        <f t="shared" si="13"/>
        <v>0</v>
      </c>
      <c r="CD319" s="39">
        <v>0</v>
      </c>
      <c r="CE319" s="47">
        <f t="shared" si="15"/>
        <v>0</v>
      </c>
      <c r="CF319" s="36" t="s">
        <v>292</v>
      </c>
      <c r="CG319" s="39" t="s">
        <v>230</v>
      </c>
      <c r="CH319" s="39"/>
      <c r="CI319" s="25">
        <v>1</v>
      </c>
    </row>
    <row r="320" spans="1:88" ht="24.75" customHeight="1">
      <c r="A320" s="36" t="s">
        <v>51</v>
      </c>
      <c r="B320" s="28"/>
      <c r="C320" s="41"/>
      <c r="D320" s="36"/>
      <c r="E320" s="39"/>
      <c r="F320" s="39"/>
      <c r="G320" s="36"/>
      <c r="H320" s="39"/>
      <c r="I320" s="39"/>
      <c r="J320" s="39"/>
      <c r="K320" s="39"/>
      <c r="L320" s="39">
        <f t="shared" si="322"/>
        <v>0</v>
      </c>
      <c r="M320" s="39"/>
      <c r="N320" s="39"/>
      <c r="O320" s="39"/>
      <c r="P320" s="39"/>
      <c r="Q320" s="39"/>
      <c r="R320" s="39">
        <f t="shared" si="323"/>
        <v>0</v>
      </c>
      <c r="S320" s="39"/>
      <c r="T320" s="39"/>
      <c r="U320" s="39"/>
      <c r="V320" s="39"/>
      <c r="W320" s="39"/>
      <c r="X320" s="39"/>
      <c r="Y320" s="39"/>
      <c r="Z320" s="39"/>
      <c r="AA320" s="39"/>
      <c r="AB320" s="39">
        <f t="shared" si="324"/>
        <v>0</v>
      </c>
      <c r="AC320" s="39"/>
      <c r="AD320" s="39"/>
      <c r="AE320" s="39"/>
      <c r="AF320" s="39"/>
      <c r="AG320" s="39"/>
      <c r="AH320" s="39">
        <f t="shared" si="3"/>
        <v>0</v>
      </c>
      <c r="AI320" s="39"/>
      <c r="AJ320" s="39"/>
      <c r="AK320" s="39"/>
      <c r="AL320" s="39"/>
      <c r="AM320" s="39"/>
      <c r="AN320" s="39">
        <f t="shared" si="4"/>
        <v>0</v>
      </c>
      <c r="AO320" s="39"/>
      <c r="AP320" s="39"/>
      <c r="AQ320" s="39"/>
      <c r="AR320" s="39"/>
      <c r="AS320" s="39"/>
      <c r="AT320" s="39">
        <f t="shared" si="5"/>
        <v>0</v>
      </c>
      <c r="AU320" s="39"/>
      <c r="AV320" s="39"/>
      <c r="AW320" s="39"/>
      <c r="AX320" s="39"/>
      <c r="AY320" s="39"/>
      <c r="AZ320" s="39">
        <f t="shared" si="6"/>
        <v>0</v>
      </c>
      <c r="BA320" s="39"/>
      <c r="BB320" s="39"/>
      <c r="BC320" s="39"/>
      <c r="BD320" s="39"/>
      <c r="BE320" s="39"/>
      <c r="BF320" s="39">
        <f t="shared" si="7"/>
        <v>0</v>
      </c>
      <c r="BG320" s="39"/>
      <c r="BH320" s="39"/>
      <c r="BI320" s="39"/>
      <c r="BJ320" s="39"/>
      <c r="BK320" s="39"/>
      <c r="BL320" s="39">
        <f t="shared" si="8"/>
        <v>0</v>
      </c>
      <c r="BM320" s="54" t="e">
        <f t="shared" si="9"/>
        <v>#DIV/0!</v>
      </c>
      <c r="BN320" s="42"/>
      <c r="BO320" s="39"/>
      <c r="BP320" s="39"/>
      <c r="BQ320" s="39"/>
      <c r="BR320" s="40"/>
      <c r="BS320" s="40"/>
      <c r="BT320" s="39"/>
      <c r="BU320" s="39"/>
      <c r="BV320" s="39"/>
      <c r="BW320" s="39"/>
      <c r="BX320" s="39"/>
      <c r="BY320" s="39"/>
      <c r="BZ320" s="39">
        <f t="shared" si="10"/>
        <v>0</v>
      </c>
      <c r="CA320" s="39">
        <f t="shared" si="11"/>
        <v>0</v>
      </c>
      <c r="CB320" s="39">
        <f t="shared" si="12"/>
        <v>0</v>
      </c>
      <c r="CC320" s="39">
        <f t="shared" si="13"/>
        <v>0</v>
      </c>
      <c r="CD320" s="39">
        <f t="shared" si="14"/>
        <v>0</v>
      </c>
      <c r="CE320" s="47" t="e">
        <f t="shared" si="15"/>
        <v>#DIV/0!</v>
      </c>
      <c r="CF320" s="36"/>
      <c r="CG320" s="39"/>
      <c r="CH320" s="39"/>
      <c r="CI320" s="25">
        <v>1</v>
      </c>
    </row>
    <row r="321" spans="1:87" ht="24.75" customHeight="1">
      <c r="A321" s="36" t="s">
        <v>51</v>
      </c>
      <c r="B321" s="28"/>
      <c r="C321" s="41"/>
      <c r="D321" s="36"/>
      <c r="E321" s="39"/>
      <c r="F321" s="39"/>
      <c r="G321" s="36"/>
      <c r="H321" s="39"/>
      <c r="I321" s="39"/>
      <c r="J321" s="39"/>
      <c r="K321" s="39"/>
      <c r="L321" s="39">
        <f t="shared" si="322"/>
        <v>0</v>
      </c>
      <c r="M321" s="39"/>
      <c r="N321" s="39"/>
      <c r="O321" s="39"/>
      <c r="P321" s="39"/>
      <c r="Q321" s="39"/>
      <c r="R321" s="39">
        <f t="shared" si="323"/>
        <v>0</v>
      </c>
      <c r="S321" s="39"/>
      <c r="T321" s="39"/>
      <c r="U321" s="39"/>
      <c r="V321" s="39"/>
      <c r="W321" s="39"/>
      <c r="X321" s="39"/>
      <c r="Y321" s="39"/>
      <c r="Z321" s="39"/>
      <c r="AA321" s="39"/>
      <c r="AB321" s="39">
        <f t="shared" si="324"/>
        <v>0</v>
      </c>
      <c r="AC321" s="39"/>
      <c r="AD321" s="39"/>
      <c r="AE321" s="39"/>
      <c r="AF321" s="39"/>
      <c r="AG321" s="39"/>
      <c r="AH321" s="39">
        <f t="shared" si="3"/>
        <v>0</v>
      </c>
      <c r="AI321" s="39"/>
      <c r="AJ321" s="39"/>
      <c r="AK321" s="39"/>
      <c r="AL321" s="39"/>
      <c r="AM321" s="39"/>
      <c r="AN321" s="39">
        <f t="shared" si="4"/>
        <v>0</v>
      </c>
      <c r="AO321" s="39"/>
      <c r="AP321" s="39"/>
      <c r="AQ321" s="39"/>
      <c r="AR321" s="39"/>
      <c r="AS321" s="39"/>
      <c r="AT321" s="39">
        <f t="shared" si="5"/>
        <v>0</v>
      </c>
      <c r="AU321" s="39"/>
      <c r="AV321" s="39"/>
      <c r="AW321" s="39"/>
      <c r="AX321" s="39"/>
      <c r="AY321" s="39"/>
      <c r="AZ321" s="39">
        <f t="shared" si="6"/>
        <v>0</v>
      </c>
      <c r="BA321" s="39"/>
      <c r="BB321" s="39"/>
      <c r="BC321" s="39"/>
      <c r="BD321" s="39"/>
      <c r="BE321" s="39"/>
      <c r="BF321" s="39">
        <f t="shared" si="7"/>
        <v>0</v>
      </c>
      <c r="BG321" s="39"/>
      <c r="BH321" s="39"/>
      <c r="BI321" s="39"/>
      <c r="BJ321" s="39"/>
      <c r="BK321" s="39"/>
      <c r="BL321" s="39">
        <f t="shared" si="8"/>
        <v>0</v>
      </c>
      <c r="BM321" s="54" t="e">
        <f t="shared" si="9"/>
        <v>#DIV/0!</v>
      </c>
      <c r="BN321" s="42"/>
      <c r="BO321" s="39"/>
      <c r="BP321" s="39"/>
      <c r="BQ321" s="39"/>
      <c r="BR321" s="40"/>
      <c r="BS321" s="40"/>
      <c r="BT321" s="39"/>
      <c r="BU321" s="39"/>
      <c r="BV321" s="39"/>
      <c r="BW321" s="39"/>
      <c r="BX321" s="39"/>
      <c r="BY321" s="39"/>
      <c r="BZ321" s="39">
        <f t="shared" si="10"/>
        <v>0</v>
      </c>
      <c r="CA321" s="39">
        <f t="shared" si="11"/>
        <v>0</v>
      </c>
      <c r="CB321" s="39">
        <f t="shared" si="12"/>
        <v>0</v>
      </c>
      <c r="CC321" s="39">
        <f t="shared" si="13"/>
        <v>0</v>
      </c>
      <c r="CD321" s="39">
        <f t="shared" si="14"/>
        <v>0</v>
      </c>
      <c r="CE321" s="47" t="e">
        <f t="shared" si="15"/>
        <v>#DIV/0!</v>
      </c>
      <c r="CF321" s="36"/>
      <c r="CG321" s="39"/>
      <c r="CH321" s="39"/>
      <c r="CI321" s="25">
        <v>1</v>
      </c>
    </row>
    <row r="322" spans="1:87" ht="24.75" customHeight="1">
      <c r="A322" s="36" t="s">
        <v>51</v>
      </c>
      <c r="B322" s="28"/>
      <c r="C322" s="41"/>
      <c r="D322" s="36"/>
      <c r="E322" s="39"/>
      <c r="F322" s="39"/>
      <c r="G322" s="36"/>
      <c r="H322" s="39"/>
      <c r="I322" s="39"/>
      <c r="J322" s="39"/>
      <c r="K322" s="39"/>
      <c r="L322" s="39">
        <f t="shared" si="322"/>
        <v>0</v>
      </c>
      <c r="M322" s="39"/>
      <c r="N322" s="39"/>
      <c r="O322" s="39"/>
      <c r="P322" s="39"/>
      <c r="Q322" s="39"/>
      <c r="R322" s="39">
        <f t="shared" si="323"/>
        <v>0</v>
      </c>
      <c r="S322" s="39"/>
      <c r="T322" s="39"/>
      <c r="U322" s="39"/>
      <c r="V322" s="39"/>
      <c r="W322" s="39"/>
      <c r="X322" s="39"/>
      <c r="Y322" s="39"/>
      <c r="Z322" s="39"/>
      <c r="AA322" s="39"/>
      <c r="AB322" s="39">
        <f t="shared" si="324"/>
        <v>0</v>
      </c>
      <c r="AC322" s="39"/>
      <c r="AD322" s="39"/>
      <c r="AE322" s="39"/>
      <c r="AF322" s="39"/>
      <c r="AG322" s="39"/>
      <c r="AH322" s="39">
        <f t="shared" si="3"/>
        <v>0</v>
      </c>
      <c r="AI322" s="39"/>
      <c r="AJ322" s="39"/>
      <c r="AK322" s="39"/>
      <c r="AL322" s="39"/>
      <c r="AM322" s="39"/>
      <c r="AN322" s="39">
        <f t="shared" si="4"/>
        <v>0</v>
      </c>
      <c r="AO322" s="39"/>
      <c r="AP322" s="39"/>
      <c r="AQ322" s="39"/>
      <c r="AR322" s="39"/>
      <c r="AS322" s="39"/>
      <c r="AT322" s="39">
        <f t="shared" si="5"/>
        <v>0</v>
      </c>
      <c r="AU322" s="39"/>
      <c r="AV322" s="39"/>
      <c r="AW322" s="39"/>
      <c r="AX322" s="39"/>
      <c r="AY322" s="39"/>
      <c r="AZ322" s="39">
        <f t="shared" si="6"/>
        <v>0</v>
      </c>
      <c r="BA322" s="39"/>
      <c r="BB322" s="39"/>
      <c r="BC322" s="39"/>
      <c r="BD322" s="39"/>
      <c r="BE322" s="39"/>
      <c r="BF322" s="39">
        <f t="shared" si="7"/>
        <v>0</v>
      </c>
      <c r="BG322" s="39"/>
      <c r="BH322" s="39"/>
      <c r="BI322" s="39"/>
      <c r="BJ322" s="39"/>
      <c r="BK322" s="39"/>
      <c r="BL322" s="39">
        <f t="shared" si="8"/>
        <v>0</v>
      </c>
      <c r="BM322" s="54" t="e">
        <f t="shared" si="9"/>
        <v>#DIV/0!</v>
      </c>
      <c r="BN322" s="42"/>
      <c r="BO322" s="39"/>
      <c r="BP322" s="39"/>
      <c r="BQ322" s="39"/>
      <c r="BR322" s="40"/>
      <c r="BS322" s="40"/>
      <c r="BT322" s="39"/>
      <c r="BU322" s="39"/>
      <c r="BV322" s="39"/>
      <c r="BW322" s="39"/>
      <c r="BX322" s="39"/>
      <c r="BY322" s="39"/>
      <c r="BZ322" s="39">
        <f t="shared" si="10"/>
        <v>0</v>
      </c>
      <c r="CA322" s="39">
        <f t="shared" si="11"/>
        <v>0</v>
      </c>
      <c r="CB322" s="39">
        <f t="shared" si="12"/>
        <v>0</v>
      </c>
      <c r="CC322" s="39">
        <f t="shared" si="13"/>
        <v>0</v>
      </c>
      <c r="CD322" s="39">
        <f t="shared" si="14"/>
        <v>0</v>
      </c>
      <c r="CE322" s="47" t="e">
        <f t="shared" si="15"/>
        <v>#DIV/0!</v>
      </c>
      <c r="CF322" s="36"/>
      <c r="CG322" s="39"/>
      <c r="CH322" s="39"/>
      <c r="CI322" s="25">
        <v>1</v>
      </c>
    </row>
    <row r="323" spans="1:87" ht="24.75" customHeight="1">
      <c r="A323" s="36" t="s">
        <v>51</v>
      </c>
      <c r="B323" s="28"/>
      <c r="C323" s="41"/>
      <c r="D323" s="36"/>
      <c r="E323" s="39"/>
      <c r="F323" s="39"/>
      <c r="G323" s="36"/>
      <c r="H323" s="39"/>
      <c r="I323" s="39"/>
      <c r="J323" s="39"/>
      <c r="K323" s="39"/>
      <c r="L323" s="39">
        <f t="shared" si="322"/>
        <v>0</v>
      </c>
      <c r="M323" s="39"/>
      <c r="N323" s="39"/>
      <c r="O323" s="39"/>
      <c r="P323" s="39"/>
      <c r="Q323" s="39"/>
      <c r="R323" s="39">
        <f t="shared" si="323"/>
        <v>0</v>
      </c>
      <c r="S323" s="39"/>
      <c r="T323" s="39"/>
      <c r="U323" s="39"/>
      <c r="V323" s="39"/>
      <c r="W323" s="39"/>
      <c r="X323" s="39"/>
      <c r="Y323" s="39"/>
      <c r="Z323" s="39"/>
      <c r="AA323" s="39"/>
      <c r="AB323" s="39">
        <f t="shared" si="324"/>
        <v>0</v>
      </c>
      <c r="AC323" s="39"/>
      <c r="AD323" s="39"/>
      <c r="AE323" s="39"/>
      <c r="AF323" s="39"/>
      <c r="AG323" s="39"/>
      <c r="AH323" s="39">
        <f t="shared" si="3"/>
        <v>0</v>
      </c>
      <c r="AI323" s="39"/>
      <c r="AJ323" s="39"/>
      <c r="AK323" s="39"/>
      <c r="AL323" s="39"/>
      <c r="AM323" s="39"/>
      <c r="AN323" s="39">
        <f t="shared" si="4"/>
        <v>0</v>
      </c>
      <c r="AO323" s="39"/>
      <c r="AP323" s="39"/>
      <c r="AQ323" s="39"/>
      <c r="AR323" s="39"/>
      <c r="AS323" s="39"/>
      <c r="AT323" s="39">
        <f t="shared" si="5"/>
        <v>0</v>
      </c>
      <c r="AU323" s="39"/>
      <c r="AV323" s="39"/>
      <c r="AW323" s="39"/>
      <c r="AX323" s="39"/>
      <c r="AY323" s="39"/>
      <c r="AZ323" s="39">
        <f t="shared" si="6"/>
        <v>0</v>
      </c>
      <c r="BA323" s="39"/>
      <c r="BB323" s="39"/>
      <c r="BC323" s="39"/>
      <c r="BD323" s="39"/>
      <c r="BE323" s="39"/>
      <c r="BF323" s="39">
        <f t="shared" si="7"/>
        <v>0</v>
      </c>
      <c r="BG323" s="39"/>
      <c r="BH323" s="39"/>
      <c r="BI323" s="39"/>
      <c r="BJ323" s="39"/>
      <c r="BK323" s="39"/>
      <c r="BL323" s="39">
        <f t="shared" si="8"/>
        <v>0</v>
      </c>
      <c r="BM323" s="54" t="e">
        <f t="shared" si="9"/>
        <v>#DIV/0!</v>
      </c>
      <c r="BN323" s="42"/>
      <c r="BO323" s="39"/>
      <c r="BP323" s="39"/>
      <c r="BQ323" s="39"/>
      <c r="BR323" s="40"/>
      <c r="BS323" s="40"/>
      <c r="BT323" s="39"/>
      <c r="BU323" s="39"/>
      <c r="BV323" s="39"/>
      <c r="BW323" s="39"/>
      <c r="BX323" s="39"/>
      <c r="BY323" s="39"/>
      <c r="BZ323" s="39">
        <f t="shared" si="10"/>
        <v>0</v>
      </c>
      <c r="CA323" s="39">
        <f t="shared" si="11"/>
        <v>0</v>
      </c>
      <c r="CB323" s="39">
        <f t="shared" si="12"/>
        <v>0</v>
      </c>
      <c r="CC323" s="39">
        <f t="shared" si="13"/>
        <v>0</v>
      </c>
      <c r="CD323" s="39">
        <f t="shared" si="14"/>
        <v>0</v>
      </c>
      <c r="CE323" s="47" t="e">
        <f t="shared" si="15"/>
        <v>#DIV/0!</v>
      </c>
      <c r="CF323" s="36"/>
      <c r="CG323" s="39"/>
      <c r="CH323" s="39"/>
      <c r="CI323" s="25">
        <v>1</v>
      </c>
    </row>
    <row r="324" spans="1:87" ht="24.75" customHeight="1">
      <c r="A324" s="36" t="s">
        <v>51</v>
      </c>
      <c r="B324" s="28"/>
      <c r="C324" s="41"/>
      <c r="D324" s="36"/>
      <c r="E324" s="39"/>
      <c r="F324" s="39"/>
      <c r="G324" s="36"/>
      <c r="H324" s="39"/>
      <c r="I324" s="39"/>
      <c r="J324" s="39"/>
      <c r="K324" s="39"/>
      <c r="L324" s="39">
        <f t="shared" si="322"/>
        <v>0</v>
      </c>
      <c r="M324" s="39"/>
      <c r="N324" s="39"/>
      <c r="O324" s="39"/>
      <c r="P324" s="39"/>
      <c r="Q324" s="39"/>
      <c r="R324" s="39">
        <f t="shared" si="323"/>
        <v>0</v>
      </c>
      <c r="S324" s="39"/>
      <c r="T324" s="39"/>
      <c r="U324" s="39"/>
      <c r="V324" s="39"/>
      <c r="W324" s="39"/>
      <c r="X324" s="39"/>
      <c r="Y324" s="39"/>
      <c r="Z324" s="39"/>
      <c r="AA324" s="39"/>
      <c r="AB324" s="39">
        <f t="shared" si="324"/>
        <v>0</v>
      </c>
      <c r="AC324" s="39"/>
      <c r="AD324" s="39"/>
      <c r="AE324" s="39"/>
      <c r="AF324" s="39"/>
      <c r="AG324" s="39"/>
      <c r="AH324" s="39">
        <f t="shared" si="3"/>
        <v>0</v>
      </c>
      <c r="AI324" s="39"/>
      <c r="AJ324" s="39"/>
      <c r="AK324" s="39"/>
      <c r="AL324" s="39"/>
      <c r="AM324" s="39"/>
      <c r="AN324" s="39">
        <f t="shared" si="4"/>
        <v>0</v>
      </c>
      <c r="AO324" s="39"/>
      <c r="AP324" s="39"/>
      <c r="AQ324" s="39"/>
      <c r="AR324" s="39"/>
      <c r="AS324" s="39"/>
      <c r="AT324" s="39">
        <f t="shared" si="5"/>
        <v>0</v>
      </c>
      <c r="AU324" s="39"/>
      <c r="AV324" s="39"/>
      <c r="AW324" s="39"/>
      <c r="AX324" s="39"/>
      <c r="AY324" s="39"/>
      <c r="AZ324" s="39">
        <f t="shared" si="6"/>
        <v>0</v>
      </c>
      <c r="BA324" s="39"/>
      <c r="BB324" s="39"/>
      <c r="BC324" s="39"/>
      <c r="BD324" s="39"/>
      <c r="BE324" s="39"/>
      <c r="BF324" s="39">
        <f t="shared" si="7"/>
        <v>0</v>
      </c>
      <c r="BG324" s="39"/>
      <c r="BH324" s="39"/>
      <c r="BI324" s="39"/>
      <c r="BJ324" s="39"/>
      <c r="BK324" s="39"/>
      <c r="BL324" s="39">
        <f t="shared" si="8"/>
        <v>0</v>
      </c>
      <c r="BM324" s="54" t="e">
        <f t="shared" si="9"/>
        <v>#DIV/0!</v>
      </c>
      <c r="BN324" s="42"/>
      <c r="BO324" s="39"/>
      <c r="BP324" s="39"/>
      <c r="BQ324" s="39"/>
      <c r="BR324" s="40"/>
      <c r="BS324" s="40"/>
      <c r="BT324" s="39"/>
      <c r="BU324" s="39"/>
      <c r="BV324" s="39"/>
      <c r="BW324" s="39"/>
      <c r="BX324" s="39"/>
      <c r="BY324" s="39"/>
      <c r="BZ324" s="39">
        <f t="shared" si="10"/>
        <v>0</v>
      </c>
      <c r="CA324" s="39">
        <f t="shared" si="11"/>
        <v>0</v>
      </c>
      <c r="CB324" s="39">
        <f t="shared" si="12"/>
        <v>0</v>
      </c>
      <c r="CC324" s="39">
        <f t="shared" si="13"/>
        <v>0</v>
      </c>
      <c r="CD324" s="39">
        <f t="shared" si="14"/>
        <v>0</v>
      </c>
      <c r="CE324" s="47" t="e">
        <f t="shared" si="15"/>
        <v>#DIV/0!</v>
      </c>
      <c r="CF324" s="36"/>
      <c r="CG324" s="39"/>
      <c r="CH324" s="39"/>
      <c r="CI324" s="25">
        <v>1</v>
      </c>
    </row>
    <row r="325" spans="1:87" ht="24.75" customHeight="1">
      <c r="A325" s="36" t="s">
        <v>51</v>
      </c>
      <c r="B325" s="28"/>
      <c r="C325" s="41"/>
      <c r="D325" s="36"/>
      <c r="E325" s="39"/>
      <c r="F325" s="39"/>
      <c r="G325" s="36"/>
      <c r="H325" s="39"/>
      <c r="I325" s="39"/>
      <c r="J325" s="39"/>
      <c r="K325" s="39"/>
      <c r="L325" s="39">
        <f t="shared" si="322"/>
        <v>0</v>
      </c>
      <c r="M325" s="39"/>
      <c r="N325" s="39"/>
      <c r="O325" s="39"/>
      <c r="P325" s="39"/>
      <c r="Q325" s="39"/>
      <c r="R325" s="39">
        <f t="shared" si="323"/>
        <v>0</v>
      </c>
      <c r="S325" s="39"/>
      <c r="T325" s="39"/>
      <c r="U325" s="39"/>
      <c r="V325" s="39"/>
      <c r="W325" s="39"/>
      <c r="X325" s="39"/>
      <c r="Y325" s="39"/>
      <c r="Z325" s="39"/>
      <c r="AA325" s="39"/>
      <c r="AB325" s="39">
        <f t="shared" si="324"/>
        <v>0</v>
      </c>
      <c r="AC325" s="39"/>
      <c r="AD325" s="39"/>
      <c r="AE325" s="39"/>
      <c r="AF325" s="39"/>
      <c r="AG325" s="39"/>
      <c r="AH325" s="39">
        <f t="shared" si="3"/>
        <v>0</v>
      </c>
      <c r="AI325" s="39"/>
      <c r="AJ325" s="39"/>
      <c r="AK325" s="39"/>
      <c r="AL325" s="39"/>
      <c r="AM325" s="39"/>
      <c r="AN325" s="39">
        <f t="shared" si="4"/>
        <v>0</v>
      </c>
      <c r="AO325" s="39"/>
      <c r="AP325" s="39"/>
      <c r="AQ325" s="39"/>
      <c r="AR325" s="39"/>
      <c r="AS325" s="39"/>
      <c r="AT325" s="39">
        <f t="shared" si="5"/>
        <v>0</v>
      </c>
      <c r="AU325" s="39"/>
      <c r="AV325" s="39"/>
      <c r="AW325" s="39"/>
      <c r="AX325" s="39"/>
      <c r="AY325" s="39"/>
      <c r="AZ325" s="39">
        <f t="shared" si="6"/>
        <v>0</v>
      </c>
      <c r="BA325" s="39"/>
      <c r="BB325" s="39"/>
      <c r="BC325" s="39"/>
      <c r="BD325" s="39"/>
      <c r="BE325" s="39"/>
      <c r="BF325" s="39">
        <f t="shared" si="7"/>
        <v>0</v>
      </c>
      <c r="BG325" s="39"/>
      <c r="BH325" s="39"/>
      <c r="BI325" s="39"/>
      <c r="BJ325" s="39"/>
      <c r="BK325" s="39"/>
      <c r="BL325" s="39">
        <f t="shared" si="8"/>
        <v>0</v>
      </c>
      <c r="BM325" s="54" t="e">
        <f t="shared" si="9"/>
        <v>#DIV/0!</v>
      </c>
      <c r="BN325" s="42"/>
      <c r="BO325" s="39"/>
      <c r="BP325" s="39"/>
      <c r="BQ325" s="39"/>
      <c r="BR325" s="40"/>
      <c r="BS325" s="40"/>
      <c r="BT325" s="39"/>
      <c r="BU325" s="39"/>
      <c r="BV325" s="39"/>
      <c r="BW325" s="39"/>
      <c r="BX325" s="39"/>
      <c r="BY325" s="39"/>
      <c r="BZ325" s="39">
        <f t="shared" si="10"/>
        <v>0</v>
      </c>
      <c r="CA325" s="39">
        <f t="shared" si="11"/>
        <v>0</v>
      </c>
      <c r="CB325" s="39">
        <f t="shared" si="12"/>
        <v>0</v>
      </c>
      <c r="CC325" s="39">
        <f t="shared" si="13"/>
        <v>0</v>
      </c>
      <c r="CD325" s="39">
        <f t="shared" si="14"/>
        <v>0</v>
      </c>
      <c r="CE325" s="47" t="e">
        <f t="shared" si="15"/>
        <v>#DIV/0!</v>
      </c>
      <c r="CF325" s="36"/>
      <c r="CG325" s="39"/>
      <c r="CH325" s="39"/>
      <c r="CI325" s="25">
        <v>1</v>
      </c>
    </row>
    <row r="326" spans="1:87" ht="24.75" customHeight="1">
      <c r="A326" s="36" t="s">
        <v>51</v>
      </c>
      <c r="B326" s="28" t="s">
        <v>906</v>
      </c>
      <c r="C326" s="235">
        <v>22039183</v>
      </c>
      <c r="D326" s="36" t="s">
        <v>45</v>
      </c>
      <c r="E326" s="39">
        <v>340</v>
      </c>
      <c r="F326" s="39" t="s">
        <v>55</v>
      </c>
      <c r="G326" s="36" t="s">
        <v>322</v>
      </c>
      <c r="H326" s="36" t="s">
        <v>362</v>
      </c>
      <c r="I326" s="39">
        <v>1630</v>
      </c>
      <c r="J326" s="39">
        <v>241</v>
      </c>
      <c r="K326" s="39">
        <v>9</v>
      </c>
      <c r="L326" s="39">
        <f t="shared" ref="L326:L333" si="334">SUM(I326:K326)</f>
        <v>1880</v>
      </c>
      <c r="M326" s="117">
        <v>46178</v>
      </c>
      <c r="N326" s="117">
        <v>46186</v>
      </c>
      <c r="O326" s="39"/>
      <c r="P326" s="39"/>
      <c r="Q326" s="39"/>
      <c r="R326" s="39">
        <f t="shared" si="323"/>
        <v>0</v>
      </c>
      <c r="S326" s="39" t="s">
        <v>270</v>
      </c>
      <c r="T326" s="39"/>
      <c r="U326" s="39"/>
      <c r="V326" s="117" t="s">
        <v>1095</v>
      </c>
      <c r="W326" s="39">
        <f>1428+265+12+395+28</f>
        <v>2128</v>
      </c>
      <c r="X326" s="117" t="s">
        <v>1427</v>
      </c>
      <c r="Y326" s="39">
        <f>256+1119+205+179</f>
        <v>1759</v>
      </c>
      <c r="Z326" s="39">
        <f>35+190+20</f>
        <v>245</v>
      </c>
      <c r="AA326" s="39">
        <f>2+10</f>
        <v>12</v>
      </c>
      <c r="AB326" s="119">
        <f t="shared" si="324"/>
        <v>2016</v>
      </c>
      <c r="AC326" s="39"/>
      <c r="AD326" s="39"/>
      <c r="AE326" s="39"/>
      <c r="AF326" s="39"/>
      <c r="AG326" s="39"/>
      <c r="AH326" s="39">
        <f t="shared" si="3"/>
        <v>0</v>
      </c>
      <c r="AI326" s="39"/>
      <c r="AJ326" s="39"/>
      <c r="AK326" s="39"/>
      <c r="AL326" s="39"/>
      <c r="AM326" s="39"/>
      <c r="AN326" s="39">
        <f t="shared" si="4"/>
        <v>0</v>
      </c>
      <c r="AO326" s="39" t="s">
        <v>558</v>
      </c>
      <c r="AP326" s="117" t="s">
        <v>1307</v>
      </c>
      <c r="AQ326" s="39">
        <f>256+1122+206+180</f>
        <v>1764</v>
      </c>
      <c r="AR326" s="117" t="s">
        <v>1351</v>
      </c>
      <c r="AS326" s="39">
        <f>256+1110+206+177</f>
        <v>1749</v>
      </c>
      <c r="AT326" s="39">
        <f t="shared" si="5"/>
        <v>-15</v>
      </c>
      <c r="AU326" s="39" t="s">
        <v>274</v>
      </c>
      <c r="AV326" s="117" t="s">
        <v>1308</v>
      </c>
      <c r="AW326" s="39">
        <f>256+1110+206+180</f>
        <v>1752</v>
      </c>
      <c r="AX326" s="117" t="s">
        <v>1352</v>
      </c>
      <c r="AY326" s="39">
        <f>253+1093+202+177</f>
        <v>1725</v>
      </c>
      <c r="AZ326" s="39">
        <f t="shared" si="6"/>
        <v>-27</v>
      </c>
      <c r="BA326" s="39"/>
      <c r="BB326" s="39"/>
      <c r="BC326" s="39"/>
      <c r="BD326" s="39"/>
      <c r="BE326" s="39"/>
      <c r="BF326" s="39">
        <f t="shared" si="7"/>
        <v>0</v>
      </c>
      <c r="BG326" s="39"/>
      <c r="BH326" s="39"/>
      <c r="BI326" s="39"/>
      <c r="BJ326" s="39"/>
      <c r="BK326" s="39"/>
      <c r="BL326" s="39">
        <f t="shared" si="8"/>
        <v>0</v>
      </c>
      <c r="BM326" s="54" t="str">
        <f t="shared" si="9"/>
        <v/>
      </c>
      <c r="BN326" s="59">
        <v>46186</v>
      </c>
      <c r="BO326" s="57">
        <v>46198</v>
      </c>
      <c r="BP326" s="36"/>
      <c r="BQ326" s="36"/>
      <c r="BR326" s="237">
        <v>46196</v>
      </c>
      <c r="BS326" s="237">
        <v>46216</v>
      </c>
      <c r="BT326" s="39" t="s">
        <v>1419</v>
      </c>
      <c r="BU326" s="39">
        <f>243+1060+200+172</f>
        <v>1675</v>
      </c>
      <c r="BV326" s="39" t="s">
        <v>1457</v>
      </c>
      <c r="BW326" s="39">
        <f>35+190+20</f>
        <v>245</v>
      </c>
      <c r="BX326" s="39" t="s">
        <v>1270</v>
      </c>
      <c r="BY326" s="39">
        <f>2+10</f>
        <v>12</v>
      </c>
      <c r="BZ326" s="39">
        <f t="shared" si="10"/>
        <v>1932</v>
      </c>
      <c r="CA326" s="39">
        <f t="shared" si="11"/>
        <v>45</v>
      </c>
      <c r="CB326" s="39">
        <f t="shared" si="12"/>
        <v>4</v>
      </c>
      <c r="CC326" s="39">
        <f t="shared" si="13"/>
        <v>3</v>
      </c>
      <c r="CD326" s="39">
        <f t="shared" si="14"/>
        <v>0</v>
      </c>
      <c r="CE326" s="102">
        <f t="shared" si="15"/>
        <v>0</v>
      </c>
      <c r="CF326" s="36" t="s">
        <v>292</v>
      </c>
      <c r="CG326" s="39" t="s">
        <v>230</v>
      </c>
      <c r="CH326" s="39"/>
      <c r="CI326" s="25">
        <v>2</v>
      </c>
    </row>
    <row r="327" spans="1:87" ht="24.75" customHeight="1">
      <c r="A327" s="36" t="s">
        <v>51</v>
      </c>
      <c r="B327" s="28" t="s">
        <v>906</v>
      </c>
      <c r="C327" s="240"/>
      <c r="D327" s="36" t="s">
        <v>45</v>
      </c>
      <c r="E327" s="39">
        <v>340</v>
      </c>
      <c r="F327" s="39" t="s">
        <v>55</v>
      </c>
      <c r="G327" s="36" t="s">
        <v>936</v>
      </c>
      <c r="H327" s="36" t="s">
        <v>362</v>
      </c>
      <c r="I327" s="39">
        <v>833</v>
      </c>
      <c r="J327" s="39">
        <v>123</v>
      </c>
      <c r="K327" s="39">
        <v>5</v>
      </c>
      <c r="L327" s="39">
        <f t="shared" si="334"/>
        <v>961</v>
      </c>
      <c r="M327" s="117">
        <v>46178</v>
      </c>
      <c r="N327" s="117">
        <v>46186</v>
      </c>
      <c r="O327" s="39"/>
      <c r="P327" s="39"/>
      <c r="Q327" s="39"/>
      <c r="R327" s="39">
        <f t="shared" si="323"/>
        <v>0</v>
      </c>
      <c r="S327" s="39" t="s">
        <v>270</v>
      </c>
      <c r="T327" s="39"/>
      <c r="U327" s="39"/>
      <c r="V327" s="117">
        <v>46192</v>
      </c>
      <c r="W327" s="39">
        <f>963+144+7</f>
        <v>1114</v>
      </c>
      <c r="X327" s="117" t="s">
        <v>1448</v>
      </c>
      <c r="Y327" s="39">
        <v>884</v>
      </c>
      <c r="Z327" s="39">
        <v>128</v>
      </c>
      <c r="AA327" s="39">
        <v>6</v>
      </c>
      <c r="AB327" s="119">
        <f t="shared" si="324"/>
        <v>1018</v>
      </c>
      <c r="AC327" s="39"/>
      <c r="AD327" s="39"/>
      <c r="AE327" s="39"/>
      <c r="AF327" s="39"/>
      <c r="AG327" s="39"/>
      <c r="AH327" s="39">
        <f t="shared" si="3"/>
        <v>0</v>
      </c>
      <c r="AI327" s="39"/>
      <c r="AJ327" s="39"/>
      <c r="AK327" s="39"/>
      <c r="AL327" s="39"/>
      <c r="AM327" s="39"/>
      <c r="AN327" s="39">
        <f t="shared" si="4"/>
        <v>0</v>
      </c>
      <c r="AO327" s="39" t="s">
        <v>280</v>
      </c>
      <c r="AP327" s="117">
        <v>46202</v>
      </c>
      <c r="AQ327" s="39">
        <v>888</v>
      </c>
      <c r="AR327" s="117">
        <v>46203</v>
      </c>
      <c r="AS327" s="39">
        <v>886</v>
      </c>
      <c r="AT327" s="39">
        <f t="shared" si="5"/>
        <v>-2</v>
      </c>
      <c r="AU327" s="39" t="s">
        <v>256</v>
      </c>
      <c r="AV327" s="117">
        <v>46203</v>
      </c>
      <c r="AW327" s="39">
        <v>886</v>
      </c>
      <c r="AX327" s="117">
        <v>46204</v>
      </c>
      <c r="AY327" s="39">
        <v>868</v>
      </c>
      <c r="AZ327" s="39">
        <f t="shared" si="6"/>
        <v>-18</v>
      </c>
      <c r="BA327" s="39"/>
      <c r="BB327" s="39"/>
      <c r="BC327" s="39"/>
      <c r="BD327" s="39"/>
      <c r="BE327" s="39"/>
      <c r="BF327" s="39">
        <f t="shared" si="7"/>
        <v>0</v>
      </c>
      <c r="BG327" s="39"/>
      <c r="BH327" s="39"/>
      <c r="BI327" s="39"/>
      <c r="BJ327" s="39"/>
      <c r="BK327" s="39"/>
      <c r="BL327" s="39">
        <f t="shared" si="8"/>
        <v>0</v>
      </c>
      <c r="BM327" s="54" t="str">
        <f t="shared" si="9"/>
        <v/>
      </c>
      <c r="BN327" s="59">
        <v>46186</v>
      </c>
      <c r="BO327" s="57">
        <v>46198</v>
      </c>
      <c r="BP327" s="36"/>
      <c r="BQ327" s="36"/>
      <c r="BR327" s="238"/>
      <c r="BS327" s="238"/>
      <c r="BT327" s="39">
        <v>2013</v>
      </c>
      <c r="BU327" s="39">
        <f>814</f>
        <v>814</v>
      </c>
      <c r="BV327" s="39">
        <v>1525</v>
      </c>
      <c r="BW327" s="39">
        <f>104</f>
        <v>104</v>
      </c>
      <c r="BX327" s="39">
        <v>1525</v>
      </c>
      <c r="BY327" s="39">
        <v>6</v>
      </c>
      <c r="BZ327" s="39">
        <f t="shared" si="10"/>
        <v>924</v>
      </c>
      <c r="CA327" s="39">
        <f t="shared" si="11"/>
        <v>-19</v>
      </c>
      <c r="CB327" s="39">
        <f t="shared" si="12"/>
        <v>-19</v>
      </c>
      <c r="CC327" s="39">
        <f t="shared" si="13"/>
        <v>1</v>
      </c>
      <c r="CD327" s="39">
        <v>0</v>
      </c>
      <c r="CE327" s="102">
        <f t="shared" si="15"/>
        <v>0</v>
      </c>
      <c r="CF327" s="36" t="s">
        <v>292</v>
      </c>
      <c r="CG327" s="39" t="s">
        <v>230</v>
      </c>
      <c r="CH327" s="39" t="s">
        <v>2048</v>
      </c>
      <c r="CI327" s="25">
        <v>2</v>
      </c>
    </row>
    <row r="328" spans="1:87" ht="24.75" customHeight="1">
      <c r="A328" s="36" t="s">
        <v>51</v>
      </c>
      <c r="B328" s="28" t="s">
        <v>906</v>
      </c>
      <c r="C328" s="236"/>
      <c r="D328" s="36" t="s">
        <v>45</v>
      </c>
      <c r="E328" s="39">
        <v>340</v>
      </c>
      <c r="F328" s="39" t="s">
        <v>55</v>
      </c>
      <c r="G328" s="36" t="s">
        <v>367</v>
      </c>
      <c r="H328" s="36" t="s">
        <v>362</v>
      </c>
      <c r="I328" s="39">
        <v>2419</v>
      </c>
      <c r="J328" s="39">
        <v>358</v>
      </c>
      <c r="K328" s="39">
        <v>13</v>
      </c>
      <c r="L328" s="39">
        <f t="shared" si="334"/>
        <v>2790</v>
      </c>
      <c r="M328" s="117">
        <v>46178</v>
      </c>
      <c r="N328" s="117">
        <v>46186</v>
      </c>
      <c r="O328" s="39"/>
      <c r="P328" s="39"/>
      <c r="Q328" s="39"/>
      <c r="R328" s="39">
        <f t="shared" si="323"/>
        <v>0</v>
      </c>
      <c r="S328" s="39" t="s">
        <v>270</v>
      </c>
      <c r="T328" s="39">
        <v>107653</v>
      </c>
      <c r="U328" s="117">
        <v>46217</v>
      </c>
      <c r="V328" s="117" t="s">
        <v>1096</v>
      </c>
      <c r="W328" s="39">
        <f>1379+395+401+18+1396</f>
        <v>3589</v>
      </c>
      <c r="X328" s="117" t="s">
        <v>1426</v>
      </c>
      <c r="Y328" s="39">
        <f>1293+1297</f>
        <v>2590</v>
      </c>
      <c r="Z328" s="39">
        <f>178+107+84</f>
        <v>369</v>
      </c>
      <c r="AA328" s="39">
        <f>7+9</f>
        <v>16</v>
      </c>
      <c r="AB328" s="119">
        <f t="shared" si="324"/>
        <v>2975</v>
      </c>
      <c r="AC328" s="39"/>
      <c r="AD328" s="39"/>
      <c r="AE328" s="39"/>
      <c r="AF328" s="39"/>
      <c r="AG328" s="39"/>
      <c r="AH328" s="39">
        <f t="shared" si="3"/>
        <v>0</v>
      </c>
      <c r="AI328" s="39"/>
      <c r="AJ328" s="39"/>
      <c r="AK328" s="39"/>
      <c r="AL328" s="39"/>
      <c r="AM328" s="39"/>
      <c r="AN328" s="39">
        <f t="shared" si="4"/>
        <v>0</v>
      </c>
      <c r="AO328" s="39" t="s">
        <v>558</v>
      </c>
      <c r="AP328" s="117" t="s">
        <v>1490</v>
      </c>
      <c r="AQ328" s="39">
        <f>1302+1301+326</f>
        <v>2929</v>
      </c>
      <c r="AR328" s="117" t="s">
        <v>1548</v>
      </c>
      <c r="AS328" s="39">
        <f>1298+1293+323</f>
        <v>2914</v>
      </c>
      <c r="AT328" s="39">
        <f t="shared" si="5"/>
        <v>-15</v>
      </c>
      <c r="AU328" s="39" t="s">
        <v>256</v>
      </c>
      <c r="AV328" s="117" t="s">
        <v>1521</v>
      </c>
      <c r="AW328" s="39">
        <f>1298+1293+326</f>
        <v>2917</v>
      </c>
      <c r="AX328" s="117" t="s">
        <v>1549</v>
      </c>
      <c r="AY328" s="39">
        <f>1278+1276+323</f>
        <v>2877</v>
      </c>
      <c r="AZ328" s="39">
        <f t="shared" si="6"/>
        <v>-40</v>
      </c>
      <c r="BA328" s="39"/>
      <c r="BB328" s="39"/>
      <c r="BC328" s="39"/>
      <c r="BD328" s="39"/>
      <c r="BE328" s="39"/>
      <c r="BF328" s="39">
        <f t="shared" si="7"/>
        <v>0</v>
      </c>
      <c r="BG328" s="39"/>
      <c r="BH328" s="39"/>
      <c r="BI328" s="39"/>
      <c r="BJ328" s="39"/>
      <c r="BK328" s="39"/>
      <c r="BL328" s="39">
        <f t="shared" si="8"/>
        <v>0</v>
      </c>
      <c r="BM328" s="54" t="str">
        <f t="shared" si="9"/>
        <v/>
      </c>
      <c r="BN328" s="59">
        <v>46186</v>
      </c>
      <c r="BO328" s="57">
        <v>46198</v>
      </c>
      <c r="BP328" s="36"/>
      <c r="BQ328" s="36"/>
      <c r="BR328" s="239"/>
      <c r="BS328" s="239"/>
      <c r="BT328" s="39" t="s">
        <v>1578</v>
      </c>
      <c r="BU328" s="39">
        <f>804+1095+182+146+223</f>
        <v>2450</v>
      </c>
      <c r="BV328" s="39">
        <v>1769</v>
      </c>
      <c r="BW328" s="39">
        <f>178+107</f>
        <v>285</v>
      </c>
      <c r="BX328" s="39">
        <v>1769</v>
      </c>
      <c r="BY328" s="39">
        <f>7+9</f>
        <v>16</v>
      </c>
      <c r="BZ328" s="39">
        <f t="shared" si="10"/>
        <v>2751</v>
      </c>
      <c r="CA328" s="39">
        <f t="shared" si="11"/>
        <v>31</v>
      </c>
      <c r="CB328" s="39">
        <f t="shared" si="12"/>
        <v>-73</v>
      </c>
      <c r="CC328" s="39">
        <f t="shared" si="13"/>
        <v>3</v>
      </c>
      <c r="CD328" s="39">
        <v>0</v>
      </c>
      <c r="CE328" s="102">
        <f t="shared" si="15"/>
        <v>0</v>
      </c>
      <c r="CF328" s="36" t="s">
        <v>292</v>
      </c>
      <c r="CG328" s="39" t="s">
        <v>230</v>
      </c>
      <c r="CH328" s="39" t="s">
        <v>2049</v>
      </c>
      <c r="CI328" s="25">
        <v>2</v>
      </c>
    </row>
    <row r="329" spans="1:87" ht="24.75" customHeight="1">
      <c r="A329" s="36" t="s">
        <v>51</v>
      </c>
      <c r="B329" s="28" t="s">
        <v>907</v>
      </c>
      <c r="C329" s="235" t="s">
        <v>482</v>
      </c>
      <c r="D329" s="36"/>
      <c r="E329" s="39">
        <v>150</v>
      </c>
      <c r="F329" s="39" t="s">
        <v>65</v>
      </c>
      <c r="G329" s="36" t="s">
        <v>347</v>
      </c>
      <c r="H329" s="36" t="s">
        <v>22</v>
      </c>
      <c r="I329" s="39">
        <v>442</v>
      </c>
      <c r="J329" s="39"/>
      <c r="K329" s="39"/>
      <c r="L329" s="39">
        <f t="shared" si="334"/>
        <v>442</v>
      </c>
      <c r="M329" s="117">
        <v>46179</v>
      </c>
      <c r="N329" s="117">
        <v>46185</v>
      </c>
      <c r="O329" s="39"/>
      <c r="P329" s="39"/>
      <c r="Q329" s="39"/>
      <c r="R329" s="39">
        <f t="shared" si="323"/>
        <v>0</v>
      </c>
      <c r="S329" s="39" t="s">
        <v>130</v>
      </c>
      <c r="T329" s="39">
        <v>106964</v>
      </c>
      <c r="U329" s="117">
        <v>46186</v>
      </c>
      <c r="V329" s="39"/>
      <c r="W329" s="39"/>
      <c r="X329" s="39"/>
      <c r="Y329" s="39">
        <v>495</v>
      </c>
      <c r="Z329" s="39"/>
      <c r="AA329" s="39"/>
      <c r="AB329" s="119">
        <f t="shared" si="324"/>
        <v>495</v>
      </c>
      <c r="AC329" s="39"/>
      <c r="AD329" s="39"/>
      <c r="AE329" s="39"/>
      <c r="AF329" s="39"/>
      <c r="AG329" s="39"/>
      <c r="AH329" s="39">
        <f t="shared" si="3"/>
        <v>0</v>
      </c>
      <c r="AI329" s="39"/>
      <c r="AJ329" s="39"/>
      <c r="AK329" s="39"/>
      <c r="AL329" s="39"/>
      <c r="AM329" s="39"/>
      <c r="AN329" s="39">
        <f t="shared" ref="AN329:AN350" si="335">AM329-AK329</f>
        <v>0</v>
      </c>
      <c r="AO329" s="39"/>
      <c r="AP329" s="39"/>
      <c r="AQ329" s="39"/>
      <c r="AR329" s="39"/>
      <c r="AS329" s="39"/>
      <c r="AT329" s="39">
        <f t="shared" si="5"/>
        <v>0</v>
      </c>
      <c r="AU329" s="39"/>
      <c r="AV329" s="39"/>
      <c r="AW329" s="39"/>
      <c r="AX329" s="39"/>
      <c r="AY329" s="39"/>
      <c r="AZ329" s="39">
        <f t="shared" si="6"/>
        <v>0</v>
      </c>
      <c r="BA329" s="39"/>
      <c r="BB329" s="39"/>
      <c r="BC329" s="39"/>
      <c r="BD329" s="39"/>
      <c r="BE329" s="39"/>
      <c r="BF329" s="39">
        <f t="shared" si="7"/>
        <v>0</v>
      </c>
      <c r="BG329" s="39"/>
      <c r="BH329" s="39"/>
      <c r="BI329" s="39"/>
      <c r="BJ329" s="39"/>
      <c r="BK329" s="39"/>
      <c r="BL329" s="39">
        <f t="shared" si="8"/>
        <v>0</v>
      </c>
      <c r="BM329" s="54" t="str">
        <f t="shared" si="9"/>
        <v/>
      </c>
      <c r="BN329" s="59">
        <v>46190</v>
      </c>
      <c r="BO329" s="57">
        <v>46203</v>
      </c>
      <c r="BP329" s="36"/>
      <c r="BQ329" s="36"/>
      <c r="BR329" s="237">
        <v>46188</v>
      </c>
      <c r="BS329" s="237">
        <v>46196</v>
      </c>
      <c r="BT329" s="39">
        <v>1731</v>
      </c>
      <c r="BU329" s="39">
        <v>457</v>
      </c>
      <c r="BV329" s="39"/>
      <c r="BW329" s="39"/>
      <c r="BX329" s="39"/>
      <c r="BY329" s="39"/>
      <c r="BZ329" s="39">
        <f t="shared" ref="BZ329:BZ350" si="336">BU329+BW329+BY329</f>
        <v>457</v>
      </c>
      <c r="CA329" s="39">
        <f t="shared" si="11"/>
        <v>15</v>
      </c>
      <c r="CB329" s="39">
        <f t="shared" ref="CB329:CB350" si="337">BW329-J329</f>
        <v>0</v>
      </c>
      <c r="CC329" s="39">
        <f t="shared" ref="CC329:CC350" si="338">BY329-K329</f>
        <v>0</v>
      </c>
      <c r="CD329" s="39">
        <f t="shared" ref="CD329:CD350" si="339">SUMIF(CA329:CC329,"&lt;0")</f>
        <v>0</v>
      </c>
      <c r="CE329" s="102">
        <f t="shared" ref="CE329:CE350" si="340">CD329/L329</f>
        <v>0</v>
      </c>
      <c r="CF329" s="36" t="s">
        <v>292</v>
      </c>
      <c r="CG329" s="39" t="s">
        <v>230</v>
      </c>
      <c r="CH329" s="39"/>
      <c r="CI329" s="25">
        <v>2</v>
      </c>
    </row>
    <row r="330" spans="1:87" ht="24.75" customHeight="1">
      <c r="A330" s="36" t="s">
        <v>51</v>
      </c>
      <c r="B330" s="28" t="s">
        <v>907</v>
      </c>
      <c r="C330" s="236"/>
      <c r="D330" s="36"/>
      <c r="E330" s="39">
        <v>150</v>
      </c>
      <c r="F330" s="39" t="s">
        <v>65</v>
      </c>
      <c r="G330" s="36" t="s">
        <v>310</v>
      </c>
      <c r="H330" s="36" t="s">
        <v>22</v>
      </c>
      <c r="I330" s="39">
        <v>421</v>
      </c>
      <c r="J330" s="39"/>
      <c r="K330" s="39"/>
      <c r="L330" s="39">
        <f t="shared" si="334"/>
        <v>421</v>
      </c>
      <c r="M330" s="117">
        <v>46179</v>
      </c>
      <c r="N330" s="117">
        <v>46185</v>
      </c>
      <c r="O330" s="39"/>
      <c r="P330" s="39"/>
      <c r="Q330" s="39"/>
      <c r="R330" s="39">
        <f t="shared" si="323"/>
        <v>0</v>
      </c>
      <c r="S330" s="39" t="s">
        <v>270</v>
      </c>
      <c r="T330" s="39"/>
      <c r="U330" s="39"/>
      <c r="V330" s="117">
        <v>46184</v>
      </c>
      <c r="W330" s="39">
        <v>457</v>
      </c>
      <c r="X330" s="117">
        <v>46195</v>
      </c>
      <c r="Y330" s="39">
        <f>409</f>
        <v>409</v>
      </c>
      <c r="Z330" s="39"/>
      <c r="AA330" s="39"/>
      <c r="AB330" s="120">
        <f t="shared" si="324"/>
        <v>409</v>
      </c>
      <c r="AC330" s="39"/>
      <c r="AD330" s="39"/>
      <c r="AE330" s="39"/>
      <c r="AF330" s="39"/>
      <c r="AG330" s="39"/>
      <c r="AH330" s="39">
        <f t="shared" si="3"/>
        <v>0</v>
      </c>
      <c r="AI330" s="39"/>
      <c r="AJ330" s="39"/>
      <c r="AK330" s="39"/>
      <c r="AL330" s="39"/>
      <c r="AM330" s="39"/>
      <c r="AN330" s="39">
        <f t="shared" si="335"/>
        <v>0</v>
      </c>
      <c r="AO330" s="39"/>
      <c r="AP330" s="39"/>
      <c r="AQ330" s="39"/>
      <c r="AR330" s="39"/>
      <c r="AS330" s="39"/>
      <c r="AT330" s="39">
        <f t="shared" si="5"/>
        <v>0</v>
      </c>
      <c r="AU330" s="39"/>
      <c r="AV330" s="39"/>
      <c r="AW330" s="39"/>
      <c r="AX330" s="39"/>
      <c r="AY330" s="39"/>
      <c r="AZ330" s="39">
        <f t="shared" si="6"/>
        <v>0</v>
      </c>
      <c r="BA330" s="39"/>
      <c r="BB330" s="39"/>
      <c r="BC330" s="39"/>
      <c r="BD330" s="39"/>
      <c r="BE330" s="39"/>
      <c r="BF330" s="39">
        <f t="shared" si="7"/>
        <v>0</v>
      </c>
      <c r="BG330" s="39"/>
      <c r="BH330" s="39"/>
      <c r="BI330" s="39"/>
      <c r="BJ330" s="39"/>
      <c r="BK330" s="39"/>
      <c r="BL330" s="39">
        <f t="shared" si="8"/>
        <v>0</v>
      </c>
      <c r="BM330" s="54" t="str">
        <f t="shared" si="9"/>
        <v/>
      </c>
      <c r="BN330" s="59">
        <v>46190</v>
      </c>
      <c r="BO330" s="57">
        <v>46203</v>
      </c>
      <c r="BP330" s="36"/>
      <c r="BQ330" s="36"/>
      <c r="BR330" s="239"/>
      <c r="BS330" s="239"/>
      <c r="BT330" s="39">
        <v>1508</v>
      </c>
      <c r="BU330" s="39">
        <f>409</f>
        <v>409</v>
      </c>
      <c r="BV330" s="39"/>
      <c r="BW330" s="39"/>
      <c r="BX330" s="39"/>
      <c r="BY330" s="39"/>
      <c r="BZ330" s="39">
        <f t="shared" si="336"/>
        <v>409</v>
      </c>
      <c r="CA330" s="39">
        <f t="shared" si="11"/>
        <v>-12</v>
      </c>
      <c r="CB330" s="39">
        <f t="shared" si="337"/>
        <v>0</v>
      </c>
      <c r="CC330" s="39">
        <f t="shared" si="338"/>
        <v>0</v>
      </c>
      <c r="CD330" s="39">
        <v>0</v>
      </c>
      <c r="CE330" s="102">
        <f t="shared" si="340"/>
        <v>0</v>
      </c>
      <c r="CF330" s="36" t="s">
        <v>292</v>
      </c>
      <c r="CG330" s="39" t="s">
        <v>230</v>
      </c>
      <c r="CH330" s="39"/>
      <c r="CI330" s="25">
        <v>2</v>
      </c>
    </row>
    <row r="331" spans="1:87" ht="24.75" customHeight="1">
      <c r="A331" s="36" t="s">
        <v>51</v>
      </c>
      <c r="B331" s="28" t="s">
        <v>908</v>
      </c>
      <c r="C331" s="235" t="s">
        <v>992</v>
      </c>
      <c r="D331" s="36" t="s">
        <v>45</v>
      </c>
      <c r="E331" s="39">
        <v>340</v>
      </c>
      <c r="F331" s="39" t="s">
        <v>55</v>
      </c>
      <c r="G331" s="36" t="s">
        <v>901</v>
      </c>
      <c r="H331" s="36" t="s">
        <v>362</v>
      </c>
      <c r="I331" s="39">
        <v>1739</v>
      </c>
      <c r="J331" s="39">
        <v>260</v>
      </c>
      <c r="K331" s="39">
        <v>10</v>
      </c>
      <c r="L331" s="39">
        <f t="shared" si="334"/>
        <v>2009</v>
      </c>
      <c r="M331" s="117">
        <v>46179</v>
      </c>
      <c r="N331" s="117">
        <v>46190</v>
      </c>
      <c r="O331" s="39"/>
      <c r="P331" s="39"/>
      <c r="Q331" s="39"/>
      <c r="R331" s="39">
        <f t="shared" si="323"/>
        <v>0</v>
      </c>
      <c r="S331" s="39" t="s">
        <v>130</v>
      </c>
      <c r="T331" s="39" t="s">
        <v>1436</v>
      </c>
      <c r="U331" s="117" t="s">
        <v>1437</v>
      </c>
      <c r="V331" s="39"/>
      <c r="W331" s="39"/>
      <c r="X331" s="39"/>
      <c r="Y331" s="39">
        <f>862+868+270</f>
        <v>2000</v>
      </c>
      <c r="Z331" s="39">
        <f>121+131+39</f>
        <v>291</v>
      </c>
      <c r="AA331" s="39">
        <v>15</v>
      </c>
      <c r="AB331" s="119">
        <f t="shared" si="324"/>
        <v>2306</v>
      </c>
      <c r="AC331" s="39"/>
      <c r="AD331" s="39"/>
      <c r="AE331" s="39"/>
      <c r="AF331" s="39"/>
      <c r="AG331" s="39"/>
      <c r="AH331" s="39">
        <f t="shared" ref="AH331:AH350" si="341">AG331-AE331</f>
        <v>0</v>
      </c>
      <c r="AI331" s="39"/>
      <c r="AJ331" s="39"/>
      <c r="AK331" s="39"/>
      <c r="AL331" s="39"/>
      <c r="AM331" s="39"/>
      <c r="AN331" s="39">
        <f t="shared" si="335"/>
        <v>0</v>
      </c>
      <c r="AO331" s="39" t="s">
        <v>558</v>
      </c>
      <c r="AP331" s="117" t="s">
        <v>1474</v>
      </c>
      <c r="AQ331" s="39">
        <f>797+806+255</f>
        <v>1858</v>
      </c>
      <c r="AR331" s="117" t="s">
        <v>1498</v>
      </c>
      <c r="AS331" s="39">
        <f>805+799+250</f>
        <v>1854</v>
      </c>
      <c r="AT331" s="39">
        <f t="shared" ref="AT331:AT350" si="342">AS331-AQ331</f>
        <v>-4</v>
      </c>
      <c r="AU331" s="39" t="s">
        <v>273</v>
      </c>
      <c r="AV331" s="117" t="s">
        <v>1499</v>
      </c>
      <c r="AW331" s="39">
        <f>806+799+250</f>
        <v>1855</v>
      </c>
      <c r="AX331" s="117" t="s">
        <v>1523</v>
      </c>
      <c r="AY331" s="39">
        <f>786+805+243</f>
        <v>1834</v>
      </c>
      <c r="AZ331" s="39">
        <f t="shared" ref="AZ331:AZ350" si="343">AY331-AW331</f>
        <v>-21</v>
      </c>
      <c r="BA331" s="39"/>
      <c r="BB331" s="39"/>
      <c r="BC331" s="39"/>
      <c r="BD331" s="39"/>
      <c r="BE331" s="39"/>
      <c r="BF331" s="39">
        <f t="shared" ref="BF331:BF350" si="344">BE331-BC331</f>
        <v>0</v>
      </c>
      <c r="BG331" s="39"/>
      <c r="BH331" s="39"/>
      <c r="BI331" s="39"/>
      <c r="BJ331" s="39"/>
      <c r="BK331" s="39"/>
      <c r="BL331" s="39">
        <f t="shared" ref="BL331:BL350" si="345">BK331-BI331</f>
        <v>0</v>
      </c>
      <c r="BM331" s="54" t="str">
        <f t="shared" ref="BM331:BM350" si="346">IF((BZ331/L331)&lt;0.9,$CO$1-U331,"")</f>
        <v/>
      </c>
      <c r="BN331" s="59">
        <v>46188</v>
      </c>
      <c r="BO331" s="57">
        <v>46205</v>
      </c>
      <c r="BP331" s="36"/>
      <c r="BQ331" s="36"/>
      <c r="BR331" s="237">
        <v>46210</v>
      </c>
      <c r="BS331" s="255"/>
      <c r="BT331" s="39" t="s">
        <v>1828</v>
      </c>
      <c r="BU331" s="39">
        <f>782+236+770</f>
        <v>1788</v>
      </c>
      <c r="BV331" s="39" t="s">
        <v>2019</v>
      </c>
      <c r="BW331" s="39">
        <f>117+107+41</f>
        <v>265</v>
      </c>
      <c r="BX331" s="39">
        <v>1847</v>
      </c>
      <c r="BY331" s="39">
        <v>14</v>
      </c>
      <c r="BZ331" s="39">
        <f t="shared" si="336"/>
        <v>2067</v>
      </c>
      <c r="CA331" s="39">
        <f t="shared" si="11"/>
        <v>49</v>
      </c>
      <c r="CB331" s="39">
        <f t="shared" si="337"/>
        <v>5</v>
      </c>
      <c r="CC331" s="39">
        <f t="shared" si="338"/>
        <v>4</v>
      </c>
      <c r="CD331" s="39">
        <f t="shared" si="339"/>
        <v>0</v>
      </c>
      <c r="CE331" s="102">
        <f t="shared" si="340"/>
        <v>0</v>
      </c>
      <c r="CF331" s="36" t="s">
        <v>292</v>
      </c>
      <c r="CG331" s="39" t="s">
        <v>230</v>
      </c>
      <c r="CH331" s="39"/>
      <c r="CI331" s="25">
        <v>2</v>
      </c>
    </row>
    <row r="332" spans="1:87" ht="24.75" customHeight="1">
      <c r="A332" s="36" t="s">
        <v>51</v>
      </c>
      <c r="B332" s="28" t="s">
        <v>908</v>
      </c>
      <c r="C332" s="240"/>
      <c r="D332" s="36" t="s">
        <v>45</v>
      </c>
      <c r="E332" s="39">
        <v>340</v>
      </c>
      <c r="F332" s="39" t="s">
        <v>55</v>
      </c>
      <c r="G332" s="36" t="s">
        <v>904</v>
      </c>
      <c r="H332" s="36" t="s">
        <v>362</v>
      </c>
      <c r="I332" s="39">
        <v>1975</v>
      </c>
      <c r="J332" s="39">
        <v>295</v>
      </c>
      <c r="K332" s="39">
        <v>11</v>
      </c>
      <c r="L332" s="39">
        <f t="shared" si="334"/>
        <v>2281</v>
      </c>
      <c r="M332" s="117">
        <v>46179</v>
      </c>
      <c r="N332" s="117">
        <v>46190</v>
      </c>
      <c r="O332" s="39"/>
      <c r="P332" s="39"/>
      <c r="Q332" s="39"/>
      <c r="R332" s="39">
        <f t="shared" si="323"/>
        <v>0</v>
      </c>
      <c r="S332" s="39" t="s">
        <v>130</v>
      </c>
      <c r="T332" s="39" t="s">
        <v>1393</v>
      </c>
      <c r="U332" s="117" t="s">
        <v>1363</v>
      </c>
      <c r="V332" s="39"/>
      <c r="W332" s="39"/>
      <c r="X332" s="39"/>
      <c r="Y332" s="39">
        <f>848+847+580</f>
        <v>2275</v>
      </c>
      <c r="Z332" s="39">
        <f>127+124+89</f>
        <v>340</v>
      </c>
      <c r="AA332" s="39">
        <v>15</v>
      </c>
      <c r="AB332" s="119">
        <f t="shared" si="324"/>
        <v>2630</v>
      </c>
      <c r="AC332" s="39"/>
      <c r="AD332" s="39"/>
      <c r="AE332" s="39"/>
      <c r="AF332" s="39"/>
      <c r="AG332" s="39"/>
      <c r="AH332" s="39">
        <f t="shared" si="341"/>
        <v>0</v>
      </c>
      <c r="AI332" s="39"/>
      <c r="AJ332" s="39"/>
      <c r="AK332" s="39"/>
      <c r="AL332" s="39"/>
      <c r="AM332" s="39"/>
      <c r="AN332" s="39">
        <f t="shared" si="335"/>
        <v>0</v>
      </c>
      <c r="AO332" s="39" t="s">
        <v>584</v>
      </c>
      <c r="AP332" s="117" t="s">
        <v>1397</v>
      </c>
      <c r="AQ332" s="39">
        <f>791+762+548</f>
        <v>2101</v>
      </c>
      <c r="AR332" s="117" t="s">
        <v>1463</v>
      </c>
      <c r="AS332" s="39">
        <f>785+766+545</f>
        <v>2096</v>
      </c>
      <c r="AT332" s="39">
        <f t="shared" si="342"/>
        <v>-5</v>
      </c>
      <c r="AU332" s="39" t="s">
        <v>273</v>
      </c>
      <c r="AV332" s="117" t="s">
        <v>1464</v>
      </c>
      <c r="AW332" s="39">
        <f>791+766+545</f>
        <v>2102</v>
      </c>
      <c r="AX332" s="117" t="s">
        <v>1489</v>
      </c>
      <c r="AY332" s="39">
        <f>785+754+538</f>
        <v>2077</v>
      </c>
      <c r="AZ332" s="39">
        <f t="shared" si="343"/>
        <v>-25</v>
      </c>
      <c r="BA332" s="39"/>
      <c r="BB332" s="39"/>
      <c r="BC332" s="39"/>
      <c r="BD332" s="39"/>
      <c r="BE332" s="39"/>
      <c r="BF332" s="39">
        <f t="shared" si="344"/>
        <v>0</v>
      </c>
      <c r="BG332" s="39"/>
      <c r="BH332" s="39"/>
      <c r="BI332" s="39"/>
      <c r="BJ332" s="39"/>
      <c r="BK332" s="39"/>
      <c r="BL332" s="39">
        <f t="shared" si="345"/>
        <v>0</v>
      </c>
      <c r="BM332" s="54" t="str">
        <f t="shared" si="346"/>
        <v/>
      </c>
      <c r="BN332" s="59">
        <v>46188</v>
      </c>
      <c r="BO332" s="57">
        <v>46205</v>
      </c>
      <c r="BP332" s="36"/>
      <c r="BQ332" s="36"/>
      <c r="BR332" s="238"/>
      <c r="BS332" s="238"/>
      <c r="BT332" s="39" t="s">
        <v>2018</v>
      </c>
      <c r="BU332" s="39">
        <f>764+384+15+104+743</f>
        <v>2010</v>
      </c>
      <c r="BV332" s="39" t="s">
        <v>2035</v>
      </c>
      <c r="BW332" s="39">
        <f>118+80+109</f>
        <v>307</v>
      </c>
      <c r="BX332" s="39">
        <v>2024</v>
      </c>
      <c r="BY332" s="39">
        <v>13</v>
      </c>
      <c r="BZ332" s="39">
        <f t="shared" si="336"/>
        <v>2330</v>
      </c>
      <c r="CA332" s="39">
        <f t="shared" si="11"/>
        <v>35</v>
      </c>
      <c r="CB332" s="39">
        <f t="shared" si="337"/>
        <v>12</v>
      </c>
      <c r="CC332" s="39">
        <f t="shared" si="338"/>
        <v>2</v>
      </c>
      <c r="CD332" s="39">
        <f t="shared" si="339"/>
        <v>0</v>
      </c>
      <c r="CE332" s="102">
        <f t="shared" si="340"/>
        <v>0</v>
      </c>
      <c r="CF332" s="36" t="s">
        <v>292</v>
      </c>
      <c r="CG332" s="39" t="s">
        <v>230</v>
      </c>
      <c r="CH332" s="39" t="s">
        <v>509</v>
      </c>
      <c r="CI332" s="25">
        <v>2</v>
      </c>
    </row>
    <row r="333" spans="1:87" ht="24.75" customHeight="1">
      <c r="A333" s="36" t="s">
        <v>51</v>
      </c>
      <c r="B333" s="28" t="s">
        <v>908</v>
      </c>
      <c r="C333" s="236"/>
      <c r="D333" s="36"/>
      <c r="E333" s="39"/>
      <c r="F333" s="39"/>
      <c r="G333" s="36" t="s">
        <v>724</v>
      </c>
      <c r="H333" s="36"/>
      <c r="I333" s="39"/>
      <c r="J333" s="39"/>
      <c r="K333" s="39"/>
      <c r="L333" s="39">
        <f t="shared" si="334"/>
        <v>0</v>
      </c>
      <c r="M333" s="117">
        <v>46179</v>
      </c>
      <c r="N333" s="117">
        <v>46190</v>
      </c>
      <c r="O333" s="39"/>
      <c r="P333" s="39"/>
      <c r="Q333" s="39"/>
      <c r="R333" s="39">
        <f t="shared" si="323"/>
        <v>0</v>
      </c>
      <c r="S333" s="39" t="s">
        <v>130</v>
      </c>
      <c r="T333" s="39"/>
      <c r="U333" s="39"/>
      <c r="V333" s="39"/>
      <c r="W333" s="39"/>
      <c r="X333" s="39"/>
      <c r="Y333" s="39"/>
      <c r="Z333" s="39"/>
      <c r="AA333" s="39"/>
      <c r="AB333" s="39">
        <f t="shared" si="324"/>
        <v>0</v>
      </c>
      <c r="AC333" s="39"/>
      <c r="AD333" s="39"/>
      <c r="AE333" s="39"/>
      <c r="AF333" s="39"/>
      <c r="AG333" s="39"/>
      <c r="AH333" s="39">
        <f t="shared" si="341"/>
        <v>0</v>
      </c>
      <c r="AI333" s="39"/>
      <c r="AJ333" s="39"/>
      <c r="AK333" s="39"/>
      <c r="AL333" s="39"/>
      <c r="AM333" s="39"/>
      <c r="AN333" s="39">
        <f t="shared" si="335"/>
        <v>0</v>
      </c>
      <c r="AO333" s="39"/>
      <c r="AP333" s="39"/>
      <c r="AQ333" s="39"/>
      <c r="AR333" s="39"/>
      <c r="AS333" s="39"/>
      <c r="AT333" s="39">
        <f t="shared" si="342"/>
        <v>0</v>
      </c>
      <c r="AU333" s="39"/>
      <c r="AV333" s="39"/>
      <c r="AW333" s="39"/>
      <c r="AX333" s="39"/>
      <c r="AY333" s="39"/>
      <c r="AZ333" s="39">
        <f t="shared" si="343"/>
        <v>0</v>
      </c>
      <c r="BA333" s="39"/>
      <c r="BB333" s="39"/>
      <c r="BC333" s="39"/>
      <c r="BD333" s="39"/>
      <c r="BE333" s="39"/>
      <c r="BF333" s="39">
        <f t="shared" si="344"/>
        <v>0</v>
      </c>
      <c r="BG333" s="39"/>
      <c r="BH333" s="39"/>
      <c r="BI333" s="39"/>
      <c r="BJ333" s="39"/>
      <c r="BK333" s="39"/>
      <c r="BL333" s="39">
        <f t="shared" si="345"/>
        <v>0</v>
      </c>
      <c r="BM333" s="54" t="e">
        <f t="shared" si="346"/>
        <v>#DIV/0!</v>
      </c>
      <c r="BN333" s="59">
        <v>46188</v>
      </c>
      <c r="BO333" s="57">
        <v>46205</v>
      </c>
      <c r="BP333" s="36"/>
      <c r="BQ333" s="36"/>
      <c r="BR333" s="239"/>
      <c r="BS333" s="239"/>
      <c r="BT333" s="39"/>
      <c r="BU333" s="39"/>
      <c r="BV333" s="39"/>
      <c r="BW333" s="39"/>
      <c r="BX333" s="39"/>
      <c r="BY333" s="39"/>
      <c r="BZ333" s="39">
        <f t="shared" si="336"/>
        <v>0</v>
      </c>
      <c r="CA333" s="39">
        <f t="shared" si="11"/>
        <v>0</v>
      </c>
      <c r="CB333" s="39">
        <f t="shared" si="337"/>
        <v>0</v>
      </c>
      <c r="CC333" s="39">
        <f t="shared" si="338"/>
        <v>0</v>
      </c>
      <c r="CD333" s="39">
        <f t="shared" si="339"/>
        <v>0</v>
      </c>
      <c r="CE333" s="102" t="e">
        <f t="shared" si="340"/>
        <v>#DIV/0!</v>
      </c>
      <c r="CF333" s="36" t="s">
        <v>292</v>
      </c>
      <c r="CG333" s="39" t="s">
        <v>230</v>
      </c>
      <c r="CH333" s="39"/>
      <c r="CI333" s="25">
        <v>2</v>
      </c>
    </row>
    <row r="334" spans="1:87" ht="24.75" customHeight="1">
      <c r="A334" s="36" t="s">
        <v>51</v>
      </c>
      <c r="B334" s="28" t="s">
        <v>914</v>
      </c>
      <c r="C334" s="235" t="s">
        <v>992</v>
      </c>
      <c r="D334" s="36" t="s">
        <v>45</v>
      </c>
      <c r="E334" s="39">
        <v>340</v>
      </c>
      <c r="F334" s="39" t="s">
        <v>55</v>
      </c>
      <c r="G334" s="36" t="s">
        <v>322</v>
      </c>
      <c r="H334" s="36" t="s">
        <v>362</v>
      </c>
      <c r="I334" s="39">
        <v>811</v>
      </c>
      <c r="J334" s="39">
        <v>129</v>
      </c>
      <c r="K334" s="39">
        <v>5</v>
      </c>
      <c r="L334" s="39">
        <f t="shared" ref="L334:L335" si="347">SUM(I334:K334)</f>
        <v>945</v>
      </c>
      <c r="M334" s="117">
        <v>46179</v>
      </c>
      <c r="N334" s="117">
        <v>46183</v>
      </c>
      <c r="O334" s="39"/>
      <c r="P334" s="39"/>
      <c r="Q334" s="39"/>
      <c r="R334" s="39">
        <f t="shared" si="323"/>
        <v>0</v>
      </c>
      <c r="S334" s="39" t="s">
        <v>270</v>
      </c>
      <c r="T334" s="39"/>
      <c r="U334" s="39"/>
      <c r="V334" s="117">
        <v>46184</v>
      </c>
      <c r="W334" s="39">
        <f>925+150+7</f>
        <v>1082</v>
      </c>
      <c r="X334" s="117" t="s">
        <v>1341</v>
      </c>
      <c r="Y334" s="39">
        <v>889</v>
      </c>
      <c r="Z334" s="39">
        <v>132</v>
      </c>
      <c r="AA334" s="39">
        <v>6</v>
      </c>
      <c r="AB334" s="119">
        <f t="shared" si="324"/>
        <v>1027</v>
      </c>
      <c r="AC334" s="39"/>
      <c r="AD334" s="39"/>
      <c r="AE334" s="39"/>
      <c r="AF334" s="39"/>
      <c r="AG334" s="39"/>
      <c r="AH334" s="39">
        <f t="shared" si="341"/>
        <v>0</v>
      </c>
      <c r="AI334" s="39"/>
      <c r="AJ334" s="39"/>
      <c r="AK334" s="39"/>
      <c r="AL334" s="39"/>
      <c r="AM334" s="39"/>
      <c r="AN334" s="39">
        <f t="shared" si="335"/>
        <v>0</v>
      </c>
      <c r="AO334" s="39" t="s">
        <v>280</v>
      </c>
      <c r="AP334" s="117">
        <v>46204</v>
      </c>
      <c r="AQ334" s="39">
        <v>889</v>
      </c>
      <c r="AR334" s="117">
        <v>46204</v>
      </c>
      <c r="AS334" s="39">
        <f>866+25</f>
        <v>891</v>
      </c>
      <c r="AT334" s="39">
        <f t="shared" si="342"/>
        <v>2</v>
      </c>
      <c r="AU334" s="39" t="s">
        <v>256</v>
      </c>
      <c r="AV334" s="117">
        <v>46204</v>
      </c>
      <c r="AW334" s="39">
        <f>866+25</f>
        <v>891</v>
      </c>
      <c r="AX334" s="117">
        <v>46204</v>
      </c>
      <c r="AY334" s="39">
        <v>882</v>
      </c>
      <c r="AZ334" s="39">
        <f t="shared" si="343"/>
        <v>-9</v>
      </c>
      <c r="BA334" s="39"/>
      <c r="BB334" s="39"/>
      <c r="BC334" s="39"/>
      <c r="BD334" s="39"/>
      <c r="BE334" s="39"/>
      <c r="BF334" s="39">
        <f t="shared" si="344"/>
        <v>0</v>
      </c>
      <c r="BG334" s="39"/>
      <c r="BH334" s="39"/>
      <c r="BI334" s="39"/>
      <c r="BJ334" s="39"/>
      <c r="BK334" s="39"/>
      <c r="BL334" s="39">
        <f t="shared" si="345"/>
        <v>0</v>
      </c>
      <c r="BM334" s="54" t="str">
        <f t="shared" si="346"/>
        <v/>
      </c>
      <c r="BN334" s="59">
        <v>46185</v>
      </c>
      <c r="BO334" s="57">
        <v>46195</v>
      </c>
      <c r="BP334" s="36"/>
      <c r="BQ334" s="36"/>
      <c r="BR334" s="237">
        <v>46205</v>
      </c>
      <c r="BS334" s="237">
        <v>46206</v>
      </c>
      <c r="BT334" s="39">
        <v>2008</v>
      </c>
      <c r="BU334" s="39">
        <v>862</v>
      </c>
      <c r="BV334" s="39">
        <v>1765</v>
      </c>
      <c r="BW334" s="39">
        <v>132</v>
      </c>
      <c r="BX334" s="39">
        <v>1765</v>
      </c>
      <c r="BY334" s="39">
        <v>6</v>
      </c>
      <c r="BZ334" s="39">
        <f t="shared" si="336"/>
        <v>1000</v>
      </c>
      <c r="CA334" s="39">
        <f t="shared" si="11"/>
        <v>51</v>
      </c>
      <c r="CB334" s="39">
        <f t="shared" si="337"/>
        <v>3</v>
      </c>
      <c r="CC334" s="39">
        <f t="shared" si="338"/>
        <v>1</v>
      </c>
      <c r="CD334" s="39">
        <f t="shared" si="339"/>
        <v>0</v>
      </c>
      <c r="CE334" s="102">
        <f t="shared" si="340"/>
        <v>0</v>
      </c>
      <c r="CF334" s="36" t="s">
        <v>292</v>
      </c>
      <c r="CG334" s="39" t="s">
        <v>230</v>
      </c>
      <c r="CH334" s="39"/>
      <c r="CI334" s="25">
        <v>2</v>
      </c>
    </row>
    <row r="335" spans="1:87" ht="24.75" customHeight="1">
      <c r="A335" s="36" t="s">
        <v>51</v>
      </c>
      <c r="B335" s="28" t="s">
        <v>914</v>
      </c>
      <c r="C335" s="236"/>
      <c r="D335" s="36"/>
      <c r="E335" s="39"/>
      <c r="F335" s="39"/>
      <c r="G335" s="36" t="s">
        <v>724</v>
      </c>
      <c r="H335" s="36"/>
      <c r="I335" s="39"/>
      <c r="J335" s="39"/>
      <c r="K335" s="39"/>
      <c r="L335" s="39">
        <f t="shared" si="347"/>
        <v>0</v>
      </c>
      <c r="M335" s="117">
        <v>46179</v>
      </c>
      <c r="N335" s="117">
        <v>46183</v>
      </c>
      <c r="O335" s="39"/>
      <c r="P335" s="39"/>
      <c r="Q335" s="39"/>
      <c r="R335" s="39">
        <f t="shared" si="323"/>
        <v>0</v>
      </c>
      <c r="S335" s="39" t="s">
        <v>130</v>
      </c>
      <c r="T335" s="39"/>
      <c r="U335" s="39"/>
      <c r="V335" s="39"/>
      <c r="W335" s="39"/>
      <c r="X335" s="39"/>
      <c r="Y335" s="39"/>
      <c r="Z335" s="39"/>
      <c r="AA335" s="39"/>
      <c r="AB335" s="39">
        <f t="shared" si="324"/>
        <v>0</v>
      </c>
      <c r="AC335" s="39"/>
      <c r="AD335" s="39"/>
      <c r="AE335" s="39"/>
      <c r="AF335" s="39"/>
      <c r="AG335" s="39"/>
      <c r="AH335" s="39">
        <f t="shared" si="341"/>
        <v>0</v>
      </c>
      <c r="AI335" s="39"/>
      <c r="AJ335" s="39"/>
      <c r="AK335" s="39"/>
      <c r="AL335" s="39"/>
      <c r="AM335" s="39"/>
      <c r="AN335" s="39">
        <f t="shared" si="335"/>
        <v>0</v>
      </c>
      <c r="AO335" s="39"/>
      <c r="AP335" s="39"/>
      <c r="AQ335" s="39"/>
      <c r="AR335" s="39"/>
      <c r="AS335" s="39"/>
      <c r="AT335" s="39">
        <f t="shared" si="342"/>
        <v>0</v>
      </c>
      <c r="AU335" s="39"/>
      <c r="AV335" s="39"/>
      <c r="AW335" s="39"/>
      <c r="AX335" s="39"/>
      <c r="AY335" s="39"/>
      <c r="AZ335" s="39">
        <f t="shared" si="343"/>
        <v>0</v>
      </c>
      <c r="BA335" s="39"/>
      <c r="BB335" s="39"/>
      <c r="BC335" s="39"/>
      <c r="BD335" s="39"/>
      <c r="BE335" s="39"/>
      <c r="BF335" s="39">
        <f t="shared" si="344"/>
        <v>0</v>
      </c>
      <c r="BG335" s="39"/>
      <c r="BH335" s="39"/>
      <c r="BI335" s="39"/>
      <c r="BJ335" s="39"/>
      <c r="BK335" s="39"/>
      <c r="BL335" s="39">
        <f t="shared" si="345"/>
        <v>0</v>
      </c>
      <c r="BM335" s="54" t="e">
        <f t="shared" si="346"/>
        <v>#DIV/0!</v>
      </c>
      <c r="BN335" s="59">
        <v>46185</v>
      </c>
      <c r="BO335" s="57">
        <v>46195</v>
      </c>
      <c r="BP335" s="36"/>
      <c r="BQ335" s="36"/>
      <c r="BR335" s="239"/>
      <c r="BS335" s="239"/>
      <c r="BT335" s="39"/>
      <c r="BU335" s="39"/>
      <c r="BV335" s="39"/>
      <c r="BW335" s="39"/>
      <c r="BX335" s="39"/>
      <c r="BY335" s="39"/>
      <c r="BZ335" s="39">
        <f t="shared" si="336"/>
        <v>0</v>
      </c>
      <c r="CA335" s="39">
        <f t="shared" si="11"/>
        <v>0</v>
      </c>
      <c r="CB335" s="39">
        <f t="shared" si="337"/>
        <v>0</v>
      </c>
      <c r="CC335" s="39">
        <f t="shared" si="338"/>
        <v>0</v>
      </c>
      <c r="CD335" s="39">
        <f t="shared" si="339"/>
        <v>0</v>
      </c>
      <c r="CE335" s="102" t="e">
        <f t="shared" si="340"/>
        <v>#DIV/0!</v>
      </c>
      <c r="CF335" s="36" t="s">
        <v>292</v>
      </c>
      <c r="CG335" s="39" t="s">
        <v>230</v>
      </c>
      <c r="CH335" s="39"/>
      <c r="CI335" s="25">
        <v>2</v>
      </c>
    </row>
    <row r="336" spans="1:87" ht="24.75" customHeight="1">
      <c r="A336" s="36" t="s">
        <v>51</v>
      </c>
      <c r="B336" s="28" t="s">
        <v>915</v>
      </c>
      <c r="C336" s="235" t="s">
        <v>987</v>
      </c>
      <c r="D336" s="36" t="s">
        <v>45</v>
      </c>
      <c r="E336" s="39">
        <v>340</v>
      </c>
      <c r="F336" s="39" t="s">
        <v>57</v>
      </c>
      <c r="G336" s="36" t="s">
        <v>367</v>
      </c>
      <c r="H336" s="36" t="s">
        <v>362</v>
      </c>
      <c r="I336" s="39">
        <v>1576</v>
      </c>
      <c r="J336" s="39">
        <v>251</v>
      </c>
      <c r="K336" s="39">
        <v>9</v>
      </c>
      <c r="L336" s="39">
        <f t="shared" ref="L336:L338" si="348">SUM(I336:K336)</f>
        <v>1836</v>
      </c>
      <c r="M336" s="117">
        <v>46181</v>
      </c>
      <c r="N336" s="117">
        <v>46191</v>
      </c>
      <c r="O336" s="39"/>
      <c r="P336" s="39"/>
      <c r="Q336" s="39"/>
      <c r="R336" s="39">
        <f t="shared" si="323"/>
        <v>0</v>
      </c>
      <c r="S336" s="39" t="s">
        <v>270</v>
      </c>
      <c r="T336" s="39"/>
      <c r="U336" s="39"/>
      <c r="V336" s="117" t="s">
        <v>1095</v>
      </c>
      <c r="W336" s="39">
        <f>750+902+13+176+284</f>
        <v>2125</v>
      </c>
      <c r="X336" s="117" t="s">
        <v>1834</v>
      </c>
      <c r="Y336" s="39">
        <f>5+700+958+20</f>
        <v>1683</v>
      </c>
      <c r="Z336" s="39">
        <f>103+155</f>
        <v>258</v>
      </c>
      <c r="AA336" s="39">
        <v>9</v>
      </c>
      <c r="AB336" s="119">
        <f t="shared" si="324"/>
        <v>1950</v>
      </c>
      <c r="AC336" s="39"/>
      <c r="AD336" s="39"/>
      <c r="AE336" s="39"/>
      <c r="AF336" s="39"/>
      <c r="AG336" s="39"/>
      <c r="AH336" s="39">
        <f t="shared" si="341"/>
        <v>0</v>
      </c>
      <c r="AI336" s="39"/>
      <c r="AJ336" s="39"/>
      <c r="AK336" s="39"/>
      <c r="AL336" s="39"/>
      <c r="AM336" s="39"/>
      <c r="AN336" s="39">
        <f t="shared" si="335"/>
        <v>0</v>
      </c>
      <c r="AO336" s="39" t="s">
        <v>558</v>
      </c>
      <c r="AP336" s="117" t="s">
        <v>1685</v>
      </c>
      <c r="AQ336" s="39">
        <f>5+658+958+20</f>
        <v>1641</v>
      </c>
      <c r="AR336" s="117" t="s">
        <v>1701</v>
      </c>
      <c r="AS336" s="39">
        <f>5+658+948+20</f>
        <v>1631</v>
      </c>
      <c r="AT336" s="39">
        <f t="shared" si="342"/>
        <v>-10</v>
      </c>
      <c r="AU336" s="39" t="s">
        <v>273</v>
      </c>
      <c r="AV336" s="117" t="s">
        <v>1701</v>
      </c>
      <c r="AW336" s="39">
        <f>5+658+948+20</f>
        <v>1631</v>
      </c>
      <c r="AX336" s="117" t="s">
        <v>1807</v>
      </c>
      <c r="AY336" s="39">
        <f>5+650+948+18</f>
        <v>1621</v>
      </c>
      <c r="AZ336" s="39">
        <f t="shared" si="343"/>
        <v>-10</v>
      </c>
      <c r="BA336" s="39"/>
      <c r="BB336" s="39"/>
      <c r="BC336" s="39"/>
      <c r="BD336" s="39"/>
      <c r="BE336" s="39"/>
      <c r="BF336" s="39">
        <f t="shared" si="344"/>
        <v>0</v>
      </c>
      <c r="BG336" s="39"/>
      <c r="BH336" s="39"/>
      <c r="BI336" s="39"/>
      <c r="BJ336" s="39"/>
      <c r="BK336" s="39"/>
      <c r="BL336" s="39">
        <f t="shared" si="345"/>
        <v>0</v>
      </c>
      <c r="BM336" s="54" t="str">
        <f t="shared" si="346"/>
        <v/>
      </c>
      <c r="BN336" s="59">
        <v>46188</v>
      </c>
      <c r="BO336" s="57">
        <v>46205</v>
      </c>
      <c r="BP336" s="36"/>
      <c r="BQ336" s="36"/>
      <c r="BR336" s="237">
        <v>46210</v>
      </c>
      <c r="BS336" s="237">
        <v>46226</v>
      </c>
      <c r="BT336" s="39" t="s">
        <v>1790</v>
      </c>
      <c r="BU336" s="39">
        <f>625+928</f>
        <v>1553</v>
      </c>
      <c r="BV336" s="39">
        <v>1536</v>
      </c>
      <c r="BW336" s="39">
        <f>103+155</f>
        <v>258</v>
      </c>
      <c r="BX336" s="39">
        <v>1536</v>
      </c>
      <c r="BY336" s="39">
        <v>9</v>
      </c>
      <c r="BZ336" s="39">
        <f t="shared" si="336"/>
        <v>1820</v>
      </c>
      <c r="CA336" s="39">
        <f t="shared" si="11"/>
        <v>-23</v>
      </c>
      <c r="CB336" s="39">
        <f t="shared" si="337"/>
        <v>7</v>
      </c>
      <c r="CC336" s="39">
        <f t="shared" si="338"/>
        <v>0</v>
      </c>
      <c r="CD336" s="39">
        <v>0</v>
      </c>
      <c r="CE336" s="102">
        <f t="shared" si="340"/>
        <v>0</v>
      </c>
      <c r="CF336" s="36" t="s">
        <v>292</v>
      </c>
      <c r="CG336" s="39" t="s">
        <v>230</v>
      </c>
      <c r="CH336" s="39"/>
      <c r="CI336" s="25">
        <v>2</v>
      </c>
    </row>
    <row r="337" spans="1:88" ht="24.75" customHeight="1">
      <c r="A337" s="36" t="s">
        <v>51</v>
      </c>
      <c r="B337" s="28" t="s">
        <v>915</v>
      </c>
      <c r="C337" s="240"/>
      <c r="D337" s="36" t="s">
        <v>45</v>
      </c>
      <c r="E337" s="39">
        <v>340</v>
      </c>
      <c r="F337" s="39" t="s">
        <v>57</v>
      </c>
      <c r="G337" s="36" t="s">
        <v>366</v>
      </c>
      <c r="H337" s="36" t="s">
        <v>362</v>
      </c>
      <c r="I337" s="39">
        <v>2399</v>
      </c>
      <c r="J337" s="39">
        <v>371</v>
      </c>
      <c r="K337" s="39">
        <v>13</v>
      </c>
      <c r="L337" s="39">
        <f t="shared" si="348"/>
        <v>2783</v>
      </c>
      <c r="M337" s="117">
        <v>46181</v>
      </c>
      <c r="N337" s="117">
        <v>46191</v>
      </c>
      <c r="O337" s="39"/>
      <c r="P337" s="39"/>
      <c r="Q337" s="39"/>
      <c r="R337" s="39">
        <f t="shared" si="323"/>
        <v>0</v>
      </c>
      <c r="S337" s="39" t="s">
        <v>270</v>
      </c>
      <c r="T337" s="39"/>
      <c r="U337" s="39"/>
      <c r="V337" s="117" t="s">
        <v>1187</v>
      </c>
      <c r="W337" s="39">
        <f>1313+419+16+1356+91</f>
        <v>3195</v>
      </c>
      <c r="X337" s="117" t="s">
        <v>1709</v>
      </c>
      <c r="Y337" s="39">
        <f>435+780+1254+84</f>
        <v>2553</v>
      </c>
      <c r="Z337" s="39">
        <f>177+192+16</f>
        <v>385</v>
      </c>
      <c r="AA337" s="39">
        <f>7+7</f>
        <v>14</v>
      </c>
      <c r="AB337" s="119">
        <f t="shared" si="324"/>
        <v>2952</v>
      </c>
      <c r="AC337" s="39"/>
      <c r="AD337" s="39"/>
      <c r="AE337" s="39"/>
      <c r="AF337" s="39"/>
      <c r="AG337" s="39"/>
      <c r="AH337" s="39">
        <f t="shared" si="341"/>
        <v>0</v>
      </c>
      <c r="AI337" s="39"/>
      <c r="AJ337" s="39"/>
      <c r="AK337" s="39"/>
      <c r="AL337" s="39"/>
      <c r="AM337" s="39"/>
      <c r="AN337" s="39">
        <f t="shared" si="335"/>
        <v>0</v>
      </c>
      <c r="AO337" s="39" t="s">
        <v>280</v>
      </c>
      <c r="AP337" s="117" t="s">
        <v>1570</v>
      </c>
      <c r="AQ337" s="39">
        <f>437+1260+785+84</f>
        <v>2566</v>
      </c>
      <c r="AR337" s="117" t="s">
        <v>1624</v>
      </c>
      <c r="AS337" s="39">
        <f>439+1263+784+85</f>
        <v>2571</v>
      </c>
      <c r="AT337" s="39">
        <f t="shared" si="342"/>
        <v>5</v>
      </c>
      <c r="AU337" s="39" t="s">
        <v>273</v>
      </c>
      <c r="AV337" s="117" t="s">
        <v>1624</v>
      </c>
      <c r="AW337" s="39">
        <f>439+1263+784+85</f>
        <v>2571</v>
      </c>
      <c r="AX337" s="117" t="s">
        <v>1645</v>
      </c>
      <c r="AY337" s="39">
        <f>429+1242+771+84</f>
        <v>2526</v>
      </c>
      <c r="AZ337" s="39">
        <f t="shared" si="343"/>
        <v>-45</v>
      </c>
      <c r="BA337" s="39"/>
      <c r="BB337" s="39"/>
      <c r="BC337" s="39"/>
      <c r="BD337" s="39"/>
      <c r="BE337" s="39"/>
      <c r="BF337" s="39">
        <f t="shared" si="344"/>
        <v>0</v>
      </c>
      <c r="BG337" s="39"/>
      <c r="BH337" s="39"/>
      <c r="BI337" s="39"/>
      <c r="BJ337" s="39"/>
      <c r="BK337" s="39"/>
      <c r="BL337" s="39">
        <f t="shared" si="345"/>
        <v>0</v>
      </c>
      <c r="BM337" s="54" t="str">
        <f t="shared" si="346"/>
        <v/>
      </c>
      <c r="BN337" s="59">
        <v>46188</v>
      </c>
      <c r="BO337" s="57">
        <v>46205</v>
      </c>
      <c r="BP337" s="36"/>
      <c r="BQ337" s="36"/>
      <c r="BR337" s="238"/>
      <c r="BS337" s="238"/>
      <c r="BT337" s="39" t="s">
        <v>1690</v>
      </c>
      <c r="BU337" s="39">
        <f>420+750+1204+80</f>
        <v>2454</v>
      </c>
      <c r="BV337" s="39" t="s">
        <v>1721</v>
      </c>
      <c r="BW337" s="39">
        <f>177+192+16</f>
        <v>385</v>
      </c>
      <c r="BX337" s="39" t="s">
        <v>1609</v>
      </c>
      <c r="BY337" s="39">
        <f>7+7</f>
        <v>14</v>
      </c>
      <c r="BZ337" s="39">
        <f t="shared" si="336"/>
        <v>2853</v>
      </c>
      <c r="CA337" s="39">
        <f t="shared" si="11"/>
        <v>55</v>
      </c>
      <c r="CB337" s="39">
        <f t="shared" si="337"/>
        <v>14</v>
      </c>
      <c r="CC337" s="39">
        <f t="shared" si="338"/>
        <v>1</v>
      </c>
      <c r="CD337" s="39">
        <v>0</v>
      </c>
      <c r="CE337" s="102">
        <f t="shared" si="340"/>
        <v>0</v>
      </c>
      <c r="CF337" s="36" t="s">
        <v>292</v>
      </c>
      <c r="CG337" s="39" t="s">
        <v>230</v>
      </c>
      <c r="CH337" s="39"/>
      <c r="CI337" s="25">
        <v>2</v>
      </c>
    </row>
    <row r="338" spans="1:88" ht="24.75" customHeight="1">
      <c r="A338" s="36" t="s">
        <v>51</v>
      </c>
      <c r="B338" s="28" t="s">
        <v>915</v>
      </c>
      <c r="C338" s="240"/>
      <c r="D338" s="36" t="s">
        <v>45</v>
      </c>
      <c r="E338" s="39">
        <v>340</v>
      </c>
      <c r="F338" s="39" t="s">
        <v>57</v>
      </c>
      <c r="G338" s="36" t="s">
        <v>722</v>
      </c>
      <c r="H338" s="36" t="s">
        <v>362</v>
      </c>
      <c r="I338" s="39">
        <v>1591</v>
      </c>
      <c r="J338" s="39">
        <v>251</v>
      </c>
      <c r="K338" s="39">
        <v>9</v>
      </c>
      <c r="L338" s="39">
        <f t="shared" si="348"/>
        <v>1851</v>
      </c>
      <c r="M338" s="117">
        <v>46181</v>
      </c>
      <c r="N338" s="117">
        <v>46191</v>
      </c>
      <c r="O338" s="39"/>
      <c r="P338" s="39"/>
      <c r="Q338" s="39"/>
      <c r="R338" s="39">
        <f t="shared" si="323"/>
        <v>0</v>
      </c>
      <c r="S338" s="39" t="s">
        <v>130</v>
      </c>
      <c r="T338" s="39" t="s">
        <v>1487</v>
      </c>
      <c r="U338" s="117" t="s">
        <v>1219</v>
      </c>
      <c r="V338" s="39"/>
      <c r="W338" s="39"/>
      <c r="X338" s="39"/>
      <c r="Y338" s="39">
        <f>208+647+974</f>
        <v>1829</v>
      </c>
      <c r="Z338" s="39">
        <f>33+100+150</f>
        <v>283</v>
      </c>
      <c r="AA338" s="39">
        <v>12</v>
      </c>
      <c r="AB338" s="119">
        <f t="shared" si="324"/>
        <v>2124</v>
      </c>
      <c r="AC338" s="39"/>
      <c r="AD338" s="39"/>
      <c r="AE338" s="39"/>
      <c r="AF338" s="39"/>
      <c r="AG338" s="39"/>
      <c r="AH338" s="39">
        <f t="shared" si="341"/>
        <v>0</v>
      </c>
      <c r="AI338" s="39"/>
      <c r="AJ338" s="39"/>
      <c r="AK338" s="39"/>
      <c r="AL338" s="39"/>
      <c r="AM338" s="39"/>
      <c r="AN338" s="39">
        <f t="shared" si="335"/>
        <v>0</v>
      </c>
      <c r="AO338" s="39" t="s">
        <v>280</v>
      </c>
      <c r="AP338" s="117" t="s">
        <v>1559</v>
      </c>
      <c r="AQ338" s="39">
        <f>184+611+741+136</f>
        <v>1672</v>
      </c>
      <c r="AR338" s="117" t="s">
        <v>1623</v>
      </c>
      <c r="AS338" s="39">
        <f>922+549+59+137</f>
        <v>1667</v>
      </c>
      <c r="AT338" s="39">
        <f t="shared" si="342"/>
        <v>-5</v>
      </c>
      <c r="AU338" s="39" t="s">
        <v>257</v>
      </c>
      <c r="AV338" s="117" t="s">
        <v>1623</v>
      </c>
      <c r="AW338" s="39">
        <f>922+549+59+137</f>
        <v>1667</v>
      </c>
      <c r="AX338" s="117" t="s">
        <v>1644</v>
      </c>
      <c r="AY338" s="39">
        <f>906+539+58+135</f>
        <v>1638</v>
      </c>
      <c r="AZ338" s="39">
        <f t="shared" si="343"/>
        <v>-29</v>
      </c>
      <c r="BA338" s="39"/>
      <c r="BB338" s="39"/>
      <c r="BC338" s="39"/>
      <c r="BD338" s="39"/>
      <c r="BE338" s="39"/>
      <c r="BF338" s="39">
        <f t="shared" si="344"/>
        <v>0</v>
      </c>
      <c r="BG338" s="39" t="s">
        <v>28</v>
      </c>
      <c r="BH338" s="117">
        <v>46198</v>
      </c>
      <c r="BI338" s="39">
        <f>190+110+10</f>
        <v>310</v>
      </c>
      <c r="BJ338" s="117">
        <v>46200</v>
      </c>
      <c r="BK338" s="39">
        <f>182+105+8</f>
        <v>295</v>
      </c>
      <c r="BL338" s="39">
        <f t="shared" si="345"/>
        <v>-15</v>
      </c>
      <c r="BM338" s="54" t="str">
        <f t="shared" si="346"/>
        <v/>
      </c>
      <c r="BN338" s="59">
        <v>46188</v>
      </c>
      <c r="BO338" s="57">
        <v>46205</v>
      </c>
      <c r="BP338" s="36"/>
      <c r="BQ338" s="36"/>
      <c r="BR338" s="238"/>
      <c r="BS338" s="238"/>
      <c r="BT338" s="39" t="s">
        <v>1827</v>
      </c>
      <c r="BU338" s="39">
        <f>856+527+170+70</f>
        <v>1623</v>
      </c>
      <c r="BV338" s="39" t="s">
        <v>1855</v>
      </c>
      <c r="BW338" s="39">
        <f>67+112+53</f>
        <v>232</v>
      </c>
      <c r="BX338" s="39">
        <v>1826</v>
      </c>
      <c r="BY338" s="39">
        <v>11</v>
      </c>
      <c r="BZ338" s="39">
        <f t="shared" si="336"/>
        <v>1866</v>
      </c>
      <c r="CA338" s="39">
        <f t="shared" si="11"/>
        <v>32</v>
      </c>
      <c r="CB338" s="39">
        <f t="shared" si="337"/>
        <v>-19</v>
      </c>
      <c r="CC338" s="39">
        <f t="shared" si="338"/>
        <v>2</v>
      </c>
      <c r="CD338" s="39">
        <v>0</v>
      </c>
      <c r="CE338" s="102">
        <f t="shared" si="340"/>
        <v>0</v>
      </c>
      <c r="CF338" s="36" t="s">
        <v>292</v>
      </c>
      <c r="CG338" s="39" t="s">
        <v>230</v>
      </c>
      <c r="CH338" s="39" t="s">
        <v>2050</v>
      </c>
      <c r="CI338" s="25">
        <v>2</v>
      </c>
    </row>
    <row r="339" spans="1:88" ht="24.75" customHeight="1">
      <c r="A339" s="36" t="s">
        <v>51</v>
      </c>
      <c r="B339" s="28" t="s">
        <v>915</v>
      </c>
      <c r="C339" s="240"/>
      <c r="D339" s="36" t="s">
        <v>45</v>
      </c>
      <c r="E339" s="39">
        <v>340</v>
      </c>
      <c r="F339" s="39" t="s">
        <v>57</v>
      </c>
      <c r="G339" s="36" t="s">
        <v>322</v>
      </c>
      <c r="H339" s="36" t="s">
        <v>362</v>
      </c>
      <c r="I339" s="39">
        <v>2361</v>
      </c>
      <c r="J339" s="39">
        <v>371</v>
      </c>
      <c r="K339" s="39">
        <v>13</v>
      </c>
      <c r="L339" s="39">
        <f t="shared" ref="L339:L344" si="349">SUM(I339:K339)</f>
        <v>2745</v>
      </c>
      <c r="M339" s="117">
        <v>46181</v>
      </c>
      <c r="N339" s="117">
        <v>46191</v>
      </c>
      <c r="O339" s="39"/>
      <c r="P339" s="39"/>
      <c r="Q339" s="39"/>
      <c r="R339" s="39">
        <f t="shared" si="323"/>
        <v>0</v>
      </c>
      <c r="S339" s="39" t="s">
        <v>270</v>
      </c>
      <c r="T339" s="39"/>
      <c r="U339" s="117"/>
      <c r="V339" s="117" t="s">
        <v>1314</v>
      </c>
      <c r="W339" s="39">
        <f>583+17+401+405+1678</f>
        <v>3084</v>
      </c>
      <c r="X339" s="117" t="s">
        <v>1679</v>
      </c>
      <c r="Y339" s="39">
        <f>940+1497+96</f>
        <v>2533</v>
      </c>
      <c r="Z339" s="39">
        <f>136+239</f>
        <v>375</v>
      </c>
      <c r="AA339" s="39">
        <f>4+8</f>
        <v>12</v>
      </c>
      <c r="AB339" s="120">
        <f t="shared" si="324"/>
        <v>2920</v>
      </c>
      <c r="AC339" s="39"/>
      <c r="AD339" s="39"/>
      <c r="AE339" s="39"/>
      <c r="AF339" s="39"/>
      <c r="AG339" s="39"/>
      <c r="AH339" s="39">
        <f t="shared" si="341"/>
        <v>0</v>
      </c>
      <c r="AI339" s="39"/>
      <c r="AJ339" s="39"/>
      <c r="AK339" s="39"/>
      <c r="AL339" s="39"/>
      <c r="AM339" s="39"/>
      <c r="AN339" s="39">
        <f t="shared" si="335"/>
        <v>0</v>
      </c>
      <c r="AO339" s="39" t="s">
        <v>729</v>
      </c>
      <c r="AP339" s="117" t="s">
        <v>1639</v>
      </c>
      <c r="AQ339" s="39">
        <f>940+1501+98</f>
        <v>2539</v>
      </c>
      <c r="AR339" s="117" t="s">
        <v>1682</v>
      </c>
      <c r="AS339" s="39">
        <f>933+1493+96</f>
        <v>2522</v>
      </c>
      <c r="AT339" s="39">
        <f t="shared" si="342"/>
        <v>-17</v>
      </c>
      <c r="AU339" s="39" t="s">
        <v>273</v>
      </c>
      <c r="AV339" s="117" t="s">
        <v>1640</v>
      </c>
      <c r="AW339" s="39">
        <f>940+1493+98</f>
        <v>2531</v>
      </c>
      <c r="AX339" s="117" t="s">
        <v>1681</v>
      </c>
      <c r="AY339" s="39">
        <f>933+1466+96</f>
        <v>2495</v>
      </c>
      <c r="AZ339" s="39">
        <f t="shared" si="343"/>
        <v>-36</v>
      </c>
      <c r="BA339" s="39"/>
      <c r="BB339" s="39"/>
      <c r="BC339" s="39"/>
      <c r="BD339" s="39"/>
      <c r="BE339" s="39"/>
      <c r="BF339" s="39">
        <f t="shared" si="344"/>
        <v>0</v>
      </c>
      <c r="BG339" s="39"/>
      <c r="BH339" s="39"/>
      <c r="BI339" s="39"/>
      <c r="BJ339" s="39"/>
      <c r="BK339" s="39"/>
      <c r="BL339" s="39">
        <f t="shared" si="345"/>
        <v>0</v>
      </c>
      <c r="BM339" s="54" t="str">
        <f t="shared" si="346"/>
        <v/>
      </c>
      <c r="BN339" s="59">
        <v>46188</v>
      </c>
      <c r="BO339" s="57">
        <v>46205</v>
      </c>
      <c r="BP339" s="36"/>
      <c r="BQ339" s="36"/>
      <c r="BR339" s="238"/>
      <c r="BS339" s="238"/>
      <c r="BT339" s="39" t="s">
        <v>1796</v>
      </c>
      <c r="BU339" s="39">
        <f>917+1408+94</f>
        <v>2419</v>
      </c>
      <c r="BV339" s="39" t="s">
        <v>1720</v>
      </c>
      <c r="BW339" s="39">
        <f>136+239</f>
        <v>375</v>
      </c>
      <c r="BX339" s="39" t="s">
        <v>1720</v>
      </c>
      <c r="BY339" s="39">
        <f>4+8</f>
        <v>12</v>
      </c>
      <c r="BZ339" s="39">
        <f t="shared" si="336"/>
        <v>2806</v>
      </c>
      <c r="CA339" s="39">
        <f t="shared" si="11"/>
        <v>58</v>
      </c>
      <c r="CB339" s="39">
        <f t="shared" si="337"/>
        <v>4</v>
      </c>
      <c r="CC339" s="39">
        <f t="shared" si="338"/>
        <v>-1</v>
      </c>
      <c r="CD339" s="39">
        <v>0</v>
      </c>
      <c r="CE339" s="102">
        <f t="shared" si="340"/>
        <v>0</v>
      </c>
      <c r="CF339" s="36" t="s">
        <v>292</v>
      </c>
      <c r="CG339" s="39" t="s">
        <v>230</v>
      </c>
      <c r="CH339" s="39"/>
      <c r="CI339" s="25">
        <v>2</v>
      </c>
    </row>
    <row r="340" spans="1:88" ht="24.75" customHeight="1">
      <c r="A340" s="36" t="s">
        <v>51</v>
      </c>
      <c r="B340" s="28" t="s">
        <v>915</v>
      </c>
      <c r="C340" s="236"/>
      <c r="D340" s="36"/>
      <c r="E340" s="39"/>
      <c r="F340" s="39"/>
      <c r="G340" s="36" t="s">
        <v>724</v>
      </c>
      <c r="H340" s="36"/>
      <c r="I340" s="39"/>
      <c r="J340" s="39"/>
      <c r="K340" s="39"/>
      <c r="L340" s="39">
        <f t="shared" si="349"/>
        <v>0</v>
      </c>
      <c r="M340" s="117">
        <v>46181</v>
      </c>
      <c r="N340" s="117">
        <v>46191</v>
      </c>
      <c r="O340" s="39"/>
      <c r="P340" s="39"/>
      <c r="Q340" s="39"/>
      <c r="R340" s="39">
        <f t="shared" si="323"/>
        <v>0</v>
      </c>
      <c r="S340" s="39" t="s">
        <v>130</v>
      </c>
      <c r="T340" s="39"/>
      <c r="U340" s="39"/>
      <c r="V340" s="39"/>
      <c r="W340" s="39"/>
      <c r="X340" s="39"/>
      <c r="Y340" s="39"/>
      <c r="Z340" s="39"/>
      <c r="AA340" s="39"/>
      <c r="AB340" s="39">
        <f t="shared" si="324"/>
        <v>0</v>
      </c>
      <c r="AC340" s="39"/>
      <c r="AD340" s="39"/>
      <c r="AE340" s="39"/>
      <c r="AF340" s="39"/>
      <c r="AG340" s="39"/>
      <c r="AH340" s="39">
        <f t="shared" si="341"/>
        <v>0</v>
      </c>
      <c r="AI340" s="39"/>
      <c r="AJ340" s="39"/>
      <c r="AK340" s="39"/>
      <c r="AL340" s="39"/>
      <c r="AM340" s="39"/>
      <c r="AN340" s="39">
        <f t="shared" si="335"/>
        <v>0</v>
      </c>
      <c r="AO340" s="39"/>
      <c r="AP340" s="39"/>
      <c r="AQ340" s="39"/>
      <c r="AR340" s="39"/>
      <c r="AS340" s="39"/>
      <c r="AT340" s="39">
        <f t="shared" si="342"/>
        <v>0</v>
      </c>
      <c r="AU340" s="39"/>
      <c r="AV340" s="39"/>
      <c r="AW340" s="39"/>
      <c r="AX340" s="39"/>
      <c r="AY340" s="39"/>
      <c r="AZ340" s="39">
        <f t="shared" si="343"/>
        <v>0</v>
      </c>
      <c r="BA340" s="39"/>
      <c r="BB340" s="39"/>
      <c r="BC340" s="39"/>
      <c r="BD340" s="39"/>
      <c r="BE340" s="39"/>
      <c r="BF340" s="39">
        <f t="shared" si="344"/>
        <v>0</v>
      </c>
      <c r="BG340" s="39"/>
      <c r="BH340" s="39"/>
      <c r="BI340" s="39"/>
      <c r="BJ340" s="39"/>
      <c r="BK340" s="39"/>
      <c r="BL340" s="39">
        <f t="shared" si="345"/>
        <v>0</v>
      </c>
      <c r="BM340" s="54" t="e">
        <f t="shared" si="346"/>
        <v>#DIV/0!</v>
      </c>
      <c r="BN340" s="59">
        <v>46188</v>
      </c>
      <c r="BO340" s="57">
        <v>46205</v>
      </c>
      <c r="BP340" s="36"/>
      <c r="BQ340" s="36"/>
      <c r="BR340" s="239"/>
      <c r="BS340" s="239"/>
      <c r="BT340" s="39"/>
      <c r="BU340" s="39"/>
      <c r="BV340" s="39"/>
      <c r="BW340" s="39"/>
      <c r="BX340" s="39"/>
      <c r="BY340" s="39"/>
      <c r="BZ340" s="39">
        <f t="shared" si="336"/>
        <v>0</v>
      </c>
      <c r="CA340" s="39">
        <f t="shared" si="11"/>
        <v>0</v>
      </c>
      <c r="CB340" s="39">
        <f t="shared" si="337"/>
        <v>0</v>
      </c>
      <c r="CC340" s="39">
        <f t="shared" si="338"/>
        <v>0</v>
      </c>
      <c r="CD340" s="39">
        <f t="shared" si="339"/>
        <v>0</v>
      </c>
      <c r="CE340" s="102" t="e">
        <f t="shared" si="340"/>
        <v>#DIV/0!</v>
      </c>
      <c r="CF340" s="36" t="s">
        <v>292</v>
      </c>
      <c r="CG340" s="39" t="s">
        <v>230</v>
      </c>
      <c r="CH340" s="39"/>
      <c r="CI340" s="25">
        <v>2</v>
      </c>
    </row>
    <row r="341" spans="1:88" ht="24.75" customHeight="1">
      <c r="A341" s="36" t="s">
        <v>51</v>
      </c>
      <c r="B341" s="28" t="s">
        <v>916</v>
      </c>
      <c r="C341" s="235">
        <v>22029226</v>
      </c>
      <c r="D341" s="36" t="s">
        <v>45</v>
      </c>
      <c r="E341" s="39">
        <v>340</v>
      </c>
      <c r="F341" s="39" t="s">
        <v>55</v>
      </c>
      <c r="G341" s="36" t="s">
        <v>367</v>
      </c>
      <c r="H341" s="36" t="s">
        <v>362</v>
      </c>
      <c r="I341" s="39">
        <v>1089</v>
      </c>
      <c r="J341" s="39">
        <v>273</v>
      </c>
      <c r="K341" s="39">
        <v>9</v>
      </c>
      <c r="L341" s="39">
        <f t="shared" si="349"/>
        <v>1371</v>
      </c>
      <c r="M341" s="117">
        <v>46179</v>
      </c>
      <c r="N341" s="117">
        <v>46185</v>
      </c>
      <c r="O341" s="39"/>
      <c r="P341" s="39"/>
      <c r="Q341" s="39"/>
      <c r="R341" s="39">
        <f t="shared" si="323"/>
        <v>0</v>
      </c>
      <c r="S341" s="39" t="s">
        <v>270</v>
      </c>
      <c r="T341" s="39"/>
      <c r="U341" s="39"/>
      <c r="V341" s="117">
        <v>46186</v>
      </c>
      <c r="W341" s="39">
        <f>1270+308+13</f>
        <v>1591</v>
      </c>
      <c r="X341" s="117" t="s">
        <v>1381</v>
      </c>
      <c r="Y341" s="39">
        <f>875+309</f>
        <v>1184</v>
      </c>
      <c r="Z341" s="39">
        <f>198+75</f>
        <v>273</v>
      </c>
      <c r="AA341" s="39">
        <v>11</v>
      </c>
      <c r="AB341" s="119">
        <f t="shared" si="324"/>
        <v>1468</v>
      </c>
      <c r="AC341" s="39"/>
      <c r="AD341" s="39"/>
      <c r="AE341" s="39"/>
      <c r="AF341" s="39"/>
      <c r="AG341" s="39"/>
      <c r="AH341" s="39">
        <f t="shared" si="341"/>
        <v>0</v>
      </c>
      <c r="AI341" s="39"/>
      <c r="AJ341" s="39"/>
      <c r="AK341" s="39"/>
      <c r="AL341" s="39"/>
      <c r="AM341" s="39"/>
      <c r="AN341" s="39">
        <f t="shared" si="335"/>
        <v>0</v>
      </c>
      <c r="AO341" s="39" t="s">
        <v>280</v>
      </c>
      <c r="AP341" s="117">
        <v>46195</v>
      </c>
      <c r="AQ341" s="39">
        <f>879</f>
        <v>879</v>
      </c>
      <c r="AR341" s="117">
        <v>46196</v>
      </c>
      <c r="AS341" s="39">
        <f>869</f>
        <v>869</v>
      </c>
      <c r="AT341" s="39">
        <f t="shared" si="342"/>
        <v>-10</v>
      </c>
      <c r="AU341" s="39" t="s">
        <v>257</v>
      </c>
      <c r="AV341" s="117">
        <v>46196</v>
      </c>
      <c r="AW341" s="39">
        <f>869</f>
        <v>869</v>
      </c>
      <c r="AX341" s="117">
        <v>46197</v>
      </c>
      <c r="AY341" s="39">
        <f>855</f>
        <v>855</v>
      </c>
      <c r="AZ341" s="39">
        <f t="shared" si="343"/>
        <v>-14</v>
      </c>
      <c r="BA341" s="39"/>
      <c r="BB341" s="39"/>
      <c r="BC341" s="39"/>
      <c r="BD341" s="39"/>
      <c r="BE341" s="39"/>
      <c r="BF341" s="39">
        <f t="shared" si="344"/>
        <v>0</v>
      </c>
      <c r="BG341" s="39"/>
      <c r="BH341" s="39"/>
      <c r="BI341" s="39"/>
      <c r="BJ341" s="39"/>
      <c r="BK341" s="39"/>
      <c r="BL341" s="39">
        <f t="shared" si="345"/>
        <v>0</v>
      </c>
      <c r="BM341" s="54" t="str">
        <f t="shared" si="346"/>
        <v/>
      </c>
      <c r="BN341" s="59">
        <v>46188</v>
      </c>
      <c r="BO341" s="57">
        <v>46198</v>
      </c>
      <c r="BP341" s="36"/>
      <c r="BQ341" s="36"/>
      <c r="BR341" s="237">
        <v>46198</v>
      </c>
      <c r="BS341" s="237">
        <v>46207</v>
      </c>
      <c r="BT341" s="39" t="s">
        <v>1295</v>
      </c>
      <c r="BU341" s="39">
        <f>830+266</f>
        <v>1096</v>
      </c>
      <c r="BV341" s="39" t="s">
        <v>1372</v>
      </c>
      <c r="BW341" s="39">
        <f>75+198</f>
        <v>273</v>
      </c>
      <c r="BX341" s="39">
        <v>2012</v>
      </c>
      <c r="BY341" s="39">
        <v>11</v>
      </c>
      <c r="BZ341" s="39">
        <f t="shared" si="336"/>
        <v>1380</v>
      </c>
      <c r="CA341" s="39">
        <f t="shared" si="11"/>
        <v>7</v>
      </c>
      <c r="CB341" s="39">
        <f t="shared" si="337"/>
        <v>0</v>
      </c>
      <c r="CC341" s="39">
        <f t="shared" si="338"/>
        <v>2</v>
      </c>
      <c r="CD341" s="39">
        <f t="shared" si="339"/>
        <v>0</v>
      </c>
      <c r="CE341" s="102">
        <f t="shared" si="340"/>
        <v>0</v>
      </c>
      <c r="CF341" s="36" t="s">
        <v>292</v>
      </c>
      <c r="CG341" s="39" t="s">
        <v>230</v>
      </c>
      <c r="CH341" s="39"/>
      <c r="CI341" s="25">
        <v>2</v>
      </c>
    </row>
    <row r="342" spans="1:88" ht="24.75" customHeight="1">
      <c r="A342" s="36" t="s">
        <v>51</v>
      </c>
      <c r="B342" s="28" t="s">
        <v>916</v>
      </c>
      <c r="C342" s="236"/>
      <c r="D342" s="36" t="s">
        <v>45</v>
      </c>
      <c r="E342" s="39">
        <v>340</v>
      </c>
      <c r="F342" s="39" t="s">
        <v>55</v>
      </c>
      <c r="G342" s="36" t="s">
        <v>725</v>
      </c>
      <c r="H342" s="36" t="s">
        <v>362</v>
      </c>
      <c r="I342" s="39">
        <v>561</v>
      </c>
      <c r="J342" s="39">
        <v>139</v>
      </c>
      <c r="K342" s="39">
        <v>5</v>
      </c>
      <c r="L342" s="39">
        <f t="shared" si="349"/>
        <v>705</v>
      </c>
      <c r="M342" s="117">
        <v>46179</v>
      </c>
      <c r="N342" s="117">
        <v>46185</v>
      </c>
      <c r="O342" s="39"/>
      <c r="P342" s="39"/>
      <c r="Q342" s="39"/>
      <c r="R342" s="39">
        <f t="shared" si="323"/>
        <v>0</v>
      </c>
      <c r="S342" s="39" t="s">
        <v>130</v>
      </c>
      <c r="T342" s="39">
        <v>107143</v>
      </c>
      <c r="U342" s="117">
        <v>46196</v>
      </c>
      <c r="V342" s="39"/>
      <c r="W342" s="39"/>
      <c r="X342" s="39"/>
      <c r="Y342" s="39">
        <v>652</v>
      </c>
      <c r="Z342" s="39">
        <v>163</v>
      </c>
      <c r="AA342" s="39">
        <v>7</v>
      </c>
      <c r="AB342" s="119">
        <f t="shared" si="324"/>
        <v>822</v>
      </c>
      <c r="AC342" s="39"/>
      <c r="AD342" s="39"/>
      <c r="AE342" s="39"/>
      <c r="AF342" s="39"/>
      <c r="AG342" s="39"/>
      <c r="AH342" s="39">
        <f t="shared" si="341"/>
        <v>0</v>
      </c>
      <c r="AI342" s="39"/>
      <c r="AJ342" s="39"/>
      <c r="AK342" s="39"/>
      <c r="AL342" s="39"/>
      <c r="AM342" s="39"/>
      <c r="AN342" s="39">
        <f t="shared" si="335"/>
        <v>0</v>
      </c>
      <c r="AO342" s="39" t="s">
        <v>280</v>
      </c>
      <c r="AP342" s="117">
        <v>46197</v>
      </c>
      <c r="AQ342" s="39">
        <v>580</v>
      </c>
      <c r="AR342" s="117"/>
      <c r="AS342" s="39"/>
      <c r="AT342" s="39">
        <f t="shared" si="342"/>
        <v>-580</v>
      </c>
      <c r="AU342" s="39"/>
      <c r="AV342" s="39"/>
      <c r="AW342" s="39"/>
      <c r="AX342" s="39"/>
      <c r="AY342" s="39"/>
      <c r="AZ342" s="39">
        <f t="shared" si="343"/>
        <v>0</v>
      </c>
      <c r="BA342" s="39"/>
      <c r="BB342" s="39"/>
      <c r="BC342" s="39"/>
      <c r="BD342" s="39"/>
      <c r="BE342" s="39"/>
      <c r="BF342" s="39">
        <f t="shared" si="344"/>
        <v>0</v>
      </c>
      <c r="BG342" s="39"/>
      <c r="BH342" s="39"/>
      <c r="BI342" s="39"/>
      <c r="BJ342" s="39"/>
      <c r="BK342" s="39"/>
      <c r="BL342" s="39">
        <f t="shared" si="345"/>
        <v>0</v>
      </c>
      <c r="BM342" s="54" t="str">
        <f t="shared" si="346"/>
        <v/>
      </c>
      <c r="BN342" s="59">
        <v>46188</v>
      </c>
      <c r="BO342" s="57">
        <v>46198</v>
      </c>
      <c r="BP342" s="36"/>
      <c r="BQ342" s="36"/>
      <c r="BR342" s="239"/>
      <c r="BS342" s="239"/>
      <c r="BT342" s="39">
        <v>2131</v>
      </c>
      <c r="BU342" s="39">
        <v>600</v>
      </c>
      <c r="BV342" s="39" t="s">
        <v>1229</v>
      </c>
      <c r="BW342" s="39">
        <f>134+10</f>
        <v>144</v>
      </c>
      <c r="BX342" s="39">
        <v>2133</v>
      </c>
      <c r="BY342" s="39">
        <v>6</v>
      </c>
      <c r="BZ342" s="39">
        <f t="shared" si="336"/>
        <v>750</v>
      </c>
      <c r="CA342" s="39">
        <f t="shared" si="11"/>
        <v>39</v>
      </c>
      <c r="CB342" s="39">
        <f t="shared" si="337"/>
        <v>5</v>
      </c>
      <c r="CC342" s="39">
        <f t="shared" si="338"/>
        <v>1</v>
      </c>
      <c r="CD342" s="39">
        <v>0</v>
      </c>
      <c r="CE342" s="102">
        <f t="shared" si="340"/>
        <v>0</v>
      </c>
      <c r="CF342" s="36" t="s">
        <v>292</v>
      </c>
      <c r="CG342" s="39" t="s">
        <v>230</v>
      </c>
      <c r="CH342" s="39"/>
      <c r="CI342" s="25">
        <v>2</v>
      </c>
    </row>
    <row r="343" spans="1:88" ht="24.75" customHeight="1">
      <c r="A343" s="36" t="s">
        <v>51</v>
      </c>
      <c r="B343" s="28" t="s">
        <v>917</v>
      </c>
      <c r="C343" s="235">
        <v>22029226</v>
      </c>
      <c r="D343" s="36" t="s">
        <v>45</v>
      </c>
      <c r="E343" s="39">
        <v>340</v>
      </c>
      <c r="F343" s="39" t="s">
        <v>55</v>
      </c>
      <c r="G343" s="36" t="s">
        <v>366</v>
      </c>
      <c r="H343" s="36" t="s">
        <v>362</v>
      </c>
      <c r="I343" s="39">
        <v>1602</v>
      </c>
      <c r="J343" s="39">
        <v>386</v>
      </c>
      <c r="K343" s="39">
        <v>13</v>
      </c>
      <c r="L343" s="39">
        <f t="shared" si="349"/>
        <v>2001</v>
      </c>
      <c r="M343" s="117">
        <v>46179</v>
      </c>
      <c r="N343" s="117">
        <v>46189</v>
      </c>
      <c r="O343" s="39"/>
      <c r="P343" s="39"/>
      <c r="Q343" s="39"/>
      <c r="R343" s="39">
        <f t="shared" si="323"/>
        <v>0</v>
      </c>
      <c r="S343" s="39" t="s">
        <v>270</v>
      </c>
      <c r="T343" s="39"/>
      <c r="U343" s="39"/>
      <c r="V343" s="117">
        <v>46196</v>
      </c>
      <c r="W343" s="39">
        <f>1844+436+16</f>
        <v>2296</v>
      </c>
      <c r="X343" s="117" t="s">
        <v>1710</v>
      </c>
      <c r="Y343" s="39">
        <f>1207+508</f>
        <v>1715</v>
      </c>
      <c r="Z343" s="39">
        <f>274+87</f>
        <v>361</v>
      </c>
      <c r="AA343" s="39">
        <f>9+4</f>
        <v>13</v>
      </c>
      <c r="AB343" s="120">
        <f t="shared" si="324"/>
        <v>2089</v>
      </c>
      <c r="AC343" s="39"/>
      <c r="AD343" s="39"/>
      <c r="AE343" s="39"/>
      <c r="AF343" s="39"/>
      <c r="AG343" s="39"/>
      <c r="AH343" s="39">
        <f t="shared" si="341"/>
        <v>0</v>
      </c>
      <c r="AI343" s="39"/>
      <c r="AJ343" s="39"/>
      <c r="AK343" s="39"/>
      <c r="AL343" s="39"/>
      <c r="AM343" s="39"/>
      <c r="AN343" s="39">
        <f t="shared" si="335"/>
        <v>0</v>
      </c>
      <c r="AO343" s="39" t="s">
        <v>280</v>
      </c>
      <c r="AP343" s="117" t="s">
        <v>1561</v>
      </c>
      <c r="AQ343" s="39">
        <f>1207+507</f>
        <v>1714</v>
      </c>
      <c r="AR343" s="117" t="s">
        <v>1637</v>
      </c>
      <c r="AS343" s="39">
        <f>1206+505</f>
        <v>1711</v>
      </c>
      <c r="AT343" s="39">
        <f t="shared" si="342"/>
        <v>-3</v>
      </c>
      <c r="AU343" s="39" t="s">
        <v>257</v>
      </c>
      <c r="AV343" s="117" t="s">
        <v>1637</v>
      </c>
      <c r="AW343" s="39">
        <f>1206+505</f>
        <v>1711</v>
      </c>
      <c r="AX343" s="117" t="s">
        <v>1663</v>
      </c>
      <c r="AY343" s="39">
        <f>1184+496</f>
        <v>1680</v>
      </c>
      <c r="AZ343" s="39">
        <f t="shared" si="343"/>
        <v>-31</v>
      </c>
      <c r="BA343" s="39"/>
      <c r="BB343" s="39"/>
      <c r="BC343" s="39"/>
      <c r="BD343" s="39"/>
      <c r="BE343" s="39"/>
      <c r="BF343" s="39">
        <f t="shared" si="344"/>
        <v>0</v>
      </c>
      <c r="BG343" s="39"/>
      <c r="BH343" s="39"/>
      <c r="BI343" s="39"/>
      <c r="BJ343" s="39"/>
      <c r="BK343" s="39"/>
      <c r="BL343" s="39">
        <f t="shared" si="345"/>
        <v>0</v>
      </c>
      <c r="BM343" s="54" t="str">
        <f t="shared" si="346"/>
        <v/>
      </c>
      <c r="BN343" s="59">
        <v>46188</v>
      </c>
      <c r="BO343" s="57">
        <v>46203</v>
      </c>
      <c r="BP343" s="36"/>
      <c r="BQ343" s="36"/>
      <c r="BR343" s="237">
        <v>46200</v>
      </c>
      <c r="BS343" s="237">
        <v>46221</v>
      </c>
      <c r="BT343" s="39" t="s">
        <v>1696</v>
      </c>
      <c r="BU343" s="39">
        <f>1155+486</f>
        <v>1641</v>
      </c>
      <c r="BV343" s="39" t="s">
        <v>1722</v>
      </c>
      <c r="BW343" s="39">
        <f>274+87+30</f>
        <v>391</v>
      </c>
      <c r="BX343" s="39" t="s">
        <v>1722</v>
      </c>
      <c r="BY343" s="39">
        <f>9+4</f>
        <v>13</v>
      </c>
      <c r="BZ343" s="39">
        <f t="shared" si="336"/>
        <v>2045</v>
      </c>
      <c r="CA343" s="39">
        <f t="shared" si="11"/>
        <v>39</v>
      </c>
      <c r="CB343" s="39">
        <f t="shared" si="337"/>
        <v>5</v>
      </c>
      <c r="CC343" s="39">
        <f t="shared" si="338"/>
        <v>0</v>
      </c>
      <c r="CD343" s="39">
        <f t="shared" si="339"/>
        <v>0</v>
      </c>
      <c r="CE343" s="102">
        <f t="shared" si="340"/>
        <v>0</v>
      </c>
      <c r="CF343" s="36" t="s">
        <v>292</v>
      </c>
      <c r="CG343" s="39" t="s">
        <v>230</v>
      </c>
      <c r="CH343" s="39"/>
      <c r="CI343" s="25">
        <v>2</v>
      </c>
    </row>
    <row r="344" spans="1:88" ht="24.75" customHeight="1">
      <c r="A344" s="36" t="s">
        <v>51</v>
      </c>
      <c r="B344" s="28" t="s">
        <v>917</v>
      </c>
      <c r="C344" s="240"/>
      <c r="D344" s="36" t="s">
        <v>45</v>
      </c>
      <c r="E344" s="39">
        <v>340</v>
      </c>
      <c r="F344" s="39" t="s">
        <v>55</v>
      </c>
      <c r="G344" s="36" t="s">
        <v>725</v>
      </c>
      <c r="H344" s="36" t="s">
        <v>362</v>
      </c>
      <c r="I344" s="39">
        <v>1079</v>
      </c>
      <c r="J344" s="39">
        <v>261</v>
      </c>
      <c r="K344" s="39">
        <v>9</v>
      </c>
      <c r="L344" s="39">
        <f t="shared" si="349"/>
        <v>1349</v>
      </c>
      <c r="M344" s="117">
        <v>46179</v>
      </c>
      <c r="N344" s="117">
        <v>46189</v>
      </c>
      <c r="O344" s="39"/>
      <c r="P344" s="39"/>
      <c r="Q344" s="39"/>
      <c r="R344" s="39">
        <f t="shared" si="323"/>
        <v>0</v>
      </c>
      <c r="S344" s="39" t="s">
        <v>130</v>
      </c>
      <c r="T344" s="39" t="s">
        <v>1151</v>
      </c>
      <c r="U344" s="117" t="s">
        <v>1136</v>
      </c>
      <c r="V344" s="39"/>
      <c r="W344" s="39"/>
      <c r="X344" s="39"/>
      <c r="Y344" s="39">
        <f>957+296</f>
        <v>1253</v>
      </c>
      <c r="Z344" s="39">
        <f>224+69</f>
        <v>293</v>
      </c>
      <c r="AA344" s="39">
        <v>14</v>
      </c>
      <c r="AB344" s="119">
        <f t="shared" si="324"/>
        <v>1560</v>
      </c>
      <c r="AC344" s="39"/>
      <c r="AD344" s="39"/>
      <c r="AE344" s="39"/>
      <c r="AF344" s="39"/>
      <c r="AG344" s="39"/>
      <c r="AH344" s="39">
        <f t="shared" si="341"/>
        <v>0</v>
      </c>
      <c r="AI344" s="39"/>
      <c r="AJ344" s="39"/>
      <c r="AK344" s="39"/>
      <c r="AL344" s="39"/>
      <c r="AM344" s="39"/>
      <c r="AN344" s="39">
        <f t="shared" si="335"/>
        <v>0</v>
      </c>
      <c r="AO344" s="39" t="s">
        <v>280</v>
      </c>
      <c r="AP344" s="117">
        <v>46197</v>
      </c>
      <c r="AQ344" s="39">
        <f>306+893</f>
        <v>1199</v>
      </c>
      <c r="AR344" s="117">
        <v>46198</v>
      </c>
      <c r="AS344" s="39">
        <f>894</f>
        <v>894</v>
      </c>
      <c r="AT344" s="39">
        <f t="shared" si="342"/>
        <v>-305</v>
      </c>
      <c r="AU344" s="39" t="s">
        <v>257</v>
      </c>
      <c r="AV344" s="117">
        <v>46198</v>
      </c>
      <c r="AW344" s="39">
        <f>894</f>
        <v>894</v>
      </c>
      <c r="AX344" s="117">
        <v>46199</v>
      </c>
      <c r="AY344" s="39">
        <f>880</f>
        <v>880</v>
      </c>
      <c r="AZ344" s="39">
        <f t="shared" si="343"/>
        <v>-14</v>
      </c>
      <c r="BA344" s="39"/>
      <c r="BB344" s="39"/>
      <c r="BC344" s="39"/>
      <c r="BD344" s="39"/>
      <c r="BE344" s="39"/>
      <c r="BF344" s="39">
        <f t="shared" si="344"/>
        <v>0</v>
      </c>
      <c r="BG344" s="39"/>
      <c r="BH344" s="39"/>
      <c r="BI344" s="39"/>
      <c r="BJ344" s="39"/>
      <c r="BK344" s="39"/>
      <c r="BL344" s="39">
        <f t="shared" si="345"/>
        <v>0</v>
      </c>
      <c r="BM344" s="54" t="str">
        <f t="shared" si="346"/>
        <v/>
      </c>
      <c r="BN344" s="59">
        <v>46188</v>
      </c>
      <c r="BO344" s="57">
        <v>46203</v>
      </c>
      <c r="BP344" s="36"/>
      <c r="BQ344" s="36"/>
      <c r="BR344" s="238"/>
      <c r="BS344" s="238"/>
      <c r="BT344" s="39" t="s">
        <v>1346</v>
      </c>
      <c r="BU344" s="39">
        <f>253+830</f>
        <v>1083</v>
      </c>
      <c r="BV344" s="39" t="s">
        <v>1422</v>
      </c>
      <c r="BW344" s="39">
        <f>56+15+206</f>
        <v>277</v>
      </c>
      <c r="BX344" s="39">
        <v>1579</v>
      </c>
      <c r="BY344" s="39">
        <v>14</v>
      </c>
      <c r="BZ344" s="39">
        <f t="shared" si="336"/>
        <v>1374</v>
      </c>
      <c r="CA344" s="39">
        <f t="shared" si="11"/>
        <v>4</v>
      </c>
      <c r="CB344" s="39">
        <f t="shared" si="337"/>
        <v>16</v>
      </c>
      <c r="CC344" s="39">
        <f t="shared" si="338"/>
        <v>5</v>
      </c>
      <c r="CD344" s="39">
        <f t="shared" si="339"/>
        <v>0</v>
      </c>
      <c r="CE344" s="102">
        <f t="shared" si="340"/>
        <v>0</v>
      </c>
      <c r="CF344" s="36" t="s">
        <v>292</v>
      </c>
      <c r="CG344" s="39" t="s">
        <v>230</v>
      </c>
      <c r="CH344" s="39"/>
      <c r="CI344" s="25">
        <v>2</v>
      </c>
    </row>
    <row r="345" spans="1:88" ht="24.75" customHeight="1">
      <c r="A345" s="36" t="s">
        <v>51</v>
      </c>
      <c r="B345" s="28" t="s">
        <v>917</v>
      </c>
      <c r="C345" s="240"/>
      <c r="D345" s="36" t="s">
        <v>45</v>
      </c>
      <c r="E345" s="39">
        <v>340</v>
      </c>
      <c r="F345" s="39" t="s">
        <v>55</v>
      </c>
      <c r="G345" s="36" t="s">
        <v>722</v>
      </c>
      <c r="H345" s="36" t="s">
        <v>362</v>
      </c>
      <c r="I345" s="39">
        <v>1079</v>
      </c>
      <c r="J345" s="39">
        <v>261</v>
      </c>
      <c r="K345" s="39">
        <v>9</v>
      </c>
      <c r="L345" s="39">
        <f t="shared" ref="L345:L349" si="350">SUM(I345:K345)</f>
        <v>1349</v>
      </c>
      <c r="M345" s="117">
        <v>46179</v>
      </c>
      <c r="N345" s="117">
        <v>46189</v>
      </c>
      <c r="O345" s="39"/>
      <c r="P345" s="39"/>
      <c r="Q345" s="39"/>
      <c r="R345" s="39">
        <f t="shared" si="323"/>
        <v>0</v>
      </c>
      <c r="S345" s="39" t="s">
        <v>130</v>
      </c>
      <c r="T345" s="39" t="s">
        <v>1238</v>
      </c>
      <c r="U345" s="117" t="s">
        <v>1220</v>
      </c>
      <c r="V345" s="39"/>
      <c r="W345" s="39"/>
      <c r="X345" s="39"/>
      <c r="Y345" s="39">
        <f>977+288</f>
        <v>1265</v>
      </c>
      <c r="Z345" s="39">
        <f>228+68</f>
        <v>296</v>
      </c>
      <c r="AA345" s="39">
        <v>12</v>
      </c>
      <c r="AB345" s="119">
        <f t="shared" si="324"/>
        <v>1573</v>
      </c>
      <c r="AC345" s="39"/>
      <c r="AD345" s="39"/>
      <c r="AE345" s="39"/>
      <c r="AF345" s="39"/>
      <c r="AG345" s="39"/>
      <c r="AH345" s="39">
        <f t="shared" si="341"/>
        <v>0</v>
      </c>
      <c r="AI345" s="39"/>
      <c r="AJ345" s="39"/>
      <c r="AK345" s="39"/>
      <c r="AL345" s="39"/>
      <c r="AM345" s="39"/>
      <c r="AN345" s="39">
        <f t="shared" si="335"/>
        <v>0</v>
      </c>
      <c r="AO345" s="39" t="s">
        <v>280</v>
      </c>
      <c r="AP345" s="117" t="s">
        <v>1241</v>
      </c>
      <c r="AQ345" s="39">
        <f>914+274</f>
        <v>1188</v>
      </c>
      <c r="AR345" s="117" t="s">
        <v>1369</v>
      </c>
      <c r="AS345" s="39">
        <f>28+894+275</f>
        <v>1197</v>
      </c>
      <c r="AT345" s="39">
        <f t="shared" si="342"/>
        <v>9</v>
      </c>
      <c r="AU345" s="39" t="s">
        <v>257</v>
      </c>
      <c r="AV345" s="117" t="s">
        <v>1614</v>
      </c>
      <c r="AW345" s="39">
        <f>28+275+884</f>
        <v>1187</v>
      </c>
      <c r="AX345" s="117" t="s">
        <v>1618</v>
      </c>
      <c r="AY345" s="39">
        <f>28+271+868</f>
        <v>1167</v>
      </c>
      <c r="AZ345" s="39">
        <f t="shared" si="343"/>
        <v>-20</v>
      </c>
      <c r="BA345" s="39"/>
      <c r="BB345" s="39"/>
      <c r="BC345" s="39"/>
      <c r="BD345" s="39"/>
      <c r="BE345" s="39"/>
      <c r="BF345" s="39">
        <f t="shared" si="344"/>
        <v>0</v>
      </c>
      <c r="BG345" s="39"/>
      <c r="BH345" s="39"/>
      <c r="BI345" s="39"/>
      <c r="BJ345" s="39"/>
      <c r="BK345" s="39"/>
      <c r="BL345" s="39">
        <f t="shared" si="345"/>
        <v>0</v>
      </c>
      <c r="BM345" s="54" t="str">
        <f t="shared" si="346"/>
        <v/>
      </c>
      <c r="BN345" s="59">
        <v>46188</v>
      </c>
      <c r="BO345" s="57">
        <v>46203</v>
      </c>
      <c r="BP345" s="36"/>
      <c r="BQ345" s="36"/>
      <c r="BR345" s="238"/>
      <c r="BS345" s="238"/>
      <c r="BT345" s="39" t="s">
        <v>1886</v>
      </c>
      <c r="BU345" s="39">
        <f>239+609+180+51</f>
        <v>1079</v>
      </c>
      <c r="BV345" s="39" t="s">
        <v>1719</v>
      </c>
      <c r="BW345" s="39">
        <f>70+208</f>
        <v>278</v>
      </c>
      <c r="BX345" s="39">
        <v>2032</v>
      </c>
      <c r="BY345" s="39">
        <v>13</v>
      </c>
      <c r="BZ345" s="39">
        <f t="shared" si="336"/>
        <v>1370</v>
      </c>
      <c r="CA345" s="39">
        <f t="shared" si="11"/>
        <v>0</v>
      </c>
      <c r="CB345" s="39">
        <f t="shared" si="337"/>
        <v>17</v>
      </c>
      <c r="CC345" s="39">
        <f t="shared" si="338"/>
        <v>4</v>
      </c>
      <c r="CD345" s="39">
        <f t="shared" si="339"/>
        <v>0</v>
      </c>
      <c r="CE345" s="102">
        <f t="shared" si="340"/>
        <v>0</v>
      </c>
      <c r="CF345" s="36" t="s">
        <v>292</v>
      </c>
      <c r="CG345" s="39" t="s">
        <v>230</v>
      </c>
      <c r="CH345" s="39" t="s">
        <v>1887</v>
      </c>
      <c r="CI345" s="25">
        <v>2</v>
      </c>
    </row>
    <row r="346" spans="1:88" ht="24.75" customHeight="1">
      <c r="A346" s="36" t="s">
        <v>51</v>
      </c>
      <c r="B346" s="28" t="s">
        <v>917</v>
      </c>
      <c r="C346" s="236"/>
      <c r="D346" s="36" t="s">
        <v>45</v>
      </c>
      <c r="E346" s="39">
        <v>340</v>
      </c>
      <c r="F346" s="39" t="s">
        <v>55</v>
      </c>
      <c r="G346" s="36" t="s">
        <v>322</v>
      </c>
      <c r="H346" s="36" t="s">
        <v>362</v>
      </c>
      <c r="I346" s="39">
        <v>1079</v>
      </c>
      <c r="J346" s="39">
        <v>261</v>
      </c>
      <c r="K346" s="39">
        <v>9</v>
      </c>
      <c r="L346" s="39">
        <f t="shared" si="350"/>
        <v>1349</v>
      </c>
      <c r="M346" s="117">
        <v>46179</v>
      </c>
      <c r="N346" s="117">
        <v>46189</v>
      </c>
      <c r="O346" s="39"/>
      <c r="P346" s="39"/>
      <c r="Q346" s="39"/>
      <c r="R346" s="39">
        <f t="shared" si="323"/>
        <v>0</v>
      </c>
      <c r="S346" s="39" t="s">
        <v>270</v>
      </c>
      <c r="T346" s="39"/>
      <c r="U346" s="39"/>
      <c r="V346" s="117">
        <v>46186</v>
      </c>
      <c r="W346" s="39">
        <f>1231+287+13</f>
        <v>1531</v>
      </c>
      <c r="X346" s="117" t="s">
        <v>1646</v>
      </c>
      <c r="Y346" s="39">
        <v>1185</v>
      </c>
      <c r="Z346" s="39">
        <v>259</v>
      </c>
      <c r="AA346" s="39">
        <v>9</v>
      </c>
      <c r="AB346" s="119">
        <f t="shared" si="324"/>
        <v>1453</v>
      </c>
      <c r="AC346" s="39"/>
      <c r="AD346" s="39"/>
      <c r="AE346" s="39"/>
      <c r="AF346" s="39"/>
      <c r="AG346" s="39"/>
      <c r="AH346" s="39">
        <f t="shared" si="341"/>
        <v>0</v>
      </c>
      <c r="AI346" s="39"/>
      <c r="AJ346" s="39"/>
      <c r="AK346" s="39"/>
      <c r="AL346" s="39"/>
      <c r="AM346" s="39"/>
      <c r="AN346" s="39">
        <f t="shared" si="335"/>
        <v>0</v>
      </c>
      <c r="AO346" s="39" t="s">
        <v>280</v>
      </c>
      <c r="AP346" s="117">
        <v>46210</v>
      </c>
      <c r="AQ346" s="39">
        <v>1190</v>
      </c>
      <c r="AR346" s="117">
        <v>46212</v>
      </c>
      <c r="AS346" s="39">
        <v>1183</v>
      </c>
      <c r="AT346" s="39">
        <f t="shared" si="342"/>
        <v>-7</v>
      </c>
      <c r="AU346" s="39" t="s">
        <v>256</v>
      </c>
      <c r="AV346" s="117">
        <v>46212</v>
      </c>
      <c r="AW346" s="39">
        <v>1183</v>
      </c>
      <c r="AX346" s="117">
        <v>46213</v>
      </c>
      <c r="AY346" s="39">
        <v>1167</v>
      </c>
      <c r="AZ346" s="39">
        <f t="shared" si="343"/>
        <v>-16</v>
      </c>
      <c r="BA346" s="39"/>
      <c r="BB346" s="39"/>
      <c r="BC346" s="39"/>
      <c r="BD346" s="39"/>
      <c r="BE346" s="39"/>
      <c r="BF346" s="39">
        <f t="shared" si="344"/>
        <v>0</v>
      </c>
      <c r="BG346" s="39"/>
      <c r="BH346" s="39"/>
      <c r="BI346" s="39"/>
      <c r="BJ346" s="39"/>
      <c r="BK346" s="39"/>
      <c r="BL346" s="39">
        <f t="shared" si="345"/>
        <v>0</v>
      </c>
      <c r="BM346" s="54" t="str">
        <f t="shared" si="346"/>
        <v/>
      </c>
      <c r="BN346" s="59">
        <v>46188</v>
      </c>
      <c r="BO346" s="57">
        <v>46203</v>
      </c>
      <c r="BP346" s="36"/>
      <c r="BQ346" s="36"/>
      <c r="BR346" s="239"/>
      <c r="BS346" s="239"/>
      <c r="BT346" s="39">
        <v>2018</v>
      </c>
      <c r="BU346" s="39">
        <v>1129</v>
      </c>
      <c r="BV346" s="39">
        <v>1531</v>
      </c>
      <c r="BW346" s="39">
        <f>259</f>
        <v>259</v>
      </c>
      <c r="BX346" s="39">
        <v>1531</v>
      </c>
      <c r="BY346" s="39">
        <v>9</v>
      </c>
      <c r="BZ346" s="39">
        <f t="shared" si="336"/>
        <v>1397</v>
      </c>
      <c r="CA346" s="39">
        <f t="shared" si="11"/>
        <v>50</v>
      </c>
      <c r="CB346" s="39">
        <f t="shared" si="337"/>
        <v>-2</v>
      </c>
      <c r="CC346" s="39">
        <f t="shared" si="338"/>
        <v>0</v>
      </c>
      <c r="CD346" s="39">
        <v>0</v>
      </c>
      <c r="CE346" s="102">
        <f t="shared" si="340"/>
        <v>0</v>
      </c>
      <c r="CF346" s="36" t="s">
        <v>292</v>
      </c>
      <c r="CG346" s="39" t="s">
        <v>230</v>
      </c>
      <c r="CH346" s="39"/>
      <c r="CI346" s="25">
        <v>2</v>
      </c>
    </row>
    <row r="347" spans="1:88" ht="24.75" customHeight="1">
      <c r="A347" s="36" t="s">
        <v>51</v>
      </c>
      <c r="B347" s="28" t="s">
        <v>918</v>
      </c>
      <c r="C347" s="235" t="s">
        <v>723</v>
      </c>
      <c r="D347" s="36" t="s">
        <v>45</v>
      </c>
      <c r="E347" s="39">
        <v>340</v>
      </c>
      <c r="F347" s="39" t="s">
        <v>55</v>
      </c>
      <c r="G347" s="36" t="s">
        <v>367</v>
      </c>
      <c r="H347" s="36" t="s">
        <v>362</v>
      </c>
      <c r="I347" s="39">
        <v>1079</v>
      </c>
      <c r="J347" s="39">
        <v>261</v>
      </c>
      <c r="K347" s="39">
        <v>9</v>
      </c>
      <c r="L347" s="39">
        <f t="shared" si="350"/>
        <v>1349</v>
      </c>
      <c r="M347" s="117">
        <v>46181</v>
      </c>
      <c r="N347" s="117">
        <v>46191</v>
      </c>
      <c r="O347" s="39"/>
      <c r="P347" s="39"/>
      <c r="Q347" s="39"/>
      <c r="R347" s="39">
        <f t="shared" si="323"/>
        <v>0</v>
      </c>
      <c r="S347" s="39" t="s">
        <v>270</v>
      </c>
      <c r="T347" s="39"/>
      <c r="U347" s="39"/>
      <c r="V347" s="117" t="s">
        <v>1186</v>
      </c>
      <c r="W347" s="39">
        <f>751+296+12+502</f>
        <v>1561</v>
      </c>
      <c r="X347" s="117" t="s">
        <v>1813</v>
      </c>
      <c r="Y347" s="39">
        <v>1144</v>
      </c>
      <c r="Z347" s="39">
        <f>257</f>
        <v>257</v>
      </c>
      <c r="AA347" s="39">
        <v>10</v>
      </c>
      <c r="AB347" s="120">
        <f t="shared" si="324"/>
        <v>1411</v>
      </c>
      <c r="AC347" s="39"/>
      <c r="AD347" s="39"/>
      <c r="AE347" s="39"/>
      <c r="AF347" s="39"/>
      <c r="AG347" s="39"/>
      <c r="AH347" s="39">
        <f t="shared" si="341"/>
        <v>0</v>
      </c>
      <c r="AI347" s="39"/>
      <c r="AJ347" s="39"/>
      <c r="AK347" s="39"/>
      <c r="AL347" s="39"/>
      <c r="AM347" s="39"/>
      <c r="AN347" s="39">
        <f t="shared" si="335"/>
        <v>0</v>
      </c>
      <c r="AO347" s="39"/>
      <c r="AP347" s="39"/>
      <c r="AQ347" s="39"/>
      <c r="AR347" s="39"/>
      <c r="AS347" s="39"/>
      <c r="AT347" s="39">
        <f t="shared" si="342"/>
        <v>0</v>
      </c>
      <c r="AU347" s="39" t="s">
        <v>257</v>
      </c>
      <c r="AV347" s="117" t="s">
        <v>1702</v>
      </c>
      <c r="AW347" s="39">
        <f>1110+33</f>
        <v>1143</v>
      </c>
      <c r="AX347" s="117" t="s">
        <v>1808</v>
      </c>
      <c r="AY347" s="39">
        <f>1090+32</f>
        <v>1122</v>
      </c>
      <c r="AZ347" s="39">
        <f t="shared" si="343"/>
        <v>-21</v>
      </c>
      <c r="BA347" s="39"/>
      <c r="BB347" s="39"/>
      <c r="BC347" s="39"/>
      <c r="BD347" s="39"/>
      <c r="BE347" s="39"/>
      <c r="BF347" s="39">
        <f t="shared" si="344"/>
        <v>0</v>
      </c>
      <c r="BG347" s="39"/>
      <c r="BH347" s="39"/>
      <c r="BI347" s="39"/>
      <c r="BJ347" s="39"/>
      <c r="BK347" s="39"/>
      <c r="BL347" s="39">
        <f t="shared" si="345"/>
        <v>0</v>
      </c>
      <c r="BM347" s="54" t="str">
        <f t="shared" si="346"/>
        <v/>
      </c>
      <c r="BN347" s="59">
        <v>46188</v>
      </c>
      <c r="BO347" s="57">
        <v>46204</v>
      </c>
      <c r="BP347" s="36"/>
      <c r="BQ347" s="36"/>
      <c r="BR347" s="237">
        <v>46210</v>
      </c>
      <c r="BS347" s="237">
        <v>46226</v>
      </c>
      <c r="BT347" s="39">
        <v>2034</v>
      </c>
      <c r="BU347" s="39">
        <v>1040</v>
      </c>
      <c r="BV347" s="39">
        <v>1536</v>
      </c>
      <c r="BW347" s="39">
        <f>257</f>
        <v>257</v>
      </c>
      <c r="BX347" s="39">
        <v>1536</v>
      </c>
      <c r="BY347" s="39">
        <v>10</v>
      </c>
      <c r="BZ347" s="39">
        <f t="shared" si="336"/>
        <v>1307</v>
      </c>
      <c r="CA347" s="39">
        <f t="shared" si="11"/>
        <v>-39</v>
      </c>
      <c r="CB347" s="39">
        <f t="shared" si="337"/>
        <v>-4</v>
      </c>
      <c r="CC347" s="39">
        <f t="shared" si="338"/>
        <v>1</v>
      </c>
      <c r="CD347" s="39">
        <v>0</v>
      </c>
      <c r="CE347" s="102">
        <f t="shared" si="340"/>
        <v>0</v>
      </c>
      <c r="CF347" s="36" t="s">
        <v>292</v>
      </c>
      <c r="CG347" s="39" t="s">
        <v>230</v>
      </c>
      <c r="CH347" s="39" t="s">
        <v>2050</v>
      </c>
      <c r="CI347" s="25">
        <v>2</v>
      </c>
    </row>
    <row r="348" spans="1:88" ht="24.75" customHeight="1">
      <c r="A348" s="36" t="s">
        <v>51</v>
      </c>
      <c r="B348" s="28" t="s">
        <v>918</v>
      </c>
      <c r="C348" s="240"/>
      <c r="D348" s="36" t="s">
        <v>45</v>
      </c>
      <c r="E348" s="39">
        <v>340</v>
      </c>
      <c r="F348" s="39" t="s">
        <v>55</v>
      </c>
      <c r="G348" s="36" t="s">
        <v>366</v>
      </c>
      <c r="H348" s="36" t="s">
        <v>362</v>
      </c>
      <c r="I348" s="39">
        <v>1602</v>
      </c>
      <c r="J348" s="39">
        <v>386</v>
      </c>
      <c r="K348" s="39">
        <v>13</v>
      </c>
      <c r="L348" s="39">
        <f t="shared" si="350"/>
        <v>2001</v>
      </c>
      <c r="M348" s="117">
        <v>46181</v>
      </c>
      <c r="N348" s="117">
        <v>46191</v>
      </c>
      <c r="O348" s="39"/>
      <c r="P348" s="39"/>
      <c r="Q348" s="39"/>
      <c r="R348" s="39">
        <f t="shared" si="323"/>
        <v>0</v>
      </c>
      <c r="S348" s="39" t="s">
        <v>270</v>
      </c>
      <c r="T348" s="39"/>
      <c r="U348" s="39"/>
      <c r="V348" s="117" t="s">
        <v>1186</v>
      </c>
      <c r="W348" s="39">
        <f>1099+436+16+753</f>
        <v>2304</v>
      </c>
      <c r="X348" s="117" t="s">
        <v>1810</v>
      </c>
      <c r="Y348" s="39">
        <f>1191+249+276</f>
        <v>1716</v>
      </c>
      <c r="Z348" s="39">
        <f>282+58+54</f>
        <v>394</v>
      </c>
      <c r="AA348" s="39">
        <f>9+2+2</f>
        <v>13</v>
      </c>
      <c r="AB348" s="119">
        <f t="shared" si="324"/>
        <v>2123</v>
      </c>
      <c r="AC348" s="39"/>
      <c r="AD348" s="39"/>
      <c r="AE348" s="39"/>
      <c r="AF348" s="39"/>
      <c r="AG348" s="39"/>
      <c r="AH348" s="39">
        <f t="shared" si="341"/>
        <v>0</v>
      </c>
      <c r="AI348" s="39"/>
      <c r="AJ348" s="39"/>
      <c r="AK348" s="39"/>
      <c r="AL348" s="39"/>
      <c r="AM348" s="39"/>
      <c r="AN348" s="39">
        <f t="shared" si="335"/>
        <v>0</v>
      </c>
      <c r="AO348" s="39" t="s">
        <v>280</v>
      </c>
      <c r="AP348" s="117" t="s">
        <v>1569</v>
      </c>
      <c r="AQ348" s="39">
        <f>1197+249+277</f>
        <v>1723</v>
      </c>
      <c r="AR348" s="117" t="s">
        <v>1636</v>
      </c>
      <c r="AS348" s="39">
        <f>1195+246+277</f>
        <v>1718</v>
      </c>
      <c r="AT348" s="39">
        <f t="shared" si="342"/>
        <v>-5</v>
      </c>
      <c r="AU348" s="39" t="s">
        <v>257</v>
      </c>
      <c r="AV348" s="117" t="s">
        <v>1636</v>
      </c>
      <c r="AW348" s="39">
        <f>1195+246+277</f>
        <v>1718</v>
      </c>
      <c r="AX348" s="117" t="s">
        <v>1683</v>
      </c>
      <c r="AY348" s="39">
        <f>1178+243+273</f>
        <v>1694</v>
      </c>
      <c r="AZ348" s="39">
        <f t="shared" si="343"/>
        <v>-24</v>
      </c>
      <c r="BA348" s="39"/>
      <c r="BB348" s="39"/>
      <c r="BC348" s="39"/>
      <c r="BD348" s="39"/>
      <c r="BE348" s="39"/>
      <c r="BF348" s="39">
        <f t="shared" si="344"/>
        <v>0</v>
      </c>
      <c r="BG348" s="39"/>
      <c r="BH348" s="39"/>
      <c r="BI348" s="39"/>
      <c r="BJ348" s="39"/>
      <c r="BK348" s="39"/>
      <c r="BL348" s="39">
        <f t="shared" si="345"/>
        <v>0</v>
      </c>
      <c r="BM348" s="54" t="str">
        <f t="shared" si="346"/>
        <v/>
      </c>
      <c r="BN348" s="59">
        <v>46188</v>
      </c>
      <c r="BO348" s="57">
        <v>46204</v>
      </c>
      <c r="BP348" s="36"/>
      <c r="BQ348" s="36"/>
      <c r="BR348" s="238"/>
      <c r="BS348" s="238"/>
      <c r="BT348" s="39" t="s">
        <v>1791</v>
      </c>
      <c r="BU348" s="39">
        <f>1148+236+263</f>
        <v>1647</v>
      </c>
      <c r="BV348" s="39" t="s">
        <v>1859</v>
      </c>
      <c r="BW348" s="39">
        <f>282+58+54</f>
        <v>394</v>
      </c>
      <c r="BX348" s="39" t="s">
        <v>1859</v>
      </c>
      <c r="BY348" s="39">
        <f>9+2+2</f>
        <v>13</v>
      </c>
      <c r="BZ348" s="39">
        <f t="shared" si="336"/>
        <v>2054</v>
      </c>
      <c r="CA348" s="39">
        <f t="shared" si="11"/>
        <v>45</v>
      </c>
      <c r="CB348" s="39">
        <f t="shared" si="337"/>
        <v>8</v>
      </c>
      <c r="CC348" s="39">
        <f t="shared" si="338"/>
        <v>0</v>
      </c>
      <c r="CD348" s="39">
        <f t="shared" si="339"/>
        <v>0</v>
      </c>
      <c r="CE348" s="102">
        <f t="shared" si="340"/>
        <v>0</v>
      </c>
      <c r="CF348" s="36" t="s">
        <v>292</v>
      </c>
      <c r="CG348" s="39" t="s">
        <v>230</v>
      </c>
      <c r="CH348" s="39"/>
      <c r="CI348" s="25">
        <v>2</v>
      </c>
    </row>
    <row r="349" spans="1:88" ht="24.75" customHeight="1">
      <c r="A349" s="36" t="s">
        <v>51</v>
      </c>
      <c r="B349" s="28" t="s">
        <v>918</v>
      </c>
      <c r="C349" s="240"/>
      <c r="D349" s="36" t="s">
        <v>45</v>
      </c>
      <c r="E349" s="39">
        <v>340</v>
      </c>
      <c r="F349" s="39" t="s">
        <v>55</v>
      </c>
      <c r="G349" s="36" t="s">
        <v>722</v>
      </c>
      <c r="H349" s="36" t="s">
        <v>362</v>
      </c>
      <c r="I349" s="39">
        <v>1602</v>
      </c>
      <c r="J349" s="39">
        <v>386</v>
      </c>
      <c r="K349" s="39">
        <v>13</v>
      </c>
      <c r="L349" s="39">
        <f t="shared" si="350"/>
        <v>2001</v>
      </c>
      <c r="M349" s="117">
        <v>46181</v>
      </c>
      <c r="N349" s="117">
        <v>46191</v>
      </c>
      <c r="O349" s="39"/>
      <c r="P349" s="39"/>
      <c r="Q349" s="39"/>
      <c r="R349" s="39">
        <f t="shared" si="323"/>
        <v>0</v>
      </c>
      <c r="S349" s="39" t="s">
        <v>130</v>
      </c>
      <c r="T349" s="39" t="s">
        <v>1492</v>
      </c>
      <c r="U349" s="117" t="s">
        <v>1219</v>
      </c>
      <c r="V349" s="39"/>
      <c r="W349" s="39"/>
      <c r="X349" s="39"/>
      <c r="Y349" s="39">
        <f>722+803</f>
        <v>1525</v>
      </c>
      <c r="Z349" s="39">
        <f>200+238</f>
        <v>438</v>
      </c>
      <c r="AA349" s="39">
        <f>16</f>
        <v>16</v>
      </c>
      <c r="AB349" s="118">
        <f t="shared" si="324"/>
        <v>1979</v>
      </c>
      <c r="AC349" s="39"/>
      <c r="AD349" s="39"/>
      <c r="AE349" s="39"/>
      <c r="AF349" s="39"/>
      <c r="AG349" s="39"/>
      <c r="AH349" s="39">
        <f t="shared" si="341"/>
        <v>0</v>
      </c>
      <c r="AI349" s="39"/>
      <c r="AJ349" s="39"/>
      <c r="AK349" s="39"/>
      <c r="AL349" s="39"/>
      <c r="AM349" s="39"/>
      <c r="AN349" s="39">
        <f t="shared" si="335"/>
        <v>0</v>
      </c>
      <c r="AO349" s="39" t="s">
        <v>280</v>
      </c>
      <c r="AP349" s="117" t="s">
        <v>1558</v>
      </c>
      <c r="AQ349" s="39">
        <f>762+730</f>
        <v>1492</v>
      </c>
      <c r="AR349" s="117" t="s">
        <v>1613</v>
      </c>
      <c r="AS349" s="39">
        <f>764+734</f>
        <v>1498</v>
      </c>
      <c r="AT349" s="39">
        <f t="shared" si="342"/>
        <v>6</v>
      </c>
      <c r="AU349" s="39" t="s">
        <v>257</v>
      </c>
      <c r="AV349" s="117" t="s">
        <v>1613</v>
      </c>
      <c r="AW349" s="39">
        <f>764+734</f>
        <v>1498</v>
      </c>
      <c r="AX349" s="117" t="s">
        <v>1637</v>
      </c>
      <c r="AY349" s="39">
        <f>752+722</f>
        <v>1474</v>
      </c>
      <c r="AZ349" s="39">
        <f t="shared" si="343"/>
        <v>-24</v>
      </c>
      <c r="BA349" s="39"/>
      <c r="BB349" s="39"/>
      <c r="BC349" s="39"/>
      <c r="BD349" s="39"/>
      <c r="BE349" s="39"/>
      <c r="BF349" s="39">
        <f t="shared" si="344"/>
        <v>0</v>
      </c>
      <c r="BG349" s="39" t="s">
        <v>28</v>
      </c>
      <c r="BH349" s="117">
        <v>46198</v>
      </c>
      <c r="BI349" s="39">
        <f>700+110+14</f>
        <v>824</v>
      </c>
      <c r="BJ349" s="117">
        <v>46200</v>
      </c>
      <c r="BK349" s="39">
        <f>111+18+695</f>
        <v>824</v>
      </c>
      <c r="BL349" s="39">
        <f t="shared" si="345"/>
        <v>0</v>
      </c>
      <c r="BM349" s="54" t="str">
        <f t="shared" si="346"/>
        <v/>
      </c>
      <c r="BN349" s="59">
        <v>46188</v>
      </c>
      <c r="BO349" s="57">
        <v>46204</v>
      </c>
      <c r="BP349" s="36"/>
      <c r="BQ349" s="36"/>
      <c r="BR349" s="238"/>
      <c r="BS349" s="238"/>
      <c r="BT349" s="39" t="s">
        <v>1858</v>
      </c>
      <c r="BU349" s="39">
        <f>720+10+632+47+33+166</f>
        <v>1608</v>
      </c>
      <c r="BV349" s="39" t="s">
        <v>1866</v>
      </c>
      <c r="BW349" s="39">
        <f>226+160</f>
        <v>386</v>
      </c>
      <c r="BX349" s="39">
        <v>1826</v>
      </c>
      <c r="BY349" s="39">
        <v>15</v>
      </c>
      <c r="BZ349" s="39">
        <f t="shared" si="336"/>
        <v>2009</v>
      </c>
      <c r="CA349" s="39">
        <f t="shared" si="11"/>
        <v>6</v>
      </c>
      <c r="CB349" s="39">
        <f t="shared" si="337"/>
        <v>0</v>
      </c>
      <c r="CC349" s="39">
        <f t="shared" si="338"/>
        <v>2</v>
      </c>
      <c r="CD349" s="39">
        <f t="shared" si="339"/>
        <v>0</v>
      </c>
      <c r="CE349" s="102">
        <f t="shared" si="340"/>
        <v>0</v>
      </c>
      <c r="CF349" s="36" t="s">
        <v>292</v>
      </c>
      <c r="CG349" s="39" t="s">
        <v>230</v>
      </c>
      <c r="CH349" s="39" t="s">
        <v>764</v>
      </c>
      <c r="CI349" s="25">
        <v>2</v>
      </c>
    </row>
    <row r="350" spans="1:88" ht="24.75" customHeight="1">
      <c r="A350" s="36" t="s">
        <v>51</v>
      </c>
      <c r="B350" s="28" t="s">
        <v>918</v>
      </c>
      <c r="C350" s="236"/>
      <c r="D350" s="36" t="s">
        <v>45</v>
      </c>
      <c r="E350" s="39">
        <v>340</v>
      </c>
      <c r="F350" s="39" t="s">
        <v>55</v>
      </c>
      <c r="G350" s="36" t="s">
        <v>322</v>
      </c>
      <c r="H350" s="36" t="s">
        <v>362</v>
      </c>
      <c r="I350" s="39">
        <v>1079</v>
      </c>
      <c r="J350" s="39">
        <v>261</v>
      </c>
      <c r="K350" s="39">
        <v>9</v>
      </c>
      <c r="L350" s="39">
        <f t="shared" ref="L350" si="351">SUM(I350:K350)</f>
        <v>1349</v>
      </c>
      <c r="M350" s="117">
        <v>46181</v>
      </c>
      <c r="N350" s="117">
        <v>46191</v>
      </c>
      <c r="O350" s="39"/>
      <c r="P350" s="39"/>
      <c r="Q350" s="39"/>
      <c r="R350" s="39">
        <f t="shared" si="323"/>
        <v>0</v>
      </c>
      <c r="S350" s="39" t="s">
        <v>270</v>
      </c>
      <c r="T350" s="39"/>
      <c r="U350" s="39"/>
      <c r="V350" s="117" t="s">
        <v>1875</v>
      </c>
      <c r="W350" s="39">
        <f>1227+290+12-11</f>
        <v>1518</v>
      </c>
      <c r="X350" s="117" t="s">
        <v>1486</v>
      </c>
      <c r="Y350" s="39">
        <v>1166</v>
      </c>
      <c r="Z350" s="39">
        <v>281</v>
      </c>
      <c r="AA350" s="39">
        <v>9</v>
      </c>
      <c r="AB350" s="119">
        <f t="shared" si="324"/>
        <v>1456</v>
      </c>
      <c r="AC350" s="39"/>
      <c r="AD350" s="39"/>
      <c r="AE350" s="39"/>
      <c r="AF350" s="39"/>
      <c r="AG350" s="39"/>
      <c r="AH350" s="39">
        <f t="shared" si="341"/>
        <v>0</v>
      </c>
      <c r="AI350" s="39"/>
      <c r="AJ350" s="39"/>
      <c r="AK350" s="39"/>
      <c r="AL350" s="39"/>
      <c r="AM350" s="39"/>
      <c r="AN350" s="39">
        <f t="shared" si="335"/>
        <v>0</v>
      </c>
      <c r="AO350" s="39" t="s">
        <v>280</v>
      </c>
      <c r="AP350" s="117">
        <v>46202</v>
      </c>
      <c r="AQ350" s="39">
        <v>1171</v>
      </c>
      <c r="AR350" s="117">
        <v>46204</v>
      </c>
      <c r="AS350" s="39">
        <v>1165</v>
      </c>
      <c r="AT350" s="39">
        <f t="shared" si="342"/>
        <v>-6</v>
      </c>
      <c r="AU350" s="39" t="s">
        <v>256</v>
      </c>
      <c r="AV350" s="117">
        <v>46204</v>
      </c>
      <c r="AW350" s="39">
        <v>1165</v>
      </c>
      <c r="AX350" s="117">
        <v>46206</v>
      </c>
      <c r="AY350" s="39">
        <v>1155</v>
      </c>
      <c r="AZ350" s="39">
        <f t="shared" si="343"/>
        <v>-10</v>
      </c>
      <c r="BA350" s="39"/>
      <c r="BB350" s="39"/>
      <c r="BC350" s="39"/>
      <c r="BD350" s="39"/>
      <c r="BE350" s="39"/>
      <c r="BF350" s="39">
        <f t="shared" si="344"/>
        <v>0</v>
      </c>
      <c r="BG350" s="39"/>
      <c r="BH350" s="39"/>
      <c r="BI350" s="39"/>
      <c r="BJ350" s="39"/>
      <c r="BK350" s="39"/>
      <c r="BL350" s="39">
        <f t="shared" si="345"/>
        <v>0</v>
      </c>
      <c r="BM350" s="54" t="str">
        <f t="shared" si="346"/>
        <v/>
      </c>
      <c r="BN350" s="59">
        <v>46188</v>
      </c>
      <c r="BO350" s="57">
        <v>46204</v>
      </c>
      <c r="BP350" s="36"/>
      <c r="BQ350" s="36"/>
      <c r="BR350" s="239"/>
      <c r="BS350" s="239"/>
      <c r="BT350" s="39">
        <v>1577</v>
      </c>
      <c r="BU350" s="39">
        <v>1119</v>
      </c>
      <c r="BV350" s="39">
        <v>1772</v>
      </c>
      <c r="BW350" s="39">
        <v>281</v>
      </c>
      <c r="BX350" s="39">
        <v>1772</v>
      </c>
      <c r="BY350" s="39">
        <v>9</v>
      </c>
      <c r="BZ350" s="39">
        <f t="shared" si="336"/>
        <v>1409</v>
      </c>
      <c r="CA350" s="39">
        <f t="shared" si="11"/>
        <v>40</v>
      </c>
      <c r="CB350" s="39">
        <f t="shared" si="337"/>
        <v>20</v>
      </c>
      <c r="CC350" s="39">
        <f t="shared" si="338"/>
        <v>0</v>
      </c>
      <c r="CD350" s="39">
        <f t="shared" si="339"/>
        <v>0</v>
      </c>
      <c r="CE350" s="102">
        <f t="shared" si="340"/>
        <v>0</v>
      </c>
      <c r="CF350" s="36" t="s">
        <v>292</v>
      </c>
      <c r="CG350" s="39" t="s">
        <v>230</v>
      </c>
      <c r="CH350" s="39" t="s">
        <v>543</v>
      </c>
      <c r="CI350" s="25">
        <v>2</v>
      </c>
    </row>
    <row r="351" spans="1:88" ht="24.75" customHeight="1">
      <c r="A351" s="36" t="s">
        <v>51</v>
      </c>
      <c r="B351" s="28">
        <v>47818</v>
      </c>
      <c r="C351" s="235" t="s">
        <v>1062</v>
      </c>
      <c r="D351" s="36"/>
      <c r="E351" s="39">
        <v>260</v>
      </c>
      <c r="F351" s="39" t="s">
        <v>55</v>
      </c>
      <c r="G351" s="36" t="s">
        <v>47</v>
      </c>
      <c r="H351" s="39" t="s">
        <v>96</v>
      </c>
      <c r="I351" s="39">
        <v>881</v>
      </c>
      <c r="J351" s="39"/>
      <c r="K351" s="39"/>
      <c r="L351" s="39">
        <f t="shared" si="322"/>
        <v>881</v>
      </c>
      <c r="M351" s="117">
        <v>46181</v>
      </c>
      <c r="N351" s="117">
        <v>46188</v>
      </c>
      <c r="O351" s="39"/>
      <c r="P351" s="39"/>
      <c r="Q351" s="39"/>
      <c r="R351" s="39">
        <f t="shared" si="323"/>
        <v>0</v>
      </c>
      <c r="S351" s="39" t="s">
        <v>130</v>
      </c>
      <c r="T351" s="39" t="s">
        <v>1116</v>
      </c>
      <c r="U351" s="117" t="s">
        <v>1100</v>
      </c>
      <c r="V351" s="39"/>
      <c r="W351" s="39"/>
      <c r="X351" s="39"/>
      <c r="Y351" s="39">
        <f>847+130</f>
        <v>977</v>
      </c>
      <c r="Z351" s="39"/>
      <c r="AA351" s="39"/>
      <c r="AB351" s="119">
        <f t="shared" si="324"/>
        <v>977</v>
      </c>
      <c r="AC351" s="39"/>
      <c r="AD351" s="39"/>
      <c r="AE351" s="39"/>
      <c r="AF351" s="39"/>
      <c r="AG351" s="39"/>
      <c r="AH351" s="39">
        <f t="shared" si="3"/>
        <v>0</v>
      </c>
      <c r="AI351" s="39"/>
      <c r="AJ351" s="39"/>
      <c r="AK351" s="39"/>
      <c r="AL351" s="39"/>
      <c r="AM351" s="39"/>
      <c r="AN351" s="39">
        <f t="shared" si="4"/>
        <v>0</v>
      </c>
      <c r="AO351" s="39"/>
      <c r="AP351" s="39"/>
      <c r="AQ351" s="39"/>
      <c r="AR351" s="39"/>
      <c r="AS351" s="39"/>
      <c r="AT351" s="39">
        <f t="shared" si="5"/>
        <v>0</v>
      </c>
      <c r="AU351" s="39"/>
      <c r="AV351" s="39"/>
      <c r="AW351" s="39"/>
      <c r="AX351" s="39"/>
      <c r="AY351" s="39"/>
      <c r="AZ351" s="39">
        <f t="shared" si="6"/>
        <v>0</v>
      </c>
      <c r="BA351" s="39"/>
      <c r="BB351" s="39"/>
      <c r="BC351" s="39"/>
      <c r="BD351" s="39"/>
      <c r="BE351" s="39"/>
      <c r="BF351" s="39">
        <f t="shared" si="7"/>
        <v>0</v>
      </c>
      <c r="BG351" s="39"/>
      <c r="BH351" s="39"/>
      <c r="BI351" s="39"/>
      <c r="BJ351" s="39"/>
      <c r="BK351" s="39"/>
      <c r="BL351" s="39">
        <f t="shared" si="8"/>
        <v>0</v>
      </c>
      <c r="BM351" s="54" t="str">
        <f t="shared" si="9"/>
        <v/>
      </c>
      <c r="BN351" s="59">
        <v>46186</v>
      </c>
      <c r="BO351" s="57">
        <v>46193</v>
      </c>
      <c r="BP351" s="36"/>
      <c r="BQ351" s="36"/>
      <c r="BR351" s="237">
        <v>46190</v>
      </c>
      <c r="BS351" s="237">
        <v>46195</v>
      </c>
      <c r="BT351" s="39" t="s">
        <v>1131</v>
      </c>
      <c r="BU351" s="39">
        <f>768+108</f>
        <v>876</v>
      </c>
      <c r="BV351" s="39"/>
      <c r="BW351" s="39"/>
      <c r="BX351" s="39"/>
      <c r="BY351" s="39"/>
      <c r="BZ351" s="39">
        <f t="shared" si="10"/>
        <v>876</v>
      </c>
      <c r="CA351" s="39">
        <f t="shared" si="11"/>
        <v>-5</v>
      </c>
      <c r="CB351" s="39">
        <f t="shared" si="12"/>
        <v>0</v>
      </c>
      <c r="CC351" s="39">
        <f t="shared" si="13"/>
        <v>0</v>
      </c>
      <c r="CD351" s="39">
        <v>0</v>
      </c>
      <c r="CE351" s="47">
        <f t="shared" si="15"/>
        <v>0</v>
      </c>
      <c r="CF351" s="36"/>
      <c r="CG351" s="39" t="s">
        <v>243</v>
      </c>
      <c r="CH351" s="39"/>
      <c r="CI351" s="25">
        <v>2</v>
      </c>
      <c r="CJ351" s="6" t="s">
        <v>19</v>
      </c>
    </row>
    <row r="352" spans="1:88" ht="24.75" customHeight="1">
      <c r="A352" s="36" t="s">
        <v>51</v>
      </c>
      <c r="B352" s="28">
        <v>47818</v>
      </c>
      <c r="C352" s="240"/>
      <c r="D352" s="36"/>
      <c r="E352" s="39">
        <v>260</v>
      </c>
      <c r="F352" s="39" t="s">
        <v>55</v>
      </c>
      <c r="G352" s="36" t="s">
        <v>310</v>
      </c>
      <c r="H352" s="39" t="s">
        <v>96</v>
      </c>
      <c r="I352" s="39">
        <v>103</v>
      </c>
      <c r="J352" s="39"/>
      <c r="K352" s="39"/>
      <c r="L352" s="39">
        <f t="shared" ref="L352:L448" si="352">SUM(I352:K352)</f>
        <v>103</v>
      </c>
      <c r="M352" s="117">
        <v>46181</v>
      </c>
      <c r="N352" s="117">
        <v>46188</v>
      </c>
      <c r="O352" s="39"/>
      <c r="P352" s="39"/>
      <c r="Q352" s="39"/>
      <c r="R352" s="39">
        <f t="shared" ref="R352:R356" si="353">SUM(O352:Q352)</f>
        <v>0</v>
      </c>
      <c r="S352" s="39" t="s">
        <v>130</v>
      </c>
      <c r="T352" s="39">
        <v>107024</v>
      </c>
      <c r="U352" s="117">
        <v>46192</v>
      </c>
      <c r="V352" s="39"/>
      <c r="W352" s="39"/>
      <c r="X352" s="39"/>
      <c r="Y352" s="39">
        <v>132</v>
      </c>
      <c r="Z352" s="39"/>
      <c r="AA352" s="39"/>
      <c r="AB352" s="119">
        <f t="shared" ref="AB352:AB357" si="354">SUM(Y352:AA352)</f>
        <v>132</v>
      </c>
      <c r="AC352" s="39"/>
      <c r="AD352" s="39"/>
      <c r="AE352" s="39"/>
      <c r="AF352" s="39"/>
      <c r="AG352" s="39"/>
      <c r="AH352" s="39">
        <f t="shared" ref="AH352:AH357" si="355">AG352-AE352</f>
        <v>0</v>
      </c>
      <c r="AI352" s="39"/>
      <c r="AJ352" s="39"/>
      <c r="AK352" s="39"/>
      <c r="AL352" s="39"/>
      <c r="AM352" s="39"/>
      <c r="AN352" s="39">
        <f t="shared" ref="AN352:AN357" si="356">AM352-AK352</f>
        <v>0</v>
      </c>
      <c r="AO352" s="39"/>
      <c r="AP352" s="39"/>
      <c r="AQ352" s="39"/>
      <c r="AR352" s="39"/>
      <c r="AS352" s="39"/>
      <c r="AT352" s="39">
        <f t="shared" ref="AT352:AT357" si="357">AS352-AQ352</f>
        <v>0</v>
      </c>
      <c r="AU352" s="39"/>
      <c r="AV352" s="39"/>
      <c r="AW352" s="39"/>
      <c r="AX352" s="39"/>
      <c r="AY352" s="39"/>
      <c r="AZ352" s="39">
        <f t="shared" ref="AZ352:AZ357" si="358">AY352-AW352</f>
        <v>0</v>
      </c>
      <c r="BA352" s="39"/>
      <c r="BB352" s="39"/>
      <c r="BC352" s="39"/>
      <c r="BD352" s="39"/>
      <c r="BE352" s="39"/>
      <c r="BF352" s="39">
        <f t="shared" ref="BF352:BF357" si="359">BE352-BC352</f>
        <v>0</v>
      </c>
      <c r="BG352" s="39"/>
      <c r="BH352" s="39"/>
      <c r="BI352" s="39"/>
      <c r="BJ352" s="39"/>
      <c r="BK352" s="39"/>
      <c r="BL352" s="39">
        <f t="shared" ref="BL352:BL357" si="360">BK352-BI352</f>
        <v>0</v>
      </c>
      <c r="BM352" s="54" t="str">
        <f t="shared" ref="BM352:BM357" si="361">IF((BZ352/L352)&lt;0.9,$CO$1-U352,"")</f>
        <v/>
      </c>
      <c r="BN352" s="59">
        <v>46186</v>
      </c>
      <c r="BO352" s="57">
        <v>46193</v>
      </c>
      <c r="BP352" s="36"/>
      <c r="BQ352" s="36"/>
      <c r="BR352" s="238"/>
      <c r="BS352" s="238"/>
      <c r="BT352" s="39">
        <v>1698</v>
      </c>
      <c r="BU352" s="39">
        <v>114</v>
      </c>
      <c r="BV352" s="39"/>
      <c r="BW352" s="39"/>
      <c r="BX352" s="39"/>
      <c r="BY352" s="39"/>
      <c r="BZ352" s="39">
        <f t="shared" si="10"/>
        <v>114</v>
      </c>
      <c r="CA352" s="39">
        <f t="shared" si="11"/>
        <v>11</v>
      </c>
      <c r="CB352" s="39">
        <f t="shared" si="12"/>
        <v>0</v>
      </c>
      <c r="CC352" s="39">
        <f t="shared" si="13"/>
        <v>0</v>
      </c>
      <c r="CD352" s="39">
        <f t="shared" si="14"/>
        <v>0</v>
      </c>
      <c r="CE352" s="47">
        <f t="shared" si="15"/>
        <v>0</v>
      </c>
      <c r="CF352" s="36"/>
      <c r="CG352" s="39" t="s">
        <v>243</v>
      </c>
      <c r="CH352" s="39"/>
      <c r="CI352" s="25">
        <v>2</v>
      </c>
    </row>
    <row r="353" spans="1:88" ht="24.75" customHeight="1">
      <c r="A353" s="36" t="s">
        <v>51</v>
      </c>
      <c r="B353" s="28">
        <v>47818</v>
      </c>
      <c r="C353" s="240"/>
      <c r="D353" s="36"/>
      <c r="E353" s="39">
        <v>260</v>
      </c>
      <c r="F353" s="39" t="s">
        <v>55</v>
      </c>
      <c r="G353" s="36" t="s">
        <v>946</v>
      </c>
      <c r="H353" s="39" t="s">
        <v>96</v>
      </c>
      <c r="I353" s="39">
        <v>813</v>
      </c>
      <c r="J353" s="39"/>
      <c r="K353" s="39"/>
      <c r="L353" s="39">
        <f t="shared" si="352"/>
        <v>813</v>
      </c>
      <c r="M353" s="117">
        <v>46181</v>
      </c>
      <c r="N353" s="117">
        <v>46188</v>
      </c>
      <c r="O353" s="39"/>
      <c r="P353" s="39"/>
      <c r="Q353" s="39"/>
      <c r="R353" s="39">
        <f t="shared" si="353"/>
        <v>0</v>
      </c>
      <c r="S353" s="39" t="s">
        <v>130</v>
      </c>
      <c r="T353" s="39">
        <v>106966</v>
      </c>
      <c r="U353" s="117">
        <v>46189</v>
      </c>
      <c r="V353" s="39"/>
      <c r="W353" s="39"/>
      <c r="X353" s="39"/>
      <c r="Y353" s="39">
        <v>912</v>
      </c>
      <c r="Z353" s="39"/>
      <c r="AA353" s="39"/>
      <c r="AB353" s="119">
        <f t="shared" si="354"/>
        <v>912</v>
      </c>
      <c r="AC353" s="39"/>
      <c r="AD353" s="39"/>
      <c r="AE353" s="39"/>
      <c r="AF353" s="39"/>
      <c r="AG353" s="39"/>
      <c r="AH353" s="39">
        <f t="shared" si="355"/>
        <v>0</v>
      </c>
      <c r="AI353" s="39"/>
      <c r="AJ353" s="39"/>
      <c r="AK353" s="39"/>
      <c r="AL353" s="39"/>
      <c r="AM353" s="39"/>
      <c r="AN353" s="39">
        <f t="shared" si="356"/>
        <v>0</v>
      </c>
      <c r="AO353" s="39"/>
      <c r="AP353" s="39"/>
      <c r="AQ353" s="39"/>
      <c r="AR353" s="39"/>
      <c r="AS353" s="39"/>
      <c r="AT353" s="39">
        <f t="shared" si="357"/>
        <v>0</v>
      </c>
      <c r="AU353" s="39"/>
      <c r="AV353" s="39"/>
      <c r="AW353" s="39"/>
      <c r="AX353" s="39"/>
      <c r="AY353" s="39"/>
      <c r="AZ353" s="39">
        <f t="shared" si="358"/>
        <v>0</v>
      </c>
      <c r="BA353" s="39"/>
      <c r="BB353" s="39"/>
      <c r="BC353" s="39"/>
      <c r="BD353" s="39"/>
      <c r="BE353" s="39"/>
      <c r="BF353" s="39">
        <f t="shared" si="359"/>
        <v>0</v>
      </c>
      <c r="BG353" s="39"/>
      <c r="BH353" s="39"/>
      <c r="BI353" s="39"/>
      <c r="BJ353" s="39"/>
      <c r="BK353" s="39"/>
      <c r="BL353" s="39">
        <f t="shared" si="360"/>
        <v>0</v>
      </c>
      <c r="BM353" s="54" t="str">
        <f t="shared" si="361"/>
        <v/>
      </c>
      <c r="BN353" s="59">
        <v>46186</v>
      </c>
      <c r="BO353" s="57">
        <v>46193</v>
      </c>
      <c r="BP353" s="36"/>
      <c r="BQ353" s="36"/>
      <c r="BR353" s="238"/>
      <c r="BS353" s="238"/>
      <c r="BT353" s="39" t="s">
        <v>1261</v>
      </c>
      <c r="BU353" s="39">
        <f>813+113</f>
        <v>926</v>
      </c>
      <c r="BV353" s="39"/>
      <c r="BW353" s="39"/>
      <c r="BX353" s="39"/>
      <c r="BY353" s="39"/>
      <c r="BZ353" s="39">
        <f t="shared" si="10"/>
        <v>926</v>
      </c>
      <c r="CA353" s="39">
        <f t="shared" si="11"/>
        <v>113</v>
      </c>
      <c r="CB353" s="39">
        <f t="shared" si="12"/>
        <v>0</v>
      </c>
      <c r="CC353" s="39">
        <f t="shared" si="13"/>
        <v>0</v>
      </c>
      <c r="CD353" s="39">
        <f t="shared" si="14"/>
        <v>0</v>
      </c>
      <c r="CE353" s="47">
        <f t="shared" si="15"/>
        <v>0</v>
      </c>
      <c r="CF353" s="36"/>
      <c r="CG353" s="39" t="s">
        <v>243</v>
      </c>
      <c r="CH353" s="39"/>
      <c r="CI353" s="25">
        <v>2</v>
      </c>
      <c r="CJ353" s="6" t="s">
        <v>19</v>
      </c>
    </row>
    <row r="354" spans="1:88" ht="24.75" customHeight="1">
      <c r="A354" s="36" t="s">
        <v>51</v>
      </c>
      <c r="B354" s="28">
        <v>47818</v>
      </c>
      <c r="C354" s="240"/>
      <c r="D354" s="36"/>
      <c r="E354" s="39">
        <v>260</v>
      </c>
      <c r="F354" s="39" t="s">
        <v>55</v>
      </c>
      <c r="G354" s="36" t="s">
        <v>359</v>
      </c>
      <c r="H354" s="39" t="s">
        <v>96</v>
      </c>
      <c r="I354" s="39">
        <v>95</v>
      </c>
      <c r="J354" s="39"/>
      <c r="K354" s="39"/>
      <c r="L354" s="39">
        <f t="shared" si="352"/>
        <v>95</v>
      </c>
      <c r="M354" s="117">
        <v>46181</v>
      </c>
      <c r="N354" s="117">
        <v>46188</v>
      </c>
      <c r="O354" s="39"/>
      <c r="P354" s="39"/>
      <c r="Q354" s="39"/>
      <c r="R354" s="39">
        <f t="shared" si="353"/>
        <v>0</v>
      </c>
      <c r="S354" s="39" t="s">
        <v>130</v>
      </c>
      <c r="T354" s="39">
        <v>107025</v>
      </c>
      <c r="U354" s="117">
        <v>46189</v>
      </c>
      <c r="V354" s="39"/>
      <c r="W354" s="39"/>
      <c r="X354" s="39"/>
      <c r="Y354" s="39">
        <v>115</v>
      </c>
      <c r="Z354" s="39"/>
      <c r="AA354" s="39"/>
      <c r="AB354" s="119">
        <f t="shared" si="354"/>
        <v>115</v>
      </c>
      <c r="AC354" s="39"/>
      <c r="AD354" s="39"/>
      <c r="AE354" s="39"/>
      <c r="AF354" s="39"/>
      <c r="AG354" s="39"/>
      <c r="AH354" s="39">
        <f t="shared" si="355"/>
        <v>0</v>
      </c>
      <c r="AI354" s="39"/>
      <c r="AJ354" s="39"/>
      <c r="AK354" s="39"/>
      <c r="AL354" s="39"/>
      <c r="AM354" s="39"/>
      <c r="AN354" s="39">
        <f t="shared" si="356"/>
        <v>0</v>
      </c>
      <c r="AO354" s="39"/>
      <c r="AP354" s="39"/>
      <c r="AQ354" s="39"/>
      <c r="AR354" s="39"/>
      <c r="AS354" s="39"/>
      <c r="AT354" s="39">
        <f t="shared" si="357"/>
        <v>0</v>
      </c>
      <c r="AU354" s="39"/>
      <c r="AV354" s="39"/>
      <c r="AW354" s="39"/>
      <c r="AX354" s="39"/>
      <c r="AY354" s="39"/>
      <c r="AZ354" s="39">
        <f t="shared" si="358"/>
        <v>0</v>
      </c>
      <c r="BA354" s="39"/>
      <c r="BB354" s="39"/>
      <c r="BC354" s="39"/>
      <c r="BD354" s="39"/>
      <c r="BE354" s="39"/>
      <c r="BF354" s="39">
        <f t="shared" si="359"/>
        <v>0</v>
      </c>
      <c r="BG354" s="39"/>
      <c r="BH354" s="39"/>
      <c r="BI354" s="39"/>
      <c r="BJ354" s="39"/>
      <c r="BK354" s="39"/>
      <c r="BL354" s="39">
        <f t="shared" si="360"/>
        <v>0</v>
      </c>
      <c r="BM354" s="54" t="str">
        <f t="shared" si="361"/>
        <v/>
      </c>
      <c r="BN354" s="59">
        <v>46186</v>
      </c>
      <c r="BO354" s="57">
        <v>46193</v>
      </c>
      <c r="BP354" s="36"/>
      <c r="BQ354" s="36"/>
      <c r="BR354" s="238"/>
      <c r="BS354" s="238"/>
      <c r="BT354" s="39">
        <v>1748</v>
      </c>
      <c r="BU354" s="39">
        <v>100</v>
      </c>
      <c r="BV354" s="39"/>
      <c r="BW354" s="39"/>
      <c r="BX354" s="39"/>
      <c r="BY354" s="39"/>
      <c r="BZ354" s="39">
        <f t="shared" si="10"/>
        <v>100</v>
      </c>
      <c r="CA354" s="39">
        <f t="shared" si="11"/>
        <v>5</v>
      </c>
      <c r="CB354" s="39">
        <f t="shared" si="12"/>
        <v>0</v>
      </c>
      <c r="CC354" s="39">
        <f t="shared" si="13"/>
        <v>0</v>
      </c>
      <c r="CD354" s="39">
        <f t="shared" si="14"/>
        <v>0</v>
      </c>
      <c r="CE354" s="47">
        <f t="shared" si="15"/>
        <v>0</v>
      </c>
      <c r="CF354" s="36"/>
      <c r="CG354" s="39" t="s">
        <v>243</v>
      </c>
      <c r="CH354" s="39"/>
      <c r="CI354" s="25">
        <v>2</v>
      </c>
    </row>
    <row r="355" spans="1:88" ht="24.75" customHeight="1">
      <c r="A355" s="36" t="s">
        <v>51</v>
      </c>
      <c r="B355" s="28">
        <v>47818</v>
      </c>
      <c r="C355" s="240"/>
      <c r="D355" s="36"/>
      <c r="E355" s="39">
        <v>260</v>
      </c>
      <c r="F355" s="39" t="s">
        <v>55</v>
      </c>
      <c r="G355" s="36" t="s">
        <v>511</v>
      </c>
      <c r="H355" s="39" t="s">
        <v>96</v>
      </c>
      <c r="I355" s="39">
        <v>722</v>
      </c>
      <c r="J355" s="39"/>
      <c r="K355" s="39"/>
      <c r="L355" s="39">
        <f t="shared" si="352"/>
        <v>722</v>
      </c>
      <c r="M355" s="117">
        <v>46181</v>
      </c>
      <c r="N355" s="117">
        <v>46188</v>
      </c>
      <c r="O355" s="39"/>
      <c r="P355" s="39"/>
      <c r="Q355" s="39"/>
      <c r="R355" s="39">
        <f t="shared" si="353"/>
        <v>0</v>
      </c>
      <c r="S355" s="39" t="s">
        <v>130</v>
      </c>
      <c r="T355" s="39">
        <v>107073</v>
      </c>
      <c r="U355" s="117">
        <v>46191</v>
      </c>
      <c r="V355" s="39"/>
      <c r="W355" s="39"/>
      <c r="X355" s="39"/>
      <c r="Y355" s="39">
        <v>809</v>
      </c>
      <c r="Z355" s="39"/>
      <c r="AA355" s="39"/>
      <c r="AB355" s="119">
        <f t="shared" si="354"/>
        <v>809</v>
      </c>
      <c r="AC355" s="39"/>
      <c r="AD355" s="39"/>
      <c r="AE355" s="39"/>
      <c r="AF355" s="39"/>
      <c r="AG355" s="39"/>
      <c r="AH355" s="39">
        <f t="shared" si="355"/>
        <v>0</v>
      </c>
      <c r="AI355" s="39"/>
      <c r="AJ355" s="39"/>
      <c r="AK355" s="39"/>
      <c r="AL355" s="39"/>
      <c r="AM355" s="39"/>
      <c r="AN355" s="39">
        <f t="shared" si="356"/>
        <v>0</v>
      </c>
      <c r="AO355" s="39"/>
      <c r="AP355" s="39"/>
      <c r="AQ355" s="39"/>
      <c r="AR355" s="39"/>
      <c r="AS355" s="39"/>
      <c r="AT355" s="39">
        <f t="shared" si="357"/>
        <v>0</v>
      </c>
      <c r="AU355" s="39"/>
      <c r="AV355" s="39"/>
      <c r="AW355" s="39"/>
      <c r="AX355" s="39"/>
      <c r="AY355" s="39"/>
      <c r="AZ355" s="39">
        <f t="shared" si="358"/>
        <v>0</v>
      </c>
      <c r="BA355" s="39"/>
      <c r="BB355" s="39"/>
      <c r="BC355" s="39"/>
      <c r="BD355" s="39"/>
      <c r="BE355" s="39"/>
      <c r="BF355" s="39">
        <f t="shared" si="359"/>
        <v>0</v>
      </c>
      <c r="BG355" s="39"/>
      <c r="BH355" s="39"/>
      <c r="BI355" s="39"/>
      <c r="BJ355" s="39"/>
      <c r="BK355" s="39"/>
      <c r="BL355" s="39">
        <f t="shared" si="360"/>
        <v>0</v>
      </c>
      <c r="BM355" s="54" t="str">
        <f t="shared" si="361"/>
        <v/>
      </c>
      <c r="BN355" s="59">
        <v>46186</v>
      </c>
      <c r="BO355" s="57">
        <v>46193</v>
      </c>
      <c r="BP355" s="36"/>
      <c r="BQ355" s="36"/>
      <c r="BR355" s="238"/>
      <c r="BS355" s="238"/>
      <c r="BT355" s="39">
        <v>1700</v>
      </c>
      <c r="BU355" s="39">
        <v>740</v>
      </c>
      <c r="BV355" s="39"/>
      <c r="BW355" s="39"/>
      <c r="BX355" s="39"/>
      <c r="BY355" s="39"/>
      <c r="BZ355" s="39">
        <f t="shared" si="10"/>
        <v>740</v>
      </c>
      <c r="CA355" s="39">
        <f t="shared" si="11"/>
        <v>18</v>
      </c>
      <c r="CB355" s="39">
        <f t="shared" si="12"/>
        <v>0</v>
      </c>
      <c r="CC355" s="39">
        <f t="shared" si="13"/>
        <v>0</v>
      </c>
      <c r="CD355" s="39">
        <f t="shared" si="14"/>
        <v>0</v>
      </c>
      <c r="CE355" s="47">
        <f t="shared" si="15"/>
        <v>0</v>
      </c>
      <c r="CF355" s="36"/>
      <c r="CG355" s="39" t="s">
        <v>243</v>
      </c>
      <c r="CH355" s="39"/>
      <c r="CI355" s="25">
        <v>2</v>
      </c>
    </row>
    <row r="356" spans="1:88" ht="24.75" customHeight="1">
      <c r="A356" s="36" t="s">
        <v>51</v>
      </c>
      <c r="B356" s="28">
        <v>47818</v>
      </c>
      <c r="C356" s="236"/>
      <c r="D356" s="36"/>
      <c r="E356" s="39">
        <v>260</v>
      </c>
      <c r="F356" s="39" t="s">
        <v>55</v>
      </c>
      <c r="G356" s="36" t="s">
        <v>359</v>
      </c>
      <c r="H356" s="39" t="s">
        <v>96</v>
      </c>
      <c r="I356" s="39">
        <v>85</v>
      </c>
      <c r="J356" s="39"/>
      <c r="K356" s="39"/>
      <c r="L356" s="39">
        <f t="shared" si="352"/>
        <v>85</v>
      </c>
      <c r="M356" s="117">
        <v>46181</v>
      </c>
      <c r="N356" s="117">
        <v>46188</v>
      </c>
      <c r="O356" s="39"/>
      <c r="P356" s="39"/>
      <c r="Q356" s="39"/>
      <c r="R356" s="39">
        <f t="shared" si="353"/>
        <v>0</v>
      </c>
      <c r="S356" s="39" t="s">
        <v>130</v>
      </c>
      <c r="T356" s="39">
        <v>107025</v>
      </c>
      <c r="U356" s="117">
        <v>46189</v>
      </c>
      <c r="V356" s="39"/>
      <c r="W356" s="39"/>
      <c r="X356" s="39"/>
      <c r="Y356" s="39">
        <v>100</v>
      </c>
      <c r="Z356" s="39"/>
      <c r="AA356" s="39"/>
      <c r="AB356" s="119">
        <f t="shared" si="354"/>
        <v>100</v>
      </c>
      <c r="AC356" s="39"/>
      <c r="AD356" s="39"/>
      <c r="AE356" s="39"/>
      <c r="AF356" s="39"/>
      <c r="AG356" s="39"/>
      <c r="AH356" s="39">
        <f t="shared" si="355"/>
        <v>0</v>
      </c>
      <c r="AI356" s="39"/>
      <c r="AJ356" s="39"/>
      <c r="AK356" s="39"/>
      <c r="AL356" s="39"/>
      <c r="AM356" s="39"/>
      <c r="AN356" s="39">
        <f t="shared" si="356"/>
        <v>0</v>
      </c>
      <c r="AO356" s="39"/>
      <c r="AP356" s="39"/>
      <c r="AQ356" s="39"/>
      <c r="AR356" s="39"/>
      <c r="AS356" s="39"/>
      <c r="AT356" s="39">
        <f t="shared" si="357"/>
        <v>0</v>
      </c>
      <c r="AU356" s="39"/>
      <c r="AV356" s="39"/>
      <c r="AW356" s="39"/>
      <c r="AX356" s="39"/>
      <c r="AY356" s="39"/>
      <c r="AZ356" s="39">
        <f t="shared" si="358"/>
        <v>0</v>
      </c>
      <c r="BA356" s="39"/>
      <c r="BB356" s="39"/>
      <c r="BC356" s="39"/>
      <c r="BD356" s="39"/>
      <c r="BE356" s="39"/>
      <c r="BF356" s="39">
        <f t="shared" si="359"/>
        <v>0</v>
      </c>
      <c r="BG356" s="39"/>
      <c r="BH356" s="39"/>
      <c r="BI356" s="39"/>
      <c r="BJ356" s="39"/>
      <c r="BK356" s="39"/>
      <c r="BL356" s="39">
        <f t="shared" si="360"/>
        <v>0</v>
      </c>
      <c r="BM356" s="54" t="str">
        <f t="shared" si="361"/>
        <v/>
      </c>
      <c r="BN356" s="59">
        <v>46186</v>
      </c>
      <c r="BO356" s="57">
        <v>46193</v>
      </c>
      <c r="BP356" s="36"/>
      <c r="BQ356" s="36"/>
      <c r="BR356" s="239"/>
      <c r="BS356" s="239"/>
      <c r="BT356" s="39">
        <v>1748</v>
      </c>
      <c r="BU356" s="39">
        <v>95</v>
      </c>
      <c r="BV356" s="39"/>
      <c r="BW356" s="39"/>
      <c r="BX356" s="39"/>
      <c r="BY356" s="39"/>
      <c r="BZ356" s="39">
        <f t="shared" si="10"/>
        <v>95</v>
      </c>
      <c r="CA356" s="39">
        <f t="shared" si="11"/>
        <v>10</v>
      </c>
      <c r="CB356" s="39">
        <f t="shared" si="12"/>
        <v>0</v>
      </c>
      <c r="CC356" s="39">
        <f t="shared" si="13"/>
        <v>0</v>
      </c>
      <c r="CD356" s="39">
        <f t="shared" si="14"/>
        <v>0</v>
      </c>
      <c r="CE356" s="47">
        <f t="shared" si="15"/>
        <v>0</v>
      </c>
      <c r="CF356" s="36"/>
      <c r="CG356" s="39" t="s">
        <v>243</v>
      </c>
      <c r="CH356" s="39"/>
      <c r="CI356" s="25">
        <v>2</v>
      </c>
    </row>
    <row r="357" spans="1:88" ht="24.75" customHeight="1">
      <c r="A357" s="36" t="s">
        <v>51</v>
      </c>
      <c r="B357" s="28">
        <v>47872</v>
      </c>
      <c r="C357" s="235">
        <v>22041180</v>
      </c>
      <c r="D357" s="36" t="s">
        <v>45</v>
      </c>
      <c r="E357" s="39">
        <v>280</v>
      </c>
      <c r="F357" s="39" t="s">
        <v>58</v>
      </c>
      <c r="G357" s="36" t="s">
        <v>1115</v>
      </c>
      <c r="H357" s="36" t="s">
        <v>362</v>
      </c>
      <c r="I357" s="39">
        <v>266</v>
      </c>
      <c r="J357" s="39">
        <v>71</v>
      </c>
      <c r="K357" s="39">
        <v>3</v>
      </c>
      <c r="L357" s="39">
        <f t="shared" ref="L357" si="362">SUM(I357:K357)</f>
        <v>340</v>
      </c>
      <c r="M357" s="117">
        <v>46187</v>
      </c>
      <c r="N357" s="117">
        <v>46195</v>
      </c>
      <c r="O357" s="39"/>
      <c r="P357" s="39"/>
      <c r="Q357" s="39"/>
      <c r="R357" s="39">
        <f t="shared" ref="R357" si="363">SUM(O357:Q357)</f>
        <v>0</v>
      </c>
      <c r="S357" s="39" t="s">
        <v>270</v>
      </c>
      <c r="T357" s="39"/>
      <c r="U357" s="39"/>
      <c r="V357" s="117" t="s">
        <v>1186</v>
      </c>
      <c r="W357" s="39">
        <f>305+5+81</f>
        <v>391</v>
      </c>
      <c r="X357" s="117" t="s">
        <v>1597</v>
      </c>
      <c r="Y357" s="39">
        <v>290</v>
      </c>
      <c r="Z357" s="39">
        <v>77</v>
      </c>
      <c r="AA357" s="39">
        <v>4</v>
      </c>
      <c r="AB357" s="119">
        <f t="shared" si="354"/>
        <v>371</v>
      </c>
      <c r="AC357" s="39"/>
      <c r="AD357" s="39"/>
      <c r="AE357" s="39"/>
      <c r="AF357" s="39"/>
      <c r="AG357" s="39"/>
      <c r="AH357" s="39">
        <f t="shared" si="355"/>
        <v>0</v>
      </c>
      <c r="AI357" s="39"/>
      <c r="AJ357" s="39"/>
      <c r="AK357" s="39"/>
      <c r="AL357" s="39"/>
      <c r="AM357" s="39"/>
      <c r="AN357" s="39">
        <f t="shared" si="356"/>
        <v>0</v>
      </c>
      <c r="AO357" s="39" t="s">
        <v>280</v>
      </c>
      <c r="AP357" s="117">
        <v>46204</v>
      </c>
      <c r="AQ357" s="39">
        <v>293</v>
      </c>
      <c r="AR357" s="117">
        <v>46207</v>
      </c>
      <c r="AS357" s="39">
        <v>290</v>
      </c>
      <c r="AT357" s="39">
        <f t="shared" si="357"/>
        <v>-3</v>
      </c>
      <c r="AU357" s="39" t="s">
        <v>257</v>
      </c>
      <c r="AV357" s="117">
        <v>46207</v>
      </c>
      <c r="AW357" s="39">
        <v>290</v>
      </c>
      <c r="AX357" s="117">
        <v>46207</v>
      </c>
      <c r="AY357" s="39">
        <v>284</v>
      </c>
      <c r="AZ357" s="39">
        <f t="shared" si="358"/>
        <v>-6</v>
      </c>
      <c r="BA357" s="39"/>
      <c r="BB357" s="39"/>
      <c r="BC357" s="39"/>
      <c r="BD357" s="39"/>
      <c r="BE357" s="39"/>
      <c r="BF357" s="39">
        <f t="shared" si="359"/>
        <v>0</v>
      </c>
      <c r="BG357" s="39"/>
      <c r="BH357" s="39"/>
      <c r="BI357" s="39"/>
      <c r="BJ357" s="39"/>
      <c r="BK357" s="39"/>
      <c r="BL357" s="39">
        <f t="shared" si="360"/>
        <v>0</v>
      </c>
      <c r="BM357" s="54" t="str">
        <f t="shared" si="361"/>
        <v/>
      </c>
      <c r="BN357" s="59">
        <v>46193</v>
      </c>
      <c r="BO357" s="57">
        <v>46207</v>
      </c>
      <c r="BP357" s="36"/>
      <c r="BQ357" s="36"/>
      <c r="BR357" s="237">
        <v>46216</v>
      </c>
      <c r="BS357" s="237">
        <v>46217</v>
      </c>
      <c r="BT357" s="39">
        <v>2024</v>
      </c>
      <c r="BU357" s="39">
        <f>258</f>
        <v>258</v>
      </c>
      <c r="BV357" s="39">
        <v>1529</v>
      </c>
      <c r="BW357" s="39">
        <v>77</v>
      </c>
      <c r="BX357" s="39">
        <v>1529</v>
      </c>
      <c r="BY357" s="39">
        <v>4</v>
      </c>
      <c r="BZ357" s="39">
        <f t="shared" ref="BZ357" si="364">BU357+BW357+BY357</f>
        <v>339</v>
      </c>
      <c r="CA357" s="39">
        <f t="shared" ref="CA357" si="365">BU357-I357</f>
        <v>-8</v>
      </c>
      <c r="CB357" s="39">
        <f t="shared" ref="CB357" si="366">BW357-J357</f>
        <v>6</v>
      </c>
      <c r="CC357" s="39">
        <f t="shared" ref="CC357" si="367">BY357-K357</f>
        <v>1</v>
      </c>
      <c r="CD357" s="39">
        <v>0</v>
      </c>
      <c r="CE357" s="47">
        <f t="shared" ref="CE357" si="368">CD357/L357</f>
        <v>0</v>
      </c>
      <c r="CF357" s="36"/>
      <c r="CG357" s="39" t="s">
        <v>243</v>
      </c>
      <c r="CH357" s="39" t="s">
        <v>1603</v>
      </c>
      <c r="CI357" s="25">
        <v>2</v>
      </c>
    </row>
    <row r="358" spans="1:88" ht="24.75" customHeight="1">
      <c r="A358" s="36" t="s">
        <v>51</v>
      </c>
      <c r="B358" s="28">
        <v>47872</v>
      </c>
      <c r="C358" s="236"/>
      <c r="D358" s="36" t="s">
        <v>45</v>
      </c>
      <c r="E358" s="39">
        <v>280</v>
      </c>
      <c r="F358" s="39" t="s">
        <v>58</v>
      </c>
      <c r="G358" s="36" t="s">
        <v>668</v>
      </c>
      <c r="H358" s="36" t="s">
        <v>362</v>
      </c>
      <c r="I358" s="39">
        <v>329</v>
      </c>
      <c r="J358" s="39">
        <v>88</v>
      </c>
      <c r="K358" s="39">
        <v>3</v>
      </c>
      <c r="L358" s="39">
        <f>SUM(I358:K358)</f>
        <v>420</v>
      </c>
      <c r="M358" s="117">
        <v>46187</v>
      </c>
      <c r="N358" s="117">
        <v>46195</v>
      </c>
      <c r="O358" s="39"/>
      <c r="P358" s="39"/>
      <c r="Q358" s="39"/>
      <c r="R358" s="39">
        <f t="shared" ref="R358" si="369">SUM(O358:Q358)</f>
        <v>0</v>
      </c>
      <c r="S358" s="39" t="s">
        <v>270</v>
      </c>
      <c r="T358" s="39"/>
      <c r="U358" s="39"/>
      <c r="V358" s="117">
        <v>46199</v>
      </c>
      <c r="W358" s="39">
        <f>385+102+6</f>
        <v>493</v>
      </c>
      <c r="X358" s="117" t="s">
        <v>1596</v>
      </c>
      <c r="Y358" s="39">
        <v>359</v>
      </c>
      <c r="Z358" s="39">
        <v>95</v>
      </c>
      <c r="AA358" s="39">
        <v>5</v>
      </c>
      <c r="AB358" s="119">
        <f t="shared" ref="AB358" si="370">SUM(Y358:AA358)</f>
        <v>459</v>
      </c>
      <c r="AC358" s="39"/>
      <c r="AD358" s="39"/>
      <c r="AE358" s="39"/>
      <c r="AF358" s="39"/>
      <c r="AG358" s="39"/>
      <c r="AH358" s="39">
        <f t="shared" ref="AH358" si="371">AG358-AE358</f>
        <v>0</v>
      </c>
      <c r="AI358" s="39"/>
      <c r="AJ358" s="39"/>
      <c r="AK358" s="39"/>
      <c r="AL358" s="39"/>
      <c r="AM358" s="39"/>
      <c r="AN358" s="39">
        <f t="shared" ref="AN358" si="372">AM358-AK358</f>
        <v>0</v>
      </c>
      <c r="AO358" s="39" t="s">
        <v>280</v>
      </c>
      <c r="AP358" s="117">
        <v>46210</v>
      </c>
      <c r="AQ358" s="39">
        <v>360</v>
      </c>
      <c r="AR358" s="117">
        <v>46211</v>
      </c>
      <c r="AS358" s="39">
        <v>359</v>
      </c>
      <c r="AT358" s="39">
        <f t="shared" ref="AT358" si="373">AS358-AQ358</f>
        <v>-1</v>
      </c>
      <c r="AU358" s="39" t="s">
        <v>256</v>
      </c>
      <c r="AV358" s="117">
        <v>46211</v>
      </c>
      <c r="AW358" s="39">
        <v>359</v>
      </c>
      <c r="AX358" s="117">
        <v>46213</v>
      </c>
      <c r="AY358" s="39">
        <v>349</v>
      </c>
      <c r="AZ358" s="39">
        <f t="shared" ref="AZ358" si="374">AY358-AW358</f>
        <v>-10</v>
      </c>
      <c r="BA358" s="39"/>
      <c r="BB358" s="39"/>
      <c r="BC358" s="39"/>
      <c r="BD358" s="39"/>
      <c r="BE358" s="39"/>
      <c r="BF358" s="39">
        <f t="shared" ref="BF358" si="375">BE358-BC358</f>
        <v>0</v>
      </c>
      <c r="BG358" s="39"/>
      <c r="BH358" s="39"/>
      <c r="BI358" s="39"/>
      <c r="BJ358" s="39"/>
      <c r="BK358" s="39"/>
      <c r="BL358" s="39">
        <f t="shared" ref="BL358" si="376">BK358-BI358</f>
        <v>0</v>
      </c>
      <c r="BM358" s="54" t="str">
        <f t="shared" ref="BM358" si="377">IF((BZ358/L358)&lt;0.9,$CO$1-U358,"")</f>
        <v/>
      </c>
      <c r="BN358" s="59">
        <v>46193</v>
      </c>
      <c r="BO358" s="57">
        <v>46207</v>
      </c>
      <c r="BP358" s="36"/>
      <c r="BQ358" s="36"/>
      <c r="BR358" s="239"/>
      <c r="BS358" s="239"/>
      <c r="BT358" s="39">
        <v>2018</v>
      </c>
      <c r="BU358" s="39">
        <v>331</v>
      </c>
      <c r="BV358" s="39">
        <v>1529</v>
      </c>
      <c r="BW358" s="39">
        <v>95</v>
      </c>
      <c r="BX358" s="39">
        <v>1529</v>
      </c>
      <c r="BY358" s="39">
        <v>5</v>
      </c>
      <c r="BZ358" s="39">
        <f>BU358+BW358+BY358</f>
        <v>431</v>
      </c>
      <c r="CA358" s="39">
        <f>BU358-I358</f>
        <v>2</v>
      </c>
      <c r="CB358" s="39">
        <f>BW358-J358</f>
        <v>7</v>
      </c>
      <c r="CC358" s="39">
        <f>BY358-K358</f>
        <v>2</v>
      </c>
      <c r="CD358" s="39">
        <f>SUMIF(CA358:CC358,"&lt;0")</f>
        <v>0</v>
      </c>
      <c r="CE358" s="47">
        <f>CD358/L358</f>
        <v>0</v>
      </c>
      <c r="CF358" s="36"/>
      <c r="CG358" s="39" t="s">
        <v>243</v>
      </c>
      <c r="CH358" s="39"/>
      <c r="CI358" s="25">
        <v>2</v>
      </c>
      <c r="CJ358" s="6" t="s">
        <v>19</v>
      </c>
    </row>
    <row r="359" spans="1:88" ht="24.75" customHeight="1">
      <c r="A359" s="36" t="s">
        <v>51</v>
      </c>
      <c r="B359" s="28">
        <v>47871</v>
      </c>
      <c r="C359" s="235">
        <v>22041246</v>
      </c>
      <c r="D359" s="36" t="s">
        <v>45</v>
      </c>
      <c r="E359" s="39">
        <v>280</v>
      </c>
      <c r="F359" s="39" t="s">
        <v>58</v>
      </c>
      <c r="G359" s="36" t="s">
        <v>1207</v>
      </c>
      <c r="H359" s="36" t="s">
        <v>993</v>
      </c>
      <c r="I359" s="39">
        <v>359</v>
      </c>
      <c r="J359" s="39">
        <v>105</v>
      </c>
      <c r="K359" s="39">
        <v>6</v>
      </c>
      <c r="L359" s="39">
        <f>SUM(I359:K359)</f>
        <v>470</v>
      </c>
      <c r="M359" s="117">
        <v>46186</v>
      </c>
      <c r="N359" s="117">
        <v>46193</v>
      </c>
      <c r="O359" s="39"/>
      <c r="P359" s="39"/>
      <c r="Q359" s="39"/>
      <c r="R359" s="39">
        <f>SUM(O359:Q359)</f>
        <v>0</v>
      </c>
      <c r="S359" s="39" t="s">
        <v>130</v>
      </c>
      <c r="T359" s="39">
        <v>107758</v>
      </c>
      <c r="U359" s="117">
        <v>46218</v>
      </c>
      <c r="V359" s="117"/>
      <c r="W359" s="39"/>
      <c r="X359" s="39"/>
      <c r="Y359" s="39">
        <v>408</v>
      </c>
      <c r="Z359" s="39">
        <v>123</v>
      </c>
      <c r="AA359" s="39">
        <v>9</v>
      </c>
      <c r="AB359" s="119">
        <f>SUM(Y359:AA359)</f>
        <v>540</v>
      </c>
      <c r="AC359" s="39"/>
      <c r="AD359" s="39"/>
      <c r="AE359" s="39"/>
      <c r="AF359" s="39"/>
      <c r="AG359" s="39"/>
      <c r="AH359" s="39">
        <f>AG359-AE359</f>
        <v>0</v>
      </c>
      <c r="AI359" s="39"/>
      <c r="AJ359" s="39"/>
      <c r="AK359" s="39"/>
      <c r="AL359" s="39"/>
      <c r="AM359" s="39"/>
      <c r="AN359" s="39">
        <f>AM359-AK359</f>
        <v>0</v>
      </c>
      <c r="AO359" s="39" t="s">
        <v>1703</v>
      </c>
      <c r="AP359" s="117" t="s">
        <v>1704</v>
      </c>
      <c r="AQ359" s="39">
        <f>386+372</f>
        <v>758</v>
      </c>
      <c r="AR359" s="117" t="s">
        <v>1702</v>
      </c>
      <c r="AS359" s="39">
        <f>383+363</f>
        <v>746</v>
      </c>
      <c r="AT359" s="39">
        <f>AS359-AQ359</f>
        <v>-12</v>
      </c>
      <c r="AU359" s="39" t="s">
        <v>1703</v>
      </c>
      <c r="AV359" s="117" t="s">
        <v>1704</v>
      </c>
      <c r="AW359" s="39">
        <f>386+372</f>
        <v>758</v>
      </c>
      <c r="AX359" s="117" t="s">
        <v>1702</v>
      </c>
      <c r="AY359" s="39">
        <f>383+363</f>
        <v>746</v>
      </c>
      <c r="AZ359" s="39">
        <f>AY359-AW359</f>
        <v>-12</v>
      </c>
      <c r="BA359" s="39"/>
      <c r="BB359" s="39"/>
      <c r="BC359" s="39"/>
      <c r="BD359" s="39"/>
      <c r="BE359" s="39"/>
      <c r="BF359" s="39">
        <f>BE359-BC359</f>
        <v>0</v>
      </c>
      <c r="BG359" s="39"/>
      <c r="BH359" s="39"/>
      <c r="BI359" s="39"/>
      <c r="BJ359" s="39"/>
      <c r="BK359" s="39"/>
      <c r="BL359" s="39">
        <f>BK359-BI359</f>
        <v>0</v>
      </c>
      <c r="BM359" s="54" t="str">
        <f>IF((BZ359/L359)&lt;0.9,$CO$1-U359,"")</f>
        <v/>
      </c>
      <c r="BN359" s="59">
        <v>46193</v>
      </c>
      <c r="BO359" s="57">
        <v>46205</v>
      </c>
      <c r="BP359" s="36"/>
      <c r="BQ359" s="36"/>
      <c r="BR359" s="237">
        <v>46220</v>
      </c>
      <c r="BS359" s="237">
        <v>46225</v>
      </c>
      <c r="BT359" s="39">
        <v>2042</v>
      </c>
      <c r="BU359" s="39">
        <v>342</v>
      </c>
      <c r="BV359" s="39">
        <v>2048</v>
      </c>
      <c r="BW359" s="39">
        <v>116</v>
      </c>
      <c r="BX359" s="39">
        <v>2048</v>
      </c>
      <c r="BY359" s="39">
        <v>6</v>
      </c>
      <c r="BZ359" s="39">
        <f>BU359+BW359+BY359</f>
        <v>464</v>
      </c>
      <c r="CA359" s="39">
        <f>BU359-I359</f>
        <v>-17</v>
      </c>
      <c r="CB359" s="39">
        <f>BW359-J359</f>
        <v>11</v>
      </c>
      <c r="CC359" s="39">
        <f>BY359-K359</f>
        <v>0</v>
      </c>
      <c r="CD359" s="39">
        <v>0</v>
      </c>
      <c r="CE359" s="47">
        <f>CD359/L359</f>
        <v>0</v>
      </c>
      <c r="CF359" s="36"/>
      <c r="CG359" s="39" t="s">
        <v>243</v>
      </c>
      <c r="CH359" s="39" t="s">
        <v>2050</v>
      </c>
      <c r="CI359" s="25">
        <v>2</v>
      </c>
    </row>
    <row r="360" spans="1:88" ht="24.75" customHeight="1">
      <c r="A360" s="36" t="s">
        <v>51</v>
      </c>
      <c r="B360" s="28">
        <v>47871</v>
      </c>
      <c r="C360" s="240"/>
      <c r="D360" s="36" t="s">
        <v>45</v>
      </c>
      <c r="E360" s="39">
        <v>280</v>
      </c>
      <c r="F360" s="39" t="s">
        <v>58</v>
      </c>
      <c r="G360" s="36" t="s">
        <v>965</v>
      </c>
      <c r="H360" s="36" t="s">
        <v>993</v>
      </c>
      <c r="I360" s="39">
        <v>275</v>
      </c>
      <c r="J360" s="39">
        <v>81</v>
      </c>
      <c r="K360" s="39">
        <v>4</v>
      </c>
      <c r="L360" s="39">
        <f t="shared" si="352"/>
        <v>360</v>
      </c>
      <c r="M360" s="117">
        <v>46186</v>
      </c>
      <c r="N360" s="117">
        <v>46193</v>
      </c>
      <c r="O360" s="39"/>
      <c r="P360" s="39"/>
      <c r="Q360" s="39"/>
      <c r="R360" s="39">
        <f t="shared" ref="R360:R361" si="378">SUM(O360:Q360)</f>
        <v>0</v>
      </c>
      <c r="S360" s="39" t="s">
        <v>130</v>
      </c>
      <c r="T360" s="39">
        <v>107755</v>
      </c>
      <c r="U360" s="117">
        <v>46218</v>
      </c>
      <c r="V360" s="117"/>
      <c r="W360" s="39"/>
      <c r="X360" s="39"/>
      <c r="Y360" s="39">
        <v>318</v>
      </c>
      <c r="Z360" s="39">
        <v>95</v>
      </c>
      <c r="AA360" s="39">
        <v>6</v>
      </c>
      <c r="AB360" s="119">
        <f t="shared" ref="AB360:AB361" si="379">SUM(Y360:AA360)</f>
        <v>419</v>
      </c>
      <c r="AC360" s="39"/>
      <c r="AD360" s="39"/>
      <c r="AE360" s="39"/>
      <c r="AF360" s="39"/>
      <c r="AG360" s="39"/>
      <c r="AH360" s="39">
        <f t="shared" ref="AH360:AH361" si="380">AG360-AE360</f>
        <v>0</v>
      </c>
      <c r="AI360" s="39"/>
      <c r="AJ360" s="39"/>
      <c r="AK360" s="39"/>
      <c r="AL360" s="39"/>
      <c r="AM360" s="39"/>
      <c r="AN360" s="39">
        <f t="shared" ref="AN360:AN361" si="381">AM360-AK360</f>
        <v>0</v>
      </c>
      <c r="AO360" s="39" t="s">
        <v>257</v>
      </c>
      <c r="AP360" s="117">
        <v>46219</v>
      </c>
      <c r="AQ360" s="39">
        <v>303</v>
      </c>
      <c r="AR360" s="117">
        <v>46219</v>
      </c>
      <c r="AS360" s="39">
        <v>298</v>
      </c>
      <c r="AT360" s="39">
        <f t="shared" ref="AT360:AT361" si="382">AS360-AQ360</f>
        <v>-5</v>
      </c>
      <c r="AU360" s="39" t="s">
        <v>257</v>
      </c>
      <c r="AV360" s="117">
        <v>46219</v>
      </c>
      <c r="AW360" s="39">
        <v>303</v>
      </c>
      <c r="AX360" s="117">
        <v>46219</v>
      </c>
      <c r="AY360" s="39">
        <v>298</v>
      </c>
      <c r="AZ360" s="39">
        <f t="shared" ref="AZ360:AZ361" si="383">AY360-AW360</f>
        <v>-5</v>
      </c>
      <c r="BA360" s="39"/>
      <c r="BB360" s="39"/>
      <c r="BC360" s="39"/>
      <c r="BD360" s="39"/>
      <c r="BE360" s="39"/>
      <c r="BF360" s="39">
        <f t="shared" ref="BF360:BF361" si="384">BE360-BC360</f>
        <v>0</v>
      </c>
      <c r="BG360" s="39"/>
      <c r="BH360" s="39"/>
      <c r="BI360" s="39"/>
      <c r="BJ360" s="39"/>
      <c r="BK360" s="39"/>
      <c r="BL360" s="39">
        <f t="shared" ref="BL360:BL361" si="385">BK360-BI360</f>
        <v>0</v>
      </c>
      <c r="BM360" s="54" t="str">
        <f t="shared" ref="BM360:BM361" si="386">IF((BZ360/L360)&lt;0.9,$CO$1-U360,"")</f>
        <v/>
      </c>
      <c r="BN360" s="59">
        <v>46193</v>
      </c>
      <c r="BO360" s="57">
        <v>46205</v>
      </c>
      <c r="BP360" s="36"/>
      <c r="BQ360" s="36"/>
      <c r="BR360" s="238"/>
      <c r="BS360" s="238"/>
      <c r="BT360" s="39">
        <v>1817</v>
      </c>
      <c r="BU360" s="39">
        <v>288</v>
      </c>
      <c r="BV360" s="39">
        <v>2032</v>
      </c>
      <c r="BW360" s="39">
        <v>90</v>
      </c>
      <c r="BX360" s="39">
        <v>2032</v>
      </c>
      <c r="BY360" s="39">
        <v>6</v>
      </c>
      <c r="BZ360" s="39">
        <f t="shared" si="10"/>
        <v>384</v>
      </c>
      <c r="CA360" s="39">
        <f t="shared" si="11"/>
        <v>13</v>
      </c>
      <c r="CB360" s="39">
        <f t="shared" si="12"/>
        <v>9</v>
      </c>
      <c r="CC360" s="39">
        <f t="shared" si="13"/>
        <v>2</v>
      </c>
      <c r="CD360" s="39">
        <f t="shared" si="14"/>
        <v>0</v>
      </c>
      <c r="CE360" s="47">
        <f t="shared" si="15"/>
        <v>0</v>
      </c>
      <c r="CF360" s="36"/>
      <c r="CG360" s="39" t="s">
        <v>243</v>
      </c>
      <c r="CH360" s="39"/>
      <c r="CI360" s="25">
        <v>2</v>
      </c>
    </row>
    <row r="361" spans="1:88" ht="24.75" customHeight="1">
      <c r="A361" s="36" t="s">
        <v>51</v>
      </c>
      <c r="B361" s="28">
        <v>47871</v>
      </c>
      <c r="C361" s="236"/>
      <c r="D361" s="36" t="s">
        <v>45</v>
      </c>
      <c r="E361" s="39">
        <v>280</v>
      </c>
      <c r="F361" s="39" t="s">
        <v>58</v>
      </c>
      <c r="G361" s="36" t="s">
        <v>966</v>
      </c>
      <c r="H361" s="36" t="s">
        <v>993</v>
      </c>
      <c r="I361" s="39">
        <v>359</v>
      </c>
      <c r="J361" s="39">
        <v>105</v>
      </c>
      <c r="K361" s="39">
        <v>6</v>
      </c>
      <c r="L361" s="39">
        <f>SUM(I361:K361)</f>
        <v>470</v>
      </c>
      <c r="M361" s="117">
        <v>46186</v>
      </c>
      <c r="N361" s="117">
        <v>46193</v>
      </c>
      <c r="O361" s="39"/>
      <c r="P361" s="39"/>
      <c r="Q361" s="39"/>
      <c r="R361" s="39">
        <f t="shared" si="378"/>
        <v>0</v>
      </c>
      <c r="S361" s="39" t="s">
        <v>130</v>
      </c>
      <c r="T361" s="39">
        <v>107570</v>
      </c>
      <c r="U361" s="117">
        <v>46216</v>
      </c>
      <c r="V361" s="117"/>
      <c r="W361" s="39"/>
      <c r="X361" s="39"/>
      <c r="Y361" s="39">
        <v>413</v>
      </c>
      <c r="Z361" s="39">
        <v>123</v>
      </c>
      <c r="AA361" s="39">
        <v>8</v>
      </c>
      <c r="AB361" s="119">
        <f t="shared" si="379"/>
        <v>544</v>
      </c>
      <c r="AC361" s="39"/>
      <c r="AD361" s="39"/>
      <c r="AE361" s="39"/>
      <c r="AF361" s="39"/>
      <c r="AG361" s="39"/>
      <c r="AH361" s="39">
        <f t="shared" si="380"/>
        <v>0</v>
      </c>
      <c r="AI361" s="39"/>
      <c r="AJ361" s="39"/>
      <c r="AK361" s="39"/>
      <c r="AL361" s="39"/>
      <c r="AM361" s="39"/>
      <c r="AN361" s="39">
        <f t="shared" si="381"/>
        <v>0</v>
      </c>
      <c r="AO361" s="39" t="s">
        <v>257</v>
      </c>
      <c r="AP361" s="117">
        <v>46218</v>
      </c>
      <c r="AQ361" s="39">
        <v>391</v>
      </c>
      <c r="AR361" s="117">
        <v>46219</v>
      </c>
      <c r="AS361" s="39">
        <v>380</v>
      </c>
      <c r="AT361" s="39">
        <f t="shared" si="382"/>
        <v>-11</v>
      </c>
      <c r="AU361" s="39" t="s">
        <v>257</v>
      </c>
      <c r="AV361" s="117">
        <v>46218</v>
      </c>
      <c r="AW361" s="39">
        <v>391</v>
      </c>
      <c r="AX361" s="117">
        <v>46219</v>
      </c>
      <c r="AY361" s="39">
        <v>380</v>
      </c>
      <c r="AZ361" s="39">
        <f t="shared" si="383"/>
        <v>-11</v>
      </c>
      <c r="BA361" s="39"/>
      <c r="BB361" s="39"/>
      <c r="BC361" s="39"/>
      <c r="BD361" s="39"/>
      <c r="BE361" s="39"/>
      <c r="BF361" s="39">
        <f t="shared" si="384"/>
        <v>0</v>
      </c>
      <c r="BG361" s="39"/>
      <c r="BH361" s="39"/>
      <c r="BI361" s="39"/>
      <c r="BJ361" s="39"/>
      <c r="BK361" s="39"/>
      <c r="BL361" s="39">
        <f t="shared" si="385"/>
        <v>0</v>
      </c>
      <c r="BM361" s="54" t="str">
        <f t="shared" si="386"/>
        <v/>
      </c>
      <c r="BN361" s="59">
        <v>46193</v>
      </c>
      <c r="BO361" s="57">
        <v>46205</v>
      </c>
      <c r="BP361" s="36"/>
      <c r="BQ361" s="36"/>
      <c r="BR361" s="239"/>
      <c r="BS361" s="239"/>
      <c r="BT361" s="39">
        <v>1817</v>
      </c>
      <c r="BU361" s="39">
        <v>378</v>
      </c>
      <c r="BV361" s="39">
        <v>2032</v>
      </c>
      <c r="BW361" s="39">
        <v>117</v>
      </c>
      <c r="BX361" s="39">
        <v>2032</v>
      </c>
      <c r="BY361" s="39">
        <v>8</v>
      </c>
      <c r="BZ361" s="39">
        <f>BU361+BW361+BY361</f>
        <v>503</v>
      </c>
      <c r="CA361" s="39">
        <f>BU361-I361</f>
        <v>19</v>
      </c>
      <c r="CB361" s="39">
        <f>BW361-J361</f>
        <v>12</v>
      </c>
      <c r="CC361" s="39">
        <f>BY361-K361</f>
        <v>2</v>
      </c>
      <c r="CD361" s="39">
        <f>SUMIF(CA361:CC361,"&lt;0")</f>
        <v>0</v>
      </c>
      <c r="CE361" s="47">
        <f>CD361/L361</f>
        <v>0</v>
      </c>
      <c r="CF361" s="36"/>
      <c r="CG361" s="39" t="s">
        <v>243</v>
      </c>
      <c r="CH361" s="39"/>
      <c r="CI361" s="25">
        <v>2</v>
      </c>
      <c r="CJ361" s="6" t="s">
        <v>19</v>
      </c>
    </row>
    <row r="362" spans="1:88" ht="24.75" customHeight="1">
      <c r="A362" s="36" t="s">
        <v>51</v>
      </c>
      <c r="B362" s="28"/>
      <c r="C362" s="41"/>
      <c r="D362" s="36"/>
      <c r="E362" s="39"/>
      <c r="F362" s="39"/>
      <c r="G362" s="36"/>
      <c r="H362" s="39"/>
      <c r="I362" s="39"/>
      <c r="J362" s="39"/>
      <c r="K362" s="39"/>
      <c r="L362" s="39">
        <f>SUM(I362:K362)</f>
        <v>0</v>
      </c>
      <c r="M362" s="39"/>
      <c r="N362" s="39"/>
      <c r="O362" s="39"/>
      <c r="P362" s="39"/>
      <c r="Q362" s="39"/>
      <c r="R362" s="39">
        <f>SUM(O362:Q362)</f>
        <v>0</v>
      </c>
      <c r="S362" s="39"/>
      <c r="T362" s="39"/>
      <c r="U362" s="39"/>
      <c r="V362" s="39"/>
      <c r="W362" s="39"/>
      <c r="X362" s="39"/>
      <c r="Y362" s="39"/>
      <c r="Z362" s="39"/>
      <c r="AA362" s="39"/>
      <c r="AB362" s="39">
        <f>SUM(Y362:AA362)</f>
        <v>0</v>
      </c>
      <c r="AC362" s="39"/>
      <c r="AD362" s="39"/>
      <c r="AE362" s="39"/>
      <c r="AF362" s="39"/>
      <c r="AG362" s="39"/>
      <c r="AH362" s="39">
        <f>AG362-AE362</f>
        <v>0</v>
      </c>
      <c r="AI362" s="39"/>
      <c r="AJ362" s="39"/>
      <c r="AK362" s="39"/>
      <c r="AL362" s="39"/>
      <c r="AM362" s="39"/>
      <c r="AN362" s="39">
        <f>AM362-AK362</f>
        <v>0</v>
      </c>
      <c r="AO362" s="39"/>
      <c r="AP362" s="39"/>
      <c r="AQ362" s="39"/>
      <c r="AR362" s="39"/>
      <c r="AS362" s="39"/>
      <c r="AT362" s="39">
        <f>AS362-AQ362</f>
        <v>0</v>
      </c>
      <c r="AU362" s="39"/>
      <c r="AV362" s="39"/>
      <c r="AW362" s="39"/>
      <c r="AX362" s="39"/>
      <c r="AY362" s="39"/>
      <c r="AZ362" s="39">
        <f>AY362-AW362</f>
        <v>0</v>
      </c>
      <c r="BA362" s="39"/>
      <c r="BB362" s="39"/>
      <c r="BC362" s="39"/>
      <c r="BD362" s="39"/>
      <c r="BE362" s="39"/>
      <c r="BF362" s="39">
        <f>BE362-BC362</f>
        <v>0</v>
      </c>
      <c r="BG362" s="39"/>
      <c r="BH362" s="39"/>
      <c r="BI362" s="39"/>
      <c r="BJ362" s="39"/>
      <c r="BK362" s="39"/>
      <c r="BL362" s="39">
        <f>BK362-BI362</f>
        <v>0</v>
      </c>
      <c r="BM362" s="54" t="e">
        <f>IF((BZ362/L362)&lt;0.9,$CO$1-U362,"")</f>
        <v>#DIV/0!</v>
      </c>
      <c r="BN362" s="65"/>
      <c r="BO362" s="36"/>
      <c r="BP362" s="36"/>
      <c r="BQ362" s="36"/>
      <c r="BR362" s="40"/>
      <c r="BS362" s="40"/>
      <c r="BT362" s="39"/>
      <c r="BU362" s="39"/>
      <c r="BV362" s="39"/>
      <c r="BW362" s="39"/>
      <c r="BX362" s="39"/>
      <c r="BY362" s="39"/>
      <c r="BZ362" s="39">
        <f>BU362+BW362+BY362</f>
        <v>0</v>
      </c>
      <c r="CA362" s="39">
        <f>BU362-I362</f>
        <v>0</v>
      </c>
      <c r="CB362" s="39">
        <f>BW362-J362</f>
        <v>0</v>
      </c>
      <c r="CC362" s="39">
        <f>BY362-K362</f>
        <v>0</v>
      </c>
      <c r="CD362" s="39">
        <f>SUMIF(CA362:CC362,"&lt;0")</f>
        <v>0</v>
      </c>
      <c r="CE362" s="47" t="e">
        <f>CD362/L362</f>
        <v>#DIV/0!</v>
      </c>
      <c r="CF362" s="36"/>
      <c r="CG362" s="39"/>
      <c r="CH362" s="39"/>
      <c r="CI362" s="25">
        <v>2</v>
      </c>
    </row>
    <row r="363" spans="1:88" ht="24.75" customHeight="1">
      <c r="A363" s="36" t="s">
        <v>51</v>
      </c>
      <c r="B363" s="28"/>
      <c r="C363" s="41"/>
      <c r="D363" s="36"/>
      <c r="E363" s="39"/>
      <c r="F363" s="39"/>
      <c r="G363" s="36"/>
      <c r="H363" s="39"/>
      <c r="I363" s="39"/>
      <c r="J363" s="39"/>
      <c r="K363" s="39"/>
      <c r="L363" s="39">
        <f>SUM(I363:K363)</f>
        <v>0</v>
      </c>
      <c r="M363" s="39"/>
      <c r="N363" s="39"/>
      <c r="O363" s="39"/>
      <c r="P363" s="39"/>
      <c r="Q363" s="39"/>
      <c r="R363" s="39">
        <f>SUM(O363:Q363)</f>
        <v>0</v>
      </c>
      <c r="S363" s="39"/>
      <c r="T363" s="39"/>
      <c r="U363" s="39"/>
      <c r="V363" s="39"/>
      <c r="W363" s="39"/>
      <c r="X363" s="39"/>
      <c r="Y363" s="39"/>
      <c r="Z363" s="39"/>
      <c r="AA363" s="39"/>
      <c r="AB363" s="39">
        <f>SUM(Y363:AA363)</f>
        <v>0</v>
      </c>
      <c r="AC363" s="39"/>
      <c r="AD363" s="39"/>
      <c r="AE363" s="39"/>
      <c r="AF363" s="39"/>
      <c r="AG363" s="39"/>
      <c r="AH363" s="39">
        <f>AG363-AE363</f>
        <v>0</v>
      </c>
      <c r="AI363" s="39"/>
      <c r="AJ363" s="39"/>
      <c r="AK363" s="39"/>
      <c r="AL363" s="39"/>
      <c r="AM363" s="39"/>
      <c r="AN363" s="39">
        <f>AM363-AK363</f>
        <v>0</v>
      </c>
      <c r="AO363" s="39"/>
      <c r="AP363" s="39"/>
      <c r="AQ363" s="39"/>
      <c r="AR363" s="39"/>
      <c r="AS363" s="39"/>
      <c r="AT363" s="39">
        <f>AS363-AQ363</f>
        <v>0</v>
      </c>
      <c r="AU363" s="39"/>
      <c r="AV363" s="39"/>
      <c r="AW363" s="39"/>
      <c r="AX363" s="39"/>
      <c r="AY363" s="39"/>
      <c r="AZ363" s="39">
        <f>AY363-AW363</f>
        <v>0</v>
      </c>
      <c r="BA363" s="39"/>
      <c r="BB363" s="39"/>
      <c r="BC363" s="39"/>
      <c r="BD363" s="39"/>
      <c r="BE363" s="39"/>
      <c r="BF363" s="39">
        <f>BE363-BC363</f>
        <v>0</v>
      </c>
      <c r="BG363" s="39"/>
      <c r="BH363" s="39"/>
      <c r="BI363" s="39"/>
      <c r="BJ363" s="39"/>
      <c r="BK363" s="39"/>
      <c r="BL363" s="39">
        <f>BK363-BI363</f>
        <v>0</v>
      </c>
      <c r="BM363" s="54" t="e">
        <f>IF((BZ363/L363)&lt;0.9,$CO$1-U363,"")</f>
        <v>#DIV/0!</v>
      </c>
      <c r="BN363" s="65"/>
      <c r="BO363" s="36"/>
      <c r="BP363" s="36"/>
      <c r="BQ363" s="36"/>
      <c r="BR363" s="40"/>
      <c r="BS363" s="40"/>
      <c r="BT363" s="39"/>
      <c r="BU363" s="39"/>
      <c r="BV363" s="39"/>
      <c r="BW363" s="39"/>
      <c r="BX363" s="39"/>
      <c r="BY363" s="39"/>
      <c r="BZ363" s="39">
        <f>BU363+BW363+BY363</f>
        <v>0</v>
      </c>
      <c r="CA363" s="39">
        <f>BU363-I363</f>
        <v>0</v>
      </c>
      <c r="CB363" s="39">
        <f>BW363-J363</f>
        <v>0</v>
      </c>
      <c r="CC363" s="39">
        <f>BY363-K363</f>
        <v>0</v>
      </c>
      <c r="CD363" s="39">
        <f>SUMIF(CA363:CC363,"&lt;0")</f>
        <v>0</v>
      </c>
      <c r="CE363" s="47" t="e">
        <f>CD363/L363</f>
        <v>#DIV/0!</v>
      </c>
      <c r="CF363" s="36"/>
      <c r="CG363" s="39"/>
      <c r="CH363" s="39"/>
      <c r="CI363" s="25">
        <v>2</v>
      </c>
    </row>
    <row r="364" spans="1:88" ht="24.75" customHeight="1">
      <c r="A364" s="36" t="s">
        <v>51</v>
      </c>
      <c r="B364" s="28"/>
      <c r="C364" s="41"/>
      <c r="D364" s="36"/>
      <c r="E364" s="39"/>
      <c r="F364" s="39"/>
      <c r="G364" s="36"/>
      <c r="H364" s="39"/>
      <c r="I364" s="39"/>
      <c r="J364" s="39"/>
      <c r="K364" s="39"/>
      <c r="L364" s="39">
        <f t="shared" ref="L364" si="387">SUM(I364:K364)</f>
        <v>0</v>
      </c>
      <c r="M364" s="39"/>
      <c r="N364" s="39"/>
      <c r="O364" s="39"/>
      <c r="P364" s="39"/>
      <c r="Q364" s="39"/>
      <c r="R364" s="39">
        <f t="shared" ref="R364" si="388">SUM(O364:Q364)</f>
        <v>0</v>
      </c>
      <c r="S364" s="39"/>
      <c r="T364" s="39"/>
      <c r="U364" s="39"/>
      <c r="V364" s="39"/>
      <c r="W364" s="39"/>
      <c r="X364" s="39"/>
      <c r="Y364" s="39"/>
      <c r="Z364" s="39"/>
      <c r="AA364" s="39"/>
      <c r="AB364" s="39">
        <f t="shared" ref="AB364" si="389">SUM(Y364:AA364)</f>
        <v>0</v>
      </c>
      <c r="AC364" s="39"/>
      <c r="AD364" s="39"/>
      <c r="AE364" s="39"/>
      <c r="AF364" s="39"/>
      <c r="AG364" s="39"/>
      <c r="AH364" s="39">
        <f t="shared" ref="AH364" si="390">AG364-AE364</f>
        <v>0</v>
      </c>
      <c r="AI364" s="39"/>
      <c r="AJ364" s="39"/>
      <c r="AK364" s="39"/>
      <c r="AL364" s="39"/>
      <c r="AM364" s="39"/>
      <c r="AN364" s="39">
        <f t="shared" ref="AN364" si="391">AM364-AK364</f>
        <v>0</v>
      </c>
      <c r="AO364" s="39"/>
      <c r="AP364" s="39"/>
      <c r="AQ364" s="39"/>
      <c r="AR364" s="39"/>
      <c r="AS364" s="39"/>
      <c r="AT364" s="39">
        <f t="shared" ref="AT364" si="392">AS364-AQ364</f>
        <v>0</v>
      </c>
      <c r="AU364" s="39"/>
      <c r="AV364" s="39"/>
      <c r="AW364" s="39"/>
      <c r="AX364" s="39"/>
      <c r="AY364" s="39"/>
      <c r="AZ364" s="39">
        <f t="shared" ref="AZ364" si="393">AY364-AW364</f>
        <v>0</v>
      </c>
      <c r="BA364" s="39"/>
      <c r="BB364" s="39"/>
      <c r="BC364" s="39"/>
      <c r="BD364" s="39"/>
      <c r="BE364" s="39"/>
      <c r="BF364" s="39">
        <f t="shared" ref="BF364" si="394">BE364-BC364</f>
        <v>0</v>
      </c>
      <c r="BG364" s="39"/>
      <c r="BH364" s="39"/>
      <c r="BI364" s="39"/>
      <c r="BJ364" s="39"/>
      <c r="BK364" s="39"/>
      <c r="BL364" s="39">
        <f t="shared" ref="BL364" si="395">BK364-BI364</f>
        <v>0</v>
      </c>
      <c r="BM364" s="54" t="e">
        <f t="shared" ref="BM364" si="396">IF((BZ364/L364)&lt;0.9,$CO$1-U364,"")</f>
        <v>#DIV/0!</v>
      </c>
      <c r="BN364" s="65"/>
      <c r="BO364" s="36"/>
      <c r="BP364" s="36"/>
      <c r="BQ364" s="36"/>
      <c r="BR364" s="40"/>
      <c r="BS364" s="40"/>
      <c r="BT364" s="39"/>
      <c r="BU364" s="39"/>
      <c r="BV364" s="39"/>
      <c r="BW364" s="39"/>
      <c r="BX364" s="39"/>
      <c r="BY364" s="39"/>
      <c r="BZ364" s="39">
        <f t="shared" ref="BZ364" si="397">BU364+BW364+BY364</f>
        <v>0</v>
      </c>
      <c r="CA364" s="39">
        <f t="shared" ref="CA364" si="398">BU364-I364</f>
        <v>0</v>
      </c>
      <c r="CB364" s="39">
        <f t="shared" ref="CB364" si="399">BW364-J364</f>
        <v>0</v>
      </c>
      <c r="CC364" s="39">
        <f t="shared" ref="CC364" si="400">BY364-K364</f>
        <v>0</v>
      </c>
      <c r="CD364" s="39">
        <f t="shared" ref="CD364" si="401">SUMIF(CA364:CC364,"&lt;0")</f>
        <v>0</v>
      </c>
      <c r="CE364" s="47" t="e">
        <f t="shared" ref="CE364" si="402">CD364/L364</f>
        <v>#DIV/0!</v>
      </c>
      <c r="CF364" s="36"/>
      <c r="CG364" s="39"/>
      <c r="CH364" s="39"/>
      <c r="CI364" s="25">
        <v>2</v>
      </c>
    </row>
    <row r="365" spans="1:88" ht="24.75" customHeight="1">
      <c r="A365" s="36" t="s">
        <v>51</v>
      </c>
      <c r="B365" s="28"/>
      <c r="C365" s="41"/>
      <c r="D365" s="36"/>
      <c r="E365" s="39"/>
      <c r="F365" s="39"/>
      <c r="G365" s="36"/>
      <c r="H365" s="39"/>
      <c r="I365" s="39"/>
      <c r="J365" s="39"/>
      <c r="K365" s="39"/>
      <c r="L365" s="39">
        <f>SUM(I365:K365)</f>
        <v>0</v>
      </c>
      <c r="M365" s="39"/>
      <c r="N365" s="39"/>
      <c r="O365" s="39"/>
      <c r="P365" s="39"/>
      <c r="Q365" s="39"/>
      <c r="R365" s="39">
        <f>SUM(O365:Q365)</f>
        <v>0</v>
      </c>
      <c r="S365" s="39"/>
      <c r="T365" s="39"/>
      <c r="U365" s="39"/>
      <c r="V365" s="39"/>
      <c r="W365" s="39"/>
      <c r="X365" s="39"/>
      <c r="Y365" s="39"/>
      <c r="Z365" s="39"/>
      <c r="AA365" s="39"/>
      <c r="AB365" s="39">
        <f>SUM(Y365:AA365)</f>
        <v>0</v>
      </c>
      <c r="AC365" s="39"/>
      <c r="AD365" s="39"/>
      <c r="AE365" s="39"/>
      <c r="AF365" s="39"/>
      <c r="AG365" s="39"/>
      <c r="AH365" s="39">
        <f>AG365-AE365</f>
        <v>0</v>
      </c>
      <c r="AI365" s="39"/>
      <c r="AJ365" s="39"/>
      <c r="AK365" s="39"/>
      <c r="AL365" s="39"/>
      <c r="AM365" s="39"/>
      <c r="AN365" s="39">
        <f>AM365-AK365</f>
        <v>0</v>
      </c>
      <c r="AO365" s="39"/>
      <c r="AP365" s="39"/>
      <c r="AQ365" s="39"/>
      <c r="AR365" s="39"/>
      <c r="AS365" s="39"/>
      <c r="AT365" s="39">
        <f>AS365-AQ365</f>
        <v>0</v>
      </c>
      <c r="AU365" s="39"/>
      <c r="AV365" s="39"/>
      <c r="AW365" s="39"/>
      <c r="AX365" s="39"/>
      <c r="AY365" s="39"/>
      <c r="AZ365" s="39">
        <f>AY365-AW365</f>
        <v>0</v>
      </c>
      <c r="BA365" s="39"/>
      <c r="BB365" s="39"/>
      <c r="BC365" s="39"/>
      <c r="BD365" s="39"/>
      <c r="BE365" s="39"/>
      <c r="BF365" s="39">
        <f>BE365-BC365</f>
        <v>0</v>
      </c>
      <c r="BG365" s="39"/>
      <c r="BH365" s="39"/>
      <c r="BI365" s="39"/>
      <c r="BJ365" s="39"/>
      <c r="BK365" s="39"/>
      <c r="BL365" s="39">
        <f>BK365-BI365</f>
        <v>0</v>
      </c>
      <c r="BM365" s="54" t="e">
        <f>IF((BZ365/L365)&lt;0.9,$CO$1-U365,"")</f>
        <v>#DIV/0!</v>
      </c>
      <c r="BN365" s="65"/>
      <c r="BO365" s="36"/>
      <c r="BP365" s="36"/>
      <c r="BQ365" s="36"/>
      <c r="BR365" s="40"/>
      <c r="BS365" s="40"/>
      <c r="BT365" s="39"/>
      <c r="BU365" s="39"/>
      <c r="BV365" s="39"/>
      <c r="BW365" s="39"/>
      <c r="BX365" s="39"/>
      <c r="BY365" s="39"/>
      <c r="BZ365" s="39">
        <f>BU365+BW365+BY365</f>
        <v>0</v>
      </c>
      <c r="CA365" s="39">
        <f>BU365-I365</f>
        <v>0</v>
      </c>
      <c r="CB365" s="39">
        <f>BW365-J365</f>
        <v>0</v>
      </c>
      <c r="CC365" s="39">
        <f>BY365-K365</f>
        <v>0</v>
      </c>
      <c r="CD365" s="39">
        <f>SUMIF(CA365:CC365,"&lt;0")</f>
        <v>0</v>
      </c>
      <c r="CE365" s="47" t="e">
        <f>CD365/L365</f>
        <v>#DIV/0!</v>
      </c>
      <c r="CF365" s="36"/>
      <c r="CG365" s="39"/>
      <c r="CH365" s="39"/>
      <c r="CI365" s="25">
        <v>2</v>
      </c>
      <c r="CJ365" s="6" t="s">
        <v>19</v>
      </c>
    </row>
    <row r="366" spans="1:88" ht="24.75" customHeight="1">
      <c r="A366" s="36" t="s">
        <v>51</v>
      </c>
      <c r="B366" s="28"/>
      <c r="C366" s="41"/>
      <c r="D366" s="36"/>
      <c r="E366" s="39"/>
      <c r="F366" s="39"/>
      <c r="G366" s="36"/>
      <c r="H366" s="39"/>
      <c r="I366" s="39"/>
      <c r="J366" s="39"/>
      <c r="K366" s="39"/>
      <c r="L366" s="39">
        <f>SUM(I366:K366)</f>
        <v>0</v>
      </c>
      <c r="M366" s="39"/>
      <c r="N366" s="39"/>
      <c r="O366" s="39"/>
      <c r="P366" s="39"/>
      <c r="Q366" s="39"/>
      <c r="R366" s="39">
        <f>SUM(O366:Q366)</f>
        <v>0</v>
      </c>
      <c r="S366" s="39"/>
      <c r="T366" s="39"/>
      <c r="U366" s="39"/>
      <c r="V366" s="39"/>
      <c r="W366" s="39"/>
      <c r="X366" s="39"/>
      <c r="Y366" s="39"/>
      <c r="Z366" s="39"/>
      <c r="AA366" s="39"/>
      <c r="AB366" s="39">
        <f>SUM(Y366:AA366)</f>
        <v>0</v>
      </c>
      <c r="AC366" s="39"/>
      <c r="AD366" s="39"/>
      <c r="AE366" s="39"/>
      <c r="AF366" s="39"/>
      <c r="AG366" s="39"/>
      <c r="AH366" s="39">
        <f>AG366-AE366</f>
        <v>0</v>
      </c>
      <c r="AI366" s="39"/>
      <c r="AJ366" s="39"/>
      <c r="AK366" s="39"/>
      <c r="AL366" s="39"/>
      <c r="AM366" s="39"/>
      <c r="AN366" s="39">
        <f>AM366-AK366</f>
        <v>0</v>
      </c>
      <c r="AO366" s="39"/>
      <c r="AP366" s="39"/>
      <c r="AQ366" s="39"/>
      <c r="AR366" s="39"/>
      <c r="AS366" s="39"/>
      <c r="AT366" s="39">
        <f>AS366-AQ366</f>
        <v>0</v>
      </c>
      <c r="AU366" s="39"/>
      <c r="AV366" s="39"/>
      <c r="AW366" s="39"/>
      <c r="AX366" s="39"/>
      <c r="AY366" s="39"/>
      <c r="AZ366" s="39">
        <f>AY366-AW366</f>
        <v>0</v>
      </c>
      <c r="BA366" s="39"/>
      <c r="BB366" s="39"/>
      <c r="BC366" s="39"/>
      <c r="BD366" s="39"/>
      <c r="BE366" s="39"/>
      <c r="BF366" s="39">
        <f>BE366-BC366</f>
        <v>0</v>
      </c>
      <c r="BG366" s="39"/>
      <c r="BH366" s="39"/>
      <c r="BI366" s="39"/>
      <c r="BJ366" s="39"/>
      <c r="BK366" s="39"/>
      <c r="BL366" s="39">
        <f>BK366-BI366</f>
        <v>0</v>
      </c>
      <c r="BM366" s="54" t="e">
        <f>IF((BZ366/L366)&lt;0.9,$CO$1-U366,"")</f>
        <v>#DIV/0!</v>
      </c>
      <c r="BN366" s="65"/>
      <c r="BO366" s="36"/>
      <c r="BP366" s="36"/>
      <c r="BQ366" s="36"/>
      <c r="BR366" s="40"/>
      <c r="BS366" s="40"/>
      <c r="BT366" s="39"/>
      <c r="BU366" s="39"/>
      <c r="BV366" s="39"/>
      <c r="BW366" s="39"/>
      <c r="BX366" s="39"/>
      <c r="BY366" s="39"/>
      <c r="BZ366" s="39">
        <f>BU366+BW366+BY366</f>
        <v>0</v>
      </c>
      <c r="CA366" s="39">
        <f>BU366-I366</f>
        <v>0</v>
      </c>
      <c r="CB366" s="39">
        <f>BW366-J366</f>
        <v>0</v>
      </c>
      <c r="CC366" s="39">
        <f>BY366-K366</f>
        <v>0</v>
      </c>
      <c r="CD366" s="39">
        <f>SUMIF(CA366:CC366,"&lt;0")</f>
        <v>0</v>
      </c>
      <c r="CE366" s="47" t="e">
        <f>CD366/L366</f>
        <v>#DIV/0!</v>
      </c>
      <c r="CF366" s="36"/>
      <c r="CG366" s="39"/>
      <c r="CH366" s="39"/>
      <c r="CI366" s="25">
        <v>2</v>
      </c>
    </row>
    <row r="367" spans="1:88" ht="24.75" customHeight="1">
      <c r="A367" s="36" t="s">
        <v>51</v>
      </c>
      <c r="B367" s="28"/>
      <c r="C367" s="41"/>
      <c r="D367" s="36"/>
      <c r="E367" s="39"/>
      <c r="F367" s="39"/>
      <c r="G367" s="36"/>
      <c r="H367" s="39"/>
      <c r="I367" s="39"/>
      <c r="J367" s="39"/>
      <c r="K367" s="39"/>
      <c r="L367" s="39">
        <f t="shared" si="352"/>
        <v>0</v>
      </c>
      <c r="M367" s="39"/>
      <c r="N367" s="39"/>
      <c r="O367" s="39"/>
      <c r="P367" s="39"/>
      <c r="Q367" s="39"/>
      <c r="R367" s="39">
        <f t="shared" ref="R367:R458" si="403">SUM(O367:Q367)</f>
        <v>0</v>
      </c>
      <c r="S367" s="39"/>
      <c r="T367" s="39"/>
      <c r="U367" s="39"/>
      <c r="V367" s="39"/>
      <c r="W367" s="39"/>
      <c r="X367" s="39"/>
      <c r="Y367" s="39"/>
      <c r="Z367" s="39"/>
      <c r="AA367" s="39"/>
      <c r="AB367" s="39">
        <f t="shared" ref="AB367:AB458" si="404">SUM(Y367:AA367)</f>
        <v>0</v>
      </c>
      <c r="AC367" s="39"/>
      <c r="AD367" s="39"/>
      <c r="AE367" s="39"/>
      <c r="AF367" s="39"/>
      <c r="AG367" s="39"/>
      <c r="AH367" s="39">
        <f t="shared" si="3"/>
        <v>0</v>
      </c>
      <c r="AI367" s="39"/>
      <c r="AJ367" s="39"/>
      <c r="AK367" s="39"/>
      <c r="AL367" s="39"/>
      <c r="AM367" s="39"/>
      <c r="AN367" s="39">
        <f t="shared" ref="AN367:AN582" si="405">AM367-AK367</f>
        <v>0</v>
      </c>
      <c r="AO367" s="39"/>
      <c r="AP367" s="39"/>
      <c r="AQ367" s="39"/>
      <c r="AR367" s="39"/>
      <c r="AS367" s="39"/>
      <c r="AT367" s="39">
        <f t="shared" si="5"/>
        <v>0</v>
      </c>
      <c r="AU367" s="39"/>
      <c r="AV367" s="39"/>
      <c r="AW367" s="39"/>
      <c r="AX367" s="39"/>
      <c r="AY367" s="39"/>
      <c r="AZ367" s="39">
        <f t="shared" si="6"/>
        <v>0</v>
      </c>
      <c r="BA367" s="39"/>
      <c r="BB367" s="39"/>
      <c r="BC367" s="39"/>
      <c r="BD367" s="39"/>
      <c r="BE367" s="39"/>
      <c r="BF367" s="39">
        <f t="shared" si="7"/>
        <v>0</v>
      </c>
      <c r="BG367" s="39"/>
      <c r="BH367" s="39"/>
      <c r="BI367" s="39"/>
      <c r="BJ367" s="39"/>
      <c r="BK367" s="39"/>
      <c r="BL367" s="39">
        <f t="shared" si="8"/>
        <v>0</v>
      </c>
      <c r="BM367" s="54" t="e">
        <f t="shared" si="9"/>
        <v>#DIV/0!</v>
      </c>
      <c r="BN367" s="65"/>
      <c r="BO367" s="36"/>
      <c r="BP367" s="36"/>
      <c r="BQ367" s="36"/>
      <c r="BR367" s="40"/>
      <c r="BS367" s="40"/>
      <c r="BT367" s="39"/>
      <c r="BU367" s="39"/>
      <c r="BV367" s="39"/>
      <c r="BW367" s="39"/>
      <c r="BX367" s="39"/>
      <c r="BY367" s="39"/>
      <c r="BZ367" s="39">
        <f t="shared" si="10"/>
        <v>0</v>
      </c>
      <c r="CA367" s="39">
        <f t="shared" si="11"/>
        <v>0</v>
      </c>
      <c r="CB367" s="39">
        <f t="shared" si="12"/>
        <v>0</v>
      </c>
      <c r="CC367" s="39">
        <f t="shared" si="13"/>
        <v>0</v>
      </c>
      <c r="CD367" s="39">
        <f t="shared" si="14"/>
        <v>0</v>
      </c>
      <c r="CE367" s="47" t="e">
        <f t="shared" si="15"/>
        <v>#DIV/0!</v>
      </c>
      <c r="CF367" s="36"/>
      <c r="CG367" s="39"/>
      <c r="CH367" s="39"/>
      <c r="CI367" s="25">
        <v>2</v>
      </c>
    </row>
    <row r="368" spans="1:88" ht="24.75" customHeight="1">
      <c r="A368" s="36" t="s">
        <v>51</v>
      </c>
      <c r="B368" s="28" t="s">
        <v>900</v>
      </c>
      <c r="C368" s="235" t="s">
        <v>723</v>
      </c>
      <c r="D368" s="36" t="s">
        <v>45</v>
      </c>
      <c r="E368" s="39">
        <v>340</v>
      </c>
      <c r="F368" s="39" t="s">
        <v>55</v>
      </c>
      <c r="G368" s="36" t="s">
        <v>901</v>
      </c>
      <c r="H368" s="36" t="s">
        <v>362</v>
      </c>
      <c r="I368" s="39">
        <v>1178</v>
      </c>
      <c r="J368" s="39">
        <v>282</v>
      </c>
      <c r="K368" s="39">
        <v>10</v>
      </c>
      <c r="L368" s="39">
        <f t="shared" ref="L368:L372" si="406">SUM(I368:K368)</f>
        <v>1470</v>
      </c>
      <c r="M368" s="117">
        <v>46181</v>
      </c>
      <c r="N368" s="117">
        <v>46193</v>
      </c>
      <c r="O368" s="39"/>
      <c r="P368" s="39"/>
      <c r="Q368" s="39"/>
      <c r="R368" s="39">
        <f t="shared" si="403"/>
        <v>0</v>
      </c>
      <c r="S368" s="39" t="s">
        <v>130</v>
      </c>
      <c r="T368" s="39" t="s">
        <v>1435</v>
      </c>
      <c r="U368" s="117">
        <v>46210</v>
      </c>
      <c r="V368" s="39"/>
      <c r="W368" s="39"/>
      <c r="X368" s="39"/>
      <c r="Y368" s="39">
        <f>818+548</f>
        <v>1366</v>
      </c>
      <c r="Z368" s="39">
        <f>188+128</f>
        <v>316</v>
      </c>
      <c r="AA368" s="39">
        <v>15</v>
      </c>
      <c r="AB368" s="119">
        <f t="shared" si="404"/>
        <v>1697</v>
      </c>
      <c r="AC368" s="39"/>
      <c r="AD368" s="39"/>
      <c r="AE368" s="39"/>
      <c r="AF368" s="39"/>
      <c r="AG368" s="39"/>
      <c r="AH368" s="39">
        <f t="shared" si="3"/>
        <v>0</v>
      </c>
      <c r="AI368" s="39"/>
      <c r="AJ368" s="39"/>
      <c r="AK368" s="39"/>
      <c r="AL368" s="39"/>
      <c r="AM368" s="39"/>
      <c r="AN368" s="39">
        <f t="shared" si="405"/>
        <v>0</v>
      </c>
      <c r="AO368" s="39" t="s">
        <v>280</v>
      </c>
      <c r="AP368" s="117" t="s">
        <v>1473</v>
      </c>
      <c r="AQ368" s="39">
        <f>757+500</f>
        <v>1257</v>
      </c>
      <c r="AR368" s="117" t="s">
        <v>1500</v>
      </c>
      <c r="AS368" s="39">
        <f>752+503</f>
        <v>1255</v>
      </c>
      <c r="AT368" s="39">
        <f t="shared" si="5"/>
        <v>-2</v>
      </c>
      <c r="AU368" s="39" t="s">
        <v>273</v>
      </c>
      <c r="AV368" s="117" t="s">
        <v>1500</v>
      </c>
      <c r="AW368" s="39">
        <f>752+503</f>
        <v>1255</v>
      </c>
      <c r="AX368" s="117" t="s">
        <v>1524</v>
      </c>
      <c r="AY368" s="39">
        <f>751+496</f>
        <v>1247</v>
      </c>
      <c r="AZ368" s="39">
        <f t="shared" si="6"/>
        <v>-8</v>
      </c>
      <c r="BA368" s="39"/>
      <c r="BB368" s="39"/>
      <c r="BC368" s="39"/>
      <c r="BD368" s="39"/>
      <c r="BE368" s="39"/>
      <c r="BF368" s="39">
        <f t="shared" si="7"/>
        <v>0</v>
      </c>
      <c r="BG368" s="39"/>
      <c r="BH368" s="39"/>
      <c r="BI368" s="39"/>
      <c r="BJ368" s="39"/>
      <c r="BK368" s="39"/>
      <c r="BL368" s="39">
        <f t="shared" si="8"/>
        <v>0</v>
      </c>
      <c r="BM368" s="54" t="str">
        <f t="shared" si="9"/>
        <v/>
      </c>
      <c r="BN368" s="62">
        <v>46195</v>
      </c>
      <c r="BO368" s="117">
        <v>46213</v>
      </c>
      <c r="BP368" s="39"/>
      <c r="BQ368" s="39"/>
      <c r="BR368" s="237">
        <v>46213</v>
      </c>
      <c r="BS368" s="237">
        <v>46232</v>
      </c>
      <c r="BT368" s="39" t="s">
        <v>2016</v>
      </c>
      <c r="BU368" s="39">
        <f>496+727</f>
        <v>1223</v>
      </c>
      <c r="BV368" s="39" t="s">
        <v>2036</v>
      </c>
      <c r="BW368" s="39">
        <f>108+170</f>
        <v>278</v>
      </c>
      <c r="BX368" s="39">
        <v>2029</v>
      </c>
      <c r="BY368" s="39">
        <v>13</v>
      </c>
      <c r="BZ368" s="39">
        <f t="shared" si="10"/>
        <v>1514</v>
      </c>
      <c r="CA368" s="39">
        <f t="shared" si="11"/>
        <v>45</v>
      </c>
      <c r="CB368" s="39">
        <f t="shared" si="12"/>
        <v>-4</v>
      </c>
      <c r="CC368" s="39">
        <f t="shared" si="13"/>
        <v>3</v>
      </c>
      <c r="CD368" s="39">
        <v>0</v>
      </c>
      <c r="CE368" s="102">
        <f t="shared" si="15"/>
        <v>0</v>
      </c>
      <c r="CF368" s="36" t="s">
        <v>292</v>
      </c>
      <c r="CG368" s="39" t="s">
        <v>230</v>
      </c>
      <c r="CH368" s="39"/>
      <c r="CI368" s="25">
        <v>3</v>
      </c>
    </row>
    <row r="369" spans="1:87" ht="24.75" customHeight="1">
      <c r="A369" s="36" t="s">
        <v>51</v>
      </c>
      <c r="B369" s="28" t="s">
        <v>900</v>
      </c>
      <c r="C369" s="240"/>
      <c r="D369" s="36" t="s">
        <v>45</v>
      </c>
      <c r="E369" s="39">
        <v>340</v>
      </c>
      <c r="F369" s="39" t="s">
        <v>55</v>
      </c>
      <c r="G369" s="36" t="s">
        <v>902</v>
      </c>
      <c r="H369" s="36" t="s">
        <v>362</v>
      </c>
      <c r="I369" s="39">
        <v>1178</v>
      </c>
      <c r="J369" s="39">
        <v>282</v>
      </c>
      <c r="K369" s="39">
        <v>10</v>
      </c>
      <c r="L369" s="39">
        <f t="shared" si="406"/>
        <v>1470</v>
      </c>
      <c r="M369" s="117">
        <v>46181</v>
      </c>
      <c r="N369" s="117">
        <v>46193</v>
      </c>
      <c r="O369" s="39"/>
      <c r="P369" s="39"/>
      <c r="Q369" s="39"/>
      <c r="R369" s="39">
        <f t="shared" si="403"/>
        <v>0</v>
      </c>
      <c r="S369" s="39" t="s">
        <v>130</v>
      </c>
      <c r="T369" s="39" t="s">
        <v>1361</v>
      </c>
      <c r="U369" s="117" t="s">
        <v>1341</v>
      </c>
      <c r="V369" s="39"/>
      <c r="W369" s="39"/>
      <c r="X369" s="39"/>
      <c r="Y369" s="39">
        <f>440+927</f>
        <v>1367</v>
      </c>
      <c r="Z369" s="39">
        <f>100+218</f>
        <v>318</v>
      </c>
      <c r="AA369" s="39">
        <v>13</v>
      </c>
      <c r="AB369" s="119">
        <f t="shared" si="404"/>
        <v>1698</v>
      </c>
      <c r="AC369" s="39"/>
      <c r="AD369" s="39"/>
      <c r="AE369" s="39"/>
      <c r="AF369" s="39"/>
      <c r="AG369" s="39"/>
      <c r="AH369" s="39">
        <f t="shared" si="3"/>
        <v>0</v>
      </c>
      <c r="AI369" s="39"/>
      <c r="AJ369" s="39"/>
      <c r="AK369" s="39"/>
      <c r="AL369" s="39"/>
      <c r="AM369" s="39"/>
      <c r="AN369" s="39">
        <f t="shared" si="405"/>
        <v>0</v>
      </c>
      <c r="AO369" s="39" t="s">
        <v>584</v>
      </c>
      <c r="AP369" s="117" t="s">
        <v>1396</v>
      </c>
      <c r="AQ369" s="39">
        <f>410+860</f>
        <v>1270</v>
      </c>
      <c r="AR369" s="117" t="s">
        <v>1461</v>
      </c>
      <c r="AS369" s="39">
        <f>407+862</f>
        <v>1269</v>
      </c>
      <c r="AT369" s="39">
        <f t="shared" si="5"/>
        <v>-1</v>
      </c>
      <c r="AU369" s="39" t="s">
        <v>273</v>
      </c>
      <c r="AV369" s="117" t="s">
        <v>1462</v>
      </c>
      <c r="AW369" s="39">
        <f>410+862</f>
        <v>1272</v>
      </c>
      <c r="AX369" s="117" t="s">
        <v>1466</v>
      </c>
      <c r="AY369" s="39">
        <f>407+847</f>
        <v>1254</v>
      </c>
      <c r="AZ369" s="39">
        <f t="shared" si="6"/>
        <v>-18</v>
      </c>
      <c r="BA369" s="39"/>
      <c r="BB369" s="39"/>
      <c r="BC369" s="39"/>
      <c r="BD369" s="39"/>
      <c r="BE369" s="39"/>
      <c r="BF369" s="39">
        <f t="shared" si="7"/>
        <v>0</v>
      </c>
      <c r="BG369" s="39"/>
      <c r="BH369" s="39"/>
      <c r="BI369" s="39"/>
      <c r="BJ369" s="39"/>
      <c r="BK369" s="39"/>
      <c r="BL369" s="39">
        <f t="shared" si="8"/>
        <v>0</v>
      </c>
      <c r="BM369" s="54" t="str">
        <f t="shared" si="9"/>
        <v/>
      </c>
      <c r="BN369" s="62">
        <v>46195</v>
      </c>
      <c r="BO369" s="117">
        <v>46213</v>
      </c>
      <c r="BP369" s="39"/>
      <c r="BQ369" s="39"/>
      <c r="BR369" s="238"/>
      <c r="BS369" s="238"/>
      <c r="BT369" s="39" t="s">
        <v>1689</v>
      </c>
      <c r="BU369" s="39">
        <f>825+410</f>
        <v>1235</v>
      </c>
      <c r="BV369" s="39" t="s">
        <v>1967</v>
      </c>
      <c r="BW369" s="39">
        <f>97+200</f>
        <v>297</v>
      </c>
      <c r="BX369" s="39">
        <v>2029</v>
      </c>
      <c r="BY369" s="39">
        <v>12</v>
      </c>
      <c r="BZ369" s="39">
        <f t="shared" si="10"/>
        <v>1544</v>
      </c>
      <c r="CA369" s="39">
        <f t="shared" si="11"/>
        <v>57</v>
      </c>
      <c r="CB369" s="39">
        <f t="shared" si="12"/>
        <v>15</v>
      </c>
      <c r="CC369" s="39">
        <f t="shared" si="13"/>
        <v>2</v>
      </c>
      <c r="CD369" s="39">
        <f t="shared" si="14"/>
        <v>0</v>
      </c>
      <c r="CE369" s="102">
        <f t="shared" si="15"/>
        <v>0</v>
      </c>
      <c r="CF369" s="36" t="s">
        <v>292</v>
      </c>
      <c r="CG369" s="39" t="s">
        <v>230</v>
      </c>
      <c r="CH369" s="39"/>
      <c r="CI369" s="25">
        <v>3</v>
      </c>
    </row>
    <row r="370" spans="1:87" ht="24.75" customHeight="1">
      <c r="A370" s="36" t="s">
        <v>51</v>
      </c>
      <c r="B370" s="28" t="s">
        <v>900</v>
      </c>
      <c r="C370" s="240"/>
      <c r="D370" s="36" t="s">
        <v>45</v>
      </c>
      <c r="E370" s="39">
        <v>340</v>
      </c>
      <c r="F370" s="39" t="s">
        <v>55</v>
      </c>
      <c r="G370" s="36" t="s">
        <v>903</v>
      </c>
      <c r="H370" s="36" t="s">
        <v>362</v>
      </c>
      <c r="I370" s="39">
        <v>1178</v>
      </c>
      <c r="J370" s="39">
        <v>282</v>
      </c>
      <c r="K370" s="39">
        <v>10</v>
      </c>
      <c r="L370" s="39">
        <f t="shared" si="406"/>
        <v>1470</v>
      </c>
      <c r="M370" s="117">
        <v>46181</v>
      </c>
      <c r="N370" s="117">
        <v>46193</v>
      </c>
      <c r="O370" s="39"/>
      <c r="P370" s="39"/>
      <c r="Q370" s="39"/>
      <c r="R370" s="39">
        <f t="shared" si="403"/>
        <v>0</v>
      </c>
      <c r="S370" s="39" t="s">
        <v>130</v>
      </c>
      <c r="T370" s="39" t="s">
        <v>1471</v>
      </c>
      <c r="U370" s="117">
        <v>46211</v>
      </c>
      <c r="V370" s="39"/>
      <c r="W370" s="39"/>
      <c r="X370" s="39"/>
      <c r="Y370" s="39">
        <f>871+505</f>
        <v>1376</v>
      </c>
      <c r="Z370" s="39">
        <f>193+123</f>
        <v>316</v>
      </c>
      <c r="AA370" s="39">
        <v>13</v>
      </c>
      <c r="AB370" s="119">
        <f t="shared" si="404"/>
        <v>1705</v>
      </c>
      <c r="AC370" s="39"/>
      <c r="AD370" s="39"/>
      <c r="AE370" s="39"/>
      <c r="AF370" s="39"/>
      <c r="AG370" s="39"/>
      <c r="AH370" s="39">
        <f t="shared" si="3"/>
        <v>0</v>
      </c>
      <c r="AI370" s="39"/>
      <c r="AJ370" s="39"/>
      <c r="AK370" s="39"/>
      <c r="AL370" s="39"/>
      <c r="AM370" s="39"/>
      <c r="AN370" s="39">
        <f t="shared" si="405"/>
        <v>0</v>
      </c>
      <c r="AO370" s="39" t="s">
        <v>256</v>
      </c>
      <c r="AP370" s="117">
        <v>46213</v>
      </c>
      <c r="AQ370" s="39">
        <f>815+400</f>
        <v>1215</v>
      </c>
      <c r="AR370" s="117">
        <v>46217</v>
      </c>
      <c r="AS370" s="39">
        <f>400+815</f>
        <v>1215</v>
      </c>
      <c r="AT370" s="39">
        <f t="shared" si="5"/>
        <v>0</v>
      </c>
      <c r="AU370" s="39" t="s">
        <v>257</v>
      </c>
      <c r="AV370" s="117">
        <v>46217</v>
      </c>
      <c r="AW370" s="39">
        <f>400+815</f>
        <v>1215</v>
      </c>
      <c r="AX370" s="117" t="s">
        <v>1653</v>
      </c>
      <c r="AY370" s="39">
        <f>393+802</f>
        <v>1195</v>
      </c>
      <c r="AZ370" s="39">
        <f t="shared" si="6"/>
        <v>-20</v>
      </c>
      <c r="BA370" s="39"/>
      <c r="BB370" s="39"/>
      <c r="BC370" s="39"/>
      <c r="BD370" s="39"/>
      <c r="BE370" s="39"/>
      <c r="BF370" s="39">
        <f t="shared" si="7"/>
        <v>0</v>
      </c>
      <c r="BG370" s="39"/>
      <c r="BH370" s="39"/>
      <c r="BI370" s="39"/>
      <c r="BJ370" s="39"/>
      <c r="BK370" s="39"/>
      <c r="BL370" s="39">
        <f t="shared" si="8"/>
        <v>0</v>
      </c>
      <c r="BM370" s="54" t="str">
        <f t="shared" si="9"/>
        <v/>
      </c>
      <c r="BN370" s="62">
        <v>46195</v>
      </c>
      <c r="BO370" s="117">
        <v>46213</v>
      </c>
      <c r="BP370" s="39"/>
      <c r="BQ370" s="39"/>
      <c r="BR370" s="238"/>
      <c r="BS370" s="238"/>
      <c r="BT370" s="39" t="s">
        <v>1853</v>
      </c>
      <c r="BU370" s="39">
        <f>447+793</f>
        <v>1240</v>
      </c>
      <c r="BV370" s="39" t="s">
        <v>1868</v>
      </c>
      <c r="BW370" s="39">
        <f>117+177</f>
        <v>294</v>
      </c>
      <c r="BX370" s="39">
        <v>1830</v>
      </c>
      <c r="BY370" s="39">
        <v>12</v>
      </c>
      <c r="BZ370" s="39">
        <f t="shared" si="10"/>
        <v>1546</v>
      </c>
      <c r="CA370" s="39">
        <f t="shared" si="11"/>
        <v>62</v>
      </c>
      <c r="CB370" s="39">
        <f t="shared" si="12"/>
        <v>12</v>
      </c>
      <c r="CC370" s="39">
        <f t="shared" si="13"/>
        <v>2</v>
      </c>
      <c r="CD370" s="39">
        <f t="shared" si="14"/>
        <v>0</v>
      </c>
      <c r="CE370" s="102">
        <f t="shared" si="15"/>
        <v>0</v>
      </c>
      <c r="CF370" s="36" t="s">
        <v>292</v>
      </c>
      <c r="CG370" s="39" t="s">
        <v>230</v>
      </c>
      <c r="CH370" s="39"/>
      <c r="CI370" s="25">
        <v>3</v>
      </c>
    </row>
    <row r="371" spans="1:87" ht="24.75" customHeight="1">
      <c r="A371" s="36" t="s">
        <v>51</v>
      </c>
      <c r="B371" s="28" t="s">
        <v>900</v>
      </c>
      <c r="C371" s="236"/>
      <c r="D371" s="36" t="s">
        <v>45</v>
      </c>
      <c r="E371" s="39">
        <v>340</v>
      </c>
      <c r="F371" s="39" t="s">
        <v>55</v>
      </c>
      <c r="G371" s="36" t="s">
        <v>904</v>
      </c>
      <c r="H371" s="36" t="s">
        <v>362</v>
      </c>
      <c r="I371" s="39">
        <v>1178</v>
      </c>
      <c r="J371" s="39">
        <v>282</v>
      </c>
      <c r="K371" s="39">
        <v>10</v>
      </c>
      <c r="L371" s="39">
        <f t="shared" si="406"/>
        <v>1470</v>
      </c>
      <c r="M371" s="117">
        <v>46181</v>
      </c>
      <c r="N371" s="117">
        <v>46193</v>
      </c>
      <c r="O371" s="39"/>
      <c r="P371" s="39"/>
      <c r="Q371" s="39"/>
      <c r="R371" s="39">
        <f t="shared" si="403"/>
        <v>0</v>
      </c>
      <c r="S371" s="39" t="s">
        <v>130</v>
      </c>
      <c r="T371" s="39" t="s">
        <v>1661</v>
      </c>
      <c r="U371" s="117" t="s">
        <v>1662</v>
      </c>
      <c r="V371" s="39"/>
      <c r="W371" s="39"/>
      <c r="X371" s="39"/>
      <c r="Y371" s="39">
        <f>245+785+333</f>
        <v>1363</v>
      </c>
      <c r="Z371" s="39">
        <f>59+185+75</f>
        <v>319</v>
      </c>
      <c r="AA371" s="39">
        <f>13</f>
        <v>13</v>
      </c>
      <c r="AB371" s="119">
        <f t="shared" si="404"/>
        <v>1695</v>
      </c>
      <c r="AC371" s="39"/>
      <c r="AD371" s="39"/>
      <c r="AE371" s="39"/>
      <c r="AF371" s="39"/>
      <c r="AG371" s="39"/>
      <c r="AH371" s="39">
        <f t="shared" si="3"/>
        <v>0</v>
      </c>
      <c r="AI371" s="39"/>
      <c r="AJ371" s="39"/>
      <c r="AK371" s="39"/>
      <c r="AL371" s="39"/>
      <c r="AM371" s="39"/>
      <c r="AN371" s="39">
        <f t="shared" si="405"/>
        <v>0</v>
      </c>
      <c r="AO371" s="39" t="s">
        <v>280</v>
      </c>
      <c r="AP371" s="117" t="s">
        <v>1684</v>
      </c>
      <c r="AQ371" s="39">
        <f>235+731+283</f>
        <v>1249</v>
      </c>
      <c r="AR371" s="117" t="s">
        <v>1712</v>
      </c>
      <c r="AS371" s="39">
        <f>225+728+295</f>
        <v>1248</v>
      </c>
      <c r="AT371" s="39">
        <f t="shared" si="5"/>
        <v>-1</v>
      </c>
      <c r="AU371" s="39" t="s">
        <v>274</v>
      </c>
      <c r="AV371" s="117" t="s">
        <v>1712</v>
      </c>
      <c r="AW371" s="39">
        <f>225+728+295</f>
        <v>1248</v>
      </c>
      <c r="AX371" s="117" t="s">
        <v>1809</v>
      </c>
      <c r="AY371" s="39">
        <f>219+723+288</f>
        <v>1230</v>
      </c>
      <c r="AZ371" s="39">
        <f t="shared" si="6"/>
        <v>-18</v>
      </c>
      <c r="BA371" s="39"/>
      <c r="BB371" s="39"/>
      <c r="BC371" s="39"/>
      <c r="BD371" s="39"/>
      <c r="BE371" s="39"/>
      <c r="BF371" s="39">
        <f t="shared" si="7"/>
        <v>0</v>
      </c>
      <c r="BG371" s="39"/>
      <c r="BH371" s="39"/>
      <c r="BI371" s="39"/>
      <c r="BJ371" s="39"/>
      <c r="BK371" s="39"/>
      <c r="BL371" s="39">
        <f t="shared" si="8"/>
        <v>0</v>
      </c>
      <c r="BM371" s="54" t="str">
        <f t="shared" si="9"/>
        <v/>
      </c>
      <c r="BN371" s="62">
        <v>46195</v>
      </c>
      <c r="BO371" s="117">
        <v>46213</v>
      </c>
      <c r="BP371" s="39"/>
      <c r="BQ371" s="39"/>
      <c r="BR371" s="239"/>
      <c r="BS371" s="239"/>
      <c r="BT371" s="39" t="s">
        <v>2017</v>
      </c>
      <c r="BU371" s="39">
        <f>106+465+204+25+114+293</f>
        <v>1207</v>
      </c>
      <c r="BV371" s="39" t="s">
        <v>2036</v>
      </c>
      <c r="BW371" s="39">
        <f>51+68+171</f>
        <v>290</v>
      </c>
      <c r="BX371" s="39">
        <v>2029</v>
      </c>
      <c r="BY371" s="39">
        <v>10</v>
      </c>
      <c r="BZ371" s="39">
        <f t="shared" si="10"/>
        <v>1507</v>
      </c>
      <c r="CA371" s="39">
        <f t="shared" si="11"/>
        <v>29</v>
      </c>
      <c r="CB371" s="39">
        <f t="shared" si="12"/>
        <v>8</v>
      </c>
      <c r="CC371" s="39">
        <f t="shared" si="13"/>
        <v>0</v>
      </c>
      <c r="CD371" s="39">
        <f t="shared" si="14"/>
        <v>0</v>
      </c>
      <c r="CE371" s="102">
        <f t="shared" si="15"/>
        <v>0</v>
      </c>
      <c r="CF371" s="36" t="s">
        <v>292</v>
      </c>
      <c r="CG371" s="39" t="s">
        <v>230</v>
      </c>
      <c r="CH371" s="39" t="s">
        <v>543</v>
      </c>
      <c r="CI371" s="25">
        <v>3</v>
      </c>
    </row>
    <row r="372" spans="1:87" ht="33.75" customHeight="1">
      <c r="A372" s="36" t="s">
        <v>51</v>
      </c>
      <c r="B372" s="28" t="s">
        <v>905</v>
      </c>
      <c r="C372" s="41" t="s">
        <v>485</v>
      </c>
      <c r="D372" s="36" t="s">
        <v>45</v>
      </c>
      <c r="E372" s="39">
        <v>340</v>
      </c>
      <c r="F372" s="39" t="s">
        <v>55</v>
      </c>
      <c r="G372" s="36" t="s">
        <v>902</v>
      </c>
      <c r="H372" s="36" t="s">
        <v>362</v>
      </c>
      <c r="I372" s="39">
        <v>1302</v>
      </c>
      <c r="J372" s="39">
        <v>251</v>
      </c>
      <c r="K372" s="39">
        <v>16</v>
      </c>
      <c r="L372" s="39">
        <f t="shared" si="406"/>
        <v>1569</v>
      </c>
      <c r="M372" s="117">
        <v>46183</v>
      </c>
      <c r="N372" s="117">
        <v>46190</v>
      </c>
      <c r="O372" s="39"/>
      <c r="P372" s="39"/>
      <c r="Q372" s="39"/>
      <c r="R372" s="39">
        <f t="shared" si="403"/>
        <v>0</v>
      </c>
      <c r="S372" s="39" t="s">
        <v>130</v>
      </c>
      <c r="T372" s="39" t="s">
        <v>1276</v>
      </c>
      <c r="U372" s="117" t="s">
        <v>1256</v>
      </c>
      <c r="V372" s="39"/>
      <c r="W372" s="39"/>
      <c r="X372" s="39"/>
      <c r="Y372" s="39">
        <f>973+539</f>
        <v>1512</v>
      </c>
      <c r="Z372" s="39">
        <f>184+98</f>
        <v>282</v>
      </c>
      <c r="AA372" s="39">
        <v>20</v>
      </c>
      <c r="AB372" s="119">
        <f t="shared" si="404"/>
        <v>1814</v>
      </c>
      <c r="AC372" s="39"/>
      <c r="AD372" s="39"/>
      <c r="AE372" s="39"/>
      <c r="AF372" s="39"/>
      <c r="AG372" s="39"/>
      <c r="AH372" s="39">
        <f t="shared" si="3"/>
        <v>0</v>
      </c>
      <c r="AI372" s="39"/>
      <c r="AJ372" s="39"/>
      <c r="AK372" s="39"/>
      <c r="AL372" s="39"/>
      <c r="AM372" s="39"/>
      <c r="AN372" s="39">
        <f t="shared" si="405"/>
        <v>0</v>
      </c>
      <c r="AO372" s="39" t="s">
        <v>558</v>
      </c>
      <c r="AP372" s="117" t="s">
        <v>1274</v>
      </c>
      <c r="AQ372" s="39">
        <f>905+504</f>
        <v>1409</v>
      </c>
      <c r="AR372" s="117" t="s">
        <v>1362</v>
      </c>
      <c r="AS372" s="39">
        <f>503+906</f>
        <v>1409</v>
      </c>
      <c r="AT372" s="39">
        <f t="shared" si="5"/>
        <v>0</v>
      </c>
      <c r="AU372" s="39" t="s">
        <v>273</v>
      </c>
      <c r="AV372" s="117" t="s">
        <v>1363</v>
      </c>
      <c r="AW372" s="39">
        <f>504+906</f>
        <v>1410</v>
      </c>
      <c r="AX372" s="117" t="s">
        <v>1384</v>
      </c>
      <c r="AY372" s="39">
        <f>503+891</f>
        <v>1394</v>
      </c>
      <c r="AZ372" s="39">
        <f t="shared" si="6"/>
        <v>-16</v>
      </c>
      <c r="BA372" s="39"/>
      <c r="BB372" s="39"/>
      <c r="BC372" s="39"/>
      <c r="BD372" s="39"/>
      <c r="BE372" s="39"/>
      <c r="BF372" s="39">
        <f t="shared" si="7"/>
        <v>0</v>
      </c>
      <c r="BG372" s="39"/>
      <c r="BH372" s="39"/>
      <c r="BI372" s="39"/>
      <c r="BJ372" s="39"/>
      <c r="BK372" s="39"/>
      <c r="BL372" s="39">
        <f t="shared" si="8"/>
        <v>0</v>
      </c>
      <c r="BM372" s="54" t="str">
        <f t="shared" si="9"/>
        <v/>
      </c>
      <c r="BN372" s="62">
        <v>46195</v>
      </c>
      <c r="BO372" s="117">
        <v>46209</v>
      </c>
      <c r="BP372" s="39"/>
      <c r="BQ372" s="39"/>
      <c r="BR372" s="50">
        <v>46212</v>
      </c>
      <c r="BS372" s="50">
        <v>46228</v>
      </c>
      <c r="BT372" s="39" t="s">
        <v>1691</v>
      </c>
      <c r="BU372" s="39">
        <f>854+482</f>
        <v>1336</v>
      </c>
      <c r="BV372" s="39" t="s">
        <v>1956</v>
      </c>
      <c r="BW372" s="39">
        <f>85+160</f>
        <v>245</v>
      </c>
      <c r="BX372" s="39">
        <v>1593</v>
      </c>
      <c r="BY372" s="39">
        <v>18</v>
      </c>
      <c r="BZ372" s="39">
        <f t="shared" si="10"/>
        <v>1599</v>
      </c>
      <c r="CA372" s="39">
        <f t="shared" si="11"/>
        <v>34</v>
      </c>
      <c r="CB372" s="39">
        <f t="shared" si="12"/>
        <v>-6</v>
      </c>
      <c r="CC372" s="39">
        <f t="shared" si="13"/>
        <v>2</v>
      </c>
      <c r="CD372" s="39">
        <v>0</v>
      </c>
      <c r="CE372" s="102">
        <f t="shared" si="15"/>
        <v>0</v>
      </c>
      <c r="CF372" s="36" t="s">
        <v>292</v>
      </c>
      <c r="CG372" s="39" t="s">
        <v>230</v>
      </c>
      <c r="CH372" s="39"/>
      <c r="CI372" s="25">
        <v>3</v>
      </c>
    </row>
    <row r="373" spans="1:87" ht="24.75" customHeight="1">
      <c r="A373" s="36" t="s">
        <v>51</v>
      </c>
      <c r="B373" s="28">
        <v>47873</v>
      </c>
      <c r="C373" s="235">
        <v>22041181</v>
      </c>
      <c r="D373" s="36" t="s">
        <v>45</v>
      </c>
      <c r="E373" s="39">
        <v>280</v>
      </c>
      <c r="F373" s="39" t="s">
        <v>58</v>
      </c>
      <c r="G373" s="36" t="s">
        <v>374</v>
      </c>
      <c r="H373" s="36" t="s">
        <v>362</v>
      </c>
      <c r="I373" s="39">
        <v>266</v>
      </c>
      <c r="J373" s="39">
        <v>78</v>
      </c>
      <c r="K373" s="39">
        <v>5</v>
      </c>
      <c r="L373" s="39">
        <f t="shared" si="352"/>
        <v>349</v>
      </c>
      <c r="M373" s="117">
        <v>46186</v>
      </c>
      <c r="N373" s="117">
        <v>46193</v>
      </c>
      <c r="O373" s="39"/>
      <c r="P373" s="39"/>
      <c r="Q373" s="39"/>
      <c r="R373" s="39">
        <f t="shared" si="403"/>
        <v>0</v>
      </c>
      <c r="S373" s="39" t="s">
        <v>270</v>
      </c>
      <c r="T373" s="39">
        <v>107893</v>
      </c>
      <c r="U373" s="117">
        <v>46221</v>
      </c>
      <c r="V373" s="117">
        <v>46196</v>
      </c>
      <c r="W373" s="39">
        <f>312+93+8</f>
        <v>413</v>
      </c>
      <c r="X373" s="117">
        <v>46214</v>
      </c>
      <c r="Y373" s="39">
        <v>295</v>
      </c>
      <c r="Z373" s="39">
        <v>93</v>
      </c>
      <c r="AA373" s="39">
        <v>8</v>
      </c>
      <c r="AB373" s="119">
        <f t="shared" si="404"/>
        <v>396</v>
      </c>
      <c r="AC373" s="39"/>
      <c r="AD373" s="39"/>
      <c r="AE373" s="39"/>
      <c r="AF373" s="39"/>
      <c r="AG373" s="39"/>
      <c r="AH373" s="39">
        <f t="shared" si="3"/>
        <v>0</v>
      </c>
      <c r="AI373" s="39"/>
      <c r="AJ373" s="39"/>
      <c r="AK373" s="39"/>
      <c r="AL373" s="39"/>
      <c r="AM373" s="39"/>
      <c r="AN373" s="39">
        <f t="shared" si="405"/>
        <v>0</v>
      </c>
      <c r="AO373" s="39" t="s">
        <v>280</v>
      </c>
      <c r="AP373" s="117">
        <v>46216</v>
      </c>
      <c r="AQ373" s="39">
        <v>296</v>
      </c>
      <c r="AR373" s="117">
        <v>46217</v>
      </c>
      <c r="AS373" s="39">
        <v>293</v>
      </c>
      <c r="AT373" s="39">
        <f t="shared" si="5"/>
        <v>-3</v>
      </c>
      <c r="AU373" s="39" t="s">
        <v>257</v>
      </c>
      <c r="AV373" s="117">
        <v>46217</v>
      </c>
      <c r="AW373" s="39">
        <v>293</v>
      </c>
      <c r="AX373" s="117">
        <v>46218</v>
      </c>
      <c r="AY373" s="39">
        <v>288</v>
      </c>
      <c r="AZ373" s="39">
        <f t="shared" si="6"/>
        <v>-5</v>
      </c>
      <c r="BA373" s="39"/>
      <c r="BB373" s="39"/>
      <c r="BC373" s="39"/>
      <c r="BD373" s="39"/>
      <c r="BE373" s="39"/>
      <c r="BF373" s="39">
        <f t="shared" si="7"/>
        <v>0</v>
      </c>
      <c r="BG373" s="39"/>
      <c r="BH373" s="39"/>
      <c r="BI373" s="39"/>
      <c r="BJ373" s="39"/>
      <c r="BK373" s="39"/>
      <c r="BL373" s="39">
        <f t="shared" si="8"/>
        <v>0</v>
      </c>
      <c r="BM373" s="54" t="str">
        <f t="shared" si="9"/>
        <v/>
      </c>
      <c r="BN373" s="62">
        <v>46194</v>
      </c>
      <c r="BO373" s="117">
        <v>46206</v>
      </c>
      <c r="BP373" s="39"/>
      <c r="BQ373" s="39"/>
      <c r="BR373" s="237">
        <v>46219</v>
      </c>
      <c r="BS373" s="237">
        <v>46221</v>
      </c>
      <c r="BT373" s="39">
        <v>1810</v>
      </c>
      <c r="BU373" s="39">
        <v>277</v>
      </c>
      <c r="BV373" s="39">
        <v>2033</v>
      </c>
      <c r="BW373" s="39">
        <v>85</v>
      </c>
      <c r="BX373" s="39">
        <v>2033</v>
      </c>
      <c r="BY373" s="39">
        <v>8</v>
      </c>
      <c r="BZ373" s="39">
        <f t="shared" si="10"/>
        <v>370</v>
      </c>
      <c r="CA373" s="39">
        <f t="shared" si="11"/>
        <v>11</v>
      </c>
      <c r="CB373" s="39">
        <f t="shared" si="12"/>
        <v>7</v>
      </c>
      <c r="CC373" s="39">
        <f t="shared" si="13"/>
        <v>3</v>
      </c>
      <c r="CD373" s="39">
        <f t="shared" si="14"/>
        <v>0</v>
      </c>
      <c r="CE373" s="47">
        <f t="shared" si="15"/>
        <v>0</v>
      </c>
      <c r="CF373" s="36"/>
      <c r="CG373" s="39" t="s">
        <v>243</v>
      </c>
      <c r="CH373" s="39"/>
      <c r="CI373" s="25">
        <v>3</v>
      </c>
    </row>
    <row r="374" spans="1:87" ht="24.75" customHeight="1">
      <c r="A374" s="36" t="s">
        <v>51</v>
      </c>
      <c r="B374" s="28">
        <v>47873</v>
      </c>
      <c r="C374" s="236"/>
      <c r="D374" s="36" t="s">
        <v>45</v>
      </c>
      <c r="E374" s="39">
        <v>280</v>
      </c>
      <c r="F374" s="39" t="s">
        <v>58</v>
      </c>
      <c r="G374" s="36" t="s">
        <v>919</v>
      </c>
      <c r="H374" s="36" t="s">
        <v>362</v>
      </c>
      <c r="I374" s="39">
        <v>266</v>
      </c>
      <c r="J374" s="39">
        <v>78</v>
      </c>
      <c r="K374" s="39">
        <v>5</v>
      </c>
      <c r="L374" s="39">
        <f t="shared" si="352"/>
        <v>349</v>
      </c>
      <c r="M374" s="117">
        <v>46186</v>
      </c>
      <c r="N374" s="117">
        <v>46193</v>
      </c>
      <c r="O374" s="39"/>
      <c r="P374" s="39"/>
      <c r="Q374" s="39"/>
      <c r="R374" s="39">
        <f t="shared" ref="R374:R380" si="407">SUM(O374:Q374)</f>
        <v>0</v>
      </c>
      <c r="S374" s="39" t="s">
        <v>270</v>
      </c>
      <c r="T374" s="39"/>
      <c r="U374" s="39"/>
      <c r="V374" s="117">
        <v>46196</v>
      </c>
      <c r="W374" s="39">
        <f>311+93+5</f>
        <v>409</v>
      </c>
      <c r="X374" s="117" t="s">
        <v>1680</v>
      </c>
      <c r="Y374" s="39">
        <v>283</v>
      </c>
      <c r="Z374" s="39">
        <v>93</v>
      </c>
      <c r="AA374" s="39">
        <f>4+1</f>
        <v>5</v>
      </c>
      <c r="AB374" s="119">
        <f t="shared" ref="AB374:AB380" si="408">SUM(Y374:AA374)</f>
        <v>381</v>
      </c>
      <c r="AC374" s="39"/>
      <c r="AD374" s="39"/>
      <c r="AE374" s="39"/>
      <c r="AF374" s="39"/>
      <c r="AG374" s="39"/>
      <c r="AH374" s="39">
        <f t="shared" ref="AH374:AH380" si="409">AG374-AE374</f>
        <v>0</v>
      </c>
      <c r="AI374" s="39"/>
      <c r="AJ374" s="39"/>
      <c r="AK374" s="39"/>
      <c r="AL374" s="39"/>
      <c r="AM374" s="39"/>
      <c r="AN374" s="39">
        <f t="shared" ref="AN374:AN380" si="410">AM374-AK374</f>
        <v>0</v>
      </c>
      <c r="AO374" s="39" t="s">
        <v>280</v>
      </c>
      <c r="AP374" s="117">
        <v>46216</v>
      </c>
      <c r="AQ374" s="39">
        <v>284</v>
      </c>
      <c r="AR374" s="117">
        <v>46218</v>
      </c>
      <c r="AS374" s="39">
        <v>282</v>
      </c>
      <c r="AT374" s="39">
        <f t="shared" ref="AT374:AT380" si="411">AS374-AQ374</f>
        <v>-2</v>
      </c>
      <c r="AU374" s="39" t="s">
        <v>257</v>
      </c>
      <c r="AV374" s="117">
        <v>46218</v>
      </c>
      <c r="AW374" s="39">
        <v>282</v>
      </c>
      <c r="AX374" s="117">
        <v>46218</v>
      </c>
      <c r="AY374" s="39">
        <v>278</v>
      </c>
      <c r="AZ374" s="39">
        <f t="shared" ref="AZ374:AZ380" si="412">AY374-AW374</f>
        <v>-4</v>
      </c>
      <c r="BA374" s="39"/>
      <c r="BB374" s="39"/>
      <c r="BC374" s="39"/>
      <c r="BD374" s="39"/>
      <c r="BE374" s="39"/>
      <c r="BF374" s="39">
        <f t="shared" ref="BF374:BF380" si="413">BE374-BC374</f>
        <v>0</v>
      </c>
      <c r="BG374" s="39"/>
      <c r="BH374" s="39"/>
      <c r="BI374" s="39"/>
      <c r="BJ374" s="39"/>
      <c r="BK374" s="39"/>
      <c r="BL374" s="39">
        <f t="shared" ref="BL374:BL380" si="414">BK374-BI374</f>
        <v>0</v>
      </c>
      <c r="BM374" s="54" t="str">
        <f t="shared" ref="BM374:BM380" si="415">IF((BZ374/L374)&lt;0.9,$CO$1-U374,"")</f>
        <v/>
      </c>
      <c r="BN374" s="62">
        <v>46194</v>
      </c>
      <c r="BO374" s="117">
        <v>46206</v>
      </c>
      <c r="BP374" s="39"/>
      <c r="BQ374" s="39"/>
      <c r="BR374" s="239"/>
      <c r="BS374" s="239"/>
      <c r="BT374" s="39">
        <v>1810</v>
      </c>
      <c r="BU374" s="39">
        <v>266</v>
      </c>
      <c r="BV374" s="39">
        <v>1780</v>
      </c>
      <c r="BW374" s="39">
        <v>93</v>
      </c>
      <c r="BX374" s="39">
        <v>1780</v>
      </c>
      <c r="BY374" s="39">
        <f>4</f>
        <v>4</v>
      </c>
      <c r="BZ374" s="39">
        <f t="shared" si="10"/>
        <v>363</v>
      </c>
      <c r="CA374" s="39">
        <f t="shared" si="11"/>
        <v>0</v>
      </c>
      <c r="CB374" s="39">
        <f t="shared" si="12"/>
        <v>15</v>
      </c>
      <c r="CC374" s="39">
        <f t="shared" si="13"/>
        <v>-1</v>
      </c>
      <c r="CD374" s="39">
        <v>0</v>
      </c>
      <c r="CE374" s="47">
        <f t="shared" si="15"/>
        <v>0</v>
      </c>
      <c r="CF374" s="36"/>
      <c r="CG374" s="39" t="s">
        <v>243</v>
      </c>
      <c r="CH374" s="39"/>
      <c r="CI374" s="25">
        <v>3</v>
      </c>
    </row>
    <row r="375" spans="1:87" ht="24.75" customHeight="1">
      <c r="A375" s="36" t="s">
        <v>51</v>
      </c>
      <c r="B375" s="28" t="s">
        <v>1223</v>
      </c>
      <c r="C375" s="257" t="s">
        <v>1224</v>
      </c>
      <c r="D375" s="36"/>
      <c r="E375" s="39">
        <v>260</v>
      </c>
      <c r="F375" s="39" t="s">
        <v>55</v>
      </c>
      <c r="G375" s="36" t="s">
        <v>47</v>
      </c>
      <c r="H375" s="36" t="s">
        <v>96</v>
      </c>
      <c r="I375" s="39">
        <v>1842</v>
      </c>
      <c r="J375" s="39"/>
      <c r="K375" s="39"/>
      <c r="L375" s="39">
        <f t="shared" ref="L375:L380" si="416">SUM(I375:K375)</f>
        <v>1842</v>
      </c>
      <c r="M375" s="117">
        <v>46195</v>
      </c>
      <c r="N375" s="117">
        <v>46202</v>
      </c>
      <c r="O375" s="39"/>
      <c r="P375" s="39"/>
      <c r="Q375" s="39"/>
      <c r="R375" s="39">
        <f t="shared" si="407"/>
        <v>0</v>
      </c>
      <c r="S375" s="39" t="s">
        <v>130</v>
      </c>
      <c r="T375" s="39" t="s">
        <v>1438</v>
      </c>
      <c r="U375" s="117" t="s">
        <v>1414</v>
      </c>
      <c r="V375" s="39"/>
      <c r="W375" s="39"/>
      <c r="X375" s="39"/>
      <c r="Y375" s="39">
        <f>865+849+356</f>
        <v>2070</v>
      </c>
      <c r="Z375" s="39"/>
      <c r="AA375" s="39"/>
      <c r="AB375" s="119">
        <f t="shared" si="408"/>
        <v>2070</v>
      </c>
      <c r="AC375" s="39"/>
      <c r="AD375" s="39"/>
      <c r="AE375" s="39"/>
      <c r="AF375" s="39"/>
      <c r="AG375" s="39"/>
      <c r="AH375" s="39">
        <f t="shared" si="409"/>
        <v>0</v>
      </c>
      <c r="AI375" s="39"/>
      <c r="AJ375" s="39"/>
      <c r="AK375" s="39"/>
      <c r="AL375" s="39"/>
      <c r="AM375" s="39"/>
      <c r="AN375" s="39">
        <f t="shared" si="410"/>
        <v>0</v>
      </c>
      <c r="AO375" s="39"/>
      <c r="AP375" s="39"/>
      <c r="AQ375" s="39"/>
      <c r="AR375" s="39"/>
      <c r="AS375" s="39"/>
      <c r="AT375" s="39">
        <f t="shared" si="411"/>
        <v>0</v>
      </c>
      <c r="AU375" s="39"/>
      <c r="AV375" s="39"/>
      <c r="AW375" s="39"/>
      <c r="AX375" s="39"/>
      <c r="AY375" s="39"/>
      <c r="AZ375" s="39">
        <f t="shared" si="412"/>
        <v>0</v>
      </c>
      <c r="BA375" s="39"/>
      <c r="BB375" s="39"/>
      <c r="BC375" s="39"/>
      <c r="BD375" s="39"/>
      <c r="BE375" s="39"/>
      <c r="BF375" s="39">
        <f t="shared" si="413"/>
        <v>0</v>
      </c>
      <c r="BG375" s="39"/>
      <c r="BH375" s="39"/>
      <c r="BI375" s="39"/>
      <c r="BJ375" s="39"/>
      <c r="BK375" s="39"/>
      <c r="BL375" s="39">
        <f t="shared" si="414"/>
        <v>0</v>
      </c>
      <c r="BM375" s="54" t="str">
        <f t="shared" si="415"/>
        <v/>
      </c>
      <c r="BN375" s="62">
        <v>46202</v>
      </c>
      <c r="BO375" s="117">
        <v>46206</v>
      </c>
      <c r="BP375" s="39"/>
      <c r="BQ375" s="39"/>
      <c r="BR375" s="237">
        <v>46206</v>
      </c>
      <c r="BS375" s="255"/>
      <c r="BT375" s="39" t="s">
        <v>1509</v>
      </c>
      <c r="BU375" s="39">
        <f>738+760+320</f>
        <v>1818</v>
      </c>
      <c r="BV375" s="39"/>
      <c r="BW375" s="39"/>
      <c r="BX375" s="39"/>
      <c r="BY375" s="39"/>
      <c r="BZ375" s="39">
        <f t="shared" si="10"/>
        <v>1818</v>
      </c>
      <c r="CA375" s="39">
        <f t="shared" si="11"/>
        <v>-24</v>
      </c>
      <c r="CB375" s="39">
        <f t="shared" si="12"/>
        <v>0</v>
      </c>
      <c r="CC375" s="39">
        <f t="shared" si="13"/>
        <v>0</v>
      </c>
      <c r="CD375" s="39">
        <v>0</v>
      </c>
      <c r="CE375" s="102">
        <f t="shared" si="15"/>
        <v>0</v>
      </c>
      <c r="CF375" s="36"/>
      <c r="CG375" s="39" t="s">
        <v>243</v>
      </c>
      <c r="CH375" s="39" t="s">
        <v>1450</v>
      </c>
      <c r="CI375" s="25">
        <v>3</v>
      </c>
    </row>
    <row r="376" spans="1:87" ht="24.75" customHeight="1">
      <c r="A376" s="36" t="s">
        <v>51</v>
      </c>
      <c r="B376" s="28" t="s">
        <v>1223</v>
      </c>
      <c r="C376" s="258"/>
      <c r="D376" s="36"/>
      <c r="E376" s="39">
        <v>260</v>
      </c>
      <c r="F376" s="39" t="s">
        <v>55</v>
      </c>
      <c r="G376" s="36" t="s">
        <v>310</v>
      </c>
      <c r="H376" s="36" t="s">
        <v>96</v>
      </c>
      <c r="I376" s="39">
        <v>213</v>
      </c>
      <c r="J376" s="39"/>
      <c r="K376" s="39"/>
      <c r="L376" s="39">
        <f t="shared" si="416"/>
        <v>213</v>
      </c>
      <c r="M376" s="117">
        <v>46195</v>
      </c>
      <c r="N376" s="117">
        <v>46202</v>
      </c>
      <c r="O376" s="39"/>
      <c r="P376" s="39"/>
      <c r="Q376" s="39"/>
      <c r="R376" s="39">
        <f t="shared" si="407"/>
        <v>0</v>
      </c>
      <c r="S376" s="39" t="s">
        <v>130</v>
      </c>
      <c r="T376" s="39">
        <v>107587</v>
      </c>
      <c r="U376" s="117">
        <v>46211</v>
      </c>
      <c r="V376" s="39"/>
      <c r="W376" s="39"/>
      <c r="X376" s="39"/>
      <c r="Y376" s="39">
        <v>235</v>
      </c>
      <c r="Z376" s="39"/>
      <c r="AA376" s="39"/>
      <c r="AB376" s="119">
        <f t="shared" si="408"/>
        <v>235</v>
      </c>
      <c r="AC376" s="39"/>
      <c r="AD376" s="39"/>
      <c r="AE376" s="39"/>
      <c r="AF376" s="39"/>
      <c r="AG376" s="39"/>
      <c r="AH376" s="39">
        <f t="shared" si="409"/>
        <v>0</v>
      </c>
      <c r="AI376" s="39"/>
      <c r="AJ376" s="39"/>
      <c r="AK376" s="39"/>
      <c r="AL376" s="39"/>
      <c r="AM376" s="39"/>
      <c r="AN376" s="39">
        <f t="shared" si="410"/>
        <v>0</v>
      </c>
      <c r="AO376" s="39"/>
      <c r="AP376" s="39"/>
      <c r="AQ376" s="39"/>
      <c r="AR376" s="39"/>
      <c r="AS376" s="39"/>
      <c r="AT376" s="39">
        <f t="shared" si="411"/>
        <v>0</v>
      </c>
      <c r="AU376" s="39"/>
      <c r="AV376" s="39"/>
      <c r="AW376" s="39"/>
      <c r="AX376" s="39"/>
      <c r="AY376" s="39"/>
      <c r="AZ376" s="39">
        <f t="shared" si="412"/>
        <v>0</v>
      </c>
      <c r="BA376" s="39"/>
      <c r="BB376" s="39"/>
      <c r="BC376" s="39"/>
      <c r="BD376" s="39"/>
      <c r="BE376" s="39"/>
      <c r="BF376" s="39">
        <f t="shared" si="413"/>
        <v>0</v>
      </c>
      <c r="BG376" s="39"/>
      <c r="BH376" s="39"/>
      <c r="BI376" s="39"/>
      <c r="BJ376" s="39"/>
      <c r="BK376" s="39"/>
      <c r="BL376" s="39">
        <f t="shared" si="414"/>
        <v>0</v>
      </c>
      <c r="BM376" s="54" t="str">
        <f t="shared" si="415"/>
        <v/>
      </c>
      <c r="BN376" s="62">
        <v>46202</v>
      </c>
      <c r="BO376" s="117">
        <v>46206</v>
      </c>
      <c r="BP376" s="39"/>
      <c r="BQ376" s="39"/>
      <c r="BR376" s="238"/>
      <c r="BS376" s="238"/>
      <c r="BT376" s="39">
        <v>1590</v>
      </c>
      <c r="BU376" s="39">
        <v>215</v>
      </c>
      <c r="BV376" s="39"/>
      <c r="BW376" s="39"/>
      <c r="BX376" s="39"/>
      <c r="BY376" s="39"/>
      <c r="BZ376" s="39">
        <f t="shared" si="10"/>
        <v>215</v>
      </c>
      <c r="CA376" s="39">
        <f t="shared" si="11"/>
        <v>2</v>
      </c>
      <c r="CB376" s="39">
        <f t="shared" si="12"/>
        <v>0</v>
      </c>
      <c r="CC376" s="39">
        <f t="shared" si="13"/>
        <v>0</v>
      </c>
      <c r="CD376" s="39">
        <f t="shared" si="14"/>
        <v>0</v>
      </c>
      <c r="CE376" s="102">
        <f t="shared" si="15"/>
        <v>0</v>
      </c>
      <c r="CF376" s="36"/>
      <c r="CG376" s="39" t="s">
        <v>243</v>
      </c>
      <c r="CH376" s="39"/>
      <c r="CI376" s="25">
        <v>3</v>
      </c>
    </row>
    <row r="377" spans="1:87" ht="24.75" customHeight="1">
      <c r="A377" s="36" t="s">
        <v>51</v>
      </c>
      <c r="B377" s="28" t="s">
        <v>1223</v>
      </c>
      <c r="C377" s="258"/>
      <c r="D377" s="36"/>
      <c r="E377" s="39">
        <v>260</v>
      </c>
      <c r="F377" s="39" t="s">
        <v>55</v>
      </c>
      <c r="G377" s="36" t="s">
        <v>946</v>
      </c>
      <c r="H377" s="36" t="s">
        <v>96</v>
      </c>
      <c r="I377" s="39">
        <v>1535</v>
      </c>
      <c r="J377" s="39"/>
      <c r="K377" s="39"/>
      <c r="L377" s="39">
        <f t="shared" si="416"/>
        <v>1535</v>
      </c>
      <c r="M377" s="117">
        <v>46195</v>
      </c>
      <c r="N377" s="117">
        <v>46202</v>
      </c>
      <c r="O377" s="39"/>
      <c r="P377" s="39"/>
      <c r="Q377" s="39"/>
      <c r="R377" s="39">
        <f t="shared" si="407"/>
        <v>0</v>
      </c>
      <c r="S377" s="39" t="s">
        <v>130</v>
      </c>
      <c r="T377" s="39" t="s">
        <v>1594</v>
      </c>
      <c r="U377" s="117" t="s">
        <v>1595</v>
      </c>
      <c r="V377" s="39"/>
      <c r="W377" s="39"/>
      <c r="X377" s="39"/>
      <c r="Y377" s="39">
        <f>854+647+205+101</f>
        <v>1807</v>
      </c>
      <c r="Z377" s="39"/>
      <c r="AA377" s="39"/>
      <c r="AB377" s="119">
        <f t="shared" si="408"/>
        <v>1807</v>
      </c>
      <c r="AC377" s="39"/>
      <c r="AD377" s="39"/>
      <c r="AE377" s="39"/>
      <c r="AF377" s="39"/>
      <c r="AG377" s="39"/>
      <c r="AH377" s="39">
        <f t="shared" si="409"/>
        <v>0</v>
      </c>
      <c r="AI377" s="39"/>
      <c r="AJ377" s="39"/>
      <c r="AK377" s="39"/>
      <c r="AL377" s="39"/>
      <c r="AM377" s="39"/>
      <c r="AN377" s="39">
        <f t="shared" si="410"/>
        <v>0</v>
      </c>
      <c r="AO377" s="39"/>
      <c r="AP377" s="39"/>
      <c r="AQ377" s="39"/>
      <c r="AR377" s="39"/>
      <c r="AS377" s="39"/>
      <c r="AT377" s="39">
        <f t="shared" si="411"/>
        <v>0</v>
      </c>
      <c r="AU377" s="39"/>
      <c r="AV377" s="39"/>
      <c r="AW377" s="39"/>
      <c r="AX377" s="39"/>
      <c r="AY377" s="39"/>
      <c r="AZ377" s="39">
        <f t="shared" si="412"/>
        <v>0</v>
      </c>
      <c r="BA377" s="39"/>
      <c r="BB377" s="39"/>
      <c r="BC377" s="39"/>
      <c r="BD377" s="39"/>
      <c r="BE377" s="39"/>
      <c r="BF377" s="39">
        <f t="shared" si="413"/>
        <v>0</v>
      </c>
      <c r="BG377" s="39"/>
      <c r="BH377" s="39"/>
      <c r="BI377" s="39"/>
      <c r="BJ377" s="39"/>
      <c r="BK377" s="39"/>
      <c r="BL377" s="39">
        <f t="shared" si="414"/>
        <v>0</v>
      </c>
      <c r="BM377" s="54" t="str">
        <f t="shared" si="415"/>
        <v/>
      </c>
      <c r="BN377" s="62">
        <v>46202</v>
      </c>
      <c r="BO377" s="117">
        <v>46206</v>
      </c>
      <c r="BP377" s="39"/>
      <c r="BQ377" s="39"/>
      <c r="BR377" s="238"/>
      <c r="BS377" s="238"/>
      <c r="BT377" s="39" t="s">
        <v>1478</v>
      </c>
      <c r="BU377" s="39">
        <f>653+775</f>
        <v>1428</v>
      </c>
      <c r="BV377" s="39"/>
      <c r="BW377" s="39"/>
      <c r="BX377" s="39"/>
      <c r="BY377" s="39"/>
      <c r="BZ377" s="39">
        <f t="shared" si="10"/>
        <v>1428</v>
      </c>
      <c r="CA377" s="39">
        <f t="shared" si="11"/>
        <v>-107</v>
      </c>
      <c r="CB377" s="39">
        <f t="shared" si="12"/>
        <v>0</v>
      </c>
      <c r="CC377" s="39">
        <f t="shared" si="13"/>
        <v>0</v>
      </c>
      <c r="CD377" s="39">
        <v>0</v>
      </c>
      <c r="CE377" s="102">
        <f t="shared" si="15"/>
        <v>0</v>
      </c>
      <c r="CF377" s="36"/>
      <c r="CG377" s="39" t="s">
        <v>243</v>
      </c>
      <c r="CH377" s="39" t="s">
        <v>2050</v>
      </c>
      <c r="CI377" s="25">
        <v>3</v>
      </c>
    </row>
    <row r="378" spans="1:87" ht="24.75" customHeight="1">
      <c r="A378" s="36" t="s">
        <v>51</v>
      </c>
      <c r="B378" s="28" t="s">
        <v>1223</v>
      </c>
      <c r="C378" s="258"/>
      <c r="D378" s="36"/>
      <c r="E378" s="39">
        <v>260</v>
      </c>
      <c r="F378" s="39" t="s">
        <v>55</v>
      </c>
      <c r="G378" s="36" t="s">
        <v>359</v>
      </c>
      <c r="H378" s="36" t="s">
        <v>96</v>
      </c>
      <c r="I378" s="39">
        <v>177</v>
      </c>
      <c r="J378" s="39"/>
      <c r="K378" s="39"/>
      <c r="L378" s="39">
        <f t="shared" si="416"/>
        <v>177</v>
      </c>
      <c r="M378" s="117">
        <v>46195</v>
      </c>
      <c r="N378" s="117">
        <v>46202</v>
      </c>
      <c r="O378" s="39"/>
      <c r="P378" s="39"/>
      <c r="Q378" s="39"/>
      <c r="R378" s="39">
        <f t="shared" si="407"/>
        <v>0</v>
      </c>
      <c r="S378" s="39" t="s">
        <v>130</v>
      </c>
      <c r="T378" s="39">
        <v>107591</v>
      </c>
      <c r="U378" s="117">
        <v>46210</v>
      </c>
      <c r="V378" s="39"/>
      <c r="W378" s="39"/>
      <c r="X378" s="39"/>
      <c r="Y378" s="39">
        <v>199</v>
      </c>
      <c r="Z378" s="39"/>
      <c r="AA378" s="39"/>
      <c r="AB378" s="119">
        <f t="shared" si="408"/>
        <v>199</v>
      </c>
      <c r="AC378" s="39"/>
      <c r="AD378" s="39"/>
      <c r="AE378" s="39"/>
      <c r="AF378" s="39"/>
      <c r="AG378" s="39"/>
      <c r="AH378" s="39">
        <f t="shared" si="409"/>
        <v>0</v>
      </c>
      <c r="AI378" s="39"/>
      <c r="AJ378" s="39"/>
      <c r="AK378" s="39"/>
      <c r="AL378" s="39"/>
      <c r="AM378" s="39"/>
      <c r="AN378" s="39">
        <f t="shared" si="410"/>
        <v>0</v>
      </c>
      <c r="AO378" s="39"/>
      <c r="AP378" s="39"/>
      <c r="AQ378" s="39"/>
      <c r="AR378" s="39"/>
      <c r="AS378" s="39"/>
      <c r="AT378" s="39">
        <f t="shared" si="411"/>
        <v>0</v>
      </c>
      <c r="AU378" s="39"/>
      <c r="AV378" s="39"/>
      <c r="AW378" s="39"/>
      <c r="AX378" s="39"/>
      <c r="AY378" s="39"/>
      <c r="AZ378" s="39">
        <f t="shared" si="412"/>
        <v>0</v>
      </c>
      <c r="BA378" s="39"/>
      <c r="BB378" s="39"/>
      <c r="BC378" s="39"/>
      <c r="BD378" s="39"/>
      <c r="BE378" s="39"/>
      <c r="BF378" s="39">
        <f t="shared" si="413"/>
        <v>0</v>
      </c>
      <c r="BG378" s="39"/>
      <c r="BH378" s="39"/>
      <c r="BI378" s="39"/>
      <c r="BJ378" s="39"/>
      <c r="BK378" s="39"/>
      <c r="BL378" s="39">
        <f t="shared" si="414"/>
        <v>0</v>
      </c>
      <c r="BM378" s="54" t="str">
        <f t="shared" si="415"/>
        <v/>
      </c>
      <c r="BN378" s="62">
        <v>46202</v>
      </c>
      <c r="BO378" s="117">
        <v>46206</v>
      </c>
      <c r="BP378" s="39"/>
      <c r="BQ378" s="39"/>
      <c r="BR378" s="238"/>
      <c r="BS378" s="238"/>
      <c r="BT378" s="39">
        <v>1586</v>
      </c>
      <c r="BU378" s="39">
        <v>183</v>
      </c>
      <c r="BV378" s="39"/>
      <c r="BW378" s="39"/>
      <c r="BX378" s="39"/>
      <c r="BY378" s="39"/>
      <c r="BZ378" s="39">
        <f t="shared" ref="BZ378:BZ380" si="417">BU378+BW378+BY378</f>
        <v>183</v>
      </c>
      <c r="CA378" s="39">
        <f t="shared" si="11"/>
        <v>6</v>
      </c>
      <c r="CB378" s="39">
        <f t="shared" ref="CB378:CB380" si="418">BW378-J378</f>
        <v>0</v>
      </c>
      <c r="CC378" s="39">
        <f t="shared" ref="CC378:CC380" si="419">BY378-K378</f>
        <v>0</v>
      </c>
      <c r="CD378" s="39">
        <f t="shared" si="14"/>
        <v>0</v>
      </c>
      <c r="CE378" s="102">
        <f t="shared" ref="CE378:CE380" si="420">CD378/L378</f>
        <v>0</v>
      </c>
      <c r="CF378" s="36"/>
      <c r="CG378" s="39" t="s">
        <v>243</v>
      </c>
      <c r="CH378" s="39"/>
      <c r="CI378" s="25">
        <v>3</v>
      </c>
    </row>
    <row r="379" spans="1:87" ht="24.75" customHeight="1">
      <c r="A379" s="36" t="s">
        <v>51</v>
      </c>
      <c r="B379" s="28" t="s">
        <v>1223</v>
      </c>
      <c r="C379" s="258"/>
      <c r="D379" s="36"/>
      <c r="E379" s="39">
        <v>260</v>
      </c>
      <c r="F379" s="39" t="s">
        <v>55</v>
      </c>
      <c r="G379" s="36" t="s">
        <v>596</v>
      </c>
      <c r="H379" s="36" t="s">
        <v>96</v>
      </c>
      <c r="I379" s="39">
        <v>1229</v>
      </c>
      <c r="J379" s="39"/>
      <c r="K379" s="39"/>
      <c r="L379" s="39">
        <f t="shared" si="416"/>
        <v>1229</v>
      </c>
      <c r="M379" s="117">
        <v>46195</v>
      </c>
      <c r="N379" s="117">
        <v>46202</v>
      </c>
      <c r="O379" s="39"/>
      <c r="P379" s="39"/>
      <c r="Q379" s="39"/>
      <c r="R379" s="39">
        <f t="shared" si="407"/>
        <v>0</v>
      </c>
      <c r="S379" s="39" t="s">
        <v>130</v>
      </c>
      <c r="T379" s="39" t="s">
        <v>1469</v>
      </c>
      <c r="U379" s="117" t="s">
        <v>1470</v>
      </c>
      <c r="V379" s="39"/>
      <c r="W379" s="39"/>
      <c r="X379" s="39"/>
      <c r="Y379" s="39">
        <f>1050+342</f>
        <v>1392</v>
      </c>
      <c r="Z379" s="39"/>
      <c r="AA379" s="39"/>
      <c r="AB379" s="119">
        <f t="shared" si="408"/>
        <v>1392</v>
      </c>
      <c r="AC379" s="39"/>
      <c r="AD379" s="39"/>
      <c r="AE379" s="39"/>
      <c r="AF379" s="39"/>
      <c r="AG379" s="39"/>
      <c r="AH379" s="39">
        <f t="shared" si="409"/>
        <v>0</v>
      </c>
      <c r="AI379" s="39"/>
      <c r="AJ379" s="39"/>
      <c r="AK379" s="39"/>
      <c r="AL379" s="39"/>
      <c r="AM379" s="39"/>
      <c r="AN379" s="39">
        <f t="shared" si="410"/>
        <v>0</v>
      </c>
      <c r="AO379" s="39"/>
      <c r="AP379" s="39"/>
      <c r="AQ379" s="39"/>
      <c r="AR379" s="39"/>
      <c r="AS379" s="39"/>
      <c r="AT379" s="39">
        <f t="shared" si="411"/>
        <v>0</v>
      </c>
      <c r="AU379" s="39"/>
      <c r="AV379" s="39"/>
      <c r="AW379" s="39"/>
      <c r="AX379" s="39"/>
      <c r="AY379" s="39"/>
      <c r="AZ379" s="39">
        <f t="shared" si="412"/>
        <v>0</v>
      </c>
      <c r="BA379" s="39"/>
      <c r="BB379" s="39"/>
      <c r="BC379" s="39"/>
      <c r="BD379" s="39"/>
      <c r="BE379" s="39"/>
      <c r="BF379" s="39">
        <f t="shared" si="413"/>
        <v>0</v>
      </c>
      <c r="BG379" s="39"/>
      <c r="BH379" s="39"/>
      <c r="BI379" s="39"/>
      <c r="BJ379" s="39"/>
      <c r="BK379" s="39"/>
      <c r="BL379" s="39">
        <f t="shared" si="414"/>
        <v>0</v>
      </c>
      <c r="BM379" s="54" t="str">
        <f t="shared" si="415"/>
        <v/>
      </c>
      <c r="BN379" s="62">
        <v>46202</v>
      </c>
      <c r="BO379" s="117">
        <v>46206</v>
      </c>
      <c r="BP379" s="39"/>
      <c r="BQ379" s="39"/>
      <c r="BR379" s="238"/>
      <c r="BS379" s="238"/>
      <c r="BT379" s="39" t="s">
        <v>1507</v>
      </c>
      <c r="BU379" s="39">
        <f>994+289</f>
        <v>1283</v>
      </c>
      <c r="BV379" s="39"/>
      <c r="BW379" s="39"/>
      <c r="BX379" s="39"/>
      <c r="BY379" s="39"/>
      <c r="BZ379" s="39">
        <f t="shared" si="417"/>
        <v>1283</v>
      </c>
      <c r="CA379" s="39">
        <f t="shared" si="11"/>
        <v>54</v>
      </c>
      <c r="CB379" s="39">
        <f t="shared" si="418"/>
        <v>0</v>
      </c>
      <c r="CC379" s="39">
        <f t="shared" si="419"/>
        <v>0</v>
      </c>
      <c r="CD379" s="39">
        <f t="shared" si="14"/>
        <v>0</v>
      </c>
      <c r="CE379" s="102">
        <f t="shared" si="420"/>
        <v>0</v>
      </c>
      <c r="CF379" s="36"/>
      <c r="CG379" s="39" t="s">
        <v>243</v>
      </c>
      <c r="CH379" s="39"/>
      <c r="CI379" s="25">
        <v>3</v>
      </c>
    </row>
    <row r="380" spans="1:87" ht="24.75" customHeight="1">
      <c r="A380" s="36" t="s">
        <v>51</v>
      </c>
      <c r="B380" s="28" t="s">
        <v>1223</v>
      </c>
      <c r="C380" s="259"/>
      <c r="D380" s="36"/>
      <c r="E380" s="39">
        <v>260</v>
      </c>
      <c r="F380" s="39" t="s">
        <v>55</v>
      </c>
      <c r="G380" s="36" t="s">
        <v>359</v>
      </c>
      <c r="H380" s="36" t="s">
        <v>96</v>
      </c>
      <c r="I380" s="39">
        <v>142</v>
      </c>
      <c r="J380" s="39"/>
      <c r="K380" s="39"/>
      <c r="L380" s="39">
        <f t="shared" si="416"/>
        <v>142</v>
      </c>
      <c r="M380" s="117">
        <v>46195</v>
      </c>
      <c r="N380" s="117">
        <v>46202</v>
      </c>
      <c r="O380" s="39"/>
      <c r="P380" s="39"/>
      <c r="Q380" s="39"/>
      <c r="R380" s="39">
        <f t="shared" si="407"/>
        <v>0</v>
      </c>
      <c r="S380" s="39" t="s">
        <v>130</v>
      </c>
      <c r="T380" s="39">
        <v>107591</v>
      </c>
      <c r="U380" s="117">
        <v>46210</v>
      </c>
      <c r="V380" s="39"/>
      <c r="W380" s="39"/>
      <c r="X380" s="39"/>
      <c r="Y380" s="39">
        <v>160</v>
      </c>
      <c r="Z380" s="39"/>
      <c r="AA380" s="39"/>
      <c r="AB380" s="119">
        <f t="shared" si="408"/>
        <v>160</v>
      </c>
      <c r="AC380" s="39"/>
      <c r="AD380" s="39"/>
      <c r="AE380" s="39"/>
      <c r="AF380" s="39"/>
      <c r="AG380" s="39"/>
      <c r="AH380" s="39">
        <f t="shared" si="409"/>
        <v>0</v>
      </c>
      <c r="AI380" s="39"/>
      <c r="AJ380" s="39"/>
      <c r="AK380" s="39"/>
      <c r="AL380" s="39"/>
      <c r="AM380" s="39"/>
      <c r="AN380" s="39">
        <f t="shared" si="410"/>
        <v>0</v>
      </c>
      <c r="AO380" s="39"/>
      <c r="AP380" s="39"/>
      <c r="AQ380" s="39"/>
      <c r="AR380" s="39"/>
      <c r="AS380" s="39"/>
      <c r="AT380" s="39">
        <f t="shared" si="411"/>
        <v>0</v>
      </c>
      <c r="AU380" s="39"/>
      <c r="AV380" s="39"/>
      <c r="AW380" s="39"/>
      <c r="AX380" s="39"/>
      <c r="AY380" s="39"/>
      <c r="AZ380" s="39">
        <f t="shared" si="412"/>
        <v>0</v>
      </c>
      <c r="BA380" s="39"/>
      <c r="BB380" s="39"/>
      <c r="BC380" s="39"/>
      <c r="BD380" s="39"/>
      <c r="BE380" s="39"/>
      <c r="BF380" s="39">
        <f t="shared" si="413"/>
        <v>0</v>
      </c>
      <c r="BG380" s="39"/>
      <c r="BH380" s="39"/>
      <c r="BI380" s="39"/>
      <c r="BJ380" s="39"/>
      <c r="BK380" s="39"/>
      <c r="BL380" s="39">
        <f t="shared" si="414"/>
        <v>0</v>
      </c>
      <c r="BM380" s="54" t="str">
        <f t="shared" si="415"/>
        <v/>
      </c>
      <c r="BN380" s="62">
        <v>46202</v>
      </c>
      <c r="BO380" s="117">
        <v>46206</v>
      </c>
      <c r="BP380" s="39"/>
      <c r="BQ380" s="39"/>
      <c r="BR380" s="239"/>
      <c r="BS380" s="239"/>
      <c r="BT380" s="39">
        <v>1586</v>
      </c>
      <c r="BU380" s="39">
        <v>145</v>
      </c>
      <c r="BV380" s="39"/>
      <c r="BW380" s="39"/>
      <c r="BX380" s="39"/>
      <c r="BY380" s="39"/>
      <c r="BZ380" s="39">
        <f t="shared" si="417"/>
        <v>145</v>
      </c>
      <c r="CA380" s="39">
        <f t="shared" si="11"/>
        <v>3</v>
      </c>
      <c r="CB380" s="39">
        <f t="shared" si="418"/>
        <v>0</v>
      </c>
      <c r="CC380" s="39">
        <f t="shared" si="419"/>
        <v>0</v>
      </c>
      <c r="CD380" s="39">
        <f t="shared" si="14"/>
        <v>0</v>
      </c>
      <c r="CE380" s="102">
        <f t="shared" si="420"/>
        <v>0</v>
      </c>
      <c r="CF380" s="36"/>
      <c r="CG380" s="39" t="s">
        <v>243</v>
      </c>
      <c r="CH380" s="39"/>
      <c r="CI380" s="25">
        <v>3</v>
      </c>
    </row>
    <row r="381" spans="1:87" ht="24.75" customHeight="1">
      <c r="A381" s="36" t="s">
        <v>51</v>
      </c>
      <c r="B381" s="28"/>
      <c r="C381" s="41"/>
      <c r="D381" s="36"/>
      <c r="E381" s="39"/>
      <c r="F381" s="39"/>
      <c r="G381" s="36"/>
      <c r="H381" s="39"/>
      <c r="I381" s="39"/>
      <c r="J381" s="39"/>
      <c r="K381" s="39"/>
      <c r="L381" s="39">
        <f t="shared" si="352"/>
        <v>0</v>
      </c>
      <c r="M381" s="39"/>
      <c r="N381" s="39"/>
      <c r="O381" s="39"/>
      <c r="P381" s="39"/>
      <c r="Q381" s="39"/>
      <c r="R381" s="39">
        <f t="shared" si="403"/>
        <v>0</v>
      </c>
      <c r="S381" s="39"/>
      <c r="T381" s="39"/>
      <c r="U381" s="39"/>
      <c r="V381" s="39"/>
      <c r="W381" s="39"/>
      <c r="X381" s="39"/>
      <c r="Y381" s="39"/>
      <c r="Z381" s="39"/>
      <c r="AA381" s="39"/>
      <c r="AB381" s="39">
        <f t="shared" si="404"/>
        <v>0</v>
      </c>
      <c r="AC381" s="39"/>
      <c r="AD381" s="39"/>
      <c r="AE381" s="39"/>
      <c r="AF381" s="39"/>
      <c r="AG381" s="39"/>
      <c r="AH381" s="39">
        <f t="shared" si="3"/>
        <v>0</v>
      </c>
      <c r="AI381" s="39"/>
      <c r="AJ381" s="39"/>
      <c r="AK381" s="39"/>
      <c r="AL381" s="39"/>
      <c r="AM381" s="39"/>
      <c r="AN381" s="39">
        <f t="shared" si="405"/>
        <v>0</v>
      </c>
      <c r="AO381" s="39"/>
      <c r="AP381" s="39"/>
      <c r="AQ381" s="39"/>
      <c r="AR381" s="39"/>
      <c r="AS381" s="39"/>
      <c r="AT381" s="39">
        <f t="shared" si="5"/>
        <v>0</v>
      </c>
      <c r="AU381" s="39"/>
      <c r="AV381" s="39"/>
      <c r="AW381" s="39"/>
      <c r="AX381" s="39"/>
      <c r="AY381" s="39"/>
      <c r="AZ381" s="39">
        <f t="shared" si="6"/>
        <v>0</v>
      </c>
      <c r="BA381" s="39"/>
      <c r="BB381" s="39"/>
      <c r="BC381" s="39"/>
      <c r="BD381" s="39"/>
      <c r="BE381" s="39"/>
      <c r="BF381" s="39">
        <f t="shared" si="7"/>
        <v>0</v>
      </c>
      <c r="BG381" s="39"/>
      <c r="BH381" s="39"/>
      <c r="BI381" s="39"/>
      <c r="BJ381" s="39"/>
      <c r="BK381" s="39"/>
      <c r="BL381" s="39">
        <f t="shared" si="8"/>
        <v>0</v>
      </c>
      <c r="BM381" s="54" t="e">
        <f t="shared" si="9"/>
        <v>#DIV/0!</v>
      </c>
      <c r="BN381" s="63"/>
      <c r="BO381" s="39"/>
      <c r="BP381" s="39"/>
      <c r="BQ381" s="39"/>
      <c r="BR381" s="40"/>
      <c r="BS381" s="40"/>
      <c r="BT381" s="39"/>
      <c r="BU381" s="39"/>
      <c r="BV381" s="39"/>
      <c r="BW381" s="39"/>
      <c r="BX381" s="39"/>
      <c r="BY381" s="39"/>
      <c r="BZ381" s="39">
        <f t="shared" si="10"/>
        <v>0</v>
      </c>
      <c r="CA381" s="39">
        <f t="shared" si="11"/>
        <v>0</v>
      </c>
      <c r="CB381" s="39">
        <f t="shared" si="12"/>
        <v>0</v>
      </c>
      <c r="CC381" s="39">
        <f t="shared" si="13"/>
        <v>0</v>
      </c>
      <c r="CD381" s="39">
        <f t="shared" si="14"/>
        <v>0</v>
      </c>
      <c r="CE381" s="47" t="e">
        <f t="shared" si="15"/>
        <v>#DIV/0!</v>
      </c>
      <c r="CF381" s="36"/>
      <c r="CG381" s="39"/>
      <c r="CH381" s="39"/>
      <c r="CI381" s="25">
        <v>3</v>
      </c>
    </row>
    <row r="382" spans="1:87" ht="24.75" customHeight="1">
      <c r="A382" s="36" t="s">
        <v>51</v>
      </c>
      <c r="B382" s="28"/>
      <c r="C382" s="41"/>
      <c r="D382" s="36"/>
      <c r="E382" s="39"/>
      <c r="F382" s="39"/>
      <c r="G382" s="36"/>
      <c r="H382" s="39"/>
      <c r="I382" s="39"/>
      <c r="J382" s="39"/>
      <c r="K382" s="39"/>
      <c r="L382" s="39">
        <f t="shared" si="352"/>
        <v>0</v>
      </c>
      <c r="M382" s="39"/>
      <c r="N382" s="39"/>
      <c r="O382" s="39"/>
      <c r="P382" s="39"/>
      <c r="Q382" s="39"/>
      <c r="R382" s="39">
        <f t="shared" si="403"/>
        <v>0</v>
      </c>
      <c r="S382" s="39"/>
      <c r="T382" s="39"/>
      <c r="U382" s="39"/>
      <c r="V382" s="39"/>
      <c r="W382" s="39"/>
      <c r="X382" s="39"/>
      <c r="Y382" s="39"/>
      <c r="Z382" s="39"/>
      <c r="AA382" s="39"/>
      <c r="AB382" s="39">
        <f t="shared" si="404"/>
        <v>0</v>
      </c>
      <c r="AC382" s="39"/>
      <c r="AD382" s="39"/>
      <c r="AE382" s="39"/>
      <c r="AF382" s="39"/>
      <c r="AG382" s="39"/>
      <c r="AH382" s="39">
        <f t="shared" si="3"/>
        <v>0</v>
      </c>
      <c r="AI382" s="39"/>
      <c r="AJ382" s="39"/>
      <c r="AK382" s="39"/>
      <c r="AL382" s="39"/>
      <c r="AM382" s="39"/>
      <c r="AN382" s="39">
        <f t="shared" si="405"/>
        <v>0</v>
      </c>
      <c r="AO382" s="39"/>
      <c r="AP382" s="39"/>
      <c r="AQ382" s="39"/>
      <c r="AR382" s="39"/>
      <c r="AS382" s="39"/>
      <c r="AT382" s="39">
        <f t="shared" si="5"/>
        <v>0</v>
      </c>
      <c r="AU382" s="39"/>
      <c r="AV382" s="39"/>
      <c r="AW382" s="39"/>
      <c r="AX382" s="39"/>
      <c r="AY382" s="39"/>
      <c r="AZ382" s="39">
        <f t="shared" si="6"/>
        <v>0</v>
      </c>
      <c r="BA382" s="39"/>
      <c r="BB382" s="39"/>
      <c r="BC382" s="39"/>
      <c r="BD382" s="39"/>
      <c r="BE382" s="39"/>
      <c r="BF382" s="39">
        <f t="shared" si="7"/>
        <v>0</v>
      </c>
      <c r="BG382" s="39"/>
      <c r="BH382" s="39"/>
      <c r="BI382" s="39"/>
      <c r="BJ382" s="39"/>
      <c r="BK382" s="39"/>
      <c r="BL382" s="39">
        <f t="shared" si="8"/>
        <v>0</v>
      </c>
      <c r="BM382" s="54" t="e">
        <f t="shared" si="9"/>
        <v>#DIV/0!</v>
      </c>
      <c r="BN382" s="63"/>
      <c r="BO382" s="39"/>
      <c r="BP382" s="39"/>
      <c r="BQ382" s="39"/>
      <c r="BR382" s="40"/>
      <c r="BS382" s="40"/>
      <c r="BT382" s="39"/>
      <c r="BU382" s="39"/>
      <c r="BV382" s="39"/>
      <c r="BW382" s="39"/>
      <c r="BX382" s="39"/>
      <c r="BY382" s="39"/>
      <c r="BZ382" s="39">
        <f t="shared" si="10"/>
        <v>0</v>
      </c>
      <c r="CA382" s="39">
        <f t="shared" si="11"/>
        <v>0</v>
      </c>
      <c r="CB382" s="39">
        <f t="shared" si="12"/>
        <v>0</v>
      </c>
      <c r="CC382" s="39">
        <f t="shared" si="13"/>
        <v>0</v>
      </c>
      <c r="CD382" s="39">
        <f t="shared" si="14"/>
        <v>0</v>
      </c>
      <c r="CE382" s="47" t="e">
        <f t="shared" si="15"/>
        <v>#DIV/0!</v>
      </c>
      <c r="CF382" s="36"/>
      <c r="CG382" s="39"/>
      <c r="CH382" s="39"/>
      <c r="CI382" s="25">
        <v>3</v>
      </c>
    </row>
    <row r="383" spans="1:87" ht="24.75" customHeight="1">
      <c r="A383" s="36" t="s">
        <v>51</v>
      </c>
      <c r="B383" s="28"/>
      <c r="C383" s="41"/>
      <c r="D383" s="36"/>
      <c r="E383" s="39"/>
      <c r="F383" s="39"/>
      <c r="G383" s="36"/>
      <c r="H383" s="39"/>
      <c r="I383" s="39"/>
      <c r="J383" s="39"/>
      <c r="K383" s="39"/>
      <c r="L383" s="39">
        <f t="shared" si="352"/>
        <v>0</v>
      </c>
      <c r="M383" s="39"/>
      <c r="N383" s="39"/>
      <c r="O383" s="39"/>
      <c r="P383" s="39"/>
      <c r="Q383" s="39"/>
      <c r="R383" s="39">
        <f t="shared" si="403"/>
        <v>0</v>
      </c>
      <c r="S383" s="39"/>
      <c r="T383" s="39"/>
      <c r="U383" s="39"/>
      <c r="V383" s="39"/>
      <c r="W383" s="39"/>
      <c r="X383" s="39"/>
      <c r="Y383" s="39"/>
      <c r="Z383" s="39"/>
      <c r="AA383" s="39"/>
      <c r="AB383" s="39">
        <f t="shared" si="404"/>
        <v>0</v>
      </c>
      <c r="AC383" s="39"/>
      <c r="AD383" s="39"/>
      <c r="AE383" s="39"/>
      <c r="AF383" s="39"/>
      <c r="AG383" s="39"/>
      <c r="AH383" s="39">
        <f t="shared" si="3"/>
        <v>0</v>
      </c>
      <c r="AI383" s="39"/>
      <c r="AJ383" s="39"/>
      <c r="AK383" s="39"/>
      <c r="AL383" s="39"/>
      <c r="AM383" s="39"/>
      <c r="AN383" s="39">
        <f t="shared" si="405"/>
        <v>0</v>
      </c>
      <c r="AO383" s="39"/>
      <c r="AP383" s="39"/>
      <c r="AQ383" s="39"/>
      <c r="AR383" s="39"/>
      <c r="AS383" s="39"/>
      <c r="AT383" s="39">
        <f t="shared" si="5"/>
        <v>0</v>
      </c>
      <c r="AU383" s="39"/>
      <c r="AV383" s="39"/>
      <c r="AW383" s="39"/>
      <c r="AX383" s="39"/>
      <c r="AY383" s="39"/>
      <c r="AZ383" s="39">
        <f t="shared" si="6"/>
        <v>0</v>
      </c>
      <c r="BA383" s="39"/>
      <c r="BB383" s="39"/>
      <c r="BC383" s="39"/>
      <c r="BD383" s="39"/>
      <c r="BE383" s="39"/>
      <c r="BF383" s="39">
        <f t="shared" si="7"/>
        <v>0</v>
      </c>
      <c r="BG383" s="39"/>
      <c r="BH383" s="39"/>
      <c r="BI383" s="39"/>
      <c r="BJ383" s="39"/>
      <c r="BK383" s="39"/>
      <c r="BL383" s="39">
        <f t="shared" si="8"/>
        <v>0</v>
      </c>
      <c r="BM383" s="54" t="e">
        <f t="shared" si="9"/>
        <v>#DIV/0!</v>
      </c>
      <c r="BN383" s="63"/>
      <c r="BO383" s="39"/>
      <c r="BP383" s="39"/>
      <c r="BQ383" s="39"/>
      <c r="BR383" s="40"/>
      <c r="BS383" s="40"/>
      <c r="BT383" s="39"/>
      <c r="BU383" s="39"/>
      <c r="BV383" s="39"/>
      <c r="BW383" s="39"/>
      <c r="BX383" s="39"/>
      <c r="BY383" s="39"/>
      <c r="BZ383" s="39">
        <f t="shared" si="10"/>
        <v>0</v>
      </c>
      <c r="CA383" s="39">
        <f t="shared" si="11"/>
        <v>0</v>
      </c>
      <c r="CB383" s="39">
        <f t="shared" si="12"/>
        <v>0</v>
      </c>
      <c r="CC383" s="39">
        <f t="shared" si="13"/>
        <v>0</v>
      </c>
      <c r="CD383" s="39">
        <f t="shared" si="14"/>
        <v>0</v>
      </c>
      <c r="CE383" s="47" t="e">
        <f t="shared" si="15"/>
        <v>#DIV/0!</v>
      </c>
      <c r="CF383" s="36"/>
      <c r="CG383" s="39"/>
      <c r="CH383" s="39"/>
      <c r="CI383" s="25">
        <v>3</v>
      </c>
    </row>
    <row r="384" spans="1:87" ht="24.75" customHeight="1">
      <c r="A384" s="36" t="s">
        <v>51</v>
      </c>
      <c r="B384" s="28"/>
      <c r="C384" s="41"/>
      <c r="D384" s="36"/>
      <c r="E384" s="39"/>
      <c r="F384" s="39"/>
      <c r="G384" s="36"/>
      <c r="H384" s="39"/>
      <c r="I384" s="39"/>
      <c r="J384" s="39"/>
      <c r="K384" s="39"/>
      <c r="L384" s="39">
        <f t="shared" si="352"/>
        <v>0</v>
      </c>
      <c r="M384" s="39"/>
      <c r="N384" s="39"/>
      <c r="O384" s="39"/>
      <c r="P384" s="39"/>
      <c r="Q384" s="39"/>
      <c r="R384" s="39">
        <f t="shared" si="403"/>
        <v>0</v>
      </c>
      <c r="S384" s="39"/>
      <c r="T384" s="39"/>
      <c r="U384" s="39"/>
      <c r="V384" s="39"/>
      <c r="W384" s="39"/>
      <c r="X384" s="39"/>
      <c r="Y384" s="39"/>
      <c r="Z384" s="39"/>
      <c r="AA384" s="39"/>
      <c r="AB384" s="39">
        <f t="shared" si="404"/>
        <v>0</v>
      </c>
      <c r="AC384" s="39"/>
      <c r="AD384" s="39"/>
      <c r="AE384" s="39"/>
      <c r="AF384" s="39"/>
      <c r="AG384" s="39"/>
      <c r="AH384" s="39">
        <f t="shared" si="3"/>
        <v>0</v>
      </c>
      <c r="AI384" s="39"/>
      <c r="AJ384" s="39"/>
      <c r="AK384" s="39"/>
      <c r="AL384" s="39"/>
      <c r="AM384" s="39"/>
      <c r="AN384" s="39">
        <f t="shared" si="405"/>
        <v>0</v>
      </c>
      <c r="AO384" s="39"/>
      <c r="AP384" s="39"/>
      <c r="AQ384" s="39"/>
      <c r="AR384" s="39"/>
      <c r="AS384" s="39"/>
      <c r="AT384" s="39">
        <f t="shared" si="5"/>
        <v>0</v>
      </c>
      <c r="AU384" s="39"/>
      <c r="AV384" s="39"/>
      <c r="AW384" s="39"/>
      <c r="AX384" s="39"/>
      <c r="AY384" s="39"/>
      <c r="AZ384" s="39">
        <f t="shared" si="6"/>
        <v>0</v>
      </c>
      <c r="BA384" s="39"/>
      <c r="BB384" s="39"/>
      <c r="BC384" s="39"/>
      <c r="BD384" s="39"/>
      <c r="BE384" s="39"/>
      <c r="BF384" s="39">
        <f t="shared" si="7"/>
        <v>0</v>
      </c>
      <c r="BG384" s="39"/>
      <c r="BH384" s="39"/>
      <c r="BI384" s="39"/>
      <c r="BJ384" s="39"/>
      <c r="BK384" s="39"/>
      <c r="BL384" s="39">
        <f t="shared" si="8"/>
        <v>0</v>
      </c>
      <c r="BM384" s="54" t="e">
        <f t="shared" si="9"/>
        <v>#DIV/0!</v>
      </c>
      <c r="BN384" s="63"/>
      <c r="BO384" s="39"/>
      <c r="BP384" s="39"/>
      <c r="BQ384" s="39"/>
      <c r="BR384" s="40"/>
      <c r="BS384" s="40"/>
      <c r="BT384" s="39"/>
      <c r="BU384" s="39"/>
      <c r="BV384" s="39"/>
      <c r="BW384" s="39"/>
      <c r="BX384" s="39"/>
      <c r="BY384" s="39"/>
      <c r="BZ384" s="39">
        <f t="shared" si="10"/>
        <v>0</v>
      </c>
      <c r="CA384" s="39">
        <f t="shared" si="11"/>
        <v>0</v>
      </c>
      <c r="CB384" s="39">
        <f t="shared" si="12"/>
        <v>0</v>
      </c>
      <c r="CC384" s="39">
        <f t="shared" si="13"/>
        <v>0</v>
      </c>
      <c r="CD384" s="39">
        <f t="shared" si="14"/>
        <v>0</v>
      </c>
      <c r="CE384" s="47" t="e">
        <f t="shared" si="15"/>
        <v>#DIV/0!</v>
      </c>
      <c r="CF384" s="36"/>
      <c r="CG384" s="39"/>
      <c r="CH384" s="39"/>
      <c r="CI384" s="25">
        <v>3</v>
      </c>
    </row>
    <row r="385" spans="1:87" ht="24.75" customHeight="1">
      <c r="A385" s="36" t="s">
        <v>51</v>
      </c>
      <c r="B385" s="28"/>
      <c r="C385" s="41"/>
      <c r="D385" s="36"/>
      <c r="E385" s="39"/>
      <c r="F385" s="39"/>
      <c r="G385" s="36"/>
      <c r="H385" s="39"/>
      <c r="I385" s="39"/>
      <c r="J385" s="39"/>
      <c r="K385" s="39"/>
      <c r="L385" s="39">
        <f t="shared" si="352"/>
        <v>0</v>
      </c>
      <c r="M385" s="39"/>
      <c r="N385" s="39"/>
      <c r="O385" s="39"/>
      <c r="P385" s="39"/>
      <c r="Q385" s="39"/>
      <c r="R385" s="39">
        <f t="shared" si="403"/>
        <v>0</v>
      </c>
      <c r="S385" s="39"/>
      <c r="T385" s="39"/>
      <c r="U385" s="39"/>
      <c r="V385" s="39"/>
      <c r="W385" s="39"/>
      <c r="X385" s="39"/>
      <c r="Y385" s="39"/>
      <c r="Z385" s="39"/>
      <c r="AA385" s="39"/>
      <c r="AB385" s="39">
        <f t="shared" si="404"/>
        <v>0</v>
      </c>
      <c r="AC385" s="39"/>
      <c r="AD385" s="39"/>
      <c r="AE385" s="39"/>
      <c r="AF385" s="39"/>
      <c r="AG385" s="39"/>
      <c r="AH385" s="39">
        <f t="shared" si="3"/>
        <v>0</v>
      </c>
      <c r="AI385" s="39"/>
      <c r="AJ385" s="39"/>
      <c r="AK385" s="39"/>
      <c r="AL385" s="39"/>
      <c r="AM385" s="39"/>
      <c r="AN385" s="39">
        <f t="shared" si="405"/>
        <v>0</v>
      </c>
      <c r="AO385" s="39"/>
      <c r="AP385" s="39"/>
      <c r="AQ385" s="39"/>
      <c r="AR385" s="39"/>
      <c r="AS385" s="39"/>
      <c r="AT385" s="39">
        <f t="shared" si="5"/>
        <v>0</v>
      </c>
      <c r="AU385" s="39"/>
      <c r="AV385" s="39"/>
      <c r="AW385" s="39"/>
      <c r="AX385" s="39"/>
      <c r="AY385" s="39"/>
      <c r="AZ385" s="39">
        <f t="shared" si="6"/>
        <v>0</v>
      </c>
      <c r="BA385" s="39"/>
      <c r="BB385" s="39"/>
      <c r="BC385" s="39"/>
      <c r="BD385" s="39"/>
      <c r="BE385" s="39"/>
      <c r="BF385" s="39">
        <f t="shared" si="7"/>
        <v>0</v>
      </c>
      <c r="BG385" s="39"/>
      <c r="BH385" s="39"/>
      <c r="BI385" s="39"/>
      <c r="BJ385" s="39"/>
      <c r="BK385" s="39"/>
      <c r="BL385" s="39">
        <f t="shared" si="8"/>
        <v>0</v>
      </c>
      <c r="BM385" s="54" t="e">
        <f t="shared" si="9"/>
        <v>#DIV/0!</v>
      </c>
      <c r="BN385" s="63"/>
      <c r="BO385" s="39"/>
      <c r="BP385" s="39"/>
      <c r="BQ385" s="39"/>
      <c r="BR385" s="40"/>
      <c r="BS385" s="40"/>
      <c r="BT385" s="39"/>
      <c r="BU385" s="39"/>
      <c r="BV385" s="39"/>
      <c r="BW385" s="39"/>
      <c r="BX385" s="39"/>
      <c r="BY385" s="39"/>
      <c r="BZ385" s="39">
        <f t="shared" si="10"/>
        <v>0</v>
      </c>
      <c r="CA385" s="39">
        <f t="shared" si="11"/>
        <v>0</v>
      </c>
      <c r="CB385" s="39">
        <f t="shared" si="12"/>
        <v>0</v>
      </c>
      <c r="CC385" s="39">
        <f t="shared" si="13"/>
        <v>0</v>
      </c>
      <c r="CD385" s="39">
        <f t="shared" si="14"/>
        <v>0</v>
      </c>
      <c r="CE385" s="47" t="e">
        <f t="shared" si="15"/>
        <v>#DIV/0!</v>
      </c>
      <c r="CF385" s="36"/>
      <c r="CG385" s="39"/>
      <c r="CH385" s="39"/>
      <c r="CI385" s="25">
        <v>3</v>
      </c>
    </row>
    <row r="386" spans="1:87" ht="24.75" customHeight="1">
      <c r="A386" s="36" t="s">
        <v>51</v>
      </c>
      <c r="B386" s="28"/>
      <c r="C386" s="41"/>
      <c r="D386" s="36"/>
      <c r="E386" s="39"/>
      <c r="F386" s="39"/>
      <c r="G386" s="36"/>
      <c r="H386" s="39"/>
      <c r="I386" s="39"/>
      <c r="J386" s="39"/>
      <c r="K386" s="39"/>
      <c r="L386" s="39">
        <f t="shared" si="352"/>
        <v>0</v>
      </c>
      <c r="M386" s="39"/>
      <c r="N386" s="39"/>
      <c r="O386" s="39"/>
      <c r="P386" s="39"/>
      <c r="Q386" s="39"/>
      <c r="R386" s="39">
        <f t="shared" si="403"/>
        <v>0</v>
      </c>
      <c r="S386" s="39"/>
      <c r="T386" s="39"/>
      <c r="U386" s="39"/>
      <c r="V386" s="39"/>
      <c r="W386" s="39"/>
      <c r="X386" s="39"/>
      <c r="Y386" s="39"/>
      <c r="Z386" s="39"/>
      <c r="AA386" s="39"/>
      <c r="AB386" s="39">
        <f t="shared" si="404"/>
        <v>0</v>
      </c>
      <c r="AC386" s="39"/>
      <c r="AD386" s="39"/>
      <c r="AE386" s="39"/>
      <c r="AF386" s="39"/>
      <c r="AG386" s="39"/>
      <c r="AH386" s="39">
        <f t="shared" si="3"/>
        <v>0</v>
      </c>
      <c r="AI386" s="39"/>
      <c r="AJ386" s="39"/>
      <c r="AK386" s="39"/>
      <c r="AL386" s="39"/>
      <c r="AM386" s="39"/>
      <c r="AN386" s="39">
        <f t="shared" si="405"/>
        <v>0</v>
      </c>
      <c r="AO386" s="39"/>
      <c r="AP386" s="39"/>
      <c r="AQ386" s="39"/>
      <c r="AR386" s="39"/>
      <c r="AS386" s="39"/>
      <c r="AT386" s="39">
        <f t="shared" si="5"/>
        <v>0</v>
      </c>
      <c r="AU386" s="39"/>
      <c r="AV386" s="39"/>
      <c r="AW386" s="39"/>
      <c r="AX386" s="39"/>
      <c r="AY386" s="39"/>
      <c r="AZ386" s="39">
        <f t="shared" si="6"/>
        <v>0</v>
      </c>
      <c r="BA386" s="39"/>
      <c r="BB386" s="39"/>
      <c r="BC386" s="39"/>
      <c r="BD386" s="39"/>
      <c r="BE386" s="39"/>
      <c r="BF386" s="39">
        <f t="shared" si="7"/>
        <v>0</v>
      </c>
      <c r="BG386" s="39"/>
      <c r="BH386" s="39"/>
      <c r="BI386" s="39"/>
      <c r="BJ386" s="39"/>
      <c r="BK386" s="39"/>
      <c r="BL386" s="39">
        <f t="shared" si="8"/>
        <v>0</v>
      </c>
      <c r="BM386" s="54" t="e">
        <f t="shared" si="9"/>
        <v>#DIV/0!</v>
      </c>
      <c r="BN386" s="63"/>
      <c r="BO386" s="39"/>
      <c r="BP386" s="39"/>
      <c r="BQ386" s="39"/>
      <c r="BR386" s="40"/>
      <c r="BS386" s="40"/>
      <c r="BT386" s="39"/>
      <c r="BU386" s="39"/>
      <c r="BV386" s="39"/>
      <c r="BW386" s="39"/>
      <c r="BX386" s="39"/>
      <c r="BY386" s="39"/>
      <c r="BZ386" s="39">
        <f t="shared" si="10"/>
        <v>0</v>
      </c>
      <c r="CA386" s="39">
        <f t="shared" si="11"/>
        <v>0</v>
      </c>
      <c r="CB386" s="39">
        <f t="shared" si="12"/>
        <v>0</v>
      </c>
      <c r="CC386" s="39">
        <f t="shared" si="13"/>
        <v>0</v>
      </c>
      <c r="CD386" s="39">
        <f t="shared" si="14"/>
        <v>0</v>
      </c>
      <c r="CE386" s="47" t="e">
        <f t="shared" si="15"/>
        <v>#DIV/0!</v>
      </c>
      <c r="CF386" s="36"/>
      <c r="CG386" s="39"/>
      <c r="CH386" s="39"/>
      <c r="CI386" s="25">
        <v>3</v>
      </c>
    </row>
    <row r="387" spans="1:87" ht="24.75" customHeight="1">
      <c r="A387" s="36" t="s">
        <v>51</v>
      </c>
      <c r="B387" s="28"/>
      <c r="C387" s="41"/>
      <c r="D387" s="36"/>
      <c r="E387" s="39"/>
      <c r="F387" s="39"/>
      <c r="G387" s="36"/>
      <c r="H387" s="39"/>
      <c r="I387" s="39"/>
      <c r="J387" s="39"/>
      <c r="K387" s="39"/>
      <c r="L387" s="39">
        <f t="shared" si="352"/>
        <v>0</v>
      </c>
      <c r="M387" s="39"/>
      <c r="N387" s="39"/>
      <c r="O387" s="39"/>
      <c r="P387" s="39"/>
      <c r="Q387" s="39"/>
      <c r="R387" s="39">
        <f t="shared" si="403"/>
        <v>0</v>
      </c>
      <c r="S387" s="39"/>
      <c r="T387" s="39"/>
      <c r="U387" s="39"/>
      <c r="V387" s="39"/>
      <c r="W387" s="39"/>
      <c r="X387" s="39"/>
      <c r="Y387" s="39"/>
      <c r="Z387" s="39"/>
      <c r="AA387" s="39"/>
      <c r="AB387" s="39">
        <f t="shared" si="404"/>
        <v>0</v>
      </c>
      <c r="AC387" s="39"/>
      <c r="AD387" s="39"/>
      <c r="AE387" s="39"/>
      <c r="AF387" s="39"/>
      <c r="AG387" s="39"/>
      <c r="AH387" s="39">
        <f t="shared" si="3"/>
        <v>0</v>
      </c>
      <c r="AI387" s="39"/>
      <c r="AJ387" s="39"/>
      <c r="AK387" s="39"/>
      <c r="AL387" s="39"/>
      <c r="AM387" s="39"/>
      <c r="AN387" s="39">
        <f t="shared" si="405"/>
        <v>0</v>
      </c>
      <c r="AO387" s="39"/>
      <c r="AP387" s="39"/>
      <c r="AQ387" s="39"/>
      <c r="AR387" s="39"/>
      <c r="AS387" s="39"/>
      <c r="AT387" s="39">
        <f t="shared" si="5"/>
        <v>0</v>
      </c>
      <c r="AU387" s="39"/>
      <c r="AV387" s="39"/>
      <c r="AW387" s="39"/>
      <c r="AX387" s="39"/>
      <c r="AY387" s="39"/>
      <c r="AZ387" s="39">
        <f t="shared" si="6"/>
        <v>0</v>
      </c>
      <c r="BA387" s="39"/>
      <c r="BB387" s="39"/>
      <c r="BC387" s="39"/>
      <c r="BD387" s="39"/>
      <c r="BE387" s="39"/>
      <c r="BF387" s="39">
        <f t="shared" si="7"/>
        <v>0</v>
      </c>
      <c r="BG387" s="39"/>
      <c r="BH387" s="39"/>
      <c r="BI387" s="39"/>
      <c r="BJ387" s="39"/>
      <c r="BK387" s="39"/>
      <c r="BL387" s="39">
        <f t="shared" si="8"/>
        <v>0</v>
      </c>
      <c r="BM387" s="54" t="e">
        <f t="shared" si="9"/>
        <v>#DIV/0!</v>
      </c>
      <c r="BN387" s="63"/>
      <c r="BO387" s="39"/>
      <c r="BP387" s="39"/>
      <c r="BQ387" s="39"/>
      <c r="BR387" s="40"/>
      <c r="BS387" s="40"/>
      <c r="BT387" s="39"/>
      <c r="BU387" s="39"/>
      <c r="BV387" s="39"/>
      <c r="BW387" s="39"/>
      <c r="BX387" s="39"/>
      <c r="BY387" s="39"/>
      <c r="BZ387" s="39">
        <f t="shared" si="10"/>
        <v>0</v>
      </c>
      <c r="CA387" s="39">
        <f t="shared" si="11"/>
        <v>0</v>
      </c>
      <c r="CB387" s="39">
        <f t="shared" si="12"/>
        <v>0</v>
      </c>
      <c r="CC387" s="39">
        <f t="shared" si="13"/>
        <v>0</v>
      </c>
      <c r="CD387" s="39">
        <f t="shared" si="14"/>
        <v>0</v>
      </c>
      <c r="CE387" s="47" t="e">
        <f t="shared" si="15"/>
        <v>#DIV/0!</v>
      </c>
      <c r="CF387" s="36"/>
      <c r="CG387" s="39"/>
      <c r="CH387" s="39"/>
      <c r="CI387" s="25">
        <v>3</v>
      </c>
    </row>
    <row r="388" spans="1:87" ht="24.75" customHeight="1">
      <c r="A388" s="36" t="s">
        <v>51</v>
      </c>
      <c r="B388" s="28"/>
      <c r="C388" s="41"/>
      <c r="D388" s="36"/>
      <c r="E388" s="39"/>
      <c r="F388" s="39"/>
      <c r="G388" s="36"/>
      <c r="H388" s="39"/>
      <c r="I388" s="39"/>
      <c r="J388" s="39"/>
      <c r="K388" s="39"/>
      <c r="L388" s="39">
        <f t="shared" si="352"/>
        <v>0</v>
      </c>
      <c r="M388" s="39"/>
      <c r="N388" s="39"/>
      <c r="O388" s="39"/>
      <c r="P388" s="39"/>
      <c r="Q388" s="39"/>
      <c r="R388" s="39">
        <f t="shared" si="403"/>
        <v>0</v>
      </c>
      <c r="S388" s="39"/>
      <c r="T388" s="39"/>
      <c r="U388" s="39"/>
      <c r="V388" s="39"/>
      <c r="W388" s="39"/>
      <c r="X388" s="39"/>
      <c r="Y388" s="39"/>
      <c r="Z388" s="39"/>
      <c r="AA388" s="39"/>
      <c r="AB388" s="39">
        <f t="shared" si="404"/>
        <v>0</v>
      </c>
      <c r="AC388" s="39"/>
      <c r="AD388" s="39"/>
      <c r="AE388" s="39"/>
      <c r="AF388" s="39"/>
      <c r="AG388" s="39"/>
      <c r="AH388" s="39">
        <f t="shared" si="3"/>
        <v>0</v>
      </c>
      <c r="AI388" s="39"/>
      <c r="AJ388" s="39"/>
      <c r="AK388" s="39"/>
      <c r="AL388" s="39"/>
      <c r="AM388" s="39"/>
      <c r="AN388" s="39">
        <f t="shared" si="405"/>
        <v>0</v>
      </c>
      <c r="AO388" s="39"/>
      <c r="AP388" s="39"/>
      <c r="AQ388" s="39"/>
      <c r="AR388" s="39"/>
      <c r="AS388" s="39"/>
      <c r="AT388" s="39">
        <f t="shared" si="5"/>
        <v>0</v>
      </c>
      <c r="AU388" s="39"/>
      <c r="AV388" s="39"/>
      <c r="AW388" s="39"/>
      <c r="AX388" s="39"/>
      <c r="AY388" s="39"/>
      <c r="AZ388" s="39">
        <f t="shared" si="6"/>
        <v>0</v>
      </c>
      <c r="BA388" s="39"/>
      <c r="BB388" s="39"/>
      <c r="BC388" s="39"/>
      <c r="BD388" s="39"/>
      <c r="BE388" s="39"/>
      <c r="BF388" s="39">
        <f t="shared" si="7"/>
        <v>0</v>
      </c>
      <c r="BG388" s="39"/>
      <c r="BH388" s="39"/>
      <c r="BI388" s="39"/>
      <c r="BJ388" s="39"/>
      <c r="BK388" s="39"/>
      <c r="BL388" s="39">
        <f t="shared" si="8"/>
        <v>0</v>
      </c>
      <c r="BM388" s="54" t="e">
        <f t="shared" si="9"/>
        <v>#DIV/0!</v>
      </c>
      <c r="BN388" s="63"/>
      <c r="BO388" s="39"/>
      <c r="BP388" s="39"/>
      <c r="BQ388" s="39"/>
      <c r="BR388" s="40"/>
      <c r="BS388" s="40"/>
      <c r="BT388" s="39"/>
      <c r="BU388" s="39"/>
      <c r="BV388" s="39"/>
      <c r="BW388" s="39"/>
      <c r="BX388" s="39"/>
      <c r="BY388" s="39"/>
      <c r="BZ388" s="39">
        <f t="shared" si="10"/>
        <v>0</v>
      </c>
      <c r="CA388" s="39">
        <f t="shared" si="11"/>
        <v>0</v>
      </c>
      <c r="CB388" s="39">
        <f t="shared" si="12"/>
        <v>0</v>
      </c>
      <c r="CC388" s="39">
        <f t="shared" si="13"/>
        <v>0</v>
      </c>
      <c r="CD388" s="39">
        <f t="shared" si="14"/>
        <v>0</v>
      </c>
      <c r="CE388" s="47" t="e">
        <f t="shared" si="15"/>
        <v>#DIV/0!</v>
      </c>
      <c r="CF388" s="36"/>
      <c r="CG388" s="39"/>
      <c r="CH388" s="39"/>
      <c r="CI388" s="25">
        <v>3</v>
      </c>
    </row>
    <row r="389" spans="1:87" ht="24.75" customHeight="1">
      <c r="A389" s="36" t="s">
        <v>387</v>
      </c>
      <c r="B389" s="27">
        <v>47644</v>
      </c>
      <c r="C389" s="235">
        <v>15384571</v>
      </c>
      <c r="D389" s="36"/>
      <c r="E389" s="39">
        <v>160</v>
      </c>
      <c r="F389" s="39" t="s">
        <v>57</v>
      </c>
      <c r="G389" s="36" t="s">
        <v>351</v>
      </c>
      <c r="H389" s="36" t="s">
        <v>22</v>
      </c>
      <c r="I389" s="39">
        <v>45</v>
      </c>
      <c r="J389" s="39">
        <v>6</v>
      </c>
      <c r="K389" s="39"/>
      <c r="L389" s="39">
        <f t="shared" ref="L389" si="421">SUM(I389:K389)</f>
        <v>51</v>
      </c>
      <c r="M389" s="117">
        <v>46154</v>
      </c>
      <c r="N389" s="117">
        <v>46189</v>
      </c>
      <c r="O389" s="39"/>
      <c r="P389" s="39"/>
      <c r="Q389" s="39"/>
      <c r="R389" s="39">
        <f t="shared" si="403"/>
        <v>0</v>
      </c>
      <c r="S389" s="39" t="s">
        <v>590</v>
      </c>
      <c r="T389" s="39"/>
      <c r="U389" s="39"/>
      <c r="V389" s="117">
        <v>46157</v>
      </c>
      <c r="W389" s="39">
        <f>58+9</f>
        <v>67</v>
      </c>
      <c r="X389" s="117">
        <v>46211</v>
      </c>
      <c r="Y389" s="39">
        <f>43</f>
        <v>43</v>
      </c>
      <c r="Z389" s="39">
        <v>7</v>
      </c>
      <c r="AA389" s="39"/>
      <c r="AB389" s="120">
        <f t="shared" si="404"/>
        <v>50</v>
      </c>
      <c r="AC389" s="39"/>
      <c r="AD389" s="39"/>
      <c r="AE389" s="39"/>
      <c r="AF389" s="39"/>
      <c r="AG389" s="39"/>
      <c r="AH389" s="39">
        <f t="shared" si="3"/>
        <v>0</v>
      </c>
      <c r="AI389" s="39"/>
      <c r="AJ389" s="39"/>
      <c r="AK389" s="39"/>
      <c r="AL389" s="39"/>
      <c r="AM389" s="39"/>
      <c r="AN389" s="39">
        <f t="shared" si="405"/>
        <v>0</v>
      </c>
      <c r="AO389" s="39"/>
      <c r="AP389" s="39"/>
      <c r="AQ389" s="39"/>
      <c r="AR389" s="39"/>
      <c r="AS389" s="39"/>
      <c r="AT389" s="39">
        <f t="shared" si="5"/>
        <v>0</v>
      </c>
      <c r="AU389" s="39"/>
      <c r="AV389" s="39"/>
      <c r="AW389" s="39"/>
      <c r="AX389" s="39"/>
      <c r="AY389" s="39"/>
      <c r="AZ389" s="39">
        <f t="shared" si="6"/>
        <v>0</v>
      </c>
      <c r="BA389" s="39"/>
      <c r="BB389" s="39"/>
      <c r="BC389" s="39"/>
      <c r="BD389" s="39"/>
      <c r="BE389" s="39"/>
      <c r="BF389" s="39">
        <f t="shared" si="7"/>
        <v>0</v>
      </c>
      <c r="BG389" s="39"/>
      <c r="BH389" s="39"/>
      <c r="BI389" s="39"/>
      <c r="BJ389" s="39"/>
      <c r="BK389" s="39"/>
      <c r="BL389" s="39">
        <f t="shared" si="8"/>
        <v>0</v>
      </c>
      <c r="BM389" s="54" t="str">
        <f t="shared" si="9"/>
        <v/>
      </c>
      <c r="BN389" s="58">
        <v>46178</v>
      </c>
      <c r="BO389" s="57">
        <v>46190</v>
      </c>
      <c r="BP389" s="36"/>
      <c r="BQ389" s="36"/>
      <c r="BR389" s="237">
        <v>46190</v>
      </c>
      <c r="BS389" s="237">
        <v>46218</v>
      </c>
      <c r="BT389" s="39" t="s">
        <v>1633</v>
      </c>
      <c r="BU389" s="39">
        <f>33+13+10</f>
        <v>56</v>
      </c>
      <c r="BV389" s="39">
        <v>1805</v>
      </c>
      <c r="BW389" s="39">
        <v>6</v>
      </c>
      <c r="BX389" s="39"/>
      <c r="BY389" s="39"/>
      <c r="BZ389" s="39">
        <f t="shared" si="10"/>
        <v>62</v>
      </c>
      <c r="CA389" s="39">
        <f t="shared" si="11"/>
        <v>11</v>
      </c>
      <c r="CB389" s="39">
        <f t="shared" si="12"/>
        <v>0</v>
      </c>
      <c r="CC389" s="39">
        <f t="shared" si="13"/>
        <v>0</v>
      </c>
      <c r="CD389" s="39">
        <f t="shared" si="14"/>
        <v>0</v>
      </c>
      <c r="CE389" s="102">
        <f t="shared" si="15"/>
        <v>0</v>
      </c>
      <c r="CF389" s="36" t="s">
        <v>293</v>
      </c>
      <c r="CG389" s="39" t="s">
        <v>221</v>
      </c>
      <c r="CH389" s="39" t="s">
        <v>1616</v>
      </c>
      <c r="CI389" s="25">
        <v>1</v>
      </c>
    </row>
    <row r="390" spans="1:87" ht="24.75" customHeight="1">
      <c r="A390" s="36" t="s">
        <v>387</v>
      </c>
      <c r="B390" s="27">
        <v>47644</v>
      </c>
      <c r="C390" s="240"/>
      <c r="D390" s="36"/>
      <c r="E390" s="39">
        <v>160</v>
      </c>
      <c r="F390" s="39" t="s">
        <v>57</v>
      </c>
      <c r="G390" s="36" t="s">
        <v>401</v>
      </c>
      <c r="H390" s="36" t="s">
        <v>22</v>
      </c>
      <c r="I390" s="39">
        <v>52</v>
      </c>
      <c r="J390" s="39">
        <v>7</v>
      </c>
      <c r="K390" s="39"/>
      <c r="L390" s="39">
        <f t="shared" ref="L390:L393" si="422">SUM(I390:K390)</f>
        <v>59</v>
      </c>
      <c r="M390" s="117">
        <v>46154</v>
      </c>
      <c r="N390" s="117">
        <v>46189</v>
      </c>
      <c r="O390" s="39"/>
      <c r="P390" s="39"/>
      <c r="Q390" s="39"/>
      <c r="R390" s="39">
        <f t="shared" si="403"/>
        <v>0</v>
      </c>
      <c r="S390" s="39" t="s">
        <v>130</v>
      </c>
      <c r="T390" s="39">
        <v>106548</v>
      </c>
      <c r="U390" s="117">
        <v>46195</v>
      </c>
      <c r="V390" s="39"/>
      <c r="W390" s="39"/>
      <c r="X390" s="39"/>
      <c r="Y390" s="39">
        <v>66</v>
      </c>
      <c r="Z390" s="39">
        <v>10</v>
      </c>
      <c r="AA390" s="39"/>
      <c r="AB390" s="119">
        <f t="shared" si="404"/>
        <v>76</v>
      </c>
      <c r="AC390" s="39"/>
      <c r="AD390" s="39"/>
      <c r="AE390" s="39"/>
      <c r="AF390" s="39"/>
      <c r="AG390" s="39"/>
      <c r="AH390" s="39">
        <f t="shared" si="3"/>
        <v>0</v>
      </c>
      <c r="AI390" s="39"/>
      <c r="AJ390" s="39"/>
      <c r="AK390" s="39"/>
      <c r="AL390" s="39"/>
      <c r="AM390" s="39"/>
      <c r="AN390" s="39">
        <f t="shared" si="405"/>
        <v>0</v>
      </c>
      <c r="AO390" s="39"/>
      <c r="AP390" s="39"/>
      <c r="AQ390" s="39"/>
      <c r="AR390" s="39"/>
      <c r="AS390" s="39"/>
      <c r="AT390" s="39">
        <f t="shared" si="5"/>
        <v>0</v>
      </c>
      <c r="AU390" s="39"/>
      <c r="AV390" s="39"/>
      <c r="AW390" s="39"/>
      <c r="AX390" s="39"/>
      <c r="AY390" s="39"/>
      <c r="AZ390" s="39">
        <f t="shared" si="6"/>
        <v>0</v>
      </c>
      <c r="BA390" s="39"/>
      <c r="BB390" s="39"/>
      <c r="BC390" s="39"/>
      <c r="BD390" s="39"/>
      <c r="BE390" s="39"/>
      <c r="BF390" s="39">
        <f t="shared" si="7"/>
        <v>0</v>
      </c>
      <c r="BG390" s="39"/>
      <c r="BH390" s="39"/>
      <c r="BI390" s="39"/>
      <c r="BJ390" s="39"/>
      <c r="BK390" s="39"/>
      <c r="BL390" s="39">
        <f t="shared" si="8"/>
        <v>0</v>
      </c>
      <c r="BM390" s="54" t="str">
        <f t="shared" si="9"/>
        <v/>
      </c>
      <c r="BN390" s="58">
        <v>46178</v>
      </c>
      <c r="BO390" s="57">
        <v>46190</v>
      </c>
      <c r="BP390" s="36"/>
      <c r="BQ390" s="36"/>
      <c r="BR390" s="238"/>
      <c r="BS390" s="238"/>
      <c r="BT390" s="39">
        <v>2120</v>
      </c>
      <c r="BU390" s="39">
        <v>52</v>
      </c>
      <c r="BV390" s="39">
        <v>2150</v>
      </c>
      <c r="BW390" s="39">
        <v>8</v>
      </c>
      <c r="BX390" s="39"/>
      <c r="BY390" s="39"/>
      <c r="BZ390" s="39">
        <f t="shared" si="10"/>
        <v>60</v>
      </c>
      <c r="CA390" s="39">
        <f t="shared" si="11"/>
        <v>0</v>
      </c>
      <c r="CB390" s="39">
        <f t="shared" si="12"/>
        <v>1</v>
      </c>
      <c r="CC390" s="39">
        <f t="shared" si="13"/>
        <v>0</v>
      </c>
      <c r="CD390" s="39">
        <f t="shared" si="14"/>
        <v>0</v>
      </c>
      <c r="CE390" s="102">
        <f t="shared" si="15"/>
        <v>0</v>
      </c>
      <c r="CF390" s="36" t="s">
        <v>293</v>
      </c>
      <c r="CG390" s="39" t="s">
        <v>221</v>
      </c>
      <c r="CH390" s="39" t="s">
        <v>973</v>
      </c>
      <c r="CI390" s="25">
        <v>1</v>
      </c>
    </row>
    <row r="391" spans="1:87" ht="24.75" customHeight="1">
      <c r="A391" s="36" t="s">
        <v>387</v>
      </c>
      <c r="B391" s="27">
        <v>47644</v>
      </c>
      <c r="C391" s="236"/>
      <c r="D391" s="36"/>
      <c r="E391" s="39">
        <v>160</v>
      </c>
      <c r="F391" s="39" t="s">
        <v>57</v>
      </c>
      <c r="G391" s="36" t="s">
        <v>47</v>
      </c>
      <c r="H391" s="36" t="s">
        <v>22</v>
      </c>
      <c r="I391" s="39">
        <v>47</v>
      </c>
      <c r="J391" s="39">
        <v>6</v>
      </c>
      <c r="K391" s="39"/>
      <c r="L391" s="39">
        <f t="shared" si="422"/>
        <v>53</v>
      </c>
      <c r="M391" s="117">
        <v>46154</v>
      </c>
      <c r="N391" s="117">
        <v>46189</v>
      </c>
      <c r="O391" s="39"/>
      <c r="P391" s="39"/>
      <c r="Q391" s="39"/>
      <c r="R391" s="39">
        <f t="shared" si="403"/>
        <v>0</v>
      </c>
      <c r="S391" s="39" t="s">
        <v>130</v>
      </c>
      <c r="T391" s="39">
        <v>106921</v>
      </c>
      <c r="U391" s="117">
        <v>46188</v>
      </c>
      <c r="V391" s="39"/>
      <c r="W391" s="39"/>
      <c r="X391" s="39"/>
      <c r="Y391" s="39">
        <v>60</v>
      </c>
      <c r="Z391" s="39">
        <v>9</v>
      </c>
      <c r="AA391" s="39"/>
      <c r="AB391" s="119">
        <f t="shared" si="404"/>
        <v>69</v>
      </c>
      <c r="AC391" s="39"/>
      <c r="AD391" s="39"/>
      <c r="AE391" s="39"/>
      <c r="AF391" s="39"/>
      <c r="AG391" s="39"/>
      <c r="AH391" s="39">
        <f t="shared" si="3"/>
        <v>0</v>
      </c>
      <c r="AI391" s="39"/>
      <c r="AJ391" s="39"/>
      <c r="AK391" s="39"/>
      <c r="AL391" s="39"/>
      <c r="AM391" s="39"/>
      <c r="AN391" s="39">
        <f t="shared" si="405"/>
        <v>0</v>
      </c>
      <c r="AO391" s="39"/>
      <c r="AP391" s="39"/>
      <c r="AQ391" s="39"/>
      <c r="AR391" s="39"/>
      <c r="AS391" s="39"/>
      <c r="AT391" s="39">
        <f t="shared" si="5"/>
        <v>0</v>
      </c>
      <c r="AU391" s="39"/>
      <c r="AV391" s="39"/>
      <c r="AW391" s="39"/>
      <c r="AX391" s="39"/>
      <c r="AY391" s="39"/>
      <c r="AZ391" s="39">
        <f t="shared" si="6"/>
        <v>0</v>
      </c>
      <c r="BA391" s="39"/>
      <c r="BB391" s="39"/>
      <c r="BC391" s="39"/>
      <c r="BD391" s="39"/>
      <c r="BE391" s="39"/>
      <c r="BF391" s="39">
        <f t="shared" si="7"/>
        <v>0</v>
      </c>
      <c r="BG391" s="39"/>
      <c r="BH391" s="39"/>
      <c r="BI391" s="39"/>
      <c r="BJ391" s="39"/>
      <c r="BK391" s="39"/>
      <c r="BL391" s="39">
        <f t="shared" si="8"/>
        <v>0</v>
      </c>
      <c r="BM391" s="54" t="str">
        <f t="shared" si="9"/>
        <v/>
      </c>
      <c r="BN391" s="58">
        <v>46178</v>
      </c>
      <c r="BO391" s="57">
        <v>46190</v>
      </c>
      <c r="BP391" s="36"/>
      <c r="BQ391" s="36"/>
      <c r="BR391" s="239"/>
      <c r="BS391" s="239"/>
      <c r="BT391" s="39">
        <v>1743</v>
      </c>
      <c r="BU391" s="39">
        <v>48</v>
      </c>
      <c r="BV391" s="39">
        <v>2113</v>
      </c>
      <c r="BW391" s="39">
        <f>6</f>
        <v>6</v>
      </c>
      <c r="BX391" s="39"/>
      <c r="BY391" s="39"/>
      <c r="BZ391" s="39">
        <f t="shared" si="10"/>
        <v>54</v>
      </c>
      <c r="CA391" s="39">
        <f t="shared" si="11"/>
        <v>1</v>
      </c>
      <c r="CB391" s="39">
        <f t="shared" si="12"/>
        <v>0</v>
      </c>
      <c r="CC391" s="39">
        <f t="shared" si="13"/>
        <v>0</v>
      </c>
      <c r="CD391" s="39">
        <f t="shared" si="14"/>
        <v>0</v>
      </c>
      <c r="CE391" s="102">
        <f t="shared" si="15"/>
        <v>0</v>
      </c>
      <c r="CF391" s="36" t="s">
        <v>293</v>
      </c>
      <c r="CG391" s="39" t="s">
        <v>221</v>
      </c>
      <c r="CH391" s="39" t="s">
        <v>973</v>
      </c>
      <c r="CI391" s="25">
        <v>1</v>
      </c>
    </row>
    <row r="392" spans="1:87" ht="24.75" customHeight="1">
      <c r="A392" s="36" t="s">
        <v>387</v>
      </c>
      <c r="B392" s="27">
        <v>47649</v>
      </c>
      <c r="C392" s="235">
        <v>15384289</v>
      </c>
      <c r="D392" s="36"/>
      <c r="E392" s="39">
        <v>160</v>
      </c>
      <c r="F392" s="39" t="s">
        <v>57</v>
      </c>
      <c r="G392" s="36" t="s">
        <v>351</v>
      </c>
      <c r="H392" s="36" t="s">
        <v>22</v>
      </c>
      <c r="I392" s="39">
        <v>66</v>
      </c>
      <c r="J392" s="39">
        <v>8</v>
      </c>
      <c r="K392" s="39"/>
      <c r="L392" s="39">
        <f t="shared" si="422"/>
        <v>74</v>
      </c>
      <c r="M392" s="117">
        <v>46157</v>
      </c>
      <c r="N392" s="117">
        <v>46162</v>
      </c>
      <c r="O392" s="39"/>
      <c r="P392" s="39"/>
      <c r="Q392" s="39"/>
      <c r="R392" s="39">
        <f t="shared" si="403"/>
        <v>0</v>
      </c>
      <c r="S392" s="39" t="s">
        <v>590</v>
      </c>
      <c r="T392" s="39"/>
      <c r="U392" s="39"/>
      <c r="V392" s="117">
        <v>46157</v>
      </c>
      <c r="W392" s="39">
        <f>83+11</f>
        <v>94</v>
      </c>
      <c r="X392" s="117">
        <v>46211</v>
      </c>
      <c r="Y392" s="39">
        <f>62</f>
        <v>62</v>
      </c>
      <c r="Z392" s="39">
        <v>9</v>
      </c>
      <c r="AA392" s="39"/>
      <c r="AB392" s="120">
        <f t="shared" si="404"/>
        <v>71</v>
      </c>
      <c r="AC392" s="39"/>
      <c r="AD392" s="39"/>
      <c r="AE392" s="39"/>
      <c r="AF392" s="39"/>
      <c r="AG392" s="39"/>
      <c r="AH392" s="39">
        <f t="shared" si="3"/>
        <v>0</v>
      </c>
      <c r="AI392" s="39"/>
      <c r="AJ392" s="39"/>
      <c r="AK392" s="39"/>
      <c r="AL392" s="39"/>
      <c r="AM392" s="39"/>
      <c r="AN392" s="39">
        <f t="shared" si="405"/>
        <v>0</v>
      </c>
      <c r="AO392" s="39"/>
      <c r="AP392" s="39"/>
      <c r="AQ392" s="39"/>
      <c r="AR392" s="39"/>
      <c r="AS392" s="39"/>
      <c r="AT392" s="39">
        <f t="shared" si="5"/>
        <v>0</v>
      </c>
      <c r="AU392" s="39"/>
      <c r="AV392" s="39"/>
      <c r="AW392" s="39"/>
      <c r="AX392" s="39"/>
      <c r="AY392" s="39"/>
      <c r="AZ392" s="39">
        <f t="shared" si="6"/>
        <v>0</v>
      </c>
      <c r="BA392" s="39"/>
      <c r="BB392" s="39"/>
      <c r="BC392" s="39"/>
      <c r="BD392" s="39"/>
      <c r="BE392" s="39"/>
      <c r="BF392" s="39">
        <f t="shared" si="7"/>
        <v>0</v>
      </c>
      <c r="BG392" s="39"/>
      <c r="BH392" s="39"/>
      <c r="BI392" s="39"/>
      <c r="BJ392" s="39"/>
      <c r="BK392" s="39"/>
      <c r="BL392" s="39">
        <f t="shared" si="8"/>
        <v>0</v>
      </c>
      <c r="BM392" s="54" t="str">
        <f t="shared" si="9"/>
        <v/>
      </c>
      <c r="BN392" s="58">
        <v>46183</v>
      </c>
      <c r="BO392" s="57">
        <v>46196</v>
      </c>
      <c r="BP392" s="36"/>
      <c r="BQ392" s="36"/>
      <c r="BR392" s="237">
        <v>46190</v>
      </c>
      <c r="BS392" s="237">
        <v>46235</v>
      </c>
      <c r="BT392" s="39" t="s">
        <v>2097</v>
      </c>
      <c r="BU392" s="39">
        <f>62-13+16</f>
        <v>65</v>
      </c>
      <c r="BV392" s="39">
        <v>1805</v>
      </c>
      <c r="BW392" s="39">
        <v>8</v>
      </c>
      <c r="BX392" s="39"/>
      <c r="BY392" s="39"/>
      <c r="BZ392" s="39">
        <f t="shared" si="10"/>
        <v>73</v>
      </c>
      <c r="CA392" s="39">
        <f t="shared" si="11"/>
        <v>-1</v>
      </c>
      <c r="CB392" s="39">
        <f t="shared" si="12"/>
        <v>0</v>
      </c>
      <c r="CC392" s="39">
        <f t="shared" si="13"/>
        <v>0</v>
      </c>
      <c r="CD392" s="39">
        <v>0</v>
      </c>
      <c r="CE392" s="102">
        <f t="shared" si="15"/>
        <v>0</v>
      </c>
      <c r="CF392" s="36" t="s">
        <v>293</v>
      </c>
      <c r="CG392" s="39" t="s">
        <v>221</v>
      </c>
      <c r="CH392" s="39" t="s">
        <v>1617</v>
      </c>
      <c r="CI392" s="25">
        <v>1</v>
      </c>
    </row>
    <row r="393" spans="1:87" ht="24.75" customHeight="1">
      <c r="A393" s="36" t="s">
        <v>387</v>
      </c>
      <c r="B393" s="27">
        <v>47649</v>
      </c>
      <c r="C393" s="236"/>
      <c r="D393" s="36"/>
      <c r="E393" s="39">
        <v>160</v>
      </c>
      <c r="F393" s="39" t="s">
        <v>57</v>
      </c>
      <c r="G393" s="36" t="s">
        <v>47</v>
      </c>
      <c r="H393" s="36" t="s">
        <v>22</v>
      </c>
      <c r="I393" s="39">
        <v>61</v>
      </c>
      <c r="J393" s="39">
        <v>8</v>
      </c>
      <c r="K393" s="39"/>
      <c r="L393" s="39">
        <f t="shared" si="422"/>
        <v>69</v>
      </c>
      <c r="M393" s="117">
        <v>46157</v>
      </c>
      <c r="N393" s="117">
        <v>46162</v>
      </c>
      <c r="O393" s="39"/>
      <c r="P393" s="39"/>
      <c r="Q393" s="39"/>
      <c r="R393" s="39">
        <f t="shared" si="403"/>
        <v>0</v>
      </c>
      <c r="S393" s="39" t="s">
        <v>130</v>
      </c>
      <c r="T393" s="39">
        <v>106922</v>
      </c>
      <c r="U393" s="117">
        <v>46188</v>
      </c>
      <c r="V393" s="39"/>
      <c r="W393" s="39"/>
      <c r="X393" s="39"/>
      <c r="Y393" s="39">
        <v>75</v>
      </c>
      <c r="Z393" s="39">
        <v>11</v>
      </c>
      <c r="AA393" s="39"/>
      <c r="AB393" s="119">
        <f t="shared" si="404"/>
        <v>86</v>
      </c>
      <c r="AC393" s="39"/>
      <c r="AD393" s="39"/>
      <c r="AE393" s="39"/>
      <c r="AF393" s="39"/>
      <c r="AG393" s="39"/>
      <c r="AH393" s="39">
        <f t="shared" si="3"/>
        <v>0</v>
      </c>
      <c r="AI393" s="39"/>
      <c r="AJ393" s="39"/>
      <c r="AK393" s="39"/>
      <c r="AL393" s="39"/>
      <c r="AM393" s="39"/>
      <c r="AN393" s="39">
        <f t="shared" si="405"/>
        <v>0</v>
      </c>
      <c r="AO393" s="39"/>
      <c r="AP393" s="39"/>
      <c r="AQ393" s="39"/>
      <c r="AR393" s="39"/>
      <c r="AS393" s="39"/>
      <c r="AT393" s="39">
        <f t="shared" si="5"/>
        <v>0</v>
      </c>
      <c r="AU393" s="39"/>
      <c r="AV393" s="39"/>
      <c r="AW393" s="39"/>
      <c r="AX393" s="39"/>
      <c r="AY393" s="39"/>
      <c r="AZ393" s="39">
        <f t="shared" si="6"/>
        <v>0</v>
      </c>
      <c r="BA393" s="39"/>
      <c r="BB393" s="39"/>
      <c r="BC393" s="39"/>
      <c r="BD393" s="39"/>
      <c r="BE393" s="39"/>
      <c r="BF393" s="39">
        <f t="shared" si="7"/>
        <v>0</v>
      </c>
      <c r="BG393" s="39"/>
      <c r="BH393" s="39"/>
      <c r="BI393" s="39"/>
      <c r="BJ393" s="39"/>
      <c r="BK393" s="39"/>
      <c r="BL393" s="39">
        <f t="shared" si="8"/>
        <v>0</v>
      </c>
      <c r="BM393" s="54" t="str">
        <f t="shared" si="9"/>
        <v/>
      </c>
      <c r="BN393" s="58">
        <v>46183</v>
      </c>
      <c r="BO393" s="57">
        <v>46196</v>
      </c>
      <c r="BP393" s="36"/>
      <c r="BQ393" s="36"/>
      <c r="BR393" s="239"/>
      <c r="BS393" s="239"/>
      <c r="BT393" s="39">
        <v>1743</v>
      </c>
      <c r="BU393" s="39">
        <v>63</v>
      </c>
      <c r="BV393" s="39">
        <v>2113</v>
      </c>
      <c r="BW393" s="39">
        <v>10</v>
      </c>
      <c r="BX393" s="39"/>
      <c r="BY393" s="39"/>
      <c r="BZ393" s="39">
        <f t="shared" si="10"/>
        <v>73</v>
      </c>
      <c r="CA393" s="39">
        <f t="shared" si="11"/>
        <v>2</v>
      </c>
      <c r="CB393" s="39">
        <f t="shared" si="12"/>
        <v>2</v>
      </c>
      <c r="CC393" s="39">
        <f t="shared" si="13"/>
        <v>0</v>
      </c>
      <c r="CD393" s="39">
        <f t="shared" si="14"/>
        <v>0</v>
      </c>
      <c r="CE393" s="102">
        <f t="shared" si="15"/>
        <v>0</v>
      </c>
      <c r="CF393" s="36" t="s">
        <v>293</v>
      </c>
      <c r="CG393" s="39" t="s">
        <v>221</v>
      </c>
      <c r="CH393" s="39" t="s">
        <v>973</v>
      </c>
      <c r="CI393" s="25">
        <v>1</v>
      </c>
    </row>
    <row r="394" spans="1:87" ht="32.25" customHeight="1">
      <c r="A394" s="36" t="s">
        <v>387</v>
      </c>
      <c r="B394" s="105">
        <v>47486</v>
      </c>
      <c r="C394" s="36">
        <v>15390965</v>
      </c>
      <c r="D394" s="36" t="s">
        <v>37</v>
      </c>
      <c r="E394" s="39">
        <v>190</v>
      </c>
      <c r="F394" s="39" t="s">
        <v>58</v>
      </c>
      <c r="G394" s="36" t="s">
        <v>559</v>
      </c>
      <c r="H394" s="36" t="s">
        <v>504</v>
      </c>
      <c r="I394" s="39">
        <v>172</v>
      </c>
      <c r="J394" s="39"/>
      <c r="K394" s="39"/>
      <c r="L394" s="39">
        <f t="shared" ref="L394:L395" si="423">SUM(I394:K394)</f>
        <v>172</v>
      </c>
      <c r="M394" s="117">
        <v>46148</v>
      </c>
      <c r="N394" s="117">
        <v>46154</v>
      </c>
      <c r="O394" s="39"/>
      <c r="P394" s="39"/>
      <c r="Q394" s="39"/>
      <c r="R394" s="39">
        <f t="shared" si="403"/>
        <v>0</v>
      </c>
      <c r="S394" s="39" t="s">
        <v>130</v>
      </c>
      <c r="T394" s="39">
        <v>106430</v>
      </c>
      <c r="U394" s="117">
        <v>46178</v>
      </c>
      <c r="V394" s="39"/>
      <c r="W394" s="39"/>
      <c r="X394" s="39"/>
      <c r="Y394" s="39">
        <v>204</v>
      </c>
      <c r="Z394" s="39"/>
      <c r="AA394" s="39"/>
      <c r="AB394" s="119">
        <f t="shared" si="404"/>
        <v>204</v>
      </c>
      <c r="AC394" s="39" t="s">
        <v>139</v>
      </c>
      <c r="AD394" s="117">
        <v>46198</v>
      </c>
      <c r="AE394" s="39">
        <v>172</v>
      </c>
      <c r="AF394" s="117">
        <v>46203</v>
      </c>
      <c r="AG394" s="39">
        <v>171</v>
      </c>
      <c r="AH394" s="39">
        <f t="shared" ref="AH394:AH395" si="424">AG394-AE394</f>
        <v>-1</v>
      </c>
      <c r="AI394" s="39"/>
      <c r="AJ394" s="39"/>
      <c r="AK394" s="39"/>
      <c r="AL394" s="39"/>
      <c r="AM394" s="39"/>
      <c r="AN394" s="39">
        <f t="shared" si="405"/>
        <v>0</v>
      </c>
      <c r="AO394" s="39"/>
      <c r="AP394" s="39"/>
      <c r="AQ394" s="39"/>
      <c r="AR394" s="39"/>
      <c r="AS394" s="39"/>
      <c r="AT394" s="39">
        <f t="shared" ref="AT394:AT395" si="425">AS394-AQ394</f>
        <v>0</v>
      </c>
      <c r="AU394" s="39"/>
      <c r="AV394" s="39"/>
      <c r="AW394" s="39"/>
      <c r="AX394" s="39"/>
      <c r="AY394" s="39"/>
      <c r="AZ394" s="39">
        <f t="shared" ref="AZ394:AZ395" si="426">AY394-AW394</f>
        <v>0</v>
      </c>
      <c r="BA394" s="39"/>
      <c r="BB394" s="39"/>
      <c r="BC394" s="39"/>
      <c r="BD394" s="39"/>
      <c r="BE394" s="39"/>
      <c r="BF394" s="39">
        <f t="shared" ref="BF394:BF395" si="427">BE394-BC394</f>
        <v>0</v>
      </c>
      <c r="BG394" s="39"/>
      <c r="BH394" s="39"/>
      <c r="BI394" s="39"/>
      <c r="BJ394" s="39"/>
      <c r="BK394" s="39"/>
      <c r="BL394" s="39">
        <f t="shared" ref="BL394:BL395" si="428">BK394-BI394</f>
        <v>0</v>
      </c>
      <c r="BM394" s="54" t="str">
        <f t="shared" ref="BM394:BM395" si="429">IF((BZ394/L394)&lt;0.9,$CO$1-U394,"")</f>
        <v/>
      </c>
      <c r="BN394" s="56">
        <v>46160</v>
      </c>
      <c r="BO394" s="117">
        <v>46179</v>
      </c>
      <c r="BP394" s="117">
        <v>46183</v>
      </c>
      <c r="BQ394" s="117">
        <v>46189</v>
      </c>
      <c r="BR394" s="50">
        <v>46205</v>
      </c>
      <c r="BS394" s="50">
        <v>46205</v>
      </c>
      <c r="BT394" s="39">
        <v>2215</v>
      </c>
      <c r="BU394" s="39">
        <v>170</v>
      </c>
      <c r="BV394" s="39"/>
      <c r="BW394" s="39"/>
      <c r="BX394" s="39"/>
      <c r="BY394" s="39"/>
      <c r="BZ394" s="39">
        <f t="shared" ref="BZ394:BZ395" si="430">BU394+BW394+BY394</f>
        <v>170</v>
      </c>
      <c r="CA394" s="39">
        <f t="shared" ref="CA394:CA395" si="431">BU394-I394</f>
        <v>-2</v>
      </c>
      <c r="CB394" s="39">
        <f t="shared" ref="CB394:CB395" si="432">BW394-J394</f>
        <v>0</v>
      </c>
      <c r="CC394" s="39">
        <f t="shared" ref="CC394:CC395" si="433">BY394-K394</f>
        <v>0</v>
      </c>
      <c r="CD394" s="39">
        <v>0</v>
      </c>
      <c r="CE394" s="47">
        <f t="shared" ref="CE394:CE395" si="434">CD394/L394</f>
        <v>0</v>
      </c>
      <c r="CF394" s="36" t="s">
        <v>249</v>
      </c>
      <c r="CG394" s="39" t="s">
        <v>222</v>
      </c>
      <c r="CH394" s="39"/>
      <c r="CI394" s="25">
        <v>1</v>
      </c>
    </row>
    <row r="395" spans="1:87" ht="36" customHeight="1">
      <c r="A395" s="36" t="s">
        <v>387</v>
      </c>
      <c r="B395" s="105">
        <v>47487</v>
      </c>
      <c r="C395" s="36" t="s">
        <v>565</v>
      </c>
      <c r="D395" s="36" t="s">
        <v>37</v>
      </c>
      <c r="E395" s="39">
        <v>190</v>
      </c>
      <c r="F395" s="39" t="s">
        <v>58</v>
      </c>
      <c r="G395" s="36" t="s">
        <v>559</v>
      </c>
      <c r="H395" s="36" t="s">
        <v>504</v>
      </c>
      <c r="I395" s="39">
        <f>286+44</f>
        <v>330</v>
      </c>
      <c r="J395" s="39"/>
      <c r="K395" s="39"/>
      <c r="L395" s="39">
        <f t="shared" si="423"/>
        <v>330</v>
      </c>
      <c r="M395" s="117">
        <v>46148</v>
      </c>
      <c r="N395" s="117">
        <v>46159</v>
      </c>
      <c r="O395" s="39"/>
      <c r="P395" s="39"/>
      <c r="Q395" s="39"/>
      <c r="R395" s="39">
        <f t="shared" si="403"/>
        <v>0</v>
      </c>
      <c r="S395" s="39" t="s">
        <v>130</v>
      </c>
      <c r="T395" s="39">
        <v>106431</v>
      </c>
      <c r="U395" s="117">
        <v>46178</v>
      </c>
      <c r="V395" s="39"/>
      <c r="W395" s="39"/>
      <c r="X395" s="39"/>
      <c r="Y395" s="39">
        <v>369</v>
      </c>
      <c r="Z395" s="39"/>
      <c r="AA395" s="39"/>
      <c r="AB395" s="119">
        <f t="shared" si="404"/>
        <v>369</v>
      </c>
      <c r="AC395" s="39" t="s">
        <v>139</v>
      </c>
      <c r="AD395" s="117">
        <v>46198</v>
      </c>
      <c r="AE395" s="39">
        <v>330</v>
      </c>
      <c r="AF395" s="117" t="s">
        <v>1256</v>
      </c>
      <c r="AG395" s="39">
        <f>5+320</f>
        <v>325</v>
      </c>
      <c r="AH395" s="39">
        <f t="shared" si="424"/>
        <v>-5</v>
      </c>
      <c r="AI395" s="39"/>
      <c r="AJ395" s="39"/>
      <c r="AK395" s="39"/>
      <c r="AL395" s="39"/>
      <c r="AM395" s="39"/>
      <c r="AN395" s="39">
        <f t="shared" si="405"/>
        <v>0</v>
      </c>
      <c r="AO395" s="39"/>
      <c r="AP395" s="39"/>
      <c r="AQ395" s="39"/>
      <c r="AR395" s="39"/>
      <c r="AS395" s="39"/>
      <c r="AT395" s="39">
        <f t="shared" si="425"/>
        <v>0</v>
      </c>
      <c r="AU395" s="39"/>
      <c r="AV395" s="39"/>
      <c r="AW395" s="39"/>
      <c r="AX395" s="39"/>
      <c r="AY395" s="39"/>
      <c r="AZ395" s="39">
        <f t="shared" si="426"/>
        <v>0</v>
      </c>
      <c r="BA395" s="39"/>
      <c r="BB395" s="39"/>
      <c r="BC395" s="39"/>
      <c r="BD395" s="39"/>
      <c r="BE395" s="39"/>
      <c r="BF395" s="39">
        <f t="shared" si="427"/>
        <v>0</v>
      </c>
      <c r="BG395" s="39"/>
      <c r="BH395" s="39"/>
      <c r="BI395" s="39"/>
      <c r="BJ395" s="39"/>
      <c r="BK395" s="39"/>
      <c r="BL395" s="39">
        <f t="shared" si="428"/>
        <v>0</v>
      </c>
      <c r="BM395" s="54" t="str">
        <f t="shared" si="429"/>
        <v/>
      </c>
      <c r="BN395" s="56">
        <v>46160</v>
      </c>
      <c r="BO395" s="117">
        <v>46179</v>
      </c>
      <c r="BP395" s="117">
        <v>46182</v>
      </c>
      <c r="BQ395" s="117">
        <v>46188</v>
      </c>
      <c r="BR395" s="50">
        <v>46205</v>
      </c>
      <c r="BS395" s="50">
        <v>46205</v>
      </c>
      <c r="BT395" s="39">
        <v>2215</v>
      </c>
      <c r="BU395" s="39">
        <f>319</f>
        <v>319</v>
      </c>
      <c r="BV395" s="39"/>
      <c r="BW395" s="39"/>
      <c r="BX395" s="39"/>
      <c r="BY395" s="39"/>
      <c r="BZ395" s="39">
        <f t="shared" si="430"/>
        <v>319</v>
      </c>
      <c r="CA395" s="39">
        <f t="shared" si="431"/>
        <v>-11</v>
      </c>
      <c r="CB395" s="39">
        <f t="shared" si="432"/>
        <v>0</v>
      </c>
      <c r="CC395" s="39">
        <f t="shared" si="433"/>
        <v>0</v>
      </c>
      <c r="CD395" s="39">
        <v>0</v>
      </c>
      <c r="CE395" s="47">
        <f t="shared" si="434"/>
        <v>0</v>
      </c>
      <c r="CF395" s="36" t="s">
        <v>249</v>
      </c>
      <c r="CG395" s="39" t="s">
        <v>222</v>
      </c>
      <c r="CH395" s="39"/>
      <c r="CI395" s="25">
        <v>1</v>
      </c>
    </row>
    <row r="396" spans="1:87" ht="24.75" customHeight="1">
      <c r="A396" s="36" t="s">
        <v>387</v>
      </c>
      <c r="B396" s="27" t="s">
        <v>598</v>
      </c>
      <c r="C396" s="227" t="s">
        <v>631</v>
      </c>
      <c r="D396" s="36"/>
      <c r="E396" s="39">
        <v>180</v>
      </c>
      <c r="F396" s="39" t="s">
        <v>55</v>
      </c>
      <c r="G396" s="36" t="s">
        <v>23</v>
      </c>
      <c r="H396" s="39" t="s">
        <v>87</v>
      </c>
      <c r="I396" s="39">
        <v>623</v>
      </c>
      <c r="J396" s="39"/>
      <c r="K396" s="39"/>
      <c r="L396" s="39">
        <f t="shared" ref="L396:L407" si="435">SUM(I396:K396)</f>
        <v>623</v>
      </c>
      <c r="M396" s="117">
        <v>46152</v>
      </c>
      <c r="N396" s="117">
        <v>46157</v>
      </c>
      <c r="O396" s="39"/>
      <c r="P396" s="39"/>
      <c r="Q396" s="39"/>
      <c r="R396" s="39">
        <f t="shared" ref="R396:R424" si="436">SUM(O396:Q396)</f>
        <v>0</v>
      </c>
      <c r="S396" s="39" t="s">
        <v>100</v>
      </c>
      <c r="T396" s="39"/>
      <c r="U396" s="39"/>
      <c r="V396" s="117">
        <v>46158</v>
      </c>
      <c r="W396" s="39">
        <v>687</v>
      </c>
      <c r="X396" s="117" t="s">
        <v>1057</v>
      </c>
      <c r="Y396" s="39">
        <f>563+73</f>
        <v>636</v>
      </c>
      <c r="Z396" s="39"/>
      <c r="AA396" s="39"/>
      <c r="AB396" s="119">
        <f t="shared" ref="AB396:AB426" si="437">SUM(Y396:AA396)</f>
        <v>636</v>
      </c>
      <c r="AC396" s="39"/>
      <c r="AD396" s="39"/>
      <c r="AE396" s="39"/>
      <c r="AF396" s="39"/>
      <c r="AG396" s="39"/>
      <c r="AH396" s="39">
        <f t="shared" si="3"/>
        <v>0</v>
      </c>
      <c r="AI396" s="39"/>
      <c r="AJ396" s="39"/>
      <c r="AK396" s="39"/>
      <c r="AL396" s="39"/>
      <c r="AM396" s="39"/>
      <c r="AN396" s="39">
        <f t="shared" si="405"/>
        <v>0</v>
      </c>
      <c r="AO396" s="39"/>
      <c r="AP396" s="39"/>
      <c r="AQ396" s="39"/>
      <c r="AR396" s="39"/>
      <c r="AS396" s="39"/>
      <c r="AT396" s="39">
        <f t="shared" si="5"/>
        <v>0</v>
      </c>
      <c r="AU396" s="39"/>
      <c r="AV396" s="39"/>
      <c r="AW396" s="39"/>
      <c r="AX396" s="39"/>
      <c r="AY396" s="39"/>
      <c r="AZ396" s="39">
        <f t="shared" si="6"/>
        <v>0</v>
      </c>
      <c r="BA396" s="39"/>
      <c r="BB396" s="39"/>
      <c r="BC396" s="39"/>
      <c r="BD396" s="39"/>
      <c r="BE396" s="39"/>
      <c r="BF396" s="39">
        <f t="shared" si="7"/>
        <v>0</v>
      </c>
      <c r="BG396" s="39"/>
      <c r="BH396" s="39"/>
      <c r="BI396" s="39"/>
      <c r="BJ396" s="39"/>
      <c r="BK396" s="39"/>
      <c r="BL396" s="39">
        <f t="shared" si="8"/>
        <v>0</v>
      </c>
      <c r="BM396" s="54" t="str">
        <f t="shared" si="9"/>
        <v/>
      </c>
      <c r="BN396" s="56">
        <v>46178</v>
      </c>
      <c r="BO396" s="117">
        <v>46184</v>
      </c>
      <c r="BP396" s="39"/>
      <c r="BQ396" s="39"/>
      <c r="BR396" s="229">
        <v>46188</v>
      </c>
      <c r="BS396" s="229">
        <v>46191</v>
      </c>
      <c r="BT396" s="39" t="s">
        <v>1080</v>
      </c>
      <c r="BU396" s="39">
        <f>563+73</f>
        <v>636</v>
      </c>
      <c r="BV396" s="39"/>
      <c r="BW396" s="39"/>
      <c r="BX396" s="39"/>
      <c r="BY396" s="39"/>
      <c r="BZ396" s="39">
        <f t="shared" si="10"/>
        <v>636</v>
      </c>
      <c r="CA396" s="39">
        <f t="shared" si="11"/>
        <v>13</v>
      </c>
      <c r="CB396" s="39">
        <f t="shared" si="12"/>
        <v>0</v>
      </c>
      <c r="CC396" s="39">
        <f t="shared" si="13"/>
        <v>0</v>
      </c>
      <c r="CD396" s="39">
        <f t="shared" si="14"/>
        <v>0</v>
      </c>
      <c r="CE396" s="102">
        <f t="shared" si="15"/>
        <v>0</v>
      </c>
      <c r="CF396" s="36" t="s">
        <v>249</v>
      </c>
      <c r="CG396" s="39" t="s">
        <v>222</v>
      </c>
      <c r="CH396" s="39"/>
      <c r="CI396" s="25">
        <v>1</v>
      </c>
    </row>
    <row r="397" spans="1:87" ht="24.75" customHeight="1">
      <c r="A397" s="36" t="s">
        <v>387</v>
      </c>
      <c r="B397" s="27" t="s">
        <v>598</v>
      </c>
      <c r="C397" s="228"/>
      <c r="D397" s="36"/>
      <c r="E397" s="39">
        <v>180</v>
      </c>
      <c r="F397" s="39" t="s">
        <v>55</v>
      </c>
      <c r="G397" s="36" t="s">
        <v>21</v>
      </c>
      <c r="H397" s="39" t="s">
        <v>87</v>
      </c>
      <c r="I397" s="39">
        <v>594</v>
      </c>
      <c r="J397" s="39"/>
      <c r="K397" s="39"/>
      <c r="L397" s="39">
        <f t="shared" si="435"/>
        <v>594</v>
      </c>
      <c r="M397" s="117">
        <v>46152</v>
      </c>
      <c r="N397" s="117">
        <v>46157</v>
      </c>
      <c r="O397" s="39"/>
      <c r="P397" s="39"/>
      <c r="Q397" s="39"/>
      <c r="R397" s="39">
        <f t="shared" si="436"/>
        <v>0</v>
      </c>
      <c r="S397" s="39" t="s">
        <v>130</v>
      </c>
      <c r="T397" s="39">
        <v>106824</v>
      </c>
      <c r="U397" s="117">
        <v>46185</v>
      </c>
      <c r="V397" s="39"/>
      <c r="W397" s="39"/>
      <c r="X397" s="39"/>
      <c r="Y397" s="39">
        <v>673</v>
      </c>
      <c r="Z397" s="39"/>
      <c r="AA397" s="39"/>
      <c r="AB397" s="119">
        <f t="shared" si="437"/>
        <v>673</v>
      </c>
      <c r="AC397" s="39"/>
      <c r="AD397" s="39"/>
      <c r="AE397" s="39"/>
      <c r="AF397" s="39"/>
      <c r="AG397" s="39"/>
      <c r="AH397" s="39">
        <f t="shared" si="3"/>
        <v>0</v>
      </c>
      <c r="AI397" s="39"/>
      <c r="AJ397" s="39"/>
      <c r="AK397" s="39"/>
      <c r="AL397" s="39"/>
      <c r="AM397" s="39"/>
      <c r="AN397" s="39">
        <f t="shared" si="405"/>
        <v>0</v>
      </c>
      <c r="AO397" s="39"/>
      <c r="AP397" s="39"/>
      <c r="AQ397" s="39"/>
      <c r="AR397" s="39"/>
      <c r="AS397" s="39"/>
      <c r="AT397" s="39">
        <f t="shared" si="5"/>
        <v>0</v>
      </c>
      <c r="AU397" s="39"/>
      <c r="AV397" s="39"/>
      <c r="AW397" s="39"/>
      <c r="AX397" s="39"/>
      <c r="AY397" s="39"/>
      <c r="AZ397" s="39">
        <f t="shared" si="6"/>
        <v>0</v>
      </c>
      <c r="BA397" s="39"/>
      <c r="BB397" s="39"/>
      <c r="BC397" s="39"/>
      <c r="BD397" s="39"/>
      <c r="BE397" s="39"/>
      <c r="BF397" s="39">
        <f t="shared" si="7"/>
        <v>0</v>
      </c>
      <c r="BG397" s="39"/>
      <c r="BH397" s="39"/>
      <c r="BI397" s="39"/>
      <c r="BJ397" s="39"/>
      <c r="BK397" s="39"/>
      <c r="BL397" s="39">
        <f t="shared" si="8"/>
        <v>0</v>
      </c>
      <c r="BM397" s="54" t="str">
        <f t="shared" si="9"/>
        <v/>
      </c>
      <c r="BN397" s="56">
        <v>46178</v>
      </c>
      <c r="BO397" s="117">
        <v>46184</v>
      </c>
      <c r="BP397" s="39"/>
      <c r="BQ397" s="39"/>
      <c r="BR397" s="230"/>
      <c r="BS397" s="230"/>
      <c r="BT397" s="39">
        <v>1729</v>
      </c>
      <c r="BU397" s="39">
        <v>629</v>
      </c>
      <c r="BV397" s="39"/>
      <c r="BW397" s="39"/>
      <c r="BX397" s="39"/>
      <c r="BY397" s="39"/>
      <c r="BZ397" s="39">
        <f t="shared" si="10"/>
        <v>629</v>
      </c>
      <c r="CA397" s="39">
        <f t="shared" si="11"/>
        <v>35</v>
      </c>
      <c r="CB397" s="39">
        <f t="shared" si="12"/>
        <v>0</v>
      </c>
      <c r="CC397" s="39">
        <f t="shared" si="13"/>
        <v>0</v>
      </c>
      <c r="CD397" s="39">
        <f t="shared" si="14"/>
        <v>0</v>
      </c>
      <c r="CE397" s="102">
        <f t="shared" si="15"/>
        <v>0</v>
      </c>
      <c r="CF397" s="36" t="s">
        <v>249</v>
      </c>
      <c r="CG397" s="39" t="s">
        <v>222</v>
      </c>
      <c r="CH397" s="39"/>
      <c r="CI397" s="25">
        <v>1</v>
      </c>
    </row>
    <row r="398" spans="1:87" ht="24.75" customHeight="1">
      <c r="A398" s="36" t="s">
        <v>387</v>
      </c>
      <c r="B398" s="27" t="s">
        <v>599</v>
      </c>
      <c r="C398" s="227" t="s">
        <v>632</v>
      </c>
      <c r="D398" s="36"/>
      <c r="E398" s="39">
        <v>180</v>
      </c>
      <c r="F398" s="39" t="s">
        <v>55</v>
      </c>
      <c r="G398" s="36" t="s">
        <v>600</v>
      </c>
      <c r="H398" s="39" t="s">
        <v>87</v>
      </c>
      <c r="I398" s="39">
        <v>122</v>
      </c>
      <c r="J398" s="39"/>
      <c r="K398" s="39"/>
      <c r="L398" s="39">
        <f t="shared" si="435"/>
        <v>122</v>
      </c>
      <c r="M398" s="39"/>
      <c r="N398" s="39"/>
      <c r="O398" s="39"/>
      <c r="P398" s="39"/>
      <c r="Q398" s="39"/>
      <c r="R398" s="39">
        <f t="shared" si="436"/>
        <v>0</v>
      </c>
      <c r="S398" s="39" t="s">
        <v>130</v>
      </c>
      <c r="T398" s="39" t="s">
        <v>356</v>
      </c>
      <c r="U398" s="39"/>
      <c r="V398" s="39"/>
      <c r="W398" s="39"/>
      <c r="X398" s="39"/>
      <c r="Y398" s="39"/>
      <c r="Z398" s="39"/>
      <c r="AA398" s="39"/>
      <c r="AB398" s="39">
        <f t="shared" si="437"/>
        <v>0</v>
      </c>
      <c r="AC398" s="39"/>
      <c r="AD398" s="39"/>
      <c r="AE398" s="39"/>
      <c r="AF398" s="39"/>
      <c r="AG398" s="39"/>
      <c r="AH398" s="39">
        <f t="shared" si="3"/>
        <v>0</v>
      </c>
      <c r="AI398" s="39"/>
      <c r="AJ398" s="39"/>
      <c r="AK398" s="39"/>
      <c r="AL398" s="39"/>
      <c r="AM398" s="39"/>
      <c r="AN398" s="39">
        <f t="shared" si="405"/>
        <v>0</v>
      </c>
      <c r="AO398" s="39"/>
      <c r="AP398" s="39"/>
      <c r="AQ398" s="39"/>
      <c r="AR398" s="39"/>
      <c r="AS398" s="39"/>
      <c r="AT398" s="39">
        <f t="shared" si="5"/>
        <v>0</v>
      </c>
      <c r="AU398" s="39"/>
      <c r="AV398" s="39"/>
      <c r="AW398" s="39"/>
      <c r="AX398" s="39"/>
      <c r="AY398" s="39"/>
      <c r="AZ398" s="39">
        <f t="shared" si="6"/>
        <v>0</v>
      </c>
      <c r="BA398" s="39"/>
      <c r="BB398" s="39"/>
      <c r="BC398" s="39"/>
      <c r="BD398" s="39"/>
      <c r="BE398" s="39"/>
      <c r="BF398" s="39">
        <f t="shared" si="7"/>
        <v>0</v>
      </c>
      <c r="BG398" s="39"/>
      <c r="BH398" s="39"/>
      <c r="BI398" s="39"/>
      <c r="BJ398" s="39"/>
      <c r="BK398" s="39"/>
      <c r="BL398" s="39">
        <f t="shared" si="8"/>
        <v>0</v>
      </c>
      <c r="BM398" s="54" t="str">
        <f t="shared" si="9"/>
        <v/>
      </c>
      <c r="BN398" s="42"/>
      <c r="BO398" s="39"/>
      <c r="BP398" s="39"/>
      <c r="BQ398" s="39"/>
      <c r="BR398" s="229"/>
      <c r="BS398" s="229"/>
      <c r="BT398" s="39" t="s">
        <v>601</v>
      </c>
      <c r="BU398" s="39">
        <v>122</v>
      </c>
      <c r="BV398" s="39"/>
      <c r="BW398" s="39"/>
      <c r="BX398" s="39"/>
      <c r="BY398" s="39"/>
      <c r="BZ398" s="39">
        <f t="shared" si="10"/>
        <v>122</v>
      </c>
      <c r="CA398" s="39">
        <f t="shared" si="11"/>
        <v>0</v>
      </c>
      <c r="CB398" s="39">
        <f t="shared" si="12"/>
        <v>0</v>
      </c>
      <c r="CC398" s="39">
        <f t="shared" si="13"/>
        <v>0</v>
      </c>
      <c r="CD398" s="39">
        <f t="shared" si="14"/>
        <v>0</v>
      </c>
      <c r="CE398" s="102">
        <f t="shared" si="15"/>
        <v>0</v>
      </c>
      <c r="CF398" s="36" t="s">
        <v>249</v>
      </c>
      <c r="CG398" s="39" t="s">
        <v>222</v>
      </c>
      <c r="CH398" s="39"/>
      <c r="CI398" s="25">
        <v>1</v>
      </c>
    </row>
    <row r="399" spans="1:87" ht="24.75" customHeight="1">
      <c r="A399" s="36" t="s">
        <v>387</v>
      </c>
      <c r="B399" s="27" t="s">
        <v>599</v>
      </c>
      <c r="C399" s="231"/>
      <c r="D399" s="36"/>
      <c r="E399" s="39">
        <v>180</v>
      </c>
      <c r="F399" s="39" t="s">
        <v>55</v>
      </c>
      <c r="G399" s="36" t="s">
        <v>602</v>
      </c>
      <c r="H399" s="39" t="s">
        <v>87</v>
      </c>
      <c r="I399" s="39">
        <v>122</v>
      </c>
      <c r="J399" s="39"/>
      <c r="K399" s="39"/>
      <c r="L399" s="39">
        <f t="shared" si="435"/>
        <v>122</v>
      </c>
      <c r="M399" s="39"/>
      <c r="N399" s="39"/>
      <c r="O399" s="39"/>
      <c r="P399" s="39"/>
      <c r="Q399" s="39"/>
      <c r="R399" s="39">
        <f t="shared" si="436"/>
        <v>0</v>
      </c>
      <c r="S399" s="39" t="s">
        <v>130</v>
      </c>
      <c r="T399" s="39" t="s">
        <v>356</v>
      </c>
      <c r="U399" s="39"/>
      <c r="V399" s="39"/>
      <c r="W399" s="39"/>
      <c r="X399" s="39"/>
      <c r="Y399" s="39"/>
      <c r="Z399" s="39"/>
      <c r="AA399" s="39"/>
      <c r="AB399" s="39">
        <f t="shared" si="437"/>
        <v>0</v>
      </c>
      <c r="AC399" s="39"/>
      <c r="AD399" s="39"/>
      <c r="AE399" s="39"/>
      <c r="AF399" s="39"/>
      <c r="AG399" s="39"/>
      <c r="AH399" s="39">
        <f t="shared" si="3"/>
        <v>0</v>
      </c>
      <c r="AI399" s="39"/>
      <c r="AJ399" s="39"/>
      <c r="AK399" s="39"/>
      <c r="AL399" s="39"/>
      <c r="AM399" s="39"/>
      <c r="AN399" s="39">
        <f t="shared" si="405"/>
        <v>0</v>
      </c>
      <c r="AO399" s="39"/>
      <c r="AP399" s="39"/>
      <c r="AQ399" s="39"/>
      <c r="AR399" s="39"/>
      <c r="AS399" s="39"/>
      <c r="AT399" s="39">
        <f t="shared" si="5"/>
        <v>0</v>
      </c>
      <c r="AU399" s="39"/>
      <c r="AV399" s="39"/>
      <c r="AW399" s="39"/>
      <c r="AX399" s="39"/>
      <c r="AY399" s="39"/>
      <c r="AZ399" s="39">
        <f t="shared" si="6"/>
        <v>0</v>
      </c>
      <c r="BA399" s="39"/>
      <c r="BB399" s="39"/>
      <c r="BC399" s="39"/>
      <c r="BD399" s="39"/>
      <c r="BE399" s="39"/>
      <c r="BF399" s="39">
        <f t="shared" si="7"/>
        <v>0</v>
      </c>
      <c r="BG399" s="39"/>
      <c r="BH399" s="39"/>
      <c r="BI399" s="39"/>
      <c r="BJ399" s="39"/>
      <c r="BK399" s="39"/>
      <c r="BL399" s="39">
        <f t="shared" si="8"/>
        <v>0</v>
      </c>
      <c r="BM399" s="54" t="str">
        <f t="shared" si="9"/>
        <v/>
      </c>
      <c r="BN399" s="42"/>
      <c r="BO399" s="39"/>
      <c r="BP399" s="39"/>
      <c r="BQ399" s="39"/>
      <c r="BR399" s="232"/>
      <c r="BS399" s="232"/>
      <c r="BT399" s="39" t="s">
        <v>601</v>
      </c>
      <c r="BU399" s="39">
        <v>122</v>
      </c>
      <c r="BV399" s="39"/>
      <c r="BW399" s="39"/>
      <c r="BX399" s="39"/>
      <c r="BY399" s="39"/>
      <c r="BZ399" s="39">
        <f t="shared" si="10"/>
        <v>122</v>
      </c>
      <c r="CA399" s="39">
        <f t="shared" si="11"/>
        <v>0</v>
      </c>
      <c r="CB399" s="39">
        <f t="shared" si="12"/>
        <v>0</v>
      </c>
      <c r="CC399" s="39">
        <f t="shared" si="13"/>
        <v>0</v>
      </c>
      <c r="CD399" s="39">
        <f t="shared" si="14"/>
        <v>0</v>
      </c>
      <c r="CE399" s="102">
        <f t="shared" si="15"/>
        <v>0</v>
      </c>
      <c r="CF399" s="36" t="s">
        <v>249</v>
      </c>
      <c r="CG399" s="39" t="s">
        <v>222</v>
      </c>
      <c r="CH399" s="39"/>
      <c r="CI399" s="25">
        <v>1</v>
      </c>
    </row>
    <row r="400" spans="1:87" ht="24.75" customHeight="1">
      <c r="A400" s="36" t="s">
        <v>387</v>
      </c>
      <c r="B400" s="27" t="s">
        <v>599</v>
      </c>
      <c r="C400" s="228"/>
      <c r="D400" s="36"/>
      <c r="E400" s="39">
        <v>180</v>
      </c>
      <c r="F400" s="39" t="s">
        <v>55</v>
      </c>
      <c r="G400" s="36" t="s">
        <v>603</v>
      </c>
      <c r="H400" s="39" t="s">
        <v>87</v>
      </c>
      <c r="I400" s="39">
        <v>122</v>
      </c>
      <c r="J400" s="39"/>
      <c r="K400" s="39"/>
      <c r="L400" s="39">
        <f t="shared" si="435"/>
        <v>122</v>
      </c>
      <c r="M400" s="39"/>
      <c r="N400" s="39"/>
      <c r="O400" s="39"/>
      <c r="P400" s="39"/>
      <c r="Q400" s="39"/>
      <c r="R400" s="39">
        <f t="shared" si="436"/>
        <v>0</v>
      </c>
      <c r="S400" s="39" t="s">
        <v>130</v>
      </c>
      <c r="T400" s="39" t="s">
        <v>356</v>
      </c>
      <c r="U400" s="39"/>
      <c r="V400" s="39"/>
      <c r="W400" s="39"/>
      <c r="X400" s="39"/>
      <c r="Y400" s="39"/>
      <c r="Z400" s="39"/>
      <c r="AA400" s="39"/>
      <c r="AB400" s="39">
        <f t="shared" si="437"/>
        <v>0</v>
      </c>
      <c r="AC400" s="39"/>
      <c r="AD400" s="39"/>
      <c r="AE400" s="39"/>
      <c r="AF400" s="39"/>
      <c r="AG400" s="39"/>
      <c r="AH400" s="39">
        <f t="shared" si="3"/>
        <v>0</v>
      </c>
      <c r="AI400" s="39"/>
      <c r="AJ400" s="39"/>
      <c r="AK400" s="39"/>
      <c r="AL400" s="39"/>
      <c r="AM400" s="39"/>
      <c r="AN400" s="39">
        <f t="shared" si="405"/>
        <v>0</v>
      </c>
      <c r="AO400" s="39"/>
      <c r="AP400" s="39"/>
      <c r="AQ400" s="39"/>
      <c r="AR400" s="39"/>
      <c r="AS400" s="39"/>
      <c r="AT400" s="39">
        <f t="shared" si="5"/>
        <v>0</v>
      </c>
      <c r="AU400" s="39"/>
      <c r="AV400" s="39"/>
      <c r="AW400" s="39"/>
      <c r="AX400" s="39"/>
      <c r="AY400" s="39"/>
      <c r="AZ400" s="39">
        <f t="shared" si="6"/>
        <v>0</v>
      </c>
      <c r="BA400" s="39"/>
      <c r="BB400" s="39"/>
      <c r="BC400" s="39"/>
      <c r="BD400" s="39"/>
      <c r="BE400" s="39"/>
      <c r="BF400" s="39">
        <f t="shared" si="7"/>
        <v>0</v>
      </c>
      <c r="BG400" s="39"/>
      <c r="BH400" s="39"/>
      <c r="BI400" s="39"/>
      <c r="BJ400" s="39"/>
      <c r="BK400" s="39"/>
      <c r="BL400" s="39">
        <f t="shared" si="8"/>
        <v>0</v>
      </c>
      <c r="BM400" s="54" t="str">
        <f t="shared" si="9"/>
        <v/>
      </c>
      <c r="BN400" s="64"/>
      <c r="BO400" s="36"/>
      <c r="BP400" s="36"/>
      <c r="BQ400" s="36"/>
      <c r="BR400" s="230"/>
      <c r="BS400" s="230"/>
      <c r="BT400" s="39" t="s">
        <v>601</v>
      </c>
      <c r="BU400" s="39">
        <v>122</v>
      </c>
      <c r="BV400" s="39"/>
      <c r="BW400" s="39"/>
      <c r="BX400" s="39"/>
      <c r="BY400" s="39"/>
      <c r="BZ400" s="39">
        <f t="shared" si="10"/>
        <v>122</v>
      </c>
      <c r="CA400" s="39">
        <f t="shared" si="11"/>
        <v>0</v>
      </c>
      <c r="CB400" s="39">
        <f t="shared" si="12"/>
        <v>0</v>
      </c>
      <c r="CC400" s="39">
        <f t="shared" si="13"/>
        <v>0</v>
      </c>
      <c r="CD400" s="39">
        <f t="shared" si="14"/>
        <v>0</v>
      </c>
      <c r="CE400" s="102">
        <f t="shared" si="15"/>
        <v>0</v>
      </c>
      <c r="CF400" s="36" t="s">
        <v>249</v>
      </c>
      <c r="CG400" s="39" t="s">
        <v>222</v>
      </c>
      <c r="CH400" s="39"/>
      <c r="CI400" s="25">
        <v>1</v>
      </c>
    </row>
    <row r="401" spans="1:87" ht="29.25" customHeight="1">
      <c r="A401" s="36" t="s">
        <v>387</v>
      </c>
      <c r="B401" s="27">
        <v>47638</v>
      </c>
      <c r="C401" s="36">
        <v>15382405</v>
      </c>
      <c r="D401" s="36" t="s">
        <v>45</v>
      </c>
      <c r="E401" s="39">
        <v>240</v>
      </c>
      <c r="F401" s="39" t="s">
        <v>53</v>
      </c>
      <c r="G401" s="36" t="s">
        <v>478</v>
      </c>
      <c r="H401" s="116" t="s">
        <v>414</v>
      </c>
      <c r="I401" s="39">
        <v>100</v>
      </c>
      <c r="J401" s="39">
        <v>14</v>
      </c>
      <c r="K401" s="39">
        <v>7</v>
      </c>
      <c r="L401" s="39">
        <f t="shared" si="435"/>
        <v>121</v>
      </c>
      <c r="M401" s="117">
        <v>46153</v>
      </c>
      <c r="N401" s="117">
        <v>46157</v>
      </c>
      <c r="O401" s="39"/>
      <c r="P401" s="39"/>
      <c r="Q401" s="39"/>
      <c r="R401" s="39">
        <f t="shared" si="436"/>
        <v>0</v>
      </c>
      <c r="S401" s="39" t="s">
        <v>100</v>
      </c>
      <c r="T401" s="39"/>
      <c r="U401" s="39"/>
      <c r="V401" s="117">
        <v>46162</v>
      </c>
      <c r="W401" s="39">
        <f>125+18+9</f>
        <v>152</v>
      </c>
      <c r="X401" s="117" t="s">
        <v>1428</v>
      </c>
      <c r="Y401" s="39">
        <v>114</v>
      </c>
      <c r="Z401" s="39">
        <v>17</v>
      </c>
      <c r="AA401" s="39">
        <v>7</v>
      </c>
      <c r="AB401" s="119">
        <f t="shared" si="437"/>
        <v>138</v>
      </c>
      <c r="AC401" s="39"/>
      <c r="AD401" s="39"/>
      <c r="AE401" s="39"/>
      <c r="AF401" s="39"/>
      <c r="AG401" s="39"/>
      <c r="AH401" s="39">
        <f t="shared" si="3"/>
        <v>0</v>
      </c>
      <c r="AI401" s="39"/>
      <c r="AJ401" s="39"/>
      <c r="AK401" s="39"/>
      <c r="AL401" s="39"/>
      <c r="AM401" s="39"/>
      <c r="AN401" s="39">
        <f t="shared" si="405"/>
        <v>0</v>
      </c>
      <c r="AO401" s="39" t="s">
        <v>280</v>
      </c>
      <c r="AP401" s="117">
        <v>46202</v>
      </c>
      <c r="AQ401" s="39">
        <v>114</v>
      </c>
      <c r="AR401" s="117">
        <v>46205</v>
      </c>
      <c r="AS401" s="39">
        <v>112</v>
      </c>
      <c r="AT401" s="39">
        <f t="shared" si="5"/>
        <v>-2</v>
      </c>
      <c r="AU401" s="39" t="s">
        <v>256</v>
      </c>
      <c r="AV401" s="117">
        <v>46205</v>
      </c>
      <c r="AW401" s="39">
        <v>112</v>
      </c>
      <c r="AX401" s="117">
        <v>46206</v>
      </c>
      <c r="AY401" s="39">
        <v>108</v>
      </c>
      <c r="AZ401" s="39">
        <f t="shared" si="6"/>
        <v>-4</v>
      </c>
      <c r="BA401" s="39"/>
      <c r="BB401" s="39"/>
      <c r="BC401" s="39"/>
      <c r="BD401" s="39"/>
      <c r="BE401" s="39"/>
      <c r="BF401" s="39">
        <f t="shared" si="7"/>
        <v>0</v>
      </c>
      <c r="BG401" s="39"/>
      <c r="BH401" s="39"/>
      <c r="BI401" s="39"/>
      <c r="BJ401" s="39"/>
      <c r="BK401" s="39"/>
      <c r="BL401" s="39">
        <f t="shared" si="8"/>
        <v>0</v>
      </c>
      <c r="BM401" s="54" t="str">
        <f t="shared" si="9"/>
        <v/>
      </c>
      <c r="BN401" s="56">
        <v>46179</v>
      </c>
      <c r="BO401" s="117">
        <v>46190</v>
      </c>
      <c r="BP401" s="39"/>
      <c r="BQ401" s="39"/>
      <c r="BR401" s="50">
        <v>46209</v>
      </c>
      <c r="BS401" s="50">
        <v>46211</v>
      </c>
      <c r="BT401" s="39">
        <v>1570</v>
      </c>
      <c r="BU401" s="39">
        <v>105</v>
      </c>
      <c r="BV401" s="39">
        <v>1769</v>
      </c>
      <c r="BW401" s="39">
        <v>17</v>
      </c>
      <c r="BX401" s="39">
        <v>1769</v>
      </c>
      <c r="BY401" s="39">
        <v>7</v>
      </c>
      <c r="BZ401" s="39">
        <f t="shared" si="10"/>
        <v>129</v>
      </c>
      <c r="CA401" s="39">
        <f t="shared" si="11"/>
        <v>5</v>
      </c>
      <c r="CB401" s="39">
        <f t="shared" si="12"/>
        <v>3</v>
      </c>
      <c r="CC401" s="39">
        <f t="shared" si="13"/>
        <v>0</v>
      </c>
      <c r="CD401" s="39">
        <f t="shared" si="14"/>
        <v>0</v>
      </c>
      <c r="CE401" s="102">
        <f t="shared" si="15"/>
        <v>0</v>
      </c>
      <c r="CF401" s="36" t="s">
        <v>293</v>
      </c>
      <c r="CG401" s="39" t="s">
        <v>221</v>
      </c>
      <c r="CH401" s="39"/>
      <c r="CI401" s="25">
        <v>1</v>
      </c>
    </row>
    <row r="402" spans="1:87" ht="24.75" customHeight="1">
      <c r="A402" s="36" t="s">
        <v>387</v>
      </c>
      <c r="B402" s="27">
        <v>47639</v>
      </c>
      <c r="C402" s="227" t="s">
        <v>628</v>
      </c>
      <c r="D402" s="36"/>
      <c r="E402" s="39">
        <v>240</v>
      </c>
      <c r="F402" s="39" t="s">
        <v>64</v>
      </c>
      <c r="G402" s="36" t="s">
        <v>395</v>
      </c>
      <c r="H402" s="39" t="s">
        <v>89</v>
      </c>
      <c r="I402" s="39">
        <v>434</v>
      </c>
      <c r="J402" s="39"/>
      <c r="K402" s="39"/>
      <c r="L402" s="39">
        <f t="shared" si="435"/>
        <v>434</v>
      </c>
      <c r="M402" s="117">
        <v>46151</v>
      </c>
      <c r="N402" s="117">
        <v>46158</v>
      </c>
      <c r="O402" s="39"/>
      <c r="P402" s="39"/>
      <c r="Q402" s="39"/>
      <c r="R402" s="39">
        <f t="shared" si="436"/>
        <v>0</v>
      </c>
      <c r="S402" s="39" t="s">
        <v>130</v>
      </c>
      <c r="T402" s="39">
        <v>107375</v>
      </c>
      <c r="U402" s="117">
        <v>46203</v>
      </c>
      <c r="V402" s="39"/>
      <c r="W402" s="39"/>
      <c r="X402" s="39"/>
      <c r="Y402" s="39">
        <v>494</v>
      </c>
      <c r="Z402" s="39"/>
      <c r="AA402" s="39"/>
      <c r="AB402" s="119">
        <f t="shared" si="437"/>
        <v>494</v>
      </c>
      <c r="AC402" s="39"/>
      <c r="AD402" s="39"/>
      <c r="AE402" s="39"/>
      <c r="AF402" s="39"/>
      <c r="AG402" s="39"/>
      <c r="AH402" s="39">
        <f t="shared" si="3"/>
        <v>0</v>
      </c>
      <c r="AI402" s="39"/>
      <c r="AJ402" s="39"/>
      <c r="AK402" s="39"/>
      <c r="AL402" s="39"/>
      <c r="AM402" s="39"/>
      <c r="AN402" s="39">
        <f t="shared" si="405"/>
        <v>0</v>
      </c>
      <c r="AO402" s="39"/>
      <c r="AP402" s="39"/>
      <c r="AQ402" s="39"/>
      <c r="AR402" s="39"/>
      <c r="AS402" s="39"/>
      <c r="AT402" s="39">
        <f t="shared" si="5"/>
        <v>0</v>
      </c>
      <c r="AU402" s="39"/>
      <c r="AV402" s="39"/>
      <c r="AW402" s="39"/>
      <c r="AX402" s="39"/>
      <c r="AY402" s="39"/>
      <c r="AZ402" s="39">
        <f t="shared" si="6"/>
        <v>0</v>
      </c>
      <c r="BA402" s="39"/>
      <c r="BB402" s="39"/>
      <c r="BC402" s="39"/>
      <c r="BD402" s="39"/>
      <c r="BE402" s="39"/>
      <c r="BF402" s="39">
        <f t="shared" si="7"/>
        <v>0</v>
      </c>
      <c r="BG402" s="39"/>
      <c r="BH402" s="39"/>
      <c r="BI402" s="39"/>
      <c r="BJ402" s="39"/>
      <c r="BK402" s="39"/>
      <c r="BL402" s="39">
        <f t="shared" si="8"/>
        <v>0</v>
      </c>
      <c r="BM402" s="54" t="str">
        <f t="shared" si="9"/>
        <v/>
      </c>
      <c r="BN402" s="56">
        <v>46179</v>
      </c>
      <c r="BO402" s="117">
        <v>46191</v>
      </c>
      <c r="BP402" s="39"/>
      <c r="BQ402" s="39"/>
      <c r="BR402" s="229">
        <v>46197</v>
      </c>
      <c r="BS402" s="229">
        <v>46211</v>
      </c>
      <c r="BT402" s="39">
        <v>1581</v>
      </c>
      <c r="BU402" s="39">
        <v>450</v>
      </c>
      <c r="BV402" s="39"/>
      <c r="BW402" s="39"/>
      <c r="BX402" s="39"/>
      <c r="BY402" s="39"/>
      <c r="BZ402" s="39">
        <f t="shared" si="10"/>
        <v>450</v>
      </c>
      <c r="CA402" s="39">
        <f t="shared" si="11"/>
        <v>16</v>
      </c>
      <c r="CB402" s="39">
        <f t="shared" si="12"/>
        <v>0</v>
      </c>
      <c r="CC402" s="39">
        <f t="shared" si="13"/>
        <v>0</v>
      </c>
      <c r="CD402" s="39">
        <f t="shared" si="14"/>
        <v>0</v>
      </c>
      <c r="CE402" s="102">
        <f t="shared" si="15"/>
        <v>0</v>
      </c>
      <c r="CF402" s="36" t="s">
        <v>293</v>
      </c>
      <c r="CG402" s="39" t="s">
        <v>221</v>
      </c>
      <c r="CH402" s="39"/>
      <c r="CI402" s="25">
        <v>1</v>
      </c>
    </row>
    <row r="403" spans="1:87" ht="24.75" customHeight="1">
      <c r="A403" s="36" t="s">
        <v>387</v>
      </c>
      <c r="B403" s="27">
        <v>47639</v>
      </c>
      <c r="C403" s="231"/>
      <c r="D403" s="36"/>
      <c r="E403" s="39">
        <v>160</v>
      </c>
      <c r="F403" s="39" t="s">
        <v>57</v>
      </c>
      <c r="G403" s="36" t="s">
        <v>308</v>
      </c>
      <c r="H403" s="39" t="s">
        <v>22</v>
      </c>
      <c r="I403" s="39">
        <v>28</v>
      </c>
      <c r="J403" s="39"/>
      <c r="K403" s="39"/>
      <c r="L403" s="39">
        <f t="shared" si="435"/>
        <v>28</v>
      </c>
      <c r="M403" s="117">
        <v>46151</v>
      </c>
      <c r="N403" s="117">
        <v>46158</v>
      </c>
      <c r="O403" s="39"/>
      <c r="P403" s="39"/>
      <c r="Q403" s="39"/>
      <c r="R403" s="39">
        <f t="shared" si="436"/>
        <v>0</v>
      </c>
      <c r="S403" s="39" t="s">
        <v>130</v>
      </c>
      <c r="T403" s="39">
        <v>107035</v>
      </c>
      <c r="U403" s="117">
        <v>46190</v>
      </c>
      <c r="V403" s="39"/>
      <c r="W403" s="39"/>
      <c r="X403" s="39"/>
      <c r="Y403" s="39">
        <v>36</v>
      </c>
      <c r="Z403" s="39"/>
      <c r="AA403" s="39"/>
      <c r="AB403" s="119">
        <f t="shared" si="437"/>
        <v>36</v>
      </c>
      <c r="AC403" s="39"/>
      <c r="AD403" s="39"/>
      <c r="AE403" s="39"/>
      <c r="AF403" s="39"/>
      <c r="AG403" s="39"/>
      <c r="AH403" s="39">
        <f t="shared" si="3"/>
        <v>0</v>
      </c>
      <c r="AI403" s="39"/>
      <c r="AJ403" s="39"/>
      <c r="AK403" s="39"/>
      <c r="AL403" s="39"/>
      <c r="AM403" s="39"/>
      <c r="AN403" s="39">
        <f t="shared" si="405"/>
        <v>0</v>
      </c>
      <c r="AO403" s="39"/>
      <c r="AP403" s="39"/>
      <c r="AQ403" s="39"/>
      <c r="AR403" s="39"/>
      <c r="AS403" s="39"/>
      <c r="AT403" s="39">
        <f t="shared" si="5"/>
        <v>0</v>
      </c>
      <c r="AU403" s="39"/>
      <c r="AV403" s="39"/>
      <c r="AW403" s="39"/>
      <c r="AX403" s="39"/>
      <c r="AY403" s="39"/>
      <c r="AZ403" s="39">
        <f t="shared" si="6"/>
        <v>0</v>
      </c>
      <c r="BA403" s="39"/>
      <c r="BB403" s="39"/>
      <c r="BC403" s="39"/>
      <c r="BD403" s="39"/>
      <c r="BE403" s="39"/>
      <c r="BF403" s="39">
        <f t="shared" si="7"/>
        <v>0</v>
      </c>
      <c r="BG403" s="39"/>
      <c r="BH403" s="39"/>
      <c r="BI403" s="39"/>
      <c r="BJ403" s="39"/>
      <c r="BK403" s="39"/>
      <c r="BL403" s="39">
        <f t="shared" si="8"/>
        <v>0</v>
      </c>
      <c r="BM403" s="54" t="str">
        <f t="shared" si="9"/>
        <v/>
      </c>
      <c r="BN403" s="56">
        <v>46179</v>
      </c>
      <c r="BO403" s="117">
        <v>46191</v>
      </c>
      <c r="BP403" s="39"/>
      <c r="BQ403" s="39"/>
      <c r="BR403" s="232"/>
      <c r="BS403" s="232"/>
      <c r="BT403" s="39">
        <v>2119</v>
      </c>
      <c r="BU403" s="39">
        <v>32</v>
      </c>
      <c r="BV403" s="39"/>
      <c r="BW403" s="39"/>
      <c r="BX403" s="39"/>
      <c r="BY403" s="39"/>
      <c r="BZ403" s="39">
        <f t="shared" si="10"/>
        <v>32</v>
      </c>
      <c r="CA403" s="39">
        <f t="shared" si="11"/>
        <v>4</v>
      </c>
      <c r="CB403" s="39">
        <f t="shared" si="12"/>
        <v>0</v>
      </c>
      <c r="CC403" s="39">
        <f t="shared" si="13"/>
        <v>0</v>
      </c>
      <c r="CD403" s="39">
        <f t="shared" si="14"/>
        <v>0</v>
      </c>
      <c r="CE403" s="102">
        <f t="shared" si="15"/>
        <v>0</v>
      </c>
      <c r="CF403" s="36" t="s">
        <v>293</v>
      </c>
      <c r="CG403" s="39" t="s">
        <v>221</v>
      </c>
      <c r="CH403" s="39"/>
      <c r="CI403" s="25">
        <v>1</v>
      </c>
    </row>
    <row r="404" spans="1:87" ht="24.75" customHeight="1">
      <c r="A404" s="36" t="s">
        <v>387</v>
      </c>
      <c r="B404" s="27">
        <v>47639</v>
      </c>
      <c r="C404" s="231"/>
      <c r="D404" s="36"/>
      <c r="E404" s="39">
        <v>240</v>
      </c>
      <c r="F404" s="39" t="s">
        <v>64</v>
      </c>
      <c r="G404" s="36" t="s">
        <v>524</v>
      </c>
      <c r="H404" s="39" t="s">
        <v>89</v>
      </c>
      <c r="I404" s="39">
        <v>153</v>
      </c>
      <c r="J404" s="39"/>
      <c r="K404" s="39"/>
      <c r="L404" s="39">
        <f t="shared" si="435"/>
        <v>153</v>
      </c>
      <c r="M404" s="117">
        <v>46151</v>
      </c>
      <c r="N404" s="117">
        <v>46158</v>
      </c>
      <c r="O404" s="39"/>
      <c r="P404" s="39"/>
      <c r="Q404" s="39"/>
      <c r="R404" s="39">
        <f t="shared" si="436"/>
        <v>0</v>
      </c>
      <c r="S404" s="39" t="s">
        <v>100</v>
      </c>
      <c r="T404" s="39"/>
      <c r="U404" s="39"/>
      <c r="V404" s="117">
        <v>46162</v>
      </c>
      <c r="W404" s="39">
        <v>182</v>
      </c>
      <c r="X404" s="117">
        <v>46207</v>
      </c>
      <c r="Y404" s="39">
        <v>165</v>
      </c>
      <c r="Z404" s="39"/>
      <c r="AA404" s="39"/>
      <c r="AB404" s="119">
        <f t="shared" si="437"/>
        <v>165</v>
      </c>
      <c r="AC404" s="39"/>
      <c r="AD404" s="39"/>
      <c r="AE404" s="39"/>
      <c r="AF404" s="39"/>
      <c r="AG404" s="39"/>
      <c r="AH404" s="39">
        <f t="shared" si="3"/>
        <v>0</v>
      </c>
      <c r="AI404" s="39"/>
      <c r="AJ404" s="39"/>
      <c r="AK404" s="39"/>
      <c r="AL404" s="39"/>
      <c r="AM404" s="39"/>
      <c r="AN404" s="39">
        <f t="shared" si="405"/>
        <v>0</v>
      </c>
      <c r="AO404" s="39"/>
      <c r="AP404" s="39"/>
      <c r="AQ404" s="39"/>
      <c r="AR404" s="39"/>
      <c r="AS404" s="39"/>
      <c r="AT404" s="39">
        <f t="shared" si="5"/>
        <v>0</v>
      </c>
      <c r="AU404" s="39"/>
      <c r="AV404" s="39"/>
      <c r="AW404" s="39"/>
      <c r="AX404" s="39"/>
      <c r="AY404" s="39"/>
      <c r="AZ404" s="39">
        <f t="shared" si="6"/>
        <v>0</v>
      </c>
      <c r="BA404" s="39"/>
      <c r="BB404" s="39"/>
      <c r="BC404" s="39"/>
      <c r="BD404" s="39"/>
      <c r="BE404" s="39"/>
      <c r="BF404" s="39">
        <f t="shared" si="7"/>
        <v>0</v>
      </c>
      <c r="BG404" s="39"/>
      <c r="BH404" s="39"/>
      <c r="BI404" s="39"/>
      <c r="BJ404" s="39"/>
      <c r="BK404" s="39"/>
      <c r="BL404" s="39">
        <f t="shared" si="8"/>
        <v>0</v>
      </c>
      <c r="BM404" s="54" t="str">
        <f t="shared" si="9"/>
        <v/>
      </c>
      <c r="BN404" s="56">
        <v>46179</v>
      </c>
      <c r="BO404" s="117">
        <v>46191</v>
      </c>
      <c r="BP404" s="39"/>
      <c r="BQ404" s="39"/>
      <c r="BR404" s="232"/>
      <c r="BS404" s="232"/>
      <c r="BT404" s="39">
        <v>1767</v>
      </c>
      <c r="BU404" s="39">
        <v>165</v>
      </c>
      <c r="BV404" s="39"/>
      <c r="BW404" s="39"/>
      <c r="BX404" s="39"/>
      <c r="BY404" s="39"/>
      <c r="BZ404" s="39">
        <f t="shared" si="10"/>
        <v>165</v>
      </c>
      <c r="CA404" s="39">
        <f t="shared" si="11"/>
        <v>12</v>
      </c>
      <c r="CB404" s="39">
        <f t="shared" si="12"/>
        <v>0</v>
      </c>
      <c r="CC404" s="39">
        <f t="shared" si="13"/>
        <v>0</v>
      </c>
      <c r="CD404" s="39">
        <f t="shared" si="14"/>
        <v>0</v>
      </c>
      <c r="CE404" s="102">
        <f t="shared" si="15"/>
        <v>0</v>
      </c>
      <c r="CF404" s="36" t="s">
        <v>293</v>
      </c>
      <c r="CG404" s="39" t="s">
        <v>221</v>
      </c>
      <c r="CH404" s="39"/>
      <c r="CI404" s="25">
        <v>1</v>
      </c>
    </row>
    <row r="405" spans="1:87" ht="24.75" customHeight="1">
      <c r="A405" s="36" t="s">
        <v>387</v>
      </c>
      <c r="B405" s="27">
        <v>47639</v>
      </c>
      <c r="C405" s="228"/>
      <c r="D405" s="36"/>
      <c r="E405" s="39">
        <v>160</v>
      </c>
      <c r="F405" s="39" t="s">
        <v>57</v>
      </c>
      <c r="G405" s="36" t="s">
        <v>308</v>
      </c>
      <c r="H405" s="39" t="s">
        <v>22</v>
      </c>
      <c r="I405" s="39">
        <v>10</v>
      </c>
      <c r="J405" s="39"/>
      <c r="K405" s="39"/>
      <c r="L405" s="39">
        <f t="shared" si="435"/>
        <v>10</v>
      </c>
      <c r="M405" s="117">
        <v>46151</v>
      </c>
      <c r="N405" s="117">
        <v>46158</v>
      </c>
      <c r="O405" s="39"/>
      <c r="P405" s="39"/>
      <c r="Q405" s="39"/>
      <c r="R405" s="39">
        <f t="shared" si="436"/>
        <v>0</v>
      </c>
      <c r="S405" s="39" t="s">
        <v>130</v>
      </c>
      <c r="T405" s="39">
        <v>107035</v>
      </c>
      <c r="U405" s="117">
        <v>46190</v>
      </c>
      <c r="V405" s="39"/>
      <c r="W405" s="39"/>
      <c r="X405" s="39"/>
      <c r="Y405" s="39">
        <v>15</v>
      </c>
      <c r="Z405" s="39"/>
      <c r="AA405" s="39"/>
      <c r="AB405" s="119">
        <f t="shared" si="437"/>
        <v>15</v>
      </c>
      <c r="AC405" s="39"/>
      <c r="AD405" s="39"/>
      <c r="AE405" s="39"/>
      <c r="AF405" s="39"/>
      <c r="AG405" s="39"/>
      <c r="AH405" s="39">
        <f t="shared" si="3"/>
        <v>0</v>
      </c>
      <c r="AI405" s="39"/>
      <c r="AJ405" s="39"/>
      <c r="AK405" s="39"/>
      <c r="AL405" s="39"/>
      <c r="AM405" s="39"/>
      <c r="AN405" s="39">
        <f t="shared" si="405"/>
        <v>0</v>
      </c>
      <c r="AO405" s="39"/>
      <c r="AP405" s="39"/>
      <c r="AQ405" s="39"/>
      <c r="AR405" s="39"/>
      <c r="AS405" s="39"/>
      <c r="AT405" s="39">
        <f t="shared" si="5"/>
        <v>0</v>
      </c>
      <c r="AU405" s="39"/>
      <c r="AV405" s="39"/>
      <c r="AW405" s="39"/>
      <c r="AX405" s="39"/>
      <c r="AY405" s="39"/>
      <c r="AZ405" s="39">
        <f t="shared" si="6"/>
        <v>0</v>
      </c>
      <c r="BA405" s="39"/>
      <c r="BB405" s="39"/>
      <c r="BC405" s="39"/>
      <c r="BD405" s="39"/>
      <c r="BE405" s="39"/>
      <c r="BF405" s="39">
        <f t="shared" si="7"/>
        <v>0</v>
      </c>
      <c r="BG405" s="39"/>
      <c r="BH405" s="39"/>
      <c r="BI405" s="39"/>
      <c r="BJ405" s="39"/>
      <c r="BK405" s="39"/>
      <c r="BL405" s="39">
        <f t="shared" si="8"/>
        <v>0</v>
      </c>
      <c r="BM405" s="54" t="str">
        <f t="shared" si="9"/>
        <v/>
      </c>
      <c r="BN405" s="56">
        <v>46179</v>
      </c>
      <c r="BO405" s="117">
        <v>46191</v>
      </c>
      <c r="BP405" s="36"/>
      <c r="BQ405" s="36"/>
      <c r="BR405" s="230"/>
      <c r="BS405" s="230"/>
      <c r="BT405" s="39">
        <v>2119</v>
      </c>
      <c r="BU405" s="39">
        <v>13</v>
      </c>
      <c r="BV405" s="39"/>
      <c r="BW405" s="39"/>
      <c r="BX405" s="39"/>
      <c r="BY405" s="39"/>
      <c r="BZ405" s="39">
        <f t="shared" si="10"/>
        <v>13</v>
      </c>
      <c r="CA405" s="39">
        <f t="shared" si="11"/>
        <v>3</v>
      </c>
      <c r="CB405" s="39">
        <f t="shared" si="12"/>
        <v>0</v>
      </c>
      <c r="CC405" s="39">
        <f t="shared" si="13"/>
        <v>0</v>
      </c>
      <c r="CD405" s="39">
        <f t="shared" si="14"/>
        <v>0</v>
      </c>
      <c r="CE405" s="102">
        <f t="shared" si="15"/>
        <v>0</v>
      </c>
      <c r="CF405" s="36" t="s">
        <v>293</v>
      </c>
      <c r="CG405" s="39" t="s">
        <v>221</v>
      </c>
      <c r="CH405" s="39"/>
      <c r="CI405" s="25">
        <v>1</v>
      </c>
    </row>
    <row r="406" spans="1:87" ht="33.75" customHeight="1">
      <c r="A406" s="36" t="s">
        <v>387</v>
      </c>
      <c r="B406" s="27">
        <v>47642</v>
      </c>
      <c r="C406" s="41">
        <v>15384328</v>
      </c>
      <c r="D406" s="36"/>
      <c r="E406" s="39">
        <v>160</v>
      </c>
      <c r="F406" s="39" t="s">
        <v>55</v>
      </c>
      <c r="G406" s="36" t="s">
        <v>47</v>
      </c>
      <c r="H406" s="39" t="s">
        <v>22</v>
      </c>
      <c r="I406" s="39">
        <v>65</v>
      </c>
      <c r="J406" s="39">
        <v>4</v>
      </c>
      <c r="K406" s="39"/>
      <c r="L406" s="39">
        <f t="shared" si="435"/>
        <v>69</v>
      </c>
      <c r="M406" s="117">
        <v>46154</v>
      </c>
      <c r="N406" s="117">
        <v>46157</v>
      </c>
      <c r="O406" s="39"/>
      <c r="P406" s="39"/>
      <c r="Q406" s="39"/>
      <c r="R406" s="39">
        <f t="shared" si="436"/>
        <v>0</v>
      </c>
      <c r="S406" s="39" t="s">
        <v>130</v>
      </c>
      <c r="T406" s="39">
        <v>106919</v>
      </c>
      <c r="U406" s="117">
        <v>46188</v>
      </c>
      <c r="V406" s="39"/>
      <c r="W406" s="39"/>
      <c r="X406" s="39"/>
      <c r="Y406" s="39">
        <v>82</v>
      </c>
      <c r="Z406" s="39">
        <v>8</v>
      </c>
      <c r="AA406" s="39"/>
      <c r="AB406" s="119">
        <f t="shared" si="437"/>
        <v>90</v>
      </c>
      <c r="AC406" s="39"/>
      <c r="AD406" s="39"/>
      <c r="AE406" s="39"/>
      <c r="AF406" s="39"/>
      <c r="AG406" s="39"/>
      <c r="AH406" s="39">
        <f t="shared" si="3"/>
        <v>0</v>
      </c>
      <c r="AI406" s="39"/>
      <c r="AJ406" s="39"/>
      <c r="AK406" s="39"/>
      <c r="AL406" s="39"/>
      <c r="AM406" s="39"/>
      <c r="AN406" s="39">
        <f t="shared" si="405"/>
        <v>0</v>
      </c>
      <c r="AO406" s="39"/>
      <c r="AP406" s="39"/>
      <c r="AQ406" s="39"/>
      <c r="AR406" s="39"/>
      <c r="AS406" s="39"/>
      <c r="AT406" s="39">
        <f t="shared" si="5"/>
        <v>0</v>
      </c>
      <c r="AU406" s="39"/>
      <c r="AV406" s="39"/>
      <c r="AW406" s="39"/>
      <c r="AX406" s="39"/>
      <c r="AY406" s="39"/>
      <c r="AZ406" s="39">
        <f t="shared" si="6"/>
        <v>0</v>
      </c>
      <c r="BA406" s="39"/>
      <c r="BB406" s="39"/>
      <c r="BC406" s="39"/>
      <c r="BD406" s="39"/>
      <c r="BE406" s="39"/>
      <c r="BF406" s="39">
        <f t="shared" si="7"/>
        <v>0</v>
      </c>
      <c r="BG406" s="39"/>
      <c r="BH406" s="39"/>
      <c r="BI406" s="39"/>
      <c r="BJ406" s="39"/>
      <c r="BK406" s="39"/>
      <c r="BL406" s="39">
        <f t="shared" si="8"/>
        <v>0</v>
      </c>
      <c r="BM406" s="54" t="str">
        <f t="shared" si="9"/>
        <v/>
      </c>
      <c r="BN406" s="58">
        <v>46179</v>
      </c>
      <c r="BO406" s="57">
        <v>46188</v>
      </c>
      <c r="BP406" s="36"/>
      <c r="BQ406" s="36"/>
      <c r="BR406" s="50">
        <v>46190</v>
      </c>
      <c r="BS406" s="50">
        <v>46196</v>
      </c>
      <c r="BT406" s="39">
        <v>1743</v>
      </c>
      <c r="BU406" s="39">
        <v>73</v>
      </c>
      <c r="BV406" s="39">
        <v>2113</v>
      </c>
      <c r="BW406" s="39">
        <v>5</v>
      </c>
      <c r="BX406" s="39"/>
      <c r="BY406" s="39"/>
      <c r="BZ406" s="39">
        <f t="shared" si="10"/>
        <v>78</v>
      </c>
      <c r="CA406" s="39">
        <f t="shared" si="11"/>
        <v>8</v>
      </c>
      <c r="CB406" s="39">
        <f t="shared" si="12"/>
        <v>1</v>
      </c>
      <c r="CC406" s="39">
        <f t="shared" si="13"/>
        <v>0</v>
      </c>
      <c r="CD406" s="39">
        <f t="shared" si="14"/>
        <v>0</v>
      </c>
      <c r="CE406" s="102">
        <f t="shared" si="15"/>
        <v>0</v>
      </c>
      <c r="CF406" s="36" t="s">
        <v>293</v>
      </c>
      <c r="CG406" s="39" t="s">
        <v>221</v>
      </c>
      <c r="CH406" s="39" t="s">
        <v>973</v>
      </c>
      <c r="CI406" s="25">
        <v>1</v>
      </c>
    </row>
    <row r="407" spans="1:87" ht="29.25" customHeight="1">
      <c r="A407" s="36" t="s">
        <v>387</v>
      </c>
      <c r="B407" s="27">
        <v>47641</v>
      </c>
      <c r="C407" s="41">
        <v>15383292</v>
      </c>
      <c r="D407" s="36"/>
      <c r="E407" s="39">
        <v>260</v>
      </c>
      <c r="F407" s="39" t="s">
        <v>64</v>
      </c>
      <c r="G407" s="36" t="s">
        <v>524</v>
      </c>
      <c r="H407" s="39" t="s">
        <v>89</v>
      </c>
      <c r="I407" s="39">
        <v>101</v>
      </c>
      <c r="J407" s="39"/>
      <c r="K407" s="39"/>
      <c r="L407" s="39">
        <f t="shared" si="435"/>
        <v>101</v>
      </c>
      <c r="M407" s="117">
        <v>46154</v>
      </c>
      <c r="N407" s="117">
        <v>46158</v>
      </c>
      <c r="O407" s="39"/>
      <c r="P407" s="39"/>
      <c r="Q407" s="39"/>
      <c r="R407" s="39">
        <f t="shared" si="436"/>
        <v>0</v>
      </c>
      <c r="S407" s="39" t="s">
        <v>100</v>
      </c>
      <c r="T407" s="39"/>
      <c r="U407" s="39"/>
      <c r="V407" s="117">
        <v>46162</v>
      </c>
      <c r="W407" s="39">
        <v>123</v>
      </c>
      <c r="X407" s="117">
        <v>46207</v>
      </c>
      <c r="Y407" s="39">
        <v>115</v>
      </c>
      <c r="Z407" s="39"/>
      <c r="AA407" s="39"/>
      <c r="AB407" s="119">
        <f t="shared" si="437"/>
        <v>115</v>
      </c>
      <c r="AC407" s="39"/>
      <c r="AD407" s="39"/>
      <c r="AE407" s="39"/>
      <c r="AF407" s="39"/>
      <c r="AG407" s="39"/>
      <c r="AH407" s="39">
        <f t="shared" si="3"/>
        <v>0</v>
      </c>
      <c r="AI407" s="39"/>
      <c r="AJ407" s="39"/>
      <c r="AK407" s="39"/>
      <c r="AL407" s="39"/>
      <c r="AM407" s="39"/>
      <c r="AN407" s="39">
        <f t="shared" si="405"/>
        <v>0</v>
      </c>
      <c r="AO407" s="39"/>
      <c r="AP407" s="39"/>
      <c r="AQ407" s="39"/>
      <c r="AR407" s="39"/>
      <c r="AS407" s="39"/>
      <c r="AT407" s="39">
        <f t="shared" si="5"/>
        <v>0</v>
      </c>
      <c r="AU407" s="39"/>
      <c r="AV407" s="39"/>
      <c r="AW407" s="39"/>
      <c r="AX407" s="39"/>
      <c r="AY407" s="39"/>
      <c r="AZ407" s="39">
        <f t="shared" si="6"/>
        <v>0</v>
      </c>
      <c r="BA407" s="39"/>
      <c r="BB407" s="39"/>
      <c r="BC407" s="39"/>
      <c r="BD407" s="39"/>
      <c r="BE407" s="39"/>
      <c r="BF407" s="39">
        <f t="shared" si="7"/>
        <v>0</v>
      </c>
      <c r="BG407" s="39"/>
      <c r="BH407" s="39"/>
      <c r="BI407" s="39"/>
      <c r="BJ407" s="39"/>
      <c r="BK407" s="39"/>
      <c r="BL407" s="39">
        <f t="shared" si="8"/>
        <v>0</v>
      </c>
      <c r="BM407" s="54" t="str">
        <f t="shared" si="9"/>
        <v/>
      </c>
      <c r="BN407" s="58">
        <v>46179</v>
      </c>
      <c r="BO407" s="57">
        <v>46189</v>
      </c>
      <c r="BP407" s="36"/>
      <c r="BQ407" s="36"/>
      <c r="BR407" s="50">
        <v>46207</v>
      </c>
      <c r="BS407" s="50">
        <v>46207</v>
      </c>
      <c r="BT407" s="39">
        <v>1521</v>
      </c>
      <c r="BU407" s="39">
        <v>115</v>
      </c>
      <c r="BV407" s="39"/>
      <c r="BW407" s="39"/>
      <c r="BX407" s="39"/>
      <c r="BY407" s="39"/>
      <c r="BZ407" s="39">
        <f t="shared" si="10"/>
        <v>115</v>
      </c>
      <c r="CA407" s="39">
        <f t="shared" si="11"/>
        <v>14</v>
      </c>
      <c r="CB407" s="39">
        <f t="shared" si="12"/>
        <v>0</v>
      </c>
      <c r="CC407" s="39">
        <f t="shared" si="13"/>
        <v>0</v>
      </c>
      <c r="CD407" s="39">
        <f t="shared" si="14"/>
        <v>0</v>
      </c>
      <c r="CE407" s="102">
        <f t="shared" si="15"/>
        <v>0</v>
      </c>
      <c r="CF407" s="36" t="s">
        <v>293</v>
      </c>
      <c r="CG407" s="39" t="s">
        <v>221</v>
      </c>
      <c r="CH407" s="39"/>
      <c r="CI407" s="25">
        <v>1</v>
      </c>
    </row>
    <row r="408" spans="1:87" ht="24.75" customHeight="1">
      <c r="A408" s="36" t="s">
        <v>387</v>
      </c>
      <c r="B408" s="27">
        <v>47651</v>
      </c>
      <c r="C408" s="235" t="s">
        <v>644</v>
      </c>
      <c r="D408" s="36" t="s">
        <v>45</v>
      </c>
      <c r="E408" s="39">
        <v>260</v>
      </c>
      <c r="F408" s="39" t="s">
        <v>58</v>
      </c>
      <c r="G408" s="36" t="s">
        <v>645</v>
      </c>
      <c r="H408" s="36" t="s">
        <v>496</v>
      </c>
      <c r="I408" s="39">
        <v>60</v>
      </c>
      <c r="J408" s="39">
        <v>22</v>
      </c>
      <c r="K408" s="39">
        <v>4</v>
      </c>
      <c r="L408" s="39">
        <f t="shared" ref="L408:L409" si="438">SUM(I408:K408)</f>
        <v>86</v>
      </c>
      <c r="M408" s="117">
        <v>46155</v>
      </c>
      <c r="N408" s="117">
        <v>46160</v>
      </c>
      <c r="O408" s="39"/>
      <c r="P408" s="39"/>
      <c r="Q408" s="39"/>
      <c r="R408" s="39">
        <f t="shared" si="436"/>
        <v>0</v>
      </c>
      <c r="S408" s="39" t="s">
        <v>130</v>
      </c>
      <c r="T408" s="39">
        <v>107396</v>
      </c>
      <c r="U408" s="117">
        <v>46207</v>
      </c>
      <c r="V408" s="39"/>
      <c r="W408" s="39"/>
      <c r="X408" s="39"/>
      <c r="Y408" s="39">
        <v>78</v>
      </c>
      <c r="Z408" s="39">
        <v>27</v>
      </c>
      <c r="AA408" s="39">
        <v>7</v>
      </c>
      <c r="AB408" s="119">
        <f t="shared" si="437"/>
        <v>112</v>
      </c>
      <c r="AC408" s="39"/>
      <c r="AD408" s="39"/>
      <c r="AE408" s="39"/>
      <c r="AF408" s="39"/>
      <c r="AG408" s="39"/>
      <c r="AH408" s="39">
        <f t="shared" si="3"/>
        <v>0</v>
      </c>
      <c r="AI408" s="39"/>
      <c r="AJ408" s="39"/>
      <c r="AK408" s="39"/>
      <c r="AL408" s="39"/>
      <c r="AM408" s="39"/>
      <c r="AN408" s="39">
        <f t="shared" si="405"/>
        <v>0</v>
      </c>
      <c r="AO408" s="39" t="s">
        <v>280</v>
      </c>
      <c r="AP408" s="117">
        <v>46223</v>
      </c>
      <c r="AQ408" s="39">
        <v>73</v>
      </c>
      <c r="AR408" s="117">
        <v>46224</v>
      </c>
      <c r="AS408" s="39">
        <v>72</v>
      </c>
      <c r="AT408" s="39">
        <f t="shared" si="5"/>
        <v>-1</v>
      </c>
      <c r="AU408" s="39" t="s">
        <v>257</v>
      </c>
      <c r="AV408" s="117">
        <v>46224</v>
      </c>
      <c r="AW408" s="39">
        <v>72</v>
      </c>
      <c r="AX408" s="117">
        <v>46225</v>
      </c>
      <c r="AY408" s="39">
        <v>71</v>
      </c>
      <c r="AZ408" s="39">
        <f t="shared" si="6"/>
        <v>-1</v>
      </c>
      <c r="BA408" s="39"/>
      <c r="BB408" s="39"/>
      <c r="BC408" s="39"/>
      <c r="BD408" s="39"/>
      <c r="BE408" s="39"/>
      <c r="BF408" s="39">
        <f t="shared" si="7"/>
        <v>0</v>
      </c>
      <c r="BG408" s="39"/>
      <c r="BH408" s="39"/>
      <c r="BI408" s="39"/>
      <c r="BJ408" s="39"/>
      <c r="BK408" s="39"/>
      <c r="BL408" s="39">
        <f t="shared" si="8"/>
        <v>0</v>
      </c>
      <c r="BM408" s="54" t="str">
        <f t="shared" si="9"/>
        <v/>
      </c>
      <c r="BN408" s="58">
        <v>46183</v>
      </c>
      <c r="BO408" s="57">
        <v>46197</v>
      </c>
      <c r="BP408" s="36"/>
      <c r="BQ408" s="36"/>
      <c r="BR408" s="237">
        <v>46210</v>
      </c>
      <c r="BS408" s="237">
        <v>46232</v>
      </c>
      <c r="BT408" s="39">
        <v>1831</v>
      </c>
      <c r="BU408" s="39">
        <v>69</v>
      </c>
      <c r="BV408" s="39">
        <v>1914</v>
      </c>
      <c r="BW408" s="39">
        <v>24</v>
      </c>
      <c r="BX408" s="39">
        <v>1914</v>
      </c>
      <c r="BY408" s="39">
        <v>6</v>
      </c>
      <c r="BZ408" s="39">
        <f t="shared" si="10"/>
        <v>99</v>
      </c>
      <c r="CA408" s="39">
        <f t="shared" si="11"/>
        <v>9</v>
      </c>
      <c r="CB408" s="39">
        <f t="shared" si="12"/>
        <v>2</v>
      </c>
      <c r="CC408" s="39">
        <f t="shared" si="13"/>
        <v>2</v>
      </c>
      <c r="CD408" s="39">
        <f t="shared" si="14"/>
        <v>0</v>
      </c>
      <c r="CE408" s="102">
        <f t="shared" si="15"/>
        <v>0</v>
      </c>
      <c r="CF408" s="36" t="s">
        <v>293</v>
      </c>
      <c r="CG408" s="39" t="s">
        <v>221</v>
      </c>
      <c r="CH408" s="39"/>
      <c r="CI408" s="25">
        <v>1</v>
      </c>
    </row>
    <row r="409" spans="1:87" ht="24.75" customHeight="1">
      <c r="A409" s="36" t="s">
        <v>387</v>
      </c>
      <c r="B409" s="27">
        <v>47651</v>
      </c>
      <c r="C409" s="236"/>
      <c r="D409" s="36" t="s">
        <v>45</v>
      </c>
      <c r="E409" s="39">
        <v>260</v>
      </c>
      <c r="F409" s="39" t="s">
        <v>58</v>
      </c>
      <c r="G409" s="36" t="s">
        <v>646</v>
      </c>
      <c r="H409" s="36" t="s">
        <v>496</v>
      </c>
      <c r="I409" s="39">
        <v>155</v>
      </c>
      <c r="J409" s="39">
        <v>45</v>
      </c>
      <c r="K409" s="39">
        <v>5</v>
      </c>
      <c r="L409" s="39">
        <f t="shared" si="438"/>
        <v>205</v>
      </c>
      <c r="M409" s="117">
        <v>46155</v>
      </c>
      <c r="N409" s="117">
        <v>46160</v>
      </c>
      <c r="O409" s="39"/>
      <c r="P409" s="39"/>
      <c r="Q409" s="39"/>
      <c r="R409" s="39">
        <f t="shared" si="436"/>
        <v>0</v>
      </c>
      <c r="S409" s="39" t="s">
        <v>326</v>
      </c>
      <c r="T409" s="39"/>
      <c r="U409" s="39"/>
      <c r="V409" s="117">
        <v>46182</v>
      </c>
      <c r="W409" s="39">
        <f>195+52+7</f>
        <v>254</v>
      </c>
      <c r="X409" s="117" t="s">
        <v>1801</v>
      </c>
      <c r="Y409" s="39">
        <f>146+15</f>
        <v>161</v>
      </c>
      <c r="Z409" s="39">
        <v>48</v>
      </c>
      <c r="AA409" s="39">
        <v>6</v>
      </c>
      <c r="AB409" s="119">
        <f t="shared" si="437"/>
        <v>215</v>
      </c>
      <c r="AC409" s="39"/>
      <c r="AD409" s="39"/>
      <c r="AE409" s="39"/>
      <c r="AF409" s="39"/>
      <c r="AG409" s="39"/>
      <c r="AH409" s="39">
        <f t="shared" si="3"/>
        <v>0</v>
      </c>
      <c r="AI409" s="39"/>
      <c r="AJ409" s="39"/>
      <c r="AK409" s="39"/>
      <c r="AL409" s="39"/>
      <c r="AM409" s="39"/>
      <c r="AN409" s="39">
        <f t="shared" si="405"/>
        <v>0</v>
      </c>
      <c r="AO409" s="39"/>
      <c r="AP409" s="39"/>
      <c r="AQ409" s="39"/>
      <c r="AR409" s="39"/>
      <c r="AS409" s="39"/>
      <c r="AT409" s="39">
        <f t="shared" si="5"/>
        <v>0</v>
      </c>
      <c r="AU409" s="39"/>
      <c r="AV409" s="39"/>
      <c r="AW409" s="39"/>
      <c r="AX409" s="39"/>
      <c r="AY409" s="39"/>
      <c r="AZ409" s="39">
        <f t="shared" si="6"/>
        <v>0</v>
      </c>
      <c r="BA409" s="39"/>
      <c r="BB409" s="39"/>
      <c r="BC409" s="39"/>
      <c r="BD409" s="39"/>
      <c r="BE409" s="39"/>
      <c r="BF409" s="39">
        <f t="shared" si="7"/>
        <v>0</v>
      </c>
      <c r="BG409" s="39"/>
      <c r="BH409" s="39"/>
      <c r="BI409" s="39"/>
      <c r="BJ409" s="39"/>
      <c r="BK409" s="39"/>
      <c r="BL409" s="39">
        <f t="shared" si="8"/>
        <v>0</v>
      </c>
      <c r="BM409" s="54" t="str">
        <f t="shared" si="9"/>
        <v/>
      </c>
      <c r="BN409" s="58">
        <v>46183</v>
      </c>
      <c r="BO409" s="57">
        <v>46197</v>
      </c>
      <c r="BP409" s="36"/>
      <c r="BQ409" s="36"/>
      <c r="BR409" s="239"/>
      <c r="BS409" s="239"/>
      <c r="BT409" s="39" t="s">
        <v>1964</v>
      </c>
      <c r="BU409" s="39">
        <f>146+14</f>
        <v>160</v>
      </c>
      <c r="BV409" s="39">
        <v>1532</v>
      </c>
      <c r="BW409" s="39">
        <v>48</v>
      </c>
      <c r="BX409" s="39">
        <v>1532</v>
      </c>
      <c r="BY409" s="39">
        <v>6</v>
      </c>
      <c r="BZ409" s="39">
        <f t="shared" si="10"/>
        <v>214</v>
      </c>
      <c r="CA409" s="39">
        <f t="shared" si="11"/>
        <v>5</v>
      </c>
      <c r="CB409" s="39">
        <f t="shared" si="12"/>
        <v>3</v>
      </c>
      <c r="CC409" s="39">
        <f t="shared" si="13"/>
        <v>1</v>
      </c>
      <c r="CD409" s="39">
        <f t="shared" si="14"/>
        <v>0</v>
      </c>
      <c r="CE409" s="102">
        <f t="shared" si="15"/>
        <v>0</v>
      </c>
      <c r="CF409" s="36" t="s">
        <v>293</v>
      </c>
      <c r="CG409" s="39" t="s">
        <v>221</v>
      </c>
      <c r="CH409" s="39"/>
      <c r="CI409" s="25">
        <v>1</v>
      </c>
    </row>
    <row r="410" spans="1:87" ht="24.75" customHeight="1">
      <c r="A410" s="36" t="s">
        <v>387</v>
      </c>
      <c r="B410" s="27">
        <v>47705</v>
      </c>
      <c r="C410" s="235" t="s">
        <v>998</v>
      </c>
      <c r="D410" s="36"/>
      <c r="E410" s="39">
        <v>320</v>
      </c>
      <c r="F410" s="39" t="s">
        <v>58</v>
      </c>
      <c r="G410" s="36" t="s">
        <v>30</v>
      </c>
      <c r="H410" s="36" t="s">
        <v>997</v>
      </c>
      <c r="I410" s="39">
        <v>263</v>
      </c>
      <c r="J410" s="39"/>
      <c r="K410" s="39"/>
      <c r="L410" s="39">
        <f t="shared" ref="L410:L411" si="439">SUM(I410:K410)</f>
        <v>263</v>
      </c>
      <c r="M410" s="117">
        <v>46157</v>
      </c>
      <c r="N410" s="117">
        <v>46164</v>
      </c>
      <c r="O410" s="39"/>
      <c r="P410" s="39"/>
      <c r="Q410" s="39"/>
      <c r="R410" s="39">
        <f t="shared" si="436"/>
        <v>0</v>
      </c>
      <c r="S410" s="39" t="s">
        <v>130</v>
      </c>
      <c r="T410" s="39">
        <v>107636</v>
      </c>
      <c r="U410" s="117">
        <v>46220</v>
      </c>
      <c r="V410" s="39"/>
      <c r="W410" s="39"/>
      <c r="X410" s="39"/>
      <c r="Y410" s="39">
        <v>300</v>
      </c>
      <c r="Z410" s="39"/>
      <c r="AA410" s="39"/>
      <c r="AB410" s="119">
        <f t="shared" si="437"/>
        <v>300</v>
      </c>
      <c r="AC410" s="39"/>
      <c r="AD410" s="39"/>
      <c r="AE410" s="39"/>
      <c r="AF410" s="39"/>
      <c r="AG410" s="39"/>
      <c r="AH410" s="39">
        <f t="shared" si="3"/>
        <v>0</v>
      </c>
      <c r="AI410" s="39"/>
      <c r="AJ410" s="39"/>
      <c r="AK410" s="39"/>
      <c r="AL410" s="39"/>
      <c r="AM410" s="39"/>
      <c r="AN410" s="39">
        <f t="shared" si="405"/>
        <v>0</v>
      </c>
      <c r="AO410" s="39"/>
      <c r="AP410" s="39"/>
      <c r="AQ410" s="39"/>
      <c r="AR410" s="39"/>
      <c r="AS410" s="39"/>
      <c r="AT410" s="39">
        <f t="shared" si="5"/>
        <v>0</v>
      </c>
      <c r="AU410" s="39"/>
      <c r="AV410" s="39"/>
      <c r="AW410" s="39"/>
      <c r="AX410" s="39"/>
      <c r="AY410" s="39"/>
      <c r="AZ410" s="39">
        <f t="shared" si="6"/>
        <v>0</v>
      </c>
      <c r="BA410" s="39"/>
      <c r="BB410" s="39"/>
      <c r="BC410" s="39"/>
      <c r="BD410" s="39"/>
      <c r="BE410" s="39"/>
      <c r="BF410" s="39">
        <f t="shared" si="7"/>
        <v>0</v>
      </c>
      <c r="BG410" s="39"/>
      <c r="BH410" s="39"/>
      <c r="BI410" s="39"/>
      <c r="BJ410" s="39"/>
      <c r="BK410" s="39"/>
      <c r="BL410" s="39">
        <f t="shared" si="8"/>
        <v>0</v>
      </c>
      <c r="BM410" s="54" t="str">
        <f t="shared" si="9"/>
        <v/>
      </c>
      <c r="BN410" s="58">
        <v>46183</v>
      </c>
      <c r="BO410" s="57">
        <v>46195</v>
      </c>
      <c r="BP410" s="36"/>
      <c r="BQ410" s="36"/>
      <c r="BR410" s="237">
        <v>46225</v>
      </c>
      <c r="BS410" s="237">
        <v>46227</v>
      </c>
      <c r="BT410" s="39">
        <v>1838</v>
      </c>
      <c r="BU410" s="39">
        <v>277</v>
      </c>
      <c r="BV410" s="39"/>
      <c r="BW410" s="39"/>
      <c r="BX410" s="39"/>
      <c r="BY410" s="39"/>
      <c r="BZ410" s="39">
        <f t="shared" si="10"/>
        <v>277</v>
      </c>
      <c r="CA410" s="39">
        <f t="shared" si="11"/>
        <v>14</v>
      </c>
      <c r="CB410" s="39">
        <f t="shared" si="12"/>
        <v>0</v>
      </c>
      <c r="CC410" s="39">
        <f t="shared" si="13"/>
        <v>0</v>
      </c>
      <c r="CD410" s="39">
        <f t="shared" si="14"/>
        <v>0</v>
      </c>
      <c r="CE410" s="102">
        <f t="shared" si="15"/>
        <v>0</v>
      </c>
      <c r="CF410" s="36" t="s">
        <v>293</v>
      </c>
      <c r="CG410" s="39" t="s">
        <v>221</v>
      </c>
      <c r="CH410" s="39"/>
      <c r="CI410" s="25">
        <v>1</v>
      </c>
    </row>
    <row r="411" spans="1:87" ht="24.75" customHeight="1">
      <c r="A411" s="36" t="s">
        <v>387</v>
      </c>
      <c r="B411" s="27">
        <v>47705</v>
      </c>
      <c r="C411" s="236"/>
      <c r="D411" s="36"/>
      <c r="E411" s="39">
        <v>320</v>
      </c>
      <c r="F411" s="39" t="s">
        <v>58</v>
      </c>
      <c r="G411" s="36" t="s">
        <v>23</v>
      </c>
      <c r="H411" s="36" t="s">
        <v>997</v>
      </c>
      <c r="I411" s="39">
        <v>267</v>
      </c>
      <c r="J411" s="39"/>
      <c r="K411" s="39"/>
      <c r="L411" s="39">
        <f t="shared" si="439"/>
        <v>267</v>
      </c>
      <c r="M411" s="117">
        <v>46157</v>
      </c>
      <c r="N411" s="117">
        <v>46164</v>
      </c>
      <c r="O411" s="39"/>
      <c r="P411" s="39"/>
      <c r="Q411" s="39"/>
      <c r="R411" s="39">
        <f t="shared" si="436"/>
        <v>0</v>
      </c>
      <c r="S411" s="39" t="s">
        <v>130</v>
      </c>
      <c r="T411" s="39">
        <v>107812</v>
      </c>
      <c r="U411" s="117">
        <v>46219</v>
      </c>
      <c r="V411" s="39"/>
      <c r="W411" s="39"/>
      <c r="X411" s="39"/>
      <c r="Y411" s="39">
        <v>296</v>
      </c>
      <c r="Z411" s="39"/>
      <c r="AA411" s="39"/>
      <c r="AB411" s="119">
        <f t="shared" si="437"/>
        <v>296</v>
      </c>
      <c r="AC411" s="39"/>
      <c r="AD411" s="39"/>
      <c r="AE411" s="39"/>
      <c r="AF411" s="39"/>
      <c r="AG411" s="39"/>
      <c r="AH411" s="39">
        <f t="shared" si="3"/>
        <v>0</v>
      </c>
      <c r="AI411" s="39"/>
      <c r="AJ411" s="39"/>
      <c r="AK411" s="39"/>
      <c r="AL411" s="39"/>
      <c r="AM411" s="39"/>
      <c r="AN411" s="39">
        <f t="shared" si="405"/>
        <v>0</v>
      </c>
      <c r="AO411" s="39"/>
      <c r="AP411" s="39"/>
      <c r="AQ411" s="39"/>
      <c r="AR411" s="39"/>
      <c r="AS411" s="39"/>
      <c r="AT411" s="39">
        <f t="shared" si="5"/>
        <v>0</v>
      </c>
      <c r="AU411" s="39"/>
      <c r="AV411" s="39"/>
      <c r="AW411" s="39"/>
      <c r="AX411" s="39"/>
      <c r="AY411" s="39"/>
      <c r="AZ411" s="39">
        <f t="shared" si="6"/>
        <v>0</v>
      </c>
      <c r="BA411" s="39"/>
      <c r="BB411" s="39"/>
      <c r="BC411" s="39"/>
      <c r="BD411" s="39"/>
      <c r="BE411" s="39"/>
      <c r="BF411" s="39">
        <f t="shared" si="7"/>
        <v>0</v>
      </c>
      <c r="BG411" s="39"/>
      <c r="BH411" s="39"/>
      <c r="BI411" s="39"/>
      <c r="BJ411" s="39"/>
      <c r="BK411" s="39"/>
      <c r="BL411" s="39">
        <f t="shared" si="8"/>
        <v>0</v>
      </c>
      <c r="BM411" s="54" t="str">
        <f t="shared" si="9"/>
        <v/>
      </c>
      <c r="BN411" s="58">
        <v>46183</v>
      </c>
      <c r="BO411" s="57">
        <v>46195</v>
      </c>
      <c r="BP411" s="36"/>
      <c r="BQ411" s="36"/>
      <c r="BR411" s="239"/>
      <c r="BS411" s="239"/>
      <c r="BT411" s="39">
        <v>2048</v>
      </c>
      <c r="BU411" s="39">
        <f>262</f>
        <v>262</v>
      </c>
      <c r="BV411" s="39"/>
      <c r="BW411" s="39"/>
      <c r="BX411" s="39"/>
      <c r="BY411" s="39"/>
      <c r="BZ411" s="39">
        <f t="shared" si="10"/>
        <v>262</v>
      </c>
      <c r="CA411" s="39">
        <f t="shared" si="11"/>
        <v>-5</v>
      </c>
      <c r="CB411" s="39">
        <f t="shared" si="12"/>
        <v>0</v>
      </c>
      <c r="CC411" s="39">
        <f t="shared" si="13"/>
        <v>0</v>
      </c>
      <c r="CD411" s="39">
        <v>0</v>
      </c>
      <c r="CE411" s="102">
        <f t="shared" si="15"/>
        <v>0</v>
      </c>
      <c r="CF411" s="36" t="s">
        <v>293</v>
      </c>
      <c r="CG411" s="39" t="s">
        <v>221</v>
      </c>
      <c r="CH411" s="39"/>
      <c r="CI411" s="25">
        <v>1</v>
      </c>
    </row>
    <row r="412" spans="1:87" ht="24.75" customHeight="1">
      <c r="A412" s="36" t="s">
        <v>387</v>
      </c>
      <c r="B412" s="27" t="s">
        <v>733</v>
      </c>
      <c r="C412" s="235">
        <v>15312874</v>
      </c>
      <c r="D412" s="36" t="s">
        <v>45</v>
      </c>
      <c r="E412" s="39">
        <v>270</v>
      </c>
      <c r="F412" s="39" t="s">
        <v>58</v>
      </c>
      <c r="G412" s="36" t="s">
        <v>353</v>
      </c>
      <c r="H412" s="36" t="s">
        <v>734</v>
      </c>
      <c r="I412" s="39">
        <v>1241</v>
      </c>
      <c r="J412" s="39">
        <v>320</v>
      </c>
      <c r="K412" s="39">
        <v>151</v>
      </c>
      <c r="L412" s="39">
        <f t="shared" ref="L412:L414" si="440">SUM(I412:K412)</f>
        <v>1712</v>
      </c>
      <c r="M412" s="117">
        <v>46155</v>
      </c>
      <c r="N412" s="117">
        <v>46165</v>
      </c>
      <c r="O412" s="39"/>
      <c r="P412" s="39"/>
      <c r="Q412" s="39"/>
      <c r="R412" s="39">
        <f t="shared" si="436"/>
        <v>0</v>
      </c>
      <c r="S412" s="39" t="s">
        <v>100</v>
      </c>
      <c r="T412" s="39">
        <v>107891</v>
      </c>
      <c r="U412" s="117">
        <v>46222</v>
      </c>
      <c r="V412" s="117">
        <v>46183</v>
      </c>
      <c r="W412" s="39">
        <f>11+884+562+365+174</f>
        <v>1996</v>
      </c>
      <c r="X412" s="117" t="s">
        <v>1556</v>
      </c>
      <c r="Y412" s="39">
        <f>1031+288+39</f>
        <v>1358</v>
      </c>
      <c r="Z412" s="39">
        <v>329</v>
      </c>
      <c r="AA412" s="39">
        <f>121+32</f>
        <v>153</v>
      </c>
      <c r="AB412" s="119">
        <f t="shared" si="437"/>
        <v>1840</v>
      </c>
      <c r="AC412" s="39"/>
      <c r="AD412" s="39"/>
      <c r="AE412" s="39"/>
      <c r="AF412" s="39"/>
      <c r="AG412" s="39"/>
      <c r="AH412" s="39">
        <f t="shared" ref="AH412:AH433" si="441">AG412-AE412</f>
        <v>0</v>
      </c>
      <c r="AI412" s="39"/>
      <c r="AJ412" s="39"/>
      <c r="AK412" s="39"/>
      <c r="AL412" s="39"/>
      <c r="AM412" s="39"/>
      <c r="AN412" s="39">
        <f t="shared" si="405"/>
        <v>0</v>
      </c>
      <c r="AO412" s="39" t="s">
        <v>280</v>
      </c>
      <c r="AP412" s="117" t="s">
        <v>1811</v>
      </c>
      <c r="AQ412" s="39">
        <f>1029+290+36</f>
        <v>1355</v>
      </c>
      <c r="AR412" s="117" t="s">
        <v>1814</v>
      </c>
      <c r="AS412" s="39">
        <f>1034+287+36</f>
        <v>1357</v>
      </c>
      <c r="AT412" s="39">
        <f t="shared" ref="AT412:AT433" si="442">AS412-AQ412</f>
        <v>2</v>
      </c>
      <c r="AU412" s="39" t="s">
        <v>274</v>
      </c>
      <c r="AV412" s="117" t="s">
        <v>1814</v>
      </c>
      <c r="AW412" s="39">
        <f>1034+287+36</f>
        <v>1357</v>
      </c>
      <c r="AX412" s="117" t="s">
        <v>1816</v>
      </c>
      <c r="AY412" s="39">
        <f>1015+282+35</f>
        <v>1332</v>
      </c>
      <c r="AZ412" s="39">
        <f t="shared" ref="AZ412:AZ433" si="443">AY412-AW412</f>
        <v>-25</v>
      </c>
      <c r="BA412" s="39"/>
      <c r="BB412" s="39"/>
      <c r="BC412" s="39"/>
      <c r="BD412" s="39"/>
      <c r="BE412" s="39"/>
      <c r="BF412" s="39">
        <f t="shared" ref="BF412:BF433" si="444">BE412-BC412</f>
        <v>0</v>
      </c>
      <c r="BG412" s="39"/>
      <c r="BH412" s="39"/>
      <c r="BI412" s="39"/>
      <c r="BJ412" s="39"/>
      <c r="BK412" s="39"/>
      <c r="BL412" s="39">
        <f t="shared" ref="BL412:BL433" si="445">BK412-BI412</f>
        <v>0</v>
      </c>
      <c r="BM412" s="54" t="str">
        <f t="shared" ref="BM412:BM433" si="446">IF((BZ412/L412)&lt;0.9,$CO$1-U412,"")</f>
        <v/>
      </c>
      <c r="BN412" s="58">
        <v>46183</v>
      </c>
      <c r="BO412" s="57">
        <v>46196</v>
      </c>
      <c r="BP412" s="36"/>
      <c r="BQ412" s="36"/>
      <c r="BR412" s="237">
        <v>46197</v>
      </c>
      <c r="BS412" s="237">
        <v>46216</v>
      </c>
      <c r="BT412" s="39" t="s">
        <v>1872</v>
      </c>
      <c r="BU412" s="39">
        <f>925+273+15+34</f>
        <v>1247</v>
      </c>
      <c r="BV412" s="39">
        <v>1776</v>
      </c>
      <c r="BW412" s="39">
        <v>329</v>
      </c>
      <c r="BX412" s="39" t="s">
        <v>1581</v>
      </c>
      <c r="BY412" s="39">
        <f>121+32</f>
        <v>153</v>
      </c>
      <c r="BZ412" s="39">
        <f t="shared" ref="BZ412:BZ433" si="447">BU412+BW412+BY412</f>
        <v>1729</v>
      </c>
      <c r="CA412" s="39">
        <f t="shared" si="11"/>
        <v>6</v>
      </c>
      <c r="CB412" s="39">
        <f t="shared" ref="CB412:CB433" si="448">BW412-J412</f>
        <v>9</v>
      </c>
      <c r="CC412" s="39">
        <f t="shared" ref="CC412:CC433" si="449">BY412-K412</f>
        <v>2</v>
      </c>
      <c r="CD412" s="39">
        <v>0</v>
      </c>
      <c r="CE412" s="102">
        <f t="shared" ref="CE412:CE433" si="450">CD412/L412</f>
        <v>0</v>
      </c>
      <c r="CF412" s="36" t="s">
        <v>292</v>
      </c>
      <c r="CG412" s="39" t="s">
        <v>220</v>
      </c>
      <c r="CH412" s="39"/>
      <c r="CI412" s="25">
        <v>1</v>
      </c>
    </row>
    <row r="413" spans="1:87" ht="24.75" customHeight="1">
      <c r="A413" s="36" t="s">
        <v>387</v>
      </c>
      <c r="B413" s="27" t="s">
        <v>733</v>
      </c>
      <c r="C413" s="240"/>
      <c r="D413" s="36"/>
      <c r="E413" s="39"/>
      <c r="F413" s="39"/>
      <c r="G413" s="36" t="s">
        <v>92</v>
      </c>
      <c r="H413" s="36">
        <v>1100</v>
      </c>
      <c r="I413" s="39" t="s">
        <v>90</v>
      </c>
      <c r="J413" s="39"/>
      <c r="K413" s="39"/>
      <c r="L413" s="39">
        <f t="shared" si="440"/>
        <v>0</v>
      </c>
      <c r="M413" s="117">
        <v>46155</v>
      </c>
      <c r="N413" s="117">
        <v>46165</v>
      </c>
      <c r="O413" s="39"/>
      <c r="P413" s="39"/>
      <c r="Q413" s="39"/>
      <c r="R413" s="39">
        <f t="shared" si="436"/>
        <v>0</v>
      </c>
      <c r="S413" s="39" t="s">
        <v>130</v>
      </c>
      <c r="T413" s="39"/>
      <c r="U413" s="39"/>
      <c r="V413" s="39"/>
      <c r="W413" s="39"/>
      <c r="X413" s="39"/>
      <c r="Y413" s="39"/>
      <c r="Z413" s="39"/>
      <c r="AA413" s="39"/>
      <c r="AB413" s="39">
        <f t="shared" si="437"/>
        <v>0</v>
      </c>
      <c r="AC413" s="39"/>
      <c r="AD413" s="39"/>
      <c r="AE413" s="39"/>
      <c r="AF413" s="39"/>
      <c r="AG413" s="39"/>
      <c r="AH413" s="39">
        <f t="shared" si="441"/>
        <v>0</v>
      </c>
      <c r="AI413" s="39"/>
      <c r="AJ413" s="39"/>
      <c r="AK413" s="39"/>
      <c r="AL413" s="39"/>
      <c r="AM413" s="39"/>
      <c r="AN413" s="39">
        <f t="shared" si="405"/>
        <v>0</v>
      </c>
      <c r="AO413" s="39"/>
      <c r="AP413" s="39"/>
      <c r="AQ413" s="39"/>
      <c r="AR413" s="39"/>
      <c r="AS413" s="39"/>
      <c r="AT413" s="39">
        <f t="shared" si="442"/>
        <v>0</v>
      </c>
      <c r="AU413" s="39"/>
      <c r="AV413" s="39"/>
      <c r="AW413" s="39"/>
      <c r="AX413" s="39"/>
      <c r="AY413" s="39"/>
      <c r="AZ413" s="39">
        <f t="shared" si="443"/>
        <v>0</v>
      </c>
      <c r="BA413" s="39"/>
      <c r="BB413" s="39"/>
      <c r="BC413" s="39"/>
      <c r="BD413" s="39"/>
      <c r="BE413" s="39"/>
      <c r="BF413" s="39">
        <f t="shared" si="444"/>
        <v>0</v>
      </c>
      <c r="BG413" s="39"/>
      <c r="BH413" s="39"/>
      <c r="BI413" s="39"/>
      <c r="BJ413" s="39"/>
      <c r="BK413" s="39"/>
      <c r="BL413" s="39">
        <f t="shared" si="445"/>
        <v>0</v>
      </c>
      <c r="BM413" s="54" t="e">
        <f t="shared" si="446"/>
        <v>#DIV/0!</v>
      </c>
      <c r="BN413" s="58">
        <v>46183</v>
      </c>
      <c r="BO413" s="57">
        <v>46196</v>
      </c>
      <c r="BP413" s="36"/>
      <c r="BQ413" s="36"/>
      <c r="BR413" s="238"/>
      <c r="BS413" s="238"/>
      <c r="BT413" s="39" t="s">
        <v>1584</v>
      </c>
      <c r="BU413" s="39"/>
      <c r="BV413" s="39"/>
      <c r="BW413" s="39"/>
      <c r="BX413" s="39"/>
      <c r="BY413" s="39"/>
      <c r="BZ413" s="39">
        <f t="shared" si="447"/>
        <v>0</v>
      </c>
      <c r="CA413" s="39" t="e">
        <f t="shared" si="11"/>
        <v>#VALUE!</v>
      </c>
      <c r="CB413" s="39">
        <f t="shared" si="448"/>
        <v>0</v>
      </c>
      <c r="CC413" s="39">
        <f t="shared" si="449"/>
        <v>0</v>
      </c>
      <c r="CD413" s="39">
        <f t="shared" ref="CD413:CD433" si="451">SUMIF(CA413:CC413,"&lt;0")</f>
        <v>0</v>
      </c>
      <c r="CE413" s="102" t="e">
        <f t="shared" si="450"/>
        <v>#DIV/0!</v>
      </c>
      <c r="CF413" s="36" t="s">
        <v>292</v>
      </c>
      <c r="CG413" s="39" t="s">
        <v>220</v>
      </c>
      <c r="CH413" s="39"/>
      <c r="CI413" s="25">
        <v>1</v>
      </c>
    </row>
    <row r="414" spans="1:87" ht="24.75" customHeight="1">
      <c r="A414" s="36" t="s">
        <v>387</v>
      </c>
      <c r="B414" s="27" t="s">
        <v>733</v>
      </c>
      <c r="C414" s="236"/>
      <c r="D414" s="36"/>
      <c r="E414" s="39"/>
      <c r="F414" s="39"/>
      <c r="G414" s="36" t="s">
        <v>319</v>
      </c>
      <c r="H414" s="36">
        <v>4295</v>
      </c>
      <c r="I414" s="39" t="s">
        <v>90</v>
      </c>
      <c r="J414" s="39"/>
      <c r="K414" s="39"/>
      <c r="L414" s="39">
        <f t="shared" si="440"/>
        <v>0</v>
      </c>
      <c r="M414" s="117">
        <v>46155</v>
      </c>
      <c r="N414" s="117">
        <v>46165</v>
      </c>
      <c r="O414" s="39"/>
      <c r="P414" s="39"/>
      <c r="Q414" s="39"/>
      <c r="R414" s="39">
        <f t="shared" si="436"/>
        <v>0</v>
      </c>
      <c r="S414" s="39" t="s">
        <v>130</v>
      </c>
      <c r="T414" s="39"/>
      <c r="U414" s="39"/>
      <c r="V414" s="117">
        <v>46183</v>
      </c>
      <c r="W414" s="39">
        <f>11</f>
        <v>11</v>
      </c>
      <c r="X414" s="117">
        <v>46212</v>
      </c>
      <c r="Y414" s="39">
        <f>10</f>
        <v>10</v>
      </c>
      <c r="Z414" s="39"/>
      <c r="AA414" s="39"/>
      <c r="AB414" s="39">
        <f t="shared" si="437"/>
        <v>10</v>
      </c>
      <c r="AC414" s="39"/>
      <c r="AD414" s="39"/>
      <c r="AE414" s="39"/>
      <c r="AF414" s="39"/>
      <c r="AG414" s="39"/>
      <c r="AH414" s="39">
        <f t="shared" si="441"/>
        <v>0</v>
      </c>
      <c r="AI414" s="39"/>
      <c r="AJ414" s="39"/>
      <c r="AK414" s="39"/>
      <c r="AL414" s="39"/>
      <c r="AM414" s="39"/>
      <c r="AN414" s="39">
        <f t="shared" si="405"/>
        <v>0</v>
      </c>
      <c r="AO414" s="39"/>
      <c r="AP414" s="39"/>
      <c r="AQ414" s="39"/>
      <c r="AR414" s="39"/>
      <c r="AS414" s="39"/>
      <c r="AT414" s="39">
        <f t="shared" si="442"/>
        <v>0</v>
      </c>
      <c r="AU414" s="39"/>
      <c r="AV414" s="39"/>
      <c r="AW414" s="39"/>
      <c r="AX414" s="39"/>
      <c r="AY414" s="39"/>
      <c r="AZ414" s="39">
        <f t="shared" si="443"/>
        <v>0</v>
      </c>
      <c r="BA414" s="39"/>
      <c r="BB414" s="39"/>
      <c r="BC414" s="39"/>
      <c r="BD414" s="39"/>
      <c r="BE414" s="39"/>
      <c r="BF414" s="39">
        <f t="shared" si="444"/>
        <v>0</v>
      </c>
      <c r="BG414" s="39"/>
      <c r="BH414" s="39"/>
      <c r="BI414" s="39"/>
      <c r="BJ414" s="39"/>
      <c r="BK414" s="39"/>
      <c r="BL414" s="39">
        <f t="shared" si="445"/>
        <v>0</v>
      </c>
      <c r="BM414" s="54" t="e">
        <f t="shared" si="446"/>
        <v>#DIV/0!</v>
      </c>
      <c r="BN414" s="58">
        <v>46183</v>
      </c>
      <c r="BO414" s="57">
        <v>46196</v>
      </c>
      <c r="BP414" s="36"/>
      <c r="BQ414" s="36"/>
      <c r="BR414" s="239"/>
      <c r="BS414" s="239"/>
      <c r="BT414" s="39"/>
      <c r="BU414" s="39"/>
      <c r="BV414" s="39"/>
      <c r="BW414" s="39"/>
      <c r="BX414" s="39"/>
      <c r="BY414" s="39"/>
      <c r="BZ414" s="39">
        <f t="shared" si="447"/>
        <v>0</v>
      </c>
      <c r="CA414" s="39" t="e">
        <f t="shared" si="11"/>
        <v>#VALUE!</v>
      </c>
      <c r="CB414" s="39">
        <f t="shared" si="448"/>
        <v>0</v>
      </c>
      <c r="CC414" s="39">
        <f t="shared" si="449"/>
        <v>0</v>
      </c>
      <c r="CD414" s="39">
        <f t="shared" si="451"/>
        <v>0</v>
      </c>
      <c r="CE414" s="102" t="e">
        <f t="shared" si="450"/>
        <v>#DIV/0!</v>
      </c>
      <c r="CF414" s="36" t="s">
        <v>292</v>
      </c>
      <c r="CG414" s="39" t="s">
        <v>220</v>
      </c>
      <c r="CH414" s="39"/>
      <c r="CI414" s="25">
        <v>1</v>
      </c>
    </row>
    <row r="415" spans="1:87" ht="24.75" customHeight="1">
      <c r="A415" s="36" t="s">
        <v>387</v>
      </c>
      <c r="B415" s="27">
        <v>47700</v>
      </c>
      <c r="C415" s="235" t="s">
        <v>737</v>
      </c>
      <c r="D415" s="36" t="s">
        <v>45</v>
      </c>
      <c r="E415" s="39">
        <v>260</v>
      </c>
      <c r="F415" s="39" t="s">
        <v>58</v>
      </c>
      <c r="G415" s="36" t="s">
        <v>409</v>
      </c>
      <c r="H415" s="36" t="s">
        <v>410</v>
      </c>
      <c r="I415" s="39">
        <v>225</v>
      </c>
      <c r="J415" s="39">
        <v>59</v>
      </c>
      <c r="K415" s="39"/>
      <c r="L415" s="39">
        <f t="shared" ref="L415:L417" si="452">SUM(I415:K415)</f>
        <v>284</v>
      </c>
      <c r="M415" s="117">
        <v>46155</v>
      </c>
      <c r="N415" s="117">
        <v>46162</v>
      </c>
      <c r="O415" s="39"/>
      <c r="P415" s="39"/>
      <c r="Q415" s="39"/>
      <c r="R415" s="39">
        <f t="shared" si="436"/>
        <v>0</v>
      </c>
      <c r="S415" s="39" t="s">
        <v>31</v>
      </c>
      <c r="T415" s="39">
        <v>107677</v>
      </c>
      <c r="U415" s="117">
        <v>46213</v>
      </c>
      <c r="V415" s="117">
        <v>46193</v>
      </c>
      <c r="W415" s="39">
        <f>263+70</f>
        <v>333</v>
      </c>
      <c r="X415" s="117" t="s">
        <v>1475</v>
      </c>
      <c r="Y415" s="39">
        <f>241+36</f>
        <v>277</v>
      </c>
      <c r="Z415" s="39">
        <v>62</v>
      </c>
      <c r="AA415" s="39"/>
      <c r="AB415" s="119">
        <f t="shared" si="437"/>
        <v>339</v>
      </c>
      <c r="AC415" s="39"/>
      <c r="AD415" s="39"/>
      <c r="AE415" s="39"/>
      <c r="AF415" s="39"/>
      <c r="AG415" s="39"/>
      <c r="AH415" s="39">
        <f t="shared" si="441"/>
        <v>0</v>
      </c>
      <c r="AI415" s="39"/>
      <c r="AJ415" s="39"/>
      <c r="AK415" s="39"/>
      <c r="AL415" s="39"/>
      <c r="AM415" s="39"/>
      <c r="AN415" s="39">
        <f t="shared" si="405"/>
        <v>0</v>
      </c>
      <c r="AO415" s="39" t="s">
        <v>274</v>
      </c>
      <c r="AP415" s="117" t="s">
        <v>1538</v>
      </c>
      <c r="AQ415" s="39">
        <f>241+32</f>
        <v>273</v>
      </c>
      <c r="AR415" s="117" t="s">
        <v>1538</v>
      </c>
      <c r="AS415" s="39">
        <f>233+32</f>
        <v>265</v>
      </c>
      <c r="AT415" s="39">
        <f t="shared" si="442"/>
        <v>-8</v>
      </c>
      <c r="AU415" s="39" t="s">
        <v>274</v>
      </c>
      <c r="AV415" s="117" t="s">
        <v>1538</v>
      </c>
      <c r="AW415" s="39">
        <f>241+32</f>
        <v>273</v>
      </c>
      <c r="AX415" s="117" t="s">
        <v>1538</v>
      </c>
      <c r="AY415" s="39">
        <f>233+32</f>
        <v>265</v>
      </c>
      <c r="AZ415" s="39">
        <f t="shared" si="443"/>
        <v>-8</v>
      </c>
      <c r="BA415" s="39"/>
      <c r="BB415" s="39"/>
      <c r="BC415" s="39"/>
      <c r="BD415" s="39"/>
      <c r="BE415" s="39"/>
      <c r="BF415" s="39">
        <f t="shared" si="444"/>
        <v>0</v>
      </c>
      <c r="BG415" s="39"/>
      <c r="BH415" s="39"/>
      <c r="BI415" s="39"/>
      <c r="BJ415" s="39"/>
      <c r="BK415" s="39"/>
      <c r="BL415" s="39">
        <f t="shared" si="445"/>
        <v>0</v>
      </c>
      <c r="BM415" s="54" t="str">
        <f t="shared" si="446"/>
        <v/>
      </c>
      <c r="BN415" s="58">
        <v>46179</v>
      </c>
      <c r="BO415" s="57">
        <v>46191</v>
      </c>
      <c r="BP415" s="36"/>
      <c r="BQ415" s="36"/>
      <c r="BR415" s="237">
        <v>46205</v>
      </c>
      <c r="BS415" s="237">
        <v>46213</v>
      </c>
      <c r="BT415" s="39" t="s">
        <v>1574</v>
      </c>
      <c r="BU415" s="39">
        <f>230+30</f>
        <v>260</v>
      </c>
      <c r="BV415" s="39">
        <v>1525</v>
      </c>
      <c r="BW415" s="39">
        <v>62</v>
      </c>
      <c r="BX415" s="39"/>
      <c r="BY415" s="39"/>
      <c r="BZ415" s="39">
        <f t="shared" si="447"/>
        <v>322</v>
      </c>
      <c r="CA415" s="39">
        <f t="shared" si="11"/>
        <v>35</v>
      </c>
      <c r="CB415" s="39">
        <f t="shared" si="448"/>
        <v>3</v>
      </c>
      <c r="CC415" s="39">
        <f t="shared" si="449"/>
        <v>0</v>
      </c>
      <c r="CD415" s="39">
        <f t="shared" si="451"/>
        <v>0</v>
      </c>
      <c r="CE415" s="102">
        <f t="shared" si="450"/>
        <v>0</v>
      </c>
      <c r="CF415" s="36"/>
      <c r="CG415" s="39" t="s">
        <v>220</v>
      </c>
      <c r="CH415" s="39"/>
      <c r="CI415" s="25">
        <v>1</v>
      </c>
    </row>
    <row r="416" spans="1:87" ht="24.75" customHeight="1">
      <c r="A416" s="36" t="s">
        <v>387</v>
      </c>
      <c r="B416" s="27">
        <v>47700</v>
      </c>
      <c r="C416" s="240"/>
      <c r="D416" s="36" t="s">
        <v>45</v>
      </c>
      <c r="E416" s="39">
        <v>260</v>
      </c>
      <c r="F416" s="39" t="s">
        <v>58</v>
      </c>
      <c r="G416" s="36" t="s">
        <v>738</v>
      </c>
      <c r="H416" s="36" t="s">
        <v>410</v>
      </c>
      <c r="I416" s="39">
        <v>225</v>
      </c>
      <c r="J416" s="39">
        <v>59</v>
      </c>
      <c r="K416" s="39"/>
      <c r="L416" s="39">
        <f t="shared" si="452"/>
        <v>284</v>
      </c>
      <c r="M416" s="117">
        <v>46155</v>
      </c>
      <c r="N416" s="117">
        <v>46162</v>
      </c>
      <c r="O416" s="39"/>
      <c r="P416" s="39"/>
      <c r="Q416" s="39"/>
      <c r="R416" s="39">
        <f t="shared" si="436"/>
        <v>0</v>
      </c>
      <c r="S416" s="39" t="s">
        <v>130</v>
      </c>
      <c r="T416" s="39">
        <v>107548</v>
      </c>
      <c r="U416" s="117">
        <v>46210</v>
      </c>
      <c r="V416" s="117"/>
      <c r="W416" s="39"/>
      <c r="X416" s="39"/>
      <c r="Y416" s="39">
        <v>262</v>
      </c>
      <c r="Z416" s="39">
        <v>70</v>
      </c>
      <c r="AA416" s="39"/>
      <c r="AB416" s="119">
        <f t="shared" si="437"/>
        <v>332</v>
      </c>
      <c r="AC416" s="39"/>
      <c r="AD416" s="39"/>
      <c r="AE416" s="39"/>
      <c r="AF416" s="39"/>
      <c r="AG416" s="39"/>
      <c r="AH416" s="39">
        <f t="shared" si="441"/>
        <v>0</v>
      </c>
      <c r="AI416" s="39"/>
      <c r="AJ416" s="39"/>
      <c r="AK416" s="39"/>
      <c r="AL416" s="39"/>
      <c r="AM416" s="39"/>
      <c r="AN416" s="39">
        <f t="shared" si="405"/>
        <v>0</v>
      </c>
      <c r="AO416" s="39" t="s">
        <v>256</v>
      </c>
      <c r="AP416" s="117">
        <v>46211</v>
      </c>
      <c r="AQ416" s="39">
        <v>246</v>
      </c>
      <c r="AR416" s="117">
        <v>46211</v>
      </c>
      <c r="AS416" s="39">
        <v>245</v>
      </c>
      <c r="AT416" s="39">
        <f t="shared" si="442"/>
        <v>-1</v>
      </c>
      <c r="AU416" s="39" t="s">
        <v>256</v>
      </c>
      <c r="AV416" s="117">
        <v>46211</v>
      </c>
      <c r="AW416" s="39">
        <v>246</v>
      </c>
      <c r="AX416" s="117">
        <v>46211</v>
      </c>
      <c r="AY416" s="39">
        <v>245</v>
      </c>
      <c r="AZ416" s="39">
        <f t="shared" si="443"/>
        <v>-1</v>
      </c>
      <c r="BA416" s="39"/>
      <c r="BB416" s="39"/>
      <c r="BC416" s="39"/>
      <c r="BD416" s="39"/>
      <c r="BE416" s="39"/>
      <c r="BF416" s="39">
        <f t="shared" si="444"/>
        <v>0</v>
      </c>
      <c r="BG416" s="39"/>
      <c r="BH416" s="39"/>
      <c r="BI416" s="39"/>
      <c r="BJ416" s="39"/>
      <c r="BK416" s="39"/>
      <c r="BL416" s="39">
        <f t="shared" si="445"/>
        <v>0</v>
      </c>
      <c r="BM416" s="54" t="str">
        <f t="shared" si="446"/>
        <v/>
      </c>
      <c r="BN416" s="58">
        <v>46179</v>
      </c>
      <c r="BO416" s="57">
        <v>46191</v>
      </c>
      <c r="BP416" s="36"/>
      <c r="BQ416" s="36"/>
      <c r="BR416" s="238"/>
      <c r="BS416" s="238"/>
      <c r="BT416" s="39">
        <v>1586</v>
      </c>
      <c r="BU416" s="39">
        <v>230</v>
      </c>
      <c r="BV416" s="39">
        <v>1593</v>
      </c>
      <c r="BW416" s="39">
        <v>65</v>
      </c>
      <c r="BX416" s="39"/>
      <c r="BY416" s="39"/>
      <c r="BZ416" s="39">
        <f t="shared" si="447"/>
        <v>295</v>
      </c>
      <c r="CA416" s="39">
        <f t="shared" si="11"/>
        <v>5</v>
      </c>
      <c r="CB416" s="39">
        <f t="shared" si="448"/>
        <v>6</v>
      </c>
      <c r="CC416" s="39">
        <f t="shared" si="449"/>
        <v>0</v>
      </c>
      <c r="CD416" s="39">
        <f t="shared" si="451"/>
        <v>0</v>
      </c>
      <c r="CE416" s="102">
        <f t="shared" si="450"/>
        <v>0</v>
      </c>
      <c r="CF416" s="36"/>
      <c r="CG416" s="39" t="s">
        <v>220</v>
      </c>
      <c r="CH416" s="39"/>
      <c r="CI416" s="25">
        <v>1</v>
      </c>
    </row>
    <row r="417" spans="1:87" ht="24.75" customHeight="1">
      <c r="A417" s="36" t="s">
        <v>387</v>
      </c>
      <c r="B417" s="27">
        <v>47700</v>
      </c>
      <c r="C417" s="236"/>
      <c r="D417" s="36"/>
      <c r="E417" s="39"/>
      <c r="F417" s="39"/>
      <c r="G417" s="36" t="s">
        <v>92</v>
      </c>
      <c r="H417" s="36">
        <f>600+600</f>
        <v>1200</v>
      </c>
      <c r="I417" s="39" t="s">
        <v>90</v>
      </c>
      <c r="J417" s="39"/>
      <c r="K417" s="39"/>
      <c r="L417" s="39">
        <f t="shared" si="452"/>
        <v>0</v>
      </c>
      <c r="M417" s="117">
        <v>46155</v>
      </c>
      <c r="N417" s="117">
        <v>46162</v>
      </c>
      <c r="O417" s="39"/>
      <c r="P417" s="39"/>
      <c r="Q417" s="39"/>
      <c r="R417" s="39">
        <f t="shared" si="436"/>
        <v>0</v>
      </c>
      <c r="S417" s="39" t="s">
        <v>130</v>
      </c>
      <c r="T417" s="39">
        <v>107548</v>
      </c>
      <c r="U417" s="117">
        <v>46210</v>
      </c>
      <c r="V417" s="117" t="s">
        <v>1162</v>
      </c>
      <c r="W417" s="39">
        <f>5+5-5</f>
        <v>5</v>
      </c>
      <c r="X417" s="117">
        <v>46202</v>
      </c>
      <c r="Y417" s="39">
        <f>4+5</f>
        <v>9</v>
      </c>
      <c r="Z417" s="39"/>
      <c r="AA417" s="39"/>
      <c r="AB417" s="39">
        <f t="shared" si="437"/>
        <v>9</v>
      </c>
      <c r="AC417" s="39"/>
      <c r="AD417" s="39"/>
      <c r="AE417" s="39"/>
      <c r="AF417" s="39"/>
      <c r="AG417" s="39"/>
      <c r="AH417" s="39">
        <f t="shared" si="441"/>
        <v>0</v>
      </c>
      <c r="AI417" s="39"/>
      <c r="AJ417" s="39"/>
      <c r="AK417" s="39"/>
      <c r="AL417" s="39"/>
      <c r="AM417" s="39"/>
      <c r="AN417" s="39">
        <f t="shared" si="405"/>
        <v>0</v>
      </c>
      <c r="AO417" s="39"/>
      <c r="AP417" s="39"/>
      <c r="AQ417" s="39"/>
      <c r="AR417" s="39"/>
      <c r="AS417" s="39"/>
      <c r="AT417" s="39">
        <f t="shared" si="442"/>
        <v>0</v>
      </c>
      <c r="AU417" s="39"/>
      <c r="AV417" s="39"/>
      <c r="AW417" s="39"/>
      <c r="AX417" s="39"/>
      <c r="AY417" s="39"/>
      <c r="AZ417" s="39">
        <f t="shared" si="443"/>
        <v>0</v>
      </c>
      <c r="BA417" s="39"/>
      <c r="BB417" s="39"/>
      <c r="BC417" s="39"/>
      <c r="BD417" s="39"/>
      <c r="BE417" s="39"/>
      <c r="BF417" s="39">
        <f t="shared" si="444"/>
        <v>0</v>
      </c>
      <c r="BG417" s="39"/>
      <c r="BH417" s="39"/>
      <c r="BI417" s="39"/>
      <c r="BJ417" s="39"/>
      <c r="BK417" s="39"/>
      <c r="BL417" s="39">
        <f t="shared" si="445"/>
        <v>0</v>
      </c>
      <c r="BM417" s="54" t="e">
        <f t="shared" si="446"/>
        <v>#DIV/0!</v>
      </c>
      <c r="BN417" s="58">
        <v>46179</v>
      </c>
      <c r="BO417" s="57">
        <v>46191</v>
      </c>
      <c r="BP417" s="36"/>
      <c r="BQ417" s="36"/>
      <c r="BR417" s="239"/>
      <c r="BS417" s="239"/>
      <c r="BT417" s="39" t="s">
        <v>1547</v>
      </c>
      <c r="BU417" s="39"/>
      <c r="BV417" s="39"/>
      <c r="BW417" s="39"/>
      <c r="BX417" s="39"/>
      <c r="BY417" s="39"/>
      <c r="BZ417" s="39">
        <f t="shared" si="447"/>
        <v>0</v>
      </c>
      <c r="CA417" s="39" t="e">
        <f t="shared" si="11"/>
        <v>#VALUE!</v>
      </c>
      <c r="CB417" s="39">
        <f t="shared" si="448"/>
        <v>0</v>
      </c>
      <c r="CC417" s="39">
        <f t="shared" si="449"/>
        <v>0</v>
      </c>
      <c r="CD417" s="39">
        <f t="shared" si="451"/>
        <v>0</v>
      </c>
      <c r="CE417" s="102" t="e">
        <f t="shared" si="450"/>
        <v>#DIV/0!</v>
      </c>
      <c r="CF417" s="36"/>
      <c r="CG417" s="39" t="s">
        <v>220</v>
      </c>
      <c r="CH417" s="39"/>
      <c r="CI417" s="25">
        <v>1</v>
      </c>
    </row>
    <row r="418" spans="1:87" ht="24.75" customHeight="1">
      <c r="A418" s="36" t="s">
        <v>387</v>
      </c>
      <c r="B418" s="27" t="s">
        <v>739</v>
      </c>
      <c r="C418" s="235" t="s">
        <v>742</v>
      </c>
      <c r="D418" s="36"/>
      <c r="E418" s="39">
        <v>180</v>
      </c>
      <c r="F418" s="39" t="s">
        <v>55</v>
      </c>
      <c r="G418" s="36" t="s">
        <v>357</v>
      </c>
      <c r="H418" s="36" t="s">
        <v>87</v>
      </c>
      <c r="I418" s="39">
        <v>258</v>
      </c>
      <c r="J418" s="39"/>
      <c r="K418" s="39"/>
      <c r="L418" s="39">
        <f t="shared" ref="L418:L423" si="453">SUM(I418:K418)</f>
        <v>258</v>
      </c>
      <c r="M418" s="117">
        <v>46154</v>
      </c>
      <c r="N418" s="117">
        <v>46160</v>
      </c>
      <c r="O418" s="39"/>
      <c r="P418" s="39"/>
      <c r="Q418" s="39"/>
      <c r="R418" s="39">
        <f t="shared" si="436"/>
        <v>0</v>
      </c>
      <c r="S418" s="39" t="s">
        <v>270</v>
      </c>
      <c r="T418" s="39"/>
      <c r="U418" s="39"/>
      <c r="V418" s="117">
        <v>46164</v>
      </c>
      <c r="W418" s="39">
        <v>292</v>
      </c>
      <c r="X418" s="117">
        <v>46193</v>
      </c>
      <c r="Y418" s="39">
        <v>274</v>
      </c>
      <c r="Z418" s="39"/>
      <c r="AA418" s="39"/>
      <c r="AB418" s="119">
        <f t="shared" si="437"/>
        <v>274</v>
      </c>
      <c r="AC418" s="39"/>
      <c r="AD418" s="39"/>
      <c r="AE418" s="39"/>
      <c r="AF418" s="39"/>
      <c r="AG418" s="39"/>
      <c r="AH418" s="39">
        <f t="shared" si="441"/>
        <v>0</v>
      </c>
      <c r="AI418" s="39"/>
      <c r="AJ418" s="39"/>
      <c r="AK418" s="39"/>
      <c r="AL418" s="39"/>
      <c r="AM418" s="39"/>
      <c r="AN418" s="39">
        <f t="shared" si="405"/>
        <v>0</v>
      </c>
      <c r="AO418" s="39"/>
      <c r="AP418" s="39"/>
      <c r="AQ418" s="39"/>
      <c r="AR418" s="39"/>
      <c r="AS418" s="39"/>
      <c r="AT418" s="39">
        <f t="shared" si="442"/>
        <v>0</v>
      </c>
      <c r="AU418" s="39"/>
      <c r="AV418" s="39"/>
      <c r="AW418" s="39"/>
      <c r="AX418" s="39"/>
      <c r="AY418" s="39"/>
      <c r="AZ418" s="39">
        <f t="shared" si="443"/>
        <v>0</v>
      </c>
      <c r="BA418" s="39"/>
      <c r="BB418" s="39"/>
      <c r="BC418" s="39"/>
      <c r="BD418" s="39"/>
      <c r="BE418" s="39"/>
      <c r="BF418" s="39">
        <f t="shared" si="444"/>
        <v>0</v>
      </c>
      <c r="BG418" s="39"/>
      <c r="BH418" s="39"/>
      <c r="BI418" s="39"/>
      <c r="BJ418" s="39"/>
      <c r="BK418" s="39"/>
      <c r="BL418" s="39">
        <f t="shared" si="445"/>
        <v>0</v>
      </c>
      <c r="BM418" s="54" t="str">
        <f t="shared" si="446"/>
        <v/>
      </c>
      <c r="BN418" s="58">
        <v>46181</v>
      </c>
      <c r="BO418" s="57">
        <v>46191</v>
      </c>
      <c r="BP418" s="36"/>
      <c r="BQ418" s="36"/>
      <c r="BR418" s="237">
        <v>46191</v>
      </c>
      <c r="BS418" s="237">
        <v>46195</v>
      </c>
      <c r="BT418" s="39">
        <v>1504</v>
      </c>
      <c r="BU418" s="39">
        <v>274</v>
      </c>
      <c r="BV418" s="39"/>
      <c r="BW418" s="39"/>
      <c r="BX418" s="39"/>
      <c r="BY418" s="39"/>
      <c r="BZ418" s="39">
        <f t="shared" si="447"/>
        <v>274</v>
      </c>
      <c r="CA418" s="39">
        <f t="shared" si="11"/>
        <v>16</v>
      </c>
      <c r="CB418" s="39">
        <f t="shared" si="448"/>
        <v>0</v>
      </c>
      <c r="CC418" s="39">
        <f t="shared" si="449"/>
        <v>0</v>
      </c>
      <c r="CD418" s="39">
        <f t="shared" si="451"/>
        <v>0</v>
      </c>
      <c r="CE418" s="102">
        <f t="shared" si="450"/>
        <v>0</v>
      </c>
      <c r="CF418" s="36" t="s">
        <v>292</v>
      </c>
      <c r="CG418" s="39" t="s">
        <v>220</v>
      </c>
      <c r="CH418" s="39"/>
      <c r="CI418" s="25">
        <v>1</v>
      </c>
    </row>
    <row r="419" spans="1:87" ht="24.75" customHeight="1">
      <c r="A419" s="36" t="s">
        <v>387</v>
      </c>
      <c r="B419" s="27" t="s">
        <v>739</v>
      </c>
      <c r="C419" s="240"/>
      <c r="D419" s="36"/>
      <c r="E419" s="39">
        <v>180</v>
      </c>
      <c r="F419" s="39" t="s">
        <v>55</v>
      </c>
      <c r="G419" s="36" t="s">
        <v>740</v>
      </c>
      <c r="H419" s="36" t="s">
        <v>87</v>
      </c>
      <c r="I419" s="39">
        <v>258</v>
      </c>
      <c r="J419" s="39"/>
      <c r="K419" s="39"/>
      <c r="L419" s="39">
        <f t="shared" si="453"/>
        <v>258</v>
      </c>
      <c r="M419" s="117">
        <v>46154</v>
      </c>
      <c r="N419" s="117">
        <v>46160</v>
      </c>
      <c r="O419" s="39"/>
      <c r="P419" s="39"/>
      <c r="Q419" s="39"/>
      <c r="R419" s="39">
        <f t="shared" si="436"/>
        <v>0</v>
      </c>
      <c r="S419" s="39" t="s">
        <v>100</v>
      </c>
      <c r="T419" s="39"/>
      <c r="U419" s="39"/>
      <c r="V419" s="117">
        <v>46162</v>
      </c>
      <c r="W419" s="39">
        <v>292</v>
      </c>
      <c r="X419" s="117">
        <v>46194</v>
      </c>
      <c r="Y419" s="39">
        <v>258</v>
      </c>
      <c r="Z419" s="39"/>
      <c r="AA419" s="39"/>
      <c r="AB419" s="119">
        <f t="shared" si="437"/>
        <v>258</v>
      </c>
      <c r="AC419" s="39"/>
      <c r="AD419" s="39"/>
      <c r="AE419" s="39"/>
      <c r="AF419" s="39"/>
      <c r="AG419" s="39"/>
      <c r="AH419" s="39">
        <f t="shared" si="441"/>
        <v>0</v>
      </c>
      <c r="AI419" s="39"/>
      <c r="AJ419" s="39"/>
      <c r="AK419" s="39"/>
      <c r="AL419" s="39"/>
      <c r="AM419" s="39"/>
      <c r="AN419" s="39">
        <f t="shared" si="405"/>
        <v>0</v>
      </c>
      <c r="AO419" s="39"/>
      <c r="AP419" s="39"/>
      <c r="AQ419" s="39"/>
      <c r="AR419" s="39"/>
      <c r="AS419" s="39"/>
      <c r="AT419" s="39">
        <f t="shared" si="442"/>
        <v>0</v>
      </c>
      <c r="AU419" s="39"/>
      <c r="AV419" s="39"/>
      <c r="AW419" s="39"/>
      <c r="AX419" s="39"/>
      <c r="AY419" s="39"/>
      <c r="AZ419" s="39">
        <f t="shared" si="443"/>
        <v>0</v>
      </c>
      <c r="BA419" s="39"/>
      <c r="BB419" s="39"/>
      <c r="BC419" s="39"/>
      <c r="BD419" s="39"/>
      <c r="BE419" s="39"/>
      <c r="BF419" s="39">
        <f t="shared" si="444"/>
        <v>0</v>
      </c>
      <c r="BG419" s="39"/>
      <c r="BH419" s="39"/>
      <c r="BI419" s="39"/>
      <c r="BJ419" s="39"/>
      <c r="BK419" s="39"/>
      <c r="BL419" s="39">
        <f t="shared" si="445"/>
        <v>0</v>
      </c>
      <c r="BM419" s="54" t="str">
        <f t="shared" si="446"/>
        <v/>
      </c>
      <c r="BN419" s="58">
        <v>46181</v>
      </c>
      <c r="BO419" s="57">
        <v>46191</v>
      </c>
      <c r="BP419" s="36"/>
      <c r="BQ419" s="36"/>
      <c r="BR419" s="238"/>
      <c r="BS419" s="238"/>
      <c r="BT419" s="39">
        <v>1506</v>
      </c>
      <c r="BU419" s="39">
        <v>258</v>
      </c>
      <c r="BV419" s="39"/>
      <c r="BW419" s="39"/>
      <c r="BX419" s="39"/>
      <c r="BY419" s="39"/>
      <c r="BZ419" s="39">
        <f t="shared" si="447"/>
        <v>258</v>
      </c>
      <c r="CA419" s="39">
        <f t="shared" si="11"/>
        <v>0</v>
      </c>
      <c r="CB419" s="39">
        <f t="shared" si="448"/>
        <v>0</v>
      </c>
      <c r="CC419" s="39">
        <f t="shared" si="449"/>
        <v>0</v>
      </c>
      <c r="CD419" s="39">
        <f t="shared" si="451"/>
        <v>0</v>
      </c>
      <c r="CE419" s="102">
        <f t="shared" si="450"/>
        <v>0</v>
      </c>
      <c r="CF419" s="36" t="s">
        <v>292</v>
      </c>
      <c r="CG419" s="39" t="s">
        <v>220</v>
      </c>
      <c r="CH419" s="39"/>
      <c r="CI419" s="25">
        <v>1</v>
      </c>
    </row>
    <row r="420" spans="1:87" ht="24.75" customHeight="1">
      <c r="A420" s="36" t="s">
        <v>387</v>
      </c>
      <c r="B420" s="27" t="s">
        <v>739</v>
      </c>
      <c r="C420" s="236"/>
      <c r="D420" s="36"/>
      <c r="E420" s="39">
        <v>180</v>
      </c>
      <c r="F420" s="39" t="s">
        <v>55</v>
      </c>
      <c r="G420" s="36" t="s">
        <v>30</v>
      </c>
      <c r="H420" s="36" t="s">
        <v>87</v>
      </c>
      <c r="I420" s="39">
        <v>258</v>
      </c>
      <c r="J420" s="39"/>
      <c r="K420" s="39"/>
      <c r="L420" s="39">
        <f t="shared" si="453"/>
        <v>258</v>
      </c>
      <c r="M420" s="117">
        <v>46154</v>
      </c>
      <c r="N420" s="117">
        <v>46160</v>
      </c>
      <c r="O420" s="39"/>
      <c r="P420" s="39"/>
      <c r="Q420" s="39"/>
      <c r="R420" s="39">
        <f t="shared" si="436"/>
        <v>0</v>
      </c>
      <c r="S420" s="39" t="s">
        <v>100</v>
      </c>
      <c r="T420" s="39"/>
      <c r="U420" s="39"/>
      <c r="V420" s="117">
        <v>46162</v>
      </c>
      <c r="W420" s="39">
        <v>292</v>
      </c>
      <c r="X420" s="117">
        <v>46191</v>
      </c>
      <c r="Y420" s="39">
        <v>267</v>
      </c>
      <c r="Z420" s="39"/>
      <c r="AA420" s="39"/>
      <c r="AB420" s="119">
        <f t="shared" si="437"/>
        <v>267</v>
      </c>
      <c r="AC420" s="39"/>
      <c r="AD420" s="39"/>
      <c r="AE420" s="39"/>
      <c r="AF420" s="39"/>
      <c r="AG420" s="39"/>
      <c r="AH420" s="39">
        <f t="shared" si="441"/>
        <v>0</v>
      </c>
      <c r="AI420" s="39"/>
      <c r="AJ420" s="39"/>
      <c r="AK420" s="39"/>
      <c r="AL420" s="39"/>
      <c r="AM420" s="39"/>
      <c r="AN420" s="39">
        <f t="shared" si="405"/>
        <v>0</v>
      </c>
      <c r="AO420" s="39"/>
      <c r="AP420" s="39"/>
      <c r="AQ420" s="39"/>
      <c r="AR420" s="39"/>
      <c r="AS420" s="39"/>
      <c r="AT420" s="39">
        <f t="shared" si="442"/>
        <v>0</v>
      </c>
      <c r="AU420" s="39"/>
      <c r="AV420" s="39"/>
      <c r="AW420" s="39"/>
      <c r="AX420" s="39"/>
      <c r="AY420" s="39"/>
      <c r="AZ420" s="39">
        <f t="shared" si="443"/>
        <v>0</v>
      </c>
      <c r="BA420" s="39"/>
      <c r="BB420" s="39"/>
      <c r="BC420" s="39"/>
      <c r="BD420" s="39"/>
      <c r="BE420" s="39"/>
      <c r="BF420" s="39">
        <f t="shared" si="444"/>
        <v>0</v>
      </c>
      <c r="BG420" s="39"/>
      <c r="BH420" s="39"/>
      <c r="BI420" s="39"/>
      <c r="BJ420" s="39"/>
      <c r="BK420" s="39"/>
      <c r="BL420" s="39">
        <f t="shared" si="445"/>
        <v>0</v>
      </c>
      <c r="BM420" s="54" t="str">
        <f t="shared" si="446"/>
        <v/>
      </c>
      <c r="BN420" s="58">
        <v>46181</v>
      </c>
      <c r="BO420" s="57">
        <v>46191</v>
      </c>
      <c r="BP420" s="36"/>
      <c r="BQ420" s="36"/>
      <c r="BR420" s="239"/>
      <c r="BS420" s="239"/>
      <c r="BT420" s="39">
        <v>1501</v>
      </c>
      <c r="BU420" s="39">
        <v>267</v>
      </c>
      <c r="BV420" s="39"/>
      <c r="BW420" s="39"/>
      <c r="BX420" s="39"/>
      <c r="BY420" s="39"/>
      <c r="BZ420" s="39">
        <f t="shared" si="447"/>
        <v>267</v>
      </c>
      <c r="CA420" s="39">
        <f t="shared" si="11"/>
        <v>9</v>
      </c>
      <c r="CB420" s="39">
        <f t="shared" si="448"/>
        <v>0</v>
      </c>
      <c r="CC420" s="39">
        <f t="shared" si="449"/>
        <v>0</v>
      </c>
      <c r="CD420" s="39">
        <f t="shared" si="451"/>
        <v>0</v>
      </c>
      <c r="CE420" s="102">
        <f t="shared" si="450"/>
        <v>0</v>
      </c>
      <c r="CF420" s="36" t="s">
        <v>292</v>
      </c>
      <c r="CG420" s="39" t="s">
        <v>220</v>
      </c>
      <c r="CH420" s="39"/>
      <c r="CI420" s="25">
        <v>1</v>
      </c>
    </row>
    <row r="421" spans="1:87" ht="24.75" customHeight="1">
      <c r="A421" s="36" t="s">
        <v>387</v>
      </c>
      <c r="B421" s="27" t="s">
        <v>741</v>
      </c>
      <c r="C421" s="235" t="s">
        <v>753</v>
      </c>
      <c r="D421" s="36"/>
      <c r="E421" s="39">
        <v>180</v>
      </c>
      <c r="F421" s="39" t="s">
        <v>55</v>
      </c>
      <c r="G421" s="36" t="s">
        <v>357</v>
      </c>
      <c r="H421" s="36" t="s">
        <v>87</v>
      </c>
      <c r="I421" s="39">
        <v>175</v>
      </c>
      <c r="J421" s="39"/>
      <c r="K421" s="39"/>
      <c r="L421" s="39">
        <f t="shared" si="453"/>
        <v>175</v>
      </c>
      <c r="M421" s="117">
        <v>46154</v>
      </c>
      <c r="N421" s="117">
        <v>46162</v>
      </c>
      <c r="O421" s="39"/>
      <c r="P421" s="39"/>
      <c r="Q421" s="39"/>
      <c r="R421" s="39">
        <f t="shared" si="436"/>
        <v>0</v>
      </c>
      <c r="S421" s="39" t="s">
        <v>270</v>
      </c>
      <c r="T421" s="39"/>
      <c r="U421" s="39"/>
      <c r="V421" s="117">
        <v>46164</v>
      </c>
      <c r="W421" s="39">
        <v>208</v>
      </c>
      <c r="X421" s="117">
        <v>46193</v>
      </c>
      <c r="Y421" s="39">
        <v>191</v>
      </c>
      <c r="Z421" s="39"/>
      <c r="AA421" s="39"/>
      <c r="AB421" s="119">
        <f t="shared" si="437"/>
        <v>191</v>
      </c>
      <c r="AC421" s="39"/>
      <c r="AD421" s="39"/>
      <c r="AE421" s="39"/>
      <c r="AF421" s="39"/>
      <c r="AG421" s="39"/>
      <c r="AH421" s="39">
        <f t="shared" si="441"/>
        <v>0</v>
      </c>
      <c r="AI421" s="39"/>
      <c r="AJ421" s="39"/>
      <c r="AK421" s="39"/>
      <c r="AL421" s="39"/>
      <c r="AM421" s="39"/>
      <c r="AN421" s="39">
        <f t="shared" si="405"/>
        <v>0</v>
      </c>
      <c r="AO421" s="39"/>
      <c r="AP421" s="39"/>
      <c r="AQ421" s="39"/>
      <c r="AR421" s="39"/>
      <c r="AS421" s="39"/>
      <c r="AT421" s="39">
        <f t="shared" si="442"/>
        <v>0</v>
      </c>
      <c r="AU421" s="39"/>
      <c r="AV421" s="39"/>
      <c r="AW421" s="39"/>
      <c r="AX421" s="39"/>
      <c r="AY421" s="39"/>
      <c r="AZ421" s="39">
        <f t="shared" si="443"/>
        <v>0</v>
      </c>
      <c r="BA421" s="39"/>
      <c r="BB421" s="39"/>
      <c r="BC421" s="39"/>
      <c r="BD421" s="39"/>
      <c r="BE421" s="39"/>
      <c r="BF421" s="39">
        <f t="shared" si="444"/>
        <v>0</v>
      </c>
      <c r="BG421" s="39"/>
      <c r="BH421" s="39"/>
      <c r="BI421" s="39"/>
      <c r="BJ421" s="39"/>
      <c r="BK421" s="39"/>
      <c r="BL421" s="39">
        <f t="shared" si="445"/>
        <v>0</v>
      </c>
      <c r="BM421" s="54" t="str">
        <f t="shared" si="446"/>
        <v/>
      </c>
      <c r="BN421" s="58">
        <v>46181</v>
      </c>
      <c r="BO421" s="57">
        <v>46193</v>
      </c>
      <c r="BP421" s="36"/>
      <c r="BQ421" s="36"/>
      <c r="BR421" s="237">
        <v>46191</v>
      </c>
      <c r="BS421" s="237">
        <v>46195</v>
      </c>
      <c r="BT421" s="39">
        <v>1504</v>
      </c>
      <c r="BU421" s="39">
        <v>191</v>
      </c>
      <c r="BV421" s="39"/>
      <c r="BW421" s="39"/>
      <c r="BX421" s="39"/>
      <c r="BY421" s="39"/>
      <c r="BZ421" s="39">
        <f t="shared" si="447"/>
        <v>191</v>
      </c>
      <c r="CA421" s="39">
        <f t="shared" si="11"/>
        <v>16</v>
      </c>
      <c r="CB421" s="39">
        <f t="shared" si="448"/>
        <v>0</v>
      </c>
      <c r="CC421" s="39">
        <f t="shared" si="449"/>
        <v>0</v>
      </c>
      <c r="CD421" s="39">
        <f t="shared" si="451"/>
        <v>0</v>
      </c>
      <c r="CE421" s="102">
        <f t="shared" si="450"/>
        <v>0</v>
      </c>
      <c r="CF421" s="36" t="s">
        <v>292</v>
      </c>
      <c r="CG421" s="39" t="s">
        <v>220</v>
      </c>
      <c r="CH421" s="39"/>
      <c r="CI421" s="25">
        <v>1</v>
      </c>
    </row>
    <row r="422" spans="1:87" ht="24.75" customHeight="1">
      <c r="A422" s="36" t="s">
        <v>387</v>
      </c>
      <c r="B422" s="27" t="s">
        <v>741</v>
      </c>
      <c r="C422" s="240"/>
      <c r="D422" s="36"/>
      <c r="E422" s="39">
        <v>180</v>
      </c>
      <c r="F422" s="39" t="s">
        <v>55</v>
      </c>
      <c r="G422" s="36" t="s">
        <v>740</v>
      </c>
      <c r="H422" s="36" t="s">
        <v>87</v>
      </c>
      <c r="I422" s="39">
        <v>175</v>
      </c>
      <c r="J422" s="39"/>
      <c r="K422" s="39"/>
      <c r="L422" s="39">
        <f t="shared" si="453"/>
        <v>175</v>
      </c>
      <c r="M422" s="117">
        <v>46154</v>
      </c>
      <c r="N422" s="117">
        <v>46162</v>
      </c>
      <c r="O422" s="39"/>
      <c r="P422" s="39"/>
      <c r="Q422" s="39"/>
      <c r="R422" s="39">
        <f t="shared" si="436"/>
        <v>0</v>
      </c>
      <c r="S422" s="39" t="s">
        <v>100</v>
      </c>
      <c r="T422" s="39"/>
      <c r="U422" s="39"/>
      <c r="V422" s="117">
        <v>46162</v>
      </c>
      <c r="W422" s="39">
        <v>207</v>
      </c>
      <c r="X422" s="117">
        <v>46194</v>
      </c>
      <c r="Y422" s="39">
        <v>176</v>
      </c>
      <c r="Z422" s="39"/>
      <c r="AA422" s="39"/>
      <c r="AB422" s="119">
        <f t="shared" si="437"/>
        <v>176</v>
      </c>
      <c r="AC422" s="39"/>
      <c r="AD422" s="39"/>
      <c r="AE422" s="39"/>
      <c r="AF422" s="39"/>
      <c r="AG422" s="39"/>
      <c r="AH422" s="39">
        <f t="shared" si="441"/>
        <v>0</v>
      </c>
      <c r="AI422" s="39"/>
      <c r="AJ422" s="39"/>
      <c r="AK422" s="39"/>
      <c r="AL422" s="39"/>
      <c r="AM422" s="39"/>
      <c r="AN422" s="39">
        <f t="shared" si="405"/>
        <v>0</v>
      </c>
      <c r="AO422" s="39"/>
      <c r="AP422" s="39"/>
      <c r="AQ422" s="39"/>
      <c r="AR422" s="39"/>
      <c r="AS422" s="39"/>
      <c r="AT422" s="39">
        <f t="shared" si="442"/>
        <v>0</v>
      </c>
      <c r="AU422" s="39"/>
      <c r="AV422" s="39"/>
      <c r="AW422" s="39"/>
      <c r="AX422" s="39"/>
      <c r="AY422" s="39"/>
      <c r="AZ422" s="39">
        <f t="shared" si="443"/>
        <v>0</v>
      </c>
      <c r="BA422" s="39"/>
      <c r="BB422" s="39"/>
      <c r="BC422" s="39"/>
      <c r="BD422" s="39"/>
      <c r="BE422" s="39"/>
      <c r="BF422" s="39">
        <f t="shared" si="444"/>
        <v>0</v>
      </c>
      <c r="BG422" s="39"/>
      <c r="BH422" s="39"/>
      <c r="BI422" s="39"/>
      <c r="BJ422" s="39"/>
      <c r="BK422" s="39"/>
      <c r="BL422" s="39">
        <f t="shared" si="445"/>
        <v>0</v>
      </c>
      <c r="BM422" s="54" t="str">
        <f t="shared" si="446"/>
        <v/>
      </c>
      <c r="BN422" s="58">
        <v>46181</v>
      </c>
      <c r="BO422" s="57">
        <v>46193</v>
      </c>
      <c r="BP422" s="36"/>
      <c r="BQ422" s="36"/>
      <c r="BR422" s="238"/>
      <c r="BS422" s="238"/>
      <c r="BT422" s="39">
        <v>1506</v>
      </c>
      <c r="BU422" s="39">
        <v>176</v>
      </c>
      <c r="BV422" s="39"/>
      <c r="BW422" s="39"/>
      <c r="BX422" s="39"/>
      <c r="BY422" s="39"/>
      <c r="BZ422" s="39">
        <f t="shared" si="447"/>
        <v>176</v>
      </c>
      <c r="CA422" s="39">
        <f t="shared" si="11"/>
        <v>1</v>
      </c>
      <c r="CB422" s="39">
        <f t="shared" si="448"/>
        <v>0</v>
      </c>
      <c r="CC422" s="39">
        <f t="shared" si="449"/>
        <v>0</v>
      </c>
      <c r="CD422" s="39">
        <f t="shared" si="451"/>
        <v>0</v>
      </c>
      <c r="CE422" s="102">
        <f t="shared" si="450"/>
        <v>0</v>
      </c>
      <c r="CF422" s="36" t="s">
        <v>292</v>
      </c>
      <c r="CG422" s="39" t="s">
        <v>220</v>
      </c>
      <c r="CH422" s="39"/>
      <c r="CI422" s="25">
        <v>1</v>
      </c>
    </row>
    <row r="423" spans="1:87" ht="24.75" customHeight="1">
      <c r="A423" s="36" t="s">
        <v>387</v>
      </c>
      <c r="B423" s="27" t="s">
        <v>741</v>
      </c>
      <c r="C423" s="236"/>
      <c r="D423" s="36"/>
      <c r="E423" s="39">
        <v>180</v>
      </c>
      <c r="F423" s="39" t="s">
        <v>55</v>
      </c>
      <c r="G423" s="36" t="s">
        <v>30</v>
      </c>
      <c r="H423" s="36" t="s">
        <v>87</v>
      </c>
      <c r="I423" s="39">
        <v>175</v>
      </c>
      <c r="J423" s="39"/>
      <c r="K423" s="39"/>
      <c r="L423" s="39">
        <f t="shared" si="453"/>
        <v>175</v>
      </c>
      <c r="M423" s="117">
        <v>46154</v>
      </c>
      <c r="N423" s="117">
        <v>46162</v>
      </c>
      <c r="O423" s="39"/>
      <c r="P423" s="39"/>
      <c r="Q423" s="39"/>
      <c r="R423" s="39">
        <f t="shared" si="436"/>
        <v>0</v>
      </c>
      <c r="S423" s="39" t="s">
        <v>100</v>
      </c>
      <c r="T423" s="39"/>
      <c r="U423" s="39"/>
      <c r="V423" s="117">
        <v>46162</v>
      </c>
      <c r="W423" s="39">
        <v>207</v>
      </c>
      <c r="X423" s="117">
        <v>46191</v>
      </c>
      <c r="Y423" s="39">
        <v>186</v>
      </c>
      <c r="Z423" s="39"/>
      <c r="AA423" s="39"/>
      <c r="AB423" s="119">
        <f t="shared" si="437"/>
        <v>186</v>
      </c>
      <c r="AC423" s="39"/>
      <c r="AD423" s="39"/>
      <c r="AE423" s="39"/>
      <c r="AF423" s="39"/>
      <c r="AG423" s="39"/>
      <c r="AH423" s="39">
        <f t="shared" si="441"/>
        <v>0</v>
      </c>
      <c r="AI423" s="39"/>
      <c r="AJ423" s="39"/>
      <c r="AK423" s="39"/>
      <c r="AL423" s="39"/>
      <c r="AM423" s="39"/>
      <c r="AN423" s="39">
        <f t="shared" si="405"/>
        <v>0</v>
      </c>
      <c r="AO423" s="39"/>
      <c r="AP423" s="39"/>
      <c r="AQ423" s="39"/>
      <c r="AR423" s="39"/>
      <c r="AS423" s="39"/>
      <c r="AT423" s="39">
        <f t="shared" si="442"/>
        <v>0</v>
      </c>
      <c r="AU423" s="39"/>
      <c r="AV423" s="39"/>
      <c r="AW423" s="39"/>
      <c r="AX423" s="39"/>
      <c r="AY423" s="39"/>
      <c r="AZ423" s="39">
        <f t="shared" si="443"/>
        <v>0</v>
      </c>
      <c r="BA423" s="39"/>
      <c r="BB423" s="39"/>
      <c r="BC423" s="39"/>
      <c r="BD423" s="39"/>
      <c r="BE423" s="39"/>
      <c r="BF423" s="39">
        <f t="shared" si="444"/>
        <v>0</v>
      </c>
      <c r="BG423" s="39"/>
      <c r="BH423" s="39"/>
      <c r="BI423" s="39"/>
      <c r="BJ423" s="39"/>
      <c r="BK423" s="39"/>
      <c r="BL423" s="39">
        <f t="shared" si="445"/>
        <v>0</v>
      </c>
      <c r="BM423" s="54" t="str">
        <f t="shared" si="446"/>
        <v/>
      </c>
      <c r="BN423" s="58">
        <v>46181</v>
      </c>
      <c r="BO423" s="57">
        <v>46193</v>
      </c>
      <c r="BP423" s="36"/>
      <c r="BQ423" s="36"/>
      <c r="BR423" s="239"/>
      <c r="BS423" s="239"/>
      <c r="BT423" s="39">
        <v>1501</v>
      </c>
      <c r="BU423" s="39">
        <v>186</v>
      </c>
      <c r="BV423" s="39"/>
      <c r="BW423" s="39"/>
      <c r="BX423" s="39"/>
      <c r="BY423" s="39"/>
      <c r="BZ423" s="39">
        <f t="shared" si="447"/>
        <v>186</v>
      </c>
      <c r="CA423" s="39">
        <f t="shared" si="11"/>
        <v>11</v>
      </c>
      <c r="CB423" s="39">
        <f t="shared" si="448"/>
        <v>0</v>
      </c>
      <c r="CC423" s="39">
        <f t="shared" si="449"/>
        <v>0</v>
      </c>
      <c r="CD423" s="39">
        <f t="shared" si="451"/>
        <v>0</v>
      </c>
      <c r="CE423" s="102">
        <f t="shared" si="450"/>
        <v>0</v>
      </c>
      <c r="CF423" s="36" t="s">
        <v>292</v>
      </c>
      <c r="CG423" s="39" t="s">
        <v>220</v>
      </c>
      <c r="CH423" s="39"/>
      <c r="CI423" s="25">
        <v>1</v>
      </c>
    </row>
    <row r="424" spans="1:87" ht="24.75" customHeight="1">
      <c r="A424" s="36" t="s">
        <v>387</v>
      </c>
      <c r="B424" s="27">
        <v>47761</v>
      </c>
      <c r="C424" s="235">
        <v>15386899</v>
      </c>
      <c r="D424" s="36" t="s">
        <v>37</v>
      </c>
      <c r="E424" s="39">
        <v>190</v>
      </c>
      <c r="F424" s="39" t="s">
        <v>58</v>
      </c>
      <c r="G424" s="36" t="s">
        <v>105</v>
      </c>
      <c r="H424" s="36" t="s">
        <v>504</v>
      </c>
      <c r="I424" s="39">
        <v>161</v>
      </c>
      <c r="J424" s="39"/>
      <c r="K424" s="39"/>
      <c r="L424" s="39">
        <f t="shared" ref="L424:L426" si="454">SUM(I424:K424)</f>
        <v>161</v>
      </c>
      <c r="M424" s="117">
        <v>46162</v>
      </c>
      <c r="N424" s="117">
        <v>46181</v>
      </c>
      <c r="O424" s="39"/>
      <c r="P424" s="39"/>
      <c r="Q424" s="39"/>
      <c r="R424" s="39">
        <f t="shared" si="436"/>
        <v>0</v>
      </c>
      <c r="S424" s="39" t="s">
        <v>130</v>
      </c>
      <c r="T424" s="39">
        <v>106787</v>
      </c>
      <c r="U424" s="117">
        <v>46185</v>
      </c>
      <c r="V424" s="39"/>
      <c r="W424" s="39"/>
      <c r="X424" s="39"/>
      <c r="Y424" s="39">
        <v>187</v>
      </c>
      <c r="Z424" s="39"/>
      <c r="AA424" s="39"/>
      <c r="AB424" s="119">
        <f t="shared" si="437"/>
        <v>187</v>
      </c>
      <c r="AC424" s="39" t="s">
        <v>268</v>
      </c>
      <c r="AD424" s="117">
        <v>46186</v>
      </c>
      <c r="AE424" s="39">
        <v>164</v>
      </c>
      <c r="AF424" s="117" t="s">
        <v>1231</v>
      </c>
      <c r="AG424" s="39">
        <f>139+20</f>
        <v>159</v>
      </c>
      <c r="AH424" s="39">
        <f t="shared" si="441"/>
        <v>-5</v>
      </c>
      <c r="AI424" s="39"/>
      <c r="AJ424" s="39"/>
      <c r="AK424" s="39"/>
      <c r="AL424" s="39"/>
      <c r="AM424" s="39"/>
      <c r="AN424" s="39">
        <f t="shared" si="405"/>
        <v>0</v>
      </c>
      <c r="AO424" s="39"/>
      <c r="AP424" s="39"/>
      <c r="AQ424" s="39"/>
      <c r="AR424" s="39"/>
      <c r="AS424" s="39"/>
      <c r="AT424" s="39">
        <f t="shared" si="442"/>
        <v>0</v>
      </c>
      <c r="AU424" s="39"/>
      <c r="AV424" s="39"/>
      <c r="AW424" s="39"/>
      <c r="AX424" s="39"/>
      <c r="AY424" s="39"/>
      <c r="AZ424" s="39">
        <f t="shared" si="443"/>
        <v>0</v>
      </c>
      <c r="BA424" s="39"/>
      <c r="BB424" s="39"/>
      <c r="BC424" s="39"/>
      <c r="BD424" s="39"/>
      <c r="BE424" s="39"/>
      <c r="BF424" s="39">
        <f t="shared" si="444"/>
        <v>0</v>
      </c>
      <c r="BG424" s="39"/>
      <c r="BH424" s="39"/>
      <c r="BI424" s="39"/>
      <c r="BJ424" s="39"/>
      <c r="BK424" s="39"/>
      <c r="BL424" s="39">
        <f t="shared" si="445"/>
        <v>0</v>
      </c>
      <c r="BM424" s="54">
        <f t="shared" ca="1" si="446"/>
        <v>98</v>
      </c>
      <c r="BN424" s="58">
        <v>46181</v>
      </c>
      <c r="BO424" s="57">
        <v>46193</v>
      </c>
      <c r="BP424" s="57">
        <v>46193</v>
      </c>
      <c r="BQ424" s="57">
        <v>46199</v>
      </c>
      <c r="BR424" s="237">
        <v>46188</v>
      </c>
      <c r="BS424" s="255"/>
      <c r="BT424" s="39">
        <v>2208</v>
      </c>
      <c r="BU424" s="39">
        <f>138</f>
        <v>138</v>
      </c>
      <c r="BV424" s="39"/>
      <c r="BW424" s="39"/>
      <c r="BX424" s="39"/>
      <c r="BY424" s="39"/>
      <c r="BZ424" s="39">
        <f t="shared" si="447"/>
        <v>138</v>
      </c>
      <c r="CA424" s="39">
        <f t="shared" si="11"/>
        <v>-23</v>
      </c>
      <c r="CB424" s="39">
        <f t="shared" si="448"/>
        <v>0</v>
      </c>
      <c r="CC424" s="39">
        <f t="shared" si="449"/>
        <v>0</v>
      </c>
      <c r="CD424" s="39">
        <f t="shared" si="451"/>
        <v>-23</v>
      </c>
      <c r="CE424" s="102">
        <f t="shared" si="450"/>
        <v>-0.14285714285714285</v>
      </c>
      <c r="CF424" s="36" t="s">
        <v>250</v>
      </c>
      <c r="CG424" s="39" t="s">
        <v>279</v>
      </c>
      <c r="CH424" s="39"/>
      <c r="CI424" s="25">
        <v>1</v>
      </c>
    </row>
    <row r="425" spans="1:87" ht="24.75" customHeight="1">
      <c r="A425" s="36" t="s">
        <v>387</v>
      </c>
      <c r="B425" s="27">
        <v>47761</v>
      </c>
      <c r="C425" s="240"/>
      <c r="D425" s="36"/>
      <c r="E425" s="39">
        <v>190</v>
      </c>
      <c r="F425" s="39" t="s">
        <v>58</v>
      </c>
      <c r="G425" s="36" t="s">
        <v>187</v>
      </c>
      <c r="H425" s="36" t="s">
        <v>504</v>
      </c>
      <c r="I425" s="39">
        <v>170</v>
      </c>
      <c r="J425" s="39"/>
      <c r="K425" s="39"/>
      <c r="L425" s="39">
        <f t="shared" si="454"/>
        <v>170</v>
      </c>
      <c r="M425" s="117">
        <v>46162</v>
      </c>
      <c r="N425" s="117">
        <v>46181</v>
      </c>
      <c r="O425" s="39"/>
      <c r="P425" s="39"/>
      <c r="Q425" s="39"/>
      <c r="R425" s="39">
        <f t="shared" ref="R425:R426" si="455">SUM(O425:Q425)</f>
        <v>0</v>
      </c>
      <c r="S425" s="39" t="s">
        <v>130</v>
      </c>
      <c r="T425" s="39" t="s">
        <v>1390</v>
      </c>
      <c r="U425" s="117" t="s">
        <v>1371</v>
      </c>
      <c r="V425" s="39"/>
      <c r="W425" s="39"/>
      <c r="X425" s="39"/>
      <c r="Y425" s="39">
        <f>207+14</f>
        <v>221</v>
      </c>
      <c r="Z425" s="39"/>
      <c r="AA425" s="39"/>
      <c r="AB425" s="119">
        <f t="shared" si="437"/>
        <v>221</v>
      </c>
      <c r="AC425" s="39"/>
      <c r="AD425" s="39"/>
      <c r="AE425" s="39"/>
      <c r="AF425" s="39"/>
      <c r="AG425" s="39"/>
      <c r="AH425" s="39">
        <f t="shared" si="441"/>
        <v>0</v>
      </c>
      <c r="AI425" s="39"/>
      <c r="AJ425" s="39"/>
      <c r="AK425" s="39"/>
      <c r="AL425" s="39"/>
      <c r="AM425" s="39"/>
      <c r="AN425" s="39">
        <f t="shared" si="405"/>
        <v>0</v>
      </c>
      <c r="AO425" s="39"/>
      <c r="AP425" s="39"/>
      <c r="AQ425" s="39"/>
      <c r="AR425" s="39"/>
      <c r="AS425" s="39"/>
      <c r="AT425" s="39">
        <f t="shared" si="442"/>
        <v>0</v>
      </c>
      <c r="AU425" s="39"/>
      <c r="AV425" s="39"/>
      <c r="AW425" s="39"/>
      <c r="AX425" s="39"/>
      <c r="AY425" s="39"/>
      <c r="AZ425" s="39">
        <f t="shared" si="443"/>
        <v>0</v>
      </c>
      <c r="BA425" s="39"/>
      <c r="BB425" s="39"/>
      <c r="BC425" s="39"/>
      <c r="BD425" s="39"/>
      <c r="BE425" s="39"/>
      <c r="BF425" s="39">
        <f t="shared" si="444"/>
        <v>0</v>
      </c>
      <c r="BG425" s="39"/>
      <c r="BH425" s="39"/>
      <c r="BI425" s="39"/>
      <c r="BJ425" s="39"/>
      <c r="BK425" s="39"/>
      <c r="BL425" s="39">
        <f t="shared" si="445"/>
        <v>0</v>
      </c>
      <c r="BM425" s="54" t="str">
        <f t="shared" si="446"/>
        <v/>
      </c>
      <c r="BN425" s="58">
        <v>46181</v>
      </c>
      <c r="BO425" s="57">
        <v>46193</v>
      </c>
      <c r="BP425" s="57"/>
      <c r="BQ425" s="57"/>
      <c r="BR425" s="238"/>
      <c r="BS425" s="238"/>
      <c r="BT425" s="39" t="s">
        <v>1418</v>
      </c>
      <c r="BU425" s="39">
        <f>174+12</f>
        <v>186</v>
      </c>
      <c r="BV425" s="39"/>
      <c r="BW425" s="39"/>
      <c r="BX425" s="39"/>
      <c r="BY425" s="39"/>
      <c r="BZ425" s="39">
        <f t="shared" si="447"/>
        <v>186</v>
      </c>
      <c r="CA425" s="39">
        <f t="shared" si="11"/>
        <v>16</v>
      </c>
      <c r="CB425" s="39">
        <f t="shared" si="448"/>
        <v>0</v>
      </c>
      <c r="CC425" s="39">
        <f t="shared" si="449"/>
        <v>0</v>
      </c>
      <c r="CD425" s="39">
        <f t="shared" si="451"/>
        <v>0</v>
      </c>
      <c r="CE425" s="102">
        <f t="shared" si="450"/>
        <v>0</v>
      </c>
      <c r="CF425" s="36" t="s">
        <v>250</v>
      </c>
      <c r="CG425" s="39" t="s">
        <v>279</v>
      </c>
      <c r="CH425" s="39"/>
      <c r="CI425" s="25">
        <v>1</v>
      </c>
    </row>
    <row r="426" spans="1:87" ht="24.75" customHeight="1">
      <c r="A426" s="36" t="s">
        <v>387</v>
      </c>
      <c r="B426" s="27">
        <v>47761</v>
      </c>
      <c r="C426" s="236"/>
      <c r="D426" s="36" t="s">
        <v>37</v>
      </c>
      <c r="E426" s="39">
        <v>190</v>
      </c>
      <c r="F426" s="39" t="s">
        <v>58</v>
      </c>
      <c r="G426" s="36" t="s">
        <v>848</v>
      </c>
      <c r="H426" s="36" t="s">
        <v>504</v>
      </c>
      <c r="I426" s="39">
        <v>176</v>
      </c>
      <c r="J426" s="39"/>
      <c r="K426" s="39"/>
      <c r="L426" s="39">
        <f t="shared" si="454"/>
        <v>176</v>
      </c>
      <c r="M426" s="117">
        <v>46162</v>
      </c>
      <c r="N426" s="117">
        <v>46181</v>
      </c>
      <c r="O426" s="39"/>
      <c r="P426" s="39"/>
      <c r="Q426" s="39"/>
      <c r="R426" s="39">
        <f t="shared" si="455"/>
        <v>0</v>
      </c>
      <c r="S426" s="39" t="s">
        <v>130</v>
      </c>
      <c r="T426" s="39">
        <v>106796</v>
      </c>
      <c r="U426" s="117">
        <v>46182</v>
      </c>
      <c r="V426" s="39"/>
      <c r="W426" s="39"/>
      <c r="X426" s="39"/>
      <c r="Y426" s="39">
        <v>210</v>
      </c>
      <c r="Z426" s="39"/>
      <c r="AA426" s="39"/>
      <c r="AB426" s="119">
        <f t="shared" si="437"/>
        <v>210</v>
      </c>
      <c r="AC426" s="39" t="s">
        <v>268</v>
      </c>
      <c r="AD426" s="117">
        <v>46186</v>
      </c>
      <c r="AE426" s="39">
        <v>183</v>
      </c>
      <c r="AF426" s="117">
        <v>46213</v>
      </c>
      <c r="AG426" s="39">
        <v>177</v>
      </c>
      <c r="AH426" s="39">
        <f t="shared" si="441"/>
        <v>-6</v>
      </c>
      <c r="AI426" s="39"/>
      <c r="AJ426" s="39"/>
      <c r="AK426" s="39"/>
      <c r="AL426" s="39"/>
      <c r="AM426" s="39"/>
      <c r="AN426" s="39">
        <f t="shared" si="405"/>
        <v>0</v>
      </c>
      <c r="AO426" s="39"/>
      <c r="AP426" s="39"/>
      <c r="AQ426" s="39"/>
      <c r="AR426" s="39"/>
      <c r="AS426" s="39"/>
      <c r="AT426" s="39">
        <f t="shared" si="442"/>
        <v>0</v>
      </c>
      <c r="AU426" s="39"/>
      <c r="AV426" s="39"/>
      <c r="AW426" s="39"/>
      <c r="AX426" s="39"/>
      <c r="AY426" s="39"/>
      <c r="AZ426" s="39">
        <f t="shared" si="443"/>
        <v>0</v>
      </c>
      <c r="BA426" s="39"/>
      <c r="BB426" s="39"/>
      <c r="BC426" s="39"/>
      <c r="BD426" s="39"/>
      <c r="BE426" s="39"/>
      <c r="BF426" s="39">
        <f t="shared" si="444"/>
        <v>0</v>
      </c>
      <c r="BG426" s="39"/>
      <c r="BH426" s="39"/>
      <c r="BI426" s="39"/>
      <c r="BJ426" s="39"/>
      <c r="BK426" s="39"/>
      <c r="BL426" s="39">
        <f t="shared" si="445"/>
        <v>0</v>
      </c>
      <c r="BM426" s="54" t="str">
        <f t="shared" si="446"/>
        <v/>
      </c>
      <c r="BN426" s="58">
        <v>46181</v>
      </c>
      <c r="BO426" s="57">
        <v>46193</v>
      </c>
      <c r="BP426" s="57">
        <v>46193</v>
      </c>
      <c r="BQ426" s="57">
        <v>46199</v>
      </c>
      <c r="BR426" s="239"/>
      <c r="BS426" s="239"/>
      <c r="BT426" s="39">
        <v>2230</v>
      </c>
      <c r="BU426" s="39">
        <v>176</v>
      </c>
      <c r="BV426" s="39"/>
      <c r="BW426" s="39"/>
      <c r="BX426" s="39"/>
      <c r="BY426" s="39"/>
      <c r="BZ426" s="39">
        <f t="shared" si="447"/>
        <v>176</v>
      </c>
      <c r="CA426" s="39">
        <f t="shared" si="11"/>
        <v>0</v>
      </c>
      <c r="CB426" s="39">
        <f t="shared" si="448"/>
        <v>0</v>
      </c>
      <c r="CC426" s="39">
        <f t="shared" si="449"/>
        <v>0</v>
      </c>
      <c r="CD426" s="39">
        <f t="shared" si="451"/>
        <v>0</v>
      </c>
      <c r="CE426" s="102">
        <f t="shared" si="450"/>
        <v>0</v>
      </c>
      <c r="CF426" s="36" t="s">
        <v>250</v>
      </c>
      <c r="CG426" s="39" t="s">
        <v>279</v>
      </c>
      <c r="CH426" s="39"/>
      <c r="CI426" s="25">
        <v>1</v>
      </c>
    </row>
    <row r="427" spans="1:87" ht="24.75" customHeight="1">
      <c r="A427" s="36" t="s">
        <v>387</v>
      </c>
      <c r="B427" s="27">
        <v>47764</v>
      </c>
      <c r="C427" s="235">
        <v>15368612</v>
      </c>
      <c r="D427" s="36"/>
      <c r="E427" s="39">
        <v>240</v>
      </c>
      <c r="F427" s="39" t="s">
        <v>57</v>
      </c>
      <c r="G427" s="36" t="s">
        <v>23</v>
      </c>
      <c r="H427" s="36" t="s">
        <v>212</v>
      </c>
      <c r="I427" s="39">
        <v>226</v>
      </c>
      <c r="J427" s="39">
        <v>12</v>
      </c>
      <c r="K427" s="39"/>
      <c r="L427" s="39">
        <f t="shared" ref="L427:L433" si="456">SUM(I427:K427)</f>
        <v>238</v>
      </c>
      <c r="M427" s="117">
        <v>46162</v>
      </c>
      <c r="N427" s="117">
        <v>46179</v>
      </c>
      <c r="O427" s="39"/>
      <c r="P427" s="39"/>
      <c r="Q427" s="39"/>
      <c r="R427" s="39">
        <f t="shared" ref="R427:R433" si="457">SUM(O427:Q427)</f>
        <v>0</v>
      </c>
      <c r="S427" s="39" t="s">
        <v>130</v>
      </c>
      <c r="T427" s="39">
        <v>107239</v>
      </c>
      <c r="U427" s="117">
        <v>46204</v>
      </c>
      <c r="V427" s="39"/>
      <c r="W427" s="39"/>
      <c r="X427" s="39"/>
      <c r="Y427" s="39">
        <v>247</v>
      </c>
      <c r="Z427" s="39">
        <v>17</v>
      </c>
      <c r="AA427" s="39"/>
      <c r="AB427" s="119">
        <f t="shared" ref="AB427:AB433" si="458">SUM(Y427:AA427)</f>
        <v>264</v>
      </c>
      <c r="AC427" s="39"/>
      <c r="AD427" s="39"/>
      <c r="AE427" s="39"/>
      <c r="AF427" s="39"/>
      <c r="AG427" s="39"/>
      <c r="AH427" s="39">
        <f t="shared" si="441"/>
        <v>0</v>
      </c>
      <c r="AI427" s="39"/>
      <c r="AJ427" s="39"/>
      <c r="AK427" s="39"/>
      <c r="AL427" s="39"/>
      <c r="AM427" s="39"/>
      <c r="AN427" s="39">
        <f t="shared" si="405"/>
        <v>0</v>
      </c>
      <c r="AO427" s="39"/>
      <c r="AP427" s="39"/>
      <c r="AQ427" s="39"/>
      <c r="AR427" s="39"/>
      <c r="AS427" s="39"/>
      <c r="AT427" s="39">
        <f t="shared" si="442"/>
        <v>0</v>
      </c>
      <c r="AU427" s="39"/>
      <c r="AV427" s="39"/>
      <c r="AW427" s="39"/>
      <c r="AX427" s="39"/>
      <c r="AY427" s="39"/>
      <c r="AZ427" s="39">
        <f t="shared" si="443"/>
        <v>0</v>
      </c>
      <c r="BA427" s="39"/>
      <c r="BB427" s="39"/>
      <c r="BC427" s="39"/>
      <c r="BD427" s="39"/>
      <c r="BE427" s="39"/>
      <c r="BF427" s="39">
        <f t="shared" si="444"/>
        <v>0</v>
      </c>
      <c r="BG427" s="39"/>
      <c r="BH427" s="39"/>
      <c r="BI427" s="39"/>
      <c r="BJ427" s="39"/>
      <c r="BK427" s="39"/>
      <c r="BL427" s="39">
        <f t="shared" si="445"/>
        <v>0</v>
      </c>
      <c r="BM427" s="54" t="str">
        <f t="shared" si="446"/>
        <v/>
      </c>
      <c r="BN427" s="58">
        <v>46181</v>
      </c>
      <c r="BO427" s="57">
        <v>46193</v>
      </c>
      <c r="BP427" s="36"/>
      <c r="BQ427" s="36"/>
      <c r="BR427" s="237">
        <v>46197</v>
      </c>
      <c r="BS427" s="237">
        <v>46210</v>
      </c>
      <c r="BT427" s="39">
        <v>2014</v>
      </c>
      <c r="BU427" s="39">
        <f>222</f>
        <v>222</v>
      </c>
      <c r="BV427" s="39">
        <v>1579</v>
      </c>
      <c r="BW427" s="39">
        <v>14</v>
      </c>
      <c r="BX427" s="39"/>
      <c r="BY427" s="39"/>
      <c r="BZ427" s="39">
        <f t="shared" si="447"/>
        <v>236</v>
      </c>
      <c r="CA427" s="39">
        <f t="shared" si="11"/>
        <v>-4</v>
      </c>
      <c r="CB427" s="39">
        <f t="shared" si="448"/>
        <v>2</v>
      </c>
      <c r="CC427" s="39">
        <f t="shared" si="449"/>
        <v>0</v>
      </c>
      <c r="CD427" s="39">
        <v>0</v>
      </c>
      <c r="CE427" s="102">
        <f t="shared" si="450"/>
        <v>0</v>
      </c>
      <c r="CF427" s="36" t="s">
        <v>250</v>
      </c>
      <c r="CG427" s="39" t="s">
        <v>279</v>
      </c>
      <c r="CH427" s="39" t="s">
        <v>973</v>
      </c>
      <c r="CI427" s="25">
        <v>1</v>
      </c>
    </row>
    <row r="428" spans="1:87" ht="24.75" customHeight="1">
      <c r="A428" s="36" t="s">
        <v>387</v>
      </c>
      <c r="B428" s="27">
        <v>47764</v>
      </c>
      <c r="C428" s="236"/>
      <c r="D428" s="36"/>
      <c r="E428" s="39">
        <v>240</v>
      </c>
      <c r="F428" s="39" t="s">
        <v>57</v>
      </c>
      <c r="G428" s="36" t="s">
        <v>93</v>
      </c>
      <c r="H428" s="36" t="s">
        <v>212</v>
      </c>
      <c r="I428" s="39">
        <v>226</v>
      </c>
      <c r="J428" s="39">
        <v>12</v>
      </c>
      <c r="K428" s="39"/>
      <c r="L428" s="39">
        <f t="shared" si="456"/>
        <v>238</v>
      </c>
      <c r="M428" s="117">
        <v>46162</v>
      </c>
      <c r="N428" s="117">
        <v>46179</v>
      </c>
      <c r="O428" s="39"/>
      <c r="P428" s="39"/>
      <c r="Q428" s="39"/>
      <c r="R428" s="39">
        <f t="shared" ref="R428" si="459">SUM(O428:Q428)</f>
        <v>0</v>
      </c>
      <c r="S428" s="39" t="s">
        <v>130</v>
      </c>
      <c r="T428" s="39">
        <v>107090</v>
      </c>
      <c r="U428" s="117">
        <v>46195</v>
      </c>
      <c r="V428" s="39"/>
      <c r="W428" s="39"/>
      <c r="X428" s="39"/>
      <c r="Y428" s="39">
        <v>250</v>
      </c>
      <c r="Z428" s="39">
        <v>16</v>
      </c>
      <c r="AA428" s="39"/>
      <c r="AB428" s="119">
        <f t="shared" ref="AB428" si="460">SUM(Y428:AA428)</f>
        <v>266</v>
      </c>
      <c r="AC428" s="39"/>
      <c r="AD428" s="39"/>
      <c r="AE428" s="39"/>
      <c r="AF428" s="39"/>
      <c r="AG428" s="39"/>
      <c r="AH428" s="39">
        <f t="shared" si="441"/>
        <v>0</v>
      </c>
      <c r="AI428" s="39"/>
      <c r="AJ428" s="39"/>
      <c r="AK428" s="39"/>
      <c r="AL428" s="39"/>
      <c r="AM428" s="39"/>
      <c r="AN428" s="39">
        <f t="shared" si="405"/>
        <v>0</v>
      </c>
      <c r="AO428" s="39"/>
      <c r="AP428" s="39"/>
      <c r="AQ428" s="39"/>
      <c r="AR428" s="39"/>
      <c r="AS428" s="39"/>
      <c r="AT428" s="39">
        <f t="shared" si="442"/>
        <v>0</v>
      </c>
      <c r="AU428" s="39"/>
      <c r="AV428" s="39"/>
      <c r="AW428" s="39"/>
      <c r="AX428" s="39"/>
      <c r="AY428" s="39"/>
      <c r="AZ428" s="39">
        <f t="shared" si="443"/>
        <v>0</v>
      </c>
      <c r="BA428" s="39"/>
      <c r="BB428" s="39"/>
      <c r="BC428" s="39"/>
      <c r="BD428" s="39"/>
      <c r="BE428" s="39"/>
      <c r="BF428" s="39">
        <f t="shared" si="444"/>
        <v>0</v>
      </c>
      <c r="BG428" s="39"/>
      <c r="BH428" s="39"/>
      <c r="BI428" s="39"/>
      <c r="BJ428" s="39"/>
      <c r="BK428" s="39"/>
      <c r="BL428" s="39">
        <f t="shared" si="445"/>
        <v>0</v>
      </c>
      <c r="BM428" s="54" t="str">
        <f t="shared" si="446"/>
        <v/>
      </c>
      <c r="BN428" s="58">
        <v>46181</v>
      </c>
      <c r="BO428" s="57">
        <v>46193</v>
      </c>
      <c r="BP428" s="36"/>
      <c r="BQ428" s="36"/>
      <c r="BR428" s="239"/>
      <c r="BS428" s="239"/>
      <c r="BT428" s="39">
        <v>2119</v>
      </c>
      <c r="BU428" s="39">
        <f>216</f>
        <v>216</v>
      </c>
      <c r="BV428" s="39">
        <v>2119</v>
      </c>
      <c r="BW428" s="39">
        <v>14</v>
      </c>
      <c r="BX428" s="39"/>
      <c r="BY428" s="39"/>
      <c r="BZ428" s="39">
        <f t="shared" si="447"/>
        <v>230</v>
      </c>
      <c r="CA428" s="39">
        <f t="shared" si="11"/>
        <v>-10</v>
      </c>
      <c r="CB428" s="39">
        <f t="shared" si="448"/>
        <v>2</v>
      </c>
      <c r="CC428" s="39">
        <f t="shared" si="449"/>
        <v>0</v>
      </c>
      <c r="CD428" s="39">
        <f t="shared" si="451"/>
        <v>-10</v>
      </c>
      <c r="CE428" s="102">
        <f t="shared" si="450"/>
        <v>-4.2016806722689079E-2</v>
      </c>
      <c r="CF428" s="36" t="s">
        <v>250</v>
      </c>
      <c r="CG428" s="39" t="s">
        <v>279</v>
      </c>
      <c r="CH428" s="39"/>
      <c r="CI428" s="25">
        <v>1</v>
      </c>
    </row>
    <row r="429" spans="1:87" ht="24.75" customHeight="1">
      <c r="A429" s="36" t="s">
        <v>387</v>
      </c>
      <c r="B429" s="27">
        <v>47769</v>
      </c>
      <c r="C429" s="235">
        <v>15387784</v>
      </c>
      <c r="D429" s="36" t="s">
        <v>37</v>
      </c>
      <c r="E429" s="39">
        <v>190</v>
      </c>
      <c r="F429" s="39" t="s">
        <v>58</v>
      </c>
      <c r="G429" s="36" t="s">
        <v>105</v>
      </c>
      <c r="H429" s="36" t="s">
        <v>504</v>
      </c>
      <c r="I429" s="39">
        <v>465</v>
      </c>
      <c r="J429" s="39"/>
      <c r="K429" s="39"/>
      <c r="L429" s="39">
        <f t="shared" si="456"/>
        <v>465</v>
      </c>
      <c r="M429" s="117">
        <v>46164</v>
      </c>
      <c r="N429" s="117">
        <v>46183</v>
      </c>
      <c r="O429" s="39"/>
      <c r="P429" s="39"/>
      <c r="Q429" s="39"/>
      <c r="R429" s="39">
        <f t="shared" si="457"/>
        <v>0</v>
      </c>
      <c r="S429" s="39" t="s">
        <v>130</v>
      </c>
      <c r="T429" s="39">
        <v>106786</v>
      </c>
      <c r="U429" s="117">
        <v>46185</v>
      </c>
      <c r="V429" s="39"/>
      <c r="W429" s="39"/>
      <c r="X429" s="39"/>
      <c r="Y429" s="39">
        <v>512</v>
      </c>
      <c r="Z429" s="39"/>
      <c r="AA429" s="39"/>
      <c r="AB429" s="119">
        <f t="shared" si="458"/>
        <v>512</v>
      </c>
      <c r="AC429" s="39" t="s">
        <v>268</v>
      </c>
      <c r="AD429" s="117">
        <v>46186</v>
      </c>
      <c r="AE429" s="39">
        <v>472</v>
      </c>
      <c r="AF429" s="117">
        <v>46197</v>
      </c>
      <c r="AG429" s="39">
        <v>463</v>
      </c>
      <c r="AH429" s="39">
        <f t="shared" si="441"/>
        <v>-9</v>
      </c>
      <c r="AI429" s="39"/>
      <c r="AJ429" s="39"/>
      <c r="AK429" s="39"/>
      <c r="AL429" s="39"/>
      <c r="AM429" s="39"/>
      <c r="AN429" s="39">
        <f t="shared" si="405"/>
        <v>0</v>
      </c>
      <c r="AO429" s="39"/>
      <c r="AP429" s="39"/>
      <c r="AQ429" s="39"/>
      <c r="AR429" s="39"/>
      <c r="AS429" s="39"/>
      <c r="AT429" s="39">
        <f t="shared" si="442"/>
        <v>0</v>
      </c>
      <c r="AU429" s="39"/>
      <c r="AV429" s="39"/>
      <c r="AW429" s="39"/>
      <c r="AX429" s="39"/>
      <c r="AY429" s="39"/>
      <c r="AZ429" s="39">
        <f t="shared" si="443"/>
        <v>0</v>
      </c>
      <c r="BA429" s="39"/>
      <c r="BB429" s="39"/>
      <c r="BC429" s="39"/>
      <c r="BD429" s="39"/>
      <c r="BE429" s="39"/>
      <c r="BF429" s="39">
        <f t="shared" si="444"/>
        <v>0</v>
      </c>
      <c r="BG429" s="39"/>
      <c r="BH429" s="39"/>
      <c r="BI429" s="39"/>
      <c r="BJ429" s="39"/>
      <c r="BK429" s="39"/>
      <c r="BL429" s="39">
        <f t="shared" si="445"/>
        <v>0</v>
      </c>
      <c r="BM429" s="54" t="str">
        <f t="shared" si="446"/>
        <v/>
      </c>
      <c r="BN429" s="58">
        <v>46182</v>
      </c>
      <c r="BO429" s="57">
        <v>46193</v>
      </c>
      <c r="BP429" s="57">
        <v>46192</v>
      </c>
      <c r="BQ429" s="57">
        <v>46199</v>
      </c>
      <c r="BR429" s="237">
        <v>46188</v>
      </c>
      <c r="BS429" s="237">
        <v>46214</v>
      </c>
      <c r="BT429" s="39" t="s">
        <v>1376</v>
      </c>
      <c r="BU429" s="39">
        <f>462+20</f>
        <v>482</v>
      </c>
      <c r="BV429" s="39"/>
      <c r="BW429" s="39"/>
      <c r="BX429" s="39"/>
      <c r="BY429" s="39"/>
      <c r="BZ429" s="39">
        <f t="shared" si="447"/>
        <v>482</v>
      </c>
      <c r="CA429" s="39">
        <f t="shared" si="11"/>
        <v>17</v>
      </c>
      <c r="CB429" s="39">
        <f t="shared" si="448"/>
        <v>0</v>
      </c>
      <c r="CC429" s="39">
        <f t="shared" si="449"/>
        <v>0</v>
      </c>
      <c r="CD429" s="39">
        <v>0</v>
      </c>
      <c r="CE429" s="102">
        <f t="shared" si="450"/>
        <v>0</v>
      </c>
      <c r="CF429" s="36" t="s">
        <v>250</v>
      </c>
      <c r="CG429" s="39" t="s">
        <v>279</v>
      </c>
      <c r="CH429" s="39"/>
      <c r="CI429" s="25">
        <v>1</v>
      </c>
    </row>
    <row r="430" spans="1:87" ht="24.75" customHeight="1">
      <c r="A430" s="36" t="s">
        <v>387</v>
      </c>
      <c r="B430" s="27">
        <v>47769</v>
      </c>
      <c r="C430" s="240"/>
      <c r="D430" s="36" t="s">
        <v>37</v>
      </c>
      <c r="E430" s="39">
        <v>190</v>
      </c>
      <c r="F430" s="39" t="s">
        <v>58</v>
      </c>
      <c r="G430" s="36" t="s">
        <v>848</v>
      </c>
      <c r="H430" s="36" t="s">
        <v>504</v>
      </c>
      <c r="I430" s="39">
        <v>282</v>
      </c>
      <c r="J430" s="39"/>
      <c r="K430" s="39"/>
      <c r="L430" s="39">
        <f t="shared" si="456"/>
        <v>282</v>
      </c>
      <c r="M430" s="117">
        <v>46164</v>
      </c>
      <c r="N430" s="117">
        <v>46183</v>
      </c>
      <c r="O430" s="39"/>
      <c r="P430" s="39"/>
      <c r="Q430" s="39"/>
      <c r="R430" s="39">
        <f t="shared" si="457"/>
        <v>0</v>
      </c>
      <c r="S430" s="39" t="s">
        <v>130</v>
      </c>
      <c r="T430" s="39">
        <v>106795</v>
      </c>
      <c r="U430" s="117">
        <v>46182</v>
      </c>
      <c r="V430" s="39"/>
      <c r="W430" s="39"/>
      <c r="X430" s="39"/>
      <c r="Y430" s="39">
        <v>308</v>
      </c>
      <c r="Z430" s="39"/>
      <c r="AA430" s="39"/>
      <c r="AB430" s="119">
        <f t="shared" si="458"/>
        <v>308</v>
      </c>
      <c r="AC430" s="39" t="s">
        <v>268</v>
      </c>
      <c r="AD430" s="117">
        <v>46186</v>
      </c>
      <c r="AE430" s="39">
        <v>293</v>
      </c>
      <c r="AF430" s="117">
        <v>46213</v>
      </c>
      <c r="AG430" s="39">
        <v>287</v>
      </c>
      <c r="AH430" s="39">
        <f t="shared" si="441"/>
        <v>-6</v>
      </c>
      <c r="AI430" s="39"/>
      <c r="AJ430" s="39"/>
      <c r="AK430" s="39"/>
      <c r="AL430" s="39"/>
      <c r="AM430" s="39"/>
      <c r="AN430" s="39">
        <f t="shared" si="405"/>
        <v>0</v>
      </c>
      <c r="AO430" s="39"/>
      <c r="AP430" s="39"/>
      <c r="AQ430" s="39"/>
      <c r="AR430" s="39"/>
      <c r="AS430" s="39"/>
      <c r="AT430" s="39">
        <f t="shared" si="442"/>
        <v>0</v>
      </c>
      <c r="AU430" s="39"/>
      <c r="AV430" s="39"/>
      <c r="AW430" s="39"/>
      <c r="AX430" s="39"/>
      <c r="AY430" s="39"/>
      <c r="AZ430" s="39">
        <f t="shared" si="443"/>
        <v>0</v>
      </c>
      <c r="BA430" s="39"/>
      <c r="BB430" s="39"/>
      <c r="BC430" s="39"/>
      <c r="BD430" s="39"/>
      <c r="BE430" s="39"/>
      <c r="BF430" s="39">
        <f t="shared" si="444"/>
        <v>0</v>
      </c>
      <c r="BG430" s="39"/>
      <c r="BH430" s="39"/>
      <c r="BI430" s="39"/>
      <c r="BJ430" s="39"/>
      <c r="BK430" s="39"/>
      <c r="BL430" s="39">
        <f t="shared" si="445"/>
        <v>0</v>
      </c>
      <c r="BM430" s="54" t="str">
        <f t="shared" si="446"/>
        <v/>
      </c>
      <c r="BN430" s="58">
        <v>46182</v>
      </c>
      <c r="BO430" s="57">
        <v>46193</v>
      </c>
      <c r="BP430" s="57">
        <v>46192</v>
      </c>
      <c r="BQ430" s="57">
        <v>46199</v>
      </c>
      <c r="BR430" s="238"/>
      <c r="BS430" s="238"/>
      <c r="BT430" s="39">
        <v>2230</v>
      </c>
      <c r="BU430" s="39">
        <v>286</v>
      </c>
      <c r="BV430" s="39"/>
      <c r="BW430" s="39"/>
      <c r="BX430" s="39"/>
      <c r="BY430" s="39"/>
      <c r="BZ430" s="39">
        <f t="shared" si="447"/>
        <v>286</v>
      </c>
      <c r="CA430" s="39">
        <f t="shared" si="11"/>
        <v>4</v>
      </c>
      <c r="CB430" s="39">
        <f t="shared" si="448"/>
        <v>0</v>
      </c>
      <c r="CC430" s="39">
        <f t="shared" si="449"/>
        <v>0</v>
      </c>
      <c r="CD430" s="39">
        <f t="shared" si="451"/>
        <v>0</v>
      </c>
      <c r="CE430" s="102">
        <f t="shared" si="450"/>
        <v>0</v>
      </c>
      <c r="CF430" s="36" t="s">
        <v>250</v>
      </c>
      <c r="CG430" s="39" t="s">
        <v>279</v>
      </c>
      <c r="CH430" s="39"/>
      <c r="CI430" s="25">
        <v>1</v>
      </c>
    </row>
    <row r="431" spans="1:87" ht="24.75" customHeight="1">
      <c r="A431" s="36" t="s">
        <v>387</v>
      </c>
      <c r="B431" s="27">
        <v>47769</v>
      </c>
      <c r="C431" s="236"/>
      <c r="D431" s="36"/>
      <c r="E431" s="39">
        <v>190</v>
      </c>
      <c r="F431" s="39" t="s">
        <v>58</v>
      </c>
      <c r="G431" s="36" t="s">
        <v>187</v>
      </c>
      <c r="H431" s="36" t="s">
        <v>504</v>
      </c>
      <c r="I431" s="39">
        <v>444</v>
      </c>
      <c r="J431" s="39"/>
      <c r="K431" s="39"/>
      <c r="L431" s="39">
        <f t="shared" si="456"/>
        <v>444</v>
      </c>
      <c r="M431" s="117">
        <v>46164</v>
      </c>
      <c r="N431" s="117">
        <v>46183</v>
      </c>
      <c r="O431" s="39"/>
      <c r="P431" s="39"/>
      <c r="Q431" s="39"/>
      <c r="R431" s="39">
        <f t="shared" si="457"/>
        <v>0</v>
      </c>
      <c r="S431" s="39" t="s">
        <v>130</v>
      </c>
      <c r="T431" s="39" t="s">
        <v>1392</v>
      </c>
      <c r="U431" s="117" t="s">
        <v>1371</v>
      </c>
      <c r="V431" s="39"/>
      <c r="W431" s="39"/>
      <c r="X431" s="39"/>
      <c r="Y431" s="39">
        <f>501+13</f>
        <v>514</v>
      </c>
      <c r="Z431" s="39"/>
      <c r="AA431" s="39"/>
      <c r="AB431" s="119">
        <f t="shared" si="458"/>
        <v>514</v>
      </c>
      <c r="AC431" s="39"/>
      <c r="AD431" s="39"/>
      <c r="AE431" s="39"/>
      <c r="AF431" s="39"/>
      <c r="AG431" s="39"/>
      <c r="AH431" s="39">
        <f t="shared" si="441"/>
        <v>0</v>
      </c>
      <c r="AI431" s="39"/>
      <c r="AJ431" s="39"/>
      <c r="AK431" s="39"/>
      <c r="AL431" s="39"/>
      <c r="AM431" s="39"/>
      <c r="AN431" s="39">
        <f t="shared" si="405"/>
        <v>0</v>
      </c>
      <c r="AO431" s="39"/>
      <c r="AP431" s="39"/>
      <c r="AQ431" s="39"/>
      <c r="AR431" s="39"/>
      <c r="AS431" s="39"/>
      <c r="AT431" s="39">
        <f t="shared" si="442"/>
        <v>0</v>
      </c>
      <c r="AU431" s="39"/>
      <c r="AV431" s="39"/>
      <c r="AW431" s="39"/>
      <c r="AX431" s="39"/>
      <c r="AY431" s="39"/>
      <c r="AZ431" s="39">
        <f t="shared" si="443"/>
        <v>0</v>
      </c>
      <c r="BA431" s="39"/>
      <c r="BB431" s="39"/>
      <c r="BC431" s="39"/>
      <c r="BD431" s="39"/>
      <c r="BE431" s="39"/>
      <c r="BF431" s="39">
        <f t="shared" si="444"/>
        <v>0</v>
      </c>
      <c r="BG431" s="39"/>
      <c r="BH431" s="39"/>
      <c r="BI431" s="39"/>
      <c r="BJ431" s="39"/>
      <c r="BK431" s="39"/>
      <c r="BL431" s="39">
        <f t="shared" si="445"/>
        <v>0</v>
      </c>
      <c r="BM431" s="54" t="str">
        <f t="shared" si="446"/>
        <v/>
      </c>
      <c r="BN431" s="58">
        <v>46182</v>
      </c>
      <c r="BO431" s="57">
        <v>46193</v>
      </c>
      <c r="BP431" s="57"/>
      <c r="BQ431" s="57"/>
      <c r="BR431" s="239"/>
      <c r="BS431" s="239"/>
      <c r="BT431" s="39" t="s">
        <v>1418</v>
      </c>
      <c r="BU431" s="39">
        <f>470+13</f>
        <v>483</v>
      </c>
      <c r="BV431" s="39"/>
      <c r="BW431" s="39"/>
      <c r="BX431" s="39"/>
      <c r="BY431" s="39"/>
      <c r="BZ431" s="39">
        <f t="shared" si="447"/>
        <v>483</v>
      </c>
      <c r="CA431" s="39">
        <f t="shared" si="11"/>
        <v>39</v>
      </c>
      <c r="CB431" s="39">
        <f t="shared" si="448"/>
        <v>0</v>
      </c>
      <c r="CC431" s="39">
        <f t="shared" si="449"/>
        <v>0</v>
      </c>
      <c r="CD431" s="39">
        <f t="shared" si="451"/>
        <v>0</v>
      </c>
      <c r="CE431" s="102">
        <f t="shared" si="450"/>
        <v>0</v>
      </c>
      <c r="CF431" s="36" t="s">
        <v>250</v>
      </c>
      <c r="CG431" s="39" t="s">
        <v>279</v>
      </c>
      <c r="CH431" s="39"/>
      <c r="CI431" s="25">
        <v>1</v>
      </c>
    </row>
    <row r="432" spans="1:87" ht="24.75" customHeight="1">
      <c r="A432" s="36" t="s">
        <v>387</v>
      </c>
      <c r="B432" s="27">
        <v>47785</v>
      </c>
      <c r="C432" s="235">
        <v>15333192</v>
      </c>
      <c r="D432" s="36"/>
      <c r="E432" s="39">
        <v>140</v>
      </c>
      <c r="F432" s="39" t="s">
        <v>57</v>
      </c>
      <c r="G432" s="36" t="s">
        <v>47</v>
      </c>
      <c r="H432" s="39" t="s">
        <v>22</v>
      </c>
      <c r="I432" s="39">
        <v>225</v>
      </c>
      <c r="J432" s="39">
        <v>19</v>
      </c>
      <c r="K432" s="39"/>
      <c r="L432" s="39">
        <f t="shared" si="456"/>
        <v>244</v>
      </c>
      <c r="M432" s="117">
        <v>46178</v>
      </c>
      <c r="N432" s="117">
        <v>46181</v>
      </c>
      <c r="O432" s="39"/>
      <c r="P432" s="39"/>
      <c r="Q432" s="39"/>
      <c r="R432" s="39">
        <f t="shared" si="457"/>
        <v>0</v>
      </c>
      <c r="S432" s="39" t="s">
        <v>130</v>
      </c>
      <c r="T432" s="39">
        <v>107103</v>
      </c>
      <c r="U432" s="117">
        <v>46194</v>
      </c>
      <c r="V432" s="39"/>
      <c r="W432" s="39"/>
      <c r="X432" s="39"/>
      <c r="Y432" s="39">
        <v>257</v>
      </c>
      <c r="Z432" s="39">
        <v>24</v>
      </c>
      <c r="AA432" s="39"/>
      <c r="AB432" s="119">
        <f t="shared" si="458"/>
        <v>281</v>
      </c>
      <c r="AC432" s="39"/>
      <c r="AD432" s="39"/>
      <c r="AE432" s="39"/>
      <c r="AF432" s="39"/>
      <c r="AG432" s="39"/>
      <c r="AH432" s="39">
        <f t="shared" si="441"/>
        <v>0</v>
      </c>
      <c r="AI432" s="39"/>
      <c r="AJ432" s="39"/>
      <c r="AK432" s="39"/>
      <c r="AL432" s="39"/>
      <c r="AM432" s="39"/>
      <c r="AN432" s="39">
        <f t="shared" si="405"/>
        <v>0</v>
      </c>
      <c r="AO432" s="39"/>
      <c r="AP432" s="39"/>
      <c r="AQ432" s="39"/>
      <c r="AR432" s="39"/>
      <c r="AS432" s="39"/>
      <c r="AT432" s="39">
        <f t="shared" si="442"/>
        <v>0</v>
      </c>
      <c r="AU432" s="39"/>
      <c r="AV432" s="39"/>
      <c r="AW432" s="39"/>
      <c r="AX432" s="39"/>
      <c r="AY432" s="39"/>
      <c r="AZ432" s="39">
        <f t="shared" si="443"/>
        <v>0</v>
      </c>
      <c r="BA432" s="39"/>
      <c r="BB432" s="39"/>
      <c r="BC432" s="39"/>
      <c r="BD432" s="39"/>
      <c r="BE432" s="39"/>
      <c r="BF432" s="39">
        <f t="shared" si="444"/>
        <v>0</v>
      </c>
      <c r="BG432" s="39"/>
      <c r="BH432" s="39"/>
      <c r="BI432" s="39"/>
      <c r="BJ432" s="39"/>
      <c r="BK432" s="39"/>
      <c r="BL432" s="39">
        <f t="shared" si="445"/>
        <v>0</v>
      </c>
      <c r="BM432" s="54" t="str">
        <f t="shared" si="446"/>
        <v/>
      </c>
      <c r="BN432" s="58">
        <v>46183</v>
      </c>
      <c r="BO432" s="57">
        <v>46193</v>
      </c>
      <c r="BP432" s="36"/>
      <c r="BQ432" s="36"/>
      <c r="BR432" s="237">
        <v>46196</v>
      </c>
      <c r="BS432" s="237">
        <v>46204</v>
      </c>
      <c r="BT432" s="39">
        <v>2110</v>
      </c>
      <c r="BU432" s="39">
        <v>233</v>
      </c>
      <c r="BV432" s="39">
        <v>2150</v>
      </c>
      <c r="BW432" s="39">
        <v>21</v>
      </c>
      <c r="BX432" s="39"/>
      <c r="BY432" s="39"/>
      <c r="BZ432" s="39">
        <f t="shared" si="447"/>
        <v>254</v>
      </c>
      <c r="CA432" s="39">
        <f t="shared" si="11"/>
        <v>8</v>
      </c>
      <c r="CB432" s="39">
        <f t="shared" si="448"/>
        <v>2</v>
      </c>
      <c r="CC432" s="39">
        <f t="shared" si="449"/>
        <v>0</v>
      </c>
      <c r="CD432" s="39">
        <f t="shared" si="451"/>
        <v>0</v>
      </c>
      <c r="CE432" s="102">
        <f t="shared" si="450"/>
        <v>0</v>
      </c>
      <c r="CF432" s="36" t="s">
        <v>249</v>
      </c>
      <c r="CG432" s="39" t="s">
        <v>222</v>
      </c>
      <c r="CH432" s="39" t="s">
        <v>973</v>
      </c>
      <c r="CI432" s="25">
        <v>1</v>
      </c>
    </row>
    <row r="433" spans="1:87" ht="24.75" customHeight="1">
      <c r="A433" s="36" t="s">
        <v>387</v>
      </c>
      <c r="B433" s="27">
        <v>47785</v>
      </c>
      <c r="C433" s="236"/>
      <c r="D433" s="36"/>
      <c r="E433" s="39"/>
      <c r="F433" s="39"/>
      <c r="G433" s="36" t="s">
        <v>1119</v>
      </c>
      <c r="H433" s="39">
        <v>530</v>
      </c>
      <c r="I433" s="39" t="s">
        <v>90</v>
      </c>
      <c r="J433" s="39"/>
      <c r="K433" s="39"/>
      <c r="L433" s="39">
        <f t="shared" si="456"/>
        <v>0</v>
      </c>
      <c r="M433" s="117">
        <v>46178</v>
      </c>
      <c r="N433" s="117">
        <v>46181</v>
      </c>
      <c r="O433" s="39"/>
      <c r="P433" s="39"/>
      <c r="Q433" s="39"/>
      <c r="R433" s="39">
        <f t="shared" si="457"/>
        <v>0</v>
      </c>
      <c r="S433" s="39" t="s">
        <v>130</v>
      </c>
      <c r="T433" s="39"/>
      <c r="U433" s="39"/>
      <c r="V433" s="39"/>
      <c r="W433" s="39"/>
      <c r="X433" s="39"/>
      <c r="Y433" s="39"/>
      <c r="Z433" s="39"/>
      <c r="AA433" s="39"/>
      <c r="AB433" s="39">
        <f t="shared" si="458"/>
        <v>0</v>
      </c>
      <c r="AC433" s="39"/>
      <c r="AD433" s="39"/>
      <c r="AE433" s="39"/>
      <c r="AF433" s="39"/>
      <c r="AG433" s="39"/>
      <c r="AH433" s="39">
        <f t="shared" si="441"/>
        <v>0</v>
      </c>
      <c r="AI433" s="39"/>
      <c r="AJ433" s="39"/>
      <c r="AK433" s="39"/>
      <c r="AL433" s="39"/>
      <c r="AM433" s="39"/>
      <c r="AN433" s="39">
        <f t="shared" si="405"/>
        <v>0</v>
      </c>
      <c r="AO433" s="39"/>
      <c r="AP433" s="39"/>
      <c r="AQ433" s="39"/>
      <c r="AR433" s="39"/>
      <c r="AS433" s="39"/>
      <c r="AT433" s="39">
        <f t="shared" si="442"/>
        <v>0</v>
      </c>
      <c r="AU433" s="39"/>
      <c r="AV433" s="39"/>
      <c r="AW433" s="39"/>
      <c r="AX433" s="39"/>
      <c r="AY433" s="39"/>
      <c r="AZ433" s="39">
        <f t="shared" si="443"/>
        <v>0</v>
      </c>
      <c r="BA433" s="39"/>
      <c r="BB433" s="39"/>
      <c r="BC433" s="39"/>
      <c r="BD433" s="39"/>
      <c r="BE433" s="39"/>
      <c r="BF433" s="39">
        <f t="shared" si="444"/>
        <v>0</v>
      </c>
      <c r="BG433" s="39"/>
      <c r="BH433" s="39"/>
      <c r="BI433" s="39"/>
      <c r="BJ433" s="39"/>
      <c r="BK433" s="39"/>
      <c r="BL433" s="39">
        <f t="shared" si="445"/>
        <v>0</v>
      </c>
      <c r="BM433" s="54" t="e">
        <f t="shared" si="446"/>
        <v>#DIV/0!</v>
      </c>
      <c r="BN433" s="58">
        <v>46183</v>
      </c>
      <c r="BO433" s="57">
        <v>46193</v>
      </c>
      <c r="BP433" s="36"/>
      <c r="BQ433" s="36"/>
      <c r="BR433" s="239"/>
      <c r="BS433" s="239"/>
      <c r="BT433" s="39"/>
      <c r="BU433" s="39"/>
      <c r="BV433" s="39"/>
      <c r="BW433" s="39"/>
      <c r="BX433" s="39"/>
      <c r="BY433" s="39"/>
      <c r="BZ433" s="39">
        <f t="shared" si="447"/>
        <v>0</v>
      </c>
      <c r="CA433" s="39" t="e">
        <f t="shared" si="11"/>
        <v>#VALUE!</v>
      </c>
      <c r="CB433" s="39">
        <f t="shared" si="448"/>
        <v>0</v>
      </c>
      <c r="CC433" s="39">
        <f t="shared" si="449"/>
        <v>0</v>
      </c>
      <c r="CD433" s="39">
        <f t="shared" si="451"/>
        <v>0</v>
      </c>
      <c r="CE433" s="102" t="e">
        <f t="shared" si="450"/>
        <v>#DIV/0!</v>
      </c>
      <c r="CF433" s="36" t="s">
        <v>249</v>
      </c>
      <c r="CG433" s="39" t="s">
        <v>222</v>
      </c>
      <c r="CH433" s="39"/>
      <c r="CI433" s="25">
        <v>1</v>
      </c>
    </row>
    <row r="434" spans="1:87" ht="24.75" customHeight="1">
      <c r="A434" s="36" t="s">
        <v>387</v>
      </c>
      <c r="B434" s="27"/>
      <c r="C434" s="36"/>
      <c r="D434" s="36"/>
      <c r="E434" s="39"/>
      <c r="F434" s="39"/>
      <c r="G434" s="36"/>
      <c r="H434" s="39"/>
      <c r="I434" s="39"/>
      <c r="J434" s="39"/>
      <c r="K434" s="39"/>
      <c r="L434" s="39">
        <f t="shared" si="352"/>
        <v>0</v>
      </c>
      <c r="M434" s="39"/>
      <c r="N434" s="39"/>
      <c r="O434" s="39"/>
      <c r="P434" s="39"/>
      <c r="Q434" s="39"/>
      <c r="R434" s="39">
        <f t="shared" si="403"/>
        <v>0</v>
      </c>
      <c r="S434" s="39"/>
      <c r="T434" s="39"/>
      <c r="U434" s="39"/>
      <c r="V434" s="39"/>
      <c r="W434" s="39"/>
      <c r="X434" s="39"/>
      <c r="Y434" s="39"/>
      <c r="Z434" s="39"/>
      <c r="AA434" s="39"/>
      <c r="AB434" s="39">
        <f t="shared" si="404"/>
        <v>0</v>
      </c>
      <c r="AC434" s="39"/>
      <c r="AD434" s="39"/>
      <c r="AE434" s="39"/>
      <c r="AF434" s="39"/>
      <c r="AG434" s="39"/>
      <c r="AH434" s="39">
        <f t="shared" si="3"/>
        <v>0</v>
      </c>
      <c r="AI434" s="39"/>
      <c r="AJ434" s="39"/>
      <c r="AK434" s="39"/>
      <c r="AL434" s="39"/>
      <c r="AM434" s="39"/>
      <c r="AN434" s="39">
        <f t="shared" si="405"/>
        <v>0</v>
      </c>
      <c r="AO434" s="39"/>
      <c r="AP434" s="39"/>
      <c r="AQ434" s="39"/>
      <c r="AR434" s="39"/>
      <c r="AS434" s="39"/>
      <c r="AT434" s="39">
        <f t="shared" si="5"/>
        <v>0</v>
      </c>
      <c r="AU434" s="39"/>
      <c r="AV434" s="39"/>
      <c r="AW434" s="39"/>
      <c r="AX434" s="39"/>
      <c r="AY434" s="39"/>
      <c r="AZ434" s="39">
        <f t="shared" si="6"/>
        <v>0</v>
      </c>
      <c r="BA434" s="39"/>
      <c r="BB434" s="39"/>
      <c r="BC434" s="39"/>
      <c r="BD434" s="39"/>
      <c r="BE434" s="39"/>
      <c r="BF434" s="39">
        <f t="shared" si="7"/>
        <v>0</v>
      </c>
      <c r="BG434" s="39"/>
      <c r="BH434" s="39"/>
      <c r="BI434" s="39"/>
      <c r="BJ434" s="39"/>
      <c r="BK434" s="39"/>
      <c r="BL434" s="39">
        <f t="shared" si="8"/>
        <v>0</v>
      </c>
      <c r="BM434" s="54" t="e">
        <f t="shared" si="9"/>
        <v>#DIV/0!</v>
      </c>
      <c r="BN434" s="42"/>
      <c r="BO434" s="39"/>
      <c r="BP434" s="39"/>
      <c r="BQ434" s="39"/>
      <c r="BR434" s="40"/>
      <c r="BS434" s="40"/>
      <c r="BT434" s="39"/>
      <c r="BU434" s="39"/>
      <c r="BV434" s="39"/>
      <c r="BW434" s="39"/>
      <c r="BX434" s="39"/>
      <c r="BY434" s="39"/>
      <c r="BZ434" s="39">
        <f t="shared" si="10"/>
        <v>0</v>
      </c>
      <c r="CA434" s="39">
        <f t="shared" si="11"/>
        <v>0</v>
      </c>
      <c r="CB434" s="39">
        <f t="shared" si="12"/>
        <v>0</v>
      </c>
      <c r="CC434" s="39">
        <f t="shared" si="13"/>
        <v>0</v>
      </c>
      <c r="CD434" s="39">
        <f t="shared" si="14"/>
        <v>0</v>
      </c>
      <c r="CE434" s="47" t="e">
        <f t="shared" si="15"/>
        <v>#DIV/0!</v>
      </c>
      <c r="CF434" s="36"/>
      <c r="CG434" s="39"/>
      <c r="CH434" s="39"/>
      <c r="CI434" s="25">
        <v>1</v>
      </c>
    </row>
    <row r="435" spans="1:87" ht="24.75" customHeight="1">
      <c r="A435" s="36" t="s">
        <v>387</v>
      </c>
      <c r="B435" s="27"/>
      <c r="C435" s="36"/>
      <c r="D435" s="36"/>
      <c r="E435" s="39"/>
      <c r="F435" s="39"/>
      <c r="G435" s="36"/>
      <c r="H435" s="39"/>
      <c r="I435" s="39"/>
      <c r="J435" s="39"/>
      <c r="K435" s="39"/>
      <c r="L435" s="39">
        <f t="shared" si="352"/>
        <v>0</v>
      </c>
      <c r="M435" s="39"/>
      <c r="N435" s="39"/>
      <c r="O435" s="39"/>
      <c r="P435" s="39"/>
      <c r="Q435" s="39"/>
      <c r="R435" s="39">
        <f t="shared" si="403"/>
        <v>0</v>
      </c>
      <c r="S435" s="39"/>
      <c r="T435" s="39"/>
      <c r="U435" s="39"/>
      <c r="V435" s="39"/>
      <c r="W435" s="39"/>
      <c r="X435" s="39"/>
      <c r="Y435" s="39"/>
      <c r="Z435" s="39"/>
      <c r="AA435" s="39"/>
      <c r="AB435" s="39">
        <f t="shared" si="404"/>
        <v>0</v>
      </c>
      <c r="AC435" s="39"/>
      <c r="AD435" s="39"/>
      <c r="AE435" s="39"/>
      <c r="AF435" s="39"/>
      <c r="AG435" s="39"/>
      <c r="AH435" s="39">
        <f t="shared" ref="AH435:AH503" si="461">AG435-AE435</f>
        <v>0</v>
      </c>
      <c r="AI435" s="39"/>
      <c r="AJ435" s="39"/>
      <c r="AK435" s="39"/>
      <c r="AL435" s="39"/>
      <c r="AM435" s="39"/>
      <c r="AN435" s="39">
        <f t="shared" si="405"/>
        <v>0</v>
      </c>
      <c r="AO435" s="39"/>
      <c r="AP435" s="39"/>
      <c r="AQ435" s="39"/>
      <c r="AR435" s="39"/>
      <c r="AS435" s="39"/>
      <c r="AT435" s="39">
        <f t="shared" ref="AT435:AT625" si="462">AS435-AQ435</f>
        <v>0</v>
      </c>
      <c r="AU435" s="39"/>
      <c r="AV435" s="39"/>
      <c r="AW435" s="39"/>
      <c r="AX435" s="39"/>
      <c r="AY435" s="39"/>
      <c r="AZ435" s="39">
        <f t="shared" ref="AZ435:AZ625" si="463">AY435-AW435</f>
        <v>0</v>
      </c>
      <c r="BA435" s="39"/>
      <c r="BB435" s="39"/>
      <c r="BC435" s="39"/>
      <c r="BD435" s="39"/>
      <c r="BE435" s="39"/>
      <c r="BF435" s="39">
        <f t="shared" ref="BF435:BF625" si="464">BE435-BC435</f>
        <v>0</v>
      </c>
      <c r="BG435" s="39"/>
      <c r="BH435" s="39"/>
      <c r="BI435" s="39"/>
      <c r="BJ435" s="39"/>
      <c r="BK435" s="39"/>
      <c r="BL435" s="39">
        <f t="shared" ref="BL435:BL503" si="465">BK435-BI435</f>
        <v>0</v>
      </c>
      <c r="BM435" s="54" t="e">
        <f t="shared" ref="BM435:BM625" si="466">IF((BZ435/L435)&lt;0.9,$CO$1-U435,"")</f>
        <v>#DIV/0!</v>
      </c>
      <c r="BN435" s="42"/>
      <c r="BO435" s="39"/>
      <c r="BP435" s="39"/>
      <c r="BQ435" s="39"/>
      <c r="BR435" s="40"/>
      <c r="BS435" s="40"/>
      <c r="BT435" s="39"/>
      <c r="BU435" s="39"/>
      <c r="BV435" s="39"/>
      <c r="BW435" s="39"/>
      <c r="BX435" s="39"/>
      <c r="BY435" s="39"/>
      <c r="BZ435" s="39">
        <f t="shared" ref="BZ435:BZ504" si="467">BU435+BW435+BY435</f>
        <v>0</v>
      </c>
      <c r="CA435" s="39">
        <f t="shared" ref="CA435:CA625" si="468">BU435-I435</f>
        <v>0</v>
      </c>
      <c r="CB435" s="39">
        <f t="shared" ref="CB435:CB625" si="469">BW435-J435</f>
        <v>0</v>
      </c>
      <c r="CC435" s="39">
        <f t="shared" ref="CC435:CC625" si="470">BY435-K435</f>
        <v>0</v>
      </c>
      <c r="CD435" s="39">
        <f t="shared" ref="CD435:CD625" si="471">SUMIF(CA435:CC435,"&lt;0")</f>
        <v>0</v>
      </c>
      <c r="CE435" s="47" t="e">
        <f t="shared" ref="CE435:CE625" si="472">CD435/L435</f>
        <v>#DIV/0!</v>
      </c>
      <c r="CF435" s="36"/>
      <c r="CG435" s="39"/>
      <c r="CH435" s="39"/>
      <c r="CI435" s="25">
        <v>1</v>
      </c>
    </row>
    <row r="436" spans="1:87" ht="24.75" customHeight="1">
      <c r="A436" s="36" t="s">
        <v>387</v>
      </c>
      <c r="B436" s="27"/>
      <c r="C436" s="36"/>
      <c r="D436" s="36"/>
      <c r="E436" s="39"/>
      <c r="F436" s="39"/>
      <c r="G436" s="36"/>
      <c r="H436" s="39"/>
      <c r="I436" s="39"/>
      <c r="J436" s="39"/>
      <c r="K436" s="39"/>
      <c r="L436" s="39">
        <f t="shared" si="352"/>
        <v>0</v>
      </c>
      <c r="M436" s="39"/>
      <c r="N436" s="39"/>
      <c r="O436" s="39"/>
      <c r="P436" s="39"/>
      <c r="Q436" s="39"/>
      <c r="R436" s="39">
        <f t="shared" si="403"/>
        <v>0</v>
      </c>
      <c r="S436" s="39"/>
      <c r="T436" s="39"/>
      <c r="U436" s="39"/>
      <c r="V436" s="39"/>
      <c r="W436" s="39"/>
      <c r="X436" s="39"/>
      <c r="Y436" s="39"/>
      <c r="Z436" s="39"/>
      <c r="AA436" s="39"/>
      <c r="AB436" s="39">
        <f t="shared" si="404"/>
        <v>0</v>
      </c>
      <c r="AC436" s="39"/>
      <c r="AD436" s="39"/>
      <c r="AE436" s="39"/>
      <c r="AF436" s="39"/>
      <c r="AG436" s="39"/>
      <c r="AH436" s="39">
        <f t="shared" si="461"/>
        <v>0</v>
      </c>
      <c r="AI436" s="39"/>
      <c r="AJ436" s="39"/>
      <c r="AK436" s="39"/>
      <c r="AL436" s="39"/>
      <c r="AM436" s="39"/>
      <c r="AN436" s="39">
        <f t="shared" si="405"/>
        <v>0</v>
      </c>
      <c r="AO436" s="39"/>
      <c r="AP436" s="39"/>
      <c r="AQ436" s="39"/>
      <c r="AR436" s="39"/>
      <c r="AS436" s="39"/>
      <c r="AT436" s="39">
        <f t="shared" si="462"/>
        <v>0</v>
      </c>
      <c r="AU436" s="39"/>
      <c r="AV436" s="39"/>
      <c r="AW436" s="39"/>
      <c r="AX436" s="39"/>
      <c r="AY436" s="39"/>
      <c r="AZ436" s="39">
        <f t="shared" si="463"/>
        <v>0</v>
      </c>
      <c r="BA436" s="39"/>
      <c r="BB436" s="39"/>
      <c r="BC436" s="39"/>
      <c r="BD436" s="39"/>
      <c r="BE436" s="39"/>
      <c r="BF436" s="39">
        <f t="shared" si="464"/>
        <v>0</v>
      </c>
      <c r="BG436" s="39"/>
      <c r="BH436" s="39"/>
      <c r="BI436" s="39"/>
      <c r="BJ436" s="39"/>
      <c r="BK436" s="39"/>
      <c r="BL436" s="39">
        <f t="shared" si="465"/>
        <v>0</v>
      </c>
      <c r="BM436" s="54" t="e">
        <f t="shared" si="466"/>
        <v>#DIV/0!</v>
      </c>
      <c r="BN436" s="42"/>
      <c r="BO436" s="39"/>
      <c r="BP436" s="39"/>
      <c r="BQ436" s="39"/>
      <c r="BR436" s="40"/>
      <c r="BS436" s="40"/>
      <c r="BT436" s="39"/>
      <c r="BU436" s="39"/>
      <c r="BV436" s="39"/>
      <c r="BW436" s="39"/>
      <c r="BX436" s="39"/>
      <c r="BY436" s="39"/>
      <c r="BZ436" s="39">
        <f t="shared" si="467"/>
        <v>0</v>
      </c>
      <c r="CA436" s="39">
        <f t="shared" si="468"/>
        <v>0</v>
      </c>
      <c r="CB436" s="39">
        <f t="shared" si="469"/>
        <v>0</v>
      </c>
      <c r="CC436" s="39">
        <f t="shared" si="470"/>
        <v>0</v>
      </c>
      <c r="CD436" s="39">
        <f t="shared" si="471"/>
        <v>0</v>
      </c>
      <c r="CE436" s="47" t="e">
        <f t="shared" si="472"/>
        <v>#DIV/0!</v>
      </c>
      <c r="CF436" s="36"/>
      <c r="CG436" s="39"/>
      <c r="CH436" s="39"/>
      <c r="CI436" s="25">
        <v>1</v>
      </c>
    </row>
    <row r="437" spans="1:87" ht="24.75" customHeight="1">
      <c r="A437" s="36" t="s">
        <v>387</v>
      </c>
      <c r="B437" s="27"/>
      <c r="C437" s="36"/>
      <c r="D437" s="36"/>
      <c r="E437" s="39"/>
      <c r="F437" s="39"/>
      <c r="G437" s="36"/>
      <c r="H437" s="39"/>
      <c r="I437" s="39"/>
      <c r="J437" s="39"/>
      <c r="K437" s="39"/>
      <c r="L437" s="39">
        <f t="shared" si="352"/>
        <v>0</v>
      </c>
      <c r="M437" s="39"/>
      <c r="N437" s="39"/>
      <c r="O437" s="39"/>
      <c r="P437" s="39"/>
      <c r="Q437" s="39"/>
      <c r="R437" s="39">
        <f t="shared" si="403"/>
        <v>0</v>
      </c>
      <c r="S437" s="39"/>
      <c r="T437" s="39"/>
      <c r="U437" s="39"/>
      <c r="V437" s="39"/>
      <c r="W437" s="39"/>
      <c r="X437" s="39"/>
      <c r="Y437" s="39"/>
      <c r="Z437" s="39"/>
      <c r="AA437" s="39"/>
      <c r="AB437" s="39">
        <f t="shared" si="404"/>
        <v>0</v>
      </c>
      <c r="AC437" s="39"/>
      <c r="AD437" s="39"/>
      <c r="AE437" s="39"/>
      <c r="AF437" s="39"/>
      <c r="AG437" s="39"/>
      <c r="AH437" s="39">
        <f t="shared" si="461"/>
        <v>0</v>
      </c>
      <c r="AI437" s="39"/>
      <c r="AJ437" s="39"/>
      <c r="AK437" s="39"/>
      <c r="AL437" s="39"/>
      <c r="AM437" s="39"/>
      <c r="AN437" s="39">
        <f t="shared" si="405"/>
        <v>0</v>
      </c>
      <c r="AO437" s="39"/>
      <c r="AP437" s="39"/>
      <c r="AQ437" s="39"/>
      <c r="AR437" s="39"/>
      <c r="AS437" s="39"/>
      <c r="AT437" s="39">
        <f t="shared" si="462"/>
        <v>0</v>
      </c>
      <c r="AU437" s="39"/>
      <c r="AV437" s="39"/>
      <c r="AW437" s="39"/>
      <c r="AX437" s="39"/>
      <c r="AY437" s="39"/>
      <c r="AZ437" s="39">
        <f t="shared" si="463"/>
        <v>0</v>
      </c>
      <c r="BA437" s="39"/>
      <c r="BB437" s="39"/>
      <c r="BC437" s="39"/>
      <c r="BD437" s="39"/>
      <c r="BE437" s="39"/>
      <c r="BF437" s="39">
        <f t="shared" si="464"/>
        <v>0</v>
      </c>
      <c r="BG437" s="39"/>
      <c r="BH437" s="39"/>
      <c r="BI437" s="39"/>
      <c r="BJ437" s="39"/>
      <c r="BK437" s="39"/>
      <c r="BL437" s="39">
        <f t="shared" si="465"/>
        <v>0</v>
      </c>
      <c r="BM437" s="54" t="e">
        <f t="shared" si="466"/>
        <v>#DIV/0!</v>
      </c>
      <c r="BN437" s="42"/>
      <c r="BO437" s="39"/>
      <c r="BP437" s="39"/>
      <c r="BQ437" s="39"/>
      <c r="BR437" s="40"/>
      <c r="BS437" s="40"/>
      <c r="BT437" s="39"/>
      <c r="BU437" s="39"/>
      <c r="BV437" s="39"/>
      <c r="BW437" s="39"/>
      <c r="BX437" s="39"/>
      <c r="BY437" s="39"/>
      <c r="BZ437" s="39">
        <f t="shared" si="467"/>
        <v>0</v>
      </c>
      <c r="CA437" s="39">
        <f t="shared" si="468"/>
        <v>0</v>
      </c>
      <c r="CB437" s="39">
        <f t="shared" si="469"/>
        <v>0</v>
      </c>
      <c r="CC437" s="39">
        <f t="shared" si="470"/>
        <v>0</v>
      </c>
      <c r="CD437" s="39">
        <f t="shared" si="471"/>
        <v>0</v>
      </c>
      <c r="CE437" s="47" t="e">
        <f t="shared" si="472"/>
        <v>#DIV/0!</v>
      </c>
      <c r="CF437" s="36"/>
      <c r="CG437" s="39"/>
      <c r="CH437" s="39"/>
      <c r="CI437" s="25">
        <v>1</v>
      </c>
    </row>
    <row r="438" spans="1:87" ht="24.75" customHeight="1">
      <c r="A438" s="36" t="s">
        <v>387</v>
      </c>
      <c r="B438" s="27"/>
      <c r="C438" s="36"/>
      <c r="D438" s="36"/>
      <c r="E438" s="39"/>
      <c r="F438" s="39"/>
      <c r="G438" s="36"/>
      <c r="H438" s="39"/>
      <c r="I438" s="39"/>
      <c r="J438" s="39"/>
      <c r="K438" s="39"/>
      <c r="L438" s="39">
        <f t="shared" si="352"/>
        <v>0</v>
      </c>
      <c r="M438" s="39"/>
      <c r="N438" s="39"/>
      <c r="O438" s="39"/>
      <c r="P438" s="39"/>
      <c r="Q438" s="39"/>
      <c r="R438" s="39">
        <f t="shared" si="403"/>
        <v>0</v>
      </c>
      <c r="S438" s="39"/>
      <c r="T438" s="39"/>
      <c r="U438" s="39"/>
      <c r="V438" s="39"/>
      <c r="W438" s="39"/>
      <c r="X438" s="39"/>
      <c r="Y438" s="39"/>
      <c r="Z438" s="39"/>
      <c r="AA438" s="39"/>
      <c r="AB438" s="39">
        <f t="shared" si="404"/>
        <v>0</v>
      </c>
      <c r="AC438" s="39"/>
      <c r="AD438" s="39"/>
      <c r="AE438" s="39"/>
      <c r="AF438" s="39"/>
      <c r="AG438" s="39"/>
      <c r="AH438" s="39">
        <f t="shared" si="461"/>
        <v>0</v>
      </c>
      <c r="AI438" s="39"/>
      <c r="AJ438" s="39"/>
      <c r="AK438" s="39"/>
      <c r="AL438" s="39"/>
      <c r="AM438" s="39"/>
      <c r="AN438" s="39">
        <f t="shared" si="405"/>
        <v>0</v>
      </c>
      <c r="AO438" s="39"/>
      <c r="AP438" s="39"/>
      <c r="AQ438" s="39"/>
      <c r="AR438" s="39"/>
      <c r="AS438" s="39"/>
      <c r="AT438" s="39">
        <f t="shared" si="462"/>
        <v>0</v>
      </c>
      <c r="AU438" s="39"/>
      <c r="AV438" s="39"/>
      <c r="AW438" s="39"/>
      <c r="AX438" s="39"/>
      <c r="AY438" s="39"/>
      <c r="AZ438" s="39">
        <f t="shared" si="463"/>
        <v>0</v>
      </c>
      <c r="BA438" s="39"/>
      <c r="BB438" s="39"/>
      <c r="BC438" s="39"/>
      <c r="BD438" s="39"/>
      <c r="BE438" s="39"/>
      <c r="BF438" s="39">
        <f t="shared" si="464"/>
        <v>0</v>
      </c>
      <c r="BG438" s="39"/>
      <c r="BH438" s="39"/>
      <c r="BI438" s="39"/>
      <c r="BJ438" s="39"/>
      <c r="BK438" s="39"/>
      <c r="BL438" s="39">
        <f t="shared" si="465"/>
        <v>0</v>
      </c>
      <c r="BM438" s="54" t="e">
        <f t="shared" si="466"/>
        <v>#DIV/0!</v>
      </c>
      <c r="BN438" s="42"/>
      <c r="BO438" s="39"/>
      <c r="BP438" s="39"/>
      <c r="BQ438" s="39"/>
      <c r="BR438" s="40"/>
      <c r="BS438" s="40"/>
      <c r="BT438" s="39"/>
      <c r="BU438" s="39"/>
      <c r="BV438" s="39"/>
      <c r="BW438" s="39"/>
      <c r="BX438" s="39"/>
      <c r="BY438" s="39"/>
      <c r="BZ438" s="39">
        <f t="shared" si="467"/>
        <v>0</v>
      </c>
      <c r="CA438" s="39">
        <f t="shared" si="468"/>
        <v>0</v>
      </c>
      <c r="CB438" s="39">
        <f t="shared" si="469"/>
        <v>0</v>
      </c>
      <c r="CC438" s="39">
        <f t="shared" si="470"/>
        <v>0</v>
      </c>
      <c r="CD438" s="39">
        <f t="shared" si="471"/>
        <v>0</v>
      </c>
      <c r="CE438" s="47" t="e">
        <f t="shared" si="472"/>
        <v>#DIV/0!</v>
      </c>
      <c r="CF438" s="36"/>
      <c r="CG438" s="39"/>
      <c r="CH438" s="39"/>
      <c r="CI438" s="25">
        <v>1</v>
      </c>
    </row>
    <row r="439" spans="1:87" ht="24.75" customHeight="1">
      <c r="A439" s="36" t="s">
        <v>387</v>
      </c>
      <c r="B439" s="27"/>
      <c r="C439" s="36"/>
      <c r="D439" s="36"/>
      <c r="E439" s="39"/>
      <c r="F439" s="39"/>
      <c r="G439" s="36"/>
      <c r="H439" s="39"/>
      <c r="I439" s="39"/>
      <c r="J439" s="39"/>
      <c r="K439" s="39"/>
      <c r="L439" s="39">
        <f t="shared" si="352"/>
        <v>0</v>
      </c>
      <c r="M439" s="39"/>
      <c r="N439" s="39"/>
      <c r="O439" s="39"/>
      <c r="P439" s="39"/>
      <c r="Q439" s="39"/>
      <c r="R439" s="39">
        <f t="shared" si="403"/>
        <v>0</v>
      </c>
      <c r="S439" s="39"/>
      <c r="T439" s="39"/>
      <c r="U439" s="39"/>
      <c r="V439" s="39"/>
      <c r="W439" s="39"/>
      <c r="X439" s="39"/>
      <c r="Y439" s="39"/>
      <c r="Z439" s="39"/>
      <c r="AA439" s="39"/>
      <c r="AB439" s="39">
        <f t="shared" si="404"/>
        <v>0</v>
      </c>
      <c r="AC439" s="39"/>
      <c r="AD439" s="39"/>
      <c r="AE439" s="39"/>
      <c r="AF439" s="39"/>
      <c r="AG439" s="39"/>
      <c r="AH439" s="39">
        <f t="shared" si="461"/>
        <v>0</v>
      </c>
      <c r="AI439" s="39"/>
      <c r="AJ439" s="39"/>
      <c r="AK439" s="39"/>
      <c r="AL439" s="39"/>
      <c r="AM439" s="39"/>
      <c r="AN439" s="39">
        <f t="shared" si="405"/>
        <v>0</v>
      </c>
      <c r="AO439" s="39"/>
      <c r="AP439" s="39"/>
      <c r="AQ439" s="39"/>
      <c r="AR439" s="39"/>
      <c r="AS439" s="39"/>
      <c r="AT439" s="39">
        <f t="shared" si="462"/>
        <v>0</v>
      </c>
      <c r="AU439" s="39"/>
      <c r="AV439" s="39"/>
      <c r="AW439" s="39"/>
      <c r="AX439" s="39"/>
      <c r="AY439" s="39"/>
      <c r="AZ439" s="39">
        <f t="shared" si="463"/>
        <v>0</v>
      </c>
      <c r="BA439" s="39"/>
      <c r="BB439" s="39"/>
      <c r="BC439" s="39"/>
      <c r="BD439" s="39"/>
      <c r="BE439" s="39"/>
      <c r="BF439" s="39">
        <f t="shared" si="464"/>
        <v>0</v>
      </c>
      <c r="BG439" s="39"/>
      <c r="BH439" s="39"/>
      <c r="BI439" s="39"/>
      <c r="BJ439" s="39"/>
      <c r="BK439" s="39"/>
      <c r="BL439" s="39">
        <f t="shared" si="465"/>
        <v>0</v>
      </c>
      <c r="BM439" s="54" t="e">
        <f t="shared" si="466"/>
        <v>#DIV/0!</v>
      </c>
      <c r="BN439" s="42"/>
      <c r="BO439" s="39"/>
      <c r="BP439" s="39"/>
      <c r="BQ439" s="39"/>
      <c r="BR439" s="40"/>
      <c r="BS439" s="40"/>
      <c r="BT439" s="39"/>
      <c r="BU439" s="39"/>
      <c r="BV439" s="39"/>
      <c r="BW439" s="39"/>
      <c r="BX439" s="39"/>
      <c r="BY439" s="39"/>
      <c r="BZ439" s="39">
        <f t="shared" si="467"/>
        <v>0</v>
      </c>
      <c r="CA439" s="39">
        <f t="shared" si="468"/>
        <v>0</v>
      </c>
      <c r="CB439" s="39">
        <f t="shared" si="469"/>
        <v>0</v>
      </c>
      <c r="CC439" s="39">
        <f t="shared" si="470"/>
        <v>0</v>
      </c>
      <c r="CD439" s="39">
        <f t="shared" si="471"/>
        <v>0</v>
      </c>
      <c r="CE439" s="47" t="e">
        <f t="shared" si="472"/>
        <v>#DIV/0!</v>
      </c>
      <c r="CF439" s="36"/>
      <c r="CG439" s="39"/>
      <c r="CH439" s="39"/>
      <c r="CI439" s="25">
        <v>1</v>
      </c>
    </row>
    <row r="440" spans="1:87" ht="24.75" customHeight="1">
      <c r="A440" s="36" t="s">
        <v>387</v>
      </c>
      <c r="B440" s="27"/>
      <c r="C440" s="36"/>
      <c r="D440" s="36"/>
      <c r="E440" s="39"/>
      <c r="F440" s="39"/>
      <c r="G440" s="36"/>
      <c r="H440" s="39"/>
      <c r="I440" s="39"/>
      <c r="J440" s="39"/>
      <c r="K440" s="39"/>
      <c r="L440" s="39">
        <f t="shared" si="352"/>
        <v>0</v>
      </c>
      <c r="M440" s="39"/>
      <c r="N440" s="39"/>
      <c r="O440" s="39"/>
      <c r="P440" s="39"/>
      <c r="Q440" s="39"/>
      <c r="R440" s="39">
        <f t="shared" si="403"/>
        <v>0</v>
      </c>
      <c r="S440" s="39"/>
      <c r="T440" s="39"/>
      <c r="U440" s="39"/>
      <c r="V440" s="39"/>
      <c r="W440" s="39"/>
      <c r="X440" s="39"/>
      <c r="Y440" s="39"/>
      <c r="Z440" s="39"/>
      <c r="AA440" s="39"/>
      <c r="AB440" s="39">
        <f t="shared" si="404"/>
        <v>0</v>
      </c>
      <c r="AC440" s="39"/>
      <c r="AD440" s="39"/>
      <c r="AE440" s="39"/>
      <c r="AF440" s="39"/>
      <c r="AG440" s="39"/>
      <c r="AH440" s="39">
        <f t="shared" si="461"/>
        <v>0</v>
      </c>
      <c r="AI440" s="39"/>
      <c r="AJ440" s="39"/>
      <c r="AK440" s="39"/>
      <c r="AL440" s="39"/>
      <c r="AM440" s="39"/>
      <c r="AN440" s="39">
        <f t="shared" si="405"/>
        <v>0</v>
      </c>
      <c r="AO440" s="39"/>
      <c r="AP440" s="39"/>
      <c r="AQ440" s="39"/>
      <c r="AR440" s="39"/>
      <c r="AS440" s="39"/>
      <c r="AT440" s="39">
        <f t="shared" si="462"/>
        <v>0</v>
      </c>
      <c r="AU440" s="39"/>
      <c r="AV440" s="39"/>
      <c r="AW440" s="39"/>
      <c r="AX440" s="39"/>
      <c r="AY440" s="39"/>
      <c r="AZ440" s="39">
        <f t="shared" si="463"/>
        <v>0</v>
      </c>
      <c r="BA440" s="39"/>
      <c r="BB440" s="39"/>
      <c r="BC440" s="39"/>
      <c r="BD440" s="39"/>
      <c r="BE440" s="39"/>
      <c r="BF440" s="39">
        <f t="shared" si="464"/>
        <v>0</v>
      </c>
      <c r="BG440" s="39"/>
      <c r="BH440" s="39"/>
      <c r="BI440" s="39"/>
      <c r="BJ440" s="39"/>
      <c r="BK440" s="39"/>
      <c r="BL440" s="39">
        <f t="shared" si="465"/>
        <v>0</v>
      </c>
      <c r="BM440" s="54" t="e">
        <f t="shared" si="466"/>
        <v>#DIV/0!</v>
      </c>
      <c r="BN440" s="42"/>
      <c r="BO440" s="39"/>
      <c r="BP440" s="39"/>
      <c r="BQ440" s="39"/>
      <c r="BR440" s="40"/>
      <c r="BS440" s="40"/>
      <c r="BT440" s="39"/>
      <c r="BU440" s="39"/>
      <c r="BV440" s="39"/>
      <c r="BW440" s="39"/>
      <c r="BX440" s="39"/>
      <c r="BY440" s="39"/>
      <c r="BZ440" s="39">
        <f t="shared" si="467"/>
        <v>0</v>
      </c>
      <c r="CA440" s="39">
        <f t="shared" si="468"/>
        <v>0</v>
      </c>
      <c r="CB440" s="39">
        <f t="shared" si="469"/>
        <v>0</v>
      </c>
      <c r="CC440" s="39">
        <f t="shared" si="470"/>
        <v>0</v>
      </c>
      <c r="CD440" s="39">
        <f t="shared" si="471"/>
        <v>0</v>
      </c>
      <c r="CE440" s="47" t="e">
        <f t="shared" si="472"/>
        <v>#DIV/0!</v>
      </c>
      <c r="CF440" s="36"/>
      <c r="CG440" s="39"/>
      <c r="CH440" s="39"/>
      <c r="CI440" s="25">
        <v>1</v>
      </c>
    </row>
    <row r="441" spans="1:87" ht="24.75" customHeight="1">
      <c r="A441" s="36" t="s">
        <v>387</v>
      </c>
      <c r="B441" s="27"/>
      <c r="C441" s="36"/>
      <c r="D441" s="36"/>
      <c r="E441" s="39"/>
      <c r="F441" s="39"/>
      <c r="G441" s="36"/>
      <c r="H441" s="39"/>
      <c r="I441" s="39"/>
      <c r="J441" s="39"/>
      <c r="K441" s="39"/>
      <c r="L441" s="39">
        <f t="shared" si="352"/>
        <v>0</v>
      </c>
      <c r="M441" s="39"/>
      <c r="N441" s="39"/>
      <c r="O441" s="39"/>
      <c r="P441" s="39"/>
      <c r="Q441" s="39"/>
      <c r="R441" s="39">
        <f t="shared" si="403"/>
        <v>0</v>
      </c>
      <c r="S441" s="39"/>
      <c r="T441" s="39"/>
      <c r="U441" s="39"/>
      <c r="V441" s="39"/>
      <c r="W441" s="39"/>
      <c r="X441" s="39"/>
      <c r="Y441" s="39"/>
      <c r="Z441" s="39"/>
      <c r="AA441" s="39"/>
      <c r="AB441" s="39">
        <f t="shared" si="404"/>
        <v>0</v>
      </c>
      <c r="AC441" s="39"/>
      <c r="AD441" s="39"/>
      <c r="AE441" s="39"/>
      <c r="AF441" s="39"/>
      <c r="AG441" s="39"/>
      <c r="AH441" s="39">
        <f t="shared" si="461"/>
        <v>0</v>
      </c>
      <c r="AI441" s="39"/>
      <c r="AJ441" s="39"/>
      <c r="AK441" s="39"/>
      <c r="AL441" s="39"/>
      <c r="AM441" s="39"/>
      <c r="AN441" s="39">
        <f t="shared" si="405"/>
        <v>0</v>
      </c>
      <c r="AO441" s="39"/>
      <c r="AP441" s="39"/>
      <c r="AQ441" s="39"/>
      <c r="AR441" s="39"/>
      <c r="AS441" s="39"/>
      <c r="AT441" s="39">
        <f t="shared" si="462"/>
        <v>0</v>
      </c>
      <c r="AU441" s="39"/>
      <c r="AV441" s="39"/>
      <c r="AW441" s="39"/>
      <c r="AX441" s="39"/>
      <c r="AY441" s="39"/>
      <c r="AZ441" s="39">
        <f t="shared" si="463"/>
        <v>0</v>
      </c>
      <c r="BA441" s="39"/>
      <c r="BB441" s="39"/>
      <c r="BC441" s="39"/>
      <c r="BD441" s="39"/>
      <c r="BE441" s="39"/>
      <c r="BF441" s="39">
        <f t="shared" si="464"/>
        <v>0</v>
      </c>
      <c r="BG441" s="39"/>
      <c r="BH441" s="39"/>
      <c r="BI441" s="39"/>
      <c r="BJ441" s="39"/>
      <c r="BK441" s="39"/>
      <c r="BL441" s="39">
        <f t="shared" si="465"/>
        <v>0</v>
      </c>
      <c r="BM441" s="54" t="e">
        <f t="shared" si="466"/>
        <v>#DIV/0!</v>
      </c>
      <c r="BN441" s="42"/>
      <c r="BO441" s="39"/>
      <c r="BP441" s="39"/>
      <c r="BQ441" s="39"/>
      <c r="BR441" s="40"/>
      <c r="BS441" s="40"/>
      <c r="BT441" s="39"/>
      <c r="BU441" s="39"/>
      <c r="BV441" s="39"/>
      <c r="BW441" s="39"/>
      <c r="BX441" s="39"/>
      <c r="BY441" s="39"/>
      <c r="BZ441" s="39">
        <f t="shared" si="467"/>
        <v>0</v>
      </c>
      <c r="CA441" s="39">
        <f t="shared" si="468"/>
        <v>0</v>
      </c>
      <c r="CB441" s="39">
        <f t="shared" si="469"/>
        <v>0</v>
      </c>
      <c r="CC441" s="39">
        <f t="shared" si="470"/>
        <v>0</v>
      </c>
      <c r="CD441" s="39">
        <f t="shared" si="471"/>
        <v>0</v>
      </c>
      <c r="CE441" s="47" t="e">
        <f t="shared" si="472"/>
        <v>#DIV/0!</v>
      </c>
      <c r="CF441" s="36"/>
      <c r="CG441" s="39"/>
      <c r="CH441" s="39"/>
      <c r="CI441" s="25">
        <v>1</v>
      </c>
    </row>
    <row r="442" spans="1:87" ht="24.75" customHeight="1">
      <c r="A442" s="36" t="s">
        <v>387</v>
      </c>
      <c r="B442" s="27"/>
      <c r="C442" s="41"/>
      <c r="D442" s="36"/>
      <c r="E442" s="39"/>
      <c r="F442" s="39"/>
      <c r="G442" s="36"/>
      <c r="H442" s="39"/>
      <c r="I442" s="39"/>
      <c r="J442" s="39"/>
      <c r="K442" s="39"/>
      <c r="L442" s="39">
        <f t="shared" si="352"/>
        <v>0</v>
      </c>
      <c r="M442" s="39"/>
      <c r="N442" s="39"/>
      <c r="O442" s="39"/>
      <c r="P442" s="39"/>
      <c r="Q442" s="39"/>
      <c r="R442" s="39">
        <f t="shared" si="403"/>
        <v>0</v>
      </c>
      <c r="S442" s="39"/>
      <c r="T442" s="39"/>
      <c r="U442" s="39"/>
      <c r="V442" s="39"/>
      <c r="W442" s="39"/>
      <c r="X442" s="39"/>
      <c r="Y442" s="39"/>
      <c r="Z442" s="39"/>
      <c r="AA442" s="39"/>
      <c r="AB442" s="39">
        <f t="shared" si="404"/>
        <v>0</v>
      </c>
      <c r="AC442" s="39"/>
      <c r="AD442" s="39"/>
      <c r="AE442" s="39"/>
      <c r="AF442" s="39"/>
      <c r="AG442" s="39"/>
      <c r="AH442" s="39">
        <f t="shared" si="461"/>
        <v>0</v>
      </c>
      <c r="AI442" s="39"/>
      <c r="AJ442" s="39"/>
      <c r="AK442" s="39"/>
      <c r="AL442" s="39"/>
      <c r="AM442" s="39"/>
      <c r="AN442" s="39">
        <f t="shared" si="405"/>
        <v>0</v>
      </c>
      <c r="AO442" s="39"/>
      <c r="AP442" s="39"/>
      <c r="AQ442" s="39"/>
      <c r="AR442" s="39"/>
      <c r="AS442" s="39"/>
      <c r="AT442" s="39">
        <f t="shared" si="462"/>
        <v>0</v>
      </c>
      <c r="AU442" s="39"/>
      <c r="AV442" s="39"/>
      <c r="AW442" s="39"/>
      <c r="AX442" s="39"/>
      <c r="AY442" s="39"/>
      <c r="AZ442" s="39">
        <f t="shared" si="463"/>
        <v>0</v>
      </c>
      <c r="BA442" s="39"/>
      <c r="BB442" s="39"/>
      <c r="BC442" s="39"/>
      <c r="BD442" s="39"/>
      <c r="BE442" s="39"/>
      <c r="BF442" s="39">
        <f t="shared" si="464"/>
        <v>0</v>
      </c>
      <c r="BG442" s="39"/>
      <c r="BH442" s="39"/>
      <c r="BI442" s="39"/>
      <c r="BJ442" s="39"/>
      <c r="BK442" s="39"/>
      <c r="BL442" s="39">
        <f t="shared" si="465"/>
        <v>0</v>
      </c>
      <c r="BM442" s="54" t="e">
        <f t="shared" si="466"/>
        <v>#DIV/0!</v>
      </c>
      <c r="BN442" s="64"/>
      <c r="BO442" s="36"/>
      <c r="BP442" s="36"/>
      <c r="BQ442" s="36"/>
      <c r="BR442" s="40"/>
      <c r="BS442" s="40"/>
      <c r="BT442" s="39"/>
      <c r="BU442" s="39"/>
      <c r="BV442" s="39"/>
      <c r="BW442" s="39"/>
      <c r="BX442" s="39"/>
      <c r="BY442" s="39"/>
      <c r="BZ442" s="39">
        <f t="shared" si="467"/>
        <v>0</v>
      </c>
      <c r="CA442" s="39">
        <f t="shared" si="468"/>
        <v>0</v>
      </c>
      <c r="CB442" s="39">
        <f t="shared" si="469"/>
        <v>0</v>
      </c>
      <c r="CC442" s="39">
        <f t="shared" si="470"/>
        <v>0</v>
      </c>
      <c r="CD442" s="39">
        <f t="shared" si="471"/>
        <v>0</v>
      </c>
      <c r="CE442" s="47" t="e">
        <f t="shared" si="472"/>
        <v>#DIV/0!</v>
      </c>
      <c r="CF442" s="36"/>
      <c r="CG442" s="39"/>
      <c r="CH442" s="39"/>
      <c r="CI442" s="25">
        <v>1</v>
      </c>
    </row>
    <row r="443" spans="1:87" ht="24.75" customHeight="1">
      <c r="A443" s="36" t="s">
        <v>387</v>
      </c>
      <c r="B443" s="27"/>
      <c r="C443" s="41"/>
      <c r="D443" s="36"/>
      <c r="E443" s="39"/>
      <c r="F443" s="39"/>
      <c r="G443" s="36"/>
      <c r="H443" s="39"/>
      <c r="I443" s="39"/>
      <c r="J443" s="39"/>
      <c r="K443" s="39"/>
      <c r="L443" s="39">
        <f t="shared" si="352"/>
        <v>0</v>
      </c>
      <c r="M443" s="39"/>
      <c r="N443" s="39"/>
      <c r="O443" s="39"/>
      <c r="P443" s="39"/>
      <c r="Q443" s="39"/>
      <c r="R443" s="39">
        <f t="shared" si="403"/>
        <v>0</v>
      </c>
      <c r="S443" s="39"/>
      <c r="T443" s="39"/>
      <c r="U443" s="39"/>
      <c r="V443" s="39"/>
      <c r="W443" s="39"/>
      <c r="X443" s="39"/>
      <c r="Y443" s="39"/>
      <c r="Z443" s="39"/>
      <c r="AA443" s="39"/>
      <c r="AB443" s="39">
        <f t="shared" si="404"/>
        <v>0</v>
      </c>
      <c r="AC443" s="39"/>
      <c r="AD443" s="39"/>
      <c r="AE443" s="39"/>
      <c r="AF443" s="39"/>
      <c r="AG443" s="39"/>
      <c r="AH443" s="39">
        <f t="shared" si="461"/>
        <v>0</v>
      </c>
      <c r="AI443" s="39"/>
      <c r="AJ443" s="39"/>
      <c r="AK443" s="39"/>
      <c r="AL443" s="39"/>
      <c r="AM443" s="39"/>
      <c r="AN443" s="39">
        <f t="shared" si="405"/>
        <v>0</v>
      </c>
      <c r="AO443" s="39"/>
      <c r="AP443" s="39"/>
      <c r="AQ443" s="39"/>
      <c r="AR443" s="39"/>
      <c r="AS443" s="39"/>
      <c r="AT443" s="39">
        <f t="shared" si="462"/>
        <v>0</v>
      </c>
      <c r="AU443" s="39"/>
      <c r="AV443" s="39"/>
      <c r="AW443" s="39"/>
      <c r="AX443" s="39"/>
      <c r="AY443" s="39"/>
      <c r="AZ443" s="39">
        <f t="shared" si="463"/>
        <v>0</v>
      </c>
      <c r="BA443" s="39"/>
      <c r="BB443" s="39"/>
      <c r="BC443" s="39"/>
      <c r="BD443" s="39"/>
      <c r="BE443" s="39"/>
      <c r="BF443" s="39">
        <f t="shared" si="464"/>
        <v>0</v>
      </c>
      <c r="BG443" s="39"/>
      <c r="BH443" s="39"/>
      <c r="BI443" s="39"/>
      <c r="BJ443" s="39"/>
      <c r="BK443" s="39"/>
      <c r="BL443" s="39">
        <f t="shared" si="465"/>
        <v>0</v>
      </c>
      <c r="BM443" s="54" t="e">
        <f t="shared" si="466"/>
        <v>#DIV/0!</v>
      </c>
      <c r="BN443" s="64"/>
      <c r="BO443" s="36"/>
      <c r="BP443" s="36"/>
      <c r="BQ443" s="36"/>
      <c r="BR443" s="40"/>
      <c r="BS443" s="40"/>
      <c r="BT443" s="39"/>
      <c r="BU443" s="39"/>
      <c r="BV443" s="39"/>
      <c r="BW443" s="39"/>
      <c r="BX443" s="39"/>
      <c r="BY443" s="39"/>
      <c r="BZ443" s="39">
        <f t="shared" si="467"/>
        <v>0</v>
      </c>
      <c r="CA443" s="39">
        <f t="shared" si="468"/>
        <v>0</v>
      </c>
      <c r="CB443" s="39">
        <f t="shared" si="469"/>
        <v>0</v>
      </c>
      <c r="CC443" s="39">
        <f t="shared" si="470"/>
        <v>0</v>
      </c>
      <c r="CD443" s="39">
        <f t="shared" si="471"/>
        <v>0</v>
      </c>
      <c r="CE443" s="47" t="e">
        <f t="shared" si="472"/>
        <v>#DIV/0!</v>
      </c>
      <c r="CF443" s="36"/>
      <c r="CG443" s="39"/>
      <c r="CH443" s="39"/>
      <c r="CI443" s="25">
        <v>1</v>
      </c>
    </row>
    <row r="444" spans="1:87" ht="24.75" customHeight="1">
      <c r="A444" s="36" t="s">
        <v>387</v>
      </c>
      <c r="B444" s="27"/>
      <c r="C444" s="41"/>
      <c r="D444" s="36"/>
      <c r="E444" s="39"/>
      <c r="F444" s="39"/>
      <c r="G444" s="36"/>
      <c r="H444" s="39"/>
      <c r="I444" s="39"/>
      <c r="J444" s="39"/>
      <c r="K444" s="39"/>
      <c r="L444" s="39">
        <f t="shared" si="352"/>
        <v>0</v>
      </c>
      <c r="M444" s="39"/>
      <c r="N444" s="39"/>
      <c r="O444" s="39"/>
      <c r="P444" s="39"/>
      <c r="Q444" s="39"/>
      <c r="R444" s="39">
        <f t="shared" si="403"/>
        <v>0</v>
      </c>
      <c r="S444" s="39"/>
      <c r="T444" s="39"/>
      <c r="U444" s="39"/>
      <c r="V444" s="39"/>
      <c r="W444" s="39"/>
      <c r="X444" s="39"/>
      <c r="Y444" s="39"/>
      <c r="Z444" s="39"/>
      <c r="AA444" s="39"/>
      <c r="AB444" s="39">
        <f t="shared" si="404"/>
        <v>0</v>
      </c>
      <c r="AC444" s="39"/>
      <c r="AD444" s="39"/>
      <c r="AE444" s="39"/>
      <c r="AF444" s="39"/>
      <c r="AG444" s="39"/>
      <c r="AH444" s="39">
        <f t="shared" si="461"/>
        <v>0</v>
      </c>
      <c r="AI444" s="39"/>
      <c r="AJ444" s="39"/>
      <c r="AK444" s="39"/>
      <c r="AL444" s="39"/>
      <c r="AM444" s="39"/>
      <c r="AN444" s="39">
        <f t="shared" si="405"/>
        <v>0</v>
      </c>
      <c r="AO444" s="39"/>
      <c r="AP444" s="39"/>
      <c r="AQ444" s="39"/>
      <c r="AR444" s="39"/>
      <c r="AS444" s="39"/>
      <c r="AT444" s="39">
        <f t="shared" si="462"/>
        <v>0</v>
      </c>
      <c r="AU444" s="39"/>
      <c r="AV444" s="39"/>
      <c r="AW444" s="39"/>
      <c r="AX444" s="39"/>
      <c r="AY444" s="39"/>
      <c r="AZ444" s="39">
        <f t="shared" si="463"/>
        <v>0</v>
      </c>
      <c r="BA444" s="39"/>
      <c r="BB444" s="39"/>
      <c r="BC444" s="39"/>
      <c r="BD444" s="39"/>
      <c r="BE444" s="39"/>
      <c r="BF444" s="39">
        <f t="shared" si="464"/>
        <v>0</v>
      </c>
      <c r="BG444" s="39"/>
      <c r="BH444" s="39"/>
      <c r="BI444" s="39"/>
      <c r="BJ444" s="39"/>
      <c r="BK444" s="39"/>
      <c r="BL444" s="39">
        <f t="shared" si="465"/>
        <v>0</v>
      </c>
      <c r="BM444" s="54" t="e">
        <f t="shared" si="466"/>
        <v>#DIV/0!</v>
      </c>
      <c r="BN444" s="64"/>
      <c r="BO444" s="36"/>
      <c r="BP444" s="36"/>
      <c r="BQ444" s="36"/>
      <c r="BR444" s="40"/>
      <c r="BS444" s="40"/>
      <c r="BT444" s="39"/>
      <c r="BU444" s="39"/>
      <c r="BV444" s="39"/>
      <c r="BW444" s="39"/>
      <c r="BX444" s="39"/>
      <c r="BY444" s="39"/>
      <c r="BZ444" s="39">
        <f t="shared" si="467"/>
        <v>0</v>
      </c>
      <c r="CA444" s="39">
        <f t="shared" si="468"/>
        <v>0</v>
      </c>
      <c r="CB444" s="39">
        <f t="shared" si="469"/>
        <v>0</v>
      </c>
      <c r="CC444" s="39">
        <f t="shared" si="470"/>
        <v>0</v>
      </c>
      <c r="CD444" s="39">
        <f t="shared" si="471"/>
        <v>0</v>
      </c>
      <c r="CE444" s="47" t="e">
        <f t="shared" si="472"/>
        <v>#DIV/0!</v>
      </c>
      <c r="CF444" s="36"/>
      <c r="CG444" s="39"/>
      <c r="CH444" s="39"/>
      <c r="CI444" s="25">
        <v>1</v>
      </c>
    </row>
    <row r="445" spans="1:87" ht="24.75" customHeight="1">
      <c r="A445" s="36" t="s">
        <v>387</v>
      </c>
      <c r="B445" s="27"/>
      <c r="C445" s="41"/>
      <c r="D445" s="36"/>
      <c r="E445" s="39"/>
      <c r="F445" s="39"/>
      <c r="G445" s="36"/>
      <c r="H445" s="39"/>
      <c r="I445" s="39"/>
      <c r="J445" s="39"/>
      <c r="K445" s="39"/>
      <c r="L445" s="39">
        <f t="shared" si="352"/>
        <v>0</v>
      </c>
      <c r="M445" s="39"/>
      <c r="N445" s="39"/>
      <c r="O445" s="39"/>
      <c r="P445" s="39"/>
      <c r="Q445" s="39"/>
      <c r="R445" s="39">
        <f t="shared" si="403"/>
        <v>0</v>
      </c>
      <c r="S445" s="39"/>
      <c r="T445" s="39"/>
      <c r="U445" s="39"/>
      <c r="V445" s="39"/>
      <c r="W445" s="39"/>
      <c r="X445" s="39"/>
      <c r="Y445" s="39"/>
      <c r="Z445" s="39"/>
      <c r="AA445" s="39"/>
      <c r="AB445" s="39">
        <f t="shared" si="404"/>
        <v>0</v>
      </c>
      <c r="AC445" s="39"/>
      <c r="AD445" s="39"/>
      <c r="AE445" s="39"/>
      <c r="AF445" s="39"/>
      <c r="AG445" s="39"/>
      <c r="AH445" s="39">
        <f t="shared" si="461"/>
        <v>0</v>
      </c>
      <c r="AI445" s="39"/>
      <c r="AJ445" s="39"/>
      <c r="AK445" s="39"/>
      <c r="AL445" s="39"/>
      <c r="AM445" s="39"/>
      <c r="AN445" s="39">
        <f t="shared" si="405"/>
        <v>0</v>
      </c>
      <c r="AO445" s="39"/>
      <c r="AP445" s="39"/>
      <c r="AQ445" s="39"/>
      <c r="AR445" s="39"/>
      <c r="AS445" s="39"/>
      <c r="AT445" s="39">
        <f t="shared" si="462"/>
        <v>0</v>
      </c>
      <c r="AU445" s="39"/>
      <c r="AV445" s="39"/>
      <c r="AW445" s="39"/>
      <c r="AX445" s="39"/>
      <c r="AY445" s="39"/>
      <c r="AZ445" s="39">
        <f t="shared" si="463"/>
        <v>0</v>
      </c>
      <c r="BA445" s="39"/>
      <c r="BB445" s="39"/>
      <c r="BC445" s="39"/>
      <c r="BD445" s="39"/>
      <c r="BE445" s="39"/>
      <c r="BF445" s="39">
        <f t="shared" si="464"/>
        <v>0</v>
      </c>
      <c r="BG445" s="39"/>
      <c r="BH445" s="39"/>
      <c r="BI445" s="39"/>
      <c r="BJ445" s="39"/>
      <c r="BK445" s="39"/>
      <c r="BL445" s="39">
        <f t="shared" si="465"/>
        <v>0</v>
      </c>
      <c r="BM445" s="54" t="e">
        <f t="shared" si="466"/>
        <v>#DIV/0!</v>
      </c>
      <c r="BN445" s="64"/>
      <c r="BO445" s="36"/>
      <c r="BP445" s="36"/>
      <c r="BQ445" s="36"/>
      <c r="BR445" s="40"/>
      <c r="BS445" s="40"/>
      <c r="BT445" s="39"/>
      <c r="BU445" s="39"/>
      <c r="BV445" s="39"/>
      <c r="BW445" s="39"/>
      <c r="BX445" s="39"/>
      <c r="BY445" s="39"/>
      <c r="BZ445" s="39">
        <f t="shared" si="467"/>
        <v>0</v>
      </c>
      <c r="CA445" s="39">
        <f t="shared" si="468"/>
        <v>0</v>
      </c>
      <c r="CB445" s="39">
        <f t="shared" si="469"/>
        <v>0</v>
      </c>
      <c r="CC445" s="39">
        <f t="shared" si="470"/>
        <v>0</v>
      </c>
      <c r="CD445" s="39">
        <f t="shared" si="471"/>
        <v>0</v>
      </c>
      <c r="CE445" s="47" t="e">
        <f t="shared" si="472"/>
        <v>#DIV/0!</v>
      </c>
      <c r="CF445" s="36"/>
      <c r="CG445" s="39"/>
      <c r="CH445" s="39"/>
      <c r="CI445" s="25">
        <v>1</v>
      </c>
    </row>
    <row r="446" spans="1:87" ht="24.75" customHeight="1">
      <c r="A446" s="36" t="s">
        <v>387</v>
      </c>
      <c r="B446" s="27"/>
      <c r="C446" s="41"/>
      <c r="D446" s="36"/>
      <c r="E446" s="39"/>
      <c r="F446" s="39"/>
      <c r="G446" s="36"/>
      <c r="H446" s="39"/>
      <c r="I446" s="39"/>
      <c r="J446" s="39"/>
      <c r="K446" s="39"/>
      <c r="L446" s="39">
        <f t="shared" si="352"/>
        <v>0</v>
      </c>
      <c r="M446" s="39"/>
      <c r="N446" s="39"/>
      <c r="O446" s="39"/>
      <c r="P446" s="39"/>
      <c r="Q446" s="39"/>
      <c r="R446" s="39">
        <f t="shared" si="403"/>
        <v>0</v>
      </c>
      <c r="S446" s="39"/>
      <c r="T446" s="39"/>
      <c r="U446" s="39"/>
      <c r="V446" s="39"/>
      <c r="W446" s="39"/>
      <c r="X446" s="39"/>
      <c r="Y446" s="39"/>
      <c r="Z446" s="39"/>
      <c r="AA446" s="39"/>
      <c r="AB446" s="39">
        <f t="shared" si="404"/>
        <v>0</v>
      </c>
      <c r="AC446" s="39"/>
      <c r="AD446" s="39"/>
      <c r="AE446" s="39"/>
      <c r="AF446" s="39"/>
      <c r="AG446" s="39"/>
      <c r="AH446" s="39">
        <f t="shared" si="461"/>
        <v>0</v>
      </c>
      <c r="AI446" s="39"/>
      <c r="AJ446" s="39"/>
      <c r="AK446" s="39"/>
      <c r="AL446" s="39"/>
      <c r="AM446" s="39"/>
      <c r="AN446" s="39">
        <f t="shared" si="405"/>
        <v>0</v>
      </c>
      <c r="AO446" s="39"/>
      <c r="AP446" s="39"/>
      <c r="AQ446" s="39"/>
      <c r="AR446" s="39"/>
      <c r="AS446" s="39"/>
      <c r="AT446" s="39">
        <f t="shared" si="462"/>
        <v>0</v>
      </c>
      <c r="AU446" s="39"/>
      <c r="AV446" s="39"/>
      <c r="AW446" s="39"/>
      <c r="AX446" s="39"/>
      <c r="AY446" s="39"/>
      <c r="AZ446" s="39">
        <f t="shared" si="463"/>
        <v>0</v>
      </c>
      <c r="BA446" s="39"/>
      <c r="BB446" s="39"/>
      <c r="BC446" s="39"/>
      <c r="BD446" s="39"/>
      <c r="BE446" s="39"/>
      <c r="BF446" s="39">
        <f t="shared" si="464"/>
        <v>0</v>
      </c>
      <c r="BG446" s="39"/>
      <c r="BH446" s="39"/>
      <c r="BI446" s="39"/>
      <c r="BJ446" s="39"/>
      <c r="BK446" s="39"/>
      <c r="BL446" s="39">
        <f t="shared" si="465"/>
        <v>0</v>
      </c>
      <c r="BM446" s="54" t="e">
        <f t="shared" si="466"/>
        <v>#DIV/0!</v>
      </c>
      <c r="BN446" s="64"/>
      <c r="BO446" s="36"/>
      <c r="BP446" s="36"/>
      <c r="BQ446" s="36"/>
      <c r="BR446" s="40"/>
      <c r="BS446" s="40"/>
      <c r="BT446" s="39"/>
      <c r="BU446" s="39"/>
      <c r="BV446" s="39"/>
      <c r="BW446" s="39"/>
      <c r="BX446" s="39"/>
      <c r="BY446" s="39"/>
      <c r="BZ446" s="39">
        <f t="shared" si="467"/>
        <v>0</v>
      </c>
      <c r="CA446" s="39">
        <f t="shared" si="468"/>
        <v>0</v>
      </c>
      <c r="CB446" s="39">
        <f t="shared" si="469"/>
        <v>0</v>
      </c>
      <c r="CC446" s="39">
        <f t="shared" si="470"/>
        <v>0</v>
      </c>
      <c r="CD446" s="39">
        <f t="shared" si="471"/>
        <v>0</v>
      </c>
      <c r="CE446" s="47" t="e">
        <f t="shared" si="472"/>
        <v>#DIV/0!</v>
      </c>
      <c r="CF446" s="36"/>
      <c r="CG446" s="39"/>
      <c r="CH446" s="39"/>
      <c r="CI446" s="25">
        <v>1</v>
      </c>
    </row>
    <row r="447" spans="1:87" ht="24.75" customHeight="1">
      <c r="A447" s="36" t="s">
        <v>387</v>
      </c>
      <c r="B447" s="27"/>
      <c r="C447" s="41"/>
      <c r="D447" s="36"/>
      <c r="E447" s="39"/>
      <c r="F447" s="39"/>
      <c r="G447" s="36"/>
      <c r="H447" s="39"/>
      <c r="I447" s="39"/>
      <c r="J447" s="39"/>
      <c r="K447" s="39"/>
      <c r="L447" s="39">
        <f t="shared" si="352"/>
        <v>0</v>
      </c>
      <c r="M447" s="39"/>
      <c r="N447" s="39"/>
      <c r="O447" s="39"/>
      <c r="P447" s="39"/>
      <c r="Q447" s="39"/>
      <c r="R447" s="39">
        <f t="shared" si="403"/>
        <v>0</v>
      </c>
      <c r="S447" s="39"/>
      <c r="T447" s="39"/>
      <c r="U447" s="39"/>
      <c r="V447" s="39"/>
      <c r="W447" s="39"/>
      <c r="X447" s="39"/>
      <c r="Y447" s="39"/>
      <c r="Z447" s="39"/>
      <c r="AA447" s="39"/>
      <c r="AB447" s="39">
        <f t="shared" si="404"/>
        <v>0</v>
      </c>
      <c r="AC447" s="39"/>
      <c r="AD447" s="39"/>
      <c r="AE447" s="39"/>
      <c r="AF447" s="39"/>
      <c r="AG447" s="39"/>
      <c r="AH447" s="39">
        <f t="shared" si="461"/>
        <v>0</v>
      </c>
      <c r="AI447" s="39"/>
      <c r="AJ447" s="39"/>
      <c r="AK447" s="39"/>
      <c r="AL447" s="39"/>
      <c r="AM447" s="39"/>
      <c r="AN447" s="39">
        <f t="shared" si="405"/>
        <v>0</v>
      </c>
      <c r="AO447" s="39"/>
      <c r="AP447" s="39"/>
      <c r="AQ447" s="39"/>
      <c r="AR447" s="39"/>
      <c r="AS447" s="39"/>
      <c r="AT447" s="39">
        <f t="shared" si="462"/>
        <v>0</v>
      </c>
      <c r="AU447" s="39"/>
      <c r="AV447" s="39"/>
      <c r="AW447" s="39"/>
      <c r="AX447" s="39"/>
      <c r="AY447" s="39"/>
      <c r="AZ447" s="39">
        <f t="shared" si="463"/>
        <v>0</v>
      </c>
      <c r="BA447" s="39"/>
      <c r="BB447" s="39"/>
      <c r="BC447" s="39"/>
      <c r="BD447" s="39"/>
      <c r="BE447" s="39"/>
      <c r="BF447" s="39">
        <f t="shared" si="464"/>
        <v>0</v>
      </c>
      <c r="BG447" s="39"/>
      <c r="BH447" s="39"/>
      <c r="BI447" s="39"/>
      <c r="BJ447" s="39"/>
      <c r="BK447" s="39"/>
      <c r="BL447" s="39">
        <f t="shared" si="465"/>
        <v>0</v>
      </c>
      <c r="BM447" s="54" t="e">
        <f t="shared" si="466"/>
        <v>#DIV/0!</v>
      </c>
      <c r="BN447" s="64"/>
      <c r="BO447" s="36"/>
      <c r="BP447" s="36"/>
      <c r="BQ447" s="36"/>
      <c r="BR447" s="40"/>
      <c r="BS447" s="40"/>
      <c r="BT447" s="39"/>
      <c r="BU447" s="39"/>
      <c r="BV447" s="39"/>
      <c r="BW447" s="39"/>
      <c r="BX447" s="39"/>
      <c r="BY447" s="39"/>
      <c r="BZ447" s="39">
        <f t="shared" si="467"/>
        <v>0</v>
      </c>
      <c r="CA447" s="39">
        <f t="shared" si="468"/>
        <v>0</v>
      </c>
      <c r="CB447" s="39">
        <f t="shared" si="469"/>
        <v>0</v>
      </c>
      <c r="CC447" s="39">
        <f t="shared" si="470"/>
        <v>0</v>
      </c>
      <c r="CD447" s="39">
        <f t="shared" si="471"/>
        <v>0</v>
      </c>
      <c r="CE447" s="47" t="e">
        <f t="shared" si="472"/>
        <v>#DIV/0!</v>
      </c>
      <c r="CF447" s="36"/>
      <c r="CG447" s="39"/>
      <c r="CH447" s="39"/>
      <c r="CI447" s="25">
        <v>1</v>
      </c>
    </row>
    <row r="448" spans="1:87" ht="24.75" customHeight="1">
      <c r="A448" s="36" t="s">
        <v>387</v>
      </c>
      <c r="B448" s="27"/>
      <c r="C448" s="41"/>
      <c r="D448" s="36"/>
      <c r="E448" s="39"/>
      <c r="F448" s="39"/>
      <c r="G448" s="36"/>
      <c r="H448" s="39"/>
      <c r="I448" s="39"/>
      <c r="J448" s="39"/>
      <c r="K448" s="39"/>
      <c r="L448" s="39">
        <f t="shared" si="352"/>
        <v>0</v>
      </c>
      <c r="M448" s="39"/>
      <c r="N448" s="39"/>
      <c r="O448" s="39"/>
      <c r="P448" s="39"/>
      <c r="Q448" s="39"/>
      <c r="R448" s="39">
        <f t="shared" si="403"/>
        <v>0</v>
      </c>
      <c r="S448" s="39"/>
      <c r="T448" s="39"/>
      <c r="U448" s="39"/>
      <c r="V448" s="39"/>
      <c r="W448" s="39"/>
      <c r="X448" s="39"/>
      <c r="Y448" s="39"/>
      <c r="Z448" s="39"/>
      <c r="AA448" s="39"/>
      <c r="AB448" s="39">
        <f t="shared" si="404"/>
        <v>0</v>
      </c>
      <c r="AC448" s="39"/>
      <c r="AD448" s="39"/>
      <c r="AE448" s="39"/>
      <c r="AF448" s="39"/>
      <c r="AG448" s="39"/>
      <c r="AH448" s="39">
        <f t="shared" si="461"/>
        <v>0</v>
      </c>
      <c r="AI448" s="39"/>
      <c r="AJ448" s="39"/>
      <c r="AK448" s="39"/>
      <c r="AL448" s="39"/>
      <c r="AM448" s="39"/>
      <c r="AN448" s="39">
        <f t="shared" si="405"/>
        <v>0</v>
      </c>
      <c r="AO448" s="39"/>
      <c r="AP448" s="39"/>
      <c r="AQ448" s="39"/>
      <c r="AR448" s="39"/>
      <c r="AS448" s="39"/>
      <c r="AT448" s="39">
        <f t="shared" si="462"/>
        <v>0</v>
      </c>
      <c r="AU448" s="39"/>
      <c r="AV448" s="39"/>
      <c r="AW448" s="39"/>
      <c r="AX448" s="39"/>
      <c r="AY448" s="39"/>
      <c r="AZ448" s="39">
        <f t="shared" si="463"/>
        <v>0</v>
      </c>
      <c r="BA448" s="39"/>
      <c r="BB448" s="39"/>
      <c r="BC448" s="39"/>
      <c r="BD448" s="39"/>
      <c r="BE448" s="39"/>
      <c r="BF448" s="39">
        <f t="shared" si="464"/>
        <v>0</v>
      </c>
      <c r="BG448" s="39"/>
      <c r="BH448" s="39"/>
      <c r="BI448" s="39"/>
      <c r="BJ448" s="39"/>
      <c r="BK448" s="39"/>
      <c r="BL448" s="39">
        <f t="shared" si="465"/>
        <v>0</v>
      </c>
      <c r="BM448" s="54" t="e">
        <f t="shared" si="466"/>
        <v>#DIV/0!</v>
      </c>
      <c r="BN448" s="64"/>
      <c r="BO448" s="36"/>
      <c r="BP448" s="36"/>
      <c r="BQ448" s="36"/>
      <c r="BR448" s="40"/>
      <c r="BS448" s="40"/>
      <c r="BT448" s="39"/>
      <c r="BU448" s="39"/>
      <c r="BV448" s="39"/>
      <c r="BW448" s="39"/>
      <c r="BX448" s="39"/>
      <c r="BY448" s="39"/>
      <c r="BZ448" s="39">
        <f t="shared" si="467"/>
        <v>0</v>
      </c>
      <c r="CA448" s="39">
        <f t="shared" si="468"/>
        <v>0</v>
      </c>
      <c r="CB448" s="39">
        <f t="shared" si="469"/>
        <v>0</v>
      </c>
      <c r="CC448" s="39">
        <f t="shared" si="470"/>
        <v>0</v>
      </c>
      <c r="CD448" s="39">
        <f t="shared" si="471"/>
        <v>0</v>
      </c>
      <c r="CE448" s="47" t="e">
        <f t="shared" si="472"/>
        <v>#DIV/0!</v>
      </c>
      <c r="CF448" s="36"/>
      <c r="CG448" s="39"/>
      <c r="CH448" s="39"/>
      <c r="CI448" s="25">
        <v>1</v>
      </c>
    </row>
    <row r="449" spans="1:87" ht="33.75" customHeight="1">
      <c r="A449" s="36" t="s">
        <v>387</v>
      </c>
      <c r="B449" s="27">
        <v>47316</v>
      </c>
      <c r="C449" s="36" t="s">
        <v>588</v>
      </c>
      <c r="D449" s="36" t="s">
        <v>24</v>
      </c>
      <c r="E449" s="39">
        <v>320</v>
      </c>
      <c r="F449" s="39" t="s">
        <v>61</v>
      </c>
      <c r="G449" s="36" t="s">
        <v>398</v>
      </c>
      <c r="H449" s="36" t="s">
        <v>589</v>
      </c>
      <c r="I449" s="39">
        <v>72</v>
      </c>
      <c r="J449" s="39"/>
      <c r="K449" s="39"/>
      <c r="L449" s="39">
        <f t="shared" ref="L449:L453" si="473">SUM(I449:K449)</f>
        <v>72</v>
      </c>
      <c r="M449" s="117">
        <v>46178</v>
      </c>
      <c r="N449" s="117">
        <v>46183</v>
      </c>
      <c r="O449" s="39"/>
      <c r="P449" s="39"/>
      <c r="Q449" s="39"/>
      <c r="R449" s="39">
        <f t="shared" si="403"/>
        <v>0</v>
      </c>
      <c r="S449" s="39" t="s">
        <v>130</v>
      </c>
      <c r="T449" s="39">
        <v>107463</v>
      </c>
      <c r="U449" s="117">
        <v>46207</v>
      </c>
      <c r="V449" s="39"/>
      <c r="W449" s="39"/>
      <c r="X449" s="39"/>
      <c r="Y449" s="39">
        <v>85</v>
      </c>
      <c r="Z449" s="39"/>
      <c r="AA449" s="39"/>
      <c r="AB449" s="119">
        <f t="shared" si="404"/>
        <v>85</v>
      </c>
      <c r="AC449" s="39"/>
      <c r="AD449" s="39"/>
      <c r="AE449" s="39"/>
      <c r="AF449" s="39"/>
      <c r="AG449" s="39"/>
      <c r="AH449" s="39">
        <f t="shared" si="461"/>
        <v>0</v>
      </c>
      <c r="AI449" s="39"/>
      <c r="AJ449" s="39"/>
      <c r="AK449" s="39"/>
      <c r="AL449" s="39"/>
      <c r="AM449" s="39"/>
      <c r="AN449" s="39">
        <f t="shared" si="405"/>
        <v>0</v>
      </c>
      <c r="AO449" s="39"/>
      <c r="AP449" s="39"/>
      <c r="AQ449" s="39"/>
      <c r="AR449" s="39"/>
      <c r="AS449" s="39"/>
      <c r="AT449" s="39">
        <f t="shared" si="462"/>
        <v>0</v>
      </c>
      <c r="AU449" s="39"/>
      <c r="AV449" s="39"/>
      <c r="AW449" s="39"/>
      <c r="AX449" s="39"/>
      <c r="AY449" s="39"/>
      <c r="AZ449" s="39">
        <f t="shared" si="463"/>
        <v>0</v>
      </c>
      <c r="BA449" s="39"/>
      <c r="BB449" s="39"/>
      <c r="BC449" s="39"/>
      <c r="BD449" s="39"/>
      <c r="BE449" s="39"/>
      <c r="BF449" s="39">
        <f t="shared" si="464"/>
        <v>0</v>
      </c>
      <c r="BG449" s="39"/>
      <c r="BH449" s="39"/>
      <c r="BI449" s="39"/>
      <c r="BJ449" s="39"/>
      <c r="BK449" s="39"/>
      <c r="BL449" s="39">
        <f t="shared" si="465"/>
        <v>0</v>
      </c>
      <c r="BM449" s="54" t="str">
        <f t="shared" si="466"/>
        <v/>
      </c>
      <c r="BN449" s="66">
        <v>46185</v>
      </c>
      <c r="BO449" s="117">
        <v>46191</v>
      </c>
      <c r="BP449" s="39"/>
      <c r="BQ449" s="39"/>
      <c r="BR449" s="50">
        <v>46210</v>
      </c>
      <c r="BS449" s="50">
        <v>46210</v>
      </c>
      <c r="BT449" s="39">
        <v>1579</v>
      </c>
      <c r="BU449" s="39">
        <v>80</v>
      </c>
      <c r="BV449" s="39"/>
      <c r="BW449" s="39"/>
      <c r="BX449" s="39"/>
      <c r="BY449" s="39"/>
      <c r="BZ449" s="39">
        <f t="shared" si="467"/>
        <v>80</v>
      </c>
      <c r="CA449" s="39">
        <f t="shared" si="468"/>
        <v>8</v>
      </c>
      <c r="CB449" s="39">
        <f t="shared" si="469"/>
        <v>0</v>
      </c>
      <c r="CC449" s="39">
        <f t="shared" si="470"/>
        <v>0</v>
      </c>
      <c r="CD449" s="39">
        <f t="shared" si="471"/>
        <v>0</v>
      </c>
      <c r="CE449" s="102">
        <f t="shared" si="472"/>
        <v>0</v>
      </c>
      <c r="CF449" s="36" t="s">
        <v>293</v>
      </c>
      <c r="CG449" s="39" t="s">
        <v>221</v>
      </c>
      <c r="CH449" s="39"/>
      <c r="CI449" s="25">
        <v>2</v>
      </c>
    </row>
    <row r="450" spans="1:87" ht="24.75" customHeight="1">
      <c r="A450" s="36" t="s">
        <v>387</v>
      </c>
      <c r="B450" s="105" t="s">
        <v>621</v>
      </c>
      <c r="C450" s="227">
        <v>15374735</v>
      </c>
      <c r="D450" s="36" t="s">
        <v>37</v>
      </c>
      <c r="E450" s="39">
        <v>190</v>
      </c>
      <c r="F450" s="39" t="s">
        <v>68</v>
      </c>
      <c r="G450" s="36" t="s">
        <v>105</v>
      </c>
      <c r="H450" s="39" t="s">
        <v>112</v>
      </c>
      <c r="I450" s="39">
        <v>288</v>
      </c>
      <c r="J450" s="39"/>
      <c r="K450" s="39"/>
      <c r="L450" s="39">
        <f t="shared" ref="L450:L451" si="474">SUM(I450:K450)</f>
        <v>288</v>
      </c>
      <c r="M450" s="117">
        <v>46147</v>
      </c>
      <c r="N450" s="117">
        <v>46157</v>
      </c>
      <c r="O450" s="39"/>
      <c r="P450" s="39"/>
      <c r="Q450" s="39"/>
      <c r="R450" s="39">
        <f t="shared" ref="R450:R451" si="475">SUM(O450:Q450)</f>
        <v>0</v>
      </c>
      <c r="S450" s="39" t="s">
        <v>130</v>
      </c>
      <c r="T450" s="39" t="s">
        <v>1527</v>
      </c>
      <c r="U450" s="117" t="s">
        <v>1528</v>
      </c>
      <c r="V450" s="39"/>
      <c r="W450" s="39"/>
      <c r="X450" s="39"/>
      <c r="Y450" s="39">
        <f>333+205</f>
        <v>538</v>
      </c>
      <c r="Z450" s="39"/>
      <c r="AA450" s="39"/>
      <c r="AB450" s="119">
        <f t="shared" ref="AB450:AB451" si="476">SUM(Y450:AA450)</f>
        <v>538</v>
      </c>
      <c r="AC450" s="39" t="s">
        <v>139</v>
      </c>
      <c r="AD450" s="117" t="s">
        <v>1526</v>
      </c>
      <c r="AE450" s="39">
        <f>300+183</f>
        <v>483</v>
      </c>
      <c r="AF450" s="117" t="s">
        <v>1557</v>
      </c>
      <c r="AG450" s="39">
        <f>136+162</f>
        <v>298</v>
      </c>
      <c r="AH450" s="39">
        <f t="shared" si="461"/>
        <v>-185</v>
      </c>
      <c r="AI450" s="39"/>
      <c r="AJ450" s="39"/>
      <c r="AK450" s="39"/>
      <c r="AL450" s="39"/>
      <c r="AM450" s="39"/>
      <c r="AN450" s="39">
        <f t="shared" si="405"/>
        <v>0</v>
      </c>
      <c r="AO450" s="39"/>
      <c r="AP450" s="39"/>
      <c r="AQ450" s="39"/>
      <c r="AR450" s="39"/>
      <c r="AS450" s="39"/>
      <c r="AT450" s="39">
        <f t="shared" si="462"/>
        <v>0</v>
      </c>
      <c r="AU450" s="39"/>
      <c r="AV450" s="39"/>
      <c r="AW450" s="39"/>
      <c r="AX450" s="39"/>
      <c r="AY450" s="39"/>
      <c r="AZ450" s="39">
        <f t="shared" si="463"/>
        <v>0</v>
      </c>
      <c r="BA450" s="39"/>
      <c r="BB450" s="39"/>
      <c r="BC450" s="39"/>
      <c r="BD450" s="39"/>
      <c r="BE450" s="39"/>
      <c r="BF450" s="39">
        <f t="shared" si="464"/>
        <v>0</v>
      </c>
      <c r="BG450" s="39"/>
      <c r="BH450" s="39"/>
      <c r="BI450" s="39"/>
      <c r="BJ450" s="39"/>
      <c r="BK450" s="39"/>
      <c r="BL450" s="39">
        <f t="shared" si="465"/>
        <v>0</v>
      </c>
      <c r="BM450" s="54" t="str">
        <f t="shared" si="466"/>
        <v/>
      </c>
      <c r="BN450" s="66">
        <v>46160</v>
      </c>
      <c r="BO450" s="117">
        <v>46183</v>
      </c>
      <c r="BP450" s="117">
        <v>46185</v>
      </c>
      <c r="BQ450" s="117">
        <v>46192</v>
      </c>
      <c r="BR450" s="229">
        <v>46210</v>
      </c>
      <c r="BS450" s="229">
        <v>46216</v>
      </c>
      <c r="BT450" s="39" t="s">
        <v>1582</v>
      </c>
      <c r="BU450" s="39">
        <f>135+162</f>
        <v>297</v>
      </c>
      <c r="BV450" s="39"/>
      <c r="BW450" s="39"/>
      <c r="BX450" s="39"/>
      <c r="BY450" s="39"/>
      <c r="BZ450" s="39">
        <f t="shared" si="467"/>
        <v>297</v>
      </c>
      <c r="CA450" s="39">
        <f t="shared" si="468"/>
        <v>9</v>
      </c>
      <c r="CB450" s="39">
        <f t="shared" si="469"/>
        <v>0</v>
      </c>
      <c r="CC450" s="39">
        <f t="shared" si="470"/>
        <v>0</v>
      </c>
      <c r="CD450" s="39">
        <f t="shared" si="471"/>
        <v>0</v>
      </c>
      <c r="CE450" s="47">
        <f t="shared" si="472"/>
        <v>0</v>
      </c>
      <c r="CF450" s="36" t="s">
        <v>292</v>
      </c>
      <c r="CG450" s="39" t="s">
        <v>221</v>
      </c>
      <c r="CH450" s="39"/>
      <c r="CI450" s="25">
        <v>2</v>
      </c>
    </row>
    <row r="451" spans="1:87" ht="24.75" customHeight="1">
      <c r="A451" s="36" t="s">
        <v>387</v>
      </c>
      <c r="B451" s="105" t="s">
        <v>621</v>
      </c>
      <c r="C451" s="228"/>
      <c r="D451" s="36" t="s">
        <v>37</v>
      </c>
      <c r="E451" s="39">
        <v>190</v>
      </c>
      <c r="F451" s="39" t="s">
        <v>68</v>
      </c>
      <c r="G451" s="36" t="s">
        <v>622</v>
      </c>
      <c r="H451" s="39" t="s">
        <v>112</v>
      </c>
      <c r="I451" s="39">
        <v>288</v>
      </c>
      <c r="J451" s="39"/>
      <c r="K451" s="39"/>
      <c r="L451" s="39">
        <f t="shared" si="474"/>
        <v>288</v>
      </c>
      <c r="M451" s="117">
        <v>46147</v>
      </c>
      <c r="N451" s="117">
        <v>46157</v>
      </c>
      <c r="O451" s="39"/>
      <c r="P451" s="39"/>
      <c r="Q451" s="39"/>
      <c r="R451" s="39">
        <f t="shared" si="475"/>
        <v>0</v>
      </c>
      <c r="S451" s="39" t="s">
        <v>130</v>
      </c>
      <c r="T451" s="39">
        <v>107159</v>
      </c>
      <c r="U451" s="117">
        <v>46201</v>
      </c>
      <c r="V451" s="39"/>
      <c r="W451" s="39"/>
      <c r="X451" s="39"/>
      <c r="Y451" s="39">
        <v>325</v>
      </c>
      <c r="Z451" s="39"/>
      <c r="AA451" s="39"/>
      <c r="AB451" s="119">
        <f t="shared" si="476"/>
        <v>325</v>
      </c>
      <c r="AC451" s="39" t="s">
        <v>139</v>
      </c>
      <c r="AD451" s="117">
        <v>46205</v>
      </c>
      <c r="AE451" s="39">
        <v>300</v>
      </c>
      <c r="AF451" s="117">
        <v>46209</v>
      </c>
      <c r="AG451" s="39">
        <v>295</v>
      </c>
      <c r="AH451" s="39">
        <f t="shared" si="461"/>
        <v>-5</v>
      </c>
      <c r="AI451" s="39"/>
      <c r="AJ451" s="39"/>
      <c r="AK451" s="39"/>
      <c r="AL451" s="39"/>
      <c r="AM451" s="39"/>
      <c r="AN451" s="39">
        <f t="shared" si="405"/>
        <v>0</v>
      </c>
      <c r="AO451" s="39"/>
      <c r="AP451" s="39"/>
      <c r="AQ451" s="39"/>
      <c r="AR451" s="39"/>
      <c r="AS451" s="39"/>
      <c r="AT451" s="39">
        <f t="shared" si="462"/>
        <v>0</v>
      </c>
      <c r="AU451" s="39"/>
      <c r="AV451" s="39"/>
      <c r="AW451" s="39"/>
      <c r="AX451" s="39"/>
      <c r="AY451" s="39"/>
      <c r="AZ451" s="39">
        <f t="shared" si="463"/>
        <v>0</v>
      </c>
      <c r="BA451" s="39"/>
      <c r="BB451" s="39"/>
      <c r="BC451" s="39"/>
      <c r="BD451" s="39"/>
      <c r="BE451" s="39"/>
      <c r="BF451" s="39">
        <f t="shared" si="464"/>
        <v>0</v>
      </c>
      <c r="BG451" s="39"/>
      <c r="BH451" s="39"/>
      <c r="BI451" s="39"/>
      <c r="BJ451" s="39"/>
      <c r="BK451" s="39"/>
      <c r="BL451" s="39">
        <f t="shared" si="465"/>
        <v>0</v>
      </c>
      <c r="BM451" s="54" t="str">
        <f t="shared" si="466"/>
        <v/>
      </c>
      <c r="BN451" s="66">
        <v>46160</v>
      </c>
      <c r="BO451" s="117">
        <v>46183</v>
      </c>
      <c r="BP451" s="117">
        <v>46185</v>
      </c>
      <c r="BQ451" s="117">
        <v>46192</v>
      </c>
      <c r="BR451" s="230"/>
      <c r="BS451" s="230"/>
      <c r="BT451" s="39">
        <v>2222</v>
      </c>
      <c r="BU451" s="39">
        <v>294</v>
      </c>
      <c r="BV451" s="39"/>
      <c r="BW451" s="39"/>
      <c r="BX451" s="39"/>
      <c r="BY451" s="39"/>
      <c r="BZ451" s="39">
        <f t="shared" si="467"/>
        <v>294</v>
      </c>
      <c r="CA451" s="39">
        <f t="shared" si="468"/>
        <v>6</v>
      </c>
      <c r="CB451" s="39">
        <f t="shared" si="469"/>
        <v>0</v>
      </c>
      <c r="CC451" s="39">
        <f t="shared" si="470"/>
        <v>0</v>
      </c>
      <c r="CD451" s="39">
        <f t="shared" si="471"/>
        <v>0</v>
      </c>
      <c r="CE451" s="47">
        <f t="shared" si="472"/>
        <v>0</v>
      </c>
      <c r="CF451" s="36" t="s">
        <v>292</v>
      </c>
      <c r="CG451" s="39" t="s">
        <v>221</v>
      </c>
      <c r="CH451" s="39"/>
      <c r="CI451" s="25">
        <v>2</v>
      </c>
    </row>
    <row r="452" spans="1:87" ht="24.75" customHeight="1">
      <c r="A452" s="36" t="s">
        <v>387</v>
      </c>
      <c r="B452" s="27">
        <v>47634</v>
      </c>
      <c r="C452" s="227" t="s">
        <v>1283</v>
      </c>
      <c r="D452" s="36" t="s">
        <v>24</v>
      </c>
      <c r="E452" s="39">
        <v>320</v>
      </c>
      <c r="F452" s="39" t="s">
        <v>61</v>
      </c>
      <c r="G452" s="36" t="s">
        <v>351</v>
      </c>
      <c r="H452" s="36" t="s">
        <v>589</v>
      </c>
      <c r="I452" s="39">
        <f>180+24</f>
        <v>204</v>
      </c>
      <c r="J452" s="39"/>
      <c r="K452" s="39"/>
      <c r="L452" s="39">
        <f t="shared" si="473"/>
        <v>204</v>
      </c>
      <c r="M452" s="117">
        <v>46164</v>
      </c>
      <c r="N452" s="117">
        <v>46181</v>
      </c>
      <c r="O452" s="39"/>
      <c r="P452" s="39"/>
      <c r="Q452" s="39"/>
      <c r="R452" s="39">
        <f t="shared" si="403"/>
        <v>0</v>
      </c>
      <c r="S452" s="39" t="s">
        <v>130</v>
      </c>
      <c r="T452" s="39">
        <v>107510</v>
      </c>
      <c r="U452" s="117">
        <v>46209</v>
      </c>
      <c r="V452" s="39"/>
      <c r="W452" s="39"/>
      <c r="X452" s="39"/>
      <c r="Y452" s="39">
        <v>208</v>
      </c>
      <c r="Z452" s="39"/>
      <c r="AA452" s="39"/>
      <c r="AB452" s="118">
        <f t="shared" si="404"/>
        <v>208</v>
      </c>
      <c r="AC452" s="39"/>
      <c r="AD452" s="39"/>
      <c r="AE452" s="39"/>
      <c r="AF452" s="39"/>
      <c r="AG452" s="39"/>
      <c r="AH452" s="39">
        <f t="shared" si="461"/>
        <v>0</v>
      </c>
      <c r="AI452" s="39"/>
      <c r="AJ452" s="39"/>
      <c r="AK452" s="39"/>
      <c r="AL452" s="39"/>
      <c r="AM452" s="39"/>
      <c r="AN452" s="39">
        <f t="shared" si="405"/>
        <v>0</v>
      </c>
      <c r="AO452" s="39"/>
      <c r="AP452" s="39"/>
      <c r="AQ452" s="39"/>
      <c r="AR452" s="39"/>
      <c r="AS452" s="39"/>
      <c r="AT452" s="39">
        <f t="shared" si="462"/>
        <v>0</v>
      </c>
      <c r="AU452" s="39"/>
      <c r="AV452" s="39"/>
      <c r="AW452" s="39"/>
      <c r="AX452" s="39"/>
      <c r="AY452" s="39"/>
      <c r="AZ452" s="39">
        <f t="shared" si="463"/>
        <v>0</v>
      </c>
      <c r="BA452" s="39"/>
      <c r="BB452" s="39"/>
      <c r="BC452" s="39"/>
      <c r="BD452" s="39"/>
      <c r="BE452" s="39"/>
      <c r="BF452" s="39">
        <f t="shared" si="464"/>
        <v>0</v>
      </c>
      <c r="BG452" s="39"/>
      <c r="BH452" s="39"/>
      <c r="BI452" s="39"/>
      <c r="BJ452" s="39"/>
      <c r="BK452" s="39"/>
      <c r="BL452" s="39">
        <f t="shared" si="465"/>
        <v>0</v>
      </c>
      <c r="BM452" s="54" t="str">
        <f t="shared" si="466"/>
        <v/>
      </c>
      <c r="BN452" s="66">
        <v>46185</v>
      </c>
      <c r="BO452" s="117">
        <v>46191</v>
      </c>
      <c r="BP452" s="39"/>
      <c r="BQ452" s="39"/>
      <c r="BR452" s="229">
        <v>46211</v>
      </c>
      <c r="BS452" s="229">
        <v>46211</v>
      </c>
      <c r="BT452" s="39">
        <v>1581</v>
      </c>
      <c r="BU452" s="39">
        <f>199</f>
        <v>199</v>
      </c>
      <c r="BV452" s="39"/>
      <c r="BW452" s="39"/>
      <c r="BX452" s="39"/>
      <c r="BY452" s="39"/>
      <c r="BZ452" s="39">
        <f t="shared" si="467"/>
        <v>199</v>
      </c>
      <c r="CA452" s="39">
        <f t="shared" si="468"/>
        <v>-5</v>
      </c>
      <c r="CB452" s="39">
        <f t="shared" si="469"/>
        <v>0</v>
      </c>
      <c r="CC452" s="39">
        <f t="shared" si="470"/>
        <v>0</v>
      </c>
      <c r="CD452" s="39">
        <v>0</v>
      </c>
      <c r="CE452" s="102">
        <f t="shared" si="472"/>
        <v>0</v>
      </c>
      <c r="CF452" s="36" t="s">
        <v>293</v>
      </c>
      <c r="CG452" s="39" t="s">
        <v>221</v>
      </c>
      <c r="CH452" s="39"/>
      <c r="CI452" s="25">
        <v>2</v>
      </c>
    </row>
    <row r="453" spans="1:87" ht="24.75" customHeight="1">
      <c r="A453" s="36" t="s">
        <v>387</v>
      </c>
      <c r="B453" s="27">
        <v>47634</v>
      </c>
      <c r="C453" s="228"/>
      <c r="D453" s="36" t="s">
        <v>24</v>
      </c>
      <c r="E453" s="39">
        <v>320</v>
      </c>
      <c r="F453" s="39" t="s">
        <v>61</v>
      </c>
      <c r="G453" s="36" t="s">
        <v>23</v>
      </c>
      <c r="H453" s="36" t="s">
        <v>589</v>
      </c>
      <c r="I453" s="39">
        <f>161+21</f>
        <v>182</v>
      </c>
      <c r="J453" s="39"/>
      <c r="K453" s="39"/>
      <c r="L453" s="39">
        <f t="shared" si="473"/>
        <v>182</v>
      </c>
      <c r="M453" s="117">
        <v>46164</v>
      </c>
      <c r="N453" s="117">
        <v>46181</v>
      </c>
      <c r="O453" s="39"/>
      <c r="P453" s="39"/>
      <c r="Q453" s="39"/>
      <c r="R453" s="39">
        <f t="shared" si="403"/>
        <v>0</v>
      </c>
      <c r="S453" s="39" t="s">
        <v>130</v>
      </c>
      <c r="T453" s="39" t="s">
        <v>1413</v>
      </c>
      <c r="U453" s="117">
        <v>46209</v>
      </c>
      <c r="V453" s="39"/>
      <c r="W453" s="39"/>
      <c r="X453" s="39"/>
      <c r="Y453" s="39">
        <f>184+12</f>
        <v>196</v>
      </c>
      <c r="Z453" s="39"/>
      <c r="AA453" s="39"/>
      <c r="AB453" s="119">
        <f t="shared" si="404"/>
        <v>196</v>
      </c>
      <c r="AC453" s="39"/>
      <c r="AD453" s="39"/>
      <c r="AE453" s="39"/>
      <c r="AF453" s="39"/>
      <c r="AG453" s="39"/>
      <c r="AH453" s="39">
        <f t="shared" si="461"/>
        <v>0</v>
      </c>
      <c r="AI453" s="39"/>
      <c r="AJ453" s="39"/>
      <c r="AK453" s="39"/>
      <c r="AL453" s="39"/>
      <c r="AM453" s="39"/>
      <c r="AN453" s="39">
        <f t="shared" si="405"/>
        <v>0</v>
      </c>
      <c r="AO453" s="39"/>
      <c r="AP453" s="39"/>
      <c r="AQ453" s="39"/>
      <c r="AR453" s="39"/>
      <c r="AS453" s="39"/>
      <c r="AT453" s="39">
        <f t="shared" si="462"/>
        <v>0</v>
      </c>
      <c r="AU453" s="39"/>
      <c r="AV453" s="39"/>
      <c r="AW453" s="39"/>
      <c r="AX453" s="39"/>
      <c r="AY453" s="39"/>
      <c r="AZ453" s="39">
        <f t="shared" si="463"/>
        <v>0</v>
      </c>
      <c r="BA453" s="39"/>
      <c r="BB453" s="39"/>
      <c r="BC453" s="39"/>
      <c r="BD453" s="39"/>
      <c r="BE453" s="39"/>
      <c r="BF453" s="39">
        <f t="shared" si="464"/>
        <v>0</v>
      </c>
      <c r="BG453" s="39"/>
      <c r="BH453" s="39"/>
      <c r="BI453" s="39"/>
      <c r="BJ453" s="39"/>
      <c r="BK453" s="39"/>
      <c r="BL453" s="39">
        <f t="shared" si="465"/>
        <v>0</v>
      </c>
      <c r="BM453" s="54" t="str">
        <f t="shared" si="466"/>
        <v/>
      </c>
      <c r="BN453" s="66">
        <v>46185</v>
      </c>
      <c r="BO453" s="117">
        <v>46191</v>
      </c>
      <c r="BP453" s="39"/>
      <c r="BQ453" s="39"/>
      <c r="BR453" s="230"/>
      <c r="BS453" s="230"/>
      <c r="BT453" s="39">
        <v>1581</v>
      </c>
      <c r="BU453" s="39">
        <f>11+172</f>
        <v>183</v>
      </c>
      <c r="BV453" s="39"/>
      <c r="BW453" s="39"/>
      <c r="BX453" s="39"/>
      <c r="BY453" s="39"/>
      <c r="BZ453" s="39">
        <f t="shared" si="467"/>
        <v>183</v>
      </c>
      <c r="CA453" s="39">
        <f t="shared" si="468"/>
        <v>1</v>
      </c>
      <c r="CB453" s="39">
        <f t="shared" si="469"/>
        <v>0</v>
      </c>
      <c r="CC453" s="39">
        <f t="shared" si="470"/>
        <v>0</v>
      </c>
      <c r="CD453" s="39">
        <f t="shared" si="471"/>
        <v>0</v>
      </c>
      <c r="CE453" s="102">
        <f t="shared" si="472"/>
        <v>0</v>
      </c>
      <c r="CF453" s="36" t="s">
        <v>293</v>
      </c>
      <c r="CG453" s="39" t="s">
        <v>221</v>
      </c>
      <c r="CH453" s="39"/>
      <c r="CI453" s="25">
        <v>2</v>
      </c>
    </row>
    <row r="454" spans="1:87" ht="33.75" customHeight="1">
      <c r="A454" s="36" t="s">
        <v>387</v>
      </c>
      <c r="B454" s="27">
        <v>47635</v>
      </c>
      <c r="C454" s="36" t="s">
        <v>597</v>
      </c>
      <c r="D454" s="36" t="s">
        <v>24</v>
      </c>
      <c r="E454" s="39">
        <v>320</v>
      </c>
      <c r="F454" s="39" t="s">
        <v>61</v>
      </c>
      <c r="G454" s="36" t="s">
        <v>398</v>
      </c>
      <c r="H454" s="36" t="s">
        <v>589</v>
      </c>
      <c r="I454" s="39">
        <v>72</v>
      </c>
      <c r="J454" s="39"/>
      <c r="K454" s="39"/>
      <c r="L454" s="39">
        <f t="shared" ref="L454:L461" si="477">SUM(I454:K454)</f>
        <v>72</v>
      </c>
      <c r="M454" s="117">
        <v>46181</v>
      </c>
      <c r="N454" s="117">
        <v>46185</v>
      </c>
      <c r="O454" s="39"/>
      <c r="P454" s="39"/>
      <c r="Q454" s="39"/>
      <c r="R454" s="39">
        <f t="shared" si="403"/>
        <v>0</v>
      </c>
      <c r="S454" s="39" t="s">
        <v>130</v>
      </c>
      <c r="T454" s="39">
        <v>107555</v>
      </c>
      <c r="U454" s="117">
        <v>46209</v>
      </c>
      <c r="V454" s="39"/>
      <c r="W454" s="39"/>
      <c r="X454" s="39"/>
      <c r="Y454" s="39">
        <v>91</v>
      </c>
      <c r="Z454" s="39"/>
      <c r="AA454" s="39"/>
      <c r="AB454" s="119">
        <f t="shared" si="404"/>
        <v>91</v>
      </c>
      <c r="AC454" s="39"/>
      <c r="AD454" s="39"/>
      <c r="AE454" s="39"/>
      <c r="AF454" s="39"/>
      <c r="AG454" s="39"/>
      <c r="AH454" s="39">
        <f t="shared" si="461"/>
        <v>0</v>
      </c>
      <c r="AI454" s="39"/>
      <c r="AJ454" s="39"/>
      <c r="AK454" s="39"/>
      <c r="AL454" s="39"/>
      <c r="AM454" s="39"/>
      <c r="AN454" s="39">
        <f t="shared" si="405"/>
        <v>0</v>
      </c>
      <c r="AO454" s="39"/>
      <c r="AP454" s="39"/>
      <c r="AQ454" s="39"/>
      <c r="AR454" s="39"/>
      <c r="AS454" s="39"/>
      <c r="AT454" s="39">
        <f t="shared" si="462"/>
        <v>0</v>
      </c>
      <c r="AU454" s="39"/>
      <c r="AV454" s="39"/>
      <c r="AW454" s="39"/>
      <c r="AX454" s="39"/>
      <c r="AY454" s="39"/>
      <c r="AZ454" s="39">
        <f t="shared" si="463"/>
        <v>0</v>
      </c>
      <c r="BA454" s="39"/>
      <c r="BB454" s="39"/>
      <c r="BC454" s="39"/>
      <c r="BD454" s="39"/>
      <c r="BE454" s="39"/>
      <c r="BF454" s="39">
        <f t="shared" si="464"/>
        <v>0</v>
      </c>
      <c r="BG454" s="39"/>
      <c r="BH454" s="39"/>
      <c r="BI454" s="39"/>
      <c r="BJ454" s="39"/>
      <c r="BK454" s="39"/>
      <c r="BL454" s="39">
        <f t="shared" si="465"/>
        <v>0</v>
      </c>
      <c r="BM454" s="54" t="str">
        <f t="shared" si="466"/>
        <v/>
      </c>
      <c r="BN454" s="66">
        <v>46190</v>
      </c>
      <c r="BO454" s="117">
        <v>46195</v>
      </c>
      <c r="BP454" s="39"/>
      <c r="BQ454" s="39"/>
      <c r="BR454" s="50">
        <v>46211</v>
      </c>
      <c r="BS454" s="50">
        <v>46211</v>
      </c>
      <c r="BT454" s="39">
        <v>1581</v>
      </c>
      <c r="BU454" s="39">
        <v>93</v>
      </c>
      <c r="BV454" s="39"/>
      <c r="BW454" s="39"/>
      <c r="BX454" s="39"/>
      <c r="BY454" s="39"/>
      <c r="BZ454" s="39">
        <f t="shared" si="467"/>
        <v>93</v>
      </c>
      <c r="CA454" s="39">
        <f t="shared" si="468"/>
        <v>21</v>
      </c>
      <c r="CB454" s="39">
        <f t="shared" si="469"/>
        <v>0</v>
      </c>
      <c r="CC454" s="39">
        <f t="shared" si="470"/>
        <v>0</v>
      </c>
      <c r="CD454" s="39">
        <f t="shared" si="471"/>
        <v>0</v>
      </c>
      <c r="CE454" s="102">
        <f t="shared" si="472"/>
        <v>0</v>
      </c>
      <c r="CF454" s="36" t="s">
        <v>293</v>
      </c>
      <c r="CG454" s="39" t="s">
        <v>221</v>
      </c>
      <c r="CH454" s="39"/>
      <c r="CI454" s="25">
        <v>2</v>
      </c>
    </row>
    <row r="455" spans="1:87" ht="24.75" customHeight="1">
      <c r="A455" s="36" t="s">
        <v>387</v>
      </c>
      <c r="B455" s="27">
        <v>47636</v>
      </c>
      <c r="C455" s="227">
        <v>15380611</v>
      </c>
      <c r="D455" s="36" t="s">
        <v>24</v>
      </c>
      <c r="E455" s="39">
        <v>320</v>
      </c>
      <c r="F455" s="39" t="s">
        <v>61</v>
      </c>
      <c r="G455" s="36" t="s">
        <v>398</v>
      </c>
      <c r="H455" s="36" t="s">
        <v>589</v>
      </c>
      <c r="I455" s="39">
        <v>73</v>
      </c>
      <c r="J455" s="39"/>
      <c r="K455" s="39">
        <v>29</v>
      </c>
      <c r="L455" s="39">
        <f t="shared" si="477"/>
        <v>102</v>
      </c>
      <c r="M455" s="117">
        <v>46179</v>
      </c>
      <c r="N455" s="117">
        <v>46183</v>
      </c>
      <c r="O455" s="39"/>
      <c r="P455" s="39"/>
      <c r="Q455" s="39"/>
      <c r="R455" s="39">
        <f t="shared" si="403"/>
        <v>0</v>
      </c>
      <c r="S455" s="39" t="s">
        <v>130</v>
      </c>
      <c r="T455" s="39">
        <v>107525</v>
      </c>
      <c r="U455" s="117">
        <v>46209</v>
      </c>
      <c r="V455" s="39"/>
      <c r="W455" s="39"/>
      <c r="X455" s="39"/>
      <c r="Y455" s="39">
        <v>86</v>
      </c>
      <c r="Z455" s="39"/>
      <c r="AA455" s="39"/>
      <c r="AB455" s="118">
        <f t="shared" si="404"/>
        <v>86</v>
      </c>
      <c r="AC455" s="39"/>
      <c r="AD455" s="39"/>
      <c r="AE455" s="39"/>
      <c r="AF455" s="39"/>
      <c r="AG455" s="39"/>
      <c r="AH455" s="39">
        <f t="shared" si="461"/>
        <v>0</v>
      </c>
      <c r="AI455" s="39"/>
      <c r="AJ455" s="39"/>
      <c r="AK455" s="39"/>
      <c r="AL455" s="39"/>
      <c r="AM455" s="39"/>
      <c r="AN455" s="39">
        <f t="shared" si="405"/>
        <v>0</v>
      </c>
      <c r="AO455" s="39"/>
      <c r="AP455" s="39"/>
      <c r="AQ455" s="39"/>
      <c r="AR455" s="39"/>
      <c r="AS455" s="39"/>
      <c r="AT455" s="39">
        <f t="shared" si="462"/>
        <v>0</v>
      </c>
      <c r="AU455" s="39"/>
      <c r="AV455" s="39"/>
      <c r="AW455" s="39"/>
      <c r="AX455" s="39"/>
      <c r="AY455" s="39"/>
      <c r="AZ455" s="39">
        <f t="shared" si="463"/>
        <v>0</v>
      </c>
      <c r="BA455" s="39"/>
      <c r="BB455" s="39"/>
      <c r="BC455" s="39"/>
      <c r="BD455" s="39"/>
      <c r="BE455" s="39"/>
      <c r="BF455" s="39">
        <f t="shared" si="464"/>
        <v>0</v>
      </c>
      <c r="BG455" s="39"/>
      <c r="BH455" s="39"/>
      <c r="BI455" s="39"/>
      <c r="BJ455" s="39"/>
      <c r="BK455" s="39"/>
      <c r="BL455" s="39">
        <f t="shared" si="465"/>
        <v>0</v>
      </c>
      <c r="BM455" s="54" t="str">
        <f t="shared" si="466"/>
        <v/>
      </c>
      <c r="BN455" s="66">
        <v>46185</v>
      </c>
      <c r="BO455" s="117">
        <v>46190</v>
      </c>
      <c r="BP455" s="39"/>
      <c r="BQ455" s="39"/>
      <c r="BR455" s="229">
        <v>46211</v>
      </c>
      <c r="BS455" s="229">
        <v>46219</v>
      </c>
      <c r="BT455" s="39">
        <v>1581</v>
      </c>
      <c r="BU455" s="39">
        <v>74</v>
      </c>
      <c r="BV455" s="39"/>
      <c r="BW455" s="39"/>
      <c r="BX455" s="39">
        <v>1811</v>
      </c>
      <c r="BY455" s="39">
        <v>33</v>
      </c>
      <c r="BZ455" s="39">
        <f t="shared" si="467"/>
        <v>107</v>
      </c>
      <c r="CA455" s="39">
        <f t="shared" si="468"/>
        <v>1</v>
      </c>
      <c r="CB455" s="39">
        <f t="shared" si="469"/>
        <v>0</v>
      </c>
      <c r="CC455" s="39">
        <f t="shared" si="470"/>
        <v>4</v>
      </c>
      <c r="CD455" s="39">
        <f t="shared" si="471"/>
        <v>0</v>
      </c>
      <c r="CE455" s="102">
        <f t="shared" si="472"/>
        <v>0</v>
      </c>
      <c r="CF455" s="36" t="s">
        <v>293</v>
      </c>
      <c r="CG455" s="39" t="s">
        <v>221</v>
      </c>
      <c r="CH455" s="39"/>
      <c r="CI455" s="25">
        <v>2</v>
      </c>
    </row>
    <row r="456" spans="1:87" ht="24.75" customHeight="1">
      <c r="A456" s="36" t="s">
        <v>387</v>
      </c>
      <c r="B456" s="27">
        <v>47636</v>
      </c>
      <c r="C456" s="228"/>
      <c r="D456" s="36"/>
      <c r="E456" s="39"/>
      <c r="F456" s="39"/>
      <c r="G456" s="36" t="s">
        <v>476</v>
      </c>
      <c r="H456" s="36">
        <v>280</v>
      </c>
      <c r="I456" s="39" t="s">
        <v>90</v>
      </c>
      <c r="J456" s="39"/>
      <c r="K456" s="39"/>
      <c r="L456" s="39">
        <f t="shared" si="477"/>
        <v>0</v>
      </c>
      <c r="M456" s="117">
        <v>46179</v>
      </c>
      <c r="N456" s="117">
        <v>46183</v>
      </c>
      <c r="O456" s="39"/>
      <c r="P456" s="39"/>
      <c r="Q456" s="39"/>
      <c r="R456" s="39">
        <f t="shared" si="403"/>
        <v>0</v>
      </c>
      <c r="S456" s="39" t="s">
        <v>130</v>
      </c>
      <c r="T456" s="39">
        <v>107479</v>
      </c>
      <c r="U456" s="117">
        <v>46218</v>
      </c>
      <c r="V456" s="39"/>
      <c r="W456" s="39"/>
      <c r="X456" s="39"/>
      <c r="Y456" s="39">
        <v>59</v>
      </c>
      <c r="Z456" s="39"/>
      <c r="AA456" s="39"/>
      <c r="AB456" s="39">
        <f t="shared" si="404"/>
        <v>59</v>
      </c>
      <c r="AC456" s="39"/>
      <c r="AD456" s="39"/>
      <c r="AE456" s="39"/>
      <c r="AF456" s="39"/>
      <c r="AG456" s="39"/>
      <c r="AH456" s="39">
        <f t="shared" si="461"/>
        <v>0</v>
      </c>
      <c r="AI456" s="39"/>
      <c r="AJ456" s="39"/>
      <c r="AK456" s="39"/>
      <c r="AL456" s="39"/>
      <c r="AM456" s="39"/>
      <c r="AN456" s="39">
        <f t="shared" si="405"/>
        <v>0</v>
      </c>
      <c r="AO456" s="39"/>
      <c r="AP456" s="39"/>
      <c r="AQ456" s="39"/>
      <c r="AR456" s="39"/>
      <c r="AS456" s="39"/>
      <c r="AT456" s="39">
        <f t="shared" si="462"/>
        <v>0</v>
      </c>
      <c r="AU456" s="39"/>
      <c r="AV456" s="39"/>
      <c r="AW456" s="39"/>
      <c r="AX456" s="39"/>
      <c r="AY456" s="39"/>
      <c r="AZ456" s="39">
        <f t="shared" si="463"/>
        <v>0</v>
      </c>
      <c r="BA456" s="39"/>
      <c r="BB456" s="39"/>
      <c r="BC456" s="39"/>
      <c r="BD456" s="39"/>
      <c r="BE456" s="39"/>
      <c r="BF456" s="39">
        <f t="shared" si="464"/>
        <v>0</v>
      </c>
      <c r="BG456" s="39"/>
      <c r="BH456" s="39"/>
      <c r="BI456" s="39"/>
      <c r="BJ456" s="39"/>
      <c r="BK456" s="39"/>
      <c r="BL456" s="39">
        <f t="shared" si="465"/>
        <v>0</v>
      </c>
      <c r="BM456" s="54" t="e">
        <f t="shared" si="466"/>
        <v>#DIV/0!</v>
      </c>
      <c r="BN456" s="66">
        <v>46185</v>
      </c>
      <c r="BO456" s="117">
        <v>46190</v>
      </c>
      <c r="BP456" s="39"/>
      <c r="BQ456" s="39"/>
      <c r="BR456" s="230"/>
      <c r="BS456" s="230"/>
      <c r="BT456" s="39" t="s">
        <v>1669</v>
      </c>
      <c r="BU456" s="39"/>
      <c r="BV456" s="39"/>
      <c r="BW456" s="39"/>
      <c r="BX456" s="39"/>
      <c r="BY456" s="39"/>
      <c r="BZ456" s="39">
        <f t="shared" si="467"/>
        <v>0</v>
      </c>
      <c r="CA456" s="39" t="e">
        <f t="shared" si="468"/>
        <v>#VALUE!</v>
      </c>
      <c r="CB456" s="39">
        <f t="shared" si="469"/>
        <v>0</v>
      </c>
      <c r="CC456" s="39">
        <f t="shared" si="470"/>
        <v>0</v>
      </c>
      <c r="CD456" s="39">
        <f t="shared" si="471"/>
        <v>0</v>
      </c>
      <c r="CE456" s="102" t="e">
        <f t="shared" si="472"/>
        <v>#DIV/0!</v>
      </c>
      <c r="CF456" s="36" t="s">
        <v>293</v>
      </c>
      <c r="CG456" s="39" t="s">
        <v>221</v>
      </c>
      <c r="CH456" s="39"/>
      <c r="CI456" s="25">
        <v>2</v>
      </c>
    </row>
    <row r="457" spans="1:87" ht="24.75" customHeight="1">
      <c r="A457" s="36" t="s">
        <v>387</v>
      </c>
      <c r="B457" s="27">
        <v>47648</v>
      </c>
      <c r="C457" s="227">
        <v>15383418</v>
      </c>
      <c r="D457" s="36"/>
      <c r="E457" s="39">
        <v>220</v>
      </c>
      <c r="F457" s="39" t="s">
        <v>60</v>
      </c>
      <c r="G457" s="36" t="s">
        <v>351</v>
      </c>
      <c r="H457" s="36" t="s">
        <v>89</v>
      </c>
      <c r="I457" s="39">
        <v>244</v>
      </c>
      <c r="J457" s="39"/>
      <c r="K457" s="39">
        <v>12</v>
      </c>
      <c r="L457" s="39">
        <f t="shared" si="477"/>
        <v>256</v>
      </c>
      <c r="M457" s="117">
        <v>46179</v>
      </c>
      <c r="N457" s="117">
        <v>46183</v>
      </c>
      <c r="O457" s="39"/>
      <c r="P457" s="39"/>
      <c r="Q457" s="39"/>
      <c r="R457" s="39">
        <f t="shared" si="403"/>
        <v>0</v>
      </c>
      <c r="S457" s="39" t="s">
        <v>130</v>
      </c>
      <c r="T457" s="39">
        <v>107877</v>
      </c>
      <c r="U457" s="117">
        <v>46224</v>
      </c>
      <c r="V457" s="39"/>
      <c r="W457" s="39"/>
      <c r="X457" s="39"/>
      <c r="Y457" s="39">
        <v>278</v>
      </c>
      <c r="Z457" s="39"/>
      <c r="AA457" s="39">
        <v>16</v>
      </c>
      <c r="AB457" s="119">
        <f t="shared" si="404"/>
        <v>294</v>
      </c>
      <c r="AC457" s="39"/>
      <c r="AD457" s="39"/>
      <c r="AE457" s="39"/>
      <c r="AF457" s="39"/>
      <c r="AG457" s="39"/>
      <c r="AH457" s="39">
        <f t="shared" si="461"/>
        <v>0</v>
      </c>
      <c r="AI457" s="39"/>
      <c r="AJ457" s="39"/>
      <c r="AK457" s="39"/>
      <c r="AL457" s="39"/>
      <c r="AM457" s="39"/>
      <c r="AN457" s="39">
        <f t="shared" si="405"/>
        <v>0</v>
      </c>
      <c r="AO457" s="39"/>
      <c r="AP457" s="39"/>
      <c r="AQ457" s="39"/>
      <c r="AR457" s="39"/>
      <c r="AS457" s="39"/>
      <c r="AT457" s="39">
        <f t="shared" si="462"/>
        <v>0</v>
      </c>
      <c r="AU457" s="39"/>
      <c r="AV457" s="39"/>
      <c r="AW457" s="39"/>
      <c r="AX457" s="39"/>
      <c r="AY457" s="39"/>
      <c r="AZ457" s="39">
        <f t="shared" si="463"/>
        <v>0</v>
      </c>
      <c r="BA457" s="39"/>
      <c r="BB457" s="39"/>
      <c r="BC457" s="39"/>
      <c r="BD457" s="39"/>
      <c r="BE457" s="39"/>
      <c r="BF457" s="39">
        <f t="shared" si="464"/>
        <v>0</v>
      </c>
      <c r="BG457" s="39"/>
      <c r="BH457" s="39"/>
      <c r="BI457" s="39"/>
      <c r="BJ457" s="39"/>
      <c r="BK457" s="39"/>
      <c r="BL457" s="39">
        <f t="shared" si="465"/>
        <v>0</v>
      </c>
      <c r="BM457" s="54" t="str">
        <f t="shared" si="466"/>
        <v/>
      </c>
      <c r="BN457" s="66">
        <v>46189</v>
      </c>
      <c r="BO457" s="117">
        <v>46203</v>
      </c>
      <c r="BP457" s="39"/>
      <c r="BQ457" s="39"/>
      <c r="BR457" s="229">
        <v>46227</v>
      </c>
      <c r="BS457" s="229">
        <v>46227</v>
      </c>
      <c r="BT457" s="39">
        <v>1833</v>
      </c>
      <c r="BU457" s="39">
        <v>255</v>
      </c>
      <c r="BV457" s="39"/>
      <c r="BW457" s="39"/>
      <c r="BX457" s="39">
        <v>1833</v>
      </c>
      <c r="BY457" s="39">
        <v>15</v>
      </c>
      <c r="BZ457" s="39">
        <f t="shared" si="467"/>
        <v>270</v>
      </c>
      <c r="CA457" s="39">
        <f t="shared" si="468"/>
        <v>11</v>
      </c>
      <c r="CB457" s="39">
        <f t="shared" si="469"/>
        <v>0</v>
      </c>
      <c r="CC457" s="39">
        <f t="shared" si="470"/>
        <v>3</v>
      </c>
      <c r="CD457" s="39">
        <f t="shared" si="471"/>
        <v>0</v>
      </c>
      <c r="CE457" s="102">
        <f t="shared" si="472"/>
        <v>0</v>
      </c>
      <c r="CF457" s="36" t="s">
        <v>293</v>
      </c>
      <c r="CG457" s="39" t="s">
        <v>221</v>
      </c>
      <c r="CH457" s="39"/>
      <c r="CI457" s="25">
        <v>2</v>
      </c>
    </row>
    <row r="458" spans="1:87" ht="24.75" customHeight="1">
      <c r="A458" s="36" t="s">
        <v>387</v>
      </c>
      <c r="B458" s="27">
        <v>47648</v>
      </c>
      <c r="C458" s="228"/>
      <c r="D458" s="36"/>
      <c r="E458" s="39">
        <v>220</v>
      </c>
      <c r="F458" s="39" t="s">
        <v>60</v>
      </c>
      <c r="G458" s="36" t="s">
        <v>38</v>
      </c>
      <c r="H458" s="36" t="s">
        <v>89</v>
      </c>
      <c r="I458" s="39">
        <v>115</v>
      </c>
      <c r="J458" s="39"/>
      <c r="K458" s="39">
        <v>6</v>
      </c>
      <c r="L458" s="39">
        <f t="shared" si="477"/>
        <v>121</v>
      </c>
      <c r="M458" s="117">
        <v>46179</v>
      </c>
      <c r="N458" s="117">
        <v>46183</v>
      </c>
      <c r="O458" s="39"/>
      <c r="P458" s="39"/>
      <c r="Q458" s="39"/>
      <c r="R458" s="39">
        <f t="shared" si="403"/>
        <v>0</v>
      </c>
      <c r="S458" s="39" t="s">
        <v>130</v>
      </c>
      <c r="T458" s="39">
        <v>107509</v>
      </c>
      <c r="U458" s="117">
        <v>46208</v>
      </c>
      <c r="V458" s="39"/>
      <c r="W458" s="39"/>
      <c r="X458" s="39"/>
      <c r="Y458" s="39">
        <v>145</v>
      </c>
      <c r="Z458" s="39"/>
      <c r="AA458" s="39">
        <v>10</v>
      </c>
      <c r="AB458" s="119">
        <f t="shared" si="404"/>
        <v>155</v>
      </c>
      <c r="AC458" s="39"/>
      <c r="AD458" s="39"/>
      <c r="AE458" s="39"/>
      <c r="AF458" s="39"/>
      <c r="AG458" s="39"/>
      <c r="AH458" s="39">
        <f t="shared" si="461"/>
        <v>0</v>
      </c>
      <c r="AI458" s="39"/>
      <c r="AJ458" s="39"/>
      <c r="AK458" s="39"/>
      <c r="AL458" s="39"/>
      <c r="AM458" s="39"/>
      <c r="AN458" s="39">
        <f t="shared" si="405"/>
        <v>0</v>
      </c>
      <c r="AO458" s="39"/>
      <c r="AP458" s="39"/>
      <c r="AQ458" s="39"/>
      <c r="AR458" s="39"/>
      <c r="AS458" s="39"/>
      <c r="AT458" s="39">
        <f t="shared" si="462"/>
        <v>0</v>
      </c>
      <c r="AU458" s="39"/>
      <c r="AV458" s="39"/>
      <c r="AW458" s="39"/>
      <c r="AX458" s="39"/>
      <c r="AY458" s="39"/>
      <c r="AZ458" s="39">
        <f t="shared" si="463"/>
        <v>0</v>
      </c>
      <c r="BA458" s="39"/>
      <c r="BB458" s="39"/>
      <c r="BC458" s="39"/>
      <c r="BD458" s="39"/>
      <c r="BE458" s="39"/>
      <c r="BF458" s="39">
        <f t="shared" si="464"/>
        <v>0</v>
      </c>
      <c r="BG458" s="39"/>
      <c r="BH458" s="39"/>
      <c r="BI458" s="39"/>
      <c r="BJ458" s="39"/>
      <c r="BK458" s="39"/>
      <c r="BL458" s="39">
        <f t="shared" si="465"/>
        <v>0</v>
      </c>
      <c r="BM458" s="54" t="str">
        <f t="shared" si="466"/>
        <v/>
      </c>
      <c r="BN458" s="66">
        <v>46189</v>
      </c>
      <c r="BO458" s="117">
        <v>46203</v>
      </c>
      <c r="BP458" s="39"/>
      <c r="BQ458" s="39"/>
      <c r="BR458" s="230"/>
      <c r="BS458" s="230"/>
      <c r="BT458" s="39">
        <v>1838</v>
      </c>
      <c r="BU458" s="39">
        <v>130</v>
      </c>
      <c r="BV458" s="39"/>
      <c r="BW458" s="39"/>
      <c r="BX458" s="39">
        <v>1838</v>
      </c>
      <c r="BY458" s="39">
        <v>9</v>
      </c>
      <c r="BZ458" s="39">
        <f t="shared" si="467"/>
        <v>139</v>
      </c>
      <c r="CA458" s="39">
        <f t="shared" si="468"/>
        <v>15</v>
      </c>
      <c r="CB458" s="39">
        <f t="shared" si="469"/>
        <v>0</v>
      </c>
      <c r="CC458" s="39">
        <f t="shared" si="470"/>
        <v>3</v>
      </c>
      <c r="CD458" s="39">
        <f t="shared" si="471"/>
        <v>0</v>
      </c>
      <c r="CE458" s="102">
        <f t="shared" si="472"/>
        <v>0</v>
      </c>
      <c r="CF458" s="36" t="s">
        <v>293</v>
      </c>
      <c r="CG458" s="39" t="s">
        <v>221</v>
      </c>
      <c r="CH458" s="39"/>
      <c r="CI458" s="25">
        <v>2</v>
      </c>
    </row>
    <row r="459" spans="1:87" ht="33.75" customHeight="1">
      <c r="A459" s="36" t="s">
        <v>387</v>
      </c>
      <c r="B459" s="27">
        <v>47650</v>
      </c>
      <c r="C459" s="36">
        <v>15384295</v>
      </c>
      <c r="D459" s="36" t="s">
        <v>45</v>
      </c>
      <c r="E459" s="39">
        <v>280</v>
      </c>
      <c r="F459" s="39" t="s">
        <v>58</v>
      </c>
      <c r="G459" s="36" t="s">
        <v>431</v>
      </c>
      <c r="H459" s="36" t="s">
        <v>496</v>
      </c>
      <c r="I459" s="39">
        <v>252</v>
      </c>
      <c r="J459" s="39">
        <v>70</v>
      </c>
      <c r="K459" s="39">
        <v>6</v>
      </c>
      <c r="L459" s="39">
        <f t="shared" si="477"/>
        <v>328</v>
      </c>
      <c r="M459" s="117">
        <v>46159</v>
      </c>
      <c r="N459" s="117">
        <v>46164</v>
      </c>
      <c r="O459" s="39"/>
      <c r="P459" s="39"/>
      <c r="Q459" s="39"/>
      <c r="R459" s="39">
        <f t="shared" ref="R459:R464" si="478">SUM(O459:Q459)</f>
        <v>0</v>
      </c>
      <c r="S459" s="39" t="s">
        <v>590</v>
      </c>
      <c r="T459" s="39"/>
      <c r="U459" s="39"/>
      <c r="V459" s="117">
        <v>46179</v>
      </c>
      <c r="W459" s="39">
        <f>294+82+9</f>
        <v>385</v>
      </c>
      <c r="X459" s="117" t="s">
        <v>1677</v>
      </c>
      <c r="Y459" s="39">
        <v>267</v>
      </c>
      <c r="Z459" s="39">
        <v>74</v>
      </c>
      <c r="AA459" s="39">
        <v>8</v>
      </c>
      <c r="AB459" s="119">
        <f t="shared" ref="AB459:AB464" si="479">SUM(Y459:AA459)</f>
        <v>349</v>
      </c>
      <c r="AC459" s="39"/>
      <c r="AD459" s="39"/>
      <c r="AE459" s="39"/>
      <c r="AF459" s="39"/>
      <c r="AG459" s="39"/>
      <c r="AH459" s="39">
        <f t="shared" si="461"/>
        <v>0</v>
      </c>
      <c r="AI459" s="39"/>
      <c r="AJ459" s="39"/>
      <c r="AK459" s="39"/>
      <c r="AL459" s="39"/>
      <c r="AM459" s="39"/>
      <c r="AN459" s="39">
        <f t="shared" si="405"/>
        <v>0</v>
      </c>
      <c r="AO459" s="39" t="s">
        <v>280</v>
      </c>
      <c r="AP459" s="117">
        <v>46213</v>
      </c>
      <c r="AQ459" s="39">
        <v>268</v>
      </c>
      <c r="AR459" s="117">
        <v>46214</v>
      </c>
      <c r="AS459" s="39">
        <v>267</v>
      </c>
      <c r="AT459" s="39">
        <f t="shared" si="462"/>
        <v>-1</v>
      </c>
      <c r="AU459" s="39" t="s">
        <v>257</v>
      </c>
      <c r="AV459" s="117">
        <v>46214</v>
      </c>
      <c r="AW459" s="39">
        <v>267</v>
      </c>
      <c r="AX459" s="117">
        <v>46216</v>
      </c>
      <c r="AY459" s="39">
        <v>262</v>
      </c>
      <c r="AZ459" s="39">
        <f t="shared" si="463"/>
        <v>-5</v>
      </c>
      <c r="BA459" s="39"/>
      <c r="BB459" s="39"/>
      <c r="BC459" s="39"/>
      <c r="BD459" s="39"/>
      <c r="BE459" s="39"/>
      <c r="BF459" s="39">
        <f t="shared" si="464"/>
        <v>0</v>
      </c>
      <c r="BG459" s="39" t="s">
        <v>28</v>
      </c>
      <c r="BH459" s="117">
        <v>46226</v>
      </c>
      <c r="BI459" s="39">
        <v>265</v>
      </c>
      <c r="BJ459" s="117">
        <v>46230</v>
      </c>
      <c r="BK459" s="39">
        <v>256</v>
      </c>
      <c r="BL459" s="39">
        <f t="shared" si="465"/>
        <v>-9</v>
      </c>
      <c r="BM459" s="54" t="str">
        <f t="shared" si="466"/>
        <v/>
      </c>
      <c r="BN459" s="66">
        <v>46185</v>
      </c>
      <c r="BO459" s="117">
        <v>46200</v>
      </c>
      <c r="BP459" s="39"/>
      <c r="BQ459" s="39"/>
      <c r="BR459" s="50">
        <v>46231</v>
      </c>
      <c r="BS459" s="50">
        <v>46232</v>
      </c>
      <c r="BT459" s="39">
        <v>1548</v>
      </c>
      <c r="BU459" s="39">
        <v>256</v>
      </c>
      <c r="BV459" s="39">
        <v>1792</v>
      </c>
      <c r="BW459" s="39">
        <v>74</v>
      </c>
      <c r="BX459" s="39">
        <v>1792</v>
      </c>
      <c r="BY459" s="39">
        <v>8</v>
      </c>
      <c r="BZ459" s="39">
        <f t="shared" si="467"/>
        <v>338</v>
      </c>
      <c r="CA459" s="39">
        <f t="shared" si="468"/>
        <v>4</v>
      </c>
      <c r="CB459" s="39">
        <f t="shared" si="469"/>
        <v>4</v>
      </c>
      <c r="CC459" s="39">
        <f t="shared" si="470"/>
        <v>2</v>
      </c>
      <c r="CD459" s="39">
        <f t="shared" si="471"/>
        <v>0</v>
      </c>
      <c r="CE459" s="102">
        <f t="shared" si="472"/>
        <v>0</v>
      </c>
      <c r="CF459" s="36" t="s">
        <v>293</v>
      </c>
      <c r="CG459" s="39" t="s">
        <v>221</v>
      </c>
      <c r="CH459" s="39"/>
      <c r="CI459" s="25">
        <v>2</v>
      </c>
    </row>
    <row r="460" spans="1:87" ht="24.75" customHeight="1">
      <c r="A460" s="36" t="s">
        <v>387</v>
      </c>
      <c r="B460" s="27">
        <v>47652</v>
      </c>
      <c r="C460" s="227">
        <v>15384864</v>
      </c>
      <c r="D460" s="36"/>
      <c r="E460" s="39">
        <v>160</v>
      </c>
      <c r="F460" s="39" t="s">
        <v>57</v>
      </c>
      <c r="G460" s="36" t="s">
        <v>47</v>
      </c>
      <c r="H460" s="36" t="s">
        <v>22</v>
      </c>
      <c r="I460" s="39">
        <v>27</v>
      </c>
      <c r="J460" s="39">
        <v>4</v>
      </c>
      <c r="K460" s="39"/>
      <c r="L460" s="39">
        <f t="shared" si="477"/>
        <v>31</v>
      </c>
      <c r="M460" s="117">
        <v>46179</v>
      </c>
      <c r="N460" s="117">
        <v>46183</v>
      </c>
      <c r="O460" s="39"/>
      <c r="P460" s="39"/>
      <c r="Q460" s="39"/>
      <c r="R460" s="39">
        <f t="shared" si="478"/>
        <v>0</v>
      </c>
      <c r="S460" s="39" t="s">
        <v>130</v>
      </c>
      <c r="T460" s="39">
        <v>106924</v>
      </c>
      <c r="U460" s="117">
        <v>46188</v>
      </c>
      <c r="V460" s="39"/>
      <c r="W460" s="39"/>
      <c r="X460" s="39"/>
      <c r="Y460" s="39">
        <v>36</v>
      </c>
      <c r="Z460" s="39">
        <v>7</v>
      </c>
      <c r="AA460" s="39"/>
      <c r="AB460" s="119">
        <f t="shared" si="479"/>
        <v>43</v>
      </c>
      <c r="AC460" s="39"/>
      <c r="AD460" s="39"/>
      <c r="AE460" s="39"/>
      <c r="AF460" s="39"/>
      <c r="AG460" s="39"/>
      <c r="AH460" s="39">
        <f t="shared" si="461"/>
        <v>0</v>
      </c>
      <c r="AI460" s="39"/>
      <c r="AJ460" s="39"/>
      <c r="AK460" s="39"/>
      <c r="AL460" s="39"/>
      <c r="AM460" s="39"/>
      <c r="AN460" s="39">
        <f t="shared" si="405"/>
        <v>0</v>
      </c>
      <c r="AO460" s="39"/>
      <c r="AP460" s="39"/>
      <c r="AQ460" s="39"/>
      <c r="AR460" s="39"/>
      <c r="AS460" s="39"/>
      <c r="AT460" s="39">
        <f t="shared" si="462"/>
        <v>0</v>
      </c>
      <c r="AU460" s="39"/>
      <c r="AV460" s="39"/>
      <c r="AW460" s="39"/>
      <c r="AX460" s="39"/>
      <c r="AY460" s="39"/>
      <c r="AZ460" s="39">
        <f t="shared" si="463"/>
        <v>0</v>
      </c>
      <c r="BA460" s="39"/>
      <c r="BB460" s="39"/>
      <c r="BC460" s="39"/>
      <c r="BD460" s="39"/>
      <c r="BE460" s="39"/>
      <c r="BF460" s="39">
        <f t="shared" si="464"/>
        <v>0</v>
      </c>
      <c r="BG460" s="39"/>
      <c r="BH460" s="39"/>
      <c r="BI460" s="39"/>
      <c r="BJ460" s="39"/>
      <c r="BK460" s="39"/>
      <c r="BL460" s="39">
        <f t="shared" si="465"/>
        <v>0</v>
      </c>
      <c r="BM460" s="54" t="str">
        <f t="shared" si="466"/>
        <v/>
      </c>
      <c r="BN460" s="66">
        <v>46188</v>
      </c>
      <c r="BO460" s="117">
        <v>46203</v>
      </c>
      <c r="BP460" s="39"/>
      <c r="BQ460" s="39"/>
      <c r="BR460" s="229">
        <v>46182</v>
      </c>
      <c r="BS460" s="229">
        <v>46230</v>
      </c>
      <c r="BT460" s="39">
        <v>1743</v>
      </c>
      <c r="BU460" s="39">
        <v>27</v>
      </c>
      <c r="BV460" s="39">
        <v>2113</v>
      </c>
      <c r="BW460" s="39">
        <v>10</v>
      </c>
      <c r="BX460" s="39"/>
      <c r="BY460" s="39"/>
      <c r="BZ460" s="39">
        <f t="shared" si="467"/>
        <v>37</v>
      </c>
      <c r="CA460" s="39">
        <f t="shared" si="468"/>
        <v>0</v>
      </c>
      <c r="CB460" s="39">
        <f t="shared" si="469"/>
        <v>6</v>
      </c>
      <c r="CC460" s="39">
        <f t="shared" si="470"/>
        <v>0</v>
      </c>
      <c r="CD460" s="39">
        <f t="shared" si="471"/>
        <v>0</v>
      </c>
      <c r="CE460" s="102">
        <f t="shared" si="472"/>
        <v>0</v>
      </c>
      <c r="CF460" s="36" t="s">
        <v>293</v>
      </c>
      <c r="CG460" s="39" t="s">
        <v>221</v>
      </c>
      <c r="CH460" s="39" t="s">
        <v>973</v>
      </c>
      <c r="CI460" s="25">
        <v>2</v>
      </c>
    </row>
    <row r="461" spans="1:87" ht="24.75" customHeight="1">
      <c r="A461" s="36" t="s">
        <v>387</v>
      </c>
      <c r="B461" s="27">
        <v>47652</v>
      </c>
      <c r="C461" s="231"/>
      <c r="D461" s="36"/>
      <c r="E461" s="39">
        <v>160</v>
      </c>
      <c r="F461" s="39" t="s">
        <v>57</v>
      </c>
      <c r="G461" s="36" t="s">
        <v>647</v>
      </c>
      <c r="H461" s="36" t="s">
        <v>22</v>
      </c>
      <c r="I461" s="39">
        <v>28</v>
      </c>
      <c r="J461" s="39">
        <v>4</v>
      </c>
      <c r="K461" s="39"/>
      <c r="L461" s="39">
        <f t="shared" si="477"/>
        <v>32</v>
      </c>
      <c r="M461" s="117">
        <v>46179</v>
      </c>
      <c r="N461" s="117">
        <v>46183</v>
      </c>
      <c r="O461" s="39"/>
      <c r="P461" s="39"/>
      <c r="Q461" s="39"/>
      <c r="R461" s="39">
        <f t="shared" si="478"/>
        <v>0</v>
      </c>
      <c r="S461" s="39" t="s">
        <v>130</v>
      </c>
      <c r="T461" s="39">
        <v>107062</v>
      </c>
      <c r="U461" s="117">
        <v>46196</v>
      </c>
      <c r="V461" s="39"/>
      <c r="W461" s="39"/>
      <c r="X461" s="39"/>
      <c r="Y461" s="39">
        <v>42</v>
      </c>
      <c r="Z461" s="39">
        <v>7</v>
      </c>
      <c r="AA461" s="39"/>
      <c r="AB461" s="119">
        <f t="shared" si="479"/>
        <v>49</v>
      </c>
      <c r="AC461" s="39"/>
      <c r="AD461" s="39"/>
      <c r="AE461" s="39"/>
      <c r="AF461" s="39"/>
      <c r="AG461" s="39"/>
      <c r="AH461" s="39">
        <f t="shared" si="461"/>
        <v>0</v>
      </c>
      <c r="AI461" s="39"/>
      <c r="AJ461" s="39"/>
      <c r="AK461" s="39"/>
      <c r="AL461" s="39"/>
      <c r="AM461" s="39"/>
      <c r="AN461" s="39">
        <f t="shared" si="405"/>
        <v>0</v>
      </c>
      <c r="AO461" s="39"/>
      <c r="AP461" s="39"/>
      <c r="AQ461" s="39"/>
      <c r="AR461" s="39"/>
      <c r="AS461" s="39"/>
      <c r="AT461" s="39">
        <f t="shared" si="462"/>
        <v>0</v>
      </c>
      <c r="AU461" s="39"/>
      <c r="AV461" s="39"/>
      <c r="AW461" s="39"/>
      <c r="AX461" s="39"/>
      <c r="AY461" s="39"/>
      <c r="AZ461" s="39">
        <f t="shared" si="463"/>
        <v>0</v>
      </c>
      <c r="BA461" s="39"/>
      <c r="BB461" s="39"/>
      <c r="BC461" s="39"/>
      <c r="BD461" s="39"/>
      <c r="BE461" s="39"/>
      <c r="BF461" s="39">
        <f t="shared" si="464"/>
        <v>0</v>
      </c>
      <c r="BG461" s="39"/>
      <c r="BH461" s="39"/>
      <c r="BI461" s="39"/>
      <c r="BJ461" s="39"/>
      <c r="BK461" s="39"/>
      <c r="BL461" s="39">
        <f t="shared" si="465"/>
        <v>0</v>
      </c>
      <c r="BM461" s="54" t="str">
        <f t="shared" si="466"/>
        <v/>
      </c>
      <c r="BN461" s="66">
        <v>46188</v>
      </c>
      <c r="BO461" s="117">
        <v>46203</v>
      </c>
      <c r="BP461" s="39"/>
      <c r="BQ461" s="39"/>
      <c r="BR461" s="232"/>
      <c r="BS461" s="232"/>
      <c r="BT461" s="39">
        <v>2136</v>
      </c>
      <c r="BU461" s="39">
        <v>37</v>
      </c>
      <c r="BV461" s="39">
        <v>1848</v>
      </c>
      <c r="BW461" s="39">
        <v>7</v>
      </c>
      <c r="BX461" s="39"/>
      <c r="BY461" s="39"/>
      <c r="BZ461" s="39">
        <f t="shared" si="467"/>
        <v>44</v>
      </c>
      <c r="CA461" s="39">
        <f t="shared" si="468"/>
        <v>9</v>
      </c>
      <c r="CB461" s="39">
        <f t="shared" si="469"/>
        <v>3</v>
      </c>
      <c r="CC461" s="39">
        <f t="shared" si="470"/>
        <v>0</v>
      </c>
      <c r="CD461" s="39">
        <f t="shared" si="471"/>
        <v>0</v>
      </c>
      <c r="CE461" s="102">
        <f t="shared" si="472"/>
        <v>0</v>
      </c>
      <c r="CF461" s="36" t="s">
        <v>293</v>
      </c>
      <c r="CG461" s="39" t="s">
        <v>221</v>
      </c>
      <c r="CH461" s="39" t="s">
        <v>973</v>
      </c>
      <c r="CI461" s="25">
        <v>2</v>
      </c>
    </row>
    <row r="462" spans="1:87" ht="24.75" customHeight="1">
      <c r="A462" s="36" t="s">
        <v>387</v>
      </c>
      <c r="B462" s="27">
        <v>47652</v>
      </c>
      <c r="C462" s="228"/>
      <c r="D462" s="36"/>
      <c r="E462" s="39">
        <v>160</v>
      </c>
      <c r="F462" s="39" t="s">
        <v>57</v>
      </c>
      <c r="G462" s="36" t="s">
        <v>401</v>
      </c>
      <c r="H462" s="36" t="s">
        <v>22</v>
      </c>
      <c r="I462" s="39">
        <v>35</v>
      </c>
      <c r="J462" s="39">
        <v>5</v>
      </c>
      <c r="K462" s="39"/>
      <c r="L462" s="39">
        <f t="shared" ref="L462:L463" si="480">SUM(I462:K462)</f>
        <v>40</v>
      </c>
      <c r="M462" s="117">
        <v>46179</v>
      </c>
      <c r="N462" s="117">
        <v>46183</v>
      </c>
      <c r="O462" s="39"/>
      <c r="P462" s="39"/>
      <c r="Q462" s="39"/>
      <c r="R462" s="39">
        <f t="shared" si="478"/>
        <v>0</v>
      </c>
      <c r="S462" s="39" t="s">
        <v>130</v>
      </c>
      <c r="T462" s="39">
        <v>106706</v>
      </c>
      <c r="U462" s="117">
        <v>46178</v>
      </c>
      <c r="V462" s="39"/>
      <c r="W462" s="39"/>
      <c r="X462" s="39"/>
      <c r="Y462" s="39">
        <v>45</v>
      </c>
      <c r="Z462" s="39">
        <v>8</v>
      </c>
      <c r="AA462" s="39"/>
      <c r="AB462" s="119">
        <f t="shared" si="479"/>
        <v>53</v>
      </c>
      <c r="AC462" s="39"/>
      <c r="AD462" s="39"/>
      <c r="AE462" s="39"/>
      <c r="AF462" s="39"/>
      <c r="AG462" s="39"/>
      <c r="AH462" s="39">
        <f t="shared" si="461"/>
        <v>0</v>
      </c>
      <c r="AI462" s="39"/>
      <c r="AJ462" s="39"/>
      <c r="AK462" s="39"/>
      <c r="AL462" s="39"/>
      <c r="AM462" s="39"/>
      <c r="AN462" s="39">
        <f t="shared" si="405"/>
        <v>0</v>
      </c>
      <c r="AO462" s="39"/>
      <c r="AP462" s="39"/>
      <c r="AQ462" s="39"/>
      <c r="AR462" s="39"/>
      <c r="AS462" s="39"/>
      <c r="AT462" s="39">
        <f t="shared" si="462"/>
        <v>0</v>
      </c>
      <c r="AU462" s="39"/>
      <c r="AV462" s="39"/>
      <c r="AW462" s="39"/>
      <c r="AX462" s="39"/>
      <c r="AY462" s="39"/>
      <c r="AZ462" s="39">
        <f t="shared" si="463"/>
        <v>0</v>
      </c>
      <c r="BA462" s="39"/>
      <c r="BB462" s="39"/>
      <c r="BC462" s="39"/>
      <c r="BD462" s="39"/>
      <c r="BE462" s="39"/>
      <c r="BF462" s="39">
        <f t="shared" si="464"/>
        <v>0</v>
      </c>
      <c r="BG462" s="39"/>
      <c r="BH462" s="39"/>
      <c r="BI462" s="39"/>
      <c r="BJ462" s="39"/>
      <c r="BK462" s="39"/>
      <c r="BL462" s="39">
        <f t="shared" si="465"/>
        <v>0</v>
      </c>
      <c r="BM462" s="54" t="str">
        <f t="shared" si="466"/>
        <v/>
      </c>
      <c r="BN462" s="66">
        <v>46188</v>
      </c>
      <c r="BO462" s="117">
        <v>46203</v>
      </c>
      <c r="BP462" s="39"/>
      <c r="BQ462" s="39"/>
      <c r="BR462" s="230"/>
      <c r="BS462" s="230"/>
      <c r="BT462" s="39">
        <v>1671</v>
      </c>
      <c r="BU462" s="39">
        <v>39</v>
      </c>
      <c r="BV462" s="39">
        <v>1733</v>
      </c>
      <c r="BW462" s="39">
        <v>6</v>
      </c>
      <c r="BX462" s="39"/>
      <c r="BY462" s="39"/>
      <c r="BZ462" s="39">
        <f t="shared" si="467"/>
        <v>45</v>
      </c>
      <c r="CA462" s="39">
        <f t="shared" si="468"/>
        <v>4</v>
      </c>
      <c r="CB462" s="39">
        <f t="shared" si="469"/>
        <v>1</v>
      </c>
      <c r="CC462" s="39">
        <f t="shared" si="470"/>
        <v>0</v>
      </c>
      <c r="CD462" s="39">
        <f t="shared" si="471"/>
        <v>0</v>
      </c>
      <c r="CE462" s="102">
        <f t="shared" si="472"/>
        <v>0</v>
      </c>
      <c r="CF462" s="36" t="s">
        <v>293</v>
      </c>
      <c r="CG462" s="39" t="s">
        <v>221</v>
      </c>
      <c r="CH462" s="39" t="s">
        <v>973</v>
      </c>
      <c r="CI462" s="25">
        <v>2</v>
      </c>
    </row>
    <row r="463" spans="1:87" ht="34.5" customHeight="1">
      <c r="A463" s="36" t="s">
        <v>387</v>
      </c>
      <c r="B463" s="27">
        <v>47653</v>
      </c>
      <c r="C463" s="36">
        <v>15384868</v>
      </c>
      <c r="D463" s="36" t="s">
        <v>45</v>
      </c>
      <c r="E463" s="39">
        <v>260</v>
      </c>
      <c r="F463" s="39" t="s">
        <v>58</v>
      </c>
      <c r="G463" s="36" t="s">
        <v>429</v>
      </c>
      <c r="H463" s="36" t="s">
        <v>498</v>
      </c>
      <c r="I463" s="39">
        <v>73</v>
      </c>
      <c r="J463" s="39">
        <v>25</v>
      </c>
      <c r="K463" s="39">
        <v>4</v>
      </c>
      <c r="L463" s="39">
        <f t="shared" si="480"/>
        <v>102</v>
      </c>
      <c r="M463" s="117">
        <v>46179</v>
      </c>
      <c r="N463" s="117">
        <v>46183</v>
      </c>
      <c r="O463" s="39"/>
      <c r="P463" s="39"/>
      <c r="Q463" s="39"/>
      <c r="R463" s="39">
        <f t="shared" si="478"/>
        <v>0</v>
      </c>
      <c r="S463" s="39" t="s">
        <v>130</v>
      </c>
      <c r="T463" s="39">
        <v>107549</v>
      </c>
      <c r="U463" s="117">
        <v>46210</v>
      </c>
      <c r="V463" s="39"/>
      <c r="W463" s="39"/>
      <c r="X463" s="39"/>
      <c r="Y463" s="39">
        <v>98</v>
      </c>
      <c r="Z463" s="39">
        <v>31</v>
      </c>
      <c r="AA463" s="39">
        <v>7</v>
      </c>
      <c r="AB463" s="119">
        <f t="shared" si="479"/>
        <v>136</v>
      </c>
      <c r="AC463" s="39"/>
      <c r="AD463" s="39"/>
      <c r="AE463" s="39"/>
      <c r="AF463" s="39"/>
      <c r="AG463" s="39"/>
      <c r="AH463" s="39">
        <f t="shared" si="461"/>
        <v>0</v>
      </c>
      <c r="AI463" s="39"/>
      <c r="AJ463" s="39"/>
      <c r="AK463" s="39"/>
      <c r="AL463" s="39"/>
      <c r="AM463" s="39"/>
      <c r="AN463" s="39">
        <f t="shared" si="405"/>
        <v>0</v>
      </c>
      <c r="AO463" s="39" t="s">
        <v>256</v>
      </c>
      <c r="AP463" s="117">
        <v>46211</v>
      </c>
      <c r="AQ463" s="39">
        <v>91</v>
      </c>
      <c r="AR463" s="117">
        <v>46211</v>
      </c>
      <c r="AS463" s="39">
        <v>89</v>
      </c>
      <c r="AT463" s="39">
        <f t="shared" si="462"/>
        <v>-2</v>
      </c>
      <c r="AU463" s="39" t="s">
        <v>256</v>
      </c>
      <c r="AV463" s="117">
        <v>46211</v>
      </c>
      <c r="AW463" s="39">
        <v>91</v>
      </c>
      <c r="AX463" s="117">
        <v>46211</v>
      </c>
      <c r="AY463" s="39">
        <v>89</v>
      </c>
      <c r="AZ463" s="39">
        <f t="shared" si="463"/>
        <v>-2</v>
      </c>
      <c r="BA463" s="39"/>
      <c r="BB463" s="39"/>
      <c r="BC463" s="39"/>
      <c r="BD463" s="39"/>
      <c r="BE463" s="39"/>
      <c r="BF463" s="39">
        <f t="shared" si="464"/>
        <v>0</v>
      </c>
      <c r="BG463" s="39"/>
      <c r="BH463" s="39"/>
      <c r="BI463" s="39"/>
      <c r="BJ463" s="39"/>
      <c r="BK463" s="39"/>
      <c r="BL463" s="39">
        <f t="shared" si="465"/>
        <v>0</v>
      </c>
      <c r="BM463" s="54" t="str">
        <f t="shared" si="466"/>
        <v/>
      </c>
      <c r="BN463" s="66">
        <v>46188</v>
      </c>
      <c r="BO463" s="117">
        <v>46203</v>
      </c>
      <c r="BP463" s="117"/>
      <c r="BQ463" s="39"/>
      <c r="BR463" s="50">
        <v>46212</v>
      </c>
      <c r="BS463" s="50">
        <v>46242</v>
      </c>
      <c r="BT463" s="39">
        <v>1587</v>
      </c>
      <c r="BU463" s="39">
        <v>87</v>
      </c>
      <c r="BV463" s="39">
        <v>1001</v>
      </c>
      <c r="BW463" s="39">
        <v>28</v>
      </c>
      <c r="BX463" s="39">
        <v>1001</v>
      </c>
      <c r="BY463" s="39">
        <v>5</v>
      </c>
      <c r="BZ463" s="39">
        <f t="shared" si="467"/>
        <v>120</v>
      </c>
      <c r="CA463" s="39">
        <f t="shared" si="468"/>
        <v>14</v>
      </c>
      <c r="CB463" s="39">
        <f t="shared" si="469"/>
        <v>3</v>
      </c>
      <c r="CC463" s="39">
        <f t="shared" si="470"/>
        <v>1</v>
      </c>
      <c r="CD463" s="39">
        <f t="shared" si="471"/>
        <v>0</v>
      </c>
      <c r="CE463" s="102">
        <f t="shared" si="472"/>
        <v>0</v>
      </c>
      <c r="CF463" s="36" t="s">
        <v>293</v>
      </c>
      <c r="CG463" s="39" t="s">
        <v>221</v>
      </c>
      <c r="CH463" s="39"/>
      <c r="CI463" s="25">
        <v>2</v>
      </c>
    </row>
    <row r="464" spans="1:87" ht="34.5" customHeight="1">
      <c r="A464" s="36" t="s">
        <v>387</v>
      </c>
      <c r="B464" s="27">
        <v>47654</v>
      </c>
      <c r="C464" s="36">
        <v>15385290</v>
      </c>
      <c r="D464" s="36" t="s">
        <v>45</v>
      </c>
      <c r="E464" s="39">
        <v>280</v>
      </c>
      <c r="F464" s="39" t="s">
        <v>58</v>
      </c>
      <c r="G464" s="36" t="s">
        <v>648</v>
      </c>
      <c r="H464" s="36" t="s">
        <v>498</v>
      </c>
      <c r="I464" s="39">
        <v>255</v>
      </c>
      <c r="J464" s="39">
        <v>62</v>
      </c>
      <c r="K464" s="39">
        <v>6</v>
      </c>
      <c r="L464" s="39">
        <f t="shared" ref="L464" si="481">SUM(I464:K464)</f>
        <v>323</v>
      </c>
      <c r="M464" s="117">
        <v>46179</v>
      </c>
      <c r="N464" s="117">
        <v>46183</v>
      </c>
      <c r="O464" s="39"/>
      <c r="P464" s="39"/>
      <c r="Q464" s="39"/>
      <c r="R464" s="39">
        <f t="shared" si="478"/>
        <v>0</v>
      </c>
      <c r="S464" s="39" t="s">
        <v>130</v>
      </c>
      <c r="T464" s="39" t="s">
        <v>2650</v>
      </c>
      <c r="U464" s="117" t="s">
        <v>2651</v>
      </c>
      <c r="V464" s="39"/>
      <c r="W464" s="39"/>
      <c r="X464" s="39"/>
      <c r="Y464" s="39">
        <f>299+48</f>
        <v>347</v>
      </c>
      <c r="Z464" s="39">
        <f>78+10</f>
        <v>88</v>
      </c>
      <c r="AA464" s="39">
        <v>10</v>
      </c>
      <c r="AB464" s="119">
        <f t="shared" si="479"/>
        <v>445</v>
      </c>
      <c r="AC464" s="39"/>
      <c r="AD464" s="39"/>
      <c r="AE464" s="39"/>
      <c r="AF464" s="39"/>
      <c r="AG464" s="39"/>
      <c r="AH464" s="39">
        <f t="shared" si="461"/>
        <v>0</v>
      </c>
      <c r="AI464" s="39"/>
      <c r="AJ464" s="39"/>
      <c r="AK464" s="39"/>
      <c r="AL464" s="39"/>
      <c r="AM464" s="39"/>
      <c r="AN464" s="39">
        <f t="shared" si="405"/>
        <v>0</v>
      </c>
      <c r="AO464" s="39" t="s">
        <v>305</v>
      </c>
      <c r="AP464" s="117" t="s">
        <v>2669</v>
      </c>
      <c r="AQ464" s="39">
        <f>271+43</f>
        <v>314</v>
      </c>
      <c r="AR464" s="117" t="s">
        <v>2671</v>
      </c>
      <c r="AS464" s="39">
        <f>266+42</f>
        <v>308</v>
      </c>
      <c r="AT464" s="39">
        <f t="shared" si="462"/>
        <v>-6</v>
      </c>
      <c r="AU464" s="39" t="s">
        <v>257</v>
      </c>
      <c r="AV464" s="117" t="s">
        <v>2670</v>
      </c>
      <c r="AW464" s="39">
        <f>266+43</f>
        <v>309</v>
      </c>
      <c r="AX464" s="117" t="s">
        <v>2672</v>
      </c>
      <c r="AY464" s="39">
        <f>261+42</f>
        <v>303</v>
      </c>
      <c r="AZ464" s="39">
        <f t="shared" si="463"/>
        <v>-6</v>
      </c>
      <c r="BA464" s="39"/>
      <c r="BB464" s="39"/>
      <c r="BC464" s="39"/>
      <c r="BD464" s="39"/>
      <c r="BE464" s="39"/>
      <c r="BF464" s="39">
        <f t="shared" si="464"/>
        <v>0</v>
      </c>
      <c r="BG464" s="39"/>
      <c r="BH464" s="39"/>
      <c r="BI464" s="39"/>
      <c r="BJ464" s="39"/>
      <c r="BK464" s="39"/>
      <c r="BL464" s="39">
        <f t="shared" si="465"/>
        <v>0</v>
      </c>
      <c r="BM464" s="54" t="str">
        <f t="shared" si="466"/>
        <v/>
      </c>
      <c r="BN464" s="66">
        <v>46188</v>
      </c>
      <c r="BO464" s="117">
        <v>46203</v>
      </c>
      <c r="BP464" s="39"/>
      <c r="BQ464" s="39"/>
      <c r="BR464" s="50">
        <v>46235</v>
      </c>
      <c r="BS464" s="50">
        <v>46251</v>
      </c>
      <c r="BT464" s="39" t="s">
        <v>2705</v>
      </c>
      <c r="BU464" s="39">
        <f>256+41</f>
        <v>297</v>
      </c>
      <c r="BV464" s="39" t="s">
        <v>2741</v>
      </c>
      <c r="BW464" s="39">
        <f>67+9</f>
        <v>76</v>
      </c>
      <c r="BX464" s="39">
        <v>647</v>
      </c>
      <c r="BY464" s="39">
        <v>8</v>
      </c>
      <c r="BZ464" s="39">
        <f t="shared" si="467"/>
        <v>381</v>
      </c>
      <c r="CA464" s="39">
        <f t="shared" si="468"/>
        <v>42</v>
      </c>
      <c r="CB464" s="39">
        <f t="shared" si="469"/>
        <v>14</v>
      </c>
      <c r="CC464" s="39">
        <f t="shared" si="470"/>
        <v>2</v>
      </c>
      <c r="CD464" s="39">
        <f t="shared" si="471"/>
        <v>0</v>
      </c>
      <c r="CE464" s="102">
        <f t="shared" si="472"/>
        <v>0</v>
      </c>
      <c r="CF464" s="36" t="s">
        <v>293</v>
      </c>
      <c r="CG464" s="39" t="s">
        <v>221</v>
      </c>
      <c r="CH464" s="39"/>
      <c r="CI464" s="25">
        <v>2</v>
      </c>
    </row>
    <row r="465" spans="1:87" ht="24.75" customHeight="1">
      <c r="A465" s="36" t="s">
        <v>387</v>
      </c>
      <c r="B465" s="27">
        <v>47706</v>
      </c>
      <c r="C465" s="227" t="s">
        <v>684</v>
      </c>
      <c r="D465" s="36" t="s">
        <v>24</v>
      </c>
      <c r="E465" s="39">
        <v>180</v>
      </c>
      <c r="F465" s="39" t="s">
        <v>53</v>
      </c>
      <c r="G465" s="36" t="s">
        <v>685</v>
      </c>
      <c r="H465" s="36" t="s">
        <v>22</v>
      </c>
      <c r="I465" s="39">
        <v>50</v>
      </c>
      <c r="J465" s="39">
        <v>7</v>
      </c>
      <c r="K465" s="39">
        <v>4</v>
      </c>
      <c r="L465" s="39">
        <f t="shared" ref="L465:L468" si="482">SUM(I465:K465)</f>
        <v>61</v>
      </c>
      <c r="M465" s="117">
        <v>46185</v>
      </c>
      <c r="N465" s="117">
        <v>46190</v>
      </c>
      <c r="O465" s="39"/>
      <c r="P465" s="39"/>
      <c r="Q465" s="39"/>
      <c r="R465" s="39">
        <f t="shared" ref="R465:R478" si="483">SUM(O465:Q465)</f>
        <v>0</v>
      </c>
      <c r="S465" s="39" t="s">
        <v>130</v>
      </c>
      <c r="T465" s="39">
        <v>107411</v>
      </c>
      <c r="U465" s="117">
        <v>46204</v>
      </c>
      <c r="V465" s="39"/>
      <c r="W465" s="39"/>
      <c r="X465" s="39"/>
      <c r="Y465" s="39">
        <v>58</v>
      </c>
      <c r="Z465" s="39">
        <v>8</v>
      </c>
      <c r="AA465" s="39">
        <v>6</v>
      </c>
      <c r="AB465" s="119">
        <f t="shared" ref="AB465:AB479" si="484">SUM(Y465:AA465)</f>
        <v>72</v>
      </c>
      <c r="AC465" s="39"/>
      <c r="AD465" s="39"/>
      <c r="AE465" s="39"/>
      <c r="AF465" s="39"/>
      <c r="AG465" s="39"/>
      <c r="AH465" s="39">
        <f t="shared" si="461"/>
        <v>0</v>
      </c>
      <c r="AI465" s="39"/>
      <c r="AJ465" s="39"/>
      <c r="AK465" s="39"/>
      <c r="AL465" s="39"/>
      <c r="AM465" s="39"/>
      <c r="AN465" s="39">
        <f t="shared" si="405"/>
        <v>0</v>
      </c>
      <c r="AO465" s="39"/>
      <c r="AP465" s="39"/>
      <c r="AQ465" s="39"/>
      <c r="AR465" s="39"/>
      <c r="AS465" s="39"/>
      <c r="AT465" s="39">
        <f t="shared" si="462"/>
        <v>0</v>
      </c>
      <c r="AU465" s="39"/>
      <c r="AV465" s="39"/>
      <c r="AW465" s="39"/>
      <c r="AX465" s="39"/>
      <c r="AY465" s="39"/>
      <c r="AZ465" s="39">
        <f t="shared" si="463"/>
        <v>0</v>
      </c>
      <c r="BA465" s="39"/>
      <c r="BB465" s="39"/>
      <c r="BC465" s="39"/>
      <c r="BD465" s="39"/>
      <c r="BE465" s="39"/>
      <c r="BF465" s="39">
        <f t="shared" si="464"/>
        <v>0</v>
      </c>
      <c r="BG465" s="39"/>
      <c r="BH465" s="39"/>
      <c r="BI465" s="39"/>
      <c r="BJ465" s="39"/>
      <c r="BK465" s="39"/>
      <c r="BL465" s="39">
        <f t="shared" si="465"/>
        <v>0</v>
      </c>
      <c r="BM465" s="54" t="str">
        <f t="shared" si="466"/>
        <v/>
      </c>
      <c r="BN465" s="66">
        <v>46192</v>
      </c>
      <c r="BO465" s="117">
        <v>46196</v>
      </c>
      <c r="BP465" s="39"/>
      <c r="BQ465" s="39"/>
      <c r="BR465" s="229">
        <v>46210</v>
      </c>
      <c r="BS465" s="229">
        <v>46210</v>
      </c>
      <c r="BT465" s="39">
        <v>1579</v>
      </c>
      <c r="BU465" s="39">
        <v>53</v>
      </c>
      <c r="BV465" s="39">
        <v>1579</v>
      </c>
      <c r="BW465" s="39">
        <v>7</v>
      </c>
      <c r="BX465" s="39">
        <v>1579</v>
      </c>
      <c r="BY465" s="39">
        <v>6</v>
      </c>
      <c r="BZ465" s="39">
        <f t="shared" si="467"/>
        <v>66</v>
      </c>
      <c r="CA465" s="39">
        <f t="shared" si="468"/>
        <v>3</v>
      </c>
      <c r="CB465" s="39">
        <f t="shared" si="469"/>
        <v>0</v>
      </c>
      <c r="CC465" s="39">
        <f t="shared" si="470"/>
        <v>2</v>
      </c>
      <c r="CD465" s="39">
        <f t="shared" si="471"/>
        <v>0</v>
      </c>
      <c r="CE465" s="102">
        <f t="shared" si="472"/>
        <v>0</v>
      </c>
      <c r="CF465" s="36" t="s">
        <v>293</v>
      </c>
      <c r="CG465" s="39" t="s">
        <v>221</v>
      </c>
      <c r="CH465" s="39"/>
      <c r="CI465" s="25">
        <v>2</v>
      </c>
    </row>
    <row r="466" spans="1:87" ht="24.75" customHeight="1">
      <c r="A466" s="36" t="s">
        <v>387</v>
      </c>
      <c r="B466" s="27">
        <v>47706</v>
      </c>
      <c r="C466" s="228"/>
      <c r="D466" s="36" t="s">
        <v>24</v>
      </c>
      <c r="E466" s="39">
        <v>180</v>
      </c>
      <c r="F466" s="39" t="s">
        <v>53</v>
      </c>
      <c r="G466" s="36" t="s">
        <v>686</v>
      </c>
      <c r="H466" s="36" t="s">
        <v>22</v>
      </c>
      <c r="I466" s="39">
        <v>90</v>
      </c>
      <c r="J466" s="39">
        <v>10</v>
      </c>
      <c r="K466" s="39">
        <v>5</v>
      </c>
      <c r="L466" s="39">
        <f t="shared" si="482"/>
        <v>105</v>
      </c>
      <c r="M466" s="117">
        <v>46185</v>
      </c>
      <c r="N466" s="117">
        <v>46190</v>
      </c>
      <c r="O466" s="39"/>
      <c r="P466" s="39"/>
      <c r="Q466" s="39"/>
      <c r="R466" s="39">
        <f t="shared" ref="R466" si="485">SUM(O466:Q466)</f>
        <v>0</v>
      </c>
      <c r="S466" s="39" t="s">
        <v>130</v>
      </c>
      <c r="T466" s="39"/>
      <c r="U466" s="39"/>
      <c r="V466" s="39"/>
      <c r="W466" s="39"/>
      <c r="X466" s="39"/>
      <c r="Y466" s="39"/>
      <c r="Z466" s="39"/>
      <c r="AA466" s="39"/>
      <c r="AB466" s="118">
        <f t="shared" ref="AB466" si="486">SUM(Y466:AA466)</f>
        <v>0</v>
      </c>
      <c r="AC466" s="39"/>
      <c r="AD466" s="39"/>
      <c r="AE466" s="39"/>
      <c r="AF466" s="39"/>
      <c r="AG466" s="39"/>
      <c r="AH466" s="39">
        <f t="shared" si="461"/>
        <v>0</v>
      </c>
      <c r="AI466" s="39"/>
      <c r="AJ466" s="39"/>
      <c r="AK466" s="39"/>
      <c r="AL466" s="39"/>
      <c r="AM466" s="39"/>
      <c r="AN466" s="39">
        <f t="shared" si="405"/>
        <v>0</v>
      </c>
      <c r="AO466" s="39"/>
      <c r="AP466" s="39"/>
      <c r="AQ466" s="39"/>
      <c r="AR466" s="39"/>
      <c r="AS466" s="39"/>
      <c r="AT466" s="39">
        <f t="shared" si="462"/>
        <v>0</v>
      </c>
      <c r="AU466" s="39"/>
      <c r="AV466" s="39"/>
      <c r="AW466" s="39"/>
      <c r="AX466" s="39"/>
      <c r="AY466" s="39"/>
      <c r="AZ466" s="39">
        <f t="shared" si="463"/>
        <v>0</v>
      </c>
      <c r="BA466" s="39"/>
      <c r="BB466" s="39"/>
      <c r="BC466" s="39"/>
      <c r="BD466" s="39"/>
      <c r="BE466" s="39"/>
      <c r="BF466" s="39">
        <f t="shared" si="464"/>
        <v>0</v>
      </c>
      <c r="BG466" s="39"/>
      <c r="BH466" s="39"/>
      <c r="BI466" s="39"/>
      <c r="BJ466" s="39"/>
      <c r="BK466" s="39"/>
      <c r="BL466" s="39">
        <f t="shared" si="465"/>
        <v>0</v>
      </c>
      <c r="BM466" s="54" t="str">
        <f t="shared" si="466"/>
        <v/>
      </c>
      <c r="BN466" s="66">
        <v>46192</v>
      </c>
      <c r="BO466" s="117">
        <v>46196</v>
      </c>
      <c r="BP466" s="39"/>
      <c r="BQ466" s="39"/>
      <c r="BR466" s="230"/>
      <c r="BS466" s="230"/>
      <c r="BT466" s="39" t="s">
        <v>1540</v>
      </c>
      <c r="BU466" s="39">
        <f>86+4</f>
        <v>90</v>
      </c>
      <c r="BV466" s="39">
        <v>1576</v>
      </c>
      <c r="BW466" s="39">
        <v>11</v>
      </c>
      <c r="BX466" s="39">
        <v>1576</v>
      </c>
      <c r="BY466" s="39">
        <v>6</v>
      </c>
      <c r="BZ466" s="39">
        <f t="shared" si="467"/>
        <v>107</v>
      </c>
      <c r="CA466" s="39">
        <f t="shared" si="468"/>
        <v>0</v>
      </c>
      <c r="CB466" s="39">
        <f t="shared" si="469"/>
        <v>1</v>
      </c>
      <c r="CC466" s="39">
        <f t="shared" si="470"/>
        <v>1</v>
      </c>
      <c r="CD466" s="39">
        <f t="shared" si="471"/>
        <v>0</v>
      </c>
      <c r="CE466" s="102">
        <f t="shared" si="472"/>
        <v>0</v>
      </c>
      <c r="CF466" s="36" t="s">
        <v>293</v>
      </c>
      <c r="CG466" s="39" t="s">
        <v>221</v>
      </c>
      <c r="CH466" s="39"/>
      <c r="CI466" s="25">
        <v>2</v>
      </c>
    </row>
    <row r="467" spans="1:87" ht="24.75" customHeight="1">
      <c r="A467" s="36" t="s">
        <v>387</v>
      </c>
      <c r="B467" s="27">
        <v>47707</v>
      </c>
      <c r="C467" s="227">
        <v>15384287</v>
      </c>
      <c r="D467" s="36"/>
      <c r="E467" s="39">
        <v>160</v>
      </c>
      <c r="F467" s="39" t="s">
        <v>57</v>
      </c>
      <c r="G467" s="36" t="s">
        <v>47</v>
      </c>
      <c r="H467" s="36" t="s">
        <v>22</v>
      </c>
      <c r="I467" s="39">
        <v>119</v>
      </c>
      <c r="J467" s="39">
        <v>5</v>
      </c>
      <c r="K467" s="39"/>
      <c r="L467" s="39">
        <f t="shared" si="482"/>
        <v>124</v>
      </c>
      <c r="M467" s="117">
        <v>46178</v>
      </c>
      <c r="N467" s="117">
        <v>46183</v>
      </c>
      <c r="O467" s="39"/>
      <c r="P467" s="39"/>
      <c r="Q467" s="39"/>
      <c r="R467" s="39">
        <f t="shared" si="483"/>
        <v>0</v>
      </c>
      <c r="S467" s="39" t="s">
        <v>130</v>
      </c>
      <c r="T467" s="39">
        <v>106925</v>
      </c>
      <c r="U467" s="117">
        <v>46188</v>
      </c>
      <c r="V467" s="39"/>
      <c r="W467" s="39"/>
      <c r="X467" s="39"/>
      <c r="Y467" s="39">
        <v>143</v>
      </c>
      <c r="Z467" s="39">
        <v>9</v>
      </c>
      <c r="AA467" s="39"/>
      <c r="AB467" s="119">
        <f t="shared" si="484"/>
        <v>152</v>
      </c>
      <c r="AC467" s="39"/>
      <c r="AD467" s="39"/>
      <c r="AE467" s="39"/>
      <c r="AF467" s="39"/>
      <c r="AG467" s="39"/>
      <c r="AH467" s="39">
        <f t="shared" si="461"/>
        <v>0</v>
      </c>
      <c r="AI467" s="39"/>
      <c r="AJ467" s="39"/>
      <c r="AK467" s="39"/>
      <c r="AL467" s="39"/>
      <c r="AM467" s="39"/>
      <c r="AN467" s="39">
        <f t="shared" si="405"/>
        <v>0</v>
      </c>
      <c r="AO467" s="39"/>
      <c r="AP467" s="39"/>
      <c r="AQ467" s="39"/>
      <c r="AR467" s="39"/>
      <c r="AS467" s="39"/>
      <c r="AT467" s="39">
        <f t="shared" si="462"/>
        <v>0</v>
      </c>
      <c r="AU467" s="39"/>
      <c r="AV467" s="39"/>
      <c r="AW467" s="39"/>
      <c r="AX467" s="39"/>
      <c r="AY467" s="39"/>
      <c r="AZ467" s="39">
        <f t="shared" si="463"/>
        <v>0</v>
      </c>
      <c r="BA467" s="39"/>
      <c r="BB467" s="39"/>
      <c r="BC467" s="39"/>
      <c r="BD467" s="39"/>
      <c r="BE467" s="39"/>
      <c r="BF467" s="39">
        <f t="shared" si="464"/>
        <v>0</v>
      </c>
      <c r="BG467" s="39"/>
      <c r="BH467" s="39"/>
      <c r="BI467" s="39"/>
      <c r="BJ467" s="39"/>
      <c r="BK467" s="39"/>
      <c r="BL467" s="39">
        <f t="shared" si="465"/>
        <v>0</v>
      </c>
      <c r="BM467" s="54" t="str">
        <f t="shared" si="466"/>
        <v/>
      </c>
      <c r="BN467" s="66">
        <v>46188</v>
      </c>
      <c r="BO467" s="117">
        <v>46203</v>
      </c>
      <c r="BP467" s="39"/>
      <c r="BQ467" s="39"/>
      <c r="BR467" s="229">
        <v>46190</v>
      </c>
      <c r="BS467" s="243"/>
      <c r="BT467" s="39">
        <v>1743</v>
      </c>
      <c r="BU467" s="39">
        <v>144</v>
      </c>
      <c r="BV467" s="39">
        <v>2113</v>
      </c>
      <c r="BW467" s="39">
        <v>7</v>
      </c>
      <c r="BX467" s="39"/>
      <c r="BY467" s="39"/>
      <c r="BZ467" s="39">
        <f t="shared" si="467"/>
        <v>151</v>
      </c>
      <c r="CA467" s="39">
        <f t="shared" si="468"/>
        <v>25</v>
      </c>
      <c r="CB467" s="39">
        <f t="shared" si="469"/>
        <v>2</v>
      </c>
      <c r="CC467" s="39">
        <f t="shared" si="470"/>
        <v>0</v>
      </c>
      <c r="CD467" s="39">
        <f t="shared" si="471"/>
        <v>0</v>
      </c>
      <c r="CE467" s="102">
        <f t="shared" si="472"/>
        <v>0</v>
      </c>
      <c r="CF467" s="36" t="s">
        <v>293</v>
      </c>
      <c r="CG467" s="39" t="s">
        <v>221</v>
      </c>
      <c r="CH467" s="39" t="s">
        <v>973</v>
      </c>
      <c r="CI467" s="25">
        <v>2</v>
      </c>
    </row>
    <row r="468" spans="1:87" ht="24.75" customHeight="1">
      <c r="A468" s="36" t="s">
        <v>387</v>
      </c>
      <c r="B468" s="27">
        <v>47707</v>
      </c>
      <c r="C468" s="228"/>
      <c r="D468" s="36"/>
      <c r="E468" s="39">
        <v>160</v>
      </c>
      <c r="F468" s="39" t="s">
        <v>57</v>
      </c>
      <c r="G468" s="36" t="s">
        <v>38</v>
      </c>
      <c r="H468" s="36" t="s">
        <v>22</v>
      </c>
      <c r="I468" s="39">
        <v>192</v>
      </c>
      <c r="J468" s="39">
        <v>7</v>
      </c>
      <c r="K468" s="39"/>
      <c r="L468" s="39">
        <f t="shared" si="482"/>
        <v>199</v>
      </c>
      <c r="M468" s="117">
        <v>46178</v>
      </c>
      <c r="N468" s="117">
        <v>46183</v>
      </c>
      <c r="O468" s="39"/>
      <c r="P468" s="39"/>
      <c r="Q468" s="39"/>
      <c r="R468" s="39">
        <f t="shared" ref="R468" si="487">SUM(O468:Q468)</f>
        <v>0</v>
      </c>
      <c r="S468" s="39" t="s">
        <v>130</v>
      </c>
      <c r="T468" s="39">
        <v>107782</v>
      </c>
      <c r="U468" s="117">
        <v>46217</v>
      </c>
      <c r="V468" s="39"/>
      <c r="W468" s="39"/>
      <c r="X468" s="39"/>
      <c r="Y468" s="39">
        <v>232</v>
      </c>
      <c r="Z468" s="39">
        <v>11</v>
      </c>
      <c r="AA468" s="39"/>
      <c r="AB468" s="119">
        <f t="shared" si="484"/>
        <v>243</v>
      </c>
      <c r="AC468" s="39"/>
      <c r="AD468" s="39"/>
      <c r="AE468" s="39"/>
      <c r="AF468" s="39"/>
      <c r="AG468" s="39"/>
      <c r="AH468" s="39">
        <f t="shared" si="461"/>
        <v>0</v>
      </c>
      <c r="AI468" s="39"/>
      <c r="AJ468" s="39"/>
      <c r="AK468" s="39"/>
      <c r="AL468" s="39"/>
      <c r="AM468" s="39"/>
      <c r="AN468" s="39">
        <f t="shared" si="405"/>
        <v>0</v>
      </c>
      <c r="AO468" s="39"/>
      <c r="AP468" s="39"/>
      <c r="AQ468" s="39"/>
      <c r="AR468" s="39"/>
      <c r="AS468" s="39"/>
      <c r="AT468" s="39">
        <f t="shared" si="462"/>
        <v>0</v>
      </c>
      <c r="AU468" s="39"/>
      <c r="AV468" s="39"/>
      <c r="AW468" s="39"/>
      <c r="AX468" s="39"/>
      <c r="AY468" s="39"/>
      <c r="AZ468" s="39">
        <f t="shared" si="463"/>
        <v>0</v>
      </c>
      <c r="BA468" s="39"/>
      <c r="BB468" s="39"/>
      <c r="BC468" s="39"/>
      <c r="BD468" s="39"/>
      <c r="BE468" s="39"/>
      <c r="BF468" s="39">
        <f t="shared" si="464"/>
        <v>0</v>
      </c>
      <c r="BG468" s="39"/>
      <c r="BH468" s="39"/>
      <c r="BI468" s="39"/>
      <c r="BJ468" s="39"/>
      <c r="BK468" s="39"/>
      <c r="BL468" s="39">
        <f t="shared" si="465"/>
        <v>0</v>
      </c>
      <c r="BM468" s="54" t="str">
        <f t="shared" si="466"/>
        <v/>
      </c>
      <c r="BN468" s="66">
        <v>46188</v>
      </c>
      <c r="BO468" s="117">
        <v>46203</v>
      </c>
      <c r="BP468" s="39"/>
      <c r="BQ468" s="39"/>
      <c r="BR468" s="230"/>
      <c r="BS468" s="230"/>
      <c r="BT468" s="39" t="s">
        <v>1829</v>
      </c>
      <c r="BU468" s="39">
        <f>170+28</f>
        <v>198</v>
      </c>
      <c r="BV468" s="39">
        <v>1812</v>
      </c>
      <c r="BW468" s="39">
        <v>8</v>
      </c>
      <c r="BX468" s="39"/>
      <c r="BY468" s="39"/>
      <c r="BZ468" s="39">
        <f t="shared" si="467"/>
        <v>206</v>
      </c>
      <c r="CA468" s="39">
        <f t="shared" si="468"/>
        <v>6</v>
      </c>
      <c r="CB468" s="39">
        <f t="shared" si="469"/>
        <v>1</v>
      </c>
      <c r="CC468" s="39">
        <f t="shared" si="470"/>
        <v>0</v>
      </c>
      <c r="CD468" s="39">
        <f t="shared" si="471"/>
        <v>0</v>
      </c>
      <c r="CE468" s="102">
        <f t="shared" si="472"/>
        <v>0</v>
      </c>
      <c r="CF468" s="36" t="s">
        <v>293</v>
      </c>
      <c r="CG468" s="39" t="s">
        <v>221</v>
      </c>
      <c r="CH468" s="39" t="s">
        <v>764</v>
      </c>
      <c r="CI468" s="25">
        <v>2</v>
      </c>
    </row>
    <row r="469" spans="1:87" ht="24.75" customHeight="1">
      <c r="A469" s="36" t="s">
        <v>387</v>
      </c>
      <c r="B469" s="27">
        <v>47708</v>
      </c>
      <c r="C469" s="227" t="s">
        <v>687</v>
      </c>
      <c r="D469" s="36"/>
      <c r="E469" s="39">
        <v>200</v>
      </c>
      <c r="F469" s="39" t="s">
        <v>58</v>
      </c>
      <c r="G469" s="36" t="s">
        <v>401</v>
      </c>
      <c r="H469" s="36" t="s">
        <v>212</v>
      </c>
      <c r="I469" s="39">
        <v>35</v>
      </c>
      <c r="J469" s="39">
        <v>4</v>
      </c>
      <c r="K469" s="39"/>
      <c r="L469" s="39">
        <f t="shared" ref="L469:L475" si="488">SUM(I469:K469)</f>
        <v>39</v>
      </c>
      <c r="M469" s="117">
        <v>46181</v>
      </c>
      <c r="N469" s="117">
        <v>46185</v>
      </c>
      <c r="O469" s="39"/>
      <c r="P469" s="39"/>
      <c r="Q469" s="39"/>
      <c r="R469" s="39">
        <f t="shared" si="483"/>
        <v>0</v>
      </c>
      <c r="S469" s="39" t="s">
        <v>130</v>
      </c>
      <c r="T469" s="39">
        <v>107040</v>
      </c>
      <c r="U469" s="117">
        <v>46192</v>
      </c>
      <c r="V469" s="39"/>
      <c r="W469" s="39"/>
      <c r="X469" s="39"/>
      <c r="Y469" s="39">
        <v>47</v>
      </c>
      <c r="Z469" s="39">
        <v>6</v>
      </c>
      <c r="AA469" s="39"/>
      <c r="AB469" s="119">
        <f t="shared" si="484"/>
        <v>53</v>
      </c>
      <c r="AC469" s="39"/>
      <c r="AD469" s="39"/>
      <c r="AE469" s="39"/>
      <c r="AF469" s="39"/>
      <c r="AG469" s="39"/>
      <c r="AH469" s="39">
        <f t="shared" si="461"/>
        <v>0</v>
      </c>
      <c r="AI469" s="39"/>
      <c r="AJ469" s="39"/>
      <c r="AK469" s="39"/>
      <c r="AL469" s="39"/>
      <c r="AM469" s="39"/>
      <c r="AN469" s="39">
        <f t="shared" si="405"/>
        <v>0</v>
      </c>
      <c r="AO469" s="39"/>
      <c r="AP469" s="39"/>
      <c r="AQ469" s="39"/>
      <c r="AR469" s="39"/>
      <c r="AS469" s="39"/>
      <c r="AT469" s="39">
        <f t="shared" si="462"/>
        <v>0</v>
      </c>
      <c r="AU469" s="39"/>
      <c r="AV469" s="39"/>
      <c r="AW469" s="39"/>
      <c r="AX469" s="39"/>
      <c r="AY469" s="39"/>
      <c r="AZ469" s="39">
        <f t="shared" si="463"/>
        <v>0</v>
      </c>
      <c r="BA469" s="39"/>
      <c r="BB469" s="39"/>
      <c r="BC469" s="39"/>
      <c r="BD469" s="39"/>
      <c r="BE469" s="39"/>
      <c r="BF469" s="39">
        <f t="shared" si="464"/>
        <v>0</v>
      </c>
      <c r="BG469" s="39"/>
      <c r="BH469" s="39"/>
      <c r="BI469" s="39"/>
      <c r="BJ469" s="39"/>
      <c r="BK469" s="39"/>
      <c r="BL469" s="39">
        <f t="shared" si="465"/>
        <v>0</v>
      </c>
      <c r="BM469" s="54" t="str">
        <f t="shared" si="466"/>
        <v/>
      </c>
      <c r="BN469" s="66">
        <v>46191</v>
      </c>
      <c r="BO469" s="117">
        <v>46203</v>
      </c>
      <c r="BP469" s="39"/>
      <c r="BQ469" s="39"/>
      <c r="BR469" s="229">
        <v>46235</v>
      </c>
      <c r="BS469" s="243"/>
      <c r="BT469" s="39">
        <v>1941</v>
      </c>
      <c r="BU469" s="39">
        <v>39</v>
      </c>
      <c r="BV469" s="39">
        <v>1005</v>
      </c>
      <c r="BW469" s="39">
        <v>5</v>
      </c>
      <c r="BX469" s="39"/>
      <c r="BY469" s="39"/>
      <c r="BZ469" s="39">
        <f t="shared" si="467"/>
        <v>44</v>
      </c>
      <c r="CA469" s="39">
        <f t="shared" si="468"/>
        <v>4</v>
      </c>
      <c r="CB469" s="39">
        <f t="shared" si="469"/>
        <v>1</v>
      </c>
      <c r="CC469" s="39">
        <f t="shared" si="470"/>
        <v>0</v>
      </c>
      <c r="CD469" s="39">
        <f t="shared" si="471"/>
        <v>0</v>
      </c>
      <c r="CE469" s="102">
        <f t="shared" si="472"/>
        <v>0</v>
      </c>
      <c r="CF469" s="36" t="s">
        <v>293</v>
      </c>
      <c r="CG469" s="39" t="s">
        <v>221</v>
      </c>
      <c r="CH469" s="39" t="s">
        <v>973</v>
      </c>
      <c r="CI469" s="25">
        <v>2</v>
      </c>
    </row>
    <row r="470" spans="1:87" ht="24.75" customHeight="1">
      <c r="A470" s="36" t="s">
        <v>387</v>
      </c>
      <c r="B470" s="27">
        <v>47708</v>
      </c>
      <c r="C470" s="228"/>
      <c r="D470" s="36"/>
      <c r="E470" s="39">
        <v>200</v>
      </c>
      <c r="F470" s="39" t="s">
        <v>58</v>
      </c>
      <c r="G470" s="36" t="s">
        <v>398</v>
      </c>
      <c r="H470" s="36" t="s">
        <v>212</v>
      </c>
      <c r="I470" s="39">
        <v>3</v>
      </c>
      <c r="J470" s="39"/>
      <c r="K470" s="39"/>
      <c r="L470" s="39">
        <f t="shared" si="488"/>
        <v>3</v>
      </c>
      <c r="M470" s="117">
        <v>46181</v>
      </c>
      <c r="N470" s="117">
        <v>46185</v>
      </c>
      <c r="O470" s="39"/>
      <c r="P470" s="39"/>
      <c r="Q470" s="39"/>
      <c r="R470" s="39">
        <f t="shared" si="483"/>
        <v>0</v>
      </c>
      <c r="S470" s="39" t="s">
        <v>130</v>
      </c>
      <c r="T470" s="39">
        <v>107039</v>
      </c>
      <c r="U470" s="117">
        <v>46192</v>
      </c>
      <c r="V470" s="39"/>
      <c r="W470" s="39"/>
      <c r="X470" s="39"/>
      <c r="Y470" s="39">
        <v>6</v>
      </c>
      <c r="Z470" s="39"/>
      <c r="AA470" s="39"/>
      <c r="AB470" s="119">
        <f t="shared" si="484"/>
        <v>6</v>
      </c>
      <c r="AC470" s="39"/>
      <c r="AD470" s="39"/>
      <c r="AE470" s="39"/>
      <c r="AF470" s="39"/>
      <c r="AG470" s="39"/>
      <c r="AH470" s="39">
        <f t="shared" si="461"/>
        <v>0</v>
      </c>
      <c r="AI470" s="39"/>
      <c r="AJ470" s="39"/>
      <c r="AK470" s="39"/>
      <c r="AL470" s="39"/>
      <c r="AM470" s="39"/>
      <c r="AN470" s="39">
        <f t="shared" si="405"/>
        <v>0</v>
      </c>
      <c r="AO470" s="39"/>
      <c r="AP470" s="39"/>
      <c r="AQ470" s="39"/>
      <c r="AR470" s="39"/>
      <c r="AS470" s="39"/>
      <c r="AT470" s="39">
        <f t="shared" si="462"/>
        <v>0</v>
      </c>
      <c r="AU470" s="39"/>
      <c r="AV470" s="39"/>
      <c r="AW470" s="39"/>
      <c r="AX470" s="39"/>
      <c r="AY470" s="39"/>
      <c r="AZ470" s="39">
        <f t="shared" si="463"/>
        <v>0</v>
      </c>
      <c r="BA470" s="39"/>
      <c r="BB470" s="39"/>
      <c r="BC470" s="39"/>
      <c r="BD470" s="39"/>
      <c r="BE470" s="39"/>
      <c r="BF470" s="39">
        <f t="shared" si="464"/>
        <v>0</v>
      </c>
      <c r="BG470" s="39"/>
      <c r="BH470" s="39"/>
      <c r="BI470" s="39"/>
      <c r="BJ470" s="39"/>
      <c r="BK470" s="39"/>
      <c r="BL470" s="39">
        <f t="shared" si="465"/>
        <v>0</v>
      </c>
      <c r="BM470" s="54">
        <f t="shared" ca="1" si="466"/>
        <v>91</v>
      </c>
      <c r="BN470" s="66">
        <v>46191</v>
      </c>
      <c r="BO470" s="117">
        <v>46203</v>
      </c>
      <c r="BP470" s="39"/>
      <c r="BQ470" s="39"/>
      <c r="BR470" s="230"/>
      <c r="BS470" s="230"/>
      <c r="BT470" s="39">
        <v>601</v>
      </c>
      <c r="BU470" s="39">
        <f>2</f>
        <v>2</v>
      </c>
      <c r="BV470" s="39"/>
      <c r="BW470" s="39"/>
      <c r="BX470" s="39"/>
      <c r="BY470" s="39"/>
      <c r="BZ470" s="39">
        <f t="shared" si="467"/>
        <v>2</v>
      </c>
      <c r="CA470" s="39">
        <f t="shared" si="468"/>
        <v>-1</v>
      </c>
      <c r="CB470" s="39">
        <f t="shared" si="469"/>
        <v>0</v>
      </c>
      <c r="CC470" s="39">
        <f t="shared" si="470"/>
        <v>0</v>
      </c>
      <c r="CD470" s="39">
        <f t="shared" si="471"/>
        <v>-1</v>
      </c>
      <c r="CE470" s="102">
        <f t="shared" si="472"/>
        <v>-0.33333333333333331</v>
      </c>
      <c r="CF470" s="36" t="s">
        <v>293</v>
      </c>
      <c r="CG470" s="39" t="s">
        <v>221</v>
      </c>
      <c r="CH470" s="39"/>
      <c r="CI470" s="25">
        <v>2</v>
      </c>
    </row>
    <row r="471" spans="1:87" ht="24.75" customHeight="1">
      <c r="A471" s="36" t="s">
        <v>387</v>
      </c>
      <c r="B471" s="27" t="s">
        <v>788</v>
      </c>
      <c r="C471" s="227">
        <v>15318144</v>
      </c>
      <c r="D471" s="36"/>
      <c r="E471" s="39">
        <v>140</v>
      </c>
      <c r="F471" s="39" t="s">
        <v>57</v>
      </c>
      <c r="G471" s="36" t="s">
        <v>23</v>
      </c>
      <c r="H471" s="36" t="s">
        <v>22</v>
      </c>
      <c r="I471" s="39">
        <v>683</v>
      </c>
      <c r="J471" s="39">
        <v>59</v>
      </c>
      <c r="K471" s="39"/>
      <c r="L471" s="39">
        <f t="shared" si="488"/>
        <v>742</v>
      </c>
      <c r="M471" s="117">
        <v>46162</v>
      </c>
      <c r="N471" s="117">
        <v>46183</v>
      </c>
      <c r="O471" s="39"/>
      <c r="P471" s="39"/>
      <c r="Q471" s="39"/>
      <c r="R471" s="39">
        <f t="shared" si="483"/>
        <v>0</v>
      </c>
      <c r="S471" s="39" t="s">
        <v>100</v>
      </c>
      <c r="T471" s="39"/>
      <c r="U471" s="39"/>
      <c r="V471" s="117">
        <v>46186</v>
      </c>
      <c r="W471" s="39">
        <f>750+72</f>
        <v>822</v>
      </c>
      <c r="X471" s="117" t="s">
        <v>1626</v>
      </c>
      <c r="Y471" s="39">
        <f>651+30</f>
        <v>681</v>
      </c>
      <c r="Z471" s="39">
        <v>66</v>
      </c>
      <c r="AA471" s="39"/>
      <c r="AB471" s="119">
        <f t="shared" si="484"/>
        <v>747</v>
      </c>
      <c r="AC471" s="39"/>
      <c r="AD471" s="39"/>
      <c r="AE471" s="39"/>
      <c r="AF471" s="39"/>
      <c r="AG471" s="39"/>
      <c r="AH471" s="39">
        <f t="shared" si="461"/>
        <v>0</v>
      </c>
      <c r="AI471" s="39"/>
      <c r="AJ471" s="39"/>
      <c r="AK471" s="39"/>
      <c r="AL471" s="39"/>
      <c r="AM471" s="39"/>
      <c r="AN471" s="39">
        <f t="shared" si="405"/>
        <v>0</v>
      </c>
      <c r="AO471" s="39"/>
      <c r="AP471" s="39"/>
      <c r="AQ471" s="39"/>
      <c r="AR471" s="39"/>
      <c r="AS471" s="39"/>
      <c r="AT471" s="39">
        <f t="shared" si="462"/>
        <v>0</v>
      </c>
      <c r="AU471" s="39"/>
      <c r="AV471" s="39"/>
      <c r="AW471" s="39"/>
      <c r="AX471" s="39"/>
      <c r="AY471" s="39"/>
      <c r="AZ471" s="39">
        <f t="shared" si="463"/>
        <v>0</v>
      </c>
      <c r="BA471" s="39"/>
      <c r="BB471" s="39"/>
      <c r="BC471" s="39"/>
      <c r="BD471" s="39"/>
      <c r="BE471" s="39"/>
      <c r="BF471" s="39">
        <f t="shared" si="464"/>
        <v>0</v>
      </c>
      <c r="BG471" s="39"/>
      <c r="BH471" s="39"/>
      <c r="BI471" s="39"/>
      <c r="BJ471" s="39"/>
      <c r="BK471" s="39"/>
      <c r="BL471" s="39">
        <f t="shared" si="465"/>
        <v>0</v>
      </c>
      <c r="BM471" s="54" t="str">
        <f t="shared" si="466"/>
        <v/>
      </c>
      <c r="BN471" s="66">
        <v>46185</v>
      </c>
      <c r="BO471" s="117">
        <v>46200</v>
      </c>
      <c r="BP471" s="39"/>
      <c r="BQ471" s="39"/>
      <c r="BR471" s="229">
        <v>46181</v>
      </c>
      <c r="BS471" s="229">
        <v>46223</v>
      </c>
      <c r="BT471" s="39" t="s">
        <v>1632</v>
      </c>
      <c r="BU471" s="39">
        <f>651+30</f>
        <v>681</v>
      </c>
      <c r="BV471" s="39">
        <v>1758</v>
      </c>
      <c r="BW471" s="39">
        <v>66</v>
      </c>
      <c r="BX471" s="39"/>
      <c r="BY471" s="39"/>
      <c r="BZ471" s="39">
        <f t="shared" si="467"/>
        <v>747</v>
      </c>
      <c r="CA471" s="39">
        <f t="shared" si="468"/>
        <v>-2</v>
      </c>
      <c r="CB471" s="39">
        <f t="shared" si="469"/>
        <v>7</v>
      </c>
      <c r="CC471" s="39">
        <f t="shared" si="470"/>
        <v>0</v>
      </c>
      <c r="CD471" s="39">
        <v>0</v>
      </c>
      <c r="CE471" s="102">
        <f t="shared" si="472"/>
        <v>0</v>
      </c>
      <c r="CF471" s="36" t="s">
        <v>249</v>
      </c>
      <c r="CG471" s="39" t="s">
        <v>222</v>
      </c>
      <c r="CH471" s="39"/>
      <c r="CI471" s="25">
        <v>2</v>
      </c>
    </row>
    <row r="472" spans="1:87" ht="24.75" customHeight="1">
      <c r="A472" s="36" t="s">
        <v>387</v>
      </c>
      <c r="B472" s="27" t="s">
        <v>788</v>
      </c>
      <c r="C472" s="231"/>
      <c r="D472" s="36"/>
      <c r="E472" s="39">
        <v>140</v>
      </c>
      <c r="F472" s="39" t="s">
        <v>57</v>
      </c>
      <c r="G472" s="36" t="s">
        <v>47</v>
      </c>
      <c r="H472" s="36" t="s">
        <v>22</v>
      </c>
      <c r="I472" s="39">
        <v>941</v>
      </c>
      <c r="J472" s="39">
        <v>81</v>
      </c>
      <c r="K472" s="39"/>
      <c r="L472" s="39">
        <f t="shared" si="488"/>
        <v>1022</v>
      </c>
      <c r="M472" s="117">
        <v>46162</v>
      </c>
      <c r="N472" s="117">
        <v>46183</v>
      </c>
      <c r="O472" s="39"/>
      <c r="P472" s="39"/>
      <c r="Q472" s="39"/>
      <c r="R472" s="39">
        <f t="shared" si="483"/>
        <v>0</v>
      </c>
      <c r="S472" s="39" t="s">
        <v>130</v>
      </c>
      <c r="T472" s="39" t="s">
        <v>951</v>
      </c>
      <c r="U472" s="117">
        <v>46179</v>
      </c>
      <c r="V472" s="39"/>
      <c r="W472" s="39"/>
      <c r="X472" s="39"/>
      <c r="Y472" s="39">
        <f>453+250+719</f>
        <v>1422</v>
      </c>
      <c r="Z472" s="39"/>
      <c r="AA472" s="39"/>
      <c r="AB472" s="119">
        <f t="shared" si="484"/>
        <v>1422</v>
      </c>
      <c r="AC472" s="39"/>
      <c r="AD472" s="39"/>
      <c r="AE472" s="39"/>
      <c r="AF472" s="39"/>
      <c r="AG472" s="39"/>
      <c r="AH472" s="39">
        <f t="shared" si="461"/>
        <v>0</v>
      </c>
      <c r="AI472" s="39"/>
      <c r="AJ472" s="39"/>
      <c r="AK472" s="39"/>
      <c r="AL472" s="39"/>
      <c r="AM472" s="39"/>
      <c r="AN472" s="39">
        <f t="shared" si="405"/>
        <v>0</v>
      </c>
      <c r="AO472" s="39"/>
      <c r="AP472" s="39"/>
      <c r="AQ472" s="39"/>
      <c r="AR472" s="39"/>
      <c r="AS472" s="39"/>
      <c r="AT472" s="39">
        <f t="shared" si="462"/>
        <v>0</v>
      </c>
      <c r="AU472" s="39"/>
      <c r="AV472" s="39"/>
      <c r="AW472" s="39"/>
      <c r="AX472" s="39"/>
      <c r="AY472" s="39"/>
      <c r="AZ472" s="39">
        <f t="shared" si="463"/>
        <v>0</v>
      </c>
      <c r="BA472" s="39"/>
      <c r="BB472" s="39"/>
      <c r="BC472" s="39"/>
      <c r="BD472" s="39"/>
      <c r="BE472" s="39"/>
      <c r="BF472" s="39">
        <f t="shared" si="464"/>
        <v>0</v>
      </c>
      <c r="BG472" s="39"/>
      <c r="BH472" s="39"/>
      <c r="BI472" s="39"/>
      <c r="BJ472" s="39"/>
      <c r="BK472" s="39"/>
      <c r="BL472" s="39">
        <f t="shared" si="465"/>
        <v>0</v>
      </c>
      <c r="BM472" s="54" t="str">
        <f t="shared" si="466"/>
        <v/>
      </c>
      <c r="BN472" s="66">
        <v>46185</v>
      </c>
      <c r="BO472" s="117">
        <v>46200</v>
      </c>
      <c r="BP472" s="39"/>
      <c r="BQ472" s="39"/>
      <c r="BR472" s="232"/>
      <c r="BS472" s="232"/>
      <c r="BT472" s="39" t="s">
        <v>974</v>
      </c>
      <c r="BU472" s="39">
        <f>611+379</f>
        <v>990</v>
      </c>
      <c r="BV472" s="39" t="s">
        <v>1009</v>
      </c>
      <c r="BW472" s="39">
        <f>50+39</f>
        <v>89</v>
      </c>
      <c r="BX472" s="39"/>
      <c r="BY472" s="39"/>
      <c r="BZ472" s="39">
        <f t="shared" si="467"/>
        <v>1079</v>
      </c>
      <c r="CA472" s="39">
        <f t="shared" si="468"/>
        <v>49</v>
      </c>
      <c r="CB472" s="39">
        <f t="shared" si="469"/>
        <v>8</v>
      </c>
      <c r="CC472" s="39">
        <f t="shared" si="470"/>
        <v>0</v>
      </c>
      <c r="CD472" s="39">
        <f t="shared" si="471"/>
        <v>0</v>
      </c>
      <c r="CE472" s="102">
        <f t="shared" si="472"/>
        <v>0</v>
      </c>
      <c r="CF472" s="36" t="s">
        <v>249</v>
      </c>
      <c r="CG472" s="39" t="s">
        <v>222</v>
      </c>
      <c r="CH472" s="39" t="s">
        <v>973</v>
      </c>
      <c r="CI472" s="25">
        <v>2</v>
      </c>
    </row>
    <row r="473" spans="1:87" ht="24.75" customHeight="1">
      <c r="A473" s="36" t="s">
        <v>387</v>
      </c>
      <c r="B473" s="27" t="s">
        <v>788</v>
      </c>
      <c r="C473" s="231"/>
      <c r="D473" s="36"/>
      <c r="E473" s="39">
        <v>140</v>
      </c>
      <c r="F473" s="39" t="s">
        <v>57</v>
      </c>
      <c r="G473" s="36" t="s">
        <v>38</v>
      </c>
      <c r="H473" s="36" t="s">
        <v>22</v>
      </c>
      <c r="I473" s="39">
        <v>121</v>
      </c>
      <c r="J473" s="39">
        <v>10</v>
      </c>
      <c r="K473" s="39"/>
      <c r="L473" s="39">
        <f t="shared" si="488"/>
        <v>131</v>
      </c>
      <c r="M473" s="117">
        <v>46162</v>
      </c>
      <c r="N473" s="117">
        <v>46183</v>
      </c>
      <c r="O473" s="39"/>
      <c r="P473" s="39"/>
      <c r="Q473" s="39"/>
      <c r="R473" s="39">
        <f t="shared" si="483"/>
        <v>0</v>
      </c>
      <c r="S473" s="39" t="s">
        <v>130</v>
      </c>
      <c r="T473" s="39">
        <v>107376</v>
      </c>
      <c r="U473" s="117">
        <v>46204</v>
      </c>
      <c r="V473" s="39"/>
      <c r="W473" s="39"/>
      <c r="X473" s="39"/>
      <c r="Y473" s="39">
        <v>149</v>
      </c>
      <c r="Z473" s="39">
        <v>13</v>
      </c>
      <c r="AA473" s="39"/>
      <c r="AB473" s="119">
        <f t="shared" si="484"/>
        <v>162</v>
      </c>
      <c r="AC473" s="39"/>
      <c r="AD473" s="39"/>
      <c r="AE473" s="39"/>
      <c r="AF473" s="39"/>
      <c r="AG473" s="39"/>
      <c r="AH473" s="39">
        <f t="shared" si="461"/>
        <v>0</v>
      </c>
      <c r="AI473" s="39"/>
      <c r="AJ473" s="39"/>
      <c r="AK473" s="39"/>
      <c r="AL473" s="39"/>
      <c r="AM473" s="39"/>
      <c r="AN473" s="39">
        <f t="shared" si="405"/>
        <v>0</v>
      </c>
      <c r="AO473" s="39"/>
      <c r="AP473" s="39"/>
      <c r="AQ473" s="39"/>
      <c r="AR473" s="39"/>
      <c r="AS473" s="39"/>
      <c r="AT473" s="39">
        <f t="shared" si="462"/>
        <v>0</v>
      </c>
      <c r="AU473" s="39"/>
      <c r="AV473" s="39"/>
      <c r="AW473" s="39"/>
      <c r="AX473" s="39"/>
      <c r="AY473" s="39"/>
      <c r="AZ473" s="39">
        <f t="shared" si="463"/>
        <v>0</v>
      </c>
      <c r="BA473" s="39"/>
      <c r="BB473" s="39"/>
      <c r="BC473" s="39"/>
      <c r="BD473" s="39"/>
      <c r="BE473" s="39"/>
      <c r="BF473" s="39">
        <f t="shared" si="464"/>
        <v>0</v>
      </c>
      <c r="BG473" s="39"/>
      <c r="BH473" s="39"/>
      <c r="BI473" s="39"/>
      <c r="BJ473" s="39"/>
      <c r="BK473" s="39"/>
      <c r="BL473" s="39">
        <f t="shared" si="465"/>
        <v>0</v>
      </c>
      <c r="BM473" s="54" t="str">
        <f t="shared" si="466"/>
        <v/>
      </c>
      <c r="BN473" s="66">
        <v>46185</v>
      </c>
      <c r="BO473" s="117">
        <v>46200</v>
      </c>
      <c r="BP473" s="39"/>
      <c r="BQ473" s="39"/>
      <c r="BR473" s="232"/>
      <c r="BS473" s="232"/>
      <c r="BT473" s="39">
        <v>1587</v>
      </c>
      <c r="BU473" s="39">
        <v>133</v>
      </c>
      <c r="BV473" s="39">
        <v>2039</v>
      </c>
      <c r="BW473" s="39">
        <v>10</v>
      </c>
      <c r="BX473" s="39"/>
      <c r="BY473" s="39"/>
      <c r="BZ473" s="39">
        <f t="shared" si="467"/>
        <v>143</v>
      </c>
      <c r="CA473" s="39">
        <f t="shared" si="468"/>
        <v>12</v>
      </c>
      <c r="CB473" s="39">
        <f t="shared" si="469"/>
        <v>0</v>
      </c>
      <c r="CC473" s="39">
        <f t="shared" si="470"/>
        <v>0</v>
      </c>
      <c r="CD473" s="39">
        <f t="shared" si="471"/>
        <v>0</v>
      </c>
      <c r="CE473" s="102">
        <f t="shared" si="472"/>
        <v>0</v>
      </c>
      <c r="CF473" s="36" t="s">
        <v>249</v>
      </c>
      <c r="CG473" s="39" t="s">
        <v>222</v>
      </c>
      <c r="CH473" s="39" t="s">
        <v>973</v>
      </c>
      <c r="CI473" s="25">
        <v>2</v>
      </c>
    </row>
    <row r="474" spans="1:87" ht="24.75" customHeight="1">
      <c r="A474" s="36" t="s">
        <v>387</v>
      </c>
      <c r="B474" s="27" t="s">
        <v>788</v>
      </c>
      <c r="C474" s="231"/>
      <c r="D474" s="36"/>
      <c r="E474" s="39">
        <v>140</v>
      </c>
      <c r="F474" s="39" t="s">
        <v>57</v>
      </c>
      <c r="G474" s="36" t="s">
        <v>547</v>
      </c>
      <c r="H474" s="36" t="s">
        <v>22</v>
      </c>
      <c r="I474" s="39">
        <v>114</v>
      </c>
      <c r="J474" s="39">
        <v>10</v>
      </c>
      <c r="K474" s="39"/>
      <c r="L474" s="39">
        <f t="shared" si="488"/>
        <v>124</v>
      </c>
      <c r="M474" s="117">
        <v>46162</v>
      </c>
      <c r="N474" s="117">
        <v>46183</v>
      </c>
      <c r="O474" s="39"/>
      <c r="P474" s="39"/>
      <c r="Q474" s="39"/>
      <c r="R474" s="39">
        <f t="shared" si="483"/>
        <v>0</v>
      </c>
      <c r="S474" s="39" t="s">
        <v>130</v>
      </c>
      <c r="T474" s="39">
        <v>107397</v>
      </c>
      <c r="U474" s="117">
        <v>46205</v>
      </c>
      <c r="V474" s="39"/>
      <c r="W474" s="39"/>
      <c r="X474" s="39"/>
      <c r="Y474" s="39">
        <v>140</v>
      </c>
      <c r="Z474" s="39">
        <v>13</v>
      </c>
      <c r="AA474" s="39"/>
      <c r="AB474" s="119">
        <f t="shared" si="484"/>
        <v>153</v>
      </c>
      <c r="AC474" s="39"/>
      <c r="AD474" s="39"/>
      <c r="AE474" s="39"/>
      <c r="AF474" s="39"/>
      <c r="AG474" s="39"/>
      <c r="AH474" s="39">
        <f t="shared" si="461"/>
        <v>0</v>
      </c>
      <c r="AI474" s="39"/>
      <c r="AJ474" s="39"/>
      <c r="AK474" s="39"/>
      <c r="AL474" s="39"/>
      <c r="AM474" s="39"/>
      <c r="AN474" s="39">
        <f t="shared" si="405"/>
        <v>0</v>
      </c>
      <c r="AO474" s="39"/>
      <c r="AP474" s="39"/>
      <c r="AQ474" s="39"/>
      <c r="AR474" s="39"/>
      <c r="AS474" s="39"/>
      <c r="AT474" s="39">
        <f t="shared" si="462"/>
        <v>0</v>
      </c>
      <c r="AU474" s="39"/>
      <c r="AV474" s="39"/>
      <c r="AW474" s="39"/>
      <c r="AX474" s="39"/>
      <c r="AY474" s="39"/>
      <c r="AZ474" s="39">
        <f t="shared" si="463"/>
        <v>0</v>
      </c>
      <c r="BA474" s="39"/>
      <c r="BB474" s="39"/>
      <c r="BC474" s="39"/>
      <c r="BD474" s="39"/>
      <c r="BE474" s="39"/>
      <c r="BF474" s="39">
        <f t="shared" si="464"/>
        <v>0</v>
      </c>
      <c r="BG474" s="39"/>
      <c r="BH474" s="39"/>
      <c r="BI474" s="39"/>
      <c r="BJ474" s="39"/>
      <c r="BK474" s="39"/>
      <c r="BL474" s="39">
        <f t="shared" si="465"/>
        <v>0</v>
      </c>
      <c r="BM474" s="54" t="str">
        <f t="shared" si="466"/>
        <v/>
      </c>
      <c r="BN474" s="66">
        <v>46185</v>
      </c>
      <c r="BO474" s="117">
        <v>46200</v>
      </c>
      <c r="BP474" s="39"/>
      <c r="BQ474" s="39"/>
      <c r="BR474" s="232"/>
      <c r="BS474" s="232"/>
      <c r="BT474" s="39">
        <v>1586</v>
      </c>
      <c r="BU474" s="39">
        <v>124</v>
      </c>
      <c r="BV474" s="39">
        <v>1586</v>
      </c>
      <c r="BW474" s="39">
        <v>12</v>
      </c>
      <c r="BX474" s="39"/>
      <c r="BY474" s="39"/>
      <c r="BZ474" s="39">
        <f t="shared" si="467"/>
        <v>136</v>
      </c>
      <c r="CA474" s="39">
        <f t="shared" si="468"/>
        <v>10</v>
      </c>
      <c r="CB474" s="39">
        <f t="shared" si="469"/>
        <v>2</v>
      </c>
      <c r="CC474" s="39">
        <f t="shared" si="470"/>
        <v>0</v>
      </c>
      <c r="CD474" s="39">
        <f t="shared" si="471"/>
        <v>0</v>
      </c>
      <c r="CE474" s="102">
        <f t="shared" si="472"/>
        <v>0</v>
      </c>
      <c r="CF474" s="36" t="s">
        <v>249</v>
      </c>
      <c r="CG474" s="39" t="s">
        <v>222</v>
      </c>
      <c r="CH474" s="39"/>
      <c r="CI474" s="25">
        <v>2</v>
      </c>
    </row>
    <row r="475" spans="1:87" ht="24.75" customHeight="1">
      <c r="A475" s="36" t="s">
        <v>387</v>
      </c>
      <c r="B475" s="27" t="s">
        <v>788</v>
      </c>
      <c r="C475" s="231"/>
      <c r="D475" s="36"/>
      <c r="E475" s="39">
        <v>140</v>
      </c>
      <c r="F475" s="39" t="s">
        <v>57</v>
      </c>
      <c r="G475" s="36" t="s">
        <v>39</v>
      </c>
      <c r="H475" s="36" t="s">
        <v>22</v>
      </c>
      <c r="I475" s="39">
        <v>156</v>
      </c>
      <c r="J475" s="39">
        <v>13</v>
      </c>
      <c r="K475" s="39"/>
      <c r="L475" s="39">
        <f t="shared" si="488"/>
        <v>169</v>
      </c>
      <c r="M475" s="117">
        <v>46162</v>
      </c>
      <c r="N475" s="117">
        <v>46183</v>
      </c>
      <c r="O475" s="39"/>
      <c r="P475" s="39"/>
      <c r="Q475" s="39"/>
      <c r="R475" s="39">
        <f t="shared" si="483"/>
        <v>0</v>
      </c>
      <c r="S475" s="39" t="s">
        <v>326</v>
      </c>
      <c r="T475" s="39"/>
      <c r="U475" s="39"/>
      <c r="V475" s="117">
        <v>46190</v>
      </c>
      <c r="W475" s="39">
        <f>190+16</f>
        <v>206</v>
      </c>
      <c r="X475" s="117">
        <v>46204</v>
      </c>
      <c r="Y475" s="39">
        <v>167</v>
      </c>
      <c r="Z475" s="39">
        <v>14</v>
      </c>
      <c r="AA475" s="39"/>
      <c r="AB475" s="119">
        <f t="shared" si="484"/>
        <v>181</v>
      </c>
      <c r="AC475" s="39"/>
      <c r="AD475" s="39"/>
      <c r="AE475" s="39"/>
      <c r="AF475" s="39"/>
      <c r="AG475" s="39"/>
      <c r="AH475" s="39">
        <f t="shared" si="461"/>
        <v>0</v>
      </c>
      <c r="AI475" s="39"/>
      <c r="AJ475" s="39"/>
      <c r="AK475" s="39"/>
      <c r="AL475" s="39"/>
      <c r="AM475" s="39"/>
      <c r="AN475" s="39">
        <f t="shared" si="405"/>
        <v>0</v>
      </c>
      <c r="AO475" s="39"/>
      <c r="AP475" s="39"/>
      <c r="AQ475" s="39"/>
      <c r="AR475" s="39"/>
      <c r="AS475" s="39"/>
      <c r="AT475" s="39">
        <f t="shared" si="462"/>
        <v>0</v>
      </c>
      <c r="AU475" s="39"/>
      <c r="AV475" s="39"/>
      <c r="AW475" s="39"/>
      <c r="AX475" s="39"/>
      <c r="AY475" s="39"/>
      <c r="AZ475" s="39">
        <f t="shared" si="463"/>
        <v>0</v>
      </c>
      <c r="BA475" s="39"/>
      <c r="BB475" s="39"/>
      <c r="BC475" s="39"/>
      <c r="BD475" s="39"/>
      <c r="BE475" s="39"/>
      <c r="BF475" s="39">
        <f t="shared" si="464"/>
        <v>0</v>
      </c>
      <c r="BG475" s="39"/>
      <c r="BH475" s="39"/>
      <c r="BI475" s="39"/>
      <c r="BJ475" s="39"/>
      <c r="BK475" s="39"/>
      <c r="BL475" s="39">
        <f t="shared" si="465"/>
        <v>0</v>
      </c>
      <c r="BM475" s="54" t="str">
        <f t="shared" si="466"/>
        <v/>
      </c>
      <c r="BN475" s="66">
        <v>46185</v>
      </c>
      <c r="BO475" s="117">
        <v>46200</v>
      </c>
      <c r="BP475" s="39"/>
      <c r="BQ475" s="39"/>
      <c r="BR475" s="232"/>
      <c r="BS475" s="232"/>
      <c r="BT475" s="39">
        <v>1763</v>
      </c>
      <c r="BU475" s="39">
        <v>167</v>
      </c>
      <c r="BV475" s="39">
        <v>1763</v>
      </c>
      <c r="BW475" s="39">
        <v>14</v>
      </c>
      <c r="BX475" s="39"/>
      <c r="BY475" s="39"/>
      <c r="BZ475" s="39">
        <f t="shared" si="467"/>
        <v>181</v>
      </c>
      <c r="CA475" s="39">
        <f t="shared" si="468"/>
        <v>11</v>
      </c>
      <c r="CB475" s="39">
        <f t="shared" si="469"/>
        <v>1</v>
      </c>
      <c r="CC475" s="39">
        <f t="shared" si="470"/>
        <v>0</v>
      </c>
      <c r="CD475" s="39">
        <f t="shared" si="471"/>
        <v>0</v>
      </c>
      <c r="CE475" s="102">
        <f t="shared" si="472"/>
        <v>0</v>
      </c>
      <c r="CF475" s="36" t="s">
        <v>249</v>
      </c>
      <c r="CG475" s="39" t="s">
        <v>222</v>
      </c>
      <c r="CH475" s="39"/>
      <c r="CI475" s="25">
        <v>2</v>
      </c>
    </row>
    <row r="476" spans="1:87" ht="24.75" customHeight="1">
      <c r="A476" s="36" t="s">
        <v>387</v>
      </c>
      <c r="B476" s="27" t="s">
        <v>788</v>
      </c>
      <c r="C476" s="228"/>
      <c r="D476" s="36"/>
      <c r="E476" s="39"/>
      <c r="F476" s="39"/>
      <c r="G476" s="36" t="s">
        <v>103</v>
      </c>
      <c r="H476" s="36">
        <f>510+370+370+370+200+1080+270+370+310+285+270+370</f>
        <v>4775</v>
      </c>
      <c r="I476" s="39" t="s">
        <v>90</v>
      </c>
      <c r="J476" s="39"/>
      <c r="K476" s="39"/>
      <c r="L476" s="39">
        <f t="shared" ref="L476" si="489">SUM(I476:K476)</f>
        <v>0</v>
      </c>
      <c r="M476" s="117">
        <v>46162</v>
      </c>
      <c r="N476" s="117">
        <v>46183</v>
      </c>
      <c r="O476" s="39"/>
      <c r="P476" s="39"/>
      <c r="Q476" s="39"/>
      <c r="R476" s="39">
        <f t="shared" si="483"/>
        <v>0</v>
      </c>
      <c r="S476" s="39" t="s">
        <v>130</v>
      </c>
      <c r="T476" s="39"/>
      <c r="U476" s="39"/>
      <c r="V476" s="39"/>
      <c r="W476" s="39"/>
      <c r="X476" s="39"/>
      <c r="Y476" s="39"/>
      <c r="Z476" s="39"/>
      <c r="AA476" s="39"/>
      <c r="AB476" s="39">
        <f t="shared" si="484"/>
        <v>0</v>
      </c>
      <c r="AC476" s="39"/>
      <c r="AD476" s="39"/>
      <c r="AE476" s="39"/>
      <c r="AF476" s="39"/>
      <c r="AG476" s="39"/>
      <c r="AH476" s="39">
        <f t="shared" si="461"/>
        <v>0</v>
      </c>
      <c r="AI476" s="39"/>
      <c r="AJ476" s="39"/>
      <c r="AK476" s="39"/>
      <c r="AL476" s="39"/>
      <c r="AM476" s="39"/>
      <c r="AN476" s="39">
        <f t="shared" si="405"/>
        <v>0</v>
      </c>
      <c r="AO476" s="39"/>
      <c r="AP476" s="39"/>
      <c r="AQ476" s="39"/>
      <c r="AR476" s="39"/>
      <c r="AS476" s="39"/>
      <c r="AT476" s="39">
        <f t="shared" si="462"/>
        <v>0</v>
      </c>
      <c r="AU476" s="39"/>
      <c r="AV476" s="39"/>
      <c r="AW476" s="39"/>
      <c r="AX476" s="39"/>
      <c r="AY476" s="39"/>
      <c r="AZ476" s="39">
        <f t="shared" si="463"/>
        <v>0</v>
      </c>
      <c r="BA476" s="39"/>
      <c r="BB476" s="39"/>
      <c r="BC476" s="39"/>
      <c r="BD476" s="39"/>
      <c r="BE476" s="39"/>
      <c r="BF476" s="39">
        <f t="shared" si="464"/>
        <v>0</v>
      </c>
      <c r="BG476" s="39"/>
      <c r="BH476" s="39"/>
      <c r="BI476" s="39"/>
      <c r="BJ476" s="39"/>
      <c r="BK476" s="39"/>
      <c r="BL476" s="39">
        <f t="shared" si="465"/>
        <v>0</v>
      </c>
      <c r="BM476" s="54" t="e">
        <f t="shared" si="466"/>
        <v>#DIV/0!</v>
      </c>
      <c r="BN476" s="66">
        <v>46185</v>
      </c>
      <c r="BO476" s="117">
        <v>46200</v>
      </c>
      <c r="BP476" s="39"/>
      <c r="BQ476" s="39"/>
      <c r="BR476" s="230"/>
      <c r="BS476" s="230"/>
      <c r="BT476" s="39"/>
      <c r="BU476" s="39"/>
      <c r="BV476" s="39"/>
      <c r="BW476" s="39"/>
      <c r="BX476" s="39"/>
      <c r="BY476" s="39"/>
      <c r="BZ476" s="39">
        <f t="shared" si="467"/>
        <v>0</v>
      </c>
      <c r="CA476" s="39" t="e">
        <f t="shared" si="468"/>
        <v>#VALUE!</v>
      </c>
      <c r="CB476" s="39">
        <f t="shared" si="469"/>
        <v>0</v>
      </c>
      <c r="CC476" s="39">
        <f t="shared" si="470"/>
        <v>0</v>
      </c>
      <c r="CD476" s="39">
        <f t="shared" si="471"/>
        <v>0</v>
      </c>
      <c r="CE476" s="102" t="e">
        <f t="shared" si="472"/>
        <v>#DIV/0!</v>
      </c>
      <c r="CF476" s="36" t="s">
        <v>249</v>
      </c>
      <c r="CG476" s="39" t="s">
        <v>222</v>
      </c>
      <c r="CH476" s="39"/>
      <c r="CI476" s="25">
        <v>2</v>
      </c>
    </row>
    <row r="477" spans="1:87" ht="24.75" customHeight="1">
      <c r="A477" s="36" t="s">
        <v>387</v>
      </c>
      <c r="B477" s="27" t="s">
        <v>846</v>
      </c>
      <c r="C477" s="227">
        <v>15346761</v>
      </c>
      <c r="D477" s="36"/>
      <c r="E477" s="39">
        <v>160</v>
      </c>
      <c r="F477" s="39" t="s">
        <v>54</v>
      </c>
      <c r="G477" s="36" t="s">
        <v>38</v>
      </c>
      <c r="H477" s="36" t="s">
        <v>22</v>
      </c>
      <c r="I477" s="39">
        <v>121</v>
      </c>
      <c r="J477" s="39">
        <v>7</v>
      </c>
      <c r="K477" s="39"/>
      <c r="L477" s="39">
        <f t="shared" ref="L477" si="490">SUM(I477:K477)</f>
        <v>128</v>
      </c>
      <c r="M477" s="117">
        <v>46179</v>
      </c>
      <c r="N477" s="117">
        <v>46183</v>
      </c>
      <c r="O477" s="39"/>
      <c r="P477" s="39"/>
      <c r="Q477" s="39"/>
      <c r="R477" s="39">
        <f t="shared" si="483"/>
        <v>0</v>
      </c>
      <c r="S477" s="39" t="s">
        <v>130</v>
      </c>
      <c r="T477" s="39">
        <v>107781</v>
      </c>
      <c r="U477" s="117">
        <v>46217</v>
      </c>
      <c r="V477" s="39"/>
      <c r="W477" s="39"/>
      <c r="X477" s="39"/>
      <c r="Y477" s="39">
        <v>149</v>
      </c>
      <c r="Z477" s="39">
        <v>10</v>
      </c>
      <c r="AA477" s="39"/>
      <c r="AB477" s="119">
        <f t="shared" si="484"/>
        <v>159</v>
      </c>
      <c r="AC477" s="39"/>
      <c r="AD477" s="39"/>
      <c r="AE477" s="39"/>
      <c r="AF477" s="39"/>
      <c r="AG477" s="39"/>
      <c r="AH477" s="39">
        <f t="shared" si="461"/>
        <v>0</v>
      </c>
      <c r="AI477" s="39"/>
      <c r="AJ477" s="39"/>
      <c r="AK477" s="39"/>
      <c r="AL477" s="39"/>
      <c r="AM477" s="39"/>
      <c r="AN477" s="39">
        <f t="shared" si="405"/>
        <v>0</v>
      </c>
      <c r="AO477" s="39"/>
      <c r="AP477" s="39"/>
      <c r="AQ477" s="39"/>
      <c r="AR477" s="39"/>
      <c r="AS477" s="39"/>
      <c r="AT477" s="39">
        <f t="shared" si="462"/>
        <v>0</v>
      </c>
      <c r="AU477" s="39"/>
      <c r="AV477" s="39"/>
      <c r="AW477" s="39"/>
      <c r="AX477" s="39"/>
      <c r="AY477" s="39"/>
      <c r="AZ477" s="39">
        <f t="shared" si="463"/>
        <v>0</v>
      </c>
      <c r="BA477" s="39"/>
      <c r="BB477" s="39"/>
      <c r="BC477" s="39"/>
      <c r="BD477" s="39"/>
      <c r="BE477" s="39"/>
      <c r="BF477" s="39">
        <f t="shared" si="464"/>
        <v>0</v>
      </c>
      <c r="BG477" s="39"/>
      <c r="BH477" s="39"/>
      <c r="BI477" s="39"/>
      <c r="BJ477" s="39"/>
      <c r="BK477" s="39"/>
      <c r="BL477" s="39">
        <f t="shared" si="465"/>
        <v>0</v>
      </c>
      <c r="BM477" s="54" t="str">
        <f t="shared" si="466"/>
        <v/>
      </c>
      <c r="BN477" s="66">
        <v>46185</v>
      </c>
      <c r="BO477" s="117">
        <v>46198</v>
      </c>
      <c r="BP477" s="39"/>
      <c r="BQ477" s="39"/>
      <c r="BR477" s="229">
        <v>46200</v>
      </c>
      <c r="BS477" s="229">
        <v>46219</v>
      </c>
      <c r="BT477" s="39">
        <v>1812</v>
      </c>
      <c r="BU477" s="39">
        <v>133</v>
      </c>
      <c r="BV477" s="39">
        <v>1812</v>
      </c>
      <c r="BW477" s="39">
        <v>10</v>
      </c>
      <c r="BX477" s="39"/>
      <c r="BY477" s="39"/>
      <c r="BZ477" s="39">
        <f t="shared" si="467"/>
        <v>143</v>
      </c>
      <c r="CA477" s="39">
        <f t="shared" si="468"/>
        <v>12</v>
      </c>
      <c r="CB477" s="39">
        <f t="shared" si="469"/>
        <v>3</v>
      </c>
      <c r="CC477" s="39">
        <f t="shared" si="470"/>
        <v>0</v>
      </c>
      <c r="CD477" s="39">
        <f t="shared" si="471"/>
        <v>0</v>
      </c>
      <c r="CE477" s="102">
        <f t="shared" si="472"/>
        <v>0</v>
      </c>
      <c r="CF477" s="36" t="s">
        <v>250</v>
      </c>
      <c r="CG477" s="39" t="s">
        <v>279</v>
      </c>
      <c r="CH477" s="39"/>
      <c r="CI477" s="25">
        <v>2</v>
      </c>
    </row>
    <row r="478" spans="1:87" ht="24.75" customHeight="1">
      <c r="A478" s="36" t="s">
        <v>387</v>
      </c>
      <c r="B478" s="27" t="s">
        <v>846</v>
      </c>
      <c r="C478" s="228"/>
      <c r="D478" s="36"/>
      <c r="E478" s="39">
        <v>160</v>
      </c>
      <c r="F478" s="39" t="s">
        <v>54</v>
      </c>
      <c r="G478" s="36" t="s">
        <v>47</v>
      </c>
      <c r="H478" s="36" t="s">
        <v>22</v>
      </c>
      <c r="I478" s="39">
        <v>118</v>
      </c>
      <c r="J478" s="39">
        <v>7</v>
      </c>
      <c r="K478" s="39"/>
      <c r="L478" s="39">
        <f t="shared" ref="L478:L497" si="491">SUM(I478:K478)</f>
        <v>125</v>
      </c>
      <c r="M478" s="117">
        <v>46179</v>
      </c>
      <c r="N478" s="117">
        <v>46183</v>
      </c>
      <c r="O478" s="39"/>
      <c r="P478" s="39"/>
      <c r="Q478" s="39"/>
      <c r="R478" s="39">
        <f t="shared" si="483"/>
        <v>0</v>
      </c>
      <c r="S478" s="39" t="s">
        <v>130</v>
      </c>
      <c r="T478" s="39">
        <v>107217</v>
      </c>
      <c r="U478" s="117">
        <v>46197</v>
      </c>
      <c r="V478" s="39"/>
      <c r="W478" s="39"/>
      <c r="X478" s="39"/>
      <c r="Y478" s="39">
        <v>146</v>
      </c>
      <c r="Z478" s="39">
        <v>10</v>
      </c>
      <c r="AA478" s="39"/>
      <c r="AB478" s="119">
        <f t="shared" si="484"/>
        <v>156</v>
      </c>
      <c r="AC478" s="39"/>
      <c r="AD478" s="39"/>
      <c r="AE478" s="39"/>
      <c r="AF478" s="39"/>
      <c r="AG478" s="39"/>
      <c r="AH478" s="39">
        <f t="shared" si="461"/>
        <v>0</v>
      </c>
      <c r="AI478" s="39"/>
      <c r="AJ478" s="39"/>
      <c r="AK478" s="39"/>
      <c r="AL478" s="39"/>
      <c r="AM478" s="39"/>
      <c r="AN478" s="39">
        <f t="shared" si="405"/>
        <v>0</v>
      </c>
      <c r="AO478" s="39"/>
      <c r="AP478" s="39"/>
      <c r="AQ478" s="39"/>
      <c r="AR478" s="39"/>
      <c r="AS478" s="39"/>
      <c r="AT478" s="39">
        <f t="shared" si="462"/>
        <v>0</v>
      </c>
      <c r="AU478" s="39"/>
      <c r="AV478" s="39"/>
      <c r="AW478" s="39"/>
      <c r="AX478" s="39"/>
      <c r="AY478" s="39"/>
      <c r="AZ478" s="39">
        <f t="shared" si="463"/>
        <v>0</v>
      </c>
      <c r="BA478" s="39"/>
      <c r="BB478" s="39"/>
      <c r="BC478" s="39"/>
      <c r="BD478" s="39"/>
      <c r="BE478" s="39"/>
      <c r="BF478" s="39">
        <f t="shared" si="464"/>
        <v>0</v>
      </c>
      <c r="BG478" s="39"/>
      <c r="BH478" s="39"/>
      <c r="BI478" s="39"/>
      <c r="BJ478" s="39"/>
      <c r="BK478" s="39"/>
      <c r="BL478" s="39">
        <f t="shared" si="465"/>
        <v>0</v>
      </c>
      <c r="BM478" s="54" t="str">
        <f t="shared" si="466"/>
        <v/>
      </c>
      <c r="BN478" s="66">
        <v>46185</v>
      </c>
      <c r="BO478" s="117">
        <v>46198</v>
      </c>
      <c r="BP478" s="39"/>
      <c r="BQ478" s="39"/>
      <c r="BR478" s="230"/>
      <c r="BS478" s="230"/>
      <c r="BT478" s="39">
        <v>2131</v>
      </c>
      <c r="BU478" s="39">
        <v>133</v>
      </c>
      <c r="BV478" s="39">
        <v>2012</v>
      </c>
      <c r="BW478" s="39">
        <v>9</v>
      </c>
      <c r="BX478" s="39"/>
      <c r="BY478" s="39"/>
      <c r="BZ478" s="39">
        <f t="shared" si="467"/>
        <v>142</v>
      </c>
      <c r="CA478" s="39">
        <f t="shared" si="468"/>
        <v>15</v>
      </c>
      <c r="CB478" s="39">
        <f t="shared" si="469"/>
        <v>2</v>
      </c>
      <c r="CC478" s="39">
        <f t="shared" si="470"/>
        <v>0</v>
      </c>
      <c r="CD478" s="39">
        <f t="shared" si="471"/>
        <v>0</v>
      </c>
      <c r="CE478" s="102">
        <f t="shared" si="472"/>
        <v>0</v>
      </c>
      <c r="CF478" s="36" t="s">
        <v>250</v>
      </c>
      <c r="CG478" s="39" t="s">
        <v>279</v>
      </c>
      <c r="CH478" s="39" t="s">
        <v>973</v>
      </c>
      <c r="CI478" s="25">
        <v>2</v>
      </c>
    </row>
    <row r="479" spans="1:87" ht="24.75" customHeight="1">
      <c r="A479" s="36" t="s">
        <v>387</v>
      </c>
      <c r="B479" s="27" t="s">
        <v>845</v>
      </c>
      <c r="C479" s="227">
        <v>15364838</v>
      </c>
      <c r="D479" s="36"/>
      <c r="E479" s="39">
        <v>160</v>
      </c>
      <c r="F479" s="39" t="s">
        <v>57</v>
      </c>
      <c r="G479" s="36" t="s">
        <v>847</v>
      </c>
      <c r="H479" s="36" t="s">
        <v>22</v>
      </c>
      <c r="I479" s="39">
        <v>98</v>
      </c>
      <c r="J479" s="39">
        <v>8</v>
      </c>
      <c r="K479" s="39"/>
      <c r="L479" s="39">
        <f t="shared" si="491"/>
        <v>106</v>
      </c>
      <c r="M479" s="117">
        <v>46178</v>
      </c>
      <c r="N479" s="117">
        <v>46183</v>
      </c>
      <c r="O479" s="39"/>
      <c r="P479" s="39"/>
      <c r="Q479" s="39"/>
      <c r="R479" s="39">
        <f t="shared" ref="R479" si="492">SUM(O479:Q479)</f>
        <v>0</v>
      </c>
      <c r="S479" s="39" t="s">
        <v>130</v>
      </c>
      <c r="T479" s="39">
        <v>107063</v>
      </c>
      <c r="U479" s="117">
        <v>46196</v>
      </c>
      <c r="V479" s="39"/>
      <c r="W479" s="39"/>
      <c r="X479" s="39"/>
      <c r="Y479" s="39">
        <v>121</v>
      </c>
      <c r="Z479" s="39">
        <v>11</v>
      </c>
      <c r="AA479" s="39"/>
      <c r="AB479" s="119">
        <f t="shared" si="484"/>
        <v>132</v>
      </c>
      <c r="AC479" s="39"/>
      <c r="AD479" s="39"/>
      <c r="AE479" s="39"/>
      <c r="AF479" s="39"/>
      <c r="AG479" s="39"/>
      <c r="AH479" s="39">
        <f t="shared" si="461"/>
        <v>0</v>
      </c>
      <c r="AI479" s="39"/>
      <c r="AJ479" s="39"/>
      <c r="AK479" s="39"/>
      <c r="AL479" s="39"/>
      <c r="AM479" s="39"/>
      <c r="AN479" s="39">
        <f t="shared" si="405"/>
        <v>0</v>
      </c>
      <c r="AO479" s="39"/>
      <c r="AP479" s="39"/>
      <c r="AQ479" s="39"/>
      <c r="AR479" s="39"/>
      <c r="AS479" s="39"/>
      <c r="AT479" s="39">
        <f t="shared" si="462"/>
        <v>0</v>
      </c>
      <c r="AU479" s="39"/>
      <c r="AV479" s="39"/>
      <c r="AW479" s="39"/>
      <c r="AX479" s="39"/>
      <c r="AY479" s="39"/>
      <c r="AZ479" s="39">
        <f t="shared" si="463"/>
        <v>0</v>
      </c>
      <c r="BA479" s="39"/>
      <c r="BB479" s="39"/>
      <c r="BC479" s="39"/>
      <c r="BD479" s="39"/>
      <c r="BE479" s="39"/>
      <c r="BF479" s="39">
        <f t="shared" si="464"/>
        <v>0</v>
      </c>
      <c r="BG479" s="39"/>
      <c r="BH479" s="39"/>
      <c r="BI479" s="39"/>
      <c r="BJ479" s="39"/>
      <c r="BK479" s="39"/>
      <c r="BL479" s="39">
        <f t="shared" si="465"/>
        <v>0</v>
      </c>
      <c r="BM479" s="54" t="str">
        <f t="shared" si="466"/>
        <v/>
      </c>
      <c r="BN479" s="66">
        <v>46189</v>
      </c>
      <c r="BO479" s="117">
        <v>46203</v>
      </c>
      <c r="BP479" s="39"/>
      <c r="BQ479" s="39"/>
      <c r="BR479" s="229">
        <v>46190</v>
      </c>
      <c r="BS479" s="229">
        <v>46198</v>
      </c>
      <c r="BT479" s="39">
        <v>2124</v>
      </c>
      <c r="BU479" s="39">
        <v>108</v>
      </c>
      <c r="BV479" s="39">
        <v>2124</v>
      </c>
      <c r="BW479" s="39">
        <v>10</v>
      </c>
      <c r="BX479" s="39"/>
      <c r="BY479" s="39"/>
      <c r="BZ479" s="39">
        <f t="shared" si="467"/>
        <v>118</v>
      </c>
      <c r="CA479" s="39">
        <f t="shared" si="468"/>
        <v>10</v>
      </c>
      <c r="CB479" s="39">
        <f t="shared" si="469"/>
        <v>2</v>
      </c>
      <c r="CC479" s="39">
        <f t="shared" si="470"/>
        <v>0</v>
      </c>
      <c r="CD479" s="39">
        <f t="shared" si="471"/>
        <v>0</v>
      </c>
      <c r="CE479" s="102">
        <f t="shared" si="472"/>
        <v>0</v>
      </c>
      <c r="CF479" s="36" t="s">
        <v>250</v>
      </c>
      <c r="CG479" s="39" t="s">
        <v>279</v>
      </c>
      <c r="CH479" s="39"/>
      <c r="CI479" s="25">
        <v>2</v>
      </c>
    </row>
    <row r="480" spans="1:87" ht="24.75" customHeight="1">
      <c r="A480" s="36" t="s">
        <v>387</v>
      </c>
      <c r="B480" s="27" t="s">
        <v>845</v>
      </c>
      <c r="C480" s="228"/>
      <c r="D480" s="36"/>
      <c r="E480" s="39">
        <v>160</v>
      </c>
      <c r="F480" s="39" t="s">
        <v>57</v>
      </c>
      <c r="G480" s="36" t="s">
        <v>47</v>
      </c>
      <c r="H480" s="36" t="s">
        <v>22</v>
      </c>
      <c r="I480" s="39">
        <v>101</v>
      </c>
      <c r="J480" s="39">
        <v>8</v>
      </c>
      <c r="K480" s="39"/>
      <c r="L480" s="39">
        <f t="shared" si="491"/>
        <v>109</v>
      </c>
      <c r="M480" s="117">
        <v>46178</v>
      </c>
      <c r="N480" s="117">
        <v>46183</v>
      </c>
      <c r="O480" s="39"/>
      <c r="P480" s="39"/>
      <c r="Q480" s="39"/>
      <c r="R480" s="39">
        <f t="shared" ref="R480:R498" si="493">SUM(O480:Q480)</f>
        <v>0</v>
      </c>
      <c r="S480" s="39" t="s">
        <v>130</v>
      </c>
      <c r="T480" s="39">
        <v>106926</v>
      </c>
      <c r="U480" s="117">
        <v>46188</v>
      </c>
      <c r="V480" s="39"/>
      <c r="W480" s="39"/>
      <c r="X480" s="39"/>
      <c r="Y480" s="39">
        <v>123</v>
      </c>
      <c r="Z480" s="39">
        <v>12</v>
      </c>
      <c r="AA480" s="39"/>
      <c r="AB480" s="119">
        <f t="shared" ref="AB480:AB498" si="494">SUM(Y480:AA480)</f>
        <v>135</v>
      </c>
      <c r="AC480" s="39"/>
      <c r="AD480" s="39"/>
      <c r="AE480" s="39"/>
      <c r="AF480" s="39"/>
      <c r="AG480" s="39"/>
      <c r="AH480" s="39">
        <f t="shared" si="461"/>
        <v>0</v>
      </c>
      <c r="AI480" s="39"/>
      <c r="AJ480" s="39"/>
      <c r="AK480" s="39"/>
      <c r="AL480" s="39"/>
      <c r="AM480" s="39"/>
      <c r="AN480" s="39">
        <f t="shared" si="405"/>
        <v>0</v>
      </c>
      <c r="AO480" s="39"/>
      <c r="AP480" s="39"/>
      <c r="AQ480" s="39"/>
      <c r="AR480" s="39"/>
      <c r="AS480" s="39"/>
      <c r="AT480" s="39">
        <f t="shared" si="462"/>
        <v>0</v>
      </c>
      <c r="AU480" s="39"/>
      <c r="AV480" s="39"/>
      <c r="AW480" s="39"/>
      <c r="AX480" s="39"/>
      <c r="AY480" s="39"/>
      <c r="AZ480" s="39">
        <f t="shared" si="463"/>
        <v>0</v>
      </c>
      <c r="BA480" s="39"/>
      <c r="BB480" s="39"/>
      <c r="BC480" s="39"/>
      <c r="BD480" s="39"/>
      <c r="BE480" s="39"/>
      <c r="BF480" s="39">
        <f t="shared" si="464"/>
        <v>0</v>
      </c>
      <c r="BG480" s="39"/>
      <c r="BH480" s="39"/>
      <c r="BI480" s="39"/>
      <c r="BJ480" s="39"/>
      <c r="BK480" s="39"/>
      <c r="BL480" s="39">
        <f t="shared" si="465"/>
        <v>0</v>
      </c>
      <c r="BM480" s="54" t="str">
        <f t="shared" si="466"/>
        <v/>
      </c>
      <c r="BN480" s="66">
        <v>46189</v>
      </c>
      <c r="BO480" s="117">
        <v>46203</v>
      </c>
      <c r="BP480" s="39"/>
      <c r="BQ480" s="39"/>
      <c r="BR480" s="230"/>
      <c r="BS480" s="230"/>
      <c r="BT480" s="39">
        <v>1743</v>
      </c>
      <c r="BU480" s="39">
        <f>111</f>
        <v>111</v>
      </c>
      <c r="BV480" s="39">
        <v>2113</v>
      </c>
      <c r="BW480" s="39">
        <v>11</v>
      </c>
      <c r="BX480" s="39"/>
      <c r="BY480" s="39"/>
      <c r="BZ480" s="39">
        <f t="shared" si="467"/>
        <v>122</v>
      </c>
      <c r="CA480" s="39">
        <f t="shared" si="468"/>
        <v>10</v>
      </c>
      <c r="CB480" s="39">
        <f t="shared" si="469"/>
        <v>3</v>
      </c>
      <c r="CC480" s="39">
        <f t="shared" si="470"/>
        <v>0</v>
      </c>
      <c r="CD480" s="39">
        <f t="shared" si="471"/>
        <v>0</v>
      </c>
      <c r="CE480" s="102">
        <f t="shared" si="472"/>
        <v>0</v>
      </c>
      <c r="CF480" s="36" t="s">
        <v>250</v>
      </c>
      <c r="CG480" s="39" t="s">
        <v>279</v>
      </c>
      <c r="CH480" s="39"/>
      <c r="CI480" s="25">
        <v>2</v>
      </c>
    </row>
    <row r="481" spans="1:87" ht="34.5" customHeight="1">
      <c r="A481" s="36" t="s">
        <v>387</v>
      </c>
      <c r="B481" s="27">
        <v>47787</v>
      </c>
      <c r="C481" s="36">
        <v>15393027</v>
      </c>
      <c r="D481" s="36"/>
      <c r="E481" s="39">
        <v>250</v>
      </c>
      <c r="F481" s="39" t="s">
        <v>55</v>
      </c>
      <c r="G481" s="36" t="s">
        <v>847</v>
      </c>
      <c r="H481" s="39" t="s">
        <v>212</v>
      </c>
      <c r="I481" s="39">
        <v>390</v>
      </c>
      <c r="J481" s="39">
        <v>20</v>
      </c>
      <c r="K481" s="39">
        <v>4</v>
      </c>
      <c r="L481" s="39">
        <f t="shared" si="491"/>
        <v>414</v>
      </c>
      <c r="M481" s="117">
        <v>46178</v>
      </c>
      <c r="N481" s="117">
        <v>46184</v>
      </c>
      <c r="O481" s="39"/>
      <c r="P481" s="39"/>
      <c r="Q481" s="39"/>
      <c r="R481" s="39">
        <f t="shared" si="493"/>
        <v>0</v>
      </c>
      <c r="S481" s="39" t="s">
        <v>130</v>
      </c>
      <c r="T481" s="39">
        <v>107164</v>
      </c>
      <c r="U481" s="117">
        <v>46197</v>
      </c>
      <c r="V481" s="39"/>
      <c r="W481" s="39"/>
      <c r="X481" s="39"/>
      <c r="Y481" s="39">
        <v>436</v>
      </c>
      <c r="Z481" s="39">
        <v>24</v>
      </c>
      <c r="AA481" s="39">
        <v>7</v>
      </c>
      <c r="AB481" s="119">
        <f t="shared" si="494"/>
        <v>467</v>
      </c>
      <c r="AC481" s="39"/>
      <c r="AD481" s="39"/>
      <c r="AE481" s="39"/>
      <c r="AF481" s="39"/>
      <c r="AG481" s="39"/>
      <c r="AH481" s="39">
        <f t="shared" si="461"/>
        <v>0</v>
      </c>
      <c r="AI481" s="39"/>
      <c r="AJ481" s="39"/>
      <c r="AK481" s="39"/>
      <c r="AL481" s="39"/>
      <c r="AM481" s="39"/>
      <c r="AN481" s="39">
        <f t="shared" si="405"/>
        <v>0</v>
      </c>
      <c r="AO481" s="39"/>
      <c r="AP481" s="39"/>
      <c r="AQ481" s="39"/>
      <c r="AR481" s="39"/>
      <c r="AS481" s="39"/>
      <c r="AT481" s="39">
        <f t="shared" si="462"/>
        <v>0</v>
      </c>
      <c r="AU481" s="39"/>
      <c r="AV481" s="39"/>
      <c r="AW481" s="39"/>
      <c r="AX481" s="39"/>
      <c r="AY481" s="39"/>
      <c r="AZ481" s="39">
        <f t="shared" si="463"/>
        <v>0</v>
      </c>
      <c r="BA481" s="39"/>
      <c r="BB481" s="39"/>
      <c r="BC481" s="39"/>
      <c r="BD481" s="39"/>
      <c r="BE481" s="39"/>
      <c r="BF481" s="39">
        <f t="shared" si="464"/>
        <v>0</v>
      </c>
      <c r="BG481" s="39" t="s">
        <v>28</v>
      </c>
      <c r="BH481" s="117">
        <v>46198</v>
      </c>
      <c r="BI481" s="39">
        <f>410+22+6</f>
        <v>438</v>
      </c>
      <c r="BJ481" s="117">
        <v>46201</v>
      </c>
      <c r="BK481" s="39">
        <f>394+2+8</f>
        <v>404</v>
      </c>
      <c r="BL481" s="39">
        <f t="shared" si="465"/>
        <v>-34</v>
      </c>
      <c r="BM481" s="54" t="str">
        <f t="shared" si="466"/>
        <v/>
      </c>
      <c r="BN481" s="66">
        <v>46187</v>
      </c>
      <c r="BO481" s="117">
        <v>46197</v>
      </c>
      <c r="BP481" s="39"/>
      <c r="BQ481" s="39"/>
      <c r="BR481" s="50">
        <v>46200</v>
      </c>
      <c r="BS481" s="50">
        <v>46200</v>
      </c>
      <c r="BT481" s="39">
        <v>1761</v>
      </c>
      <c r="BU481" s="39">
        <v>394</v>
      </c>
      <c r="BV481" s="39">
        <v>1761</v>
      </c>
      <c r="BW481" s="39">
        <v>22</v>
      </c>
      <c r="BX481" s="39">
        <v>1761</v>
      </c>
      <c r="BY481" s="39">
        <v>8</v>
      </c>
      <c r="BZ481" s="39">
        <f t="shared" si="467"/>
        <v>424</v>
      </c>
      <c r="CA481" s="39">
        <f t="shared" si="468"/>
        <v>4</v>
      </c>
      <c r="CB481" s="39">
        <f t="shared" si="469"/>
        <v>2</v>
      </c>
      <c r="CC481" s="39">
        <f t="shared" si="470"/>
        <v>4</v>
      </c>
      <c r="CD481" s="39">
        <f t="shared" si="471"/>
        <v>0</v>
      </c>
      <c r="CE481" s="102">
        <f t="shared" si="472"/>
        <v>0</v>
      </c>
      <c r="CF481" s="36" t="s">
        <v>249</v>
      </c>
      <c r="CG481" s="39" t="s">
        <v>222</v>
      </c>
      <c r="CH481" s="39"/>
      <c r="CI481" s="25">
        <v>2</v>
      </c>
    </row>
    <row r="482" spans="1:87" ht="24.75" customHeight="1">
      <c r="A482" s="36" t="s">
        <v>387</v>
      </c>
      <c r="B482" s="27">
        <v>47786</v>
      </c>
      <c r="C482" s="227">
        <v>15392970</v>
      </c>
      <c r="D482" s="36"/>
      <c r="E482" s="39">
        <v>240</v>
      </c>
      <c r="F482" s="39" t="s">
        <v>68</v>
      </c>
      <c r="G482" s="36" t="s">
        <v>23</v>
      </c>
      <c r="H482" s="39" t="s">
        <v>89</v>
      </c>
      <c r="I482" s="39">
        <v>223</v>
      </c>
      <c r="J482" s="39"/>
      <c r="K482" s="39"/>
      <c r="L482" s="39">
        <f t="shared" si="491"/>
        <v>223</v>
      </c>
      <c r="M482" s="117">
        <v>46178</v>
      </c>
      <c r="N482" s="117">
        <v>46184</v>
      </c>
      <c r="O482" s="39"/>
      <c r="P482" s="39"/>
      <c r="Q482" s="39"/>
      <c r="R482" s="39">
        <f t="shared" si="493"/>
        <v>0</v>
      </c>
      <c r="S482" s="39" t="s">
        <v>100</v>
      </c>
      <c r="T482" s="39"/>
      <c r="U482" s="39"/>
      <c r="V482" s="117">
        <v>46181</v>
      </c>
      <c r="W482" s="39">
        <v>243</v>
      </c>
      <c r="X482" s="117">
        <v>46198</v>
      </c>
      <c r="Y482" s="39">
        <v>223</v>
      </c>
      <c r="Z482" s="39"/>
      <c r="AA482" s="39"/>
      <c r="AB482" s="119">
        <f t="shared" si="494"/>
        <v>223</v>
      </c>
      <c r="AC482" s="39"/>
      <c r="AD482" s="39"/>
      <c r="AE482" s="39"/>
      <c r="AF482" s="39"/>
      <c r="AG482" s="39"/>
      <c r="AH482" s="39">
        <f t="shared" si="461"/>
        <v>0</v>
      </c>
      <c r="AI482" s="39"/>
      <c r="AJ482" s="39"/>
      <c r="AK482" s="39"/>
      <c r="AL482" s="39"/>
      <c r="AM482" s="39"/>
      <c r="AN482" s="39">
        <f t="shared" si="405"/>
        <v>0</v>
      </c>
      <c r="AO482" s="39"/>
      <c r="AP482" s="39"/>
      <c r="AQ482" s="39"/>
      <c r="AR482" s="39"/>
      <c r="AS482" s="39"/>
      <c r="AT482" s="39">
        <f t="shared" si="462"/>
        <v>0</v>
      </c>
      <c r="AU482" s="39"/>
      <c r="AV482" s="39"/>
      <c r="AW482" s="39"/>
      <c r="AX482" s="39"/>
      <c r="AY482" s="39"/>
      <c r="AZ482" s="39">
        <f t="shared" si="463"/>
        <v>0</v>
      </c>
      <c r="BA482" s="39"/>
      <c r="BB482" s="39"/>
      <c r="BC482" s="39"/>
      <c r="BD482" s="39"/>
      <c r="BE482" s="39"/>
      <c r="BF482" s="39">
        <f t="shared" si="464"/>
        <v>0</v>
      </c>
      <c r="BG482" s="39"/>
      <c r="BH482" s="39"/>
      <c r="BI482" s="39"/>
      <c r="BJ482" s="39"/>
      <c r="BK482" s="39"/>
      <c r="BL482" s="39">
        <f t="shared" si="465"/>
        <v>0</v>
      </c>
      <c r="BM482" s="54" t="str">
        <f t="shared" si="466"/>
        <v/>
      </c>
      <c r="BN482" s="66">
        <v>46185</v>
      </c>
      <c r="BO482" s="117">
        <v>46196</v>
      </c>
      <c r="BP482" s="39"/>
      <c r="BQ482" s="39"/>
      <c r="BR482" s="229">
        <v>46198</v>
      </c>
      <c r="BS482" s="229">
        <v>46202</v>
      </c>
      <c r="BT482" s="39">
        <v>1758</v>
      </c>
      <c r="BU482" s="39">
        <v>223</v>
      </c>
      <c r="BV482" s="39"/>
      <c r="BW482" s="39"/>
      <c r="BX482" s="39"/>
      <c r="BY482" s="39"/>
      <c r="BZ482" s="39">
        <f t="shared" si="467"/>
        <v>223</v>
      </c>
      <c r="CA482" s="39">
        <f t="shared" si="468"/>
        <v>0</v>
      </c>
      <c r="CB482" s="39">
        <f t="shared" si="469"/>
        <v>0</v>
      </c>
      <c r="CC482" s="39">
        <f t="shared" si="470"/>
        <v>0</v>
      </c>
      <c r="CD482" s="39">
        <f t="shared" si="471"/>
        <v>0</v>
      </c>
      <c r="CE482" s="102">
        <f t="shared" si="472"/>
        <v>0</v>
      </c>
      <c r="CF482" s="36" t="s">
        <v>249</v>
      </c>
      <c r="CG482" s="39" t="s">
        <v>222</v>
      </c>
      <c r="CH482" s="39"/>
      <c r="CI482" s="25">
        <v>2</v>
      </c>
    </row>
    <row r="483" spans="1:87" ht="24.75" customHeight="1">
      <c r="A483" s="36" t="s">
        <v>387</v>
      </c>
      <c r="B483" s="27">
        <v>47786</v>
      </c>
      <c r="C483" s="228"/>
      <c r="D483" s="36"/>
      <c r="E483" s="39">
        <v>240</v>
      </c>
      <c r="F483" s="39" t="s">
        <v>68</v>
      </c>
      <c r="G483" s="36" t="s">
        <v>439</v>
      </c>
      <c r="H483" s="39" t="s">
        <v>89</v>
      </c>
      <c r="I483" s="39">
        <v>223</v>
      </c>
      <c r="J483" s="39"/>
      <c r="K483" s="39"/>
      <c r="L483" s="39">
        <f t="shared" si="491"/>
        <v>223</v>
      </c>
      <c r="M483" s="117">
        <v>46178</v>
      </c>
      <c r="N483" s="117">
        <v>46184</v>
      </c>
      <c r="O483" s="39"/>
      <c r="P483" s="39"/>
      <c r="Q483" s="39"/>
      <c r="R483" s="39">
        <f t="shared" si="493"/>
        <v>0</v>
      </c>
      <c r="S483" s="39" t="s">
        <v>31</v>
      </c>
      <c r="T483" s="39"/>
      <c r="U483" s="39"/>
      <c r="V483" s="117">
        <v>46193</v>
      </c>
      <c r="W483" s="39">
        <v>250</v>
      </c>
      <c r="X483" s="117">
        <v>46202</v>
      </c>
      <c r="Y483" s="39">
        <v>225</v>
      </c>
      <c r="Z483" s="39"/>
      <c r="AA483" s="39"/>
      <c r="AB483" s="119">
        <f t="shared" si="494"/>
        <v>225</v>
      </c>
      <c r="AC483" s="39"/>
      <c r="AD483" s="39"/>
      <c r="AE483" s="39"/>
      <c r="AF483" s="39"/>
      <c r="AG483" s="39"/>
      <c r="AH483" s="39">
        <f t="shared" si="461"/>
        <v>0</v>
      </c>
      <c r="AI483" s="39"/>
      <c r="AJ483" s="39"/>
      <c r="AK483" s="39"/>
      <c r="AL483" s="39"/>
      <c r="AM483" s="39"/>
      <c r="AN483" s="39">
        <f t="shared" si="405"/>
        <v>0</v>
      </c>
      <c r="AO483" s="39"/>
      <c r="AP483" s="39"/>
      <c r="AQ483" s="39"/>
      <c r="AR483" s="39"/>
      <c r="AS483" s="39"/>
      <c r="AT483" s="39">
        <f t="shared" si="462"/>
        <v>0</v>
      </c>
      <c r="AU483" s="39"/>
      <c r="AV483" s="39"/>
      <c r="AW483" s="39"/>
      <c r="AX483" s="39"/>
      <c r="AY483" s="39"/>
      <c r="AZ483" s="39">
        <f t="shared" si="463"/>
        <v>0</v>
      </c>
      <c r="BA483" s="39"/>
      <c r="BB483" s="39"/>
      <c r="BC483" s="39"/>
      <c r="BD483" s="39"/>
      <c r="BE483" s="39"/>
      <c r="BF483" s="39">
        <f t="shared" si="464"/>
        <v>0</v>
      </c>
      <c r="BG483" s="39"/>
      <c r="BH483" s="39"/>
      <c r="BI483" s="39"/>
      <c r="BJ483" s="39"/>
      <c r="BK483" s="39"/>
      <c r="BL483" s="39">
        <f t="shared" si="465"/>
        <v>0</v>
      </c>
      <c r="BM483" s="54" t="str">
        <f t="shared" si="466"/>
        <v/>
      </c>
      <c r="BN483" s="66">
        <v>46185</v>
      </c>
      <c r="BO483" s="117">
        <v>46196</v>
      </c>
      <c r="BP483" s="39"/>
      <c r="BQ483" s="39"/>
      <c r="BR483" s="230"/>
      <c r="BS483" s="230"/>
      <c r="BT483" s="39">
        <v>1517</v>
      </c>
      <c r="BU483" s="39">
        <v>225</v>
      </c>
      <c r="BV483" s="39"/>
      <c r="BW483" s="39"/>
      <c r="BX483" s="39"/>
      <c r="BY483" s="39"/>
      <c r="BZ483" s="39">
        <f t="shared" si="467"/>
        <v>225</v>
      </c>
      <c r="CA483" s="39">
        <f t="shared" si="468"/>
        <v>2</v>
      </c>
      <c r="CB483" s="39">
        <f t="shared" si="469"/>
        <v>0</v>
      </c>
      <c r="CC483" s="39">
        <f t="shared" si="470"/>
        <v>0</v>
      </c>
      <c r="CD483" s="39">
        <f t="shared" si="471"/>
        <v>0</v>
      </c>
      <c r="CE483" s="102">
        <f t="shared" si="472"/>
        <v>0</v>
      </c>
      <c r="CF483" s="36" t="s">
        <v>249</v>
      </c>
      <c r="CG483" s="39" t="s">
        <v>222</v>
      </c>
      <c r="CH483" s="39"/>
      <c r="CI483" s="25">
        <v>2</v>
      </c>
    </row>
    <row r="484" spans="1:87" ht="24.75" customHeight="1">
      <c r="A484" s="36" t="s">
        <v>387</v>
      </c>
      <c r="B484" s="27">
        <v>47772</v>
      </c>
      <c r="C484" s="227">
        <v>15386506</v>
      </c>
      <c r="D484" s="36" t="s">
        <v>45</v>
      </c>
      <c r="E484" s="39">
        <v>260</v>
      </c>
      <c r="F484" s="39" t="s">
        <v>58</v>
      </c>
      <c r="G484" s="36" t="s">
        <v>885</v>
      </c>
      <c r="H484" s="36" t="s">
        <v>410</v>
      </c>
      <c r="I484" s="39">
        <v>307</v>
      </c>
      <c r="J484" s="39">
        <v>23</v>
      </c>
      <c r="K484" s="39">
        <v>115</v>
      </c>
      <c r="L484" s="39">
        <f t="shared" si="491"/>
        <v>445</v>
      </c>
      <c r="M484" s="117">
        <v>46179</v>
      </c>
      <c r="N484" s="117">
        <v>46186</v>
      </c>
      <c r="O484" s="39"/>
      <c r="P484" s="39"/>
      <c r="Q484" s="39"/>
      <c r="R484" s="39">
        <f t="shared" si="493"/>
        <v>0</v>
      </c>
      <c r="S484" s="39" t="s">
        <v>100</v>
      </c>
      <c r="T484" s="39"/>
      <c r="U484" s="39"/>
      <c r="V484" s="117">
        <v>46188</v>
      </c>
      <c r="W484" s="39">
        <f>355+135+27</f>
        <v>517</v>
      </c>
      <c r="X484" s="117" t="s">
        <v>1400</v>
      </c>
      <c r="Y484" s="39">
        <v>333</v>
      </c>
      <c r="Z484" s="39">
        <v>25</v>
      </c>
      <c r="AA484" s="39">
        <v>125</v>
      </c>
      <c r="AB484" s="119">
        <f t="shared" si="494"/>
        <v>483</v>
      </c>
      <c r="AC484" s="39"/>
      <c r="AD484" s="39"/>
      <c r="AE484" s="39"/>
      <c r="AF484" s="39"/>
      <c r="AG484" s="39"/>
      <c r="AH484" s="39">
        <f t="shared" si="461"/>
        <v>0</v>
      </c>
      <c r="AI484" s="39"/>
      <c r="AJ484" s="39"/>
      <c r="AK484" s="39"/>
      <c r="AL484" s="39"/>
      <c r="AM484" s="39"/>
      <c r="AN484" s="39">
        <f t="shared" si="405"/>
        <v>0</v>
      </c>
      <c r="AO484" s="39" t="s">
        <v>280</v>
      </c>
      <c r="AP484" s="117">
        <v>46195</v>
      </c>
      <c r="AQ484" s="39">
        <v>333</v>
      </c>
      <c r="AR484" s="117">
        <v>46199</v>
      </c>
      <c r="AS484" s="39">
        <v>333</v>
      </c>
      <c r="AT484" s="39">
        <f t="shared" si="462"/>
        <v>0</v>
      </c>
      <c r="AU484" s="39" t="s">
        <v>257</v>
      </c>
      <c r="AV484" s="117">
        <v>46199</v>
      </c>
      <c r="AW484" s="39">
        <v>333</v>
      </c>
      <c r="AX484" s="117">
        <v>46200</v>
      </c>
      <c r="AY484" s="39">
        <v>327</v>
      </c>
      <c r="AZ484" s="39">
        <f t="shared" si="463"/>
        <v>-6</v>
      </c>
      <c r="BA484" s="39"/>
      <c r="BB484" s="39"/>
      <c r="BC484" s="39"/>
      <c r="BD484" s="39"/>
      <c r="BE484" s="39"/>
      <c r="BF484" s="39">
        <f t="shared" si="464"/>
        <v>0</v>
      </c>
      <c r="BG484" s="39"/>
      <c r="BH484" s="39"/>
      <c r="BI484" s="39"/>
      <c r="BJ484" s="39"/>
      <c r="BK484" s="39"/>
      <c r="BL484" s="39">
        <f t="shared" si="465"/>
        <v>0</v>
      </c>
      <c r="BM484" s="54" t="str">
        <f t="shared" si="466"/>
        <v/>
      </c>
      <c r="BN484" s="66">
        <v>46191</v>
      </c>
      <c r="BO484" s="117">
        <v>46208</v>
      </c>
      <c r="BP484" s="39"/>
      <c r="BQ484" s="39"/>
      <c r="BR484" s="229">
        <v>46204</v>
      </c>
      <c r="BS484" s="229">
        <v>46232</v>
      </c>
      <c r="BT484" s="39">
        <v>2011</v>
      </c>
      <c r="BU484" s="39">
        <v>319</v>
      </c>
      <c r="BV484" s="39">
        <v>1523</v>
      </c>
      <c r="BW484" s="39">
        <v>25</v>
      </c>
      <c r="BX484" s="39">
        <v>1523</v>
      </c>
      <c r="BY484" s="39">
        <v>125</v>
      </c>
      <c r="BZ484" s="39">
        <f t="shared" si="467"/>
        <v>469</v>
      </c>
      <c r="CA484" s="39">
        <f t="shared" si="468"/>
        <v>12</v>
      </c>
      <c r="CB484" s="39">
        <f t="shared" si="469"/>
        <v>2</v>
      </c>
      <c r="CC484" s="39">
        <f t="shared" si="470"/>
        <v>10</v>
      </c>
      <c r="CD484" s="39">
        <f t="shared" si="471"/>
        <v>0</v>
      </c>
      <c r="CE484" s="102">
        <f t="shared" si="472"/>
        <v>0</v>
      </c>
      <c r="CF484" s="36" t="s">
        <v>251</v>
      </c>
      <c r="CG484" s="39" t="s">
        <v>415</v>
      </c>
      <c r="CH484" s="39"/>
      <c r="CI484" s="25">
        <v>2</v>
      </c>
    </row>
    <row r="485" spans="1:87" ht="24.75" customHeight="1">
      <c r="A485" s="36" t="s">
        <v>387</v>
      </c>
      <c r="B485" s="27">
        <v>47772</v>
      </c>
      <c r="C485" s="231"/>
      <c r="D485" s="36" t="s">
        <v>45</v>
      </c>
      <c r="E485" s="39">
        <v>260</v>
      </c>
      <c r="F485" s="39" t="s">
        <v>58</v>
      </c>
      <c r="G485" s="36" t="s">
        <v>619</v>
      </c>
      <c r="H485" s="36" t="s">
        <v>410</v>
      </c>
      <c r="I485" s="39">
        <v>195</v>
      </c>
      <c r="J485" s="39">
        <v>15</v>
      </c>
      <c r="K485" s="39">
        <v>75</v>
      </c>
      <c r="L485" s="39">
        <f t="shared" si="491"/>
        <v>285</v>
      </c>
      <c r="M485" s="117">
        <v>46179</v>
      </c>
      <c r="N485" s="117">
        <v>46186</v>
      </c>
      <c r="O485" s="39"/>
      <c r="P485" s="39"/>
      <c r="Q485" s="39"/>
      <c r="R485" s="39">
        <f t="shared" si="493"/>
        <v>0</v>
      </c>
      <c r="S485" s="39" t="s">
        <v>130</v>
      </c>
      <c r="T485" s="39">
        <v>107882</v>
      </c>
      <c r="U485" s="117">
        <v>46224</v>
      </c>
      <c r="V485" s="39"/>
      <c r="W485" s="39"/>
      <c r="X485" s="39"/>
      <c r="Y485" s="39">
        <v>234</v>
      </c>
      <c r="Z485" s="39">
        <v>18</v>
      </c>
      <c r="AA485" s="39">
        <v>87</v>
      </c>
      <c r="AB485" s="119">
        <f t="shared" si="494"/>
        <v>339</v>
      </c>
      <c r="AC485" s="39"/>
      <c r="AD485" s="39"/>
      <c r="AE485" s="39"/>
      <c r="AF485" s="39"/>
      <c r="AG485" s="39"/>
      <c r="AH485" s="39">
        <f t="shared" si="461"/>
        <v>0</v>
      </c>
      <c r="AI485" s="39"/>
      <c r="AJ485" s="39"/>
      <c r="AK485" s="39"/>
      <c r="AL485" s="39"/>
      <c r="AM485" s="39"/>
      <c r="AN485" s="39">
        <f t="shared" si="405"/>
        <v>0</v>
      </c>
      <c r="AO485" s="39" t="s">
        <v>257</v>
      </c>
      <c r="AP485" s="117">
        <v>46225</v>
      </c>
      <c r="AQ485" s="39">
        <v>214</v>
      </c>
      <c r="AR485" s="117">
        <v>46226</v>
      </c>
      <c r="AS485" s="39">
        <v>206</v>
      </c>
      <c r="AT485" s="39">
        <f t="shared" si="462"/>
        <v>-8</v>
      </c>
      <c r="AU485" s="39" t="s">
        <v>257</v>
      </c>
      <c r="AV485" s="117">
        <v>46225</v>
      </c>
      <c r="AW485" s="39">
        <v>214</v>
      </c>
      <c r="AX485" s="117">
        <v>46226</v>
      </c>
      <c r="AY485" s="39">
        <v>206</v>
      </c>
      <c r="AZ485" s="39">
        <f t="shared" si="463"/>
        <v>-8</v>
      </c>
      <c r="BA485" s="39"/>
      <c r="BB485" s="39"/>
      <c r="BC485" s="39"/>
      <c r="BD485" s="39"/>
      <c r="BE485" s="39"/>
      <c r="BF485" s="39">
        <f t="shared" si="464"/>
        <v>0</v>
      </c>
      <c r="BG485" s="39" t="s">
        <v>28</v>
      </c>
      <c r="BH485" s="117">
        <v>46226</v>
      </c>
      <c r="BI485" s="39">
        <v>185</v>
      </c>
      <c r="BJ485" s="117">
        <v>46230</v>
      </c>
      <c r="BK485" s="39">
        <v>179</v>
      </c>
      <c r="BL485" s="39">
        <f t="shared" si="465"/>
        <v>-6</v>
      </c>
      <c r="BM485" s="54" t="str">
        <f t="shared" si="466"/>
        <v/>
      </c>
      <c r="BN485" s="66">
        <v>46191</v>
      </c>
      <c r="BO485" s="117">
        <v>46208</v>
      </c>
      <c r="BP485" s="39"/>
      <c r="BQ485" s="39"/>
      <c r="BR485" s="232"/>
      <c r="BS485" s="232"/>
      <c r="BT485" s="39" t="s">
        <v>2100</v>
      </c>
      <c r="BU485" s="39">
        <f>179+22</f>
        <v>201</v>
      </c>
      <c r="BV485" s="39">
        <v>1910</v>
      </c>
      <c r="BW485" s="39">
        <v>17</v>
      </c>
      <c r="BX485" s="39">
        <v>1910</v>
      </c>
      <c r="BY485" s="39">
        <v>79</v>
      </c>
      <c r="BZ485" s="39">
        <f t="shared" si="467"/>
        <v>297</v>
      </c>
      <c r="CA485" s="39">
        <f t="shared" si="468"/>
        <v>6</v>
      </c>
      <c r="CB485" s="39">
        <f t="shared" si="469"/>
        <v>2</v>
      </c>
      <c r="CC485" s="39">
        <f t="shared" si="470"/>
        <v>4</v>
      </c>
      <c r="CD485" s="39">
        <f t="shared" si="471"/>
        <v>0</v>
      </c>
      <c r="CE485" s="102">
        <f t="shared" si="472"/>
        <v>0</v>
      </c>
      <c r="CF485" s="36" t="s">
        <v>251</v>
      </c>
      <c r="CG485" s="39" t="s">
        <v>415</v>
      </c>
      <c r="CH485" s="39"/>
      <c r="CI485" s="25">
        <v>2</v>
      </c>
    </row>
    <row r="486" spans="1:87" ht="24.75" customHeight="1">
      <c r="A486" s="36" t="s">
        <v>387</v>
      </c>
      <c r="B486" s="27">
        <v>47772</v>
      </c>
      <c r="C486" s="231"/>
      <c r="D486" s="36" t="s">
        <v>45</v>
      </c>
      <c r="E486" s="39">
        <v>260</v>
      </c>
      <c r="F486" s="39" t="s">
        <v>58</v>
      </c>
      <c r="G486" s="36" t="s">
        <v>886</v>
      </c>
      <c r="H486" s="36" t="s">
        <v>410</v>
      </c>
      <c r="I486" s="39">
        <v>307</v>
      </c>
      <c r="J486" s="39">
        <v>23</v>
      </c>
      <c r="K486" s="39">
        <v>115</v>
      </c>
      <c r="L486" s="39">
        <f t="shared" si="491"/>
        <v>445</v>
      </c>
      <c r="M486" s="117">
        <v>46179</v>
      </c>
      <c r="N486" s="117">
        <v>46186</v>
      </c>
      <c r="O486" s="39"/>
      <c r="P486" s="39"/>
      <c r="Q486" s="39"/>
      <c r="R486" s="39">
        <f t="shared" si="493"/>
        <v>0</v>
      </c>
      <c r="S486" s="39" t="s">
        <v>326</v>
      </c>
      <c r="T486" s="39"/>
      <c r="U486" s="39"/>
      <c r="V486" s="117">
        <v>46190</v>
      </c>
      <c r="W486" s="39">
        <f>358+27+134</f>
        <v>519</v>
      </c>
      <c r="X486" s="117" t="s">
        <v>1599</v>
      </c>
      <c r="Y486" s="39">
        <v>320</v>
      </c>
      <c r="Z486" s="39">
        <f>22</f>
        <v>22</v>
      </c>
      <c r="AA486" s="39">
        <v>120</v>
      </c>
      <c r="AB486" s="120">
        <f t="shared" si="494"/>
        <v>462</v>
      </c>
      <c r="AC486" s="39"/>
      <c r="AD486" s="39"/>
      <c r="AE486" s="39"/>
      <c r="AF486" s="39"/>
      <c r="AG486" s="39"/>
      <c r="AH486" s="39">
        <f t="shared" si="461"/>
        <v>0</v>
      </c>
      <c r="AI486" s="39"/>
      <c r="AJ486" s="39"/>
      <c r="AK486" s="39"/>
      <c r="AL486" s="39"/>
      <c r="AM486" s="39"/>
      <c r="AN486" s="39">
        <f t="shared" si="405"/>
        <v>0</v>
      </c>
      <c r="AO486" s="39"/>
      <c r="AP486" s="39"/>
      <c r="AQ486" s="39"/>
      <c r="AR486" s="39"/>
      <c r="AS486" s="39"/>
      <c r="AT486" s="39">
        <f t="shared" si="462"/>
        <v>0</v>
      </c>
      <c r="AU486" s="39"/>
      <c r="AV486" s="39"/>
      <c r="AW486" s="39"/>
      <c r="AX486" s="39"/>
      <c r="AY486" s="39"/>
      <c r="AZ486" s="39">
        <f t="shared" si="463"/>
        <v>0</v>
      </c>
      <c r="BA486" s="39"/>
      <c r="BB486" s="39"/>
      <c r="BC486" s="39"/>
      <c r="BD486" s="39"/>
      <c r="BE486" s="39"/>
      <c r="BF486" s="39">
        <f t="shared" si="464"/>
        <v>0</v>
      </c>
      <c r="BG486" s="39"/>
      <c r="BH486" s="39"/>
      <c r="BI486" s="39"/>
      <c r="BJ486" s="39"/>
      <c r="BK486" s="39"/>
      <c r="BL486" s="39">
        <f t="shared" si="465"/>
        <v>0</v>
      </c>
      <c r="BM486" s="54" t="str">
        <f t="shared" si="466"/>
        <v/>
      </c>
      <c r="BN486" s="66">
        <v>46191</v>
      </c>
      <c r="BO486" s="117">
        <v>46208</v>
      </c>
      <c r="BP486" s="39"/>
      <c r="BQ486" s="39"/>
      <c r="BR486" s="232"/>
      <c r="BS486" s="232"/>
      <c r="BT486" s="39">
        <v>1763</v>
      </c>
      <c r="BU486" s="39">
        <v>320</v>
      </c>
      <c r="BV486" s="39">
        <v>1779</v>
      </c>
      <c r="BW486" s="39">
        <f>22</f>
        <v>22</v>
      </c>
      <c r="BX486" s="39">
        <v>1763</v>
      </c>
      <c r="BY486" s="39">
        <v>120</v>
      </c>
      <c r="BZ486" s="39">
        <f t="shared" si="467"/>
        <v>462</v>
      </c>
      <c r="CA486" s="39">
        <f t="shared" si="468"/>
        <v>13</v>
      </c>
      <c r="CB486" s="39">
        <f t="shared" si="469"/>
        <v>-1</v>
      </c>
      <c r="CC486" s="39">
        <f t="shared" si="470"/>
        <v>5</v>
      </c>
      <c r="CD486" s="39">
        <v>0</v>
      </c>
      <c r="CE486" s="102">
        <f t="shared" si="472"/>
        <v>0</v>
      </c>
      <c r="CF486" s="36" t="s">
        <v>251</v>
      </c>
      <c r="CG486" s="39" t="s">
        <v>415</v>
      </c>
      <c r="CH486" s="39"/>
      <c r="CI486" s="25">
        <v>2</v>
      </c>
    </row>
    <row r="487" spans="1:87" ht="24.75" customHeight="1">
      <c r="A487" s="36" t="s">
        <v>387</v>
      </c>
      <c r="B487" s="27">
        <v>47772</v>
      </c>
      <c r="C487" s="231"/>
      <c r="D487" s="36"/>
      <c r="E487" s="39"/>
      <c r="F487" s="39"/>
      <c r="G487" s="36" t="s">
        <v>390</v>
      </c>
      <c r="H487" s="39">
        <f>1340+880+1340</f>
        <v>3560</v>
      </c>
      <c r="I487" s="39" t="s">
        <v>90</v>
      </c>
      <c r="J487" s="39"/>
      <c r="K487" s="39"/>
      <c r="L487" s="39">
        <f t="shared" si="491"/>
        <v>0</v>
      </c>
      <c r="M487" s="117">
        <v>46179</v>
      </c>
      <c r="N487" s="117">
        <v>46186</v>
      </c>
      <c r="O487" s="39"/>
      <c r="P487" s="39"/>
      <c r="Q487" s="39"/>
      <c r="R487" s="39">
        <f t="shared" si="493"/>
        <v>0</v>
      </c>
      <c r="S487" s="39" t="s">
        <v>130</v>
      </c>
      <c r="T487" s="39">
        <v>107882</v>
      </c>
      <c r="U487" s="117">
        <v>46224</v>
      </c>
      <c r="V487" s="117" t="s">
        <v>1057</v>
      </c>
      <c r="W487" s="39">
        <f>14+17</f>
        <v>31</v>
      </c>
      <c r="X487" s="117" t="s">
        <v>1287</v>
      </c>
      <c r="Y487" s="39">
        <f>14+13+8</f>
        <v>35</v>
      </c>
      <c r="Z487" s="39"/>
      <c r="AA487" s="39"/>
      <c r="AB487" s="39">
        <f t="shared" si="494"/>
        <v>35</v>
      </c>
      <c r="AC487" s="39"/>
      <c r="AD487" s="39"/>
      <c r="AE487" s="39"/>
      <c r="AF487" s="39"/>
      <c r="AG487" s="39"/>
      <c r="AH487" s="39">
        <f t="shared" si="461"/>
        <v>0</v>
      </c>
      <c r="AI487" s="39"/>
      <c r="AJ487" s="39"/>
      <c r="AK487" s="39"/>
      <c r="AL487" s="39"/>
      <c r="AM487" s="39"/>
      <c r="AN487" s="39">
        <f t="shared" si="405"/>
        <v>0</v>
      </c>
      <c r="AO487" s="39"/>
      <c r="AP487" s="39"/>
      <c r="AQ487" s="39"/>
      <c r="AR487" s="39"/>
      <c r="AS487" s="39"/>
      <c r="AT487" s="39">
        <f t="shared" si="462"/>
        <v>0</v>
      </c>
      <c r="AU487" s="39"/>
      <c r="AV487" s="39"/>
      <c r="AW487" s="39"/>
      <c r="AX487" s="39"/>
      <c r="AY487" s="39"/>
      <c r="AZ487" s="39">
        <f t="shared" si="463"/>
        <v>0</v>
      </c>
      <c r="BA487" s="39"/>
      <c r="BB487" s="39"/>
      <c r="BC487" s="39"/>
      <c r="BD487" s="39"/>
      <c r="BE487" s="39"/>
      <c r="BF487" s="39">
        <f t="shared" si="464"/>
        <v>0</v>
      </c>
      <c r="BG487" s="39"/>
      <c r="BH487" s="39"/>
      <c r="BI487" s="39"/>
      <c r="BJ487" s="39"/>
      <c r="BK487" s="39"/>
      <c r="BL487" s="39">
        <f t="shared" si="465"/>
        <v>0</v>
      </c>
      <c r="BM487" s="54" t="e">
        <f t="shared" si="466"/>
        <v>#DIV/0!</v>
      </c>
      <c r="BN487" s="66">
        <v>46191</v>
      </c>
      <c r="BO487" s="117">
        <v>46208</v>
      </c>
      <c r="BP487" s="39"/>
      <c r="BQ487" s="39"/>
      <c r="BR487" s="232"/>
      <c r="BS487" s="232"/>
      <c r="BT487" s="39" t="s">
        <v>2020</v>
      </c>
      <c r="BU487" s="39"/>
      <c r="BV487" s="39"/>
      <c r="BW487" s="39"/>
      <c r="BX487" s="39"/>
      <c r="BY487" s="39"/>
      <c r="BZ487" s="39">
        <f t="shared" si="467"/>
        <v>0</v>
      </c>
      <c r="CA487" s="39" t="e">
        <f t="shared" si="468"/>
        <v>#VALUE!</v>
      </c>
      <c r="CB487" s="39">
        <f t="shared" si="469"/>
        <v>0</v>
      </c>
      <c r="CC487" s="39">
        <f t="shared" si="470"/>
        <v>0</v>
      </c>
      <c r="CD487" s="39">
        <f t="shared" si="471"/>
        <v>0</v>
      </c>
      <c r="CE487" s="102" t="e">
        <f t="shared" si="472"/>
        <v>#DIV/0!</v>
      </c>
      <c r="CF487" s="36" t="s">
        <v>251</v>
      </c>
      <c r="CG487" s="39" t="s">
        <v>415</v>
      </c>
      <c r="CH487" s="39"/>
      <c r="CI487" s="25">
        <v>2</v>
      </c>
    </row>
    <row r="488" spans="1:87" ht="24.75" customHeight="1">
      <c r="A488" s="36" t="s">
        <v>387</v>
      </c>
      <c r="B488" s="27">
        <v>47772</v>
      </c>
      <c r="C488" s="228"/>
      <c r="D488" s="36"/>
      <c r="E488" s="39"/>
      <c r="F488" s="39"/>
      <c r="G488" s="36" t="s">
        <v>92</v>
      </c>
      <c r="H488" s="39">
        <f>325+210+325</f>
        <v>860</v>
      </c>
      <c r="I488" s="39" t="s">
        <v>90</v>
      </c>
      <c r="J488" s="39"/>
      <c r="K488" s="39"/>
      <c r="L488" s="39">
        <f t="shared" si="491"/>
        <v>0</v>
      </c>
      <c r="M488" s="117">
        <v>46179</v>
      </c>
      <c r="N488" s="117">
        <v>46186</v>
      </c>
      <c r="O488" s="39"/>
      <c r="P488" s="39"/>
      <c r="Q488" s="39"/>
      <c r="R488" s="39">
        <f t="shared" si="493"/>
        <v>0</v>
      </c>
      <c r="S488" s="39" t="s">
        <v>130</v>
      </c>
      <c r="T488" s="39">
        <v>107882</v>
      </c>
      <c r="U488" s="117">
        <v>46224</v>
      </c>
      <c r="V488" s="117" t="s">
        <v>1057</v>
      </c>
      <c r="W488" s="39">
        <f>3+3</f>
        <v>6</v>
      </c>
      <c r="X488" s="117" t="s">
        <v>1287</v>
      </c>
      <c r="Y488" s="39">
        <f>2+2+2</f>
        <v>6</v>
      </c>
      <c r="Z488" s="39"/>
      <c r="AA488" s="39"/>
      <c r="AB488" s="39">
        <f t="shared" si="494"/>
        <v>6</v>
      </c>
      <c r="AC488" s="39"/>
      <c r="AD488" s="39"/>
      <c r="AE488" s="39"/>
      <c r="AF488" s="39"/>
      <c r="AG488" s="39"/>
      <c r="AH488" s="39">
        <f t="shared" si="461"/>
        <v>0</v>
      </c>
      <c r="AI488" s="39"/>
      <c r="AJ488" s="39"/>
      <c r="AK488" s="39"/>
      <c r="AL488" s="39"/>
      <c r="AM488" s="39"/>
      <c r="AN488" s="39">
        <f t="shared" si="405"/>
        <v>0</v>
      </c>
      <c r="AO488" s="39"/>
      <c r="AP488" s="39"/>
      <c r="AQ488" s="39"/>
      <c r="AR488" s="39"/>
      <c r="AS488" s="39"/>
      <c r="AT488" s="39">
        <f t="shared" si="462"/>
        <v>0</v>
      </c>
      <c r="AU488" s="39"/>
      <c r="AV488" s="39"/>
      <c r="AW488" s="39"/>
      <c r="AX488" s="39"/>
      <c r="AY488" s="39"/>
      <c r="AZ488" s="39">
        <f t="shared" si="463"/>
        <v>0</v>
      </c>
      <c r="BA488" s="39"/>
      <c r="BB488" s="39"/>
      <c r="BC488" s="39"/>
      <c r="BD488" s="39"/>
      <c r="BE488" s="39"/>
      <c r="BF488" s="39">
        <f t="shared" si="464"/>
        <v>0</v>
      </c>
      <c r="BG488" s="39"/>
      <c r="BH488" s="39"/>
      <c r="BI488" s="39"/>
      <c r="BJ488" s="39"/>
      <c r="BK488" s="39"/>
      <c r="BL488" s="39">
        <f t="shared" si="465"/>
        <v>0</v>
      </c>
      <c r="BM488" s="54" t="e">
        <f t="shared" si="466"/>
        <v>#DIV/0!</v>
      </c>
      <c r="BN488" s="66">
        <v>46191</v>
      </c>
      <c r="BO488" s="117">
        <v>46208</v>
      </c>
      <c r="BP488" s="39"/>
      <c r="BQ488" s="39"/>
      <c r="BR488" s="230"/>
      <c r="BS488" s="230"/>
      <c r="BT488" s="39" t="s">
        <v>2020</v>
      </c>
      <c r="BU488" s="39"/>
      <c r="BV488" s="39"/>
      <c r="BW488" s="39"/>
      <c r="BX488" s="39"/>
      <c r="BY488" s="39"/>
      <c r="BZ488" s="39">
        <f t="shared" si="467"/>
        <v>0</v>
      </c>
      <c r="CA488" s="39" t="e">
        <f t="shared" si="468"/>
        <v>#VALUE!</v>
      </c>
      <c r="CB488" s="39">
        <f t="shared" si="469"/>
        <v>0</v>
      </c>
      <c r="CC488" s="39">
        <f t="shared" si="470"/>
        <v>0</v>
      </c>
      <c r="CD488" s="39">
        <f t="shared" si="471"/>
        <v>0</v>
      </c>
      <c r="CE488" s="102" t="e">
        <f t="shared" si="472"/>
        <v>#DIV/0!</v>
      </c>
      <c r="CF488" s="36" t="s">
        <v>251</v>
      </c>
      <c r="CG488" s="39" t="s">
        <v>415</v>
      </c>
      <c r="CH488" s="39"/>
      <c r="CI488" s="25">
        <v>2</v>
      </c>
    </row>
    <row r="489" spans="1:87" ht="24.75" customHeight="1">
      <c r="A489" s="36" t="s">
        <v>387</v>
      </c>
      <c r="B489" s="27" t="s">
        <v>1146</v>
      </c>
      <c r="C489" s="227">
        <v>15386479</v>
      </c>
      <c r="D489" s="36"/>
      <c r="E489" s="39">
        <v>230</v>
      </c>
      <c r="F489" s="39" t="s">
        <v>58</v>
      </c>
      <c r="G489" s="36" t="s">
        <v>401</v>
      </c>
      <c r="H489" s="39" t="s">
        <v>96</v>
      </c>
      <c r="I489" s="39">
        <v>60</v>
      </c>
      <c r="J489" s="39"/>
      <c r="K489" s="39"/>
      <c r="L489" s="39">
        <f t="shared" si="491"/>
        <v>60</v>
      </c>
      <c r="M489" s="117">
        <v>46165</v>
      </c>
      <c r="N489" s="117">
        <v>46184</v>
      </c>
      <c r="O489" s="39"/>
      <c r="P489" s="39"/>
      <c r="Q489" s="39"/>
      <c r="R489" s="39">
        <f t="shared" si="493"/>
        <v>0</v>
      </c>
      <c r="S489" s="39" t="s">
        <v>326</v>
      </c>
      <c r="T489" s="39"/>
      <c r="U489" s="39"/>
      <c r="V489" s="117">
        <v>46190</v>
      </c>
      <c r="W489" s="39">
        <v>76</v>
      </c>
      <c r="X489" s="117">
        <v>46207</v>
      </c>
      <c r="Y489" s="39">
        <v>61</v>
      </c>
      <c r="Z489" s="39"/>
      <c r="AA489" s="39"/>
      <c r="AB489" s="119">
        <f t="shared" si="494"/>
        <v>61</v>
      </c>
      <c r="AC489" s="39"/>
      <c r="AD489" s="39"/>
      <c r="AE489" s="39"/>
      <c r="AF489" s="39"/>
      <c r="AG489" s="39"/>
      <c r="AH489" s="39">
        <f t="shared" si="461"/>
        <v>0</v>
      </c>
      <c r="AI489" s="39"/>
      <c r="AJ489" s="39"/>
      <c r="AK489" s="39"/>
      <c r="AL489" s="39"/>
      <c r="AM489" s="39"/>
      <c r="AN489" s="39">
        <f t="shared" si="405"/>
        <v>0</v>
      </c>
      <c r="AO489" s="39"/>
      <c r="AP489" s="39"/>
      <c r="AQ489" s="39"/>
      <c r="AR489" s="39"/>
      <c r="AS489" s="39"/>
      <c r="AT489" s="39">
        <f t="shared" si="462"/>
        <v>0</v>
      </c>
      <c r="AU489" s="39"/>
      <c r="AV489" s="39"/>
      <c r="AW489" s="39"/>
      <c r="AX489" s="39"/>
      <c r="AY489" s="39"/>
      <c r="AZ489" s="39">
        <f t="shared" si="463"/>
        <v>0</v>
      </c>
      <c r="BA489" s="39"/>
      <c r="BB489" s="39"/>
      <c r="BC489" s="39"/>
      <c r="BD489" s="39"/>
      <c r="BE489" s="39"/>
      <c r="BF489" s="39">
        <f t="shared" si="464"/>
        <v>0</v>
      </c>
      <c r="BG489" s="39"/>
      <c r="BH489" s="39"/>
      <c r="BI489" s="39"/>
      <c r="BJ489" s="39"/>
      <c r="BK489" s="39"/>
      <c r="BL489" s="39">
        <f t="shared" si="465"/>
        <v>0</v>
      </c>
      <c r="BM489" s="54" t="str">
        <f t="shared" si="466"/>
        <v/>
      </c>
      <c r="BN489" s="66">
        <v>46185</v>
      </c>
      <c r="BO489" s="117">
        <v>46198</v>
      </c>
      <c r="BP489" s="39"/>
      <c r="BQ489" s="39"/>
      <c r="BR489" s="229">
        <v>46195</v>
      </c>
      <c r="BS489" s="243"/>
      <c r="BT489" s="39">
        <v>1767</v>
      </c>
      <c r="BU489" s="39">
        <v>61</v>
      </c>
      <c r="BV489" s="39"/>
      <c r="BW489" s="39"/>
      <c r="BX489" s="39"/>
      <c r="BY489" s="39"/>
      <c r="BZ489" s="39">
        <f t="shared" si="467"/>
        <v>61</v>
      </c>
      <c r="CA489" s="39">
        <f t="shared" si="468"/>
        <v>1</v>
      </c>
      <c r="CB489" s="39">
        <f t="shared" si="469"/>
        <v>0</v>
      </c>
      <c r="CC489" s="39">
        <f t="shared" si="470"/>
        <v>0</v>
      </c>
      <c r="CD489" s="39">
        <f t="shared" si="471"/>
        <v>0</v>
      </c>
      <c r="CE489" s="102">
        <f t="shared" si="472"/>
        <v>0</v>
      </c>
      <c r="CF489" s="36"/>
      <c r="CG489" s="39" t="s">
        <v>415</v>
      </c>
      <c r="CH489" s="39"/>
      <c r="CI489" s="25">
        <v>2</v>
      </c>
    </row>
    <row r="490" spans="1:87" ht="24.75" customHeight="1">
      <c r="A490" s="36" t="s">
        <v>387</v>
      </c>
      <c r="B490" s="27" t="s">
        <v>1146</v>
      </c>
      <c r="C490" s="231"/>
      <c r="D490" s="36"/>
      <c r="E490" s="39">
        <v>230</v>
      </c>
      <c r="F490" s="39" t="s">
        <v>58</v>
      </c>
      <c r="G490" s="36" t="s">
        <v>807</v>
      </c>
      <c r="H490" s="39" t="s">
        <v>96</v>
      </c>
      <c r="I490" s="39">
        <v>55</v>
      </c>
      <c r="J490" s="39"/>
      <c r="K490" s="39"/>
      <c r="L490" s="39">
        <f t="shared" si="491"/>
        <v>55</v>
      </c>
      <c r="M490" s="117">
        <v>46165</v>
      </c>
      <c r="N490" s="117">
        <v>46184</v>
      </c>
      <c r="O490" s="39"/>
      <c r="P490" s="39"/>
      <c r="Q490" s="39"/>
      <c r="R490" s="39">
        <f t="shared" si="493"/>
        <v>0</v>
      </c>
      <c r="S490" s="39" t="s">
        <v>100</v>
      </c>
      <c r="T490" s="39"/>
      <c r="U490" s="39"/>
      <c r="V490" s="117">
        <v>46193</v>
      </c>
      <c r="W490" s="39">
        <v>72</v>
      </c>
      <c r="X490" s="117">
        <v>46207</v>
      </c>
      <c r="Y490" s="39">
        <v>58</v>
      </c>
      <c r="Z490" s="39"/>
      <c r="AA490" s="39"/>
      <c r="AB490" s="119">
        <f t="shared" si="494"/>
        <v>58</v>
      </c>
      <c r="AC490" s="39"/>
      <c r="AD490" s="39"/>
      <c r="AE490" s="39"/>
      <c r="AF490" s="39"/>
      <c r="AG490" s="39"/>
      <c r="AH490" s="39">
        <f t="shared" si="461"/>
        <v>0</v>
      </c>
      <c r="AI490" s="39"/>
      <c r="AJ490" s="39"/>
      <c r="AK490" s="39"/>
      <c r="AL490" s="39"/>
      <c r="AM490" s="39"/>
      <c r="AN490" s="39">
        <f t="shared" si="405"/>
        <v>0</v>
      </c>
      <c r="AO490" s="39"/>
      <c r="AP490" s="39"/>
      <c r="AQ490" s="39"/>
      <c r="AR490" s="39"/>
      <c r="AS490" s="39"/>
      <c r="AT490" s="39">
        <f t="shared" si="462"/>
        <v>0</v>
      </c>
      <c r="AU490" s="39"/>
      <c r="AV490" s="39"/>
      <c r="AW490" s="39"/>
      <c r="AX490" s="39"/>
      <c r="AY490" s="39"/>
      <c r="AZ490" s="39">
        <f t="shared" si="463"/>
        <v>0</v>
      </c>
      <c r="BA490" s="39"/>
      <c r="BB490" s="39"/>
      <c r="BC490" s="39"/>
      <c r="BD490" s="39"/>
      <c r="BE490" s="39"/>
      <c r="BF490" s="39">
        <f t="shared" si="464"/>
        <v>0</v>
      </c>
      <c r="BG490" s="39"/>
      <c r="BH490" s="39"/>
      <c r="BI490" s="39"/>
      <c r="BJ490" s="39"/>
      <c r="BK490" s="39"/>
      <c r="BL490" s="39">
        <f t="shared" si="465"/>
        <v>0</v>
      </c>
      <c r="BM490" s="54" t="str">
        <f t="shared" si="466"/>
        <v/>
      </c>
      <c r="BN490" s="66">
        <v>46185</v>
      </c>
      <c r="BO490" s="117">
        <v>46198</v>
      </c>
      <c r="BP490" s="39"/>
      <c r="BQ490" s="39"/>
      <c r="BR490" s="232"/>
      <c r="BS490" s="232"/>
      <c r="BT490" s="39">
        <v>1767</v>
      </c>
      <c r="BU490" s="39">
        <v>58</v>
      </c>
      <c r="BV490" s="39"/>
      <c r="BW490" s="39"/>
      <c r="BX490" s="39"/>
      <c r="BY490" s="39"/>
      <c r="BZ490" s="39">
        <f t="shared" si="467"/>
        <v>58</v>
      </c>
      <c r="CA490" s="39">
        <f t="shared" si="468"/>
        <v>3</v>
      </c>
      <c r="CB490" s="39">
        <f t="shared" si="469"/>
        <v>0</v>
      </c>
      <c r="CC490" s="39">
        <f t="shared" si="470"/>
        <v>0</v>
      </c>
      <c r="CD490" s="39">
        <f t="shared" si="471"/>
        <v>0</v>
      </c>
      <c r="CE490" s="102">
        <f t="shared" si="472"/>
        <v>0</v>
      </c>
      <c r="CF490" s="36"/>
      <c r="CG490" s="39" t="s">
        <v>415</v>
      </c>
      <c r="CH490" s="39"/>
      <c r="CI490" s="25">
        <v>2</v>
      </c>
    </row>
    <row r="491" spans="1:87" ht="24.75" customHeight="1">
      <c r="A491" s="36" t="s">
        <v>387</v>
      </c>
      <c r="B491" s="27" t="s">
        <v>1146</v>
      </c>
      <c r="C491" s="231"/>
      <c r="D491" s="36"/>
      <c r="E491" s="39">
        <v>230</v>
      </c>
      <c r="F491" s="39" t="s">
        <v>58</v>
      </c>
      <c r="G491" s="36" t="s">
        <v>187</v>
      </c>
      <c r="H491" s="39" t="s">
        <v>96</v>
      </c>
      <c r="I491" s="39">
        <v>258</v>
      </c>
      <c r="J491" s="39"/>
      <c r="K491" s="39"/>
      <c r="L491" s="39">
        <f t="shared" si="491"/>
        <v>258</v>
      </c>
      <c r="M491" s="117">
        <v>46165</v>
      </c>
      <c r="N491" s="117">
        <v>46184</v>
      </c>
      <c r="O491" s="39"/>
      <c r="P491" s="39"/>
      <c r="Q491" s="39"/>
      <c r="R491" s="39">
        <f t="shared" si="493"/>
        <v>0</v>
      </c>
      <c r="S491" s="39" t="s">
        <v>130</v>
      </c>
      <c r="T491" s="39">
        <v>107359</v>
      </c>
      <c r="U491" s="117">
        <v>46201</v>
      </c>
      <c r="V491" s="39"/>
      <c r="W491" s="39"/>
      <c r="X491" s="39"/>
      <c r="Y491" s="39">
        <v>297</v>
      </c>
      <c r="Z491" s="39"/>
      <c r="AA491" s="39"/>
      <c r="AB491" s="119">
        <f t="shared" si="494"/>
        <v>297</v>
      </c>
      <c r="AC491" s="39"/>
      <c r="AD491" s="39"/>
      <c r="AE491" s="39"/>
      <c r="AF491" s="39"/>
      <c r="AG491" s="39"/>
      <c r="AH491" s="39">
        <f t="shared" si="461"/>
        <v>0</v>
      </c>
      <c r="AI491" s="39"/>
      <c r="AJ491" s="39"/>
      <c r="AK491" s="39"/>
      <c r="AL491" s="39"/>
      <c r="AM491" s="39"/>
      <c r="AN491" s="39">
        <f t="shared" si="405"/>
        <v>0</v>
      </c>
      <c r="AO491" s="39"/>
      <c r="AP491" s="39"/>
      <c r="AQ491" s="39"/>
      <c r="AR491" s="39"/>
      <c r="AS491" s="39"/>
      <c r="AT491" s="39">
        <f t="shared" si="462"/>
        <v>0</v>
      </c>
      <c r="AU491" s="39"/>
      <c r="AV491" s="39"/>
      <c r="AW491" s="39"/>
      <c r="AX491" s="39"/>
      <c r="AY491" s="39"/>
      <c r="AZ491" s="39">
        <f t="shared" si="463"/>
        <v>0</v>
      </c>
      <c r="BA491" s="39"/>
      <c r="BB491" s="39"/>
      <c r="BC491" s="39"/>
      <c r="BD491" s="39"/>
      <c r="BE491" s="39"/>
      <c r="BF491" s="39">
        <f t="shared" si="464"/>
        <v>0</v>
      </c>
      <c r="BG491" s="39"/>
      <c r="BH491" s="39"/>
      <c r="BI491" s="39"/>
      <c r="BJ491" s="39"/>
      <c r="BK491" s="39"/>
      <c r="BL491" s="39">
        <f t="shared" si="465"/>
        <v>0</v>
      </c>
      <c r="BM491" s="54">
        <f t="shared" ca="1" si="466"/>
        <v>82</v>
      </c>
      <c r="BN491" s="66">
        <v>46185</v>
      </c>
      <c r="BO491" s="117">
        <v>46198</v>
      </c>
      <c r="BP491" s="39"/>
      <c r="BQ491" s="39"/>
      <c r="BR491" s="232"/>
      <c r="BS491" s="232"/>
      <c r="BT491" s="39">
        <v>2148</v>
      </c>
      <c r="BU491" s="39">
        <f>223</f>
        <v>223</v>
      </c>
      <c r="BV491" s="39"/>
      <c r="BW491" s="39"/>
      <c r="BX491" s="39"/>
      <c r="BY491" s="39"/>
      <c r="BZ491" s="39">
        <f t="shared" si="467"/>
        <v>223</v>
      </c>
      <c r="CA491" s="39">
        <f t="shared" si="468"/>
        <v>-35</v>
      </c>
      <c r="CB491" s="39">
        <f t="shared" si="469"/>
        <v>0</v>
      </c>
      <c r="CC491" s="39">
        <f t="shared" si="470"/>
        <v>0</v>
      </c>
      <c r="CD491" s="39">
        <f t="shared" si="471"/>
        <v>-35</v>
      </c>
      <c r="CE491" s="102">
        <f t="shared" si="472"/>
        <v>-0.13565891472868216</v>
      </c>
      <c r="CF491" s="36"/>
      <c r="CG491" s="39" t="s">
        <v>415</v>
      </c>
      <c r="CH491" s="39" t="s">
        <v>561</v>
      </c>
      <c r="CI491" s="25">
        <v>2</v>
      </c>
    </row>
    <row r="492" spans="1:87" ht="24.75" customHeight="1">
      <c r="A492" s="36" t="s">
        <v>387</v>
      </c>
      <c r="B492" s="27" t="s">
        <v>1146</v>
      </c>
      <c r="C492" s="231"/>
      <c r="D492" s="36"/>
      <c r="E492" s="39">
        <v>230</v>
      </c>
      <c r="F492" s="39" t="s">
        <v>58</v>
      </c>
      <c r="G492" s="36" t="s">
        <v>47</v>
      </c>
      <c r="H492" s="39" t="s">
        <v>96</v>
      </c>
      <c r="I492" s="39">
        <v>296</v>
      </c>
      <c r="J492" s="39"/>
      <c r="K492" s="39"/>
      <c r="L492" s="39">
        <f t="shared" si="491"/>
        <v>296</v>
      </c>
      <c r="M492" s="117">
        <v>46165</v>
      </c>
      <c r="N492" s="117">
        <v>46184</v>
      </c>
      <c r="O492" s="39"/>
      <c r="P492" s="39"/>
      <c r="Q492" s="39"/>
      <c r="R492" s="39">
        <f t="shared" si="493"/>
        <v>0</v>
      </c>
      <c r="S492" s="39" t="s">
        <v>130</v>
      </c>
      <c r="T492" s="39">
        <v>107037</v>
      </c>
      <c r="U492" s="117">
        <v>46192</v>
      </c>
      <c r="V492" s="39"/>
      <c r="W492" s="39"/>
      <c r="X492" s="39"/>
      <c r="Y492" s="39">
        <v>335</v>
      </c>
      <c r="Z492" s="39"/>
      <c r="AA492" s="39"/>
      <c r="AB492" s="119">
        <f t="shared" si="494"/>
        <v>335</v>
      </c>
      <c r="AC492" s="39"/>
      <c r="AD492" s="39"/>
      <c r="AE492" s="39"/>
      <c r="AF492" s="39"/>
      <c r="AG492" s="39"/>
      <c r="AH492" s="39">
        <f t="shared" si="461"/>
        <v>0</v>
      </c>
      <c r="AI492" s="39"/>
      <c r="AJ492" s="39"/>
      <c r="AK492" s="39"/>
      <c r="AL492" s="39"/>
      <c r="AM492" s="39"/>
      <c r="AN492" s="39">
        <f t="shared" si="405"/>
        <v>0</v>
      </c>
      <c r="AO492" s="39"/>
      <c r="AP492" s="39"/>
      <c r="AQ492" s="39"/>
      <c r="AR492" s="39"/>
      <c r="AS492" s="39"/>
      <c r="AT492" s="39">
        <f t="shared" si="462"/>
        <v>0</v>
      </c>
      <c r="AU492" s="39"/>
      <c r="AV492" s="39"/>
      <c r="AW492" s="39"/>
      <c r="AX492" s="39"/>
      <c r="AY492" s="39"/>
      <c r="AZ492" s="39">
        <f t="shared" si="463"/>
        <v>0</v>
      </c>
      <c r="BA492" s="39"/>
      <c r="BB492" s="39"/>
      <c r="BC492" s="39"/>
      <c r="BD492" s="39"/>
      <c r="BE492" s="39"/>
      <c r="BF492" s="39">
        <f t="shared" si="464"/>
        <v>0</v>
      </c>
      <c r="BG492" s="39"/>
      <c r="BH492" s="39"/>
      <c r="BI492" s="39"/>
      <c r="BJ492" s="39"/>
      <c r="BK492" s="39"/>
      <c r="BL492" s="39">
        <f t="shared" si="465"/>
        <v>0</v>
      </c>
      <c r="BM492" s="54" t="str">
        <f t="shared" si="466"/>
        <v/>
      </c>
      <c r="BN492" s="66">
        <v>46185</v>
      </c>
      <c r="BO492" s="117">
        <v>46198</v>
      </c>
      <c r="BP492" s="39"/>
      <c r="BQ492" s="39"/>
      <c r="BR492" s="232"/>
      <c r="BS492" s="232"/>
      <c r="BT492" s="39">
        <v>2103</v>
      </c>
      <c r="BU492" s="39">
        <v>302</v>
      </c>
      <c r="BV492" s="39"/>
      <c r="BW492" s="39"/>
      <c r="BX492" s="39"/>
      <c r="BY492" s="39"/>
      <c r="BZ492" s="39">
        <f t="shared" si="467"/>
        <v>302</v>
      </c>
      <c r="CA492" s="39">
        <f t="shared" si="468"/>
        <v>6</v>
      </c>
      <c r="CB492" s="39">
        <f t="shared" si="469"/>
        <v>0</v>
      </c>
      <c r="CC492" s="39">
        <f t="shared" si="470"/>
        <v>0</v>
      </c>
      <c r="CD492" s="39">
        <f t="shared" si="471"/>
        <v>0</v>
      </c>
      <c r="CE492" s="102">
        <f t="shared" si="472"/>
        <v>0</v>
      </c>
      <c r="CF492" s="36"/>
      <c r="CG492" s="39" t="s">
        <v>415</v>
      </c>
      <c r="CH492" s="39"/>
      <c r="CI492" s="25">
        <v>2</v>
      </c>
    </row>
    <row r="493" spans="1:87" ht="24.75" customHeight="1">
      <c r="A493" s="36" t="s">
        <v>387</v>
      </c>
      <c r="B493" s="27" t="s">
        <v>1146</v>
      </c>
      <c r="C493" s="231"/>
      <c r="D493" s="36"/>
      <c r="E493" s="39">
        <v>230</v>
      </c>
      <c r="F493" s="39" t="s">
        <v>58</v>
      </c>
      <c r="G493" s="36" t="s">
        <v>30</v>
      </c>
      <c r="H493" s="39" t="s">
        <v>96</v>
      </c>
      <c r="I493" s="39">
        <v>171</v>
      </c>
      <c r="J493" s="39"/>
      <c r="K493" s="39"/>
      <c r="L493" s="39">
        <f t="shared" si="491"/>
        <v>171</v>
      </c>
      <c r="M493" s="117">
        <v>46165</v>
      </c>
      <c r="N493" s="117">
        <v>46184</v>
      </c>
      <c r="O493" s="39"/>
      <c r="P493" s="39"/>
      <c r="Q493" s="39"/>
      <c r="R493" s="39">
        <f t="shared" si="493"/>
        <v>0</v>
      </c>
      <c r="S493" s="39" t="s">
        <v>100</v>
      </c>
      <c r="T493" s="39"/>
      <c r="U493" s="39"/>
      <c r="V493" s="117">
        <v>46181</v>
      </c>
      <c r="W493" s="39">
        <v>203</v>
      </c>
      <c r="X493" s="117">
        <v>46203</v>
      </c>
      <c r="Y493" s="39">
        <v>175</v>
      </c>
      <c r="Z493" s="39"/>
      <c r="AA493" s="39"/>
      <c r="AB493" s="119">
        <f t="shared" si="494"/>
        <v>175</v>
      </c>
      <c r="AC493" s="39"/>
      <c r="AD493" s="39"/>
      <c r="AE493" s="39"/>
      <c r="AF493" s="39"/>
      <c r="AG493" s="39"/>
      <c r="AH493" s="39">
        <f t="shared" si="461"/>
        <v>0</v>
      </c>
      <c r="AI493" s="39"/>
      <c r="AJ493" s="39"/>
      <c r="AK493" s="39"/>
      <c r="AL493" s="39"/>
      <c r="AM493" s="39"/>
      <c r="AN493" s="39">
        <f t="shared" si="405"/>
        <v>0</v>
      </c>
      <c r="AO493" s="39"/>
      <c r="AP493" s="39"/>
      <c r="AQ493" s="39"/>
      <c r="AR493" s="39"/>
      <c r="AS493" s="39"/>
      <c r="AT493" s="39">
        <f t="shared" si="462"/>
        <v>0</v>
      </c>
      <c r="AU493" s="39"/>
      <c r="AV493" s="39"/>
      <c r="AW493" s="39"/>
      <c r="AX493" s="39"/>
      <c r="AY493" s="39"/>
      <c r="AZ493" s="39">
        <f t="shared" si="463"/>
        <v>0</v>
      </c>
      <c r="BA493" s="39"/>
      <c r="BB493" s="39"/>
      <c r="BC493" s="39"/>
      <c r="BD493" s="39"/>
      <c r="BE493" s="39"/>
      <c r="BF493" s="39">
        <f t="shared" si="464"/>
        <v>0</v>
      </c>
      <c r="BG493" s="39"/>
      <c r="BH493" s="39"/>
      <c r="BI493" s="39"/>
      <c r="BJ493" s="39"/>
      <c r="BK493" s="39"/>
      <c r="BL493" s="39">
        <f t="shared" si="465"/>
        <v>0</v>
      </c>
      <c r="BM493" s="54" t="str">
        <f t="shared" si="466"/>
        <v/>
      </c>
      <c r="BN493" s="66">
        <v>46185</v>
      </c>
      <c r="BO493" s="117">
        <v>46198</v>
      </c>
      <c r="BP493" s="39"/>
      <c r="BQ493" s="39"/>
      <c r="BR493" s="232"/>
      <c r="BS493" s="232"/>
      <c r="BT493" s="39">
        <v>1763</v>
      </c>
      <c r="BU493" s="39">
        <v>175</v>
      </c>
      <c r="BV493" s="39"/>
      <c r="BW493" s="39"/>
      <c r="BX493" s="39"/>
      <c r="BY493" s="39"/>
      <c r="BZ493" s="39">
        <f t="shared" si="467"/>
        <v>175</v>
      </c>
      <c r="CA493" s="39">
        <f t="shared" si="468"/>
        <v>4</v>
      </c>
      <c r="CB493" s="39">
        <f t="shared" si="469"/>
        <v>0</v>
      </c>
      <c r="CC493" s="39">
        <f t="shared" si="470"/>
        <v>0</v>
      </c>
      <c r="CD493" s="39">
        <f t="shared" si="471"/>
        <v>0</v>
      </c>
      <c r="CE493" s="102">
        <f t="shared" si="472"/>
        <v>0</v>
      </c>
      <c r="CF493" s="36"/>
      <c r="CG493" s="39" t="s">
        <v>415</v>
      </c>
      <c r="CH493" s="39"/>
      <c r="CI493" s="25">
        <v>2</v>
      </c>
    </row>
    <row r="494" spans="1:87" ht="24.75" customHeight="1">
      <c r="A494" s="36" t="s">
        <v>387</v>
      </c>
      <c r="B494" s="27" t="s">
        <v>1146</v>
      </c>
      <c r="C494" s="231"/>
      <c r="D494" s="36"/>
      <c r="E494" s="39">
        <v>230</v>
      </c>
      <c r="F494" s="39" t="s">
        <v>58</v>
      </c>
      <c r="G494" s="36" t="s">
        <v>23</v>
      </c>
      <c r="H494" s="39" t="s">
        <v>96</v>
      </c>
      <c r="I494" s="39">
        <v>338</v>
      </c>
      <c r="J494" s="39"/>
      <c r="K494" s="39"/>
      <c r="L494" s="39">
        <f t="shared" si="491"/>
        <v>338</v>
      </c>
      <c r="M494" s="117">
        <v>46165</v>
      </c>
      <c r="N494" s="117">
        <v>46184</v>
      </c>
      <c r="O494" s="39"/>
      <c r="P494" s="39"/>
      <c r="Q494" s="39"/>
      <c r="R494" s="39">
        <f t="shared" si="493"/>
        <v>0</v>
      </c>
      <c r="S494" s="39" t="s">
        <v>100</v>
      </c>
      <c r="T494" s="39"/>
      <c r="U494" s="39"/>
      <c r="V494" s="117">
        <v>46186</v>
      </c>
      <c r="W494" s="39">
        <v>371</v>
      </c>
      <c r="X494" s="117">
        <v>46194</v>
      </c>
      <c r="Y494" s="39">
        <v>338</v>
      </c>
      <c r="Z494" s="39"/>
      <c r="AA494" s="39"/>
      <c r="AB494" s="119">
        <f t="shared" si="494"/>
        <v>338</v>
      </c>
      <c r="AC494" s="39"/>
      <c r="AD494" s="39"/>
      <c r="AE494" s="39"/>
      <c r="AF494" s="39"/>
      <c r="AG494" s="39"/>
      <c r="AH494" s="39">
        <f t="shared" si="461"/>
        <v>0</v>
      </c>
      <c r="AI494" s="39"/>
      <c r="AJ494" s="39"/>
      <c r="AK494" s="39"/>
      <c r="AL494" s="39"/>
      <c r="AM494" s="39"/>
      <c r="AN494" s="39">
        <f t="shared" si="405"/>
        <v>0</v>
      </c>
      <c r="AO494" s="39"/>
      <c r="AP494" s="39"/>
      <c r="AQ494" s="39"/>
      <c r="AR494" s="39"/>
      <c r="AS494" s="39"/>
      <c r="AT494" s="39">
        <f t="shared" si="462"/>
        <v>0</v>
      </c>
      <c r="AU494" s="39"/>
      <c r="AV494" s="39"/>
      <c r="AW494" s="39"/>
      <c r="AX494" s="39"/>
      <c r="AY494" s="39"/>
      <c r="AZ494" s="39">
        <f t="shared" si="463"/>
        <v>0</v>
      </c>
      <c r="BA494" s="39"/>
      <c r="BB494" s="39"/>
      <c r="BC494" s="39"/>
      <c r="BD494" s="39"/>
      <c r="BE494" s="39"/>
      <c r="BF494" s="39">
        <f t="shared" si="464"/>
        <v>0</v>
      </c>
      <c r="BG494" s="39"/>
      <c r="BH494" s="39"/>
      <c r="BI494" s="39"/>
      <c r="BJ494" s="39"/>
      <c r="BK494" s="39"/>
      <c r="BL494" s="39">
        <f t="shared" si="465"/>
        <v>0</v>
      </c>
      <c r="BM494" s="54" t="str">
        <f t="shared" si="466"/>
        <v/>
      </c>
      <c r="BN494" s="66">
        <v>46185</v>
      </c>
      <c r="BO494" s="117">
        <v>46198</v>
      </c>
      <c r="BP494" s="39"/>
      <c r="BQ494" s="39"/>
      <c r="BR494" s="232"/>
      <c r="BS494" s="232"/>
      <c r="BT494" s="39">
        <v>1506</v>
      </c>
      <c r="BU494" s="39">
        <v>338</v>
      </c>
      <c r="BV494" s="39"/>
      <c r="BW494" s="39"/>
      <c r="BX494" s="39"/>
      <c r="BY494" s="39"/>
      <c r="BZ494" s="39">
        <f t="shared" si="467"/>
        <v>338</v>
      </c>
      <c r="CA494" s="39">
        <f t="shared" si="468"/>
        <v>0</v>
      </c>
      <c r="CB494" s="39">
        <f t="shared" si="469"/>
        <v>0</v>
      </c>
      <c r="CC494" s="39">
        <f t="shared" si="470"/>
        <v>0</v>
      </c>
      <c r="CD494" s="39">
        <f t="shared" si="471"/>
        <v>0</v>
      </c>
      <c r="CE494" s="102">
        <f t="shared" si="472"/>
        <v>0</v>
      </c>
      <c r="CF494" s="36"/>
      <c r="CG494" s="39" t="s">
        <v>415</v>
      </c>
      <c r="CH494" s="39"/>
      <c r="CI494" s="25">
        <v>2</v>
      </c>
    </row>
    <row r="495" spans="1:87" ht="24.75" customHeight="1">
      <c r="A495" s="36" t="s">
        <v>387</v>
      </c>
      <c r="B495" s="27" t="s">
        <v>1146</v>
      </c>
      <c r="C495" s="231"/>
      <c r="D495" s="36"/>
      <c r="E495" s="39">
        <v>230</v>
      </c>
      <c r="F495" s="39" t="s">
        <v>58</v>
      </c>
      <c r="G495" s="36" t="s">
        <v>425</v>
      </c>
      <c r="H495" s="39" t="s">
        <v>96</v>
      </c>
      <c r="I495" s="39">
        <v>188</v>
      </c>
      <c r="J495" s="39"/>
      <c r="K495" s="39"/>
      <c r="L495" s="39">
        <f t="shared" si="491"/>
        <v>188</v>
      </c>
      <c r="M495" s="117">
        <v>46165</v>
      </c>
      <c r="N495" s="117">
        <v>46184</v>
      </c>
      <c r="O495" s="39"/>
      <c r="P495" s="39"/>
      <c r="Q495" s="39"/>
      <c r="R495" s="39">
        <f t="shared" si="493"/>
        <v>0</v>
      </c>
      <c r="S495" s="39" t="s">
        <v>326</v>
      </c>
      <c r="T495" s="39"/>
      <c r="U495" s="39"/>
      <c r="V495" s="117">
        <v>46183</v>
      </c>
      <c r="W495" s="39">
        <v>222</v>
      </c>
      <c r="X495" s="117">
        <v>46205</v>
      </c>
      <c r="Y495" s="39">
        <v>199</v>
      </c>
      <c r="Z495" s="39"/>
      <c r="AA495" s="39"/>
      <c r="AB495" s="119">
        <f t="shared" si="494"/>
        <v>199</v>
      </c>
      <c r="AC495" s="39"/>
      <c r="AD495" s="39"/>
      <c r="AE495" s="39"/>
      <c r="AF495" s="39"/>
      <c r="AG495" s="39"/>
      <c r="AH495" s="39">
        <f t="shared" si="461"/>
        <v>0</v>
      </c>
      <c r="AI495" s="39"/>
      <c r="AJ495" s="39"/>
      <c r="AK495" s="39"/>
      <c r="AL495" s="39"/>
      <c r="AM495" s="39"/>
      <c r="AN495" s="39">
        <f t="shared" si="405"/>
        <v>0</v>
      </c>
      <c r="AO495" s="39"/>
      <c r="AP495" s="39"/>
      <c r="AQ495" s="39"/>
      <c r="AR495" s="39"/>
      <c r="AS495" s="39"/>
      <c r="AT495" s="39">
        <f t="shared" si="462"/>
        <v>0</v>
      </c>
      <c r="AU495" s="39"/>
      <c r="AV495" s="39"/>
      <c r="AW495" s="39"/>
      <c r="AX495" s="39"/>
      <c r="AY495" s="39"/>
      <c r="AZ495" s="39">
        <f t="shared" si="463"/>
        <v>0</v>
      </c>
      <c r="BA495" s="39"/>
      <c r="BB495" s="39"/>
      <c r="BC495" s="39"/>
      <c r="BD495" s="39"/>
      <c r="BE495" s="39"/>
      <c r="BF495" s="39">
        <f t="shared" si="464"/>
        <v>0</v>
      </c>
      <c r="BG495" s="39"/>
      <c r="BH495" s="39"/>
      <c r="BI495" s="39"/>
      <c r="BJ495" s="39"/>
      <c r="BK495" s="39"/>
      <c r="BL495" s="39">
        <f t="shared" si="465"/>
        <v>0</v>
      </c>
      <c r="BM495" s="54" t="str">
        <f t="shared" si="466"/>
        <v/>
      </c>
      <c r="BN495" s="66">
        <v>46185</v>
      </c>
      <c r="BO495" s="117">
        <v>46198</v>
      </c>
      <c r="BP495" s="39"/>
      <c r="BQ495" s="39"/>
      <c r="BR495" s="232"/>
      <c r="BS495" s="232"/>
      <c r="BT495" s="39">
        <v>1765</v>
      </c>
      <c r="BU495" s="39">
        <v>199</v>
      </c>
      <c r="BV495" s="39"/>
      <c r="BW495" s="39"/>
      <c r="BX495" s="39"/>
      <c r="BY495" s="39"/>
      <c r="BZ495" s="39">
        <f t="shared" si="467"/>
        <v>199</v>
      </c>
      <c r="CA495" s="39">
        <f t="shared" si="468"/>
        <v>11</v>
      </c>
      <c r="CB495" s="39">
        <f t="shared" si="469"/>
        <v>0</v>
      </c>
      <c r="CC495" s="39">
        <f t="shared" si="470"/>
        <v>0</v>
      </c>
      <c r="CD495" s="39">
        <f t="shared" si="471"/>
        <v>0</v>
      </c>
      <c r="CE495" s="102">
        <f t="shared" si="472"/>
        <v>0</v>
      </c>
      <c r="CF495" s="36"/>
      <c r="CG495" s="39" t="s">
        <v>415</v>
      </c>
      <c r="CH495" s="39"/>
      <c r="CI495" s="25">
        <v>2</v>
      </c>
    </row>
    <row r="496" spans="1:87" ht="24.75" customHeight="1">
      <c r="A496" s="36" t="s">
        <v>387</v>
      </c>
      <c r="B496" s="27" t="s">
        <v>1146</v>
      </c>
      <c r="C496" s="228"/>
      <c r="D496" s="36"/>
      <c r="E496" s="39">
        <v>230</v>
      </c>
      <c r="F496" s="39" t="s">
        <v>58</v>
      </c>
      <c r="G496" s="36" t="s">
        <v>460</v>
      </c>
      <c r="H496" s="39" t="s">
        <v>96</v>
      </c>
      <c r="I496" s="39">
        <v>150</v>
      </c>
      <c r="J496" s="39"/>
      <c r="K496" s="39"/>
      <c r="L496" s="39">
        <f t="shared" si="491"/>
        <v>150</v>
      </c>
      <c r="M496" s="117">
        <v>46165</v>
      </c>
      <c r="N496" s="117">
        <v>46184</v>
      </c>
      <c r="O496" s="39"/>
      <c r="P496" s="39"/>
      <c r="Q496" s="39"/>
      <c r="R496" s="39">
        <f t="shared" si="493"/>
        <v>0</v>
      </c>
      <c r="S496" s="39" t="s">
        <v>326</v>
      </c>
      <c r="T496" s="39"/>
      <c r="U496" s="39"/>
      <c r="V496" s="117">
        <v>46183</v>
      </c>
      <c r="W496" s="39">
        <v>180</v>
      </c>
      <c r="X496" s="117">
        <v>46202</v>
      </c>
      <c r="Y496" s="39">
        <v>153</v>
      </c>
      <c r="Z496" s="39"/>
      <c r="AA496" s="39"/>
      <c r="AB496" s="119">
        <f t="shared" si="494"/>
        <v>153</v>
      </c>
      <c r="AC496" s="39"/>
      <c r="AD496" s="39"/>
      <c r="AE496" s="39"/>
      <c r="AF496" s="39"/>
      <c r="AG496" s="39"/>
      <c r="AH496" s="39">
        <f t="shared" si="461"/>
        <v>0</v>
      </c>
      <c r="AI496" s="39"/>
      <c r="AJ496" s="39"/>
      <c r="AK496" s="39"/>
      <c r="AL496" s="39"/>
      <c r="AM496" s="39"/>
      <c r="AN496" s="39">
        <f t="shared" si="405"/>
        <v>0</v>
      </c>
      <c r="AO496" s="39"/>
      <c r="AP496" s="39"/>
      <c r="AQ496" s="39"/>
      <c r="AR496" s="39"/>
      <c r="AS496" s="39"/>
      <c r="AT496" s="39">
        <f t="shared" si="462"/>
        <v>0</v>
      </c>
      <c r="AU496" s="39"/>
      <c r="AV496" s="39"/>
      <c r="AW496" s="39"/>
      <c r="AX496" s="39"/>
      <c r="AY496" s="39"/>
      <c r="AZ496" s="39">
        <f t="shared" si="463"/>
        <v>0</v>
      </c>
      <c r="BA496" s="39"/>
      <c r="BB496" s="39"/>
      <c r="BC496" s="39"/>
      <c r="BD496" s="39"/>
      <c r="BE496" s="39"/>
      <c r="BF496" s="39">
        <f t="shared" si="464"/>
        <v>0</v>
      </c>
      <c r="BG496" s="39"/>
      <c r="BH496" s="39"/>
      <c r="BI496" s="39"/>
      <c r="BJ496" s="39"/>
      <c r="BK496" s="39"/>
      <c r="BL496" s="39">
        <f t="shared" si="465"/>
        <v>0</v>
      </c>
      <c r="BM496" s="54" t="str">
        <f t="shared" si="466"/>
        <v/>
      </c>
      <c r="BN496" s="66">
        <v>46185</v>
      </c>
      <c r="BO496" s="117">
        <v>46198</v>
      </c>
      <c r="BP496" s="39"/>
      <c r="BQ496" s="39"/>
      <c r="BR496" s="230"/>
      <c r="BS496" s="230"/>
      <c r="BT496" s="39">
        <v>1763</v>
      </c>
      <c r="BU496" s="39">
        <v>153</v>
      </c>
      <c r="BV496" s="39"/>
      <c r="BW496" s="39"/>
      <c r="BX496" s="39"/>
      <c r="BY496" s="39"/>
      <c r="BZ496" s="39">
        <f t="shared" si="467"/>
        <v>153</v>
      </c>
      <c r="CA496" s="39">
        <f t="shared" si="468"/>
        <v>3</v>
      </c>
      <c r="CB496" s="39">
        <f t="shared" si="469"/>
        <v>0</v>
      </c>
      <c r="CC496" s="39">
        <f t="shared" si="470"/>
        <v>0</v>
      </c>
      <c r="CD496" s="39">
        <f t="shared" si="471"/>
        <v>0</v>
      </c>
      <c r="CE496" s="102">
        <f t="shared" si="472"/>
        <v>0</v>
      </c>
      <c r="CF496" s="36"/>
      <c r="CG496" s="39" t="s">
        <v>415</v>
      </c>
      <c r="CH496" s="39"/>
      <c r="CI496" s="25">
        <v>2</v>
      </c>
    </row>
    <row r="497" spans="1:87" ht="24.75" customHeight="1">
      <c r="A497" s="36" t="s">
        <v>387</v>
      </c>
      <c r="B497" s="27">
        <v>47488</v>
      </c>
      <c r="C497" s="227">
        <v>15369134</v>
      </c>
      <c r="D497" s="36"/>
      <c r="E497" s="39">
        <v>190</v>
      </c>
      <c r="F497" s="39" t="s">
        <v>59</v>
      </c>
      <c r="G497" s="36" t="s">
        <v>23</v>
      </c>
      <c r="H497" s="36" t="s">
        <v>96</v>
      </c>
      <c r="I497" s="39">
        <v>185</v>
      </c>
      <c r="J497" s="39"/>
      <c r="K497" s="39"/>
      <c r="L497" s="39">
        <f t="shared" si="491"/>
        <v>185</v>
      </c>
      <c r="M497" s="117">
        <v>46179</v>
      </c>
      <c r="N497" s="117">
        <v>46183</v>
      </c>
      <c r="O497" s="39"/>
      <c r="P497" s="39"/>
      <c r="Q497" s="39"/>
      <c r="R497" s="39">
        <f t="shared" si="493"/>
        <v>0</v>
      </c>
      <c r="S497" s="39" t="s">
        <v>130</v>
      </c>
      <c r="T497" s="39">
        <v>107374</v>
      </c>
      <c r="U497" s="117">
        <v>46207</v>
      </c>
      <c r="V497" s="117"/>
      <c r="W497" s="39"/>
      <c r="X497" s="39"/>
      <c r="Y497" s="39">
        <v>211</v>
      </c>
      <c r="Z497" s="39"/>
      <c r="AA497" s="39"/>
      <c r="AB497" s="119">
        <f t="shared" si="494"/>
        <v>211</v>
      </c>
      <c r="AC497" s="39"/>
      <c r="AD497" s="39"/>
      <c r="AE497" s="39"/>
      <c r="AF497" s="39"/>
      <c r="AG497" s="39"/>
      <c r="AH497" s="39">
        <f t="shared" si="461"/>
        <v>0</v>
      </c>
      <c r="AI497" s="39"/>
      <c r="AJ497" s="39"/>
      <c r="AK497" s="39"/>
      <c r="AL497" s="39"/>
      <c r="AM497" s="39"/>
      <c r="AN497" s="39">
        <f t="shared" si="405"/>
        <v>0</v>
      </c>
      <c r="AO497" s="39"/>
      <c r="AP497" s="39"/>
      <c r="AQ497" s="39"/>
      <c r="AR497" s="39"/>
      <c r="AS497" s="39"/>
      <c r="AT497" s="39">
        <f t="shared" si="462"/>
        <v>0</v>
      </c>
      <c r="AU497" s="39"/>
      <c r="AV497" s="39"/>
      <c r="AW497" s="39"/>
      <c r="AX497" s="39"/>
      <c r="AY497" s="39"/>
      <c r="AZ497" s="39">
        <f t="shared" si="463"/>
        <v>0</v>
      </c>
      <c r="BA497" s="39"/>
      <c r="BB497" s="39"/>
      <c r="BC497" s="39"/>
      <c r="BD497" s="39"/>
      <c r="BE497" s="39"/>
      <c r="BF497" s="39">
        <f t="shared" si="464"/>
        <v>0</v>
      </c>
      <c r="BG497" s="39"/>
      <c r="BH497" s="39"/>
      <c r="BI497" s="39"/>
      <c r="BJ497" s="39"/>
      <c r="BK497" s="39"/>
      <c r="BL497" s="39">
        <f t="shared" si="465"/>
        <v>0</v>
      </c>
      <c r="BM497" s="54" t="str">
        <f t="shared" si="466"/>
        <v/>
      </c>
      <c r="BN497" s="66">
        <v>46186</v>
      </c>
      <c r="BO497" s="117">
        <v>46197</v>
      </c>
      <c r="BP497" s="39"/>
      <c r="BQ497" s="39"/>
      <c r="BR497" s="229">
        <v>46195</v>
      </c>
      <c r="BS497" s="229">
        <v>46210</v>
      </c>
      <c r="BT497" s="39">
        <v>1579</v>
      </c>
      <c r="BU497" s="39">
        <f>157+35</f>
        <v>192</v>
      </c>
      <c r="BV497" s="39"/>
      <c r="BW497" s="39"/>
      <c r="BX497" s="39"/>
      <c r="BY497" s="39"/>
      <c r="BZ497" s="39">
        <f t="shared" si="467"/>
        <v>192</v>
      </c>
      <c r="CA497" s="39">
        <f t="shared" si="468"/>
        <v>7</v>
      </c>
      <c r="CB497" s="39">
        <f t="shared" si="469"/>
        <v>0</v>
      </c>
      <c r="CC497" s="39">
        <f t="shared" si="470"/>
        <v>0</v>
      </c>
      <c r="CD497" s="39">
        <f t="shared" si="471"/>
        <v>0</v>
      </c>
      <c r="CE497" s="102">
        <f t="shared" si="472"/>
        <v>0</v>
      </c>
      <c r="CF497" s="36" t="s">
        <v>249</v>
      </c>
      <c r="CG497" s="39" t="s">
        <v>222</v>
      </c>
      <c r="CH497" s="39"/>
      <c r="CI497" s="25">
        <v>2</v>
      </c>
    </row>
    <row r="498" spans="1:87" ht="24.75" customHeight="1">
      <c r="A498" s="36" t="s">
        <v>387</v>
      </c>
      <c r="B498" s="27">
        <v>47488</v>
      </c>
      <c r="C498" s="228"/>
      <c r="D498" s="36"/>
      <c r="E498" s="39">
        <v>190</v>
      </c>
      <c r="F498" s="39" t="s">
        <v>59</v>
      </c>
      <c r="G498" s="36" t="s">
        <v>47</v>
      </c>
      <c r="H498" s="36" t="s">
        <v>96</v>
      </c>
      <c r="I498" s="39">
        <v>164</v>
      </c>
      <c r="J498" s="39"/>
      <c r="K498" s="39"/>
      <c r="L498" s="39">
        <f t="shared" ref="L498" si="495">SUM(I498:K498)</f>
        <v>164</v>
      </c>
      <c r="M498" s="117">
        <v>46179</v>
      </c>
      <c r="N498" s="117">
        <v>46183</v>
      </c>
      <c r="O498" s="39"/>
      <c r="P498" s="39"/>
      <c r="Q498" s="39"/>
      <c r="R498" s="39">
        <f t="shared" si="493"/>
        <v>0</v>
      </c>
      <c r="S498" s="39" t="s">
        <v>130</v>
      </c>
      <c r="T498" s="39">
        <v>107065</v>
      </c>
      <c r="U498" s="117">
        <v>46193</v>
      </c>
      <c r="V498" s="39"/>
      <c r="W498" s="39"/>
      <c r="X498" s="39"/>
      <c r="Y498" s="39">
        <v>199</v>
      </c>
      <c r="Z498" s="39"/>
      <c r="AA498" s="39"/>
      <c r="AB498" s="119">
        <f t="shared" si="494"/>
        <v>199</v>
      </c>
      <c r="AC498" s="39"/>
      <c r="AD498" s="39"/>
      <c r="AE498" s="39"/>
      <c r="AF498" s="39"/>
      <c r="AG498" s="39"/>
      <c r="AH498" s="39">
        <f t="shared" si="461"/>
        <v>0</v>
      </c>
      <c r="AI498" s="39"/>
      <c r="AJ498" s="39"/>
      <c r="AK498" s="39"/>
      <c r="AL498" s="39"/>
      <c r="AM498" s="39"/>
      <c r="AN498" s="39">
        <f t="shared" si="405"/>
        <v>0</v>
      </c>
      <c r="AO498" s="39"/>
      <c r="AP498" s="39"/>
      <c r="AQ498" s="39"/>
      <c r="AR498" s="39"/>
      <c r="AS498" s="39"/>
      <c r="AT498" s="39">
        <f t="shared" si="462"/>
        <v>0</v>
      </c>
      <c r="AU498" s="39"/>
      <c r="AV498" s="39"/>
      <c r="AW498" s="39"/>
      <c r="AX498" s="39"/>
      <c r="AY498" s="39"/>
      <c r="AZ498" s="39">
        <f t="shared" si="463"/>
        <v>0</v>
      </c>
      <c r="BA498" s="39"/>
      <c r="BB498" s="39"/>
      <c r="BC498" s="39"/>
      <c r="BD498" s="39"/>
      <c r="BE498" s="39"/>
      <c r="BF498" s="39">
        <f t="shared" si="464"/>
        <v>0</v>
      </c>
      <c r="BG498" s="39"/>
      <c r="BH498" s="39"/>
      <c r="BI498" s="39"/>
      <c r="BJ498" s="39"/>
      <c r="BK498" s="39"/>
      <c r="BL498" s="39">
        <f t="shared" si="465"/>
        <v>0</v>
      </c>
      <c r="BM498" s="54" t="str">
        <f t="shared" si="466"/>
        <v/>
      </c>
      <c r="BN498" s="66">
        <v>46186</v>
      </c>
      <c r="BO498" s="117">
        <v>46197</v>
      </c>
      <c r="BP498" s="39"/>
      <c r="BQ498" s="39"/>
      <c r="BR498" s="230"/>
      <c r="BS498" s="230"/>
      <c r="BT498" s="39" t="s">
        <v>1476</v>
      </c>
      <c r="BU498" s="39">
        <f>154+23</f>
        <v>177</v>
      </c>
      <c r="BV498" s="39"/>
      <c r="BW498" s="39"/>
      <c r="BX498" s="39"/>
      <c r="BY498" s="39"/>
      <c r="BZ498" s="39">
        <f t="shared" si="467"/>
        <v>177</v>
      </c>
      <c r="CA498" s="39">
        <f t="shared" si="468"/>
        <v>13</v>
      </c>
      <c r="CB498" s="39">
        <f t="shared" si="469"/>
        <v>0</v>
      </c>
      <c r="CC498" s="39">
        <f t="shared" si="470"/>
        <v>0</v>
      </c>
      <c r="CD498" s="39">
        <f t="shared" si="471"/>
        <v>0</v>
      </c>
      <c r="CE498" s="102">
        <f t="shared" si="472"/>
        <v>0</v>
      </c>
      <c r="CF498" s="36" t="s">
        <v>249</v>
      </c>
      <c r="CG498" s="39" t="s">
        <v>222</v>
      </c>
      <c r="CH498" s="39" t="s">
        <v>543</v>
      </c>
      <c r="CI498" s="25">
        <v>2</v>
      </c>
    </row>
    <row r="499" spans="1:87" ht="24.75" customHeight="1">
      <c r="A499" s="36" t="s">
        <v>387</v>
      </c>
      <c r="B499" s="27" t="s">
        <v>937</v>
      </c>
      <c r="C499" s="227" t="s">
        <v>1235</v>
      </c>
      <c r="D499" s="36"/>
      <c r="E499" s="39">
        <v>180</v>
      </c>
      <c r="F499" s="39" t="s">
        <v>55</v>
      </c>
      <c r="G499" s="36" t="s">
        <v>23</v>
      </c>
      <c r="H499" s="39" t="s">
        <v>87</v>
      </c>
      <c r="I499" s="39">
        <v>431</v>
      </c>
      <c r="J499" s="39"/>
      <c r="K499" s="39"/>
      <c r="L499" s="39">
        <f t="shared" ref="L499:L540" si="496">SUM(I499:K499)</f>
        <v>431</v>
      </c>
      <c r="M499" s="117">
        <v>46184</v>
      </c>
      <c r="N499" s="117">
        <v>46188</v>
      </c>
      <c r="O499" s="39"/>
      <c r="P499" s="39"/>
      <c r="Q499" s="39"/>
      <c r="R499" s="39">
        <f t="shared" ref="R499:R503" si="497">SUM(O499:Q499)</f>
        <v>0</v>
      </c>
      <c r="S499" s="39" t="s">
        <v>100</v>
      </c>
      <c r="T499" s="39"/>
      <c r="U499" s="39"/>
      <c r="V499" s="117">
        <v>46195</v>
      </c>
      <c r="W499" s="39">
        <v>474</v>
      </c>
      <c r="X499" s="117">
        <v>46201</v>
      </c>
      <c r="Y499" s="39">
        <v>442</v>
      </c>
      <c r="Z499" s="39"/>
      <c r="AA499" s="39"/>
      <c r="AB499" s="119">
        <f t="shared" ref="AB499:AB503" si="498">SUM(Y499:AA499)</f>
        <v>442</v>
      </c>
      <c r="AC499" s="39"/>
      <c r="AD499" s="39"/>
      <c r="AE499" s="39"/>
      <c r="AF499" s="39"/>
      <c r="AG499" s="39"/>
      <c r="AH499" s="39">
        <f t="shared" si="461"/>
        <v>0</v>
      </c>
      <c r="AI499" s="39"/>
      <c r="AJ499" s="39"/>
      <c r="AK499" s="39"/>
      <c r="AL499" s="39"/>
      <c r="AM499" s="39"/>
      <c r="AN499" s="39">
        <f t="shared" si="405"/>
        <v>0</v>
      </c>
      <c r="AO499" s="39"/>
      <c r="AP499" s="39"/>
      <c r="AQ499" s="39"/>
      <c r="AR499" s="39"/>
      <c r="AS499" s="39"/>
      <c r="AT499" s="39">
        <f t="shared" si="462"/>
        <v>0</v>
      </c>
      <c r="AU499" s="39"/>
      <c r="AV499" s="39"/>
      <c r="AW499" s="39"/>
      <c r="AX499" s="39"/>
      <c r="AY499" s="39"/>
      <c r="AZ499" s="39">
        <f t="shared" si="463"/>
        <v>0</v>
      </c>
      <c r="BA499" s="39"/>
      <c r="BB499" s="39"/>
      <c r="BC499" s="39"/>
      <c r="BD499" s="39"/>
      <c r="BE499" s="39"/>
      <c r="BF499" s="39">
        <f t="shared" si="464"/>
        <v>0</v>
      </c>
      <c r="BG499" s="39"/>
      <c r="BH499" s="39"/>
      <c r="BI499" s="39"/>
      <c r="BJ499" s="39"/>
      <c r="BK499" s="39"/>
      <c r="BL499" s="39">
        <f t="shared" si="465"/>
        <v>0</v>
      </c>
      <c r="BM499" s="54" t="str">
        <f t="shared" si="466"/>
        <v/>
      </c>
      <c r="BN499" s="66">
        <v>46193</v>
      </c>
      <c r="BO499" s="117">
        <v>46203</v>
      </c>
      <c r="BP499" s="39"/>
      <c r="BQ499" s="39"/>
      <c r="BR499" s="229">
        <v>46202</v>
      </c>
      <c r="BS499" s="229">
        <v>46203</v>
      </c>
      <c r="BT499" s="39">
        <v>1516</v>
      </c>
      <c r="BU499" s="39">
        <v>442</v>
      </c>
      <c r="BV499" s="39"/>
      <c r="BW499" s="39"/>
      <c r="BX499" s="39"/>
      <c r="BY499" s="39"/>
      <c r="BZ499" s="39">
        <f t="shared" si="467"/>
        <v>442</v>
      </c>
      <c r="CA499" s="39">
        <f t="shared" si="468"/>
        <v>11</v>
      </c>
      <c r="CB499" s="39">
        <f t="shared" si="469"/>
        <v>0</v>
      </c>
      <c r="CC499" s="39">
        <f t="shared" si="470"/>
        <v>0</v>
      </c>
      <c r="CD499" s="39">
        <f t="shared" si="471"/>
        <v>0</v>
      </c>
      <c r="CE499" s="47">
        <f t="shared" si="472"/>
        <v>0</v>
      </c>
      <c r="CF499" s="36" t="s">
        <v>249</v>
      </c>
      <c r="CG499" s="39" t="s">
        <v>222</v>
      </c>
      <c r="CH499" s="39"/>
      <c r="CI499" s="25">
        <v>2</v>
      </c>
    </row>
    <row r="500" spans="1:87" ht="24.75" customHeight="1">
      <c r="A500" s="36" t="s">
        <v>387</v>
      </c>
      <c r="B500" s="27" t="s">
        <v>937</v>
      </c>
      <c r="C500" s="228"/>
      <c r="D500" s="36"/>
      <c r="E500" s="39">
        <v>180</v>
      </c>
      <c r="F500" s="39" t="s">
        <v>55</v>
      </c>
      <c r="G500" s="36" t="s">
        <v>21</v>
      </c>
      <c r="H500" s="39" t="s">
        <v>87</v>
      </c>
      <c r="I500" s="39">
        <v>342</v>
      </c>
      <c r="J500" s="39"/>
      <c r="K500" s="39"/>
      <c r="L500" s="39">
        <f t="shared" si="496"/>
        <v>342</v>
      </c>
      <c r="M500" s="117">
        <v>46184</v>
      </c>
      <c r="N500" s="117">
        <v>46188</v>
      </c>
      <c r="O500" s="39"/>
      <c r="P500" s="39"/>
      <c r="Q500" s="39"/>
      <c r="R500" s="39">
        <f t="shared" ref="R500" si="499">SUM(O500:Q500)</f>
        <v>0</v>
      </c>
      <c r="S500" s="39" t="s">
        <v>130</v>
      </c>
      <c r="T500" s="39">
        <v>107323</v>
      </c>
      <c r="U500" s="117">
        <v>46201</v>
      </c>
      <c r="V500" s="39"/>
      <c r="W500" s="39"/>
      <c r="X500" s="39"/>
      <c r="Y500" s="39">
        <v>388</v>
      </c>
      <c r="Z500" s="39"/>
      <c r="AA500" s="39"/>
      <c r="AB500" s="119">
        <f t="shared" ref="AB500" si="500">SUM(Y500:AA500)</f>
        <v>388</v>
      </c>
      <c r="AC500" s="39"/>
      <c r="AD500" s="39"/>
      <c r="AE500" s="39"/>
      <c r="AF500" s="39"/>
      <c r="AG500" s="39"/>
      <c r="AH500" s="39">
        <f t="shared" ref="AH500" si="501">AG500-AE500</f>
        <v>0</v>
      </c>
      <c r="AI500" s="39"/>
      <c r="AJ500" s="39"/>
      <c r="AK500" s="39"/>
      <c r="AL500" s="39"/>
      <c r="AM500" s="39"/>
      <c r="AN500" s="39">
        <f t="shared" ref="AN500" si="502">AM500-AK500</f>
        <v>0</v>
      </c>
      <c r="AO500" s="39"/>
      <c r="AP500" s="39"/>
      <c r="AQ500" s="39"/>
      <c r="AR500" s="39"/>
      <c r="AS500" s="39"/>
      <c r="AT500" s="39">
        <f t="shared" ref="AT500" si="503">AS500-AQ500</f>
        <v>0</v>
      </c>
      <c r="AU500" s="39"/>
      <c r="AV500" s="39"/>
      <c r="AW500" s="39"/>
      <c r="AX500" s="39"/>
      <c r="AY500" s="39"/>
      <c r="AZ500" s="39">
        <f t="shared" ref="AZ500" si="504">AY500-AW500</f>
        <v>0</v>
      </c>
      <c r="BA500" s="39"/>
      <c r="BB500" s="39"/>
      <c r="BC500" s="39"/>
      <c r="BD500" s="39"/>
      <c r="BE500" s="39"/>
      <c r="BF500" s="39">
        <f t="shared" ref="BF500" si="505">BE500-BC500</f>
        <v>0</v>
      </c>
      <c r="BG500" s="39"/>
      <c r="BH500" s="39"/>
      <c r="BI500" s="39"/>
      <c r="BJ500" s="39"/>
      <c r="BK500" s="39"/>
      <c r="BL500" s="39">
        <f t="shared" ref="BL500" si="506">BK500-BI500</f>
        <v>0</v>
      </c>
      <c r="BM500" s="54" t="str">
        <f t="shared" ref="BM500" si="507">IF((BZ500/L500)&lt;0.9,$CO$1-U500,"")</f>
        <v/>
      </c>
      <c r="BN500" s="66">
        <v>46193</v>
      </c>
      <c r="BO500" s="117">
        <v>46203</v>
      </c>
      <c r="BP500" s="39"/>
      <c r="BQ500" s="39"/>
      <c r="BR500" s="230"/>
      <c r="BS500" s="230"/>
      <c r="BT500" s="39">
        <v>2146</v>
      </c>
      <c r="BU500" s="39">
        <v>360</v>
      </c>
      <c r="BV500" s="39"/>
      <c r="BW500" s="39"/>
      <c r="BX500" s="39"/>
      <c r="BY500" s="39"/>
      <c r="BZ500" s="39">
        <f t="shared" si="467"/>
        <v>360</v>
      </c>
      <c r="CA500" s="39">
        <f t="shared" si="468"/>
        <v>18</v>
      </c>
      <c r="CB500" s="39">
        <f t="shared" si="469"/>
        <v>0</v>
      </c>
      <c r="CC500" s="39">
        <f t="shared" si="470"/>
        <v>0</v>
      </c>
      <c r="CD500" s="39">
        <f t="shared" si="471"/>
        <v>0</v>
      </c>
      <c r="CE500" s="47">
        <f t="shared" si="472"/>
        <v>0</v>
      </c>
      <c r="CF500" s="36" t="s">
        <v>249</v>
      </c>
      <c r="CG500" s="39" t="s">
        <v>222</v>
      </c>
      <c r="CH500" s="39"/>
      <c r="CI500" s="25">
        <v>2</v>
      </c>
    </row>
    <row r="501" spans="1:87" ht="24.75" customHeight="1">
      <c r="A501" s="36" t="s">
        <v>387</v>
      </c>
      <c r="B501" s="27" t="s">
        <v>938</v>
      </c>
      <c r="C501" s="227" t="s">
        <v>1236</v>
      </c>
      <c r="D501" s="36"/>
      <c r="E501" s="39">
        <v>180</v>
      </c>
      <c r="F501" s="39" t="s">
        <v>55</v>
      </c>
      <c r="G501" s="36" t="s">
        <v>23</v>
      </c>
      <c r="H501" s="39" t="s">
        <v>87</v>
      </c>
      <c r="I501" s="39">
        <v>376</v>
      </c>
      <c r="J501" s="39"/>
      <c r="K501" s="39"/>
      <c r="L501" s="39">
        <f t="shared" si="496"/>
        <v>376</v>
      </c>
      <c r="M501" s="117">
        <v>46183</v>
      </c>
      <c r="N501" s="117">
        <v>46186</v>
      </c>
      <c r="O501" s="39"/>
      <c r="P501" s="39"/>
      <c r="Q501" s="39"/>
      <c r="R501" s="39">
        <f t="shared" si="497"/>
        <v>0</v>
      </c>
      <c r="S501" s="39" t="s">
        <v>100</v>
      </c>
      <c r="T501" s="39"/>
      <c r="U501" s="39"/>
      <c r="V501" s="117">
        <v>46195</v>
      </c>
      <c r="W501" s="39">
        <v>410</v>
      </c>
      <c r="X501" s="117">
        <v>46201</v>
      </c>
      <c r="Y501" s="39">
        <v>390</v>
      </c>
      <c r="Z501" s="39"/>
      <c r="AA501" s="39"/>
      <c r="AB501" s="119">
        <f t="shared" si="498"/>
        <v>390</v>
      </c>
      <c r="AC501" s="39"/>
      <c r="AD501" s="39"/>
      <c r="AE501" s="39"/>
      <c r="AF501" s="39"/>
      <c r="AG501" s="39"/>
      <c r="AH501" s="39">
        <f t="shared" si="461"/>
        <v>0</v>
      </c>
      <c r="AI501" s="39"/>
      <c r="AJ501" s="39"/>
      <c r="AK501" s="39"/>
      <c r="AL501" s="39"/>
      <c r="AM501" s="39"/>
      <c r="AN501" s="39">
        <f t="shared" si="405"/>
        <v>0</v>
      </c>
      <c r="AO501" s="39"/>
      <c r="AP501" s="39"/>
      <c r="AQ501" s="39"/>
      <c r="AR501" s="39"/>
      <c r="AS501" s="39"/>
      <c r="AT501" s="39">
        <f t="shared" si="462"/>
        <v>0</v>
      </c>
      <c r="AU501" s="39"/>
      <c r="AV501" s="39"/>
      <c r="AW501" s="39"/>
      <c r="AX501" s="39"/>
      <c r="AY501" s="39"/>
      <c r="AZ501" s="39">
        <f t="shared" si="463"/>
        <v>0</v>
      </c>
      <c r="BA501" s="39"/>
      <c r="BB501" s="39"/>
      <c r="BC501" s="39"/>
      <c r="BD501" s="39"/>
      <c r="BE501" s="39"/>
      <c r="BF501" s="39">
        <f t="shared" si="464"/>
        <v>0</v>
      </c>
      <c r="BG501" s="39"/>
      <c r="BH501" s="39"/>
      <c r="BI501" s="39"/>
      <c r="BJ501" s="39"/>
      <c r="BK501" s="39"/>
      <c r="BL501" s="39">
        <f t="shared" si="465"/>
        <v>0</v>
      </c>
      <c r="BM501" s="54" t="str">
        <f t="shared" si="466"/>
        <v/>
      </c>
      <c r="BN501" s="66">
        <v>46193</v>
      </c>
      <c r="BO501" s="117">
        <v>46203</v>
      </c>
      <c r="BP501" s="39"/>
      <c r="BQ501" s="39"/>
      <c r="BR501" s="229">
        <v>46202</v>
      </c>
      <c r="BS501" s="229">
        <v>46210</v>
      </c>
      <c r="BT501" s="39">
        <v>1516</v>
      </c>
      <c r="BU501" s="39">
        <v>390</v>
      </c>
      <c r="BV501" s="39"/>
      <c r="BW501" s="39"/>
      <c r="BX501" s="39"/>
      <c r="BY501" s="39"/>
      <c r="BZ501" s="39">
        <f t="shared" si="467"/>
        <v>390</v>
      </c>
      <c r="CA501" s="39">
        <f t="shared" si="468"/>
        <v>14</v>
      </c>
      <c r="CB501" s="39">
        <f t="shared" si="469"/>
        <v>0</v>
      </c>
      <c r="CC501" s="39">
        <f t="shared" si="470"/>
        <v>0</v>
      </c>
      <c r="CD501" s="39">
        <f t="shared" si="471"/>
        <v>0</v>
      </c>
      <c r="CE501" s="47">
        <f t="shared" si="472"/>
        <v>0</v>
      </c>
      <c r="CF501" s="36" t="s">
        <v>249</v>
      </c>
      <c r="CG501" s="39" t="s">
        <v>222</v>
      </c>
      <c r="CH501" s="39"/>
      <c r="CI501" s="25">
        <v>2</v>
      </c>
    </row>
    <row r="502" spans="1:87" ht="24.75" customHeight="1">
      <c r="A502" s="36" t="s">
        <v>387</v>
      </c>
      <c r="B502" s="27" t="s">
        <v>938</v>
      </c>
      <c r="C502" s="228"/>
      <c r="D502" s="36"/>
      <c r="E502" s="39">
        <v>180</v>
      </c>
      <c r="F502" s="39" t="s">
        <v>55</v>
      </c>
      <c r="G502" s="36" t="s">
        <v>21</v>
      </c>
      <c r="H502" s="39" t="s">
        <v>87</v>
      </c>
      <c r="I502" s="39">
        <v>367</v>
      </c>
      <c r="J502" s="39"/>
      <c r="K502" s="39"/>
      <c r="L502" s="39">
        <f t="shared" si="496"/>
        <v>367</v>
      </c>
      <c r="M502" s="117">
        <v>46183</v>
      </c>
      <c r="N502" s="117">
        <v>46186</v>
      </c>
      <c r="O502" s="39"/>
      <c r="P502" s="39"/>
      <c r="Q502" s="39"/>
      <c r="R502" s="39">
        <f t="shared" ref="R502" si="508">SUM(O502:Q502)</f>
        <v>0</v>
      </c>
      <c r="S502" s="39" t="s">
        <v>130</v>
      </c>
      <c r="T502" s="39" t="s">
        <v>1394</v>
      </c>
      <c r="U502" s="117" t="s">
        <v>1395</v>
      </c>
      <c r="V502" s="39"/>
      <c r="W502" s="39"/>
      <c r="X502" s="39"/>
      <c r="Y502" s="39">
        <f>275+140</f>
        <v>415</v>
      </c>
      <c r="Z502" s="39"/>
      <c r="AA502" s="39"/>
      <c r="AB502" s="119">
        <f t="shared" ref="AB502" si="509">SUM(Y502:AA502)</f>
        <v>415</v>
      </c>
      <c r="AC502" s="39"/>
      <c r="AD502" s="39"/>
      <c r="AE502" s="39"/>
      <c r="AF502" s="39"/>
      <c r="AG502" s="39"/>
      <c r="AH502" s="39">
        <f t="shared" ref="AH502" si="510">AG502-AE502</f>
        <v>0</v>
      </c>
      <c r="AI502" s="39"/>
      <c r="AJ502" s="39"/>
      <c r="AK502" s="39"/>
      <c r="AL502" s="39"/>
      <c r="AM502" s="39"/>
      <c r="AN502" s="39">
        <f t="shared" ref="AN502" si="511">AM502-AK502</f>
        <v>0</v>
      </c>
      <c r="AO502" s="39"/>
      <c r="AP502" s="39"/>
      <c r="AQ502" s="39"/>
      <c r="AR502" s="39"/>
      <c r="AS502" s="39"/>
      <c r="AT502" s="39">
        <f t="shared" ref="AT502" si="512">AS502-AQ502</f>
        <v>0</v>
      </c>
      <c r="AU502" s="39"/>
      <c r="AV502" s="39"/>
      <c r="AW502" s="39"/>
      <c r="AX502" s="39"/>
      <c r="AY502" s="39"/>
      <c r="AZ502" s="39">
        <f t="shared" ref="AZ502" si="513">AY502-AW502</f>
        <v>0</v>
      </c>
      <c r="BA502" s="39"/>
      <c r="BB502" s="39"/>
      <c r="BC502" s="39"/>
      <c r="BD502" s="39"/>
      <c r="BE502" s="39"/>
      <c r="BF502" s="39">
        <f t="shared" ref="BF502" si="514">BE502-BC502</f>
        <v>0</v>
      </c>
      <c r="BG502" s="39"/>
      <c r="BH502" s="39"/>
      <c r="BI502" s="39"/>
      <c r="BJ502" s="39"/>
      <c r="BK502" s="39"/>
      <c r="BL502" s="39">
        <f t="shared" ref="BL502" si="515">BK502-BI502</f>
        <v>0</v>
      </c>
      <c r="BM502" s="54" t="str">
        <f t="shared" ref="BM502" si="516">IF((BZ502/L502)&lt;0.9,$CO$1-U502,"")</f>
        <v/>
      </c>
      <c r="BN502" s="66">
        <v>46193</v>
      </c>
      <c r="BO502" s="117">
        <v>46203</v>
      </c>
      <c r="BP502" s="39"/>
      <c r="BQ502" s="39"/>
      <c r="BR502" s="230"/>
      <c r="BS502" s="230"/>
      <c r="BT502" s="39" t="s">
        <v>1415</v>
      </c>
      <c r="BU502" s="39">
        <f>247+126</f>
        <v>373</v>
      </c>
      <c r="BV502" s="39"/>
      <c r="BW502" s="39"/>
      <c r="BX502" s="39"/>
      <c r="BY502" s="39"/>
      <c r="BZ502" s="39">
        <f t="shared" si="467"/>
        <v>373</v>
      </c>
      <c r="CA502" s="39">
        <f t="shared" si="468"/>
        <v>6</v>
      </c>
      <c r="CB502" s="39">
        <f t="shared" si="469"/>
        <v>0</v>
      </c>
      <c r="CC502" s="39">
        <f t="shared" si="470"/>
        <v>0</v>
      </c>
      <c r="CD502" s="39">
        <f t="shared" si="471"/>
        <v>0</v>
      </c>
      <c r="CE502" s="47">
        <f t="shared" si="472"/>
        <v>0</v>
      </c>
      <c r="CF502" s="36" t="s">
        <v>249</v>
      </c>
      <c r="CG502" s="39" t="s">
        <v>222</v>
      </c>
      <c r="CH502" s="39"/>
      <c r="CI502" s="25">
        <v>2</v>
      </c>
    </row>
    <row r="503" spans="1:87" ht="24.75" customHeight="1">
      <c r="A503" s="36" t="s">
        <v>387</v>
      </c>
      <c r="B503" s="27">
        <v>47773</v>
      </c>
      <c r="C503" s="227" t="s">
        <v>941</v>
      </c>
      <c r="D503" s="36" t="s">
        <v>45</v>
      </c>
      <c r="E503" s="39">
        <v>260</v>
      </c>
      <c r="F503" s="39" t="s">
        <v>65</v>
      </c>
      <c r="G503" s="36" t="s">
        <v>769</v>
      </c>
      <c r="H503" s="36" t="s">
        <v>410</v>
      </c>
      <c r="I503" s="39">
        <v>140</v>
      </c>
      <c r="J503" s="39">
        <v>70</v>
      </c>
      <c r="K503" s="39"/>
      <c r="L503" s="39">
        <f t="shared" si="496"/>
        <v>210</v>
      </c>
      <c r="M503" s="117">
        <v>46178</v>
      </c>
      <c r="N503" s="117">
        <v>46182</v>
      </c>
      <c r="O503" s="39"/>
      <c r="P503" s="39"/>
      <c r="Q503" s="39"/>
      <c r="R503" s="39">
        <f t="shared" si="497"/>
        <v>0</v>
      </c>
      <c r="S503" s="39" t="s">
        <v>100</v>
      </c>
      <c r="T503" s="39"/>
      <c r="U503" s="39"/>
      <c r="V503" s="117">
        <v>46186</v>
      </c>
      <c r="W503" s="39">
        <f>175+84</f>
        <v>259</v>
      </c>
      <c r="X503" s="117" t="s">
        <v>1428</v>
      </c>
      <c r="Y503" s="39">
        <v>168</v>
      </c>
      <c r="Z503" s="39">
        <v>79</v>
      </c>
      <c r="AA503" s="39"/>
      <c r="AB503" s="119">
        <f t="shared" si="498"/>
        <v>247</v>
      </c>
      <c r="AC503" s="39"/>
      <c r="AD503" s="39"/>
      <c r="AE503" s="39"/>
      <c r="AF503" s="39"/>
      <c r="AG503" s="39"/>
      <c r="AH503" s="39">
        <f t="shared" si="461"/>
        <v>0</v>
      </c>
      <c r="AI503" s="39"/>
      <c r="AJ503" s="39"/>
      <c r="AK503" s="39"/>
      <c r="AL503" s="39"/>
      <c r="AM503" s="39"/>
      <c r="AN503" s="39">
        <f t="shared" si="405"/>
        <v>0</v>
      </c>
      <c r="AO503" s="39" t="s">
        <v>280</v>
      </c>
      <c r="AP503" s="117">
        <v>46202</v>
      </c>
      <c r="AQ503" s="39">
        <v>166</v>
      </c>
      <c r="AR503" s="117">
        <v>46204</v>
      </c>
      <c r="AS503" s="39">
        <v>165</v>
      </c>
      <c r="AT503" s="39">
        <f t="shared" si="462"/>
        <v>-1</v>
      </c>
      <c r="AU503" s="39" t="s">
        <v>256</v>
      </c>
      <c r="AV503" s="117">
        <v>46204</v>
      </c>
      <c r="AW503" s="39">
        <v>165</v>
      </c>
      <c r="AX503" s="117">
        <v>46205</v>
      </c>
      <c r="AY503" s="39">
        <v>163</v>
      </c>
      <c r="AZ503" s="39">
        <f t="shared" si="463"/>
        <v>-2</v>
      </c>
      <c r="BA503" s="39"/>
      <c r="BB503" s="39"/>
      <c r="BC503" s="39"/>
      <c r="BD503" s="39"/>
      <c r="BE503" s="39"/>
      <c r="BF503" s="39">
        <f t="shared" si="464"/>
        <v>0</v>
      </c>
      <c r="BG503" s="39"/>
      <c r="BH503" s="39"/>
      <c r="BI503" s="39"/>
      <c r="BJ503" s="39"/>
      <c r="BK503" s="39"/>
      <c r="BL503" s="39">
        <f t="shared" si="465"/>
        <v>0</v>
      </c>
      <c r="BM503" s="54" t="str">
        <f t="shared" si="466"/>
        <v/>
      </c>
      <c r="BN503" s="66">
        <v>46185</v>
      </c>
      <c r="BO503" s="117">
        <v>46195</v>
      </c>
      <c r="BP503" s="39"/>
      <c r="BQ503" s="39"/>
      <c r="BR503" s="229">
        <v>46207</v>
      </c>
      <c r="BS503" s="229">
        <v>46211</v>
      </c>
      <c r="BT503" s="39">
        <v>2016</v>
      </c>
      <c r="BU503" s="39">
        <v>157</v>
      </c>
      <c r="BV503" s="39">
        <v>1769</v>
      </c>
      <c r="BW503" s="39">
        <v>79</v>
      </c>
      <c r="BX503" s="39"/>
      <c r="BY503" s="39"/>
      <c r="BZ503" s="39">
        <f t="shared" si="467"/>
        <v>236</v>
      </c>
      <c r="CA503" s="39">
        <f t="shared" si="468"/>
        <v>17</v>
      </c>
      <c r="CB503" s="39">
        <f t="shared" si="469"/>
        <v>9</v>
      </c>
      <c r="CC503" s="39">
        <f t="shared" si="470"/>
        <v>0</v>
      </c>
      <c r="CD503" s="39">
        <f t="shared" si="471"/>
        <v>0</v>
      </c>
      <c r="CE503" s="47">
        <f t="shared" si="472"/>
        <v>0</v>
      </c>
      <c r="CF503" s="36"/>
      <c r="CG503" s="39" t="s">
        <v>415</v>
      </c>
      <c r="CH503" s="39"/>
      <c r="CI503" s="25">
        <v>2</v>
      </c>
    </row>
    <row r="504" spans="1:87" ht="24.75" customHeight="1">
      <c r="A504" s="36" t="s">
        <v>387</v>
      </c>
      <c r="B504" s="27">
        <v>47773</v>
      </c>
      <c r="C504" s="231"/>
      <c r="D504" s="36"/>
      <c r="E504" s="39"/>
      <c r="F504" s="39"/>
      <c r="G504" s="36" t="s">
        <v>493</v>
      </c>
      <c r="H504" s="39">
        <v>305</v>
      </c>
      <c r="I504" s="39" t="s">
        <v>90</v>
      </c>
      <c r="J504" s="39"/>
      <c r="K504" s="39"/>
      <c r="L504" s="39">
        <f t="shared" si="496"/>
        <v>0</v>
      </c>
      <c r="M504" s="117">
        <v>46178</v>
      </c>
      <c r="N504" s="117">
        <v>46182</v>
      </c>
      <c r="O504" s="39"/>
      <c r="P504" s="39"/>
      <c r="Q504" s="39"/>
      <c r="R504" s="39">
        <f t="shared" ref="R504:R505" si="517">SUM(O504:Q504)</f>
        <v>0</v>
      </c>
      <c r="S504" s="39" t="s">
        <v>130</v>
      </c>
      <c r="T504" s="39">
        <v>107480</v>
      </c>
      <c r="U504" s="117">
        <v>46212</v>
      </c>
      <c r="V504" s="39"/>
      <c r="W504" s="39"/>
      <c r="X504" s="39"/>
      <c r="Y504" s="39">
        <v>77</v>
      </c>
      <c r="Z504" s="39"/>
      <c r="AA504" s="39"/>
      <c r="AB504" s="39">
        <f t="shared" ref="AB504:AB505" si="518">SUM(Y504:AA504)</f>
        <v>77</v>
      </c>
      <c r="AC504" s="39"/>
      <c r="AD504" s="39"/>
      <c r="AE504" s="39"/>
      <c r="AF504" s="39"/>
      <c r="AG504" s="39"/>
      <c r="AH504" s="39">
        <f t="shared" ref="AH504:AH505" si="519">AG504-AE504</f>
        <v>0</v>
      </c>
      <c r="AI504" s="39"/>
      <c r="AJ504" s="39"/>
      <c r="AK504" s="39"/>
      <c r="AL504" s="39"/>
      <c r="AM504" s="39"/>
      <c r="AN504" s="39">
        <f t="shared" ref="AN504:AN505" si="520">AM504-AK504</f>
        <v>0</v>
      </c>
      <c r="AO504" s="39"/>
      <c r="AP504" s="39"/>
      <c r="AQ504" s="39"/>
      <c r="AR504" s="39"/>
      <c r="AS504" s="39"/>
      <c r="AT504" s="39">
        <f t="shared" ref="AT504:AT505" si="521">AS504-AQ504</f>
        <v>0</v>
      </c>
      <c r="AU504" s="39"/>
      <c r="AV504" s="39"/>
      <c r="AW504" s="39"/>
      <c r="AX504" s="39"/>
      <c r="AY504" s="39"/>
      <c r="AZ504" s="39">
        <f t="shared" ref="AZ504:AZ505" si="522">AY504-AW504</f>
        <v>0</v>
      </c>
      <c r="BA504" s="39"/>
      <c r="BB504" s="39"/>
      <c r="BC504" s="39"/>
      <c r="BD504" s="39"/>
      <c r="BE504" s="39"/>
      <c r="BF504" s="39">
        <f t="shared" ref="BF504:BF505" si="523">BE504-BC504</f>
        <v>0</v>
      </c>
      <c r="BG504" s="39"/>
      <c r="BH504" s="39"/>
      <c r="BI504" s="39"/>
      <c r="BJ504" s="39"/>
      <c r="BK504" s="39"/>
      <c r="BL504" s="39">
        <f t="shared" ref="BL504:BL505" si="524">BK504-BI504</f>
        <v>0</v>
      </c>
      <c r="BM504" s="54" t="e">
        <f t="shared" ref="BM504:BM505" si="525">IF((BZ504/L504)&lt;0.9,$CO$1-U504,"")</f>
        <v>#DIV/0!</v>
      </c>
      <c r="BN504" s="66">
        <v>46185</v>
      </c>
      <c r="BO504" s="117">
        <v>46195</v>
      </c>
      <c r="BP504" s="39"/>
      <c r="BQ504" s="39"/>
      <c r="BR504" s="232"/>
      <c r="BS504" s="232"/>
      <c r="BT504" s="39" t="s">
        <v>1541</v>
      </c>
      <c r="BU504" s="39"/>
      <c r="BV504" s="39"/>
      <c r="BW504" s="39"/>
      <c r="BX504" s="39"/>
      <c r="BY504" s="39"/>
      <c r="BZ504" s="39">
        <f t="shared" si="467"/>
        <v>0</v>
      </c>
      <c r="CA504" s="39" t="e">
        <f t="shared" si="468"/>
        <v>#VALUE!</v>
      </c>
      <c r="CB504" s="39">
        <f t="shared" si="469"/>
        <v>0</v>
      </c>
      <c r="CC504" s="39">
        <f t="shared" si="470"/>
        <v>0</v>
      </c>
      <c r="CD504" s="39">
        <f t="shared" si="471"/>
        <v>0</v>
      </c>
      <c r="CE504" s="47" t="e">
        <f t="shared" si="472"/>
        <v>#DIV/0!</v>
      </c>
      <c r="CF504" s="36"/>
      <c r="CG504" s="39" t="s">
        <v>415</v>
      </c>
      <c r="CH504" s="39"/>
      <c r="CI504" s="25">
        <v>2</v>
      </c>
    </row>
    <row r="505" spans="1:87" ht="24.75" customHeight="1">
      <c r="A505" s="36" t="s">
        <v>387</v>
      </c>
      <c r="B505" s="27">
        <v>47773</v>
      </c>
      <c r="C505" s="228"/>
      <c r="D505" s="36"/>
      <c r="E505" s="39"/>
      <c r="F505" s="39"/>
      <c r="G505" s="36" t="s">
        <v>92</v>
      </c>
      <c r="H505" s="39">
        <v>215</v>
      </c>
      <c r="I505" s="39" t="s">
        <v>90</v>
      </c>
      <c r="J505" s="39"/>
      <c r="K505" s="39"/>
      <c r="L505" s="39">
        <f t="shared" ref="L505:L510" si="526">SUM(I505:K505)</f>
        <v>0</v>
      </c>
      <c r="M505" s="117">
        <v>46178</v>
      </c>
      <c r="N505" s="117">
        <v>46182</v>
      </c>
      <c r="O505" s="39"/>
      <c r="P505" s="39"/>
      <c r="Q505" s="39"/>
      <c r="R505" s="39">
        <f t="shared" si="517"/>
        <v>0</v>
      </c>
      <c r="S505" s="39" t="s">
        <v>130</v>
      </c>
      <c r="T505" s="39"/>
      <c r="U505" s="39"/>
      <c r="V505" s="117">
        <v>46193</v>
      </c>
      <c r="W505" s="39">
        <f>2</f>
        <v>2</v>
      </c>
      <c r="X505" s="117">
        <v>46200</v>
      </c>
      <c r="Y505" s="39">
        <v>2</v>
      </c>
      <c r="Z505" s="39"/>
      <c r="AA505" s="39"/>
      <c r="AB505" s="39">
        <f t="shared" si="518"/>
        <v>2</v>
      </c>
      <c r="AC505" s="39"/>
      <c r="AD505" s="39"/>
      <c r="AE505" s="39"/>
      <c r="AF505" s="39"/>
      <c r="AG505" s="39"/>
      <c r="AH505" s="39">
        <f t="shared" si="519"/>
        <v>0</v>
      </c>
      <c r="AI505" s="39"/>
      <c r="AJ505" s="39"/>
      <c r="AK505" s="39"/>
      <c r="AL505" s="39"/>
      <c r="AM505" s="39"/>
      <c r="AN505" s="39">
        <f t="shared" si="520"/>
        <v>0</v>
      </c>
      <c r="AO505" s="39"/>
      <c r="AP505" s="39"/>
      <c r="AQ505" s="39"/>
      <c r="AR505" s="39"/>
      <c r="AS505" s="39"/>
      <c r="AT505" s="39">
        <f t="shared" si="521"/>
        <v>0</v>
      </c>
      <c r="AU505" s="39"/>
      <c r="AV505" s="39"/>
      <c r="AW505" s="39"/>
      <c r="AX505" s="39"/>
      <c r="AY505" s="39"/>
      <c r="AZ505" s="39">
        <f t="shared" si="522"/>
        <v>0</v>
      </c>
      <c r="BA505" s="39"/>
      <c r="BB505" s="39"/>
      <c r="BC505" s="39"/>
      <c r="BD505" s="39"/>
      <c r="BE505" s="39"/>
      <c r="BF505" s="39">
        <f t="shared" si="523"/>
        <v>0</v>
      </c>
      <c r="BG505" s="39"/>
      <c r="BH505" s="39"/>
      <c r="BI505" s="39"/>
      <c r="BJ505" s="39"/>
      <c r="BK505" s="39"/>
      <c r="BL505" s="39">
        <f t="shared" si="524"/>
        <v>0</v>
      </c>
      <c r="BM505" s="54" t="e">
        <f t="shared" si="525"/>
        <v>#DIV/0!</v>
      </c>
      <c r="BN505" s="66">
        <v>46185</v>
      </c>
      <c r="BO505" s="117">
        <v>46195</v>
      </c>
      <c r="BP505" s="39"/>
      <c r="BQ505" s="39"/>
      <c r="BR505" s="230"/>
      <c r="BS505" s="230"/>
      <c r="BT505" s="39" t="s">
        <v>1334</v>
      </c>
      <c r="BU505" s="39"/>
      <c r="BV505" s="39"/>
      <c r="BW505" s="39"/>
      <c r="BX505" s="39"/>
      <c r="BY505" s="39"/>
      <c r="BZ505" s="39">
        <f t="shared" ref="BZ505:BZ510" si="527">BU505+BW505+BY505</f>
        <v>0</v>
      </c>
      <c r="CA505" s="39" t="e">
        <f t="shared" ref="CA505:CA510" si="528">BU505-I505</f>
        <v>#VALUE!</v>
      </c>
      <c r="CB505" s="39">
        <f t="shared" ref="CB505:CB510" si="529">BW505-J505</f>
        <v>0</v>
      </c>
      <c r="CC505" s="39">
        <f t="shared" ref="CC505:CC510" si="530">BY505-K505</f>
        <v>0</v>
      </c>
      <c r="CD505" s="39">
        <f t="shared" ref="CD505:CD510" si="531">SUMIF(CA505:CC505,"&lt;0")</f>
        <v>0</v>
      </c>
      <c r="CE505" s="47" t="e">
        <f t="shared" ref="CE505:CE510" si="532">CD505/L505</f>
        <v>#DIV/0!</v>
      </c>
      <c r="CF505" s="36"/>
      <c r="CG505" s="39" t="s">
        <v>415</v>
      </c>
      <c r="CH505" s="39"/>
      <c r="CI505" s="25">
        <v>2</v>
      </c>
    </row>
    <row r="506" spans="1:87" ht="24.75" customHeight="1">
      <c r="A506" s="36" t="s">
        <v>387</v>
      </c>
      <c r="B506" s="27">
        <v>47771</v>
      </c>
      <c r="C506" s="227" t="s">
        <v>940</v>
      </c>
      <c r="D506" s="36" t="s">
        <v>45</v>
      </c>
      <c r="E506" s="39">
        <v>260</v>
      </c>
      <c r="F506" s="39" t="s">
        <v>58</v>
      </c>
      <c r="G506" s="36" t="s">
        <v>769</v>
      </c>
      <c r="H506" s="36" t="s">
        <v>410</v>
      </c>
      <c r="I506" s="39">
        <v>532</v>
      </c>
      <c r="J506" s="39">
        <v>150</v>
      </c>
      <c r="K506" s="39"/>
      <c r="L506" s="39">
        <f t="shared" si="526"/>
        <v>682</v>
      </c>
      <c r="M506" s="117">
        <v>46179</v>
      </c>
      <c r="N506" s="117">
        <v>46187</v>
      </c>
      <c r="O506" s="39"/>
      <c r="P506" s="39"/>
      <c r="Q506" s="39"/>
      <c r="R506" s="39">
        <f t="shared" ref="R506:R509" si="533">SUM(O506:Q506)</f>
        <v>0</v>
      </c>
      <c r="S506" s="39" t="s">
        <v>100</v>
      </c>
      <c r="T506" s="39"/>
      <c r="U506" s="39"/>
      <c r="V506" s="117">
        <v>46193</v>
      </c>
      <c r="W506" s="39">
        <f>612+173</f>
        <v>785</v>
      </c>
      <c r="X506" s="117" t="s">
        <v>1802</v>
      </c>
      <c r="Y506" s="39">
        <v>593</v>
      </c>
      <c r="Z506" s="39">
        <f>119+45</f>
        <v>164</v>
      </c>
      <c r="AA506" s="39"/>
      <c r="AB506" s="119">
        <f t="shared" ref="AB506:AB509" si="534">SUM(Y506:AA506)</f>
        <v>757</v>
      </c>
      <c r="AC506" s="39"/>
      <c r="AD506" s="39"/>
      <c r="AE506" s="39"/>
      <c r="AF506" s="39"/>
      <c r="AG506" s="39"/>
      <c r="AH506" s="39">
        <f t="shared" ref="AH506:AH509" si="535">AG506-AE506</f>
        <v>0</v>
      </c>
      <c r="AI506" s="39"/>
      <c r="AJ506" s="39"/>
      <c r="AK506" s="39"/>
      <c r="AL506" s="39"/>
      <c r="AM506" s="39"/>
      <c r="AN506" s="39">
        <f t="shared" ref="AN506:AN509" si="536">AM506-AK506</f>
        <v>0</v>
      </c>
      <c r="AO506" s="39" t="s">
        <v>280</v>
      </c>
      <c r="AP506" s="117">
        <v>46202</v>
      </c>
      <c r="AQ506" s="39">
        <v>594</v>
      </c>
      <c r="AR506" s="117">
        <v>46211</v>
      </c>
      <c r="AS506" s="39">
        <v>595</v>
      </c>
      <c r="AT506" s="39">
        <f t="shared" ref="AT506:AT509" si="537">AS506-AQ506</f>
        <v>1</v>
      </c>
      <c r="AU506" s="39" t="s">
        <v>256</v>
      </c>
      <c r="AV506" s="117">
        <v>46211</v>
      </c>
      <c r="AW506" s="39">
        <v>595</v>
      </c>
      <c r="AX506" s="117">
        <v>46212</v>
      </c>
      <c r="AY506" s="39">
        <v>585</v>
      </c>
      <c r="AZ506" s="39">
        <f t="shared" ref="AZ506:AZ509" si="538">AY506-AW506</f>
        <v>-10</v>
      </c>
      <c r="BA506" s="39"/>
      <c r="BB506" s="39"/>
      <c r="BC506" s="39"/>
      <c r="BD506" s="39"/>
      <c r="BE506" s="39"/>
      <c r="BF506" s="39">
        <f t="shared" ref="BF506:BF509" si="539">BE506-BC506</f>
        <v>0</v>
      </c>
      <c r="BG506" s="39"/>
      <c r="BH506" s="39"/>
      <c r="BI506" s="39"/>
      <c r="BJ506" s="39"/>
      <c r="BK506" s="39"/>
      <c r="BL506" s="39">
        <f t="shared" ref="BL506:BL509" si="540">BK506-BI506</f>
        <v>0</v>
      </c>
      <c r="BM506" s="54" t="str">
        <f t="shared" ref="BM506:BM509" si="541">IF((BZ506/L506)&lt;0.9,$CO$1-U506,"")</f>
        <v/>
      </c>
      <c r="BN506" s="66">
        <v>46188</v>
      </c>
      <c r="BO506" s="117">
        <v>46206</v>
      </c>
      <c r="BP506" s="39"/>
      <c r="BQ506" s="39"/>
      <c r="BR506" s="229">
        <v>46200</v>
      </c>
      <c r="BS506" s="229">
        <v>46223</v>
      </c>
      <c r="BT506" s="39" t="s">
        <v>1792</v>
      </c>
      <c r="BU506" s="39">
        <f>436+133</f>
        <v>569</v>
      </c>
      <c r="BV506" s="39" t="s">
        <v>1799</v>
      </c>
      <c r="BW506" s="39">
        <f>119+45</f>
        <v>164</v>
      </c>
      <c r="BX506" s="39"/>
      <c r="BY506" s="39"/>
      <c r="BZ506" s="39">
        <f t="shared" si="527"/>
        <v>733</v>
      </c>
      <c r="CA506" s="39">
        <f t="shared" si="528"/>
        <v>37</v>
      </c>
      <c r="CB506" s="39">
        <f t="shared" si="529"/>
        <v>14</v>
      </c>
      <c r="CC506" s="39">
        <f t="shared" si="530"/>
        <v>0</v>
      </c>
      <c r="CD506" s="39">
        <f t="shared" si="531"/>
        <v>0</v>
      </c>
      <c r="CE506" s="47">
        <f t="shared" si="532"/>
        <v>0</v>
      </c>
      <c r="CF506" s="36"/>
      <c r="CG506" s="39" t="s">
        <v>415</v>
      </c>
      <c r="CH506" s="39" t="s">
        <v>1268</v>
      </c>
      <c r="CI506" s="25">
        <v>2</v>
      </c>
    </row>
    <row r="507" spans="1:87" ht="24.75" customHeight="1">
      <c r="A507" s="36" t="s">
        <v>387</v>
      </c>
      <c r="B507" s="27">
        <v>47771</v>
      </c>
      <c r="C507" s="231"/>
      <c r="D507" s="36" t="s">
        <v>45</v>
      </c>
      <c r="E507" s="39">
        <v>260</v>
      </c>
      <c r="F507" s="39" t="s">
        <v>58</v>
      </c>
      <c r="G507" s="36" t="s">
        <v>187</v>
      </c>
      <c r="H507" s="36" t="s">
        <v>539</v>
      </c>
      <c r="I507" s="39">
        <v>521</v>
      </c>
      <c r="J507" s="39">
        <v>148</v>
      </c>
      <c r="K507" s="39"/>
      <c r="L507" s="39">
        <f t="shared" si="526"/>
        <v>669</v>
      </c>
      <c r="M507" s="117">
        <v>46179</v>
      </c>
      <c r="N507" s="117">
        <v>46187</v>
      </c>
      <c r="O507" s="39"/>
      <c r="P507" s="39"/>
      <c r="Q507" s="39"/>
      <c r="R507" s="39">
        <f t="shared" ref="R507:R508" si="542">SUM(O507:Q507)</f>
        <v>0</v>
      </c>
      <c r="S507" s="39" t="s">
        <v>130</v>
      </c>
      <c r="T507" s="39">
        <v>107170</v>
      </c>
      <c r="U507" s="117">
        <v>46195</v>
      </c>
      <c r="V507" s="39"/>
      <c r="W507" s="39"/>
      <c r="X507" s="39"/>
      <c r="Y507" s="39">
        <v>611</v>
      </c>
      <c r="Z507" s="39">
        <v>178</v>
      </c>
      <c r="AA507" s="39"/>
      <c r="AB507" s="119">
        <f t="shared" ref="AB507:AB508" si="543">SUM(Y507:AA507)</f>
        <v>789</v>
      </c>
      <c r="AC507" s="39"/>
      <c r="AD507" s="39"/>
      <c r="AE507" s="39"/>
      <c r="AF507" s="39"/>
      <c r="AG507" s="39"/>
      <c r="AH507" s="39">
        <f t="shared" ref="AH507:AH508" si="544">AG507-AE507</f>
        <v>0</v>
      </c>
      <c r="AI507" s="39"/>
      <c r="AJ507" s="39"/>
      <c r="AK507" s="39"/>
      <c r="AL507" s="39"/>
      <c r="AM507" s="39"/>
      <c r="AN507" s="39">
        <f t="shared" ref="AN507:AN508" si="545">AM507-AK507</f>
        <v>0</v>
      </c>
      <c r="AO507" s="39" t="s">
        <v>280</v>
      </c>
      <c r="AP507" s="117">
        <v>46197</v>
      </c>
      <c r="AQ507" s="39">
        <v>570</v>
      </c>
      <c r="AR507" s="117">
        <v>46198</v>
      </c>
      <c r="AS507" s="39">
        <v>571</v>
      </c>
      <c r="AT507" s="39">
        <f t="shared" ref="AT507:AT508" si="546">AS507-AQ507</f>
        <v>1</v>
      </c>
      <c r="AU507" s="39" t="s">
        <v>257</v>
      </c>
      <c r="AV507" s="117">
        <v>46198</v>
      </c>
      <c r="AW507" s="39">
        <v>571</v>
      </c>
      <c r="AX507" s="117">
        <v>46199</v>
      </c>
      <c r="AY507" s="39">
        <v>561</v>
      </c>
      <c r="AZ507" s="39">
        <f t="shared" ref="AZ507:AZ508" si="547">AY507-AW507</f>
        <v>-10</v>
      </c>
      <c r="BA507" s="39"/>
      <c r="BB507" s="39"/>
      <c r="BC507" s="39"/>
      <c r="BD507" s="39"/>
      <c r="BE507" s="39"/>
      <c r="BF507" s="39">
        <f t="shared" ref="BF507:BF508" si="548">BE507-BC507</f>
        <v>0</v>
      </c>
      <c r="BG507" s="39"/>
      <c r="BH507" s="39"/>
      <c r="BI507" s="39"/>
      <c r="BJ507" s="39"/>
      <c r="BK507" s="39"/>
      <c r="BL507" s="39">
        <f t="shared" ref="BL507:BL508" si="549">BK507-BI507</f>
        <v>0</v>
      </c>
      <c r="BM507" s="54" t="str">
        <f t="shared" ref="BM507:BM508" si="550">IF((BZ507/L507)&lt;0.9,$CO$1-U507,"")</f>
        <v/>
      </c>
      <c r="BN507" s="66">
        <v>46188</v>
      </c>
      <c r="BO507" s="117">
        <v>46206</v>
      </c>
      <c r="BP507" s="39"/>
      <c r="BQ507" s="39"/>
      <c r="BR507" s="232"/>
      <c r="BS507" s="232"/>
      <c r="BT507" s="39">
        <v>2131</v>
      </c>
      <c r="BU507" s="39">
        <v>544</v>
      </c>
      <c r="BV507" s="39">
        <v>2145</v>
      </c>
      <c r="BW507" s="39">
        <v>162</v>
      </c>
      <c r="BX507" s="39"/>
      <c r="BY507" s="39"/>
      <c r="BZ507" s="39">
        <f t="shared" si="527"/>
        <v>706</v>
      </c>
      <c r="CA507" s="39">
        <f t="shared" si="528"/>
        <v>23</v>
      </c>
      <c r="CB507" s="39">
        <f t="shared" si="529"/>
        <v>14</v>
      </c>
      <c r="CC507" s="39">
        <f t="shared" si="530"/>
        <v>0</v>
      </c>
      <c r="CD507" s="39">
        <f t="shared" si="531"/>
        <v>0</v>
      </c>
      <c r="CE507" s="47">
        <f t="shared" si="532"/>
        <v>0</v>
      </c>
      <c r="CF507" s="36"/>
      <c r="CG507" s="39" t="s">
        <v>415</v>
      </c>
      <c r="CH507" s="39"/>
      <c r="CI507" s="25">
        <v>2</v>
      </c>
    </row>
    <row r="508" spans="1:87" ht="24.75" customHeight="1">
      <c r="A508" s="36" t="s">
        <v>387</v>
      </c>
      <c r="B508" s="27">
        <v>47771</v>
      </c>
      <c r="C508" s="228"/>
      <c r="D508" s="36"/>
      <c r="E508" s="39"/>
      <c r="F508" s="39"/>
      <c r="G508" s="36" t="s">
        <v>92</v>
      </c>
      <c r="H508" s="39">
        <f>600+585</f>
        <v>1185</v>
      </c>
      <c r="I508" s="39" t="s">
        <v>90</v>
      </c>
      <c r="J508" s="39"/>
      <c r="K508" s="39"/>
      <c r="L508" s="39">
        <f t="shared" si="526"/>
        <v>0</v>
      </c>
      <c r="M508" s="117">
        <v>46179</v>
      </c>
      <c r="N508" s="117">
        <v>46187</v>
      </c>
      <c r="O508" s="39"/>
      <c r="P508" s="39"/>
      <c r="Q508" s="39"/>
      <c r="R508" s="39">
        <f t="shared" si="542"/>
        <v>0</v>
      </c>
      <c r="S508" s="39" t="s">
        <v>130</v>
      </c>
      <c r="T508" s="39">
        <v>107170</v>
      </c>
      <c r="U508" s="117">
        <v>46195</v>
      </c>
      <c r="V508" s="117">
        <v>46193</v>
      </c>
      <c r="W508" s="39">
        <f>6</f>
        <v>6</v>
      </c>
      <c r="X508" s="117">
        <v>46201</v>
      </c>
      <c r="Y508" s="39">
        <f>7+6</f>
        <v>13</v>
      </c>
      <c r="Z508" s="39"/>
      <c r="AA508" s="39"/>
      <c r="AB508" s="39">
        <f t="shared" si="543"/>
        <v>13</v>
      </c>
      <c r="AC508" s="39"/>
      <c r="AD508" s="39"/>
      <c r="AE508" s="39"/>
      <c r="AF508" s="39"/>
      <c r="AG508" s="39"/>
      <c r="AH508" s="39">
        <f t="shared" si="544"/>
        <v>0</v>
      </c>
      <c r="AI508" s="39"/>
      <c r="AJ508" s="39"/>
      <c r="AK508" s="39"/>
      <c r="AL508" s="39"/>
      <c r="AM508" s="39"/>
      <c r="AN508" s="39">
        <f t="shared" si="545"/>
        <v>0</v>
      </c>
      <c r="AO508" s="39"/>
      <c r="AP508" s="39"/>
      <c r="AQ508" s="39"/>
      <c r="AR508" s="39"/>
      <c r="AS508" s="39"/>
      <c r="AT508" s="39">
        <f t="shared" si="546"/>
        <v>0</v>
      </c>
      <c r="AU508" s="39"/>
      <c r="AV508" s="39"/>
      <c r="AW508" s="39"/>
      <c r="AX508" s="39"/>
      <c r="AY508" s="39"/>
      <c r="AZ508" s="39">
        <f t="shared" si="547"/>
        <v>0</v>
      </c>
      <c r="BA508" s="39"/>
      <c r="BB508" s="39"/>
      <c r="BC508" s="39"/>
      <c r="BD508" s="39"/>
      <c r="BE508" s="39"/>
      <c r="BF508" s="39">
        <f t="shared" si="548"/>
        <v>0</v>
      </c>
      <c r="BG508" s="39"/>
      <c r="BH508" s="39"/>
      <c r="BI508" s="39"/>
      <c r="BJ508" s="39"/>
      <c r="BK508" s="39"/>
      <c r="BL508" s="39">
        <f t="shared" si="549"/>
        <v>0</v>
      </c>
      <c r="BM508" s="54" t="e">
        <f t="shared" si="550"/>
        <v>#DIV/0!</v>
      </c>
      <c r="BN508" s="66">
        <v>46188</v>
      </c>
      <c r="BO508" s="117">
        <v>46206</v>
      </c>
      <c r="BP508" s="39"/>
      <c r="BQ508" s="39"/>
      <c r="BR508" s="230"/>
      <c r="BS508" s="230"/>
      <c r="BT508" s="39" t="s">
        <v>1335</v>
      </c>
      <c r="BU508" s="39"/>
      <c r="BV508" s="39"/>
      <c r="BW508" s="39"/>
      <c r="BX508" s="39"/>
      <c r="BY508" s="39"/>
      <c r="BZ508" s="39">
        <f t="shared" si="527"/>
        <v>0</v>
      </c>
      <c r="CA508" s="39" t="e">
        <f t="shared" si="528"/>
        <v>#VALUE!</v>
      </c>
      <c r="CB508" s="39">
        <f t="shared" si="529"/>
        <v>0</v>
      </c>
      <c r="CC508" s="39">
        <f t="shared" si="530"/>
        <v>0</v>
      </c>
      <c r="CD508" s="39">
        <f t="shared" si="531"/>
        <v>0</v>
      </c>
      <c r="CE508" s="47" t="e">
        <f t="shared" si="532"/>
        <v>#DIV/0!</v>
      </c>
      <c r="CF508" s="36"/>
      <c r="CG508" s="39" t="s">
        <v>415</v>
      </c>
      <c r="CH508" s="39"/>
      <c r="CI508" s="25">
        <v>2</v>
      </c>
    </row>
    <row r="509" spans="1:87" ht="24.75" customHeight="1">
      <c r="A509" s="36" t="s">
        <v>387</v>
      </c>
      <c r="B509" s="27">
        <v>47770</v>
      </c>
      <c r="C509" s="227" t="s">
        <v>943</v>
      </c>
      <c r="D509" s="36" t="s">
        <v>45</v>
      </c>
      <c r="E509" s="39">
        <v>260</v>
      </c>
      <c r="F509" s="39" t="s">
        <v>58</v>
      </c>
      <c r="G509" s="36" t="s">
        <v>620</v>
      </c>
      <c r="H509" s="36" t="s">
        <v>410</v>
      </c>
      <c r="I509" s="39">
        <v>390</v>
      </c>
      <c r="J509" s="39"/>
      <c r="K509" s="39"/>
      <c r="L509" s="39">
        <f t="shared" si="526"/>
        <v>390</v>
      </c>
      <c r="M509" s="117">
        <v>46178</v>
      </c>
      <c r="N509" s="117">
        <v>46185</v>
      </c>
      <c r="O509" s="39"/>
      <c r="P509" s="39"/>
      <c r="Q509" s="39"/>
      <c r="R509" s="39">
        <f t="shared" si="533"/>
        <v>0</v>
      </c>
      <c r="S509" s="39" t="s">
        <v>130</v>
      </c>
      <c r="T509" s="39">
        <v>107151</v>
      </c>
      <c r="U509" s="117">
        <v>46195</v>
      </c>
      <c r="V509" s="39"/>
      <c r="W509" s="39"/>
      <c r="X509" s="39"/>
      <c r="Y509" s="39">
        <v>451</v>
      </c>
      <c r="Z509" s="39"/>
      <c r="AA509" s="39"/>
      <c r="AB509" s="119">
        <f t="shared" si="534"/>
        <v>451</v>
      </c>
      <c r="AC509" s="39"/>
      <c r="AD509" s="39"/>
      <c r="AE509" s="39"/>
      <c r="AF509" s="39"/>
      <c r="AG509" s="39"/>
      <c r="AH509" s="39">
        <f t="shared" si="535"/>
        <v>0</v>
      </c>
      <c r="AI509" s="39"/>
      <c r="AJ509" s="39"/>
      <c r="AK509" s="39"/>
      <c r="AL509" s="39"/>
      <c r="AM509" s="39"/>
      <c r="AN509" s="39">
        <f t="shared" si="536"/>
        <v>0</v>
      </c>
      <c r="AO509" s="39" t="s">
        <v>280</v>
      </c>
      <c r="AP509" s="117">
        <v>46197</v>
      </c>
      <c r="AQ509" s="39">
        <v>411</v>
      </c>
      <c r="AR509" s="117">
        <v>46199</v>
      </c>
      <c r="AS509" s="39">
        <v>417</v>
      </c>
      <c r="AT509" s="39">
        <f t="shared" si="537"/>
        <v>6</v>
      </c>
      <c r="AU509" s="39" t="s">
        <v>257</v>
      </c>
      <c r="AV509" s="117">
        <v>46199</v>
      </c>
      <c r="AW509" s="39">
        <v>417</v>
      </c>
      <c r="AX509" s="117">
        <v>46199</v>
      </c>
      <c r="AY509" s="39">
        <v>412</v>
      </c>
      <c r="AZ509" s="39">
        <f t="shared" si="538"/>
        <v>-5</v>
      </c>
      <c r="BA509" s="39"/>
      <c r="BB509" s="39"/>
      <c r="BC509" s="39"/>
      <c r="BD509" s="39"/>
      <c r="BE509" s="39"/>
      <c r="BF509" s="39">
        <f t="shared" si="539"/>
        <v>0</v>
      </c>
      <c r="BG509" s="39"/>
      <c r="BH509" s="39"/>
      <c r="BI509" s="39"/>
      <c r="BJ509" s="39"/>
      <c r="BK509" s="39"/>
      <c r="BL509" s="39">
        <f t="shared" si="540"/>
        <v>0</v>
      </c>
      <c r="BM509" s="54" t="str">
        <f t="shared" si="541"/>
        <v/>
      </c>
      <c r="BN509" s="66">
        <v>46185</v>
      </c>
      <c r="BO509" s="117">
        <v>46197</v>
      </c>
      <c r="BP509" s="39"/>
      <c r="BQ509" s="39"/>
      <c r="BR509" s="229">
        <v>46199</v>
      </c>
      <c r="BS509" s="229">
        <v>46207</v>
      </c>
      <c r="BT509" s="39">
        <v>2143</v>
      </c>
      <c r="BU509" s="39">
        <v>396</v>
      </c>
      <c r="BV509" s="39"/>
      <c r="BW509" s="39"/>
      <c r="BX509" s="39"/>
      <c r="BY509" s="39"/>
      <c r="BZ509" s="39">
        <f t="shared" si="527"/>
        <v>396</v>
      </c>
      <c r="CA509" s="39">
        <f t="shared" si="528"/>
        <v>6</v>
      </c>
      <c r="CB509" s="39">
        <f t="shared" si="529"/>
        <v>0</v>
      </c>
      <c r="CC509" s="39">
        <f t="shared" si="530"/>
        <v>0</v>
      </c>
      <c r="CD509" s="39">
        <f t="shared" si="531"/>
        <v>0</v>
      </c>
      <c r="CE509" s="47">
        <f t="shared" si="532"/>
        <v>0</v>
      </c>
      <c r="CF509" s="36"/>
      <c r="CG509" s="39" t="s">
        <v>415</v>
      </c>
      <c r="CH509" s="39"/>
      <c r="CI509" s="25">
        <v>2</v>
      </c>
    </row>
    <row r="510" spans="1:87" ht="24.75" customHeight="1">
      <c r="A510" s="36" t="s">
        <v>387</v>
      </c>
      <c r="B510" s="27">
        <v>47770</v>
      </c>
      <c r="C510" s="231"/>
      <c r="D510" s="36" t="s">
        <v>45</v>
      </c>
      <c r="E510" s="39">
        <v>260</v>
      </c>
      <c r="F510" s="39" t="s">
        <v>58</v>
      </c>
      <c r="G510" s="36" t="s">
        <v>353</v>
      </c>
      <c r="H510" s="36" t="s">
        <v>410</v>
      </c>
      <c r="I510" s="39">
        <v>430</v>
      </c>
      <c r="J510" s="39">
        <v>51</v>
      </c>
      <c r="K510" s="39"/>
      <c r="L510" s="39">
        <f t="shared" si="526"/>
        <v>481</v>
      </c>
      <c r="M510" s="117">
        <v>46178</v>
      </c>
      <c r="N510" s="117">
        <v>46185</v>
      </c>
      <c r="O510" s="39"/>
      <c r="P510" s="39"/>
      <c r="Q510" s="39"/>
      <c r="R510" s="39">
        <f t="shared" ref="R510:R513" si="551">SUM(O510:Q510)</f>
        <v>0</v>
      </c>
      <c r="S510" s="39" t="s">
        <v>130</v>
      </c>
      <c r="T510" s="39">
        <v>107036</v>
      </c>
      <c r="U510" s="117">
        <v>46190</v>
      </c>
      <c r="V510" s="39"/>
      <c r="W510" s="39"/>
      <c r="X510" s="39"/>
      <c r="Y510" s="39">
        <v>499</v>
      </c>
      <c r="Z510" s="39">
        <v>60</v>
      </c>
      <c r="AA510" s="39"/>
      <c r="AB510" s="119">
        <f t="shared" ref="AB510:AB513" si="552">SUM(Y510:AA510)</f>
        <v>559</v>
      </c>
      <c r="AC510" s="39"/>
      <c r="AD510" s="39"/>
      <c r="AE510" s="39"/>
      <c r="AF510" s="39"/>
      <c r="AG510" s="39"/>
      <c r="AH510" s="39">
        <f t="shared" ref="AH510:AH513" si="553">AG510-AE510</f>
        <v>0</v>
      </c>
      <c r="AI510" s="39"/>
      <c r="AJ510" s="39"/>
      <c r="AK510" s="39"/>
      <c r="AL510" s="39"/>
      <c r="AM510" s="39"/>
      <c r="AN510" s="39">
        <f t="shared" ref="AN510:AN513" si="554">AM510-AK510</f>
        <v>0</v>
      </c>
      <c r="AO510" s="39" t="s">
        <v>280</v>
      </c>
      <c r="AP510" s="117">
        <v>46193</v>
      </c>
      <c r="AQ510" s="39">
        <v>471</v>
      </c>
      <c r="AR510" s="117">
        <v>46193</v>
      </c>
      <c r="AS510" s="39">
        <v>473</v>
      </c>
      <c r="AT510" s="39">
        <f t="shared" ref="AT510:AT513" si="555">AS510-AQ510</f>
        <v>2</v>
      </c>
      <c r="AU510" s="39" t="s">
        <v>257</v>
      </c>
      <c r="AV510" s="117">
        <v>46193</v>
      </c>
      <c r="AW510" s="39">
        <v>473</v>
      </c>
      <c r="AX510" s="117">
        <v>46194</v>
      </c>
      <c r="AY510" s="39">
        <v>465</v>
      </c>
      <c r="AZ510" s="39">
        <f t="shared" ref="AZ510:AZ513" si="556">AY510-AW510</f>
        <v>-8</v>
      </c>
      <c r="BA510" s="39"/>
      <c r="BB510" s="39"/>
      <c r="BC510" s="39"/>
      <c r="BD510" s="39"/>
      <c r="BE510" s="39"/>
      <c r="BF510" s="39">
        <f t="shared" ref="BF510:BF513" si="557">BE510-BC510</f>
        <v>0</v>
      </c>
      <c r="BG510" s="39"/>
      <c r="BH510" s="39"/>
      <c r="BI510" s="39"/>
      <c r="BJ510" s="39"/>
      <c r="BK510" s="39"/>
      <c r="BL510" s="39">
        <f t="shared" ref="BL510:BL513" si="558">BK510-BI510</f>
        <v>0</v>
      </c>
      <c r="BM510" s="54" t="str">
        <f t="shared" ref="BM510:BM513" si="559">IF((BZ510/L510)&lt;0.9,$CO$1-U510,"")</f>
        <v/>
      </c>
      <c r="BN510" s="66">
        <v>46185</v>
      </c>
      <c r="BO510" s="117">
        <v>46197</v>
      </c>
      <c r="BP510" s="39"/>
      <c r="BQ510" s="39"/>
      <c r="BR510" s="232"/>
      <c r="BS510" s="232"/>
      <c r="BT510" s="39">
        <v>2127</v>
      </c>
      <c r="BU510" s="39">
        <v>449</v>
      </c>
      <c r="BV510" s="39">
        <v>2132</v>
      </c>
      <c r="BW510" s="39">
        <v>56</v>
      </c>
      <c r="BX510" s="39"/>
      <c r="BY510" s="39"/>
      <c r="BZ510" s="39">
        <f t="shared" si="527"/>
        <v>505</v>
      </c>
      <c r="CA510" s="39">
        <f t="shared" si="528"/>
        <v>19</v>
      </c>
      <c r="CB510" s="39">
        <f t="shared" si="529"/>
        <v>5</v>
      </c>
      <c r="CC510" s="39">
        <f t="shared" si="530"/>
        <v>0</v>
      </c>
      <c r="CD510" s="39">
        <f t="shared" si="531"/>
        <v>0</v>
      </c>
      <c r="CE510" s="47">
        <f t="shared" si="532"/>
        <v>0</v>
      </c>
      <c r="CF510" s="36"/>
      <c r="CG510" s="39" t="s">
        <v>415</v>
      </c>
      <c r="CH510" s="39"/>
      <c r="CI510" s="25">
        <v>2</v>
      </c>
    </row>
    <row r="511" spans="1:87" ht="24.75" customHeight="1">
      <c r="A511" s="36" t="s">
        <v>387</v>
      </c>
      <c r="B511" s="27">
        <v>47770</v>
      </c>
      <c r="C511" s="231"/>
      <c r="D511" s="36" t="s">
        <v>45</v>
      </c>
      <c r="E511" s="39">
        <v>260</v>
      </c>
      <c r="F511" s="39" t="s">
        <v>58</v>
      </c>
      <c r="G511" s="36" t="s">
        <v>942</v>
      </c>
      <c r="H511" s="36" t="s">
        <v>410</v>
      </c>
      <c r="I511" s="39">
        <v>436</v>
      </c>
      <c r="J511" s="39"/>
      <c r="K511" s="39"/>
      <c r="L511" s="39">
        <f t="shared" ref="L511:L519" si="560">SUM(I511:K511)</f>
        <v>436</v>
      </c>
      <c r="M511" s="117">
        <v>46178</v>
      </c>
      <c r="N511" s="117">
        <v>46185</v>
      </c>
      <c r="O511" s="39"/>
      <c r="P511" s="39"/>
      <c r="Q511" s="39"/>
      <c r="R511" s="39">
        <f t="shared" si="551"/>
        <v>0</v>
      </c>
      <c r="S511" s="39" t="s">
        <v>130</v>
      </c>
      <c r="T511" s="39">
        <v>107147</v>
      </c>
      <c r="U511" s="117">
        <v>46196</v>
      </c>
      <c r="V511" s="39"/>
      <c r="W511" s="39"/>
      <c r="X511" s="39"/>
      <c r="Y511" s="39">
        <v>511</v>
      </c>
      <c r="Z511" s="39"/>
      <c r="AA511" s="39"/>
      <c r="AB511" s="119">
        <f t="shared" si="552"/>
        <v>511</v>
      </c>
      <c r="AC511" s="39"/>
      <c r="AD511" s="39"/>
      <c r="AE511" s="39"/>
      <c r="AF511" s="39"/>
      <c r="AG511" s="39"/>
      <c r="AH511" s="39">
        <f t="shared" si="553"/>
        <v>0</v>
      </c>
      <c r="AI511" s="39"/>
      <c r="AJ511" s="39"/>
      <c r="AK511" s="39"/>
      <c r="AL511" s="39"/>
      <c r="AM511" s="39"/>
      <c r="AN511" s="39">
        <f t="shared" si="554"/>
        <v>0</v>
      </c>
      <c r="AO511" s="39" t="s">
        <v>280</v>
      </c>
      <c r="AP511" s="117">
        <v>46198</v>
      </c>
      <c r="AQ511" s="39">
        <v>470</v>
      </c>
      <c r="AR511" s="117">
        <v>46199</v>
      </c>
      <c r="AS511" s="39">
        <v>471</v>
      </c>
      <c r="AT511" s="39">
        <f t="shared" si="555"/>
        <v>1</v>
      </c>
      <c r="AU511" s="39" t="s">
        <v>257</v>
      </c>
      <c r="AV511" s="117">
        <v>46199</v>
      </c>
      <c r="AW511" s="39">
        <v>471</v>
      </c>
      <c r="AX511" s="117">
        <v>46199</v>
      </c>
      <c r="AY511" s="39">
        <v>464</v>
      </c>
      <c r="AZ511" s="39">
        <f t="shared" si="556"/>
        <v>-7</v>
      </c>
      <c r="BA511" s="39"/>
      <c r="BB511" s="39"/>
      <c r="BC511" s="39"/>
      <c r="BD511" s="39"/>
      <c r="BE511" s="39"/>
      <c r="BF511" s="39">
        <f t="shared" si="557"/>
        <v>0</v>
      </c>
      <c r="BG511" s="39"/>
      <c r="BH511" s="39"/>
      <c r="BI511" s="39"/>
      <c r="BJ511" s="39"/>
      <c r="BK511" s="39"/>
      <c r="BL511" s="39">
        <f t="shared" si="558"/>
        <v>0</v>
      </c>
      <c r="BM511" s="54" t="str">
        <f t="shared" si="559"/>
        <v/>
      </c>
      <c r="BN511" s="66">
        <v>46185</v>
      </c>
      <c r="BO511" s="117">
        <v>46197</v>
      </c>
      <c r="BP511" s="39"/>
      <c r="BQ511" s="39"/>
      <c r="BR511" s="232"/>
      <c r="BS511" s="232"/>
      <c r="BT511" s="39">
        <v>2011</v>
      </c>
      <c r="BU511" s="39">
        <v>453</v>
      </c>
      <c r="BV511" s="39"/>
      <c r="BW511" s="39"/>
      <c r="BX511" s="39"/>
      <c r="BY511" s="39"/>
      <c r="BZ511" s="39">
        <f t="shared" ref="BZ511:BZ519" si="561">BU511+BW511+BY511</f>
        <v>453</v>
      </c>
      <c r="CA511" s="39">
        <f t="shared" ref="CA511:CA519" si="562">BU511-I511</f>
        <v>17</v>
      </c>
      <c r="CB511" s="39">
        <f t="shared" ref="CB511:CB519" si="563">BW511-J511</f>
        <v>0</v>
      </c>
      <c r="CC511" s="39">
        <f t="shared" ref="CC511:CC519" si="564">BY511-K511</f>
        <v>0</v>
      </c>
      <c r="CD511" s="39">
        <f t="shared" ref="CD511:CD519" si="565">SUMIF(CA511:CC511,"&lt;0")</f>
        <v>0</v>
      </c>
      <c r="CE511" s="47">
        <f t="shared" ref="CE511:CE519" si="566">CD511/L511</f>
        <v>0</v>
      </c>
      <c r="CF511" s="36"/>
      <c r="CG511" s="39" t="s">
        <v>415</v>
      </c>
      <c r="CH511" s="39"/>
      <c r="CI511" s="25">
        <v>2</v>
      </c>
    </row>
    <row r="512" spans="1:87" ht="24.75" customHeight="1">
      <c r="A512" s="36" t="s">
        <v>387</v>
      </c>
      <c r="B512" s="27">
        <v>47770</v>
      </c>
      <c r="C512" s="231"/>
      <c r="D512" s="36" t="s">
        <v>45</v>
      </c>
      <c r="E512" s="39">
        <v>260</v>
      </c>
      <c r="F512" s="39" t="s">
        <v>58</v>
      </c>
      <c r="G512" s="36" t="s">
        <v>431</v>
      </c>
      <c r="H512" s="36" t="s">
        <v>410</v>
      </c>
      <c r="I512" s="39">
        <v>485</v>
      </c>
      <c r="J512" s="39">
        <v>60</v>
      </c>
      <c r="K512" s="39"/>
      <c r="L512" s="39">
        <f t="shared" si="560"/>
        <v>545</v>
      </c>
      <c r="M512" s="117">
        <v>46178</v>
      </c>
      <c r="N512" s="117">
        <v>46185</v>
      </c>
      <c r="O512" s="39"/>
      <c r="P512" s="39"/>
      <c r="Q512" s="39"/>
      <c r="R512" s="39">
        <f t="shared" si="551"/>
        <v>0</v>
      </c>
      <c r="S512" s="39" t="s">
        <v>130</v>
      </c>
      <c r="T512" s="39">
        <v>107081</v>
      </c>
      <c r="U512" s="117">
        <v>46196</v>
      </c>
      <c r="V512" s="39"/>
      <c r="W512" s="39"/>
      <c r="X512" s="39"/>
      <c r="Y512" s="39">
        <v>563</v>
      </c>
      <c r="Z512" s="39">
        <v>71</v>
      </c>
      <c r="AA512" s="39"/>
      <c r="AB512" s="119">
        <f t="shared" si="552"/>
        <v>634</v>
      </c>
      <c r="AC512" s="39"/>
      <c r="AD512" s="39"/>
      <c r="AE512" s="39"/>
      <c r="AF512" s="39"/>
      <c r="AG512" s="39"/>
      <c r="AH512" s="39">
        <f t="shared" si="553"/>
        <v>0</v>
      </c>
      <c r="AI512" s="39"/>
      <c r="AJ512" s="39"/>
      <c r="AK512" s="39"/>
      <c r="AL512" s="39"/>
      <c r="AM512" s="39"/>
      <c r="AN512" s="39">
        <f t="shared" si="554"/>
        <v>0</v>
      </c>
      <c r="AO512" s="39" t="s">
        <v>280</v>
      </c>
      <c r="AP512" s="117">
        <v>46198</v>
      </c>
      <c r="AQ512" s="39">
        <v>530</v>
      </c>
      <c r="AR512" s="117">
        <v>46199</v>
      </c>
      <c r="AS512" s="39">
        <v>533</v>
      </c>
      <c r="AT512" s="39">
        <f t="shared" si="555"/>
        <v>3</v>
      </c>
      <c r="AU512" s="39" t="s">
        <v>257</v>
      </c>
      <c r="AV512" s="117">
        <v>46199</v>
      </c>
      <c r="AW512" s="39">
        <v>533</v>
      </c>
      <c r="AX512" s="117">
        <v>46199</v>
      </c>
      <c r="AY512" s="39">
        <v>527</v>
      </c>
      <c r="AZ512" s="39">
        <f t="shared" si="556"/>
        <v>-6</v>
      </c>
      <c r="BA512" s="39"/>
      <c r="BB512" s="39"/>
      <c r="BC512" s="39"/>
      <c r="BD512" s="39"/>
      <c r="BE512" s="39"/>
      <c r="BF512" s="39">
        <f t="shared" si="557"/>
        <v>0</v>
      </c>
      <c r="BG512" s="39"/>
      <c r="BH512" s="39"/>
      <c r="BI512" s="39"/>
      <c r="BJ512" s="39"/>
      <c r="BK512" s="39"/>
      <c r="BL512" s="39">
        <f t="shared" si="558"/>
        <v>0</v>
      </c>
      <c r="BM512" s="54" t="str">
        <f t="shared" si="559"/>
        <v/>
      </c>
      <c r="BN512" s="66">
        <v>46185</v>
      </c>
      <c r="BO512" s="117">
        <v>46197</v>
      </c>
      <c r="BP512" s="39"/>
      <c r="BQ512" s="39"/>
      <c r="BR512" s="232"/>
      <c r="BS512" s="232"/>
      <c r="BT512" s="39">
        <v>2011</v>
      </c>
      <c r="BU512" s="39">
        <v>520</v>
      </c>
      <c r="BV512" s="39">
        <v>2015</v>
      </c>
      <c r="BW512" s="39">
        <v>66</v>
      </c>
      <c r="BX512" s="39"/>
      <c r="BY512" s="39"/>
      <c r="BZ512" s="39">
        <f t="shared" si="561"/>
        <v>586</v>
      </c>
      <c r="CA512" s="39">
        <f t="shared" si="562"/>
        <v>35</v>
      </c>
      <c r="CB512" s="39">
        <f t="shared" si="563"/>
        <v>6</v>
      </c>
      <c r="CC512" s="39">
        <f t="shared" si="564"/>
        <v>0</v>
      </c>
      <c r="CD512" s="39">
        <f t="shared" si="565"/>
        <v>0</v>
      </c>
      <c r="CE512" s="47">
        <f t="shared" si="566"/>
        <v>0</v>
      </c>
      <c r="CF512" s="36"/>
      <c r="CG512" s="39" t="s">
        <v>415</v>
      </c>
      <c r="CH512" s="39"/>
      <c r="CI512" s="25">
        <v>2</v>
      </c>
    </row>
    <row r="513" spans="1:87" ht="24.75" customHeight="1">
      <c r="A513" s="36" t="s">
        <v>387</v>
      </c>
      <c r="B513" s="27">
        <v>47770</v>
      </c>
      <c r="C513" s="228"/>
      <c r="D513" s="36"/>
      <c r="E513" s="39"/>
      <c r="F513" s="39"/>
      <c r="G513" s="36" t="s">
        <v>537</v>
      </c>
      <c r="H513" s="39">
        <v>1100</v>
      </c>
      <c r="I513" s="39" t="s">
        <v>90</v>
      </c>
      <c r="J513" s="39"/>
      <c r="K513" s="39"/>
      <c r="L513" s="39">
        <f t="shared" si="560"/>
        <v>0</v>
      </c>
      <c r="M513" s="117">
        <v>46178</v>
      </c>
      <c r="N513" s="117">
        <v>46185</v>
      </c>
      <c r="O513" s="39"/>
      <c r="P513" s="39"/>
      <c r="Q513" s="39"/>
      <c r="R513" s="39">
        <f t="shared" si="551"/>
        <v>0</v>
      </c>
      <c r="S513" s="39" t="s">
        <v>130</v>
      </c>
      <c r="T513" s="39">
        <v>107409</v>
      </c>
      <c r="U513" s="117">
        <v>46205</v>
      </c>
      <c r="V513" s="39"/>
      <c r="W513" s="39"/>
      <c r="X513" s="39"/>
      <c r="Y513" s="39">
        <f>260</f>
        <v>260</v>
      </c>
      <c r="Z513" s="39"/>
      <c r="AA513" s="39"/>
      <c r="AB513" s="39">
        <f t="shared" si="552"/>
        <v>260</v>
      </c>
      <c r="AC513" s="39"/>
      <c r="AD513" s="39"/>
      <c r="AE513" s="39"/>
      <c r="AF513" s="39"/>
      <c r="AG513" s="39"/>
      <c r="AH513" s="39">
        <f t="shared" si="553"/>
        <v>0</v>
      </c>
      <c r="AI513" s="39"/>
      <c r="AJ513" s="39"/>
      <c r="AK513" s="39"/>
      <c r="AL513" s="39"/>
      <c r="AM513" s="39"/>
      <c r="AN513" s="39">
        <f t="shared" si="554"/>
        <v>0</v>
      </c>
      <c r="AO513" s="39"/>
      <c r="AP513" s="39"/>
      <c r="AQ513" s="39"/>
      <c r="AR513" s="39"/>
      <c r="AS513" s="39"/>
      <c r="AT513" s="39">
        <f t="shared" si="555"/>
        <v>0</v>
      </c>
      <c r="AU513" s="39"/>
      <c r="AV513" s="39"/>
      <c r="AW513" s="39"/>
      <c r="AX513" s="39"/>
      <c r="AY513" s="39"/>
      <c r="AZ513" s="39">
        <f t="shared" si="556"/>
        <v>0</v>
      </c>
      <c r="BA513" s="39"/>
      <c r="BB513" s="39"/>
      <c r="BC513" s="39"/>
      <c r="BD513" s="39"/>
      <c r="BE513" s="39"/>
      <c r="BF513" s="39">
        <f t="shared" si="557"/>
        <v>0</v>
      </c>
      <c r="BG513" s="39"/>
      <c r="BH513" s="39"/>
      <c r="BI513" s="39"/>
      <c r="BJ513" s="39"/>
      <c r="BK513" s="39"/>
      <c r="BL513" s="39">
        <f t="shared" si="558"/>
        <v>0</v>
      </c>
      <c r="BM513" s="54" t="e">
        <f t="shared" si="559"/>
        <v>#DIV/0!</v>
      </c>
      <c r="BN513" s="66">
        <v>46185</v>
      </c>
      <c r="BO513" s="117">
        <v>46197</v>
      </c>
      <c r="BP513" s="39"/>
      <c r="BQ513" s="39"/>
      <c r="BR513" s="230"/>
      <c r="BS513" s="230"/>
      <c r="BT513" s="39" t="s">
        <v>1373</v>
      </c>
      <c r="BU513" s="39"/>
      <c r="BV513" s="39"/>
      <c r="BW513" s="39"/>
      <c r="BX513" s="39"/>
      <c r="BY513" s="39"/>
      <c r="BZ513" s="39">
        <f t="shared" si="561"/>
        <v>0</v>
      </c>
      <c r="CA513" s="39" t="e">
        <f t="shared" si="562"/>
        <v>#VALUE!</v>
      </c>
      <c r="CB513" s="39">
        <f t="shared" si="563"/>
        <v>0</v>
      </c>
      <c r="CC513" s="39">
        <f t="shared" si="564"/>
        <v>0</v>
      </c>
      <c r="CD513" s="39">
        <f t="shared" si="565"/>
        <v>0</v>
      </c>
      <c r="CE513" s="47" t="e">
        <f t="shared" si="566"/>
        <v>#DIV/0!</v>
      </c>
      <c r="CF513" s="36"/>
      <c r="CG513" s="39" t="s">
        <v>415</v>
      </c>
      <c r="CH513" s="39"/>
      <c r="CI513" s="25">
        <v>2</v>
      </c>
    </row>
    <row r="514" spans="1:87" ht="24.75" customHeight="1">
      <c r="A514" s="36" t="s">
        <v>387</v>
      </c>
      <c r="B514" s="27">
        <v>47766</v>
      </c>
      <c r="C514" s="227" t="s">
        <v>962</v>
      </c>
      <c r="D514" s="36"/>
      <c r="E514" s="39">
        <v>230</v>
      </c>
      <c r="F514" s="39" t="s">
        <v>53</v>
      </c>
      <c r="G514" s="36" t="s">
        <v>401</v>
      </c>
      <c r="H514" s="39" t="s">
        <v>96</v>
      </c>
      <c r="I514" s="39">
        <v>134</v>
      </c>
      <c r="J514" s="39"/>
      <c r="K514" s="39"/>
      <c r="L514" s="39">
        <f t="shared" si="560"/>
        <v>134</v>
      </c>
      <c r="M514" s="117">
        <v>46181</v>
      </c>
      <c r="N514" s="117">
        <v>46188</v>
      </c>
      <c r="O514" s="39"/>
      <c r="P514" s="39"/>
      <c r="Q514" s="39"/>
      <c r="R514" s="39">
        <f t="shared" ref="R514" si="567">SUM(O514:Q514)</f>
        <v>0</v>
      </c>
      <c r="S514" s="39" t="s">
        <v>326</v>
      </c>
      <c r="T514" s="39"/>
      <c r="U514" s="39"/>
      <c r="V514" s="117">
        <v>46195</v>
      </c>
      <c r="W514" s="39">
        <v>164</v>
      </c>
      <c r="X514" s="117" t="s">
        <v>1642</v>
      </c>
      <c r="Y514" s="39">
        <f>133+17</f>
        <v>150</v>
      </c>
      <c r="Z514" s="39"/>
      <c r="AA514" s="39"/>
      <c r="AB514" s="119">
        <f t="shared" ref="AB514" si="568">SUM(Y514:AA514)</f>
        <v>150</v>
      </c>
      <c r="AC514" s="39"/>
      <c r="AD514" s="39"/>
      <c r="AE514" s="39"/>
      <c r="AF514" s="39"/>
      <c r="AG514" s="39"/>
      <c r="AH514" s="39">
        <f t="shared" ref="AH514" si="569">AG514-AE514</f>
        <v>0</v>
      </c>
      <c r="AI514" s="39"/>
      <c r="AJ514" s="39"/>
      <c r="AK514" s="39"/>
      <c r="AL514" s="39"/>
      <c r="AM514" s="39"/>
      <c r="AN514" s="39">
        <f t="shared" ref="AN514" si="570">AM514-AK514</f>
        <v>0</v>
      </c>
      <c r="AO514" s="39"/>
      <c r="AP514" s="39"/>
      <c r="AQ514" s="39"/>
      <c r="AR514" s="39"/>
      <c r="AS514" s="39"/>
      <c r="AT514" s="39">
        <f t="shared" ref="AT514" si="571">AS514-AQ514</f>
        <v>0</v>
      </c>
      <c r="AU514" s="39"/>
      <c r="AV514" s="39"/>
      <c r="AW514" s="39"/>
      <c r="AX514" s="39"/>
      <c r="AY514" s="39"/>
      <c r="AZ514" s="39">
        <f t="shared" ref="AZ514" si="572">AY514-AW514</f>
        <v>0</v>
      </c>
      <c r="BA514" s="39"/>
      <c r="BB514" s="39"/>
      <c r="BC514" s="39"/>
      <c r="BD514" s="39"/>
      <c r="BE514" s="39"/>
      <c r="BF514" s="39">
        <f t="shared" ref="BF514" si="573">BE514-BC514</f>
        <v>0</v>
      </c>
      <c r="BG514" s="39"/>
      <c r="BH514" s="39"/>
      <c r="BI514" s="39"/>
      <c r="BJ514" s="39"/>
      <c r="BK514" s="39"/>
      <c r="BL514" s="39">
        <f t="shared" ref="BL514" si="574">BK514-BI514</f>
        <v>0</v>
      </c>
      <c r="BM514" s="54" t="str">
        <f t="shared" ref="BM514" si="575">IF((BZ514/L514)&lt;0.9,$CO$1-U514,"")</f>
        <v/>
      </c>
      <c r="BN514" s="66">
        <v>46190</v>
      </c>
      <c r="BO514" s="117">
        <v>46202</v>
      </c>
      <c r="BP514" s="39"/>
      <c r="BQ514" s="39"/>
      <c r="BR514" s="229">
        <v>46203</v>
      </c>
      <c r="BS514" s="229">
        <v>46209</v>
      </c>
      <c r="BT514" s="39" t="s">
        <v>1672</v>
      </c>
      <c r="BU514" s="39">
        <f>133+17</f>
        <v>150</v>
      </c>
      <c r="BV514" s="39"/>
      <c r="BW514" s="39"/>
      <c r="BX514" s="39"/>
      <c r="BY514" s="39"/>
      <c r="BZ514" s="39">
        <f t="shared" si="561"/>
        <v>150</v>
      </c>
      <c r="CA514" s="39">
        <f t="shared" si="562"/>
        <v>16</v>
      </c>
      <c r="CB514" s="39">
        <f t="shared" si="563"/>
        <v>0</v>
      </c>
      <c r="CC514" s="39">
        <f t="shared" si="564"/>
        <v>0</v>
      </c>
      <c r="CD514" s="39">
        <v>0</v>
      </c>
      <c r="CE514" s="47">
        <f t="shared" si="566"/>
        <v>0</v>
      </c>
      <c r="CF514" s="36"/>
      <c r="CG514" s="39" t="s">
        <v>415</v>
      </c>
      <c r="CH514" s="39"/>
      <c r="CI514" s="25">
        <v>2</v>
      </c>
    </row>
    <row r="515" spans="1:87" ht="24.75" customHeight="1">
      <c r="A515" s="36" t="s">
        <v>387</v>
      </c>
      <c r="B515" s="27">
        <v>47766</v>
      </c>
      <c r="C515" s="231"/>
      <c r="D515" s="36"/>
      <c r="E515" s="39">
        <v>230</v>
      </c>
      <c r="F515" s="39" t="s">
        <v>53</v>
      </c>
      <c r="G515" s="36" t="s">
        <v>187</v>
      </c>
      <c r="H515" s="39" t="s">
        <v>96</v>
      </c>
      <c r="I515" s="39">
        <v>250</v>
      </c>
      <c r="J515" s="39"/>
      <c r="K515" s="39"/>
      <c r="L515" s="39">
        <f t="shared" si="560"/>
        <v>250</v>
      </c>
      <c r="M515" s="117">
        <v>46181</v>
      </c>
      <c r="N515" s="117">
        <v>46188</v>
      </c>
      <c r="O515" s="39"/>
      <c r="P515" s="39"/>
      <c r="Q515" s="39"/>
      <c r="R515" s="39">
        <f t="shared" ref="R515:R517" si="576">SUM(O515:Q515)</f>
        <v>0</v>
      </c>
      <c r="S515" s="39" t="s">
        <v>130</v>
      </c>
      <c r="T515" s="39">
        <v>107331</v>
      </c>
      <c r="U515" s="117">
        <v>46201</v>
      </c>
      <c r="V515" s="39"/>
      <c r="W515" s="39"/>
      <c r="X515" s="39"/>
      <c r="Y515" s="39">
        <v>290</v>
      </c>
      <c r="Z515" s="39"/>
      <c r="AA515" s="39"/>
      <c r="AB515" s="119">
        <f t="shared" ref="AB515:AB517" si="577">SUM(Y515:AA515)</f>
        <v>290</v>
      </c>
      <c r="AC515" s="39"/>
      <c r="AD515" s="39"/>
      <c r="AE515" s="39"/>
      <c r="AF515" s="39"/>
      <c r="AG515" s="39"/>
      <c r="AH515" s="39">
        <f t="shared" ref="AH515:AH517" si="578">AG515-AE515</f>
        <v>0</v>
      </c>
      <c r="AI515" s="39"/>
      <c r="AJ515" s="39"/>
      <c r="AK515" s="39"/>
      <c r="AL515" s="39"/>
      <c r="AM515" s="39"/>
      <c r="AN515" s="39">
        <f t="shared" ref="AN515:AN517" si="579">AM515-AK515</f>
        <v>0</v>
      </c>
      <c r="AO515" s="39"/>
      <c r="AP515" s="39"/>
      <c r="AQ515" s="39"/>
      <c r="AR515" s="39"/>
      <c r="AS515" s="39"/>
      <c r="AT515" s="39">
        <f t="shared" ref="AT515:AT517" si="580">AS515-AQ515</f>
        <v>0</v>
      </c>
      <c r="AU515" s="39"/>
      <c r="AV515" s="39"/>
      <c r="AW515" s="39"/>
      <c r="AX515" s="39"/>
      <c r="AY515" s="39"/>
      <c r="AZ515" s="39">
        <f t="shared" ref="AZ515:AZ517" si="581">AY515-AW515</f>
        <v>0</v>
      </c>
      <c r="BA515" s="39"/>
      <c r="BB515" s="39"/>
      <c r="BC515" s="39"/>
      <c r="BD515" s="39"/>
      <c r="BE515" s="39"/>
      <c r="BF515" s="39">
        <f t="shared" ref="BF515:BF517" si="582">BE515-BC515</f>
        <v>0</v>
      </c>
      <c r="BG515" s="39"/>
      <c r="BH515" s="39"/>
      <c r="BI515" s="39"/>
      <c r="BJ515" s="39"/>
      <c r="BK515" s="39"/>
      <c r="BL515" s="39">
        <f t="shared" ref="BL515:BL517" si="583">BK515-BI515</f>
        <v>0</v>
      </c>
      <c r="BM515" s="54" t="str">
        <f t="shared" ref="BM515:BM517" si="584">IF((BZ515/L515)&lt;0.9,$CO$1-U515,"")</f>
        <v/>
      </c>
      <c r="BN515" s="66">
        <v>46190</v>
      </c>
      <c r="BO515" s="117">
        <v>46202</v>
      </c>
      <c r="BP515" s="39"/>
      <c r="BQ515" s="39"/>
      <c r="BR515" s="232"/>
      <c r="BS515" s="232"/>
      <c r="BT515" s="39" t="s">
        <v>1327</v>
      </c>
      <c r="BU515" s="39">
        <f>236+32</f>
        <v>268</v>
      </c>
      <c r="BV515" s="39"/>
      <c r="BW515" s="39"/>
      <c r="BX515" s="39"/>
      <c r="BY515" s="39"/>
      <c r="BZ515" s="39">
        <f t="shared" si="561"/>
        <v>268</v>
      </c>
      <c r="CA515" s="39">
        <f t="shared" si="562"/>
        <v>18</v>
      </c>
      <c r="CB515" s="39">
        <f t="shared" si="563"/>
        <v>0</v>
      </c>
      <c r="CC515" s="39">
        <f t="shared" si="564"/>
        <v>0</v>
      </c>
      <c r="CD515" s="39">
        <f t="shared" si="565"/>
        <v>0</v>
      </c>
      <c r="CE515" s="47">
        <f t="shared" si="566"/>
        <v>0</v>
      </c>
      <c r="CF515" s="36"/>
      <c r="CG515" s="39" t="s">
        <v>415</v>
      </c>
      <c r="CH515" s="39" t="s">
        <v>561</v>
      </c>
      <c r="CI515" s="25">
        <v>2</v>
      </c>
    </row>
    <row r="516" spans="1:87" ht="24.75" customHeight="1">
      <c r="A516" s="36" t="s">
        <v>387</v>
      </c>
      <c r="B516" s="27">
        <v>47766</v>
      </c>
      <c r="C516" s="231"/>
      <c r="D516" s="36"/>
      <c r="E516" s="39">
        <v>230</v>
      </c>
      <c r="F516" s="39" t="s">
        <v>53</v>
      </c>
      <c r="G516" s="36" t="s">
        <v>47</v>
      </c>
      <c r="H516" s="39" t="s">
        <v>96</v>
      </c>
      <c r="I516" s="39">
        <v>340</v>
      </c>
      <c r="J516" s="39"/>
      <c r="K516" s="39"/>
      <c r="L516" s="39">
        <f t="shared" ref="L516:L518" si="585">SUM(I516:K516)</f>
        <v>340</v>
      </c>
      <c r="M516" s="117">
        <v>46181</v>
      </c>
      <c r="N516" s="117">
        <v>46188</v>
      </c>
      <c r="O516" s="39"/>
      <c r="P516" s="39"/>
      <c r="Q516" s="39"/>
      <c r="R516" s="39">
        <f t="shared" si="576"/>
        <v>0</v>
      </c>
      <c r="S516" s="39" t="s">
        <v>130</v>
      </c>
      <c r="T516" s="39">
        <v>107462</v>
      </c>
      <c r="U516" s="117">
        <v>46206</v>
      </c>
      <c r="V516" s="39"/>
      <c r="W516" s="39"/>
      <c r="X516" s="39"/>
      <c r="Y516" s="39">
        <v>384</v>
      </c>
      <c r="Z516" s="39"/>
      <c r="AA516" s="39"/>
      <c r="AB516" s="119">
        <f t="shared" si="577"/>
        <v>384</v>
      </c>
      <c r="AC516" s="39"/>
      <c r="AD516" s="39"/>
      <c r="AE516" s="39"/>
      <c r="AF516" s="39"/>
      <c r="AG516" s="39"/>
      <c r="AH516" s="39">
        <f t="shared" si="578"/>
        <v>0</v>
      </c>
      <c r="AI516" s="39"/>
      <c r="AJ516" s="39"/>
      <c r="AK516" s="39"/>
      <c r="AL516" s="39"/>
      <c r="AM516" s="39"/>
      <c r="AN516" s="39">
        <f t="shared" si="579"/>
        <v>0</v>
      </c>
      <c r="AO516" s="39"/>
      <c r="AP516" s="39"/>
      <c r="AQ516" s="39"/>
      <c r="AR516" s="39"/>
      <c r="AS516" s="39"/>
      <c r="AT516" s="39">
        <f t="shared" si="580"/>
        <v>0</v>
      </c>
      <c r="AU516" s="39"/>
      <c r="AV516" s="39"/>
      <c r="AW516" s="39"/>
      <c r="AX516" s="39"/>
      <c r="AY516" s="39"/>
      <c r="AZ516" s="39">
        <f t="shared" si="581"/>
        <v>0</v>
      </c>
      <c r="BA516" s="39"/>
      <c r="BB516" s="39"/>
      <c r="BC516" s="39"/>
      <c r="BD516" s="39"/>
      <c r="BE516" s="39"/>
      <c r="BF516" s="39">
        <f t="shared" si="582"/>
        <v>0</v>
      </c>
      <c r="BG516" s="39"/>
      <c r="BH516" s="39"/>
      <c r="BI516" s="39"/>
      <c r="BJ516" s="39"/>
      <c r="BK516" s="39"/>
      <c r="BL516" s="39">
        <f t="shared" si="583"/>
        <v>0</v>
      </c>
      <c r="BM516" s="54" t="str">
        <f t="shared" si="584"/>
        <v/>
      </c>
      <c r="BN516" s="66">
        <v>46190</v>
      </c>
      <c r="BO516" s="117">
        <v>46202</v>
      </c>
      <c r="BP516" s="39"/>
      <c r="BQ516" s="39"/>
      <c r="BR516" s="232"/>
      <c r="BS516" s="232"/>
      <c r="BT516" s="39">
        <v>1571</v>
      </c>
      <c r="BU516" s="39">
        <v>341</v>
      </c>
      <c r="BV516" s="39"/>
      <c r="BW516" s="39"/>
      <c r="BX516" s="39"/>
      <c r="BY516" s="39"/>
      <c r="BZ516" s="39">
        <f t="shared" ref="BZ516:BZ518" si="586">BU516+BW516+BY516</f>
        <v>341</v>
      </c>
      <c r="CA516" s="39">
        <f t="shared" ref="CA516:CA518" si="587">BU516-I516</f>
        <v>1</v>
      </c>
      <c r="CB516" s="39">
        <f t="shared" ref="CB516:CB518" si="588">BW516-J516</f>
        <v>0</v>
      </c>
      <c r="CC516" s="39">
        <f t="shared" ref="CC516:CC518" si="589">BY516-K516</f>
        <v>0</v>
      </c>
      <c r="CD516" s="39">
        <f t="shared" ref="CD516:CD518" si="590">SUMIF(CA516:CC516,"&lt;0")</f>
        <v>0</v>
      </c>
      <c r="CE516" s="47">
        <f t="shared" ref="CE516:CE518" si="591">CD516/L516</f>
        <v>0</v>
      </c>
      <c r="CF516" s="36"/>
      <c r="CG516" s="39" t="s">
        <v>415</v>
      </c>
      <c r="CH516" s="39"/>
      <c r="CI516" s="25">
        <v>2</v>
      </c>
    </row>
    <row r="517" spans="1:87" ht="24.75" customHeight="1">
      <c r="A517" s="36" t="s">
        <v>387</v>
      </c>
      <c r="B517" s="27">
        <v>47766</v>
      </c>
      <c r="C517" s="228"/>
      <c r="D517" s="36"/>
      <c r="E517" s="39">
        <v>230</v>
      </c>
      <c r="F517" s="39" t="s">
        <v>53</v>
      </c>
      <c r="G517" s="36" t="s">
        <v>23</v>
      </c>
      <c r="H517" s="39" t="s">
        <v>96</v>
      </c>
      <c r="I517" s="39">
        <v>246</v>
      </c>
      <c r="J517" s="39"/>
      <c r="K517" s="39"/>
      <c r="L517" s="39">
        <f t="shared" si="585"/>
        <v>246</v>
      </c>
      <c r="M517" s="117">
        <v>46181</v>
      </c>
      <c r="N517" s="117">
        <v>46188</v>
      </c>
      <c r="O517" s="39"/>
      <c r="P517" s="39"/>
      <c r="Q517" s="39"/>
      <c r="R517" s="39">
        <f t="shared" si="576"/>
        <v>0</v>
      </c>
      <c r="S517" s="39" t="s">
        <v>100</v>
      </c>
      <c r="T517" s="39"/>
      <c r="U517" s="39"/>
      <c r="V517" s="117">
        <v>46195</v>
      </c>
      <c r="W517" s="39">
        <v>268</v>
      </c>
      <c r="X517" s="117">
        <v>46207</v>
      </c>
      <c r="Y517" s="39">
        <v>260</v>
      </c>
      <c r="Z517" s="39"/>
      <c r="AA517" s="39"/>
      <c r="AB517" s="119">
        <f t="shared" si="577"/>
        <v>260</v>
      </c>
      <c r="AC517" s="39"/>
      <c r="AD517" s="39"/>
      <c r="AE517" s="39"/>
      <c r="AF517" s="39"/>
      <c r="AG517" s="39"/>
      <c r="AH517" s="39">
        <f t="shared" si="578"/>
        <v>0</v>
      </c>
      <c r="AI517" s="39"/>
      <c r="AJ517" s="39"/>
      <c r="AK517" s="39"/>
      <c r="AL517" s="39"/>
      <c r="AM517" s="39"/>
      <c r="AN517" s="39">
        <f t="shared" si="579"/>
        <v>0</v>
      </c>
      <c r="AO517" s="39"/>
      <c r="AP517" s="39"/>
      <c r="AQ517" s="39"/>
      <c r="AR517" s="39"/>
      <c r="AS517" s="39"/>
      <c r="AT517" s="39">
        <f t="shared" si="580"/>
        <v>0</v>
      </c>
      <c r="AU517" s="39"/>
      <c r="AV517" s="39"/>
      <c r="AW517" s="39"/>
      <c r="AX517" s="39"/>
      <c r="AY517" s="39"/>
      <c r="AZ517" s="39">
        <f t="shared" si="581"/>
        <v>0</v>
      </c>
      <c r="BA517" s="39"/>
      <c r="BB517" s="39"/>
      <c r="BC517" s="39"/>
      <c r="BD517" s="39"/>
      <c r="BE517" s="39"/>
      <c r="BF517" s="39">
        <f t="shared" si="582"/>
        <v>0</v>
      </c>
      <c r="BG517" s="39"/>
      <c r="BH517" s="39"/>
      <c r="BI517" s="39"/>
      <c r="BJ517" s="39"/>
      <c r="BK517" s="39"/>
      <c r="BL517" s="39">
        <f t="shared" si="583"/>
        <v>0</v>
      </c>
      <c r="BM517" s="54" t="str">
        <f t="shared" si="584"/>
        <v/>
      </c>
      <c r="BN517" s="66">
        <v>46190</v>
      </c>
      <c r="BO517" s="117">
        <v>46202</v>
      </c>
      <c r="BP517" s="39"/>
      <c r="BQ517" s="39"/>
      <c r="BR517" s="230"/>
      <c r="BS517" s="230"/>
      <c r="BT517" s="39">
        <v>1767</v>
      </c>
      <c r="BU517" s="39">
        <v>260</v>
      </c>
      <c r="BV517" s="39"/>
      <c r="BW517" s="39"/>
      <c r="BX517" s="39"/>
      <c r="BY517" s="39"/>
      <c r="BZ517" s="39">
        <f t="shared" si="586"/>
        <v>260</v>
      </c>
      <c r="CA517" s="39">
        <f t="shared" si="587"/>
        <v>14</v>
      </c>
      <c r="CB517" s="39">
        <f t="shared" si="588"/>
        <v>0</v>
      </c>
      <c r="CC517" s="39">
        <f t="shared" si="589"/>
        <v>0</v>
      </c>
      <c r="CD517" s="39">
        <f t="shared" si="590"/>
        <v>0</v>
      </c>
      <c r="CE517" s="47">
        <f t="shared" si="591"/>
        <v>0</v>
      </c>
      <c r="CF517" s="36"/>
      <c r="CG517" s="39" t="s">
        <v>415</v>
      </c>
      <c r="CH517" s="39"/>
      <c r="CI517" s="25">
        <v>2</v>
      </c>
    </row>
    <row r="518" spans="1:87" ht="24.75" customHeight="1">
      <c r="A518" s="36" t="s">
        <v>387</v>
      </c>
      <c r="B518" s="27">
        <v>47768</v>
      </c>
      <c r="C518" s="227" t="s">
        <v>963</v>
      </c>
      <c r="D518" s="36" t="s">
        <v>37</v>
      </c>
      <c r="E518" s="39">
        <v>190</v>
      </c>
      <c r="F518" s="39" t="s">
        <v>58</v>
      </c>
      <c r="G518" s="36" t="s">
        <v>105</v>
      </c>
      <c r="H518" s="39" t="s">
        <v>504</v>
      </c>
      <c r="I518" s="39">
        <v>221</v>
      </c>
      <c r="J518" s="39"/>
      <c r="K518" s="39"/>
      <c r="L518" s="39">
        <f t="shared" si="585"/>
        <v>221</v>
      </c>
      <c r="M518" s="117">
        <v>46181</v>
      </c>
      <c r="N518" s="117">
        <v>46188</v>
      </c>
      <c r="O518" s="39"/>
      <c r="P518" s="39"/>
      <c r="Q518" s="39"/>
      <c r="R518" s="39">
        <f t="shared" ref="R518" si="592">SUM(O518:Q518)</f>
        <v>0</v>
      </c>
      <c r="S518" s="39" t="s">
        <v>130</v>
      </c>
      <c r="T518" s="39">
        <v>107398</v>
      </c>
      <c r="U518" s="117">
        <v>46204</v>
      </c>
      <c r="V518" s="39"/>
      <c r="W518" s="39"/>
      <c r="X518" s="39"/>
      <c r="Y518" s="39">
        <v>246</v>
      </c>
      <c r="Z518" s="39"/>
      <c r="AA518" s="39"/>
      <c r="AB518" s="119">
        <f t="shared" ref="AB518" si="593">SUM(Y518:AA518)</f>
        <v>246</v>
      </c>
      <c r="AC518" s="39" t="s">
        <v>268</v>
      </c>
      <c r="AD518" s="117">
        <v>46210</v>
      </c>
      <c r="AE518" s="39">
        <v>223</v>
      </c>
      <c r="AF518" s="117">
        <v>46216</v>
      </c>
      <c r="AG518" s="39">
        <v>223</v>
      </c>
      <c r="AH518" s="39">
        <f t="shared" ref="AH518" si="594">AG518-AE518</f>
        <v>0</v>
      </c>
      <c r="AI518" s="39"/>
      <c r="AJ518" s="39"/>
      <c r="AK518" s="39"/>
      <c r="AL518" s="39"/>
      <c r="AM518" s="39"/>
      <c r="AN518" s="39">
        <f t="shared" ref="AN518" si="595">AM518-AK518</f>
        <v>0</v>
      </c>
      <c r="AO518" s="39"/>
      <c r="AP518" s="39"/>
      <c r="AQ518" s="39"/>
      <c r="AR518" s="39"/>
      <c r="AS518" s="39"/>
      <c r="AT518" s="39">
        <f t="shared" ref="AT518" si="596">AS518-AQ518</f>
        <v>0</v>
      </c>
      <c r="AU518" s="39"/>
      <c r="AV518" s="39"/>
      <c r="AW518" s="39"/>
      <c r="AX518" s="39"/>
      <c r="AY518" s="39"/>
      <c r="AZ518" s="39">
        <f t="shared" ref="AZ518" si="597">AY518-AW518</f>
        <v>0</v>
      </c>
      <c r="BA518" s="39"/>
      <c r="BB518" s="39"/>
      <c r="BC518" s="39"/>
      <c r="BD518" s="39"/>
      <c r="BE518" s="39"/>
      <c r="BF518" s="39">
        <f t="shared" ref="BF518" si="598">BE518-BC518</f>
        <v>0</v>
      </c>
      <c r="BG518" s="39"/>
      <c r="BH518" s="39"/>
      <c r="BI518" s="39"/>
      <c r="BJ518" s="39"/>
      <c r="BK518" s="39"/>
      <c r="BL518" s="39">
        <f t="shared" ref="BL518" si="599">BK518-BI518</f>
        <v>0</v>
      </c>
      <c r="BM518" s="54" t="str">
        <f t="shared" ref="BM518" si="600">IF((BZ518/L518)&lt;0.9,$CO$1-U518,"")</f>
        <v/>
      </c>
      <c r="BN518" s="66">
        <v>46191</v>
      </c>
      <c r="BO518" s="117">
        <v>46197</v>
      </c>
      <c r="BP518" s="117">
        <v>46198</v>
      </c>
      <c r="BQ518" s="117">
        <v>46203</v>
      </c>
      <c r="BR518" s="229">
        <v>46210</v>
      </c>
      <c r="BS518" s="229">
        <v>46217</v>
      </c>
      <c r="BT518" s="39">
        <v>2233</v>
      </c>
      <c r="BU518" s="39">
        <v>222</v>
      </c>
      <c r="BV518" s="39"/>
      <c r="BW518" s="39"/>
      <c r="BX518" s="39"/>
      <c r="BY518" s="39"/>
      <c r="BZ518" s="39">
        <f t="shared" si="586"/>
        <v>222</v>
      </c>
      <c r="CA518" s="39">
        <f t="shared" si="587"/>
        <v>1</v>
      </c>
      <c r="CB518" s="39">
        <f t="shared" si="588"/>
        <v>0</v>
      </c>
      <c r="CC518" s="39">
        <f t="shared" si="589"/>
        <v>0</v>
      </c>
      <c r="CD518" s="39">
        <f t="shared" si="590"/>
        <v>0</v>
      </c>
      <c r="CE518" s="47">
        <f t="shared" si="591"/>
        <v>0</v>
      </c>
      <c r="CF518" s="36"/>
      <c r="CG518" s="39" t="s">
        <v>415</v>
      </c>
      <c r="CH518" s="39"/>
      <c r="CI518" s="25">
        <v>2</v>
      </c>
    </row>
    <row r="519" spans="1:87" ht="24.75" customHeight="1">
      <c r="A519" s="36" t="s">
        <v>387</v>
      </c>
      <c r="B519" s="27">
        <v>47768</v>
      </c>
      <c r="C519" s="228"/>
      <c r="D519" s="36"/>
      <c r="E519" s="39">
        <v>190</v>
      </c>
      <c r="F519" s="39" t="s">
        <v>58</v>
      </c>
      <c r="G519" s="36" t="s">
        <v>187</v>
      </c>
      <c r="H519" s="39" t="s">
        <v>504</v>
      </c>
      <c r="I519" s="39">
        <v>210</v>
      </c>
      <c r="J519" s="39"/>
      <c r="K519" s="39"/>
      <c r="L519" s="39">
        <f t="shared" si="560"/>
        <v>210</v>
      </c>
      <c r="M519" s="117">
        <v>46181</v>
      </c>
      <c r="N519" s="117">
        <v>46188</v>
      </c>
      <c r="O519" s="39"/>
      <c r="P519" s="39"/>
      <c r="Q519" s="39"/>
      <c r="R519" s="39">
        <f t="shared" ref="R519" si="601">SUM(O519:Q519)</f>
        <v>0</v>
      </c>
      <c r="S519" s="39" t="s">
        <v>130</v>
      </c>
      <c r="T519" s="39" t="s">
        <v>1391</v>
      </c>
      <c r="U519" s="117">
        <v>46207</v>
      </c>
      <c r="V519" s="39"/>
      <c r="W519" s="39"/>
      <c r="X519" s="39"/>
      <c r="Y519" s="39">
        <f>242+14</f>
        <v>256</v>
      </c>
      <c r="Z519" s="39"/>
      <c r="AA519" s="39"/>
      <c r="AB519" s="119">
        <f t="shared" ref="AB519" si="602">SUM(Y519:AA519)</f>
        <v>256</v>
      </c>
      <c r="AC519" s="39"/>
      <c r="AD519" s="39"/>
      <c r="AE519" s="39"/>
      <c r="AF519" s="39"/>
      <c r="AG519" s="39"/>
      <c r="AH519" s="39">
        <f t="shared" ref="AH519" si="603">AG519-AE519</f>
        <v>0</v>
      </c>
      <c r="AI519" s="39"/>
      <c r="AJ519" s="39"/>
      <c r="AK519" s="39"/>
      <c r="AL519" s="39"/>
      <c r="AM519" s="39"/>
      <c r="AN519" s="39">
        <f t="shared" ref="AN519" si="604">AM519-AK519</f>
        <v>0</v>
      </c>
      <c r="AO519" s="39"/>
      <c r="AP519" s="39"/>
      <c r="AQ519" s="39"/>
      <c r="AR519" s="39"/>
      <c r="AS519" s="39"/>
      <c r="AT519" s="39">
        <f t="shared" ref="AT519" si="605">AS519-AQ519</f>
        <v>0</v>
      </c>
      <c r="AU519" s="39"/>
      <c r="AV519" s="39"/>
      <c r="AW519" s="39"/>
      <c r="AX519" s="39"/>
      <c r="AY519" s="39"/>
      <c r="AZ519" s="39">
        <f t="shared" ref="AZ519" si="606">AY519-AW519</f>
        <v>0</v>
      </c>
      <c r="BA519" s="39"/>
      <c r="BB519" s="39"/>
      <c r="BC519" s="39"/>
      <c r="BD519" s="39"/>
      <c r="BE519" s="39"/>
      <c r="BF519" s="39">
        <f t="shared" ref="BF519" si="607">BE519-BC519</f>
        <v>0</v>
      </c>
      <c r="BG519" s="39"/>
      <c r="BH519" s="39"/>
      <c r="BI519" s="39"/>
      <c r="BJ519" s="39"/>
      <c r="BK519" s="39"/>
      <c r="BL519" s="39">
        <f t="shared" ref="BL519" si="608">BK519-BI519</f>
        <v>0</v>
      </c>
      <c r="BM519" s="54" t="str">
        <f t="shared" ref="BM519" si="609">IF((BZ519/L519)&lt;0.9,$CO$1-U519,"")</f>
        <v/>
      </c>
      <c r="BN519" s="66">
        <v>46191</v>
      </c>
      <c r="BO519" s="117">
        <v>46197</v>
      </c>
      <c r="BP519" s="117"/>
      <c r="BQ519" s="117"/>
      <c r="BR519" s="230"/>
      <c r="BS519" s="230"/>
      <c r="BT519" s="39" t="s">
        <v>1421</v>
      </c>
      <c r="BU519" s="39">
        <f>13+215</f>
        <v>228</v>
      </c>
      <c r="BV519" s="39"/>
      <c r="BW519" s="39"/>
      <c r="BX519" s="39"/>
      <c r="BY519" s="39"/>
      <c r="BZ519" s="39">
        <f t="shared" si="561"/>
        <v>228</v>
      </c>
      <c r="CA519" s="39">
        <f t="shared" si="562"/>
        <v>18</v>
      </c>
      <c r="CB519" s="39">
        <f t="shared" si="563"/>
        <v>0</v>
      </c>
      <c r="CC519" s="39">
        <f t="shared" si="564"/>
        <v>0</v>
      </c>
      <c r="CD519" s="39">
        <f t="shared" si="565"/>
        <v>0</v>
      </c>
      <c r="CE519" s="47">
        <f t="shared" si="566"/>
        <v>0</v>
      </c>
      <c r="CF519" s="36"/>
      <c r="CG519" s="39" t="s">
        <v>415</v>
      </c>
      <c r="CH519" s="39"/>
      <c r="CI519" s="25">
        <v>2</v>
      </c>
    </row>
    <row r="520" spans="1:87" ht="24.75" customHeight="1">
      <c r="A520" s="36" t="s">
        <v>387</v>
      </c>
      <c r="B520" s="27">
        <v>47765</v>
      </c>
      <c r="C520" s="227" t="s">
        <v>964</v>
      </c>
      <c r="D520" s="36"/>
      <c r="E520" s="39">
        <v>230</v>
      </c>
      <c r="F520" s="39" t="s">
        <v>58</v>
      </c>
      <c r="G520" s="36" t="s">
        <v>401</v>
      </c>
      <c r="H520" s="39" t="s">
        <v>96</v>
      </c>
      <c r="I520" s="39">
        <v>140</v>
      </c>
      <c r="J520" s="39"/>
      <c r="K520" s="39"/>
      <c r="L520" s="39">
        <f t="shared" ref="L520:L530" si="610">SUM(I520:K520)</f>
        <v>140</v>
      </c>
      <c r="M520" s="117">
        <v>46179</v>
      </c>
      <c r="N520" s="117">
        <v>46189</v>
      </c>
      <c r="O520" s="39"/>
      <c r="P520" s="39"/>
      <c r="Q520" s="39"/>
      <c r="R520" s="39">
        <f t="shared" ref="R520" si="611">SUM(O520:Q520)</f>
        <v>0</v>
      </c>
      <c r="S520" s="39" t="s">
        <v>326</v>
      </c>
      <c r="T520" s="39"/>
      <c r="U520" s="39"/>
      <c r="V520" s="117">
        <v>46202</v>
      </c>
      <c r="W520" s="39">
        <v>167</v>
      </c>
      <c r="X520" s="117">
        <v>46209</v>
      </c>
      <c r="Y520" s="39">
        <v>141</v>
      </c>
      <c r="Z520" s="39"/>
      <c r="AA520" s="39"/>
      <c r="AB520" s="119">
        <f t="shared" ref="AB520" si="612">SUM(Y520:AA520)</f>
        <v>141</v>
      </c>
      <c r="AC520" s="39"/>
      <c r="AD520" s="39"/>
      <c r="AE520" s="39"/>
      <c r="AF520" s="39"/>
      <c r="AG520" s="39"/>
      <c r="AH520" s="39">
        <f t="shared" ref="AH520:AH530" si="613">AG520-AE520</f>
        <v>0</v>
      </c>
      <c r="AI520" s="39"/>
      <c r="AJ520" s="39"/>
      <c r="AK520" s="39"/>
      <c r="AL520" s="39"/>
      <c r="AM520" s="39"/>
      <c r="AN520" s="39">
        <f t="shared" ref="AN520:AN530" si="614">AM520-AK520</f>
        <v>0</v>
      </c>
      <c r="AO520" s="39"/>
      <c r="AP520" s="39"/>
      <c r="AQ520" s="39"/>
      <c r="AR520" s="39"/>
      <c r="AS520" s="39"/>
      <c r="AT520" s="39">
        <f t="shared" ref="AT520:AT530" si="615">AS520-AQ520</f>
        <v>0</v>
      </c>
      <c r="AU520" s="39"/>
      <c r="AV520" s="39"/>
      <c r="AW520" s="39"/>
      <c r="AX520" s="39"/>
      <c r="AY520" s="39"/>
      <c r="AZ520" s="39">
        <f t="shared" ref="AZ520:AZ530" si="616">AY520-AW520</f>
        <v>0</v>
      </c>
      <c r="BA520" s="39"/>
      <c r="BB520" s="39"/>
      <c r="BC520" s="39"/>
      <c r="BD520" s="39"/>
      <c r="BE520" s="39"/>
      <c r="BF520" s="39">
        <f t="shared" ref="BF520:BF530" si="617">BE520-BC520</f>
        <v>0</v>
      </c>
      <c r="BG520" s="39"/>
      <c r="BH520" s="39"/>
      <c r="BI520" s="39"/>
      <c r="BJ520" s="39"/>
      <c r="BK520" s="39"/>
      <c r="BL520" s="39">
        <f t="shared" ref="BL520:BL530" si="618">BK520-BI520</f>
        <v>0</v>
      </c>
      <c r="BM520" s="54" t="str">
        <f t="shared" ref="BM520:BM530" si="619">IF((BZ520/L520)&lt;0.9,$CO$1-U520,"")</f>
        <v/>
      </c>
      <c r="BN520" s="66">
        <v>46188</v>
      </c>
      <c r="BO520" s="117">
        <v>46203</v>
      </c>
      <c r="BP520" s="39"/>
      <c r="BQ520" s="39"/>
      <c r="BR520" s="229">
        <v>46203</v>
      </c>
      <c r="BS520" s="229">
        <v>46212</v>
      </c>
      <c r="BT520" s="39">
        <v>1768</v>
      </c>
      <c r="BU520" s="39">
        <v>141</v>
      </c>
      <c r="BV520" s="39"/>
      <c r="BW520" s="39"/>
      <c r="BX520" s="39"/>
      <c r="BY520" s="39"/>
      <c r="BZ520" s="39">
        <f t="shared" ref="BZ520:BZ530" si="620">BU520+BW520+BY520</f>
        <v>141</v>
      </c>
      <c r="CA520" s="39">
        <f t="shared" ref="CA520:CA530" si="621">BU520-I520</f>
        <v>1</v>
      </c>
      <c r="CB520" s="39">
        <f t="shared" ref="CB520:CB530" si="622">BW520-J520</f>
        <v>0</v>
      </c>
      <c r="CC520" s="39">
        <f t="shared" ref="CC520:CC530" si="623">BY520-K520</f>
        <v>0</v>
      </c>
      <c r="CD520" s="39">
        <f t="shared" ref="CD520:CD530" si="624">SUMIF(CA520:CC520,"&lt;0")</f>
        <v>0</v>
      </c>
      <c r="CE520" s="47">
        <f t="shared" ref="CE520:CE530" si="625">CD520/L520</f>
        <v>0</v>
      </c>
      <c r="CF520" s="36"/>
      <c r="CG520" s="39" t="s">
        <v>415</v>
      </c>
      <c r="CH520" s="39"/>
      <c r="CI520" s="25">
        <v>2</v>
      </c>
    </row>
    <row r="521" spans="1:87" ht="24.75" customHeight="1">
      <c r="A521" s="36" t="s">
        <v>387</v>
      </c>
      <c r="B521" s="27">
        <v>47765</v>
      </c>
      <c r="C521" s="231"/>
      <c r="D521" s="36"/>
      <c r="E521" s="39">
        <v>230</v>
      </c>
      <c r="F521" s="39" t="s">
        <v>58</v>
      </c>
      <c r="G521" s="36" t="s">
        <v>187</v>
      </c>
      <c r="H521" s="39" t="s">
        <v>96</v>
      </c>
      <c r="I521" s="39">
        <v>315</v>
      </c>
      <c r="J521" s="39"/>
      <c r="K521" s="39"/>
      <c r="L521" s="39">
        <f t="shared" si="610"/>
        <v>315</v>
      </c>
      <c r="M521" s="117">
        <v>46179</v>
      </c>
      <c r="N521" s="117">
        <v>46189</v>
      </c>
      <c r="O521" s="39"/>
      <c r="P521" s="39"/>
      <c r="Q521" s="39"/>
      <c r="R521" s="39">
        <f t="shared" ref="R521:R525" si="626">SUM(O521:Q521)</f>
        <v>0</v>
      </c>
      <c r="S521" s="39" t="s">
        <v>130</v>
      </c>
      <c r="T521" s="39">
        <v>107330</v>
      </c>
      <c r="U521" s="117">
        <v>46201</v>
      </c>
      <c r="V521" s="39"/>
      <c r="W521" s="39"/>
      <c r="X521" s="39"/>
      <c r="Y521" s="39">
        <v>365</v>
      </c>
      <c r="Z521" s="39"/>
      <c r="AA521" s="39"/>
      <c r="AB521" s="119">
        <f t="shared" ref="AB521:AB525" si="627">SUM(Y521:AA521)</f>
        <v>365</v>
      </c>
      <c r="AC521" s="39"/>
      <c r="AD521" s="39"/>
      <c r="AE521" s="39"/>
      <c r="AF521" s="39"/>
      <c r="AG521" s="39"/>
      <c r="AH521" s="39">
        <f t="shared" ref="AH521:AH525" si="628">AG521-AE521</f>
        <v>0</v>
      </c>
      <c r="AI521" s="39"/>
      <c r="AJ521" s="39"/>
      <c r="AK521" s="39"/>
      <c r="AL521" s="39"/>
      <c r="AM521" s="39"/>
      <c r="AN521" s="39">
        <f t="shared" ref="AN521:AN525" si="629">AM521-AK521</f>
        <v>0</v>
      </c>
      <c r="AO521" s="39"/>
      <c r="AP521" s="39"/>
      <c r="AQ521" s="39"/>
      <c r="AR521" s="39"/>
      <c r="AS521" s="39"/>
      <c r="AT521" s="39">
        <f t="shared" ref="AT521:AT525" si="630">AS521-AQ521</f>
        <v>0</v>
      </c>
      <c r="AU521" s="39"/>
      <c r="AV521" s="39"/>
      <c r="AW521" s="39"/>
      <c r="AX521" s="39"/>
      <c r="AY521" s="39"/>
      <c r="AZ521" s="39">
        <f t="shared" ref="AZ521:AZ525" si="631">AY521-AW521</f>
        <v>0</v>
      </c>
      <c r="BA521" s="39"/>
      <c r="BB521" s="39"/>
      <c r="BC521" s="39"/>
      <c r="BD521" s="39"/>
      <c r="BE521" s="39"/>
      <c r="BF521" s="39">
        <f t="shared" ref="BF521:BF525" si="632">BE521-BC521</f>
        <v>0</v>
      </c>
      <c r="BG521" s="39"/>
      <c r="BH521" s="39"/>
      <c r="BI521" s="39"/>
      <c r="BJ521" s="39"/>
      <c r="BK521" s="39"/>
      <c r="BL521" s="39">
        <f t="shared" ref="BL521:BL525" si="633">BK521-BI521</f>
        <v>0</v>
      </c>
      <c r="BM521" s="54" t="str">
        <f t="shared" ref="BM521:BM525" si="634">IF((BZ521/L521)&lt;0.9,$CO$1-U521,"")</f>
        <v/>
      </c>
      <c r="BN521" s="66">
        <v>46188</v>
      </c>
      <c r="BO521" s="117">
        <v>46203</v>
      </c>
      <c r="BP521" s="39"/>
      <c r="BQ521" s="39"/>
      <c r="BR521" s="232"/>
      <c r="BS521" s="232"/>
      <c r="BT521" s="39" t="s">
        <v>1321</v>
      </c>
      <c r="BU521" s="39">
        <f>269+58</f>
        <v>327</v>
      </c>
      <c r="BV521" s="39"/>
      <c r="BW521" s="39"/>
      <c r="BX521" s="39"/>
      <c r="BY521" s="39"/>
      <c r="BZ521" s="39">
        <f t="shared" si="620"/>
        <v>327</v>
      </c>
      <c r="CA521" s="39">
        <f t="shared" si="621"/>
        <v>12</v>
      </c>
      <c r="CB521" s="39">
        <f t="shared" si="622"/>
        <v>0</v>
      </c>
      <c r="CC521" s="39">
        <f t="shared" si="623"/>
        <v>0</v>
      </c>
      <c r="CD521" s="39">
        <f t="shared" si="624"/>
        <v>0</v>
      </c>
      <c r="CE521" s="47">
        <f t="shared" si="625"/>
        <v>0</v>
      </c>
      <c r="CF521" s="36"/>
      <c r="CG521" s="39" t="s">
        <v>415</v>
      </c>
      <c r="CH521" s="39" t="s">
        <v>1267</v>
      </c>
      <c r="CI521" s="25">
        <v>2</v>
      </c>
    </row>
    <row r="522" spans="1:87" ht="24.75" customHeight="1">
      <c r="A522" s="36" t="s">
        <v>387</v>
      </c>
      <c r="B522" s="27">
        <v>47765</v>
      </c>
      <c r="C522" s="231"/>
      <c r="D522" s="36"/>
      <c r="E522" s="39">
        <v>230</v>
      </c>
      <c r="F522" s="39" t="s">
        <v>58</v>
      </c>
      <c r="G522" s="36" t="s">
        <v>47</v>
      </c>
      <c r="H522" s="39" t="s">
        <v>96</v>
      </c>
      <c r="I522" s="39">
        <v>406</v>
      </c>
      <c r="J522" s="39"/>
      <c r="K522" s="39"/>
      <c r="L522" s="39">
        <f t="shared" si="610"/>
        <v>406</v>
      </c>
      <c r="M522" s="117">
        <v>46179</v>
      </c>
      <c r="N522" s="117">
        <v>46189</v>
      </c>
      <c r="O522" s="39"/>
      <c r="P522" s="39"/>
      <c r="Q522" s="39"/>
      <c r="R522" s="39">
        <f t="shared" si="626"/>
        <v>0</v>
      </c>
      <c r="S522" s="39" t="s">
        <v>130</v>
      </c>
      <c r="T522" s="39">
        <v>107461</v>
      </c>
      <c r="U522" s="117">
        <v>46206</v>
      </c>
      <c r="V522" s="39"/>
      <c r="W522" s="39"/>
      <c r="X522" s="39"/>
      <c r="Y522" s="39">
        <v>457</v>
      </c>
      <c r="Z522" s="39"/>
      <c r="AA522" s="39"/>
      <c r="AB522" s="119">
        <f t="shared" si="627"/>
        <v>457</v>
      </c>
      <c r="AC522" s="39"/>
      <c r="AD522" s="39"/>
      <c r="AE522" s="39"/>
      <c r="AF522" s="39"/>
      <c r="AG522" s="39"/>
      <c r="AH522" s="39">
        <f t="shared" si="628"/>
        <v>0</v>
      </c>
      <c r="AI522" s="39"/>
      <c r="AJ522" s="39"/>
      <c r="AK522" s="39"/>
      <c r="AL522" s="39"/>
      <c r="AM522" s="39"/>
      <c r="AN522" s="39">
        <f t="shared" si="629"/>
        <v>0</v>
      </c>
      <c r="AO522" s="39"/>
      <c r="AP522" s="39"/>
      <c r="AQ522" s="39"/>
      <c r="AR522" s="39"/>
      <c r="AS522" s="39"/>
      <c r="AT522" s="39">
        <f t="shared" si="630"/>
        <v>0</v>
      </c>
      <c r="AU522" s="39"/>
      <c r="AV522" s="39"/>
      <c r="AW522" s="39"/>
      <c r="AX522" s="39"/>
      <c r="AY522" s="39"/>
      <c r="AZ522" s="39">
        <f t="shared" si="631"/>
        <v>0</v>
      </c>
      <c r="BA522" s="39"/>
      <c r="BB522" s="39"/>
      <c r="BC522" s="39"/>
      <c r="BD522" s="39"/>
      <c r="BE522" s="39"/>
      <c r="BF522" s="39">
        <f t="shared" si="632"/>
        <v>0</v>
      </c>
      <c r="BG522" s="39"/>
      <c r="BH522" s="39"/>
      <c r="BI522" s="39"/>
      <c r="BJ522" s="39"/>
      <c r="BK522" s="39"/>
      <c r="BL522" s="39">
        <f t="shared" si="633"/>
        <v>0</v>
      </c>
      <c r="BM522" s="54" t="str">
        <f t="shared" si="634"/>
        <v/>
      </c>
      <c r="BN522" s="66">
        <v>46188</v>
      </c>
      <c r="BO522" s="117">
        <v>46203</v>
      </c>
      <c r="BP522" s="39"/>
      <c r="BQ522" s="39"/>
      <c r="BR522" s="232"/>
      <c r="BS522" s="232"/>
      <c r="BT522" s="39">
        <v>1571</v>
      </c>
      <c r="BU522" s="39">
        <v>407</v>
      </c>
      <c r="BV522" s="39"/>
      <c r="BW522" s="39"/>
      <c r="BX522" s="39"/>
      <c r="BY522" s="39"/>
      <c r="BZ522" s="39">
        <f t="shared" si="620"/>
        <v>407</v>
      </c>
      <c r="CA522" s="39">
        <f t="shared" si="621"/>
        <v>1</v>
      </c>
      <c r="CB522" s="39">
        <f t="shared" si="622"/>
        <v>0</v>
      </c>
      <c r="CC522" s="39">
        <f t="shared" si="623"/>
        <v>0</v>
      </c>
      <c r="CD522" s="39">
        <f t="shared" si="624"/>
        <v>0</v>
      </c>
      <c r="CE522" s="47">
        <f t="shared" si="625"/>
        <v>0</v>
      </c>
      <c r="CF522" s="36"/>
      <c r="CG522" s="39" t="s">
        <v>415</v>
      </c>
      <c r="CH522" s="39"/>
      <c r="CI522" s="25">
        <v>2</v>
      </c>
    </row>
    <row r="523" spans="1:87" ht="24.75" customHeight="1">
      <c r="A523" s="36" t="s">
        <v>387</v>
      </c>
      <c r="B523" s="27">
        <v>47765</v>
      </c>
      <c r="C523" s="231"/>
      <c r="D523" s="36"/>
      <c r="E523" s="39">
        <v>230</v>
      </c>
      <c r="F523" s="39" t="s">
        <v>58</v>
      </c>
      <c r="G523" s="36" t="s">
        <v>30</v>
      </c>
      <c r="H523" s="39" t="s">
        <v>96</v>
      </c>
      <c r="I523" s="39">
        <v>181</v>
      </c>
      <c r="J523" s="39"/>
      <c r="K523" s="39"/>
      <c r="L523" s="39">
        <f t="shared" si="610"/>
        <v>181</v>
      </c>
      <c r="M523" s="117">
        <v>46179</v>
      </c>
      <c r="N523" s="117">
        <v>46189</v>
      </c>
      <c r="O523" s="39"/>
      <c r="P523" s="39"/>
      <c r="Q523" s="39"/>
      <c r="R523" s="39">
        <f t="shared" si="626"/>
        <v>0</v>
      </c>
      <c r="S523" s="39" t="s">
        <v>100</v>
      </c>
      <c r="T523" s="39"/>
      <c r="U523" s="39"/>
      <c r="V523" s="117">
        <v>46198</v>
      </c>
      <c r="W523" s="39">
        <v>213</v>
      </c>
      <c r="X523" s="117">
        <v>46212</v>
      </c>
      <c r="Y523" s="39">
        <v>184</v>
      </c>
      <c r="Z523" s="39"/>
      <c r="AA523" s="39"/>
      <c r="AB523" s="119">
        <f t="shared" si="627"/>
        <v>184</v>
      </c>
      <c r="AC523" s="39"/>
      <c r="AD523" s="39"/>
      <c r="AE523" s="39"/>
      <c r="AF523" s="39"/>
      <c r="AG523" s="39"/>
      <c r="AH523" s="39">
        <f t="shared" si="628"/>
        <v>0</v>
      </c>
      <c r="AI523" s="39"/>
      <c r="AJ523" s="39"/>
      <c r="AK523" s="39"/>
      <c r="AL523" s="39"/>
      <c r="AM523" s="39"/>
      <c r="AN523" s="39">
        <f t="shared" si="629"/>
        <v>0</v>
      </c>
      <c r="AO523" s="39"/>
      <c r="AP523" s="39"/>
      <c r="AQ523" s="39"/>
      <c r="AR523" s="39"/>
      <c r="AS523" s="39"/>
      <c r="AT523" s="39">
        <f t="shared" si="630"/>
        <v>0</v>
      </c>
      <c r="AU523" s="39"/>
      <c r="AV523" s="39"/>
      <c r="AW523" s="39"/>
      <c r="AX523" s="39"/>
      <c r="AY523" s="39"/>
      <c r="AZ523" s="39">
        <f t="shared" si="631"/>
        <v>0</v>
      </c>
      <c r="BA523" s="39"/>
      <c r="BB523" s="39"/>
      <c r="BC523" s="39"/>
      <c r="BD523" s="39"/>
      <c r="BE523" s="39"/>
      <c r="BF523" s="39">
        <f t="shared" si="632"/>
        <v>0</v>
      </c>
      <c r="BG523" s="39"/>
      <c r="BH523" s="39"/>
      <c r="BI523" s="39"/>
      <c r="BJ523" s="39"/>
      <c r="BK523" s="39"/>
      <c r="BL523" s="39">
        <f t="shared" si="633"/>
        <v>0</v>
      </c>
      <c r="BM523" s="54" t="str">
        <f t="shared" si="634"/>
        <v/>
      </c>
      <c r="BN523" s="66">
        <v>46188</v>
      </c>
      <c r="BO523" s="117">
        <v>46203</v>
      </c>
      <c r="BP523" s="39"/>
      <c r="BQ523" s="39"/>
      <c r="BR523" s="232"/>
      <c r="BS523" s="232"/>
      <c r="BT523" s="39">
        <v>1525</v>
      </c>
      <c r="BU523" s="39">
        <v>184</v>
      </c>
      <c r="BV523" s="39"/>
      <c r="BW523" s="39"/>
      <c r="BX523" s="39"/>
      <c r="BY523" s="39"/>
      <c r="BZ523" s="39">
        <f t="shared" si="620"/>
        <v>184</v>
      </c>
      <c r="CA523" s="39">
        <f t="shared" si="621"/>
        <v>3</v>
      </c>
      <c r="CB523" s="39">
        <f t="shared" si="622"/>
        <v>0</v>
      </c>
      <c r="CC523" s="39">
        <f t="shared" si="623"/>
        <v>0</v>
      </c>
      <c r="CD523" s="39">
        <f t="shared" si="624"/>
        <v>0</v>
      </c>
      <c r="CE523" s="47">
        <f t="shared" si="625"/>
        <v>0</v>
      </c>
      <c r="CF523" s="36"/>
      <c r="CG523" s="39" t="s">
        <v>415</v>
      </c>
      <c r="CH523" s="39"/>
      <c r="CI523" s="25">
        <v>2</v>
      </c>
    </row>
    <row r="524" spans="1:87" ht="24.75" customHeight="1">
      <c r="A524" s="36" t="s">
        <v>387</v>
      </c>
      <c r="B524" s="27">
        <v>47765</v>
      </c>
      <c r="C524" s="231"/>
      <c r="D524" s="36"/>
      <c r="E524" s="39">
        <v>230</v>
      </c>
      <c r="F524" s="39" t="s">
        <v>58</v>
      </c>
      <c r="G524" s="36" t="s">
        <v>23</v>
      </c>
      <c r="H524" s="39" t="s">
        <v>96</v>
      </c>
      <c r="I524" s="39">
        <v>293</v>
      </c>
      <c r="J524" s="39"/>
      <c r="K524" s="39"/>
      <c r="L524" s="39">
        <f t="shared" si="610"/>
        <v>293</v>
      </c>
      <c r="M524" s="117">
        <v>46179</v>
      </c>
      <c r="N524" s="117">
        <v>46189</v>
      </c>
      <c r="O524" s="39"/>
      <c r="P524" s="39"/>
      <c r="Q524" s="39"/>
      <c r="R524" s="39">
        <f t="shared" si="626"/>
        <v>0</v>
      </c>
      <c r="S524" s="39" t="s">
        <v>100</v>
      </c>
      <c r="T524" s="39"/>
      <c r="U524" s="39"/>
      <c r="V524" s="117">
        <v>46198</v>
      </c>
      <c r="W524" s="39">
        <v>319</v>
      </c>
      <c r="X524" s="117">
        <v>46207</v>
      </c>
      <c r="Y524" s="39">
        <v>295</v>
      </c>
      <c r="Z524" s="39"/>
      <c r="AA524" s="39"/>
      <c r="AB524" s="119">
        <f t="shared" si="627"/>
        <v>295</v>
      </c>
      <c r="AC524" s="39"/>
      <c r="AD524" s="39"/>
      <c r="AE524" s="39"/>
      <c r="AF524" s="39"/>
      <c r="AG524" s="39"/>
      <c r="AH524" s="39">
        <f t="shared" si="628"/>
        <v>0</v>
      </c>
      <c r="AI524" s="39"/>
      <c r="AJ524" s="39"/>
      <c r="AK524" s="39"/>
      <c r="AL524" s="39"/>
      <c r="AM524" s="39"/>
      <c r="AN524" s="39">
        <f t="shared" si="629"/>
        <v>0</v>
      </c>
      <c r="AO524" s="39"/>
      <c r="AP524" s="39"/>
      <c r="AQ524" s="39"/>
      <c r="AR524" s="39"/>
      <c r="AS524" s="39"/>
      <c r="AT524" s="39">
        <f t="shared" si="630"/>
        <v>0</v>
      </c>
      <c r="AU524" s="39"/>
      <c r="AV524" s="39"/>
      <c r="AW524" s="39"/>
      <c r="AX524" s="39"/>
      <c r="AY524" s="39"/>
      <c r="AZ524" s="39">
        <f t="shared" si="631"/>
        <v>0</v>
      </c>
      <c r="BA524" s="39"/>
      <c r="BB524" s="39"/>
      <c r="BC524" s="39"/>
      <c r="BD524" s="39"/>
      <c r="BE524" s="39"/>
      <c r="BF524" s="39">
        <f t="shared" si="632"/>
        <v>0</v>
      </c>
      <c r="BG524" s="39"/>
      <c r="BH524" s="39"/>
      <c r="BI524" s="39"/>
      <c r="BJ524" s="39"/>
      <c r="BK524" s="39"/>
      <c r="BL524" s="39">
        <f t="shared" si="633"/>
        <v>0</v>
      </c>
      <c r="BM524" s="54" t="str">
        <f t="shared" si="634"/>
        <v/>
      </c>
      <c r="BN524" s="66">
        <v>46188</v>
      </c>
      <c r="BO524" s="117">
        <v>46203</v>
      </c>
      <c r="BP524" s="39"/>
      <c r="BQ524" s="39"/>
      <c r="BR524" s="232"/>
      <c r="BS524" s="232"/>
      <c r="BT524" s="39">
        <v>1767</v>
      </c>
      <c r="BU524" s="39">
        <v>295</v>
      </c>
      <c r="BV524" s="39"/>
      <c r="BW524" s="39"/>
      <c r="BX524" s="39"/>
      <c r="BY524" s="39"/>
      <c r="BZ524" s="39">
        <f t="shared" si="620"/>
        <v>295</v>
      </c>
      <c r="CA524" s="39">
        <f t="shared" si="621"/>
        <v>2</v>
      </c>
      <c r="CB524" s="39">
        <f t="shared" si="622"/>
        <v>0</v>
      </c>
      <c r="CC524" s="39">
        <f t="shared" si="623"/>
        <v>0</v>
      </c>
      <c r="CD524" s="39">
        <f t="shared" si="624"/>
        <v>0</v>
      </c>
      <c r="CE524" s="47">
        <f t="shared" si="625"/>
        <v>0</v>
      </c>
      <c r="CF524" s="36"/>
      <c r="CG524" s="39" t="s">
        <v>415</v>
      </c>
      <c r="CH524" s="39"/>
      <c r="CI524" s="25">
        <v>2</v>
      </c>
    </row>
    <row r="525" spans="1:87" ht="24.75" customHeight="1">
      <c r="A525" s="36" t="s">
        <v>387</v>
      </c>
      <c r="B525" s="27">
        <v>47765</v>
      </c>
      <c r="C525" s="228"/>
      <c r="D525" s="36"/>
      <c r="E525" s="39">
        <v>230</v>
      </c>
      <c r="F525" s="39" t="s">
        <v>58</v>
      </c>
      <c r="G525" s="36" t="s">
        <v>425</v>
      </c>
      <c r="H525" s="39" t="s">
        <v>96</v>
      </c>
      <c r="I525" s="39">
        <v>176</v>
      </c>
      <c r="J525" s="39"/>
      <c r="K525" s="39"/>
      <c r="L525" s="39">
        <f t="shared" ref="L525:L529" si="635">SUM(I525:K525)</f>
        <v>176</v>
      </c>
      <c r="M525" s="117">
        <v>46179</v>
      </c>
      <c r="N525" s="117">
        <v>46189</v>
      </c>
      <c r="O525" s="39"/>
      <c r="P525" s="39"/>
      <c r="Q525" s="39"/>
      <c r="R525" s="39">
        <f t="shared" si="626"/>
        <v>0</v>
      </c>
      <c r="S525" s="39" t="s">
        <v>326</v>
      </c>
      <c r="T525" s="39"/>
      <c r="U525" s="39"/>
      <c r="V525" s="117">
        <v>46195</v>
      </c>
      <c r="W525" s="39">
        <v>206</v>
      </c>
      <c r="X525" s="117">
        <v>46205</v>
      </c>
      <c r="Y525" s="39">
        <v>187</v>
      </c>
      <c r="Z525" s="39"/>
      <c r="AA525" s="39"/>
      <c r="AB525" s="119">
        <f t="shared" si="627"/>
        <v>187</v>
      </c>
      <c r="AC525" s="39"/>
      <c r="AD525" s="39"/>
      <c r="AE525" s="39"/>
      <c r="AF525" s="39"/>
      <c r="AG525" s="39"/>
      <c r="AH525" s="39">
        <f t="shared" si="628"/>
        <v>0</v>
      </c>
      <c r="AI525" s="39"/>
      <c r="AJ525" s="39"/>
      <c r="AK525" s="39"/>
      <c r="AL525" s="39"/>
      <c r="AM525" s="39"/>
      <c r="AN525" s="39">
        <f t="shared" si="629"/>
        <v>0</v>
      </c>
      <c r="AO525" s="39"/>
      <c r="AP525" s="39"/>
      <c r="AQ525" s="39"/>
      <c r="AR525" s="39"/>
      <c r="AS525" s="39"/>
      <c r="AT525" s="39">
        <f t="shared" si="630"/>
        <v>0</v>
      </c>
      <c r="AU525" s="39"/>
      <c r="AV525" s="39"/>
      <c r="AW525" s="39"/>
      <c r="AX525" s="39"/>
      <c r="AY525" s="39"/>
      <c r="AZ525" s="39">
        <f t="shared" si="631"/>
        <v>0</v>
      </c>
      <c r="BA525" s="39"/>
      <c r="BB525" s="39"/>
      <c r="BC525" s="39"/>
      <c r="BD525" s="39"/>
      <c r="BE525" s="39"/>
      <c r="BF525" s="39">
        <f t="shared" si="632"/>
        <v>0</v>
      </c>
      <c r="BG525" s="39"/>
      <c r="BH525" s="39"/>
      <c r="BI525" s="39"/>
      <c r="BJ525" s="39"/>
      <c r="BK525" s="39"/>
      <c r="BL525" s="39">
        <f t="shared" si="633"/>
        <v>0</v>
      </c>
      <c r="BM525" s="54" t="str">
        <f t="shared" si="634"/>
        <v/>
      </c>
      <c r="BN525" s="66">
        <v>46188</v>
      </c>
      <c r="BO525" s="117">
        <v>46203</v>
      </c>
      <c r="BP525" s="39"/>
      <c r="BQ525" s="39"/>
      <c r="BR525" s="230"/>
      <c r="BS525" s="230"/>
      <c r="BT525" s="39">
        <v>1765</v>
      </c>
      <c r="BU525" s="39">
        <v>187</v>
      </c>
      <c r="BV525" s="39"/>
      <c r="BW525" s="39"/>
      <c r="BX525" s="39"/>
      <c r="BY525" s="39"/>
      <c r="BZ525" s="39">
        <f t="shared" ref="BZ525:BZ529" si="636">BU525+BW525+BY525</f>
        <v>187</v>
      </c>
      <c r="CA525" s="39">
        <f t="shared" ref="CA525:CA529" si="637">BU525-I525</f>
        <v>11</v>
      </c>
      <c r="CB525" s="39">
        <f t="shared" ref="CB525:CB529" si="638">BW525-J525</f>
        <v>0</v>
      </c>
      <c r="CC525" s="39">
        <f t="shared" ref="CC525:CC529" si="639">BY525-K525</f>
        <v>0</v>
      </c>
      <c r="CD525" s="39">
        <f t="shared" ref="CD525:CD529" si="640">SUMIF(CA525:CC525,"&lt;0")</f>
        <v>0</v>
      </c>
      <c r="CE525" s="47">
        <f t="shared" ref="CE525:CE529" si="641">CD525/L525</f>
        <v>0</v>
      </c>
      <c r="CF525" s="36"/>
      <c r="CG525" s="39" t="s">
        <v>415</v>
      </c>
      <c r="CH525" s="39"/>
      <c r="CI525" s="25">
        <v>2</v>
      </c>
    </row>
    <row r="526" spans="1:87" ht="24.75" customHeight="1">
      <c r="A526" s="36" t="s">
        <v>387</v>
      </c>
      <c r="B526" s="27"/>
      <c r="C526" s="36"/>
      <c r="D526" s="36"/>
      <c r="E526" s="39"/>
      <c r="F526" s="39"/>
      <c r="G526" s="36"/>
      <c r="H526" s="39"/>
      <c r="I526" s="39"/>
      <c r="J526" s="39"/>
      <c r="K526" s="39"/>
      <c r="L526" s="39">
        <f t="shared" si="635"/>
        <v>0</v>
      </c>
      <c r="M526" s="39"/>
      <c r="N526" s="39"/>
      <c r="O526" s="39"/>
      <c r="P526" s="39"/>
      <c r="Q526" s="39"/>
      <c r="R526" s="39">
        <f t="shared" ref="R526" si="642">SUM(O526:Q526)</f>
        <v>0</v>
      </c>
      <c r="S526" s="39"/>
      <c r="T526" s="39"/>
      <c r="U526" s="39"/>
      <c r="V526" s="39"/>
      <c r="W526" s="39"/>
      <c r="X526" s="39"/>
      <c r="Y526" s="39"/>
      <c r="Z526" s="39"/>
      <c r="AA526" s="39"/>
      <c r="AB526" s="39">
        <f t="shared" ref="AB526" si="643">SUM(Y526:AA526)</f>
        <v>0</v>
      </c>
      <c r="AC526" s="39"/>
      <c r="AD526" s="39"/>
      <c r="AE526" s="39"/>
      <c r="AF526" s="39"/>
      <c r="AG526" s="39"/>
      <c r="AH526" s="39">
        <f t="shared" ref="AH526:AH529" si="644">AG526-AE526</f>
        <v>0</v>
      </c>
      <c r="AI526" s="39"/>
      <c r="AJ526" s="39"/>
      <c r="AK526" s="39"/>
      <c r="AL526" s="39"/>
      <c r="AM526" s="39"/>
      <c r="AN526" s="39">
        <f t="shared" ref="AN526:AN529" si="645">AM526-AK526</f>
        <v>0</v>
      </c>
      <c r="AO526" s="39"/>
      <c r="AP526" s="39"/>
      <c r="AQ526" s="39"/>
      <c r="AR526" s="39"/>
      <c r="AS526" s="39"/>
      <c r="AT526" s="39">
        <f t="shared" ref="AT526:AT529" si="646">AS526-AQ526</f>
        <v>0</v>
      </c>
      <c r="AU526" s="39"/>
      <c r="AV526" s="39"/>
      <c r="AW526" s="39"/>
      <c r="AX526" s="39"/>
      <c r="AY526" s="39"/>
      <c r="AZ526" s="39">
        <f t="shared" ref="AZ526:AZ529" si="647">AY526-AW526</f>
        <v>0</v>
      </c>
      <c r="BA526" s="39"/>
      <c r="BB526" s="39"/>
      <c r="BC526" s="39"/>
      <c r="BD526" s="39"/>
      <c r="BE526" s="39"/>
      <c r="BF526" s="39">
        <f t="shared" ref="BF526:BF529" si="648">BE526-BC526</f>
        <v>0</v>
      </c>
      <c r="BG526" s="39"/>
      <c r="BH526" s="39"/>
      <c r="BI526" s="39"/>
      <c r="BJ526" s="39"/>
      <c r="BK526" s="39"/>
      <c r="BL526" s="39">
        <f t="shared" ref="BL526:BL529" si="649">BK526-BI526</f>
        <v>0</v>
      </c>
      <c r="BM526" s="54" t="e">
        <f t="shared" ref="BM526:BM529" si="650">IF((BZ526/L526)&lt;0.9,$CO$1-U526,"")</f>
        <v>#DIV/0!</v>
      </c>
      <c r="BN526" s="67"/>
      <c r="BO526" s="39"/>
      <c r="BP526" s="39"/>
      <c r="BQ526" s="39"/>
      <c r="BR526" s="40"/>
      <c r="BS526" s="40"/>
      <c r="BT526" s="39"/>
      <c r="BU526" s="39"/>
      <c r="BV526" s="39"/>
      <c r="BW526" s="39"/>
      <c r="BX526" s="39"/>
      <c r="BY526" s="39"/>
      <c r="BZ526" s="39">
        <f t="shared" si="636"/>
        <v>0</v>
      </c>
      <c r="CA526" s="39">
        <f t="shared" si="637"/>
        <v>0</v>
      </c>
      <c r="CB526" s="39">
        <f t="shared" si="638"/>
        <v>0</v>
      </c>
      <c r="CC526" s="39">
        <f t="shared" si="639"/>
        <v>0</v>
      </c>
      <c r="CD526" s="39">
        <f t="shared" si="640"/>
        <v>0</v>
      </c>
      <c r="CE526" s="47" t="e">
        <f t="shared" si="641"/>
        <v>#DIV/0!</v>
      </c>
      <c r="CF526" s="36"/>
      <c r="CG526" s="39"/>
      <c r="CH526" s="39"/>
      <c r="CI526" s="25">
        <v>2</v>
      </c>
    </row>
    <row r="527" spans="1:87" ht="24.75" customHeight="1">
      <c r="A527" s="36" t="s">
        <v>387</v>
      </c>
      <c r="B527" s="27"/>
      <c r="C527" s="36"/>
      <c r="D527" s="36"/>
      <c r="E527" s="39"/>
      <c r="F527" s="39"/>
      <c r="G527" s="36"/>
      <c r="H527" s="39"/>
      <c r="I527" s="39"/>
      <c r="J527" s="39"/>
      <c r="K527" s="39"/>
      <c r="L527" s="39">
        <f t="shared" si="635"/>
        <v>0</v>
      </c>
      <c r="M527" s="39"/>
      <c r="N527" s="39"/>
      <c r="O527" s="39"/>
      <c r="P527" s="39"/>
      <c r="Q527" s="39"/>
      <c r="R527" s="39">
        <f t="shared" ref="R527:R529" si="651">SUM(O527:Q527)</f>
        <v>0</v>
      </c>
      <c r="S527" s="39"/>
      <c r="T527" s="39"/>
      <c r="U527" s="39"/>
      <c r="V527" s="39"/>
      <c r="W527" s="39"/>
      <c r="X527" s="39"/>
      <c r="Y527" s="39"/>
      <c r="Z527" s="39"/>
      <c r="AA527" s="39"/>
      <c r="AB527" s="39">
        <f t="shared" ref="AB527:AB529" si="652">SUM(Y527:AA527)</f>
        <v>0</v>
      </c>
      <c r="AC527" s="39"/>
      <c r="AD527" s="39"/>
      <c r="AE527" s="39"/>
      <c r="AF527" s="39"/>
      <c r="AG527" s="39"/>
      <c r="AH527" s="39">
        <f t="shared" si="644"/>
        <v>0</v>
      </c>
      <c r="AI527" s="39"/>
      <c r="AJ527" s="39"/>
      <c r="AK527" s="39"/>
      <c r="AL527" s="39"/>
      <c r="AM527" s="39"/>
      <c r="AN527" s="39">
        <f t="shared" si="645"/>
        <v>0</v>
      </c>
      <c r="AO527" s="39"/>
      <c r="AP527" s="39"/>
      <c r="AQ527" s="39"/>
      <c r="AR527" s="39"/>
      <c r="AS527" s="39"/>
      <c r="AT527" s="39">
        <f t="shared" si="646"/>
        <v>0</v>
      </c>
      <c r="AU527" s="39"/>
      <c r="AV527" s="39"/>
      <c r="AW527" s="39"/>
      <c r="AX527" s="39"/>
      <c r="AY527" s="39"/>
      <c r="AZ527" s="39">
        <f t="shared" si="647"/>
        <v>0</v>
      </c>
      <c r="BA527" s="39"/>
      <c r="BB527" s="39"/>
      <c r="BC527" s="39"/>
      <c r="BD527" s="39"/>
      <c r="BE527" s="39"/>
      <c r="BF527" s="39">
        <f t="shared" si="648"/>
        <v>0</v>
      </c>
      <c r="BG527" s="39"/>
      <c r="BH527" s="39"/>
      <c r="BI527" s="39"/>
      <c r="BJ527" s="39"/>
      <c r="BK527" s="39"/>
      <c r="BL527" s="39">
        <f t="shared" si="649"/>
        <v>0</v>
      </c>
      <c r="BM527" s="54" t="e">
        <f t="shared" si="650"/>
        <v>#DIV/0!</v>
      </c>
      <c r="BN527" s="67"/>
      <c r="BO527" s="39"/>
      <c r="BP527" s="39"/>
      <c r="BQ527" s="39"/>
      <c r="BR527" s="40"/>
      <c r="BS527" s="40"/>
      <c r="BT527" s="39"/>
      <c r="BU527" s="39"/>
      <c r="BV527" s="39"/>
      <c r="BW527" s="39"/>
      <c r="BX527" s="39"/>
      <c r="BY527" s="39"/>
      <c r="BZ527" s="39">
        <f t="shared" si="636"/>
        <v>0</v>
      </c>
      <c r="CA527" s="39">
        <f t="shared" si="637"/>
        <v>0</v>
      </c>
      <c r="CB527" s="39">
        <f t="shared" si="638"/>
        <v>0</v>
      </c>
      <c r="CC527" s="39">
        <f t="shared" si="639"/>
        <v>0</v>
      </c>
      <c r="CD527" s="39">
        <f t="shared" si="640"/>
        <v>0</v>
      </c>
      <c r="CE527" s="47" t="e">
        <f t="shared" si="641"/>
        <v>#DIV/0!</v>
      </c>
      <c r="CF527" s="36"/>
      <c r="CG527" s="39"/>
      <c r="CH527" s="39"/>
      <c r="CI527" s="25">
        <v>2</v>
      </c>
    </row>
    <row r="528" spans="1:87" ht="24.75" customHeight="1">
      <c r="A528" s="36" t="s">
        <v>387</v>
      </c>
      <c r="B528" s="27"/>
      <c r="C528" s="36"/>
      <c r="D528" s="36"/>
      <c r="E528" s="39"/>
      <c r="F528" s="39"/>
      <c r="G528" s="36"/>
      <c r="H528" s="39"/>
      <c r="I528" s="39"/>
      <c r="J528" s="39"/>
      <c r="K528" s="39"/>
      <c r="L528" s="39">
        <f t="shared" si="635"/>
        <v>0</v>
      </c>
      <c r="M528" s="39"/>
      <c r="N528" s="39"/>
      <c r="O528" s="39"/>
      <c r="P528" s="39"/>
      <c r="Q528" s="39"/>
      <c r="R528" s="39">
        <f t="shared" si="651"/>
        <v>0</v>
      </c>
      <c r="S528" s="39"/>
      <c r="T528" s="39"/>
      <c r="U528" s="39"/>
      <c r="V528" s="39"/>
      <c r="W528" s="39"/>
      <c r="X528" s="39"/>
      <c r="Y528" s="39"/>
      <c r="Z528" s="39"/>
      <c r="AA528" s="39"/>
      <c r="AB528" s="39">
        <f t="shared" si="652"/>
        <v>0</v>
      </c>
      <c r="AC528" s="39"/>
      <c r="AD528" s="39"/>
      <c r="AE528" s="39"/>
      <c r="AF528" s="39"/>
      <c r="AG528" s="39"/>
      <c r="AH528" s="39">
        <f t="shared" si="644"/>
        <v>0</v>
      </c>
      <c r="AI528" s="39"/>
      <c r="AJ528" s="39"/>
      <c r="AK528" s="39"/>
      <c r="AL528" s="39"/>
      <c r="AM528" s="39"/>
      <c r="AN528" s="39">
        <f t="shared" si="645"/>
        <v>0</v>
      </c>
      <c r="AO528" s="39"/>
      <c r="AP528" s="39"/>
      <c r="AQ528" s="39"/>
      <c r="AR528" s="39"/>
      <c r="AS528" s="39"/>
      <c r="AT528" s="39">
        <f t="shared" si="646"/>
        <v>0</v>
      </c>
      <c r="AU528" s="39"/>
      <c r="AV528" s="39"/>
      <c r="AW528" s="39"/>
      <c r="AX528" s="39"/>
      <c r="AY528" s="39"/>
      <c r="AZ528" s="39">
        <f t="shared" si="647"/>
        <v>0</v>
      </c>
      <c r="BA528" s="39"/>
      <c r="BB528" s="39"/>
      <c r="BC528" s="39"/>
      <c r="BD528" s="39"/>
      <c r="BE528" s="39"/>
      <c r="BF528" s="39">
        <f t="shared" si="648"/>
        <v>0</v>
      </c>
      <c r="BG528" s="39"/>
      <c r="BH528" s="39"/>
      <c r="BI528" s="39"/>
      <c r="BJ528" s="39"/>
      <c r="BK528" s="39"/>
      <c r="BL528" s="39">
        <f t="shared" si="649"/>
        <v>0</v>
      </c>
      <c r="BM528" s="54" t="e">
        <f t="shared" si="650"/>
        <v>#DIV/0!</v>
      </c>
      <c r="BN528" s="67"/>
      <c r="BO528" s="39"/>
      <c r="BP528" s="39"/>
      <c r="BQ528" s="39"/>
      <c r="BR528" s="40"/>
      <c r="BS528" s="40"/>
      <c r="BT528" s="39"/>
      <c r="BU528" s="39"/>
      <c r="BV528" s="39"/>
      <c r="BW528" s="39"/>
      <c r="BX528" s="39"/>
      <c r="BY528" s="39"/>
      <c r="BZ528" s="39">
        <f t="shared" si="636"/>
        <v>0</v>
      </c>
      <c r="CA528" s="39">
        <f t="shared" si="637"/>
        <v>0</v>
      </c>
      <c r="CB528" s="39">
        <f t="shared" si="638"/>
        <v>0</v>
      </c>
      <c r="CC528" s="39">
        <f t="shared" si="639"/>
        <v>0</v>
      </c>
      <c r="CD528" s="39">
        <f t="shared" si="640"/>
        <v>0</v>
      </c>
      <c r="CE528" s="47" t="e">
        <f t="shared" si="641"/>
        <v>#DIV/0!</v>
      </c>
      <c r="CF528" s="36"/>
      <c r="CG528" s="39"/>
      <c r="CH528" s="39"/>
      <c r="CI528" s="25">
        <v>2</v>
      </c>
    </row>
    <row r="529" spans="1:87" ht="24.75" customHeight="1">
      <c r="A529" s="36" t="s">
        <v>387</v>
      </c>
      <c r="B529" s="27"/>
      <c r="C529" s="36"/>
      <c r="D529" s="36"/>
      <c r="E529" s="39"/>
      <c r="F529" s="39"/>
      <c r="G529" s="36"/>
      <c r="H529" s="39"/>
      <c r="I529" s="39"/>
      <c r="J529" s="39"/>
      <c r="K529" s="39"/>
      <c r="L529" s="39">
        <f t="shared" si="635"/>
        <v>0</v>
      </c>
      <c r="M529" s="39"/>
      <c r="N529" s="39"/>
      <c r="O529" s="39"/>
      <c r="P529" s="39"/>
      <c r="Q529" s="39"/>
      <c r="R529" s="39">
        <f t="shared" si="651"/>
        <v>0</v>
      </c>
      <c r="S529" s="39"/>
      <c r="T529" s="39"/>
      <c r="U529" s="39"/>
      <c r="V529" s="39"/>
      <c r="W529" s="39"/>
      <c r="X529" s="39"/>
      <c r="Y529" s="39"/>
      <c r="Z529" s="39"/>
      <c r="AA529" s="39"/>
      <c r="AB529" s="39">
        <f t="shared" si="652"/>
        <v>0</v>
      </c>
      <c r="AC529" s="39"/>
      <c r="AD529" s="39"/>
      <c r="AE529" s="39"/>
      <c r="AF529" s="39"/>
      <c r="AG529" s="39"/>
      <c r="AH529" s="39">
        <f t="shared" si="644"/>
        <v>0</v>
      </c>
      <c r="AI529" s="39"/>
      <c r="AJ529" s="39"/>
      <c r="AK529" s="39"/>
      <c r="AL529" s="39"/>
      <c r="AM529" s="39"/>
      <c r="AN529" s="39">
        <f t="shared" si="645"/>
        <v>0</v>
      </c>
      <c r="AO529" s="39"/>
      <c r="AP529" s="39"/>
      <c r="AQ529" s="39"/>
      <c r="AR529" s="39"/>
      <c r="AS529" s="39"/>
      <c r="AT529" s="39">
        <f t="shared" si="646"/>
        <v>0</v>
      </c>
      <c r="AU529" s="39"/>
      <c r="AV529" s="39"/>
      <c r="AW529" s="39"/>
      <c r="AX529" s="39"/>
      <c r="AY529" s="39"/>
      <c r="AZ529" s="39">
        <f t="shared" si="647"/>
        <v>0</v>
      </c>
      <c r="BA529" s="39"/>
      <c r="BB529" s="39"/>
      <c r="BC529" s="39"/>
      <c r="BD529" s="39"/>
      <c r="BE529" s="39"/>
      <c r="BF529" s="39">
        <f t="shared" si="648"/>
        <v>0</v>
      </c>
      <c r="BG529" s="39"/>
      <c r="BH529" s="39"/>
      <c r="BI529" s="39"/>
      <c r="BJ529" s="39"/>
      <c r="BK529" s="39"/>
      <c r="BL529" s="39">
        <f t="shared" si="649"/>
        <v>0</v>
      </c>
      <c r="BM529" s="54" t="e">
        <f t="shared" si="650"/>
        <v>#DIV/0!</v>
      </c>
      <c r="BN529" s="67"/>
      <c r="BO529" s="39"/>
      <c r="BP529" s="39"/>
      <c r="BQ529" s="39"/>
      <c r="BR529" s="40"/>
      <c r="BS529" s="40"/>
      <c r="BT529" s="39"/>
      <c r="BU529" s="39"/>
      <c r="BV529" s="39"/>
      <c r="BW529" s="39"/>
      <c r="BX529" s="39"/>
      <c r="BY529" s="39"/>
      <c r="BZ529" s="39">
        <f t="shared" si="636"/>
        <v>0</v>
      </c>
      <c r="CA529" s="39">
        <f t="shared" si="637"/>
        <v>0</v>
      </c>
      <c r="CB529" s="39">
        <f t="shared" si="638"/>
        <v>0</v>
      </c>
      <c r="CC529" s="39">
        <f t="shared" si="639"/>
        <v>0</v>
      </c>
      <c r="CD529" s="39">
        <f t="shared" si="640"/>
        <v>0</v>
      </c>
      <c r="CE529" s="47" t="e">
        <f t="shared" si="641"/>
        <v>#DIV/0!</v>
      </c>
      <c r="CF529" s="36"/>
      <c r="CG529" s="39"/>
      <c r="CH529" s="39"/>
      <c r="CI529" s="25">
        <v>2</v>
      </c>
    </row>
    <row r="530" spans="1:87" ht="24.75" customHeight="1">
      <c r="A530" s="36" t="s">
        <v>387</v>
      </c>
      <c r="B530" s="27"/>
      <c r="C530" s="36"/>
      <c r="D530" s="36"/>
      <c r="E530" s="39"/>
      <c r="F530" s="39"/>
      <c r="G530" s="36"/>
      <c r="H530" s="39"/>
      <c r="I530" s="39"/>
      <c r="J530" s="39"/>
      <c r="K530" s="39"/>
      <c r="L530" s="39">
        <f t="shared" si="610"/>
        <v>0</v>
      </c>
      <c r="M530" s="39"/>
      <c r="N530" s="39"/>
      <c r="O530" s="39"/>
      <c r="P530" s="39"/>
      <c r="Q530" s="39"/>
      <c r="R530" s="39">
        <f t="shared" ref="R530" si="653">SUM(O530:Q530)</f>
        <v>0</v>
      </c>
      <c r="S530" s="39"/>
      <c r="T530" s="39"/>
      <c r="U530" s="39"/>
      <c r="V530" s="39"/>
      <c r="W530" s="39"/>
      <c r="X530" s="39"/>
      <c r="Y530" s="39"/>
      <c r="Z530" s="39"/>
      <c r="AA530" s="39"/>
      <c r="AB530" s="39">
        <f t="shared" ref="AB530" si="654">SUM(Y530:AA530)</f>
        <v>0</v>
      </c>
      <c r="AC530" s="39"/>
      <c r="AD530" s="39"/>
      <c r="AE530" s="39"/>
      <c r="AF530" s="39"/>
      <c r="AG530" s="39"/>
      <c r="AH530" s="39">
        <f t="shared" si="613"/>
        <v>0</v>
      </c>
      <c r="AI530" s="39"/>
      <c r="AJ530" s="39"/>
      <c r="AK530" s="39"/>
      <c r="AL530" s="39"/>
      <c r="AM530" s="39"/>
      <c r="AN530" s="39">
        <f t="shared" si="614"/>
        <v>0</v>
      </c>
      <c r="AO530" s="39"/>
      <c r="AP530" s="39"/>
      <c r="AQ530" s="39"/>
      <c r="AR530" s="39"/>
      <c r="AS530" s="39"/>
      <c r="AT530" s="39">
        <f t="shared" si="615"/>
        <v>0</v>
      </c>
      <c r="AU530" s="39"/>
      <c r="AV530" s="39"/>
      <c r="AW530" s="39"/>
      <c r="AX530" s="39"/>
      <c r="AY530" s="39"/>
      <c r="AZ530" s="39">
        <f t="shared" si="616"/>
        <v>0</v>
      </c>
      <c r="BA530" s="39"/>
      <c r="BB530" s="39"/>
      <c r="BC530" s="39"/>
      <c r="BD530" s="39"/>
      <c r="BE530" s="39"/>
      <c r="BF530" s="39">
        <f t="shared" si="617"/>
        <v>0</v>
      </c>
      <c r="BG530" s="39"/>
      <c r="BH530" s="39"/>
      <c r="BI530" s="39"/>
      <c r="BJ530" s="39"/>
      <c r="BK530" s="39"/>
      <c r="BL530" s="39">
        <f t="shared" si="618"/>
        <v>0</v>
      </c>
      <c r="BM530" s="54" t="e">
        <f t="shared" si="619"/>
        <v>#DIV/0!</v>
      </c>
      <c r="BN530" s="67"/>
      <c r="BO530" s="39"/>
      <c r="BP530" s="39"/>
      <c r="BQ530" s="39"/>
      <c r="BR530" s="40"/>
      <c r="BS530" s="40"/>
      <c r="BT530" s="39"/>
      <c r="BU530" s="39"/>
      <c r="BV530" s="39"/>
      <c r="BW530" s="39"/>
      <c r="BX530" s="39"/>
      <c r="BY530" s="39"/>
      <c r="BZ530" s="39">
        <f t="shared" si="620"/>
        <v>0</v>
      </c>
      <c r="CA530" s="39">
        <f t="shared" si="621"/>
        <v>0</v>
      </c>
      <c r="CB530" s="39">
        <f t="shared" si="622"/>
        <v>0</v>
      </c>
      <c r="CC530" s="39">
        <f t="shared" si="623"/>
        <v>0</v>
      </c>
      <c r="CD530" s="39">
        <f t="shared" si="624"/>
        <v>0</v>
      </c>
      <c r="CE530" s="47" t="e">
        <f t="shared" si="625"/>
        <v>#DIV/0!</v>
      </c>
      <c r="CF530" s="36"/>
      <c r="CG530" s="39"/>
      <c r="CH530" s="39"/>
      <c r="CI530" s="25">
        <v>2</v>
      </c>
    </row>
    <row r="531" spans="1:87" ht="24.75" customHeight="1">
      <c r="A531" s="36" t="s">
        <v>387</v>
      </c>
      <c r="B531" s="27"/>
      <c r="C531" s="36"/>
      <c r="D531" s="36"/>
      <c r="E531" s="39"/>
      <c r="F531" s="39"/>
      <c r="G531" s="36"/>
      <c r="H531" s="39"/>
      <c r="I531" s="39"/>
      <c r="J531" s="39"/>
      <c r="K531" s="39"/>
      <c r="L531" s="39">
        <f t="shared" si="496"/>
        <v>0</v>
      </c>
      <c r="M531" s="39"/>
      <c r="N531" s="39"/>
      <c r="O531" s="39"/>
      <c r="P531" s="39"/>
      <c r="Q531" s="39"/>
      <c r="R531" s="39">
        <f>SUM(O531:Q531)</f>
        <v>0</v>
      </c>
      <c r="S531" s="39"/>
      <c r="T531" s="39"/>
      <c r="U531" s="39"/>
      <c r="V531" s="39"/>
      <c r="W531" s="39"/>
      <c r="X531" s="39"/>
      <c r="Y531" s="39"/>
      <c r="Z531" s="39"/>
      <c r="AA531" s="39"/>
      <c r="AB531" s="39">
        <f>SUM(Y531:AA531)</f>
        <v>0</v>
      </c>
      <c r="AC531" s="39"/>
      <c r="AD531" s="39"/>
      <c r="AE531" s="39"/>
      <c r="AF531" s="39"/>
      <c r="AG531" s="39"/>
      <c r="AH531" s="39">
        <f>AG531-AE531</f>
        <v>0</v>
      </c>
      <c r="AI531" s="39"/>
      <c r="AJ531" s="39"/>
      <c r="AK531" s="39"/>
      <c r="AL531" s="39"/>
      <c r="AM531" s="39"/>
      <c r="AN531" s="39">
        <f t="shared" si="405"/>
        <v>0</v>
      </c>
      <c r="AO531" s="39"/>
      <c r="AP531" s="39"/>
      <c r="AQ531" s="39"/>
      <c r="AR531" s="39"/>
      <c r="AS531" s="39"/>
      <c r="AT531" s="39">
        <f t="shared" si="462"/>
        <v>0</v>
      </c>
      <c r="AU531" s="39"/>
      <c r="AV531" s="39"/>
      <c r="AW531" s="39"/>
      <c r="AX531" s="39"/>
      <c r="AY531" s="39"/>
      <c r="AZ531" s="39">
        <f t="shared" si="463"/>
        <v>0</v>
      </c>
      <c r="BA531" s="39"/>
      <c r="BB531" s="39"/>
      <c r="BC531" s="39"/>
      <c r="BD531" s="39"/>
      <c r="BE531" s="39"/>
      <c r="BF531" s="39">
        <f t="shared" si="464"/>
        <v>0</v>
      </c>
      <c r="BG531" s="39"/>
      <c r="BH531" s="39"/>
      <c r="BI531" s="39"/>
      <c r="BJ531" s="39"/>
      <c r="BK531" s="39"/>
      <c r="BL531" s="39">
        <f>BK531-BI531</f>
        <v>0</v>
      </c>
      <c r="BM531" s="54" t="e">
        <f t="shared" si="466"/>
        <v>#DIV/0!</v>
      </c>
      <c r="BN531" s="67"/>
      <c r="BO531" s="39"/>
      <c r="BP531" s="39"/>
      <c r="BQ531" s="39"/>
      <c r="BR531" s="40"/>
      <c r="BS531" s="40"/>
      <c r="BT531" s="39"/>
      <c r="BU531" s="39"/>
      <c r="BV531" s="39"/>
      <c r="BW531" s="39"/>
      <c r="BX531" s="39"/>
      <c r="BY531" s="39"/>
      <c r="BZ531" s="39">
        <f>BU531+BW531+BY531</f>
        <v>0</v>
      </c>
      <c r="CA531" s="39">
        <f t="shared" si="468"/>
        <v>0</v>
      </c>
      <c r="CB531" s="39">
        <f t="shared" si="469"/>
        <v>0</v>
      </c>
      <c r="CC531" s="39">
        <f t="shared" si="470"/>
        <v>0</v>
      </c>
      <c r="CD531" s="39">
        <f t="shared" si="471"/>
        <v>0</v>
      </c>
      <c r="CE531" s="47" t="e">
        <f t="shared" si="472"/>
        <v>#DIV/0!</v>
      </c>
      <c r="CF531" s="36"/>
      <c r="CG531" s="39"/>
      <c r="CH531" s="39"/>
      <c r="CI531" s="25">
        <v>2</v>
      </c>
    </row>
    <row r="532" spans="1:87" ht="24.75" customHeight="1">
      <c r="A532" s="36" t="s">
        <v>387</v>
      </c>
      <c r="B532" s="27" t="s">
        <v>789</v>
      </c>
      <c r="C532" s="227">
        <v>15366301</v>
      </c>
      <c r="D532" s="36"/>
      <c r="E532" s="39">
        <v>140</v>
      </c>
      <c r="F532" s="39" t="s">
        <v>57</v>
      </c>
      <c r="G532" s="36" t="s">
        <v>23</v>
      </c>
      <c r="H532" s="36" t="s">
        <v>22</v>
      </c>
      <c r="I532" s="39">
        <v>200</v>
      </c>
      <c r="J532" s="39">
        <v>16</v>
      </c>
      <c r="K532" s="39"/>
      <c r="L532" s="39">
        <f t="shared" si="496"/>
        <v>216</v>
      </c>
      <c r="M532" s="117">
        <v>46183</v>
      </c>
      <c r="N532" s="117">
        <v>46189</v>
      </c>
      <c r="O532" s="39"/>
      <c r="P532" s="39"/>
      <c r="Q532" s="39"/>
      <c r="R532" s="39">
        <f t="shared" ref="R532:R533" si="655">SUM(O532:Q532)</f>
        <v>0</v>
      </c>
      <c r="S532" s="39" t="s">
        <v>100</v>
      </c>
      <c r="T532" s="39"/>
      <c r="U532" s="39"/>
      <c r="V532" s="117">
        <v>46186</v>
      </c>
      <c r="W532" s="39">
        <f>220+20</f>
        <v>240</v>
      </c>
      <c r="X532" s="117">
        <v>46198</v>
      </c>
      <c r="Y532" s="39">
        <v>198</v>
      </c>
      <c r="Z532" s="39">
        <v>18</v>
      </c>
      <c r="AA532" s="39"/>
      <c r="AB532" s="119">
        <f t="shared" ref="AB532:AB533" si="656">SUM(Y532:AA532)</f>
        <v>216</v>
      </c>
      <c r="AC532" s="39"/>
      <c r="AD532" s="39"/>
      <c r="AE532" s="39"/>
      <c r="AF532" s="39"/>
      <c r="AG532" s="39"/>
      <c r="AH532" s="39">
        <f t="shared" ref="AH532:AH549" si="657">AG532-AE532</f>
        <v>0</v>
      </c>
      <c r="AI532" s="39"/>
      <c r="AJ532" s="39"/>
      <c r="AK532" s="39"/>
      <c r="AL532" s="39"/>
      <c r="AM532" s="39"/>
      <c r="AN532" s="39">
        <f t="shared" si="405"/>
        <v>0</v>
      </c>
      <c r="AO532" s="39"/>
      <c r="AP532" s="39"/>
      <c r="AQ532" s="39"/>
      <c r="AR532" s="39"/>
      <c r="AS532" s="39"/>
      <c r="AT532" s="39">
        <f t="shared" si="462"/>
        <v>0</v>
      </c>
      <c r="AU532" s="39"/>
      <c r="AV532" s="39"/>
      <c r="AW532" s="39"/>
      <c r="AX532" s="39"/>
      <c r="AY532" s="39"/>
      <c r="AZ532" s="39">
        <f t="shared" si="463"/>
        <v>0</v>
      </c>
      <c r="BA532" s="39"/>
      <c r="BB532" s="39"/>
      <c r="BC532" s="39"/>
      <c r="BD532" s="39"/>
      <c r="BE532" s="39"/>
      <c r="BF532" s="39">
        <f t="shared" si="464"/>
        <v>0</v>
      </c>
      <c r="BG532" s="39"/>
      <c r="BH532" s="39"/>
      <c r="BI532" s="39"/>
      <c r="BJ532" s="39"/>
      <c r="BK532" s="39"/>
      <c r="BL532" s="39">
        <f t="shared" ref="BL532:BL549" si="658">BK532-BI532</f>
        <v>0</v>
      </c>
      <c r="BM532" s="54" t="str">
        <f t="shared" si="466"/>
        <v/>
      </c>
      <c r="BN532" s="60">
        <v>46196</v>
      </c>
      <c r="BO532" s="57">
        <v>46211</v>
      </c>
      <c r="BP532" s="36"/>
      <c r="BQ532" s="36"/>
      <c r="BR532" s="229">
        <v>46151</v>
      </c>
      <c r="BS532" s="229">
        <v>46198</v>
      </c>
      <c r="BT532" s="39">
        <v>1758</v>
      </c>
      <c r="BU532" s="39">
        <v>198</v>
      </c>
      <c r="BV532" s="39">
        <v>1758</v>
      </c>
      <c r="BW532" s="39">
        <v>18</v>
      </c>
      <c r="BX532" s="39"/>
      <c r="BY532" s="39"/>
      <c r="BZ532" s="39">
        <f t="shared" ref="BZ532:BZ549" si="659">BU532+BW532+BY532</f>
        <v>216</v>
      </c>
      <c r="CA532" s="39">
        <f t="shared" si="468"/>
        <v>-2</v>
      </c>
      <c r="CB532" s="39">
        <f t="shared" si="469"/>
        <v>2</v>
      </c>
      <c r="CC532" s="39">
        <f t="shared" si="470"/>
        <v>0</v>
      </c>
      <c r="CD532" s="39">
        <v>0</v>
      </c>
      <c r="CE532" s="102">
        <f t="shared" si="472"/>
        <v>0</v>
      </c>
      <c r="CF532" s="36" t="s">
        <v>249</v>
      </c>
      <c r="CG532" s="39" t="s">
        <v>222</v>
      </c>
      <c r="CH532" s="39"/>
      <c r="CI532" s="25">
        <v>3</v>
      </c>
    </row>
    <row r="533" spans="1:87" ht="24.75" customHeight="1">
      <c r="A533" s="36" t="s">
        <v>387</v>
      </c>
      <c r="B533" s="27" t="s">
        <v>789</v>
      </c>
      <c r="C533" s="228"/>
      <c r="D533" s="36"/>
      <c r="E533" s="39">
        <v>140</v>
      </c>
      <c r="F533" s="39" t="s">
        <v>57</v>
      </c>
      <c r="G533" s="36" t="s">
        <v>47</v>
      </c>
      <c r="H533" s="36" t="s">
        <v>22</v>
      </c>
      <c r="I533" s="39">
        <v>200</v>
      </c>
      <c r="J533" s="39">
        <v>16</v>
      </c>
      <c r="K533" s="39"/>
      <c r="L533" s="39">
        <f t="shared" si="496"/>
        <v>216</v>
      </c>
      <c r="M533" s="117">
        <v>46183</v>
      </c>
      <c r="N533" s="117">
        <v>46189</v>
      </c>
      <c r="O533" s="39"/>
      <c r="P533" s="39"/>
      <c r="Q533" s="39"/>
      <c r="R533" s="39">
        <f t="shared" si="655"/>
        <v>0</v>
      </c>
      <c r="S533" s="39" t="s">
        <v>130</v>
      </c>
      <c r="T533" s="39">
        <v>106758</v>
      </c>
      <c r="U533" s="117">
        <v>46179</v>
      </c>
      <c r="V533" s="39"/>
      <c r="W533" s="39"/>
      <c r="X533" s="39"/>
      <c r="Y533" s="39">
        <v>230</v>
      </c>
      <c r="Z533" s="39">
        <v>20</v>
      </c>
      <c r="AA533" s="39"/>
      <c r="AB533" s="119">
        <f t="shared" si="656"/>
        <v>250</v>
      </c>
      <c r="AC533" s="39"/>
      <c r="AD533" s="39"/>
      <c r="AE533" s="39"/>
      <c r="AF533" s="39"/>
      <c r="AG533" s="39"/>
      <c r="AH533" s="39">
        <f t="shared" si="657"/>
        <v>0</v>
      </c>
      <c r="AI533" s="39"/>
      <c r="AJ533" s="39"/>
      <c r="AK533" s="39"/>
      <c r="AL533" s="39"/>
      <c r="AM533" s="39"/>
      <c r="AN533" s="39">
        <f t="shared" si="405"/>
        <v>0</v>
      </c>
      <c r="AO533" s="39"/>
      <c r="AP533" s="39"/>
      <c r="AQ533" s="39"/>
      <c r="AR533" s="39"/>
      <c r="AS533" s="39"/>
      <c r="AT533" s="39">
        <f t="shared" si="462"/>
        <v>0</v>
      </c>
      <c r="AU533" s="39"/>
      <c r="AV533" s="39"/>
      <c r="AW533" s="39"/>
      <c r="AX533" s="39"/>
      <c r="AY533" s="39"/>
      <c r="AZ533" s="39">
        <f t="shared" si="463"/>
        <v>0</v>
      </c>
      <c r="BA533" s="39"/>
      <c r="BB533" s="39"/>
      <c r="BC533" s="39"/>
      <c r="BD533" s="39"/>
      <c r="BE533" s="39"/>
      <c r="BF533" s="39">
        <f t="shared" si="464"/>
        <v>0</v>
      </c>
      <c r="BG533" s="39"/>
      <c r="BH533" s="39"/>
      <c r="BI533" s="39"/>
      <c r="BJ533" s="39"/>
      <c r="BK533" s="39"/>
      <c r="BL533" s="39">
        <f t="shared" si="658"/>
        <v>0</v>
      </c>
      <c r="BM533" s="54" t="str">
        <f t="shared" si="466"/>
        <v/>
      </c>
      <c r="BN533" s="60">
        <v>46196</v>
      </c>
      <c r="BO533" s="57">
        <v>46211</v>
      </c>
      <c r="BP533" s="36"/>
      <c r="BQ533" s="36"/>
      <c r="BR533" s="230"/>
      <c r="BS533" s="230"/>
      <c r="BT533" s="39">
        <v>1671</v>
      </c>
      <c r="BU533" s="39">
        <v>203</v>
      </c>
      <c r="BV533" s="39">
        <v>1733</v>
      </c>
      <c r="BW533" s="39">
        <v>16</v>
      </c>
      <c r="BX533" s="39"/>
      <c r="BY533" s="39"/>
      <c r="BZ533" s="39">
        <f t="shared" si="659"/>
        <v>219</v>
      </c>
      <c r="CA533" s="39">
        <f t="shared" si="468"/>
        <v>3</v>
      </c>
      <c r="CB533" s="39">
        <f t="shared" si="469"/>
        <v>0</v>
      </c>
      <c r="CC533" s="39">
        <f t="shared" si="470"/>
        <v>0</v>
      </c>
      <c r="CD533" s="39">
        <f t="shared" si="471"/>
        <v>0</v>
      </c>
      <c r="CE533" s="102">
        <f t="shared" si="472"/>
        <v>0</v>
      </c>
      <c r="CF533" s="36" t="s">
        <v>249</v>
      </c>
      <c r="CG533" s="39" t="s">
        <v>222</v>
      </c>
      <c r="CH533" s="39" t="s">
        <v>973</v>
      </c>
      <c r="CI533" s="25">
        <v>3</v>
      </c>
    </row>
    <row r="534" spans="1:87" ht="24.75" customHeight="1">
      <c r="A534" s="36" t="s">
        <v>387</v>
      </c>
      <c r="B534" s="27">
        <v>47790</v>
      </c>
      <c r="C534" s="227">
        <v>15395038</v>
      </c>
      <c r="D534" s="36" t="s">
        <v>82</v>
      </c>
      <c r="E534" s="39">
        <v>200</v>
      </c>
      <c r="F534" s="39" t="s">
        <v>62</v>
      </c>
      <c r="G534" s="36" t="s">
        <v>769</v>
      </c>
      <c r="H534" s="39" t="s">
        <v>33</v>
      </c>
      <c r="I534" s="39">
        <v>246</v>
      </c>
      <c r="J534" s="39">
        <v>78</v>
      </c>
      <c r="K534" s="39"/>
      <c r="L534" s="39">
        <f t="shared" si="496"/>
        <v>324</v>
      </c>
      <c r="M534" s="117">
        <v>46183</v>
      </c>
      <c r="N534" s="117">
        <v>46193</v>
      </c>
      <c r="O534" s="39"/>
      <c r="P534" s="39"/>
      <c r="Q534" s="39"/>
      <c r="R534" s="39">
        <f t="shared" ref="R534:R549" si="660">SUM(O534:Q534)</f>
        <v>0</v>
      </c>
      <c r="S534" s="39" t="s">
        <v>100</v>
      </c>
      <c r="T534" s="39"/>
      <c r="U534" s="39"/>
      <c r="V534" s="117">
        <v>46202</v>
      </c>
      <c r="W534" s="39">
        <f>278+92</f>
        <v>370</v>
      </c>
      <c r="X534" s="117" t="s">
        <v>2179</v>
      </c>
      <c r="Y534" s="39">
        <v>266</v>
      </c>
      <c r="Z534" s="39">
        <v>86</v>
      </c>
      <c r="AA534" s="39"/>
      <c r="AB534" s="119">
        <f t="shared" ref="AB534:AB549" si="661">SUM(Y534:AA534)</f>
        <v>352</v>
      </c>
      <c r="AC534" s="39"/>
      <c r="AD534" s="39"/>
      <c r="AE534" s="39"/>
      <c r="AF534" s="39"/>
      <c r="AG534" s="39"/>
      <c r="AH534" s="39">
        <f t="shared" si="657"/>
        <v>0</v>
      </c>
      <c r="AI534" s="39"/>
      <c r="AJ534" s="39"/>
      <c r="AK534" s="39"/>
      <c r="AL534" s="39"/>
      <c r="AM534" s="39"/>
      <c r="AN534" s="39">
        <f t="shared" si="405"/>
        <v>0</v>
      </c>
      <c r="AO534" s="39" t="s">
        <v>280</v>
      </c>
      <c r="AP534" s="117">
        <v>46216</v>
      </c>
      <c r="AQ534" s="39">
        <v>266</v>
      </c>
      <c r="AR534" s="117">
        <v>46223</v>
      </c>
      <c r="AS534" s="39">
        <v>265</v>
      </c>
      <c r="AT534" s="39">
        <f t="shared" si="462"/>
        <v>-1</v>
      </c>
      <c r="AU534" s="39" t="s">
        <v>257</v>
      </c>
      <c r="AV534" s="117">
        <v>46225</v>
      </c>
      <c r="AW534" s="39">
        <v>265</v>
      </c>
      <c r="AX534" s="117">
        <v>46226</v>
      </c>
      <c r="AY534" s="39">
        <v>258</v>
      </c>
      <c r="AZ534" s="39">
        <f t="shared" si="463"/>
        <v>-7</v>
      </c>
      <c r="BA534" s="39"/>
      <c r="BB534" s="39"/>
      <c r="BC534" s="39"/>
      <c r="BD534" s="39"/>
      <c r="BE534" s="39"/>
      <c r="BF534" s="39">
        <f t="shared" si="464"/>
        <v>0</v>
      </c>
      <c r="BG534" s="39"/>
      <c r="BH534" s="39"/>
      <c r="BI534" s="39"/>
      <c r="BJ534" s="39"/>
      <c r="BK534" s="39"/>
      <c r="BL534" s="39">
        <f t="shared" si="658"/>
        <v>0</v>
      </c>
      <c r="BM534" s="54" t="str">
        <f t="shared" si="466"/>
        <v/>
      </c>
      <c r="BN534" s="60">
        <v>46198</v>
      </c>
      <c r="BO534" s="57">
        <v>46214</v>
      </c>
      <c r="BP534" s="36"/>
      <c r="BQ534" s="36"/>
      <c r="BR534" s="229">
        <v>46230</v>
      </c>
      <c r="BS534" s="229">
        <v>46242</v>
      </c>
      <c r="BT534" s="39" t="s">
        <v>2134</v>
      </c>
      <c r="BU534" s="39">
        <f>14+177+25+33</f>
        <v>249</v>
      </c>
      <c r="BV534" s="39">
        <v>1969</v>
      </c>
      <c r="BW534" s="39">
        <v>86</v>
      </c>
      <c r="BX534" s="39"/>
      <c r="BY534" s="39"/>
      <c r="BZ534" s="39">
        <f t="shared" si="659"/>
        <v>335</v>
      </c>
      <c r="CA534" s="39">
        <f t="shared" si="468"/>
        <v>3</v>
      </c>
      <c r="CB534" s="39">
        <f t="shared" si="469"/>
        <v>8</v>
      </c>
      <c r="CC534" s="39">
        <f t="shared" si="470"/>
        <v>0</v>
      </c>
      <c r="CD534" s="39">
        <f t="shared" si="471"/>
        <v>0</v>
      </c>
      <c r="CE534" s="102">
        <f t="shared" si="472"/>
        <v>0</v>
      </c>
      <c r="CF534" s="36" t="s">
        <v>249</v>
      </c>
      <c r="CG534" s="39" t="s">
        <v>222</v>
      </c>
      <c r="CH534" s="39"/>
      <c r="CI534" s="25">
        <v>3</v>
      </c>
    </row>
    <row r="535" spans="1:87" ht="24.75" customHeight="1">
      <c r="A535" s="36" t="s">
        <v>387</v>
      </c>
      <c r="B535" s="27">
        <v>47790</v>
      </c>
      <c r="C535" s="231"/>
      <c r="D535" s="36" t="s">
        <v>82</v>
      </c>
      <c r="E535" s="39">
        <v>200</v>
      </c>
      <c r="F535" s="39" t="s">
        <v>62</v>
      </c>
      <c r="G535" s="36" t="s">
        <v>881</v>
      </c>
      <c r="H535" s="39" t="s">
        <v>33</v>
      </c>
      <c r="I535" s="39">
        <v>246</v>
      </c>
      <c r="J535" s="39">
        <v>78</v>
      </c>
      <c r="K535" s="39"/>
      <c r="L535" s="39">
        <f t="shared" si="496"/>
        <v>324</v>
      </c>
      <c r="M535" s="117">
        <v>46183</v>
      </c>
      <c r="N535" s="117">
        <v>46193</v>
      </c>
      <c r="O535" s="39"/>
      <c r="P535" s="39"/>
      <c r="Q535" s="39"/>
      <c r="R535" s="39">
        <f t="shared" si="660"/>
        <v>0</v>
      </c>
      <c r="S535" s="39" t="s">
        <v>130</v>
      </c>
      <c r="T535" s="39">
        <v>107942</v>
      </c>
      <c r="U535" s="117">
        <v>46227</v>
      </c>
      <c r="V535" s="39"/>
      <c r="W535" s="39"/>
      <c r="X535" s="39"/>
      <c r="Y535" s="39">
        <v>290</v>
      </c>
      <c r="Z535" s="39">
        <v>92</v>
      </c>
      <c r="AA535" s="39"/>
      <c r="AB535" s="119">
        <f t="shared" si="661"/>
        <v>382</v>
      </c>
      <c r="AC535" s="39"/>
      <c r="AD535" s="39"/>
      <c r="AE535" s="39"/>
      <c r="AF535" s="39"/>
      <c r="AG535" s="39"/>
      <c r="AH535" s="39">
        <f t="shared" si="657"/>
        <v>0</v>
      </c>
      <c r="AI535" s="39"/>
      <c r="AJ535" s="39"/>
      <c r="AK535" s="39"/>
      <c r="AL535" s="39"/>
      <c r="AM535" s="39"/>
      <c r="AN535" s="39">
        <f t="shared" si="405"/>
        <v>0</v>
      </c>
      <c r="AO535" s="39" t="s">
        <v>257</v>
      </c>
      <c r="AP535" s="117">
        <v>46228</v>
      </c>
      <c r="AQ535" s="39">
        <v>272</v>
      </c>
      <c r="AR535" s="117">
        <v>46230</v>
      </c>
      <c r="AS535" s="39">
        <v>259</v>
      </c>
      <c r="AT535" s="39">
        <f t="shared" si="462"/>
        <v>-13</v>
      </c>
      <c r="AU535" s="39" t="s">
        <v>257</v>
      </c>
      <c r="AV535" s="117">
        <v>46228</v>
      </c>
      <c r="AW535" s="39">
        <v>272</v>
      </c>
      <c r="AX535" s="117">
        <v>46230</v>
      </c>
      <c r="AY535" s="39">
        <v>259</v>
      </c>
      <c r="AZ535" s="39">
        <f t="shared" si="463"/>
        <v>-13</v>
      </c>
      <c r="BA535" s="39"/>
      <c r="BB535" s="39"/>
      <c r="BC535" s="39"/>
      <c r="BD535" s="39"/>
      <c r="BE535" s="39"/>
      <c r="BF535" s="39">
        <f t="shared" si="464"/>
        <v>0</v>
      </c>
      <c r="BG535" s="39"/>
      <c r="BH535" s="39"/>
      <c r="BI535" s="39"/>
      <c r="BJ535" s="39"/>
      <c r="BK535" s="39"/>
      <c r="BL535" s="39">
        <f t="shared" si="658"/>
        <v>0</v>
      </c>
      <c r="BM535" s="54" t="str">
        <f t="shared" si="466"/>
        <v/>
      </c>
      <c r="BN535" s="60">
        <v>46198</v>
      </c>
      <c r="BO535" s="57">
        <v>46214</v>
      </c>
      <c r="BP535" s="36"/>
      <c r="BQ535" s="36"/>
      <c r="BR535" s="232"/>
      <c r="BS535" s="232"/>
      <c r="BT535" s="39">
        <v>1904</v>
      </c>
      <c r="BU535" s="39">
        <v>249</v>
      </c>
      <c r="BV535" s="39">
        <v>1916</v>
      </c>
      <c r="BW535" s="39">
        <v>82</v>
      </c>
      <c r="BX535" s="39"/>
      <c r="BY535" s="39"/>
      <c r="BZ535" s="39">
        <f t="shared" si="659"/>
        <v>331</v>
      </c>
      <c r="CA535" s="39">
        <f t="shared" si="468"/>
        <v>3</v>
      </c>
      <c r="CB535" s="39">
        <f t="shared" si="469"/>
        <v>4</v>
      </c>
      <c r="CC535" s="39">
        <f t="shared" si="470"/>
        <v>0</v>
      </c>
      <c r="CD535" s="39">
        <f t="shared" si="471"/>
        <v>0</v>
      </c>
      <c r="CE535" s="102">
        <f t="shared" si="472"/>
        <v>0</v>
      </c>
      <c r="CF535" s="36" t="s">
        <v>249</v>
      </c>
      <c r="CG535" s="39" t="s">
        <v>222</v>
      </c>
      <c r="CH535" s="39"/>
      <c r="CI535" s="25">
        <v>3</v>
      </c>
    </row>
    <row r="536" spans="1:87" ht="24.75" customHeight="1">
      <c r="A536" s="36" t="s">
        <v>387</v>
      </c>
      <c r="B536" s="27">
        <v>47790</v>
      </c>
      <c r="C536" s="231"/>
      <c r="D536" s="36" t="s">
        <v>82</v>
      </c>
      <c r="E536" s="39">
        <v>200</v>
      </c>
      <c r="F536" s="39" t="s">
        <v>62</v>
      </c>
      <c r="G536" s="36" t="s">
        <v>882</v>
      </c>
      <c r="H536" s="39" t="s">
        <v>33</v>
      </c>
      <c r="I536" s="39">
        <v>246</v>
      </c>
      <c r="J536" s="39">
        <v>78</v>
      </c>
      <c r="K536" s="39"/>
      <c r="L536" s="39">
        <f t="shared" si="496"/>
        <v>324</v>
      </c>
      <c r="M536" s="117">
        <v>46183</v>
      </c>
      <c r="N536" s="117">
        <v>46193</v>
      </c>
      <c r="O536" s="39"/>
      <c r="P536" s="39"/>
      <c r="Q536" s="39"/>
      <c r="R536" s="39">
        <f t="shared" si="660"/>
        <v>0</v>
      </c>
      <c r="S536" s="39" t="s">
        <v>130</v>
      </c>
      <c r="T536" s="39">
        <v>107998</v>
      </c>
      <c r="U536" s="117">
        <v>46228</v>
      </c>
      <c r="V536" s="39"/>
      <c r="W536" s="39"/>
      <c r="X536" s="39"/>
      <c r="Y536" s="39">
        <v>283</v>
      </c>
      <c r="Z536" s="39">
        <v>92</v>
      </c>
      <c r="AA536" s="39"/>
      <c r="AB536" s="119">
        <f t="shared" si="661"/>
        <v>375</v>
      </c>
      <c r="AC536" s="39"/>
      <c r="AD536" s="39"/>
      <c r="AE536" s="39"/>
      <c r="AF536" s="39"/>
      <c r="AG536" s="39"/>
      <c r="AH536" s="39">
        <f t="shared" si="657"/>
        <v>0</v>
      </c>
      <c r="AI536" s="39"/>
      <c r="AJ536" s="39"/>
      <c r="AK536" s="39"/>
      <c r="AL536" s="39"/>
      <c r="AM536" s="39"/>
      <c r="AN536" s="39">
        <f t="shared" si="405"/>
        <v>0</v>
      </c>
      <c r="AO536" s="39" t="s">
        <v>257</v>
      </c>
      <c r="AP536" s="117">
        <v>46228</v>
      </c>
      <c r="AQ536" s="39">
        <v>274</v>
      </c>
      <c r="AR536" s="117">
        <v>46230</v>
      </c>
      <c r="AS536" s="39">
        <v>266</v>
      </c>
      <c r="AT536" s="39">
        <f t="shared" si="462"/>
        <v>-8</v>
      </c>
      <c r="AU536" s="39" t="s">
        <v>257</v>
      </c>
      <c r="AV536" s="117">
        <v>46228</v>
      </c>
      <c r="AW536" s="39">
        <v>274</v>
      </c>
      <c r="AX536" s="117">
        <v>46230</v>
      </c>
      <c r="AY536" s="39">
        <v>266</v>
      </c>
      <c r="AZ536" s="39">
        <f t="shared" si="463"/>
        <v>-8</v>
      </c>
      <c r="BA536" s="39"/>
      <c r="BB536" s="39"/>
      <c r="BC536" s="39"/>
      <c r="BD536" s="39"/>
      <c r="BE536" s="39"/>
      <c r="BF536" s="39">
        <f t="shared" si="464"/>
        <v>0</v>
      </c>
      <c r="BG536" s="39"/>
      <c r="BH536" s="39"/>
      <c r="BI536" s="39"/>
      <c r="BJ536" s="39"/>
      <c r="BK536" s="39"/>
      <c r="BL536" s="39">
        <f t="shared" si="658"/>
        <v>0</v>
      </c>
      <c r="BM536" s="54" t="str">
        <f t="shared" si="466"/>
        <v/>
      </c>
      <c r="BN536" s="60">
        <v>46198</v>
      </c>
      <c r="BO536" s="57">
        <v>46214</v>
      </c>
      <c r="BP536" s="36"/>
      <c r="BQ536" s="36"/>
      <c r="BR536" s="232"/>
      <c r="BS536" s="232"/>
      <c r="BT536" s="39">
        <v>1912</v>
      </c>
      <c r="BU536" s="39">
        <v>263</v>
      </c>
      <c r="BV536" s="39">
        <v>1929</v>
      </c>
      <c r="BW536" s="39">
        <v>83</v>
      </c>
      <c r="BX536" s="39"/>
      <c r="BY536" s="39"/>
      <c r="BZ536" s="39">
        <f t="shared" si="659"/>
        <v>346</v>
      </c>
      <c r="CA536" s="39">
        <f t="shared" si="468"/>
        <v>17</v>
      </c>
      <c r="CB536" s="39">
        <f t="shared" si="469"/>
        <v>5</v>
      </c>
      <c r="CC536" s="39">
        <f t="shared" si="470"/>
        <v>0</v>
      </c>
      <c r="CD536" s="39">
        <f t="shared" si="471"/>
        <v>0</v>
      </c>
      <c r="CE536" s="102">
        <f t="shared" si="472"/>
        <v>0</v>
      </c>
      <c r="CF536" s="36" t="s">
        <v>249</v>
      </c>
      <c r="CG536" s="39" t="s">
        <v>222</v>
      </c>
      <c r="CH536" s="39"/>
      <c r="CI536" s="25">
        <v>3</v>
      </c>
    </row>
    <row r="537" spans="1:87" ht="24.75" customHeight="1">
      <c r="A537" s="36" t="s">
        <v>387</v>
      </c>
      <c r="B537" s="27">
        <v>47790</v>
      </c>
      <c r="C537" s="231"/>
      <c r="D537" s="36" t="s">
        <v>82</v>
      </c>
      <c r="E537" s="39">
        <v>200</v>
      </c>
      <c r="F537" s="39" t="s">
        <v>62</v>
      </c>
      <c r="G537" s="36" t="s">
        <v>883</v>
      </c>
      <c r="H537" s="39" t="s">
        <v>33</v>
      </c>
      <c r="I537" s="39">
        <v>246</v>
      </c>
      <c r="J537" s="39">
        <v>78</v>
      </c>
      <c r="K537" s="39"/>
      <c r="L537" s="39">
        <f t="shared" si="496"/>
        <v>324</v>
      </c>
      <c r="M537" s="117">
        <v>46183</v>
      </c>
      <c r="N537" s="117">
        <v>46193</v>
      </c>
      <c r="O537" s="39"/>
      <c r="P537" s="39"/>
      <c r="Q537" s="39"/>
      <c r="R537" s="39">
        <f t="shared" si="660"/>
        <v>0</v>
      </c>
      <c r="S537" s="39" t="s">
        <v>130</v>
      </c>
      <c r="T537" s="39">
        <v>108102</v>
      </c>
      <c r="U537" s="117">
        <v>46230</v>
      </c>
      <c r="V537" s="39"/>
      <c r="W537" s="39"/>
      <c r="X537" s="39"/>
      <c r="Y537" s="39">
        <v>276</v>
      </c>
      <c r="Z537" s="39">
        <v>92</v>
      </c>
      <c r="AA537" s="39"/>
      <c r="AB537" s="119">
        <f t="shared" si="661"/>
        <v>368</v>
      </c>
      <c r="AC537" s="39"/>
      <c r="AD537" s="39"/>
      <c r="AE537" s="39"/>
      <c r="AF537" s="39"/>
      <c r="AG537" s="39"/>
      <c r="AH537" s="39">
        <f t="shared" si="657"/>
        <v>0</v>
      </c>
      <c r="AI537" s="39"/>
      <c r="AJ537" s="39"/>
      <c r="AK537" s="39"/>
      <c r="AL537" s="39"/>
      <c r="AM537" s="39"/>
      <c r="AN537" s="39">
        <f t="shared" si="405"/>
        <v>0</v>
      </c>
      <c r="AO537" s="39" t="s">
        <v>257</v>
      </c>
      <c r="AP537" s="117">
        <v>46232</v>
      </c>
      <c r="AQ537" s="39">
        <v>258</v>
      </c>
      <c r="AR537" s="117">
        <v>46232</v>
      </c>
      <c r="AS537" s="39">
        <v>254</v>
      </c>
      <c r="AT537" s="39">
        <f t="shared" si="462"/>
        <v>-4</v>
      </c>
      <c r="AU537" s="39" t="s">
        <v>257</v>
      </c>
      <c r="AV537" s="117">
        <v>46232</v>
      </c>
      <c r="AW537" s="39">
        <v>258</v>
      </c>
      <c r="AX537" s="117">
        <v>46232</v>
      </c>
      <c r="AY537" s="39">
        <v>254</v>
      </c>
      <c r="AZ537" s="39">
        <f t="shared" si="463"/>
        <v>-4</v>
      </c>
      <c r="BA537" s="39"/>
      <c r="BB537" s="39"/>
      <c r="BC537" s="39"/>
      <c r="BD537" s="39"/>
      <c r="BE537" s="39"/>
      <c r="BF537" s="39">
        <f t="shared" si="464"/>
        <v>0</v>
      </c>
      <c r="BG537" s="39" t="s">
        <v>28</v>
      </c>
      <c r="BH537" s="117">
        <v>46230</v>
      </c>
      <c r="BI537" s="39">
        <f>264+89</f>
        <v>353</v>
      </c>
      <c r="BJ537" s="117">
        <v>46232</v>
      </c>
      <c r="BK537" s="39">
        <f>257+87</f>
        <v>344</v>
      </c>
      <c r="BL537" s="39">
        <f t="shared" si="658"/>
        <v>-9</v>
      </c>
      <c r="BM537" s="54" t="str">
        <f t="shared" si="466"/>
        <v/>
      </c>
      <c r="BN537" s="60">
        <v>46198</v>
      </c>
      <c r="BO537" s="57">
        <v>46214</v>
      </c>
      <c r="BP537" s="36"/>
      <c r="BQ537" s="36"/>
      <c r="BR537" s="232"/>
      <c r="BS537" s="232"/>
      <c r="BT537" s="39" t="s">
        <v>2133</v>
      </c>
      <c r="BU537" s="39">
        <f>202+45</f>
        <v>247</v>
      </c>
      <c r="BV537" s="39">
        <v>1947</v>
      </c>
      <c r="BW537" s="39">
        <v>84</v>
      </c>
      <c r="BX537" s="39"/>
      <c r="BY537" s="39"/>
      <c r="BZ537" s="39">
        <f t="shared" si="659"/>
        <v>331</v>
      </c>
      <c r="CA537" s="39">
        <f t="shared" si="468"/>
        <v>1</v>
      </c>
      <c r="CB537" s="39">
        <f t="shared" si="469"/>
        <v>6</v>
      </c>
      <c r="CC537" s="39">
        <f t="shared" si="470"/>
        <v>0</v>
      </c>
      <c r="CD537" s="39">
        <f t="shared" si="471"/>
        <v>0</v>
      </c>
      <c r="CE537" s="102">
        <f t="shared" si="472"/>
        <v>0</v>
      </c>
      <c r="CF537" s="36" t="s">
        <v>249</v>
      </c>
      <c r="CG537" s="39" t="s">
        <v>222</v>
      </c>
      <c r="CH537" s="39" t="s">
        <v>2051</v>
      </c>
      <c r="CI537" s="25">
        <v>3</v>
      </c>
    </row>
    <row r="538" spans="1:87" ht="24.75" customHeight="1">
      <c r="A538" s="36" t="s">
        <v>387</v>
      </c>
      <c r="B538" s="27">
        <v>47790</v>
      </c>
      <c r="C538" s="231"/>
      <c r="D538" s="36" t="s">
        <v>82</v>
      </c>
      <c r="E538" s="39">
        <v>200</v>
      </c>
      <c r="F538" s="39" t="s">
        <v>62</v>
      </c>
      <c r="G538" s="36" t="s">
        <v>884</v>
      </c>
      <c r="H538" s="39" t="s">
        <v>33</v>
      </c>
      <c r="I538" s="39">
        <v>246</v>
      </c>
      <c r="J538" s="39">
        <v>78</v>
      </c>
      <c r="K538" s="39"/>
      <c r="L538" s="39">
        <f t="shared" si="496"/>
        <v>324</v>
      </c>
      <c r="M538" s="117">
        <v>46183</v>
      </c>
      <c r="N538" s="117">
        <v>46193</v>
      </c>
      <c r="O538" s="39"/>
      <c r="P538" s="39"/>
      <c r="Q538" s="39"/>
      <c r="R538" s="39">
        <f t="shared" si="660"/>
        <v>0</v>
      </c>
      <c r="S538" s="39" t="s">
        <v>130</v>
      </c>
      <c r="T538" s="39">
        <v>107997</v>
      </c>
      <c r="U538" s="117">
        <v>46228</v>
      </c>
      <c r="V538" s="39"/>
      <c r="W538" s="39"/>
      <c r="X538" s="39"/>
      <c r="Y538" s="39">
        <v>285</v>
      </c>
      <c r="Z538" s="39">
        <v>91</v>
      </c>
      <c r="AA538" s="39"/>
      <c r="AB538" s="119">
        <f t="shared" si="661"/>
        <v>376</v>
      </c>
      <c r="AC538" s="39"/>
      <c r="AD538" s="39"/>
      <c r="AE538" s="39"/>
      <c r="AF538" s="39"/>
      <c r="AG538" s="39"/>
      <c r="AH538" s="39">
        <f t="shared" si="657"/>
        <v>0</v>
      </c>
      <c r="AI538" s="39"/>
      <c r="AJ538" s="39"/>
      <c r="AK538" s="39"/>
      <c r="AL538" s="39"/>
      <c r="AM538" s="39"/>
      <c r="AN538" s="39">
        <f t="shared" si="405"/>
        <v>0</v>
      </c>
      <c r="AO538" s="39" t="s">
        <v>257</v>
      </c>
      <c r="AP538" s="117">
        <v>46228</v>
      </c>
      <c r="AQ538" s="39">
        <v>271</v>
      </c>
      <c r="AR538" s="117">
        <v>46230</v>
      </c>
      <c r="AS538" s="39">
        <v>265</v>
      </c>
      <c r="AT538" s="39">
        <f t="shared" si="462"/>
        <v>-6</v>
      </c>
      <c r="AU538" s="39" t="s">
        <v>257</v>
      </c>
      <c r="AV538" s="117">
        <v>46228</v>
      </c>
      <c r="AW538" s="39">
        <v>271</v>
      </c>
      <c r="AX538" s="117">
        <v>46230</v>
      </c>
      <c r="AY538" s="39">
        <v>265</v>
      </c>
      <c r="AZ538" s="39">
        <f t="shared" si="463"/>
        <v>-6</v>
      </c>
      <c r="BA538" s="39"/>
      <c r="BB538" s="39"/>
      <c r="BC538" s="39"/>
      <c r="BD538" s="39"/>
      <c r="BE538" s="39"/>
      <c r="BF538" s="39">
        <f t="shared" si="464"/>
        <v>0</v>
      </c>
      <c r="BG538" s="39"/>
      <c r="BH538" s="39"/>
      <c r="BI538" s="39"/>
      <c r="BJ538" s="39"/>
      <c r="BK538" s="39"/>
      <c r="BL538" s="39">
        <f t="shared" si="658"/>
        <v>0</v>
      </c>
      <c r="BM538" s="54" t="str">
        <f t="shared" si="466"/>
        <v/>
      </c>
      <c r="BN538" s="60">
        <v>46198</v>
      </c>
      <c r="BO538" s="57">
        <v>46214</v>
      </c>
      <c r="BP538" s="36"/>
      <c r="BQ538" s="36"/>
      <c r="BR538" s="232"/>
      <c r="BS538" s="232"/>
      <c r="BT538" s="39">
        <v>1904</v>
      </c>
      <c r="BU538" s="39">
        <v>260</v>
      </c>
      <c r="BV538" s="39">
        <v>1929</v>
      </c>
      <c r="BW538" s="39">
        <v>85</v>
      </c>
      <c r="BX538" s="39"/>
      <c r="BY538" s="39"/>
      <c r="BZ538" s="39">
        <f t="shared" si="659"/>
        <v>345</v>
      </c>
      <c r="CA538" s="39">
        <f t="shared" si="468"/>
        <v>14</v>
      </c>
      <c r="CB538" s="39">
        <f t="shared" si="469"/>
        <v>7</v>
      </c>
      <c r="CC538" s="39">
        <f t="shared" si="470"/>
        <v>0</v>
      </c>
      <c r="CD538" s="39">
        <f t="shared" si="471"/>
        <v>0</v>
      </c>
      <c r="CE538" s="102">
        <f t="shared" si="472"/>
        <v>0</v>
      </c>
      <c r="CF538" s="36" t="s">
        <v>249</v>
      </c>
      <c r="CG538" s="39" t="s">
        <v>222</v>
      </c>
      <c r="CH538" s="39"/>
      <c r="CI538" s="25">
        <v>3</v>
      </c>
    </row>
    <row r="539" spans="1:87" ht="24.75" customHeight="1">
      <c r="A539" s="36" t="s">
        <v>387</v>
      </c>
      <c r="B539" s="27">
        <v>47790</v>
      </c>
      <c r="C539" s="231"/>
      <c r="D539" s="36" t="s">
        <v>82</v>
      </c>
      <c r="E539" s="39">
        <v>200</v>
      </c>
      <c r="F539" s="39" t="s">
        <v>62</v>
      </c>
      <c r="G539" s="36" t="s">
        <v>668</v>
      </c>
      <c r="H539" s="39" t="s">
        <v>33</v>
      </c>
      <c r="I539" s="39">
        <v>246</v>
      </c>
      <c r="J539" s="39">
        <v>78</v>
      </c>
      <c r="K539" s="39"/>
      <c r="L539" s="39">
        <f t="shared" si="496"/>
        <v>324</v>
      </c>
      <c r="M539" s="117">
        <v>46183</v>
      </c>
      <c r="N539" s="117">
        <v>46193</v>
      </c>
      <c r="O539" s="39"/>
      <c r="P539" s="39"/>
      <c r="Q539" s="39"/>
      <c r="R539" s="39">
        <f t="shared" si="660"/>
        <v>0</v>
      </c>
      <c r="S539" s="39" t="s">
        <v>130</v>
      </c>
      <c r="T539" s="39">
        <v>108018</v>
      </c>
      <c r="U539" s="117">
        <v>46229</v>
      </c>
      <c r="V539" s="39"/>
      <c r="W539" s="39"/>
      <c r="X539" s="39"/>
      <c r="Y539" s="39">
        <v>285</v>
      </c>
      <c r="Z539" s="39">
        <v>90</v>
      </c>
      <c r="AA539" s="39"/>
      <c r="AB539" s="119">
        <f t="shared" si="661"/>
        <v>375</v>
      </c>
      <c r="AC539" s="39"/>
      <c r="AD539" s="39"/>
      <c r="AE539" s="39"/>
      <c r="AF539" s="39"/>
      <c r="AG539" s="39"/>
      <c r="AH539" s="39">
        <f t="shared" si="657"/>
        <v>0</v>
      </c>
      <c r="AI539" s="39"/>
      <c r="AJ539" s="39"/>
      <c r="AK539" s="39"/>
      <c r="AL539" s="39"/>
      <c r="AM539" s="39"/>
      <c r="AN539" s="39">
        <f t="shared" si="405"/>
        <v>0</v>
      </c>
      <c r="AO539" s="39" t="s">
        <v>257</v>
      </c>
      <c r="AP539" s="117">
        <v>46232</v>
      </c>
      <c r="AQ539" s="39">
        <v>265</v>
      </c>
      <c r="AR539" s="117">
        <v>46232</v>
      </c>
      <c r="AS539" s="39">
        <v>261</v>
      </c>
      <c r="AT539" s="39">
        <f t="shared" si="462"/>
        <v>-4</v>
      </c>
      <c r="AU539" s="39" t="s">
        <v>257</v>
      </c>
      <c r="AV539" s="117">
        <v>46232</v>
      </c>
      <c r="AW539" s="39">
        <v>265</v>
      </c>
      <c r="AX539" s="117">
        <v>46232</v>
      </c>
      <c r="AY539" s="39">
        <v>261</v>
      </c>
      <c r="AZ539" s="39">
        <f t="shared" si="463"/>
        <v>-4</v>
      </c>
      <c r="BA539" s="39"/>
      <c r="BB539" s="39"/>
      <c r="BC539" s="39"/>
      <c r="BD539" s="39"/>
      <c r="BE539" s="39"/>
      <c r="BF539" s="39">
        <f t="shared" si="464"/>
        <v>0</v>
      </c>
      <c r="BG539" s="39" t="s">
        <v>28</v>
      </c>
      <c r="BH539" s="117">
        <v>46230</v>
      </c>
      <c r="BI539" s="39">
        <f>272+85</f>
        <v>357</v>
      </c>
      <c r="BJ539" s="117" t="s">
        <v>2046</v>
      </c>
      <c r="BK539" s="39">
        <f>264+89</f>
        <v>353</v>
      </c>
      <c r="BL539" s="39">
        <f t="shared" si="658"/>
        <v>-4</v>
      </c>
      <c r="BM539" s="54" t="str">
        <f t="shared" si="466"/>
        <v/>
      </c>
      <c r="BN539" s="60">
        <v>46198</v>
      </c>
      <c r="BO539" s="57">
        <v>46214</v>
      </c>
      <c r="BP539" s="36"/>
      <c r="BQ539" s="36"/>
      <c r="BR539" s="232"/>
      <c r="BS539" s="232"/>
      <c r="BT539" s="39">
        <v>1919</v>
      </c>
      <c r="BU539" s="39">
        <v>258</v>
      </c>
      <c r="BV539" s="39">
        <v>1948</v>
      </c>
      <c r="BW539" s="39">
        <v>88</v>
      </c>
      <c r="BX539" s="39"/>
      <c r="BY539" s="39"/>
      <c r="BZ539" s="39">
        <f t="shared" si="659"/>
        <v>346</v>
      </c>
      <c r="CA539" s="39">
        <f t="shared" si="468"/>
        <v>12</v>
      </c>
      <c r="CB539" s="39">
        <f t="shared" si="469"/>
        <v>10</v>
      </c>
      <c r="CC539" s="39">
        <f t="shared" si="470"/>
        <v>0</v>
      </c>
      <c r="CD539" s="39">
        <f t="shared" si="471"/>
        <v>0</v>
      </c>
      <c r="CE539" s="102">
        <f t="shared" si="472"/>
        <v>0</v>
      </c>
      <c r="CF539" s="36" t="s">
        <v>249</v>
      </c>
      <c r="CG539" s="39" t="s">
        <v>222</v>
      </c>
      <c r="CH539" s="39"/>
      <c r="CI539" s="25">
        <v>3</v>
      </c>
    </row>
    <row r="540" spans="1:87" ht="24.75" customHeight="1">
      <c r="A540" s="36" t="s">
        <v>387</v>
      </c>
      <c r="B540" s="27">
        <v>47790</v>
      </c>
      <c r="C540" s="228"/>
      <c r="D540" s="36"/>
      <c r="E540" s="39"/>
      <c r="F540" s="39"/>
      <c r="G540" s="36" t="s">
        <v>92</v>
      </c>
      <c r="H540" s="39">
        <f>350+350+350+350+350+350</f>
        <v>2100</v>
      </c>
      <c r="I540" s="39" t="s">
        <v>90</v>
      </c>
      <c r="J540" s="39"/>
      <c r="K540" s="39"/>
      <c r="L540" s="39">
        <f t="shared" si="496"/>
        <v>0</v>
      </c>
      <c r="M540" s="117">
        <v>46183</v>
      </c>
      <c r="N540" s="117">
        <v>46193</v>
      </c>
      <c r="O540" s="39"/>
      <c r="P540" s="39"/>
      <c r="Q540" s="39"/>
      <c r="R540" s="39">
        <f t="shared" si="660"/>
        <v>0</v>
      </c>
      <c r="S540" s="39" t="s">
        <v>130</v>
      </c>
      <c r="T540" s="39" t="s">
        <v>1999</v>
      </c>
      <c r="U540" s="117" t="s">
        <v>2000</v>
      </c>
      <c r="V540" s="117">
        <v>46202</v>
      </c>
      <c r="W540" s="39">
        <f>3</f>
        <v>3</v>
      </c>
      <c r="X540" s="117">
        <v>46217</v>
      </c>
      <c r="Y540" s="39">
        <f>3+3+3+3+4+3</f>
        <v>19</v>
      </c>
      <c r="Z540" s="39"/>
      <c r="AA540" s="39"/>
      <c r="AB540" s="39">
        <f t="shared" si="661"/>
        <v>19</v>
      </c>
      <c r="AC540" s="39"/>
      <c r="AD540" s="39"/>
      <c r="AE540" s="39"/>
      <c r="AF540" s="39"/>
      <c r="AG540" s="39"/>
      <c r="AH540" s="39">
        <f t="shared" si="657"/>
        <v>0</v>
      </c>
      <c r="AI540" s="39"/>
      <c r="AJ540" s="39"/>
      <c r="AK540" s="39"/>
      <c r="AL540" s="39"/>
      <c r="AM540" s="39"/>
      <c r="AN540" s="39">
        <f t="shared" si="405"/>
        <v>0</v>
      </c>
      <c r="AO540" s="39"/>
      <c r="AP540" s="39"/>
      <c r="AQ540" s="39"/>
      <c r="AR540" s="39"/>
      <c r="AS540" s="39"/>
      <c r="AT540" s="39">
        <f t="shared" si="462"/>
        <v>0</v>
      </c>
      <c r="AU540" s="39"/>
      <c r="AV540" s="39"/>
      <c r="AW540" s="39"/>
      <c r="AX540" s="39"/>
      <c r="AY540" s="39"/>
      <c r="AZ540" s="39">
        <f t="shared" si="463"/>
        <v>0</v>
      </c>
      <c r="BA540" s="39"/>
      <c r="BB540" s="39"/>
      <c r="BC540" s="39"/>
      <c r="BD540" s="39"/>
      <c r="BE540" s="39"/>
      <c r="BF540" s="39">
        <f t="shared" si="464"/>
        <v>0</v>
      </c>
      <c r="BG540" s="39"/>
      <c r="BH540" s="39"/>
      <c r="BI540" s="39"/>
      <c r="BJ540" s="39"/>
      <c r="BK540" s="39"/>
      <c r="BL540" s="39">
        <f t="shared" si="658"/>
        <v>0</v>
      </c>
      <c r="BM540" s="54" t="e">
        <f t="shared" si="466"/>
        <v>#DIV/0!</v>
      </c>
      <c r="BN540" s="60">
        <v>46198</v>
      </c>
      <c r="BO540" s="57">
        <v>46214</v>
      </c>
      <c r="BP540" s="36"/>
      <c r="BQ540" s="36"/>
      <c r="BR540" s="230"/>
      <c r="BS540" s="230"/>
      <c r="BT540" s="39" t="s">
        <v>2084</v>
      </c>
      <c r="BU540" s="39"/>
      <c r="BV540" s="39"/>
      <c r="BW540" s="39"/>
      <c r="BX540" s="39"/>
      <c r="BY540" s="39"/>
      <c r="BZ540" s="39">
        <f t="shared" si="659"/>
        <v>0</v>
      </c>
      <c r="CA540" s="39" t="e">
        <f t="shared" si="468"/>
        <v>#VALUE!</v>
      </c>
      <c r="CB540" s="39">
        <f t="shared" si="469"/>
        <v>0</v>
      </c>
      <c r="CC540" s="39">
        <f t="shared" si="470"/>
        <v>0</v>
      </c>
      <c r="CD540" s="39">
        <f t="shared" si="471"/>
        <v>0</v>
      </c>
      <c r="CE540" s="102" t="e">
        <f t="shared" si="472"/>
        <v>#DIV/0!</v>
      </c>
      <c r="CF540" s="36" t="s">
        <v>249</v>
      </c>
      <c r="CG540" s="39" t="s">
        <v>222</v>
      </c>
      <c r="CH540" s="39"/>
      <c r="CI540" s="25">
        <v>3</v>
      </c>
    </row>
    <row r="541" spans="1:87" ht="24.75" customHeight="1">
      <c r="A541" s="36" t="s">
        <v>387</v>
      </c>
      <c r="B541" s="27" t="s">
        <v>887</v>
      </c>
      <c r="C541" s="227">
        <v>15386479</v>
      </c>
      <c r="D541" s="36"/>
      <c r="E541" s="39">
        <v>230</v>
      </c>
      <c r="F541" s="39" t="s">
        <v>58</v>
      </c>
      <c r="G541" s="36" t="s">
        <v>401</v>
      </c>
      <c r="H541" s="39" t="s">
        <v>96</v>
      </c>
      <c r="I541" s="39">
        <v>144</v>
      </c>
      <c r="J541" s="39"/>
      <c r="K541" s="39"/>
      <c r="L541" s="39">
        <f t="shared" ref="L541:L549" si="662">SUM(I541:K541)</f>
        <v>144</v>
      </c>
      <c r="M541" s="117">
        <v>46187</v>
      </c>
      <c r="N541" s="117">
        <v>46198</v>
      </c>
      <c r="O541" s="39"/>
      <c r="P541" s="39"/>
      <c r="Q541" s="39"/>
      <c r="R541" s="39">
        <f t="shared" si="660"/>
        <v>0</v>
      </c>
      <c r="S541" s="39" t="s">
        <v>326</v>
      </c>
      <c r="T541" s="39"/>
      <c r="U541" s="39"/>
      <c r="V541" s="117">
        <v>46190</v>
      </c>
      <c r="W541" s="39">
        <v>173</v>
      </c>
      <c r="X541" s="117">
        <v>46209</v>
      </c>
      <c r="Y541" s="39">
        <f>133</f>
        <v>133</v>
      </c>
      <c r="Z541" s="39"/>
      <c r="AA541" s="39"/>
      <c r="AB541" s="120">
        <f t="shared" si="661"/>
        <v>133</v>
      </c>
      <c r="AC541" s="39"/>
      <c r="AD541" s="39"/>
      <c r="AE541" s="39"/>
      <c r="AF541" s="39"/>
      <c r="AG541" s="39"/>
      <c r="AH541" s="39">
        <f t="shared" si="657"/>
        <v>0</v>
      </c>
      <c r="AI541" s="39"/>
      <c r="AJ541" s="39"/>
      <c r="AK541" s="39"/>
      <c r="AL541" s="39"/>
      <c r="AM541" s="39"/>
      <c r="AN541" s="39">
        <f t="shared" si="405"/>
        <v>0</v>
      </c>
      <c r="AO541" s="39"/>
      <c r="AP541" s="39"/>
      <c r="AQ541" s="39"/>
      <c r="AR541" s="39"/>
      <c r="AS541" s="39"/>
      <c r="AT541" s="39">
        <f t="shared" si="462"/>
        <v>0</v>
      </c>
      <c r="AU541" s="39"/>
      <c r="AV541" s="39"/>
      <c r="AW541" s="39"/>
      <c r="AX541" s="39"/>
      <c r="AY541" s="39"/>
      <c r="AZ541" s="39">
        <f t="shared" si="463"/>
        <v>0</v>
      </c>
      <c r="BA541" s="39"/>
      <c r="BB541" s="39"/>
      <c r="BC541" s="39"/>
      <c r="BD541" s="39"/>
      <c r="BE541" s="39"/>
      <c r="BF541" s="39">
        <f t="shared" si="464"/>
        <v>0</v>
      </c>
      <c r="BG541" s="39"/>
      <c r="BH541" s="39"/>
      <c r="BI541" s="39"/>
      <c r="BJ541" s="39"/>
      <c r="BK541" s="39"/>
      <c r="BL541" s="39">
        <f t="shared" si="658"/>
        <v>0</v>
      </c>
      <c r="BM541" s="54" t="str">
        <f t="shared" si="466"/>
        <v/>
      </c>
      <c r="BN541" s="60">
        <v>46201</v>
      </c>
      <c r="BO541" s="57">
        <v>46218</v>
      </c>
      <c r="BP541" s="36"/>
      <c r="BQ541" s="36"/>
      <c r="BR541" s="229">
        <v>46195</v>
      </c>
      <c r="BS541" s="243"/>
      <c r="BT541" s="39">
        <v>1768</v>
      </c>
      <c r="BU541" s="39">
        <f>133</f>
        <v>133</v>
      </c>
      <c r="BV541" s="39"/>
      <c r="BW541" s="39"/>
      <c r="BX541" s="39"/>
      <c r="BY541" s="39"/>
      <c r="BZ541" s="39">
        <f t="shared" si="659"/>
        <v>133</v>
      </c>
      <c r="CA541" s="39">
        <f t="shared" si="468"/>
        <v>-11</v>
      </c>
      <c r="CB541" s="39">
        <f t="shared" si="469"/>
        <v>0</v>
      </c>
      <c r="CC541" s="39">
        <f t="shared" si="470"/>
        <v>0</v>
      </c>
      <c r="CD541" s="39">
        <f t="shared" si="471"/>
        <v>-11</v>
      </c>
      <c r="CE541" s="102">
        <f t="shared" si="472"/>
        <v>-7.6388888888888895E-2</v>
      </c>
      <c r="CF541" s="36"/>
      <c r="CG541" s="39" t="s">
        <v>415</v>
      </c>
      <c r="CH541" s="39"/>
      <c r="CI541" s="25">
        <v>3</v>
      </c>
    </row>
    <row r="542" spans="1:87" ht="24.75" customHeight="1">
      <c r="A542" s="36" t="s">
        <v>387</v>
      </c>
      <c r="B542" s="27" t="s">
        <v>887</v>
      </c>
      <c r="C542" s="231"/>
      <c r="D542" s="36"/>
      <c r="E542" s="39">
        <v>230</v>
      </c>
      <c r="F542" s="39" t="s">
        <v>58</v>
      </c>
      <c r="G542" s="36" t="s">
        <v>807</v>
      </c>
      <c r="H542" s="39" t="s">
        <v>96</v>
      </c>
      <c r="I542" s="39">
        <v>111</v>
      </c>
      <c r="J542" s="39"/>
      <c r="K542" s="39"/>
      <c r="L542" s="39">
        <f t="shared" si="662"/>
        <v>111</v>
      </c>
      <c r="M542" s="117">
        <v>46187</v>
      </c>
      <c r="N542" s="117">
        <v>46198</v>
      </c>
      <c r="O542" s="39"/>
      <c r="P542" s="39"/>
      <c r="Q542" s="39"/>
      <c r="R542" s="39">
        <f t="shared" si="660"/>
        <v>0</v>
      </c>
      <c r="S542" s="39" t="s">
        <v>100</v>
      </c>
      <c r="T542" s="39"/>
      <c r="U542" s="39"/>
      <c r="V542" s="117">
        <v>46193</v>
      </c>
      <c r="W542" s="39">
        <v>136</v>
      </c>
      <c r="X542" s="117">
        <v>46209</v>
      </c>
      <c r="Y542" s="39">
        <v>120</v>
      </c>
      <c r="Z542" s="39"/>
      <c r="AA542" s="39"/>
      <c r="AB542" s="119">
        <f t="shared" si="661"/>
        <v>120</v>
      </c>
      <c r="AC542" s="39"/>
      <c r="AD542" s="39"/>
      <c r="AE542" s="39"/>
      <c r="AF542" s="39"/>
      <c r="AG542" s="39"/>
      <c r="AH542" s="39">
        <f t="shared" si="657"/>
        <v>0</v>
      </c>
      <c r="AI542" s="39"/>
      <c r="AJ542" s="39"/>
      <c r="AK542" s="39"/>
      <c r="AL542" s="39"/>
      <c r="AM542" s="39"/>
      <c r="AN542" s="39">
        <f t="shared" si="405"/>
        <v>0</v>
      </c>
      <c r="AO542" s="39"/>
      <c r="AP542" s="39"/>
      <c r="AQ542" s="39"/>
      <c r="AR542" s="39"/>
      <c r="AS542" s="39"/>
      <c r="AT542" s="39">
        <f t="shared" si="462"/>
        <v>0</v>
      </c>
      <c r="AU542" s="39"/>
      <c r="AV542" s="39"/>
      <c r="AW542" s="39"/>
      <c r="AX542" s="39"/>
      <c r="AY542" s="39"/>
      <c r="AZ542" s="39">
        <f t="shared" si="463"/>
        <v>0</v>
      </c>
      <c r="BA542" s="39"/>
      <c r="BB542" s="39"/>
      <c r="BC542" s="39"/>
      <c r="BD542" s="39"/>
      <c r="BE542" s="39"/>
      <c r="BF542" s="39">
        <f t="shared" si="464"/>
        <v>0</v>
      </c>
      <c r="BG542" s="39"/>
      <c r="BH542" s="39"/>
      <c r="BI542" s="39"/>
      <c r="BJ542" s="39"/>
      <c r="BK542" s="39"/>
      <c r="BL542" s="39">
        <f t="shared" si="658"/>
        <v>0</v>
      </c>
      <c r="BM542" s="54" t="str">
        <f t="shared" si="466"/>
        <v/>
      </c>
      <c r="BN542" s="60">
        <v>46201</v>
      </c>
      <c r="BO542" s="57">
        <v>46218</v>
      </c>
      <c r="BP542" s="36"/>
      <c r="BQ542" s="36"/>
      <c r="BR542" s="232"/>
      <c r="BS542" s="232"/>
      <c r="BT542" s="39">
        <v>1527</v>
      </c>
      <c r="BU542" s="39">
        <v>120</v>
      </c>
      <c r="BV542" s="39"/>
      <c r="BW542" s="39"/>
      <c r="BX542" s="39"/>
      <c r="BY542" s="39"/>
      <c r="BZ542" s="39">
        <f t="shared" si="659"/>
        <v>120</v>
      </c>
      <c r="CA542" s="39">
        <f t="shared" si="468"/>
        <v>9</v>
      </c>
      <c r="CB542" s="39">
        <f t="shared" si="469"/>
        <v>0</v>
      </c>
      <c r="CC542" s="39">
        <f t="shared" si="470"/>
        <v>0</v>
      </c>
      <c r="CD542" s="39">
        <f t="shared" si="471"/>
        <v>0</v>
      </c>
      <c r="CE542" s="102">
        <f t="shared" si="472"/>
        <v>0</v>
      </c>
      <c r="CF542" s="36"/>
      <c r="CG542" s="39" t="s">
        <v>415</v>
      </c>
      <c r="CH542" s="39"/>
      <c r="CI542" s="25">
        <v>3</v>
      </c>
    </row>
    <row r="543" spans="1:87" ht="24.75" customHeight="1">
      <c r="A543" s="36" t="s">
        <v>387</v>
      </c>
      <c r="B543" s="27" t="s">
        <v>887</v>
      </c>
      <c r="C543" s="231"/>
      <c r="D543" s="36"/>
      <c r="E543" s="39">
        <v>230</v>
      </c>
      <c r="F543" s="39" t="s">
        <v>58</v>
      </c>
      <c r="G543" s="36" t="s">
        <v>187</v>
      </c>
      <c r="H543" s="39" t="s">
        <v>96</v>
      </c>
      <c r="I543" s="39">
        <v>295</v>
      </c>
      <c r="J543" s="39"/>
      <c r="K543" s="39"/>
      <c r="L543" s="39">
        <f t="shared" si="662"/>
        <v>295</v>
      </c>
      <c r="M543" s="117">
        <v>46187</v>
      </c>
      <c r="N543" s="117">
        <v>46198</v>
      </c>
      <c r="O543" s="39"/>
      <c r="P543" s="39"/>
      <c r="Q543" s="39"/>
      <c r="R543" s="39">
        <f t="shared" si="660"/>
        <v>0</v>
      </c>
      <c r="S543" s="39" t="s">
        <v>130</v>
      </c>
      <c r="T543" s="39">
        <v>107360</v>
      </c>
      <c r="U543" s="117">
        <v>46201</v>
      </c>
      <c r="V543" s="39"/>
      <c r="W543" s="39"/>
      <c r="X543" s="39"/>
      <c r="Y543" s="39">
        <v>338</v>
      </c>
      <c r="Z543" s="39"/>
      <c r="AA543" s="39"/>
      <c r="AB543" s="119">
        <f t="shared" si="661"/>
        <v>338</v>
      </c>
      <c r="AC543" s="39"/>
      <c r="AD543" s="39"/>
      <c r="AE543" s="39"/>
      <c r="AF543" s="39"/>
      <c r="AG543" s="39"/>
      <c r="AH543" s="39">
        <f t="shared" si="657"/>
        <v>0</v>
      </c>
      <c r="AI543" s="39"/>
      <c r="AJ543" s="39"/>
      <c r="AK543" s="39"/>
      <c r="AL543" s="39"/>
      <c r="AM543" s="39"/>
      <c r="AN543" s="39">
        <f t="shared" si="405"/>
        <v>0</v>
      </c>
      <c r="AO543" s="39"/>
      <c r="AP543" s="39"/>
      <c r="AQ543" s="39"/>
      <c r="AR543" s="39"/>
      <c r="AS543" s="39"/>
      <c r="AT543" s="39">
        <f t="shared" si="462"/>
        <v>0</v>
      </c>
      <c r="AU543" s="39"/>
      <c r="AV543" s="39"/>
      <c r="AW543" s="39"/>
      <c r="AX543" s="39"/>
      <c r="AY543" s="39"/>
      <c r="AZ543" s="39">
        <f t="shared" si="463"/>
        <v>0</v>
      </c>
      <c r="BA543" s="39"/>
      <c r="BB543" s="39"/>
      <c r="BC543" s="39"/>
      <c r="BD543" s="39"/>
      <c r="BE543" s="39"/>
      <c r="BF543" s="39">
        <f t="shared" si="464"/>
        <v>0</v>
      </c>
      <c r="BG543" s="39"/>
      <c r="BH543" s="39"/>
      <c r="BI543" s="39"/>
      <c r="BJ543" s="39"/>
      <c r="BK543" s="39"/>
      <c r="BL543" s="39">
        <f t="shared" si="658"/>
        <v>0</v>
      </c>
      <c r="BM543" s="54" t="str">
        <f t="shared" si="466"/>
        <v/>
      </c>
      <c r="BN543" s="60">
        <v>46201</v>
      </c>
      <c r="BO543" s="57">
        <v>46218</v>
      </c>
      <c r="BP543" s="36"/>
      <c r="BQ543" s="36"/>
      <c r="BR543" s="232"/>
      <c r="BS543" s="232"/>
      <c r="BT543" s="39" t="s">
        <v>1328</v>
      </c>
      <c r="BU543" s="39">
        <f>190+36+122</f>
        <v>348</v>
      </c>
      <c r="BV543" s="39"/>
      <c r="BW543" s="39"/>
      <c r="BX543" s="39"/>
      <c r="BY543" s="39"/>
      <c r="BZ543" s="39">
        <f t="shared" si="659"/>
        <v>348</v>
      </c>
      <c r="CA543" s="39">
        <f t="shared" si="468"/>
        <v>53</v>
      </c>
      <c r="CB543" s="39">
        <f t="shared" si="469"/>
        <v>0</v>
      </c>
      <c r="CC543" s="39">
        <f t="shared" si="470"/>
        <v>0</v>
      </c>
      <c r="CD543" s="39">
        <f t="shared" si="471"/>
        <v>0</v>
      </c>
      <c r="CE543" s="102">
        <f t="shared" si="472"/>
        <v>0</v>
      </c>
      <c r="CF543" s="36"/>
      <c r="CG543" s="39" t="s">
        <v>415</v>
      </c>
      <c r="CH543" s="39" t="s">
        <v>1268</v>
      </c>
      <c r="CI543" s="25">
        <v>3</v>
      </c>
    </row>
    <row r="544" spans="1:87" ht="24.75" customHeight="1">
      <c r="A544" s="36" t="s">
        <v>387</v>
      </c>
      <c r="B544" s="27" t="s">
        <v>887</v>
      </c>
      <c r="C544" s="231"/>
      <c r="D544" s="36"/>
      <c r="E544" s="39">
        <v>230</v>
      </c>
      <c r="F544" s="39" t="s">
        <v>58</v>
      </c>
      <c r="G544" s="36" t="s">
        <v>47</v>
      </c>
      <c r="H544" s="39" t="s">
        <v>96</v>
      </c>
      <c r="I544" s="39">
        <v>397</v>
      </c>
      <c r="J544" s="39"/>
      <c r="K544" s="39"/>
      <c r="L544" s="39">
        <f t="shared" si="662"/>
        <v>397</v>
      </c>
      <c r="M544" s="117">
        <v>46187</v>
      </c>
      <c r="N544" s="117">
        <v>46198</v>
      </c>
      <c r="O544" s="39"/>
      <c r="P544" s="39"/>
      <c r="Q544" s="39"/>
      <c r="R544" s="39">
        <f t="shared" si="660"/>
        <v>0</v>
      </c>
      <c r="S544" s="39" t="s">
        <v>130</v>
      </c>
      <c r="T544" s="39">
        <v>107038</v>
      </c>
      <c r="U544" s="117">
        <v>46192</v>
      </c>
      <c r="V544" s="39"/>
      <c r="W544" s="39"/>
      <c r="X544" s="39"/>
      <c r="Y544" s="39">
        <v>448</v>
      </c>
      <c r="Z544" s="39"/>
      <c r="AA544" s="39"/>
      <c r="AB544" s="119">
        <f t="shared" si="661"/>
        <v>448</v>
      </c>
      <c r="AC544" s="39"/>
      <c r="AD544" s="39"/>
      <c r="AE544" s="39"/>
      <c r="AF544" s="39"/>
      <c r="AG544" s="39"/>
      <c r="AH544" s="39">
        <f t="shared" si="657"/>
        <v>0</v>
      </c>
      <c r="AI544" s="39"/>
      <c r="AJ544" s="39"/>
      <c r="AK544" s="39"/>
      <c r="AL544" s="39"/>
      <c r="AM544" s="39"/>
      <c r="AN544" s="39">
        <f t="shared" si="405"/>
        <v>0</v>
      </c>
      <c r="AO544" s="39"/>
      <c r="AP544" s="39"/>
      <c r="AQ544" s="39"/>
      <c r="AR544" s="39"/>
      <c r="AS544" s="39"/>
      <c r="AT544" s="39">
        <f t="shared" si="462"/>
        <v>0</v>
      </c>
      <c r="AU544" s="39"/>
      <c r="AV544" s="39"/>
      <c r="AW544" s="39"/>
      <c r="AX544" s="39"/>
      <c r="AY544" s="39"/>
      <c r="AZ544" s="39">
        <f t="shared" si="463"/>
        <v>0</v>
      </c>
      <c r="BA544" s="39"/>
      <c r="BB544" s="39"/>
      <c r="BC544" s="39"/>
      <c r="BD544" s="39"/>
      <c r="BE544" s="39"/>
      <c r="BF544" s="39">
        <f t="shared" si="464"/>
        <v>0</v>
      </c>
      <c r="BG544" s="39"/>
      <c r="BH544" s="39"/>
      <c r="BI544" s="39"/>
      <c r="BJ544" s="39"/>
      <c r="BK544" s="39"/>
      <c r="BL544" s="39">
        <f t="shared" si="658"/>
        <v>0</v>
      </c>
      <c r="BM544" s="54" t="str">
        <f t="shared" si="466"/>
        <v/>
      </c>
      <c r="BN544" s="60">
        <v>46201</v>
      </c>
      <c r="BO544" s="57">
        <v>46218</v>
      </c>
      <c r="BP544" s="36"/>
      <c r="BQ544" s="36"/>
      <c r="BR544" s="232"/>
      <c r="BS544" s="232"/>
      <c r="BT544" s="39">
        <v>2103</v>
      </c>
      <c r="BU544" s="39">
        <v>408</v>
      </c>
      <c r="BV544" s="39"/>
      <c r="BW544" s="39"/>
      <c r="BX544" s="39"/>
      <c r="BY544" s="39"/>
      <c r="BZ544" s="39">
        <f t="shared" si="659"/>
        <v>408</v>
      </c>
      <c r="CA544" s="39">
        <f t="shared" si="468"/>
        <v>11</v>
      </c>
      <c r="CB544" s="39">
        <f t="shared" si="469"/>
        <v>0</v>
      </c>
      <c r="CC544" s="39">
        <f t="shared" si="470"/>
        <v>0</v>
      </c>
      <c r="CD544" s="39">
        <f t="shared" si="471"/>
        <v>0</v>
      </c>
      <c r="CE544" s="102">
        <f t="shared" si="472"/>
        <v>0</v>
      </c>
      <c r="CF544" s="36"/>
      <c r="CG544" s="39" t="s">
        <v>415</v>
      </c>
      <c r="CH544" s="39"/>
      <c r="CI544" s="25">
        <v>3</v>
      </c>
    </row>
    <row r="545" spans="1:87" ht="24.75" customHeight="1">
      <c r="A545" s="36" t="s">
        <v>387</v>
      </c>
      <c r="B545" s="27" t="s">
        <v>887</v>
      </c>
      <c r="C545" s="231"/>
      <c r="D545" s="36"/>
      <c r="E545" s="39">
        <v>230</v>
      </c>
      <c r="F545" s="39" t="s">
        <v>58</v>
      </c>
      <c r="G545" s="36" t="s">
        <v>30</v>
      </c>
      <c r="H545" s="39" t="s">
        <v>96</v>
      </c>
      <c r="I545" s="39">
        <v>51</v>
      </c>
      <c r="J545" s="39"/>
      <c r="K545" s="39"/>
      <c r="L545" s="39">
        <f t="shared" si="662"/>
        <v>51</v>
      </c>
      <c r="M545" s="117">
        <v>46187</v>
      </c>
      <c r="N545" s="117">
        <v>46198</v>
      </c>
      <c r="O545" s="39"/>
      <c r="P545" s="39"/>
      <c r="Q545" s="39"/>
      <c r="R545" s="39">
        <f t="shared" si="660"/>
        <v>0</v>
      </c>
      <c r="S545" s="39" t="s">
        <v>100</v>
      </c>
      <c r="T545" s="39"/>
      <c r="U545" s="39"/>
      <c r="V545" s="117">
        <v>46181</v>
      </c>
      <c r="W545" s="39">
        <v>63</v>
      </c>
      <c r="X545" s="117">
        <v>46203</v>
      </c>
      <c r="Y545" s="39">
        <v>58</v>
      </c>
      <c r="Z545" s="39"/>
      <c r="AA545" s="39"/>
      <c r="AB545" s="119">
        <f t="shared" si="661"/>
        <v>58</v>
      </c>
      <c r="AC545" s="39"/>
      <c r="AD545" s="39"/>
      <c r="AE545" s="39"/>
      <c r="AF545" s="39"/>
      <c r="AG545" s="39"/>
      <c r="AH545" s="39">
        <f t="shared" si="657"/>
        <v>0</v>
      </c>
      <c r="AI545" s="39"/>
      <c r="AJ545" s="39"/>
      <c r="AK545" s="39"/>
      <c r="AL545" s="39"/>
      <c r="AM545" s="39"/>
      <c r="AN545" s="39">
        <f t="shared" si="405"/>
        <v>0</v>
      </c>
      <c r="AO545" s="39"/>
      <c r="AP545" s="39"/>
      <c r="AQ545" s="39"/>
      <c r="AR545" s="39"/>
      <c r="AS545" s="39"/>
      <c r="AT545" s="39">
        <f t="shared" si="462"/>
        <v>0</v>
      </c>
      <c r="AU545" s="39"/>
      <c r="AV545" s="39"/>
      <c r="AW545" s="39"/>
      <c r="AX545" s="39"/>
      <c r="AY545" s="39"/>
      <c r="AZ545" s="39">
        <f t="shared" si="463"/>
        <v>0</v>
      </c>
      <c r="BA545" s="39"/>
      <c r="BB545" s="39"/>
      <c r="BC545" s="39"/>
      <c r="BD545" s="39"/>
      <c r="BE545" s="39"/>
      <c r="BF545" s="39">
        <f t="shared" si="464"/>
        <v>0</v>
      </c>
      <c r="BG545" s="39"/>
      <c r="BH545" s="39"/>
      <c r="BI545" s="39"/>
      <c r="BJ545" s="39"/>
      <c r="BK545" s="39"/>
      <c r="BL545" s="39">
        <f t="shared" si="658"/>
        <v>0</v>
      </c>
      <c r="BM545" s="54" t="str">
        <f t="shared" si="466"/>
        <v/>
      </c>
      <c r="BN545" s="60">
        <v>46201</v>
      </c>
      <c r="BO545" s="57">
        <v>46218</v>
      </c>
      <c r="BP545" s="36"/>
      <c r="BQ545" s="36"/>
      <c r="BR545" s="232"/>
      <c r="BS545" s="232"/>
      <c r="BT545" s="39">
        <v>1762</v>
      </c>
      <c r="BU545" s="39">
        <v>58</v>
      </c>
      <c r="BV545" s="39"/>
      <c r="BW545" s="39"/>
      <c r="BX545" s="39"/>
      <c r="BY545" s="39"/>
      <c r="BZ545" s="39">
        <f t="shared" si="659"/>
        <v>58</v>
      </c>
      <c r="CA545" s="39">
        <f t="shared" si="468"/>
        <v>7</v>
      </c>
      <c r="CB545" s="39">
        <f t="shared" si="469"/>
        <v>0</v>
      </c>
      <c r="CC545" s="39">
        <f t="shared" si="470"/>
        <v>0</v>
      </c>
      <c r="CD545" s="39">
        <f t="shared" si="471"/>
        <v>0</v>
      </c>
      <c r="CE545" s="102">
        <f t="shared" si="472"/>
        <v>0</v>
      </c>
      <c r="CF545" s="36"/>
      <c r="CG545" s="39" t="s">
        <v>415</v>
      </c>
      <c r="CH545" s="39"/>
      <c r="CI545" s="25">
        <v>3</v>
      </c>
    </row>
    <row r="546" spans="1:87" ht="24.75" customHeight="1">
      <c r="A546" s="36" t="s">
        <v>387</v>
      </c>
      <c r="B546" s="27" t="s">
        <v>887</v>
      </c>
      <c r="C546" s="231"/>
      <c r="D546" s="36"/>
      <c r="E546" s="39">
        <v>230</v>
      </c>
      <c r="F546" s="39" t="s">
        <v>58</v>
      </c>
      <c r="G546" s="36" t="s">
        <v>23</v>
      </c>
      <c r="H546" s="39" t="s">
        <v>96</v>
      </c>
      <c r="I546" s="39">
        <v>295</v>
      </c>
      <c r="J546" s="39"/>
      <c r="K546" s="39"/>
      <c r="L546" s="39">
        <f t="shared" si="662"/>
        <v>295</v>
      </c>
      <c r="M546" s="117">
        <v>46187</v>
      </c>
      <c r="N546" s="117">
        <v>46198</v>
      </c>
      <c r="O546" s="39"/>
      <c r="P546" s="39"/>
      <c r="Q546" s="39"/>
      <c r="R546" s="39">
        <f t="shared" si="660"/>
        <v>0</v>
      </c>
      <c r="S546" s="39" t="s">
        <v>100</v>
      </c>
      <c r="T546" s="39"/>
      <c r="U546" s="39"/>
      <c r="V546" s="117">
        <v>46186</v>
      </c>
      <c r="W546" s="39">
        <v>323</v>
      </c>
      <c r="X546" s="117">
        <v>46194</v>
      </c>
      <c r="Y546" s="39">
        <v>300</v>
      </c>
      <c r="Z546" s="39"/>
      <c r="AA546" s="39"/>
      <c r="AB546" s="119">
        <f t="shared" si="661"/>
        <v>300</v>
      </c>
      <c r="AC546" s="39"/>
      <c r="AD546" s="39"/>
      <c r="AE546" s="39"/>
      <c r="AF546" s="39"/>
      <c r="AG546" s="39"/>
      <c r="AH546" s="39">
        <f t="shared" si="657"/>
        <v>0</v>
      </c>
      <c r="AI546" s="39"/>
      <c r="AJ546" s="39"/>
      <c r="AK546" s="39"/>
      <c r="AL546" s="39"/>
      <c r="AM546" s="39"/>
      <c r="AN546" s="39">
        <f t="shared" si="405"/>
        <v>0</v>
      </c>
      <c r="AO546" s="39"/>
      <c r="AP546" s="39"/>
      <c r="AQ546" s="39"/>
      <c r="AR546" s="39"/>
      <c r="AS546" s="39"/>
      <c r="AT546" s="39">
        <f t="shared" si="462"/>
        <v>0</v>
      </c>
      <c r="AU546" s="39"/>
      <c r="AV546" s="39"/>
      <c r="AW546" s="39"/>
      <c r="AX546" s="39"/>
      <c r="AY546" s="39"/>
      <c r="AZ546" s="39">
        <f t="shared" si="463"/>
        <v>0</v>
      </c>
      <c r="BA546" s="39"/>
      <c r="BB546" s="39"/>
      <c r="BC546" s="39"/>
      <c r="BD546" s="39"/>
      <c r="BE546" s="39"/>
      <c r="BF546" s="39">
        <f t="shared" si="464"/>
        <v>0</v>
      </c>
      <c r="BG546" s="39"/>
      <c r="BH546" s="39"/>
      <c r="BI546" s="39"/>
      <c r="BJ546" s="39"/>
      <c r="BK546" s="39"/>
      <c r="BL546" s="39">
        <f t="shared" si="658"/>
        <v>0</v>
      </c>
      <c r="BM546" s="54" t="str">
        <f t="shared" si="466"/>
        <v/>
      </c>
      <c r="BN546" s="60">
        <v>46201</v>
      </c>
      <c r="BO546" s="57">
        <v>46218</v>
      </c>
      <c r="BP546" s="36"/>
      <c r="BQ546" s="36"/>
      <c r="BR546" s="232"/>
      <c r="BS546" s="232"/>
      <c r="BT546" s="39">
        <v>1505</v>
      </c>
      <c r="BU546" s="39">
        <v>300</v>
      </c>
      <c r="BV546" s="39"/>
      <c r="BW546" s="39"/>
      <c r="BX546" s="39"/>
      <c r="BY546" s="39"/>
      <c r="BZ546" s="39">
        <f t="shared" si="659"/>
        <v>300</v>
      </c>
      <c r="CA546" s="39">
        <f t="shared" si="468"/>
        <v>5</v>
      </c>
      <c r="CB546" s="39">
        <f t="shared" si="469"/>
        <v>0</v>
      </c>
      <c r="CC546" s="39">
        <f t="shared" si="470"/>
        <v>0</v>
      </c>
      <c r="CD546" s="39">
        <f t="shared" si="471"/>
        <v>0</v>
      </c>
      <c r="CE546" s="102">
        <f t="shared" si="472"/>
        <v>0</v>
      </c>
      <c r="CF546" s="36"/>
      <c r="CG546" s="39" t="s">
        <v>415</v>
      </c>
      <c r="CH546" s="39"/>
      <c r="CI546" s="25">
        <v>3</v>
      </c>
    </row>
    <row r="547" spans="1:87" ht="24.75" customHeight="1">
      <c r="A547" s="36" t="s">
        <v>387</v>
      </c>
      <c r="B547" s="27" t="s">
        <v>887</v>
      </c>
      <c r="C547" s="231"/>
      <c r="D547" s="36"/>
      <c r="E547" s="39">
        <v>230</v>
      </c>
      <c r="F547" s="39" t="s">
        <v>58</v>
      </c>
      <c r="G547" s="36" t="s">
        <v>473</v>
      </c>
      <c r="H547" s="39" t="s">
        <v>96</v>
      </c>
      <c r="I547" s="39">
        <v>235</v>
      </c>
      <c r="J547" s="39"/>
      <c r="K547" s="39"/>
      <c r="L547" s="39">
        <f t="shared" si="662"/>
        <v>235</v>
      </c>
      <c r="M547" s="117">
        <v>46187</v>
      </c>
      <c r="N547" s="117">
        <v>46198</v>
      </c>
      <c r="O547" s="39"/>
      <c r="P547" s="39"/>
      <c r="Q547" s="39"/>
      <c r="R547" s="39">
        <f t="shared" si="660"/>
        <v>0</v>
      </c>
      <c r="S547" s="39" t="s">
        <v>28</v>
      </c>
      <c r="T547" s="39"/>
      <c r="U547" s="39"/>
      <c r="V547" s="117">
        <v>46195</v>
      </c>
      <c r="W547" s="39">
        <v>265</v>
      </c>
      <c r="X547" s="117">
        <v>46205</v>
      </c>
      <c r="Y547" s="39">
        <v>244</v>
      </c>
      <c r="Z547" s="39"/>
      <c r="AA547" s="39"/>
      <c r="AB547" s="119">
        <f t="shared" si="661"/>
        <v>244</v>
      </c>
      <c r="AC547" s="39"/>
      <c r="AD547" s="39"/>
      <c r="AE547" s="39"/>
      <c r="AF547" s="39"/>
      <c r="AG547" s="39"/>
      <c r="AH547" s="39">
        <f t="shared" si="657"/>
        <v>0</v>
      </c>
      <c r="AI547" s="39"/>
      <c r="AJ547" s="39"/>
      <c r="AK547" s="39"/>
      <c r="AL547" s="39"/>
      <c r="AM547" s="39"/>
      <c r="AN547" s="39">
        <f t="shared" si="405"/>
        <v>0</v>
      </c>
      <c r="AO547" s="39"/>
      <c r="AP547" s="39"/>
      <c r="AQ547" s="39"/>
      <c r="AR547" s="39"/>
      <c r="AS547" s="39"/>
      <c r="AT547" s="39">
        <f t="shared" si="462"/>
        <v>0</v>
      </c>
      <c r="AU547" s="39"/>
      <c r="AV547" s="39"/>
      <c r="AW547" s="39"/>
      <c r="AX547" s="39"/>
      <c r="AY547" s="39"/>
      <c r="AZ547" s="39">
        <f t="shared" si="463"/>
        <v>0</v>
      </c>
      <c r="BA547" s="39"/>
      <c r="BB547" s="39"/>
      <c r="BC547" s="39"/>
      <c r="BD547" s="39"/>
      <c r="BE547" s="39"/>
      <c r="BF547" s="39">
        <f t="shared" si="464"/>
        <v>0</v>
      </c>
      <c r="BG547" s="39"/>
      <c r="BH547" s="39"/>
      <c r="BI547" s="39"/>
      <c r="BJ547" s="39"/>
      <c r="BK547" s="39"/>
      <c r="BL547" s="39">
        <f t="shared" si="658"/>
        <v>0</v>
      </c>
      <c r="BM547" s="54" t="str">
        <f t="shared" si="466"/>
        <v/>
      </c>
      <c r="BN547" s="60">
        <v>46201</v>
      </c>
      <c r="BO547" s="57">
        <v>46218</v>
      </c>
      <c r="BP547" s="36"/>
      <c r="BQ547" s="36"/>
      <c r="BR547" s="232"/>
      <c r="BS547" s="232"/>
      <c r="BT547" s="39">
        <v>1519</v>
      </c>
      <c r="BU547" s="39">
        <v>244</v>
      </c>
      <c r="BV547" s="39"/>
      <c r="BW547" s="39"/>
      <c r="BX547" s="39"/>
      <c r="BY547" s="39"/>
      <c r="BZ547" s="39">
        <f t="shared" si="659"/>
        <v>244</v>
      </c>
      <c r="CA547" s="39">
        <f t="shared" si="468"/>
        <v>9</v>
      </c>
      <c r="CB547" s="39">
        <f t="shared" si="469"/>
        <v>0</v>
      </c>
      <c r="CC547" s="39">
        <f t="shared" si="470"/>
        <v>0</v>
      </c>
      <c r="CD547" s="39">
        <f t="shared" si="471"/>
        <v>0</v>
      </c>
      <c r="CE547" s="102">
        <f t="shared" si="472"/>
        <v>0</v>
      </c>
      <c r="CF547" s="36"/>
      <c r="CG547" s="39" t="s">
        <v>415</v>
      </c>
      <c r="CH547" s="39"/>
      <c r="CI547" s="25">
        <v>3</v>
      </c>
    </row>
    <row r="548" spans="1:87" ht="24.75" customHeight="1">
      <c r="A548" s="36" t="s">
        <v>387</v>
      </c>
      <c r="B548" s="27" t="s">
        <v>887</v>
      </c>
      <c r="C548" s="231"/>
      <c r="D548" s="36"/>
      <c r="E548" s="39">
        <v>230</v>
      </c>
      <c r="F548" s="39" t="s">
        <v>58</v>
      </c>
      <c r="G548" s="36" t="s">
        <v>425</v>
      </c>
      <c r="H548" s="39" t="s">
        <v>96</v>
      </c>
      <c r="I548" s="39">
        <v>156</v>
      </c>
      <c r="J548" s="39"/>
      <c r="K548" s="39"/>
      <c r="L548" s="39">
        <f t="shared" si="662"/>
        <v>156</v>
      </c>
      <c r="M548" s="117">
        <v>46187</v>
      </c>
      <c r="N548" s="117">
        <v>46198</v>
      </c>
      <c r="O548" s="39"/>
      <c r="P548" s="39"/>
      <c r="Q548" s="39"/>
      <c r="R548" s="39">
        <f t="shared" si="660"/>
        <v>0</v>
      </c>
      <c r="S548" s="39" t="s">
        <v>326</v>
      </c>
      <c r="T548" s="39"/>
      <c r="U548" s="39"/>
      <c r="V548" s="117">
        <v>46183</v>
      </c>
      <c r="W548" s="39">
        <v>185</v>
      </c>
      <c r="X548" s="117">
        <v>46205</v>
      </c>
      <c r="Y548" s="39">
        <v>156</v>
      </c>
      <c r="Z548" s="39"/>
      <c r="AA548" s="39"/>
      <c r="AB548" s="119">
        <f t="shared" si="661"/>
        <v>156</v>
      </c>
      <c r="AC548" s="39"/>
      <c r="AD548" s="39"/>
      <c r="AE548" s="39"/>
      <c r="AF548" s="39"/>
      <c r="AG548" s="39"/>
      <c r="AH548" s="39">
        <f t="shared" si="657"/>
        <v>0</v>
      </c>
      <c r="AI548" s="39"/>
      <c r="AJ548" s="39"/>
      <c r="AK548" s="39"/>
      <c r="AL548" s="39"/>
      <c r="AM548" s="39"/>
      <c r="AN548" s="39">
        <f t="shared" si="405"/>
        <v>0</v>
      </c>
      <c r="AO548" s="39"/>
      <c r="AP548" s="39"/>
      <c r="AQ548" s="39"/>
      <c r="AR548" s="39"/>
      <c r="AS548" s="39"/>
      <c r="AT548" s="39">
        <f t="shared" si="462"/>
        <v>0</v>
      </c>
      <c r="AU548" s="39"/>
      <c r="AV548" s="39"/>
      <c r="AW548" s="39"/>
      <c r="AX548" s="39"/>
      <c r="AY548" s="39"/>
      <c r="AZ548" s="39">
        <f t="shared" si="463"/>
        <v>0</v>
      </c>
      <c r="BA548" s="39"/>
      <c r="BB548" s="39"/>
      <c r="BC548" s="39"/>
      <c r="BD548" s="39"/>
      <c r="BE548" s="39"/>
      <c r="BF548" s="39">
        <f t="shared" si="464"/>
        <v>0</v>
      </c>
      <c r="BG548" s="39"/>
      <c r="BH548" s="39"/>
      <c r="BI548" s="39"/>
      <c r="BJ548" s="39"/>
      <c r="BK548" s="39"/>
      <c r="BL548" s="39">
        <f t="shared" si="658"/>
        <v>0</v>
      </c>
      <c r="BM548" s="54" t="str">
        <f t="shared" si="466"/>
        <v/>
      </c>
      <c r="BN548" s="60">
        <v>46201</v>
      </c>
      <c r="BO548" s="57">
        <v>46218</v>
      </c>
      <c r="BP548" s="36"/>
      <c r="BQ548" s="36"/>
      <c r="BR548" s="232"/>
      <c r="BS548" s="232"/>
      <c r="BT548" s="39">
        <v>1765</v>
      </c>
      <c r="BU548" s="39">
        <v>156</v>
      </c>
      <c r="BV548" s="39"/>
      <c r="BW548" s="39"/>
      <c r="BX548" s="39"/>
      <c r="BY548" s="39"/>
      <c r="BZ548" s="39">
        <f t="shared" si="659"/>
        <v>156</v>
      </c>
      <c r="CA548" s="39">
        <f t="shared" si="468"/>
        <v>0</v>
      </c>
      <c r="CB548" s="39">
        <f t="shared" si="469"/>
        <v>0</v>
      </c>
      <c r="CC548" s="39">
        <f t="shared" si="470"/>
        <v>0</v>
      </c>
      <c r="CD548" s="39">
        <f t="shared" si="471"/>
        <v>0</v>
      </c>
      <c r="CE548" s="102">
        <f t="shared" si="472"/>
        <v>0</v>
      </c>
      <c r="CF548" s="36"/>
      <c r="CG548" s="39" t="s">
        <v>415</v>
      </c>
      <c r="CH548" s="39"/>
      <c r="CI548" s="25">
        <v>3</v>
      </c>
    </row>
    <row r="549" spans="1:87" ht="24.75" customHeight="1">
      <c r="A549" s="36" t="s">
        <v>387</v>
      </c>
      <c r="B549" s="27" t="s">
        <v>887</v>
      </c>
      <c r="C549" s="228"/>
      <c r="D549" s="36"/>
      <c r="E549" s="39">
        <v>230</v>
      </c>
      <c r="F549" s="39" t="s">
        <v>58</v>
      </c>
      <c r="G549" s="36" t="s">
        <v>460</v>
      </c>
      <c r="H549" s="39" t="s">
        <v>96</v>
      </c>
      <c r="I549" s="39">
        <v>286</v>
      </c>
      <c r="J549" s="39"/>
      <c r="K549" s="39"/>
      <c r="L549" s="39">
        <f t="shared" si="662"/>
        <v>286</v>
      </c>
      <c r="M549" s="117">
        <v>46187</v>
      </c>
      <c r="N549" s="117">
        <v>46198</v>
      </c>
      <c r="O549" s="39"/>
      <c r="P549" s="39"/>
      <c r="Q549" s="39"/>
      <c r="R549" s="39">
        <f t="shared" si="660"/>
        <v>0</v>
      </c>
      <c r="S549" s="39" t="s">
        <v>326</v>
      </c>
      <c r="T549" s="39"/>
      <c r="U549" s="39"/>
      <c r="V549" s="117">
        <v>46183</v>
      </c>
      <c r="W549" s="39">
        <v>320</v>
      </c>
      <c r="X549" s="117" t="s">
        <v>1378</v>
      </c>
      <c r="Y549" s="39">
        <f>273+18</f>
        <v>291</v>
      </c>
      <c r="Z549" s="39"/>
      <c r="AA549" s="39"/>
      <c r="AB549" s="119">
        <f t="shared" si="661"/>
        <v>291</v>
      </c>
      <c r="AC549" s="39"/>
      <c r="AD549" s="39"/>
      <c r="AE549" s="39"/>
      <c r="AF549" s="39"/>
      <c r="AG549" s="39"/>
      <c r="AH549" s="39">
        <f t="shared" si="657"/>
        <v>0</v>
      </c>
      <c r="AI549" s="39"/>
      <c r="AJ549" s="39"/>
      <c r="AK549" s="39"/>
      <c r="AL549" s="39"/>
      <c r="AM549" s="39"/>
      <c r="AN549" s="39">
        <f t="shared" si="405"/>
        <v>0</v>
      </c>
      <c r="AO549" s="39"/>
      <c r="AP549" s="39"/>
      <c r="AQ549" s="39"/>
      <c r="AR549" s="39"/>
      <c r="AS549" s="39"/>
      <c r="AT549" s="39">
        <f t="shared" si="462"/>
        <v>0</v>
      </c>
      <c r="AU549" s="39"/>
      <c r="AV549" s="39"/>
      <c r="AW549" s="39"/>
      <c r="AX549" s="39"/>
      <c r="AY549" s="39"/>
      <c r="AZ549" s="39">
        <f t="shared" si="463"/>
        <v>0</v>
      </c>
      <c r="BA549" s="39"/>
      <c r="BB549" s="39"/>
      <c r="BC549" s="39"/>
      <c r="BD549" s="39"/>
      <c r="BE549" s="39"/>
      <c r="BF549" s="39">
        <f t="shared" si="464"/>
        <v>0</v>
      </c>
      <c r="BG549" s="39"/>
      <c r="BH549" s="39"/>
      <c r="BI549" s="39"/>
      <c r="BJ549" s="39"/>
      <c r="BK549" s="39"/>
      <c r="BL549" s="39">
        <f t="shared" si="658"/>
        <v>0</v>
      </c>
      <c r="BM549" s="54" t="str">
        <f t="shared" si="466"/>
        <v/>
      </c>
      <c r="BN549" s="60">
        <v>46201</v>
      </c>
      <c r="BO549" s="57">
        <v>46218</v>
      </c>
      <c r="BP549" s="36"/>
      <c r="BQ549" s="36"/>
      <c r="BR549" s="230"/>
      <c r="BS549" s="230"/>
      <c r="BT549" s="39" t="s">
        <v>1406</v>
      </c>
      <c r="BU549" s="39">
        <f>273+18</f>
        <v>291</v>
      </c>
      <c r="BV549" s="39"/>
      <c r="BW549" s="39"/>
      <c r="BX549" s="39"/>
      <c r="BY549" s="39"/>
      <c r="BZ549" s="39">
        <f t="shared" si="659"/>
        <v>291</v>
      </c>
      <c r="CA549" s="39">
        <f t="shared" si="468"/>
        <v>5</v>
      </c>
      <c r="CB549" s="39">
        <f t="shared" si="469"/>
        <v>0</v>
      </c>
      <c r="CC549" s="39">
        <f t="shared" si="470"/>
        <v>0</v>
      </c>
      <c r="CD549" s="39">
        <f t="shared" si="471"/>
        <v>0</v>
      </c>
      <c r="CE549" s="102">
        <f t="shared" si="472"/>
        <v>0</v>
      </c>
      <c r="CF549" s="36"/>
      <c r="CG549" s="39" t="s">
        <v>415</v>
      </c>
      <c r="CH549" s="39"/>
      <c r="CI549" s="25">
        <v>3</v>
      </c>
    </row>
    <row r="550" spans="1:87" ht="24.75" customHeight="1">
      <c r="A550" s="36" t="s">
        <v>387</v>
      </c>
      <c r="B550" s="27" t="s">
        <v>939</v>
      </c>
      <c r="C550" s="227" t="s">
        <v>1237</v>
      </c>
      <c r="D550" s="36"/>
      <c r="E550" s="39">
        <v>180</v>
      </c>
      <c r="F550" s="39" t="s">
        <v>55</v>
      </c>
      <c r="G550" s="36" t="s">
        <v>23</v>
      </c>
      <c r="H550" s="39" t="s">
        <v>87</v>
      </c>
      <c r="I550" s="39">
        <v>268</v>
      </c>
      <c r="J550" s="39"/>
      <c r="K550" s="39"/>
      <c r="L550" s="39">
        <f t="shared" ref="L550:L579" si="663">SUM(I550:K550)</f>
        <v>268</v>
      </c>
      <c r="M550" s="117">
        <v>46183</v>
      </c>
      <c r="N550" s="117">
        <v>46186</v>
      </c>
      <c r="O550" s="39"/>
      <c r="P550" s="39"/>
      <c r="Q550" s="39"/>
      <c r="R550" s="39">
        <f t="shared" ref="R550:R628" si="664">SUM(O550:Q550)</f>
        <v>0</v>
      </c>
      <c r="S550" s="39" t="s">
        <v>100</v>
      </c>
      <c r="T550" s="39"/>
      <c r="U550" s="39"/>
      <c r="V550" s="117">
        <v>46193</v>
      </c>
      <c r="W550" s="39">
        <v>300</v>
      </c>
      <c r="X550" s="117">
        <v>46202</v>
      </c>
      <c r="Y550" s="39">
        <v>275</v>
      </c>
      <c r="Z550" s="39"/>
      <c r="AA550" s="39"/>
      <c r="AB550" s="119">
        <f t="shared" ref="AB550:AB628" si="665">SUM(Y550:AA550)</f>
        <v>275</v>
      </c>
      <c r="AC550" s="39"/>
      <c r="AD550" s="39"/>
      <c r="AE550" s="39"/>
      <c r="AF550" s="39"/>
      <c r="AG550" s="39"/>
      <c r="AH550" s="39">
        <f t="shared" ref="AH550:AH641" si="666">AG550-AE550</f>
        <v>0</v>
      </c>
      <c r="AI550" s="39"/>
      <c r="AJ550" s="39"/>
      <c r="AK550" s="39"/>
      <c r="AL550" s="39"/>
      <c r="AM550" s="39"/>
      <c r="AN550" s="39">
        <f t="shared" si="405"/>
        <v>0</v>
      </c>
      <c r="AO550" s="39"/>
      <c r="AP550" s="39"/>
      <c r="AQ550" s="39"/>
      <c r="AR550" s="39"/>
      <c r="AS550" s="39"/>
      <c r="AT550" s="39">
        <f t="shared" si="462"/>
        <v>0</v>
      </c>
      <c r="AU550" s="39"/>
      <c r="AV550" s="39"/>
      <c r="AW550" s="39"/>
      <c r="AX550" s="39"/>
      <c r="AY550" s="39"/>
      <c r="AZ550" s="39">
        <f t="shared" si="463"/>
        <v>0</v>
      </c>
      <c r="BA550" s="39"/>
      <c r="BB550" s="39"/>
      <c r="BC550" s="39"/>
      <c r="BD550" s="39"/>
      <c r="BE550" s="39"/>
      <c r="BF550" s="39">
        <f t="shared" si="464"/>
        <v>0</v>
      </c>
      <c r="BG550" s="39"/>
      <c r="BH550" s="39"/>
      <c r="BI550" s="39"/>
      <c r="BJ550" s="39"/>
      <c r="BK550" s="39"/>
      <c r="BL550" s="39">
        <f t="shared" ref="BL550:BL641" si="667">BK550-BI550</f>
        <v>0</v>
      </c>
      <c r="BM550" s="54" t="str">
        <f t="shared" si="466"/>
        <v/>
      </c>
      <c r="BN550" s="60">
        <v>46195</v>
      </c>
      <c r="BO550" s="57">
        <v>46205</v>
      </c>
      <c r="BP550" s="36"/>
      <c r="BQ550" s="36"/>
      <c r="BR550" s="229">
        <v>46202</v>
      </c>
      <c r="BS550" s="229">
        <v>46210</v>
      </c>
      <c r="BT550" s="39">
        <v>1517</v>
      </c>
      <c r="BU550" s="39">
        <v>275</v>
      </c>
      <c r="BV550" s="39"/>
      <c r="BW550" s="39"/>
      <c r="BX550" s="39"/>
      <c r="BY550" s="39"/>
      <c r="BZ550" s="39">
        <f t="shared" ref="BZ550:BZ641" si="668">BU550+BW550+BY550</f>
        <v>275</v>
      </c>
      <c r="CA550" s="39">
        <f t="shared" si="468"/>
        <v>7</v>
      </c>
      <c r="CB550" s="39">
        <f t="shared" si="469"/>
        <v>0</v>
      </c>
      <c r="CC550" s="39">
        <f t="shared" si="470"/>
        <v>0</v>
      </c>
      <c r="CD550" s="39">
        <f t="shared" si="471"/>
        <v>0</v>
      </c>
      <c r="CE550" s="47">
        <f t="shared" si="472"/>
        <v>0</v>
      </c>
      <c r="CF550" s="36" t="s">
        <v>249</v>
      </c>
      <c r="CG550" s="39" t="s">
        <v>222</v>
      </c>
      <c r="CH550" s="39"/>
      <c r="CI550" s="25">
        <v>3</v>
      </c>
    </row>
    <row r="551" spans="1:87" ht="24.75" customHeight="1">
      <c r="A551" s="36" t="s">
        <v>387</v>
      </c>
      <c r="B551" s="27" t="s">
        <v>939</v>
      </c>
      <c r="C551" s="228"/>
      <c r="D551" s="36"/>
      <c r="E551" s="39">
        <v>180</v>
      </c>
      <c r="F551" s="39" t="s">
        <v>55</v>
      </c>
      <c r="G551" s="36" t="s">
        <v>21</v>
      </c>
      <c r="H551" s="39" t="s">
        <v>87</v>
      </c>
      <c r="I551" s="39">
        <v>254</v>
      </c>
      <c r="J551" s="39"/>
      <c r="K551" s="39"/>
      <c r="L551" s="39">
        <f t="shared" si="663"/>
        <v>254</v>
      </c>
      <c r="M551" s="117">
        <v>46183</v>
      </c>
      <c r="N551" s="117">
        <v>46186</v>
      </c>
      <c r="O551" s="39"/>
      <c r="P551" s="39"/>
      <c r="Q551" s="39"/>
      <c r="R551" s="39">
        <f t="shared" ref="R551:R553" si="669">SUM(O551:Q551)</f>
        <v>0</v>
      </c>
      <c r="S551" s="39" t="s">
        <v>130</v>
      </c>
      <c r="T551" s="39">
        <v>107467</v>
      </c>
      <c r="U551" s="117">
        <v>46208</v>
      </c>
      <c r="V551" s="39"/>
      <c r="W551" s="39"/>
      <c r="X551" s="39"/>
      <c r="Y551" s="39">
        <v>291</v>
      </c>
      <c r="Z551" s="39"/>
      <c r="AA551" s="39"/>
      <c r="AB551" s="119">
        <f t="shared" ref="AB551" si="670">SUM(Y551:AA551)</f>
        <v>291</v>
      </c>
      <c r="AC551" s="39"/>
      <c r="AD551" s="39"/>
      <c r="AE551" s="39"/>
      <c r="AF551" s="39"/>
      <c r="AG551" s="39"/>
      <c r="AH551" s="39">
        <f t="shared" ref="AH551:AH553" si="671">AG551-AE551</f>
        <v>0</v>
      </c>
      <c r="AI551" s="39"/>
      <c r="AJ551" s="39"/>
      <c r="AK551" s="39"/>
      <c r="AL551" s="39"/>
      <c r="AM551" s="39"/>
      <c r="AN551" s="39">
        <f t="shared" ref="AN551:AN553" si="672">AM551-AK551</f>
        <v>0</v>
      </c>
      <c r="AO551" s="39"/>
      <c r="AP551" s="39"/>
      <c r="AQ551" s="39"/>
      <c r="AR551" s="39"/>
      <c r="AS551" s="39"/>
      <c r="AT551" s="39">
        <f t="shared" ref="AT551:AT553" si="673">AS551-AQ551</f>
        <v>0</v>
      </c>
      <c r="AU551" s="39"/>
      <c r="AV551" s="39"/>
      <c r="AW551" s="39"/>
      <c r="AX551" s="39"/>
      <c r="AY551" s="39"/>
      <c r="AZ551" s="39">
        <f t="shared" ref="AZ551:AZ553" si="674">AY551-AW551</f>
        <v>0</v>
      </c>
      <c r="BA551" s="39"/>
      <c r="BB551" s="39"/>
      <c r="BC551" s="39"/>
      <c r="BD551" s="39"/>
      <c r="BE551" s="39"/>
      <c r="BF551" s="39">
        <f t="shared" ref="BF551:BF553" si="675">BE551-BC551</f>
        <v>0</v>
      </c>
      <c r="BG551" s="39"/>
      <c r="BH551" s="39"/>
      <c r="BI551" s="39"/>
      <c r="BJ551" s="39"/>
      <c r="BK551" s="39"/>
      <c r="BL551" s="39">
        <f t="shared" ref="BL551:BL553" si="676">BK551-BI551</f>
        <v>0</v>
      </c>
      <c r="BM551" s="54" t="str">
        <f t="shared" ref="BM551:BM553" si="677">IF((BZ551/L551)&lt;0.9,$CO$1-U551,"")</f>
        <v/>
      </c>
      <c r="BN551" s="60">
        <v>46195</v>
      </c>
      <c r="BO551" s="57">
        <v>46205</v>
      </c>
      <c r="BP551" s="36"/>
      <c r="BQ551" s="36"/>
      <c r="BR551" s="230"/>
      <c r="BS551" s="230"/>
      <c r="BT551" s="39">
        <v>1575</v>
      </c>
      <c r="BU551" s="39">
        <v>255</v>
      </c>
      <c r="BV551" s="39"/>
      <c r="BW551" s="39"/>
      <c r="BX551" s="39"/>
      <c r="BY551" s="39"/>
      <c r="BZ551" s="39">
        <f t="shared" si="668"/>
        <v>255</v>
      </c>
      <c r="CA551" s="39">
        <f t="shared" si="468"/>
        <v>1</v>
      </c>
      <c r="CB551" s="39">
        <f t="shared" si="469"/>
        <v>0</v>
      </c>
      <c r="CC551" s="39">
        <f t="shared" si="470"/>
        <v>0</v>
      </c>
      <c r="CD551" s="39">
        <f t="shared" si="471"/>
        <v>0</v>
      </c>
      <c r="CE551" s="47">
        <f t="shared" si="472"/>
        <v>0</v>
      </c>
      <c r="CF551" s="36" t="s">
        <v>249</v>
      </c>
      <c r="CG551" s="39" t="s">
        <v>222</v>
      </c>
      <c r="CH551" s="39"/>
      <c r="CI551" s="25">
        <v>3</v>
      </c>
    </row>
    <row r="552" spans="1:87" ht="26.25" customHeight="1">
      <c r="A552" s="36" t="s">
        <v>387</v>
      </c>
      <c r="B552" s="27" t="s">
        <v>659</v>
      </c>
      <c r="C552" s="227" t="s">
        <v>743</v>
      </c>
      <c r="D552" s="36"/>
      <c r="E552" s="39">
        <v>180</v>
      </c>
      <c r="F552" s="39" t="s">
        <v>55</v>
      </c>
      <c r="G552" s="36" t="s">
        <v>23</v>
      </c>
      <c r="H552" s="36" t="s">
        <v>87</v>
      </c>
      <c r="I552" s="39">
        <v>10000</v>
      </c>
      <c r="J552" s="39"/>
      <c r="K552" s="39"/>
      <c r="L552" s="39">
        <f t="shared" ref="L552:L553" si="678">SUM(I552:K552)</f>
        <v>10000</v>
      </c>
      <c r="M552" s="39"/>
      <c r="N552" s="39"/>
      <c r="O552" s="39"/>
      <c r="P552" s="39"/>
      <c r="Q552" s="39"/>
      <c r="R552" s="39">
        <f t="shared" si="669"/>
        <v>0</v>
      </c>
      <c r="S552" s="39" t="s">
        <v>100</v>
      </c>
      <c r="T552" s="39" t="s">
        <v>1105</v>
      </c>
      <c r="U552" s="117" t="s">
        <v>1106</v>
      </c>
      <c r="V552" s="117" t="s">
        <v>1108</v>
      </c>
      <c r="W552" s="39">
        <f>1875+1641+983+1238+3817</f>
        <v>9554</v>
      </c>
      <c r="X552" s="117" t="s">
        <v>1531</v>
      </c>
      <c r="Y552" s="39">
        <f>1190+354+1153+1114+1099+540+1124+1122+1101+1096+671</f>
        <v>10564</v>
      </c>
      <c r="Z552" s="39"/>
      <c r="AA552" s="39"/>
      <c r="AB552" s="119">
        <f t="shared" ref="AB552:AB553" si="679">SUM(Y552:AA552)</f>
        <v>10564</v>
      </c>
      <c r="AC552" s="39"/>
      <c r="AD552" s="39"/>
      <c r="AE552" s="39"/>
      <c r="AF552" s="39"/>
      <c r="AG552" s="39"/>
      <c r="AH552" s="39">
        <f t="shared" si="671"/>
        <v>0</v>
      </c>
      <c r="AI552" s="39"/>
      <c r="AJ552" s="39"/>
      <c r="AK552" s="39"/>
      <c r="AL552" s="39"/>
      <c r="AM552" s="39"/>
      <c r="AN552" s="39">
        <f t="shared" si="672"/>
        <v>0</v>
      </c>
      <c r="AO552" s="39"/>
      <c r="AP552" s="39"/>
      <c r="AQ552" s="39"/>
      <c r="AR552" s="39"/>
      <c r="AS552" s="39"/>
      <c r="AT552" s="39">
        <f t="shared" si="673"/>
        <v>0</v>
      </c>
      <c r="AU552" s="39"/>
      <c r="AV552" s="39"/>
      <c r="AW552" s="39"/>
      <c r="AX552" s="39"/>
      <c r="AY552" s="39"/>
      <c r="AZ552" s="39">
        <f t="shared" si="674"/>
        <v>0</v>
      </c>
      <c r="BA552" s="39"/>
      <c r="BB552" s="39"/>
      <c r="BC552" s="39"/>
      <c r="BD552" s="39"/>
      <c r="BE552" s="39"/>
      <c r="BF552" s="39">
        <f t="shared" si="675"/>
        <v>0</v>
      </c>
      <c r="BG552" s="39"/>
      <c r="BH552" s="39"/>
      <c r="BI552" s="39"/>
      <c r="BJ552" s="39"/>
      <c r="BK552" s="39"/>
      <c r="BL552" s="39">
        <f t="shared" si="676"/>
        <v>0</v>
      </c>
      <c r="BM552" s="54" t="str">
        <f t="shared" si="677"/>
        <v/>
      </c>
      <c r="BN552" s="60"/>
      <c r="BO552" s="39"/>
      <c r="BP552" s="39"/>
      <c r="BQ552" s="39"/>
      <c r="BR552" s="229">
        <v>46149</v>
      </c>
      <c r="BS552" s="243"/>
      <c r="BT552" s="39" t="s">
        <v>1545</v>
      </c>
      <c r="BU552" s="39">
        <f>1135-506+354+1153+1114+1099+530+1124+1122+1101+1096+671</f>
        <v>9993</v>
      </c>
      <c r="BV552" s="39"/>
      <c r="BW552" s="39"/>
      <c r="BX552" s="39"/>
      <c r="BY552" s="39"/>
      <c r="BZ552" s="39">
        <f t="shared" si="668"/>
        <v>9993</v>
      </c>
      <c r="CA552" s="39">
        <f t="shared" si="468"/>
        <v>-7</v>
      </c>
      <c r="CB552" s="39">
        <f t="shared" si="469"/>
        <v>0</v>
      </c>
      <c r="CC552" s="39">
        <f t="shared" si="470"/>
        <v>0</v>
      </c>
      <c r="CD552" s="39">
        <v>0</v>
      </c>
      <c r="CE552" s="47">
        <f t="shared" si="472"/>
        <v>0</v>
      </c>
      <c r="CF552" s="36" t="s">
        <v>292</v>
      </c>
      <c r="CG552" s="39" t="s">
        <v>220</v>
      </c>
      <c r="CH552" s="39" t="s">
        <v>736</v>
      </c>
      <c r="CI552" s="25">
        <v>3</v>
      </c>
    </row>
    <row r="553" spans="1:87" ht="26.25" customHeight="1">
      <c r="A553" s="36" t="s">
        <v>387</v>
      </c>
      <c r="B553" s="27" t="s">
        <v>659</v>
      </c>
      <c r="C553" s="228"/>
      <c r="D553" s="36"/>
      <c r="E553" s="39">
        <v>180</v>
      </c>
      <c r="F553" s="39" t="s">
        <v>55</v>
      </c>
      <c r="G553" s="36" t="s">
        <v>21</v>
      </c>
      <c r="H553" s="36" t="s">
        <v>87</v>
      </c>
      <c r="I553" s="39">
        <v>5000</v>
      </c>
      <c r="J553" s="39"/>
      <c r="K553" s="39"/>
      <c r="L553" s="39">
        <f t="shared" si="678"/>
        <v>5000</v>
      </c>
      <c r="M553" s="39"/>
      <c r="N553" s="39"/>
      <c r="O553" s="39"/>
      <c r="P553" s="39"/>
      <c r="Q553" s="39"/>
      <c r="R553" s="39">
        <f t="shared" si="669"/>
        <v>0</v>
      </c>
      <c r="S553" s="39" t="s">
        <v>130</v>
      </c>
      <c r="T553" s="39" t="s">
        <v>3028</v>
      </c>
      <c r="U553" s="117" t="s">
        <v>3029</v>
      </c>
      <c r="V553" s="39"/>
      <c r="W553" s="39"/>
      <c r="X553" s="39"/>
      <c r="Y553" s="39">
        <f>795+795+662+420+850+247+810+850</f>
        <v>5429</v>
      </c>
      <c r="Z553" s="39"/>
      <c r="AA553" s="39"/>
      <c r="AB553" s="118">
        <f t="shared" si="679"/>
        <v>5429</v>
      </c>
      <c r="AC553" s="39"/>
      <c r="AD553" s="39"/>
      <c r="AE553" s="39"/>
      <c r="AF553" s="39"/>
      <c r="AG553" s="39"/>
      <c r="AH553" s="39">
        <f t="shared" si="671"/>
        <v>0</v>
      </c>
      <c r="AI553" s="39"/>
      <c r="AJ553" s="39"/>
      <c r="AK553" s="39"/>
      <c r="AL553" s="39"/>
      <c r="AM553" s="39"/>
      <c r="AN553" s="39">
        <f t="shared" si="672"/>
        <v>0</v>
      </c>
      <c r="AO553" s="39"/>
      <c r="AP553" s="39"/>
      <c r="AQ553" s="39"/>
      <c r="AR553" s="39"/>
      <c r="AS553" s="39"/>
      <c r="AT553" s="39">
        <f t="shared" si="673"/>
        <v>0</v>
      </c>
      <c r="AU553" s="39"/>
      <c r="AV553" s="39"/>
      <c r="AW553" s="39"/>
      <c r="AX553" s="39"/>
      <c r="AY553" s="39"/>
      <c r="AZ553" s="39">
        <f t="shared" si="674"/>
        <v>0</v>
      </c>
      <c r="BA553" s="39"/>
      <c r="BB553" s="39"/>
      <c r="BC553" s="39"/>
      <c r="BD553" s="39"/>
      <c r="BE553" s="39"/>
      <c r="BF553" s="39">
        <f t="shared" si="675"/>
        <v>0</v>
      </c>
      <c r="BG553" s="39"/>
      <c r="BH553" s="39"/>
      <c r="BI553" s="39"/>
      <c r="BJ553" s="39"/>
      <c r="BK553" s="39"/>
      <c r="BL553" s="39">
        <f t="shared" si="676"/>
        <v>0</v>
      </c>
      <c r="BM553" s="54" t="str">
        <f t="shared" si="677"/>
        <v/>
      </c>
      <c r="BN553" s="60"/>
      <c r="BO553" s="39"/>
      <c r="BP553" s="39"/>
      <c r="BQ553" s="39"/>
      <c r="BR553" s="230"/>
      <c r="BS553" s="230"/>
      <c r="BT553" s="39" t="s">
        <v>3066</v>
      </c>
      <c r="BU553" s="39">
        <f>730+724+616+797+390+226+730+765</f>
        <v>4978</v>
      </c>
      <c r="BV553" s="39"/>
      <c r="BW553" s="39"/>
      <c r="BX553" s="39"/>
      <c r="BY553" s="39"/>
      <c r="BZ553" s="39">
        <f t="shared" si="668"/>
        <v>4978</v>
      </c>
      <c r="CA553" s="39">
        <f t="shared" si="468"/>
        <v>-22</v>
      </c>
      <c r="CB553" s="39">
        <f t="shared" si="469"/>
        <v>0</v>
      </c>
      <c r="CC553" s="39">
        <f t="shared" si="470"/>
        <v>0</v>
      </c>
      <c r="CD553" s="39">
        <f t="shared" si="471"/>
        <v>-22</v>
      </c>
      <c r="CE553" s="47">
        <f t="shared" si="472"/>
        <v>-4.4000000000000003E-3</v>
      </c>
      <c r="CF553" s="36" t="s">
        <v>292</v>
      </c>
      <c r="CG553" s="39" t="s">
        <v>220</v>
      </c>
      <c r="CH553" s="39"/>
      <c r="CI553" s="25">
        <v>3</v>
      </c>
    </row>
    <row r="554" spans="1:87" ht="24.75" customHeight="1">
      <c r="A554" s="36" t="s">
        <v>387</v>
      </c>
      <c r="B554" s="27"/>
      <c r="C554" s="36"/>
      <c r="D554" s="36"/>
      <c r="E554" s="39"/>
      <c r="F554" s="39"/>
      <c r="G554" s="36"/>
      <c r="H554" s="39"/>
      <c r="I554" s="39"/>
      <c r="J554" s="39"/>
      <c r="K554" s="39"/>
      <c r="L554" s="39">
        <f t="shared" si="663"/>
        <v>0</v>
      </c>
      <c r="M554" s="39"/>
      <c r="N554" s="39"/>
      <c r="O554" s="39"/>
      <c r="P554" s="39"/>
      <c r="Q554" s="39"/>
      <c r="R554" s="39">
        <f t="shared" si="664"/>
        <v>0</v>
      </c>
      <c r="S554" s="39"/>
      <c r="T554" s="39"/>
      <c r="U554" s="39"/>
      <c r="V554" s="39"/>
      <c r="W554" s="39"/>
      <c r="X554" s="39"/>
      <c r="Y554" s="39"/>
      <c r="Z554" s="39"/>
      <c r="AA554" s="39"/>
      <c r="AB554" s="39">
        <f t="shared" si="665"/>
        <v>0</v>
      </c>
      <c r="AC554" s="39"/>
      <c r="AD554" s="39"/>
      <c r="AE554" s="39"/>
      <c r="AF554" s="39"/>
      <c r="AG554" s="39"/>
      <c r="AH554" s="39">
        <f t="shared" si="666"/>
        <v>0</v>
      </c>
      <c r="AI554" s="39"/>
      <c r="AJ554" s="39"/>
      <c r="AK554" s="39"/>
      <c r="AL554" s="39"/>
      <c r="AM554" s="39"/>
      <c r="AN554" s="39">
        <f t="shared" si="405"/>
        <v>0</v>
      </c>
      <c r="AO554" s="39"/>
      <c r="AP554" s="39"/>
      <c r="AQ554" s="39"/>
      <c r="AR554" s="39"/>
      <c r="AS554" s="39"/>
      <c r="AT554" s="39">
        <f t="shared" si="462"/>
        <v>0</v>
      </c>
      <c r="AU554" s="39"/>
      <c r="AV554" s="39"/>
      <c r="AW554" s="39"/>
      <c r="AX554" s="39"/>
      <c r="AY554" s="39"/>
      <c r="AZ554" s="39">
        <f t="shared" si="463"/>
        <v>0</v>
      </c>
      <c r="BA554" s="39"/>
      <c r="BB554" s="39"/>
      <c r="BC554" s="39"/>
      <c r="BD554" s="39"/>
      <c r="BE554" s="39"/>
      <c r="BF554" s="39">
        <f t="shared" si="464"/>
        <v>0</v>
      </c>
      <c r="BG554" s="39"/>
      <c r="BH554" s="39"/>
      <c r="BI554" s="39"/>
      <c r="BJ554" s="39"/>
      <c r="BK554" s="39"/>
      <c r="BL554" s="39">
        <f t="shared" si="667"/>
        <v>0</v>
      </c>
      <c r="BM554" s="54" t="e">
        <f t="shared" si="466"/>
        <v>#DIV/0!</v>
      </c>
      <c r="BN554" s="61"/>
      <c r="BO554" s="36"/>
      <c r="BP554" s="36"/>
      <c r="BQ554" s="36"/>
      <c r="BR554" s="40"/>
      <c r="BS554" s="40"/>
      <c r="BT554" s="39"/>
      <c r="BU554" s="39"/>
      <c r="BV554" s="39"/>
      <c r="BW554" s="39"/>
      <c r="BX554" s="39"/>
      <c r="BY554" s="39"/>
      <c r="BZ554" s="39">
        <f t="shared" si="668"/>
        <v>0</v>
      </c>
      <c r="CA554" s="39">
        <f t="shared" si="468"/>
        <v>0</v>
      </c>
      <c r="CB554" s="39">
        <f t="shared" si="469"/>
        <v>0</v>
      </c>
      <c r="CC554" s="39">
        <f t="shared" si="470"/>
        <v>0</v>
      </c>
      <c r="CD554" s="39">
        <f t="shared" si="471"/>
        <v>0</v>
      </c>
      <c r="CE554" s="47" t="e">
        <f t="shared" si="472"/>
        <v>#DIV/0!</v>
      </c>
      <c r="CF554" s="36"/>
      <c r="CG554" s="39"/>
      <c r="CH554" s="39"/>
      <c r="CI554" s="25">
        <v>3</v>
      </c>
    </row>
    <row r="555" spans="1:87" ht="24.75" customHeight="1">
      <c r="A555" s="36" t="s">
        <v>387</v>
      </c>
      <c r="B555" s="27"/>
      <c r="C555" s="36"/>
      <c r="D555" s="36"/>
      <c r="E555" s="39"/>
      <c r="F555" s="39"/>
      <c r="G555" s="36"/>
      <c r="H555" s="39"/>
      <c r="I555" s="39"/>
      <c r="J555" s="39"/>
      <c r="K555" s="39"/>
      <c r="L555" s="39">
        <f t="shared" si="663"/>
        <v>0</v>
      </c>
      <c r="M555" s="39"/>
      <c r="N555" s="39"/>
      <c r="O555" s="39"/>
      <c r="P555" s="39"/>
      <c r="Q555" s="39"/>
      <c r="R555" s="39">
        <f t="shared" si="664"/>
        <v>0</v>
      </c>
      <c r="S555" s="39"/>
      <c r="T555" s="39"/>
      <c r="U555" s="39"/>
      <c r="V555" s="39"/>
      <c r="W555" s="39"/>
      <c r="X555" s="39"/>
      <c r="Y555" s="39"/>
      <c r="Z555" s="39"/>
      <c r="AA555" s="39"/>
      <c r="AB555" s="39">
        <f t="shared" si="665"/>
        <v>0</v>
      </c>
      <c r="AC555" s="39"/>
      <c r="AD555" s="39"/>
      <c r="AE555" s="39"/>
      <c r="AF555" s="39"/>
      <c r="AG555" s="39"/>
      <c r="AH555" s="39">
        <f t="shared" si="666"/>
        <v>0</v>
      </c>
      <c r="AI555" s="39"/>
      <c r="AJ555" s="39"/>
      <c r="AK555" s="39"/>
      <c r="AL555" s="39"/>
      <c r="AM555" s="39"/>
      <c r="AN555" s="39">
        <f t="shared" si="405"/>
        <v>0</v>
      </c>
      <c r="AO555" s="39"/>
      <c r="AP555" s="39"/>
      <c r="AQ555" s="39"/>
      <c r="AR555" s="39"/>
      <c r="AS555" s="39"/>
      <c r="AT555" s="39">
        <f t="shared" si="462"/>
        <v>0</v>
      </c>
      <c r="AU555" s="39"/>
      <c r="AV555" s="39"/>
      <c r="AW555" s="39"/>
      <c r="AX555" s="39"/>
      <c r="AY555" s="39"/>
      <c r="AZ555" s="39">
        <f t="shared" si="463"/>
        <v>0</v>
      </c>
      <c r="BA555" s="39"/>
      <c r="BB555" s="39"/>
      <c r="BC555" s="39"/>
      <c r="BD555" s="39"/>
      <c r="BE555" s="39"/>
      <c r="BF555" s="39">
        <f t="shared" si="464"/>
        <v>0</v>
      </c>
      <c r="BG555" s="39"/>
      <c r="BH555" s="39"/>
      <c r="BI555" s="39"/>
      <c r="BJ555" s="39"/>
      <c r="BK555" s="39"/>
      <c r="BL555" s="39">
        <f t="shared" si="667"/>
        <v>0</v>
      </c>
      <c r="BM555" s="54" t="e">
        <f t="shared" si="466"/>
        <v>#DIV/0!</v>
      </c>
      <c r="BN555" s="61"/>
      <c r="BO555" s="36"/>
      <c r="BP555" s="36"/>
      <c r="BQ555" s="36"/>
      <c r="BR555" s="40"/>
      <c r="BS555" s="40"/>
      <c r="BT555" s="39"/>
      <c r="BU555" s="39"/>
      <c r="BV555" s="39"/>
      <c r="BW555" s="39"/>
      <c r="BX555" s="39"/>
      <c r="BY555" s="39"/>
      <c r="BZ555" s="39">
        <f t="shared" si="668"/>
        <v>0</v>
      </c>
      <c r="CA555" s="39">
        <f t="shared" si="468"/>
        <v>0</v>
      </c>
      <c r="CB555" s="39">
        <f t="shared" si="469"/>
        <v>0</v>
      </c>
      <c r="CC555" s="39">
        <f t="shared" si="470"/>
        <v>0</v>
      </c>
      <c r="CD555" s="39">
        <f t="shared" si="471"/>
        <v>0</v>
      </c>
      <c r="CE555" s="47" t="e">
        <f t="shared" si="472"/>
        <v>#DIV/0!</v>
      </c>
      <c r="CF555" s="36"/>
      <c r="CG555" s="39"/>
      <c r="CH555" s="39"/>
      <c r="CI555" s="25">
        <v>3</v>
      </c>
    </row>
    <row r="556" spans="1:87" ht="24.75" customHeight="1">
      <c r="A556" s="36" t="s">
        <v>387</v>
      </c>
      <c r="B556" s="27"/>
      <c r="C556" s="36"/>
      <c r="D556" s="36"/>
      <c r="E556" s="39"/>
      <c r="F556" s="39"/>
      <c r="G556" s="36"/>
      <c r="H556" s="39"/>
      <c r="I556" s="39"/>
      <c r="J556" s="39"/>
      <c r="K556" s="39"/>
      <c r="L556" s="39">
        <f t="shared" si="663"/>
        <v>0</v>
      </c>
      <c r="M556" s="39"/>
      <c r="N556" s="39"/>
      <c r="O556" s="39"/>
      <c r="P556" s="39"/>
      <c r="Q556" s="39"/>
      <c r="R556" s="39">
        <f t="shared" si="664"/>
        <v>0</v>
      </c>
      <c r="S556" s="39"/>
      <c r="T556" s="39"/>
      <c r="U556" s="39"/>
      <c r="V556" s="39"/>
      <c r="W556" s="39"/>
      <c r="X556" s="39"/>
      <c r="Y556" s="39"/>
      <c r="Z556" s="39"/>
      <c r="AA556" s="39"/>
      <c r="AB556" s="39">
        <f t="shared" si="665"/>
        <v>0</v>
      </c>
      <c r="AC556" s="39"/>
      <c r="AD556" s="39"/>
      <c r="AE556" s="39"/>
      <c r="AF556" s="39"/>
      <c r="AG556" s="39"/>
      <c r="AH556" s="39">
        <f t="shared" si="666"/>
        <v>0</v>
      </c>
      <c r="AI556" s="39"/>
      <c r="AJ556" s="39"/>
      <c r="AK556" s="39"/>
      <c r="AL556" s="39"/>
      <c r="AM556" s="39"/>
      <c r="AN556" s="39">
        <f t="shared" si="405"/>
        <v>0</v>
      </c>
      <c r="AO556" s="39"/>
      <c r="AP556" s="39"/>
      <c r="AQ556" s="39"/>
      <c r="AR556" s="39"/>
      <c r="AS556" s="39"/>
      <c r="AT556" s="39">
        <f t="shared" si="462"/>
        <v>0</v>
      </c>
      <c r="AU556" s="39"/>
      <c r="AV556" s="39"/>
      <c r="AW556" s="39"/>
      <c r="AX556" s="39"/>
      <c r="AY556" s="39"/>
      <c r="AZ556" s="39">
        <f t="shared" si="463"/>
        <v>0</v>
      </c>
      <c r="BA556" s="39"/>
      <c r="BB556" s="39"/>
      <c r="BC556" s="39"/>
      <c r="BD556" s="39"/>
      <c r="BE556" s="39"/>
      <c r="BF556" s="39">
        <f t="shared" si="464"/>
        <v>0</v>
      </c>
      <c r="BG556" s="39"/>
      <c r="BH556" s="39"/>
      <c r="BI556" s="39"/>
      <c r="BJ556" s="39"/>
      <c r="BK556" s="39"/>
      <c r="BL556" s="39">
        <f t="shared" si="667"/>
        <v>0</v>
      </c>
      <c r="BM556" s="54" t="e">
        <f t="shared" si="466"/>
        <v>#DIV/0!</v>
      </c>
      <c r="BN556" s="61"/>
      <c r="BO556" s="36"/>
      <c r="BP556" s="36"/>
      <c r="BQ556" s="36"/>
      <c r="BR556" s="40"/>
      <c r="BS556" s="40"/>
      <c r="BT556" s="39"/>
      <c r="BU556" s="39"/>
      <c r="BV556" s="39"/>
      <c r="BW556" s="39"/>
      <c r="BX556" s="39"/>
      <c r="BY556" s="39"/>
      <c r="BZ556" s="39">
        <f t="shared" si="668"/>
        <v>0</v>
      </c>
      <c r="CA556" s="39">
        <f t="shared" si="468"/>
        <v>0</v>
      </c>
      <c r="CB556" s="39">
        <f t="shared" si="469"/>
        <v>0</v>
      </c>
      <c r="CC556" s="39">
        <f t="shared" si="470"/>
        <v>0</v>
      </c>
      <c r="CD556" s="39">
        <f t="shared" si="471"/>
        <v>0</v>
      </c>
      <c r="CE556" s="47" t="e">
        <f t="shared" si="472"/>
        <v>#DIV/0!</v>
      </c>
      <c r="CF556" s="36"/>
      <c r="CG556" s="39"/>
      <c r="CH556" s="39"/>
      <c r="CI556" s="25">
        <v>3</v>
      </c>
    </row>
    <row r="557" spans="1:87" ht="24.75" customHeight="1">
      <c r="A557" s="36" t="s">
        <v>387</v>
      </c>
      <c r="B557" s="27"/>
      <c r="C557" s="36"/>
      <c r="D557" s="36"/>
      <c r="E557" s="39"/>
      <c r="F557" s="39"/>
      <c r="G557" s="36"/>
      <c r="H557" s="39"/>
      <c r="I557" s="39"/>
      <c r="J557" s="39"/>
      <c r="K557" s="39"/>
      <c r="L557" s="39">
        <f t="shared" si="663"/>
        <v>0</v>
      </c>
      <c r="M557" s="39"/>
      <c r="N557" s="39"/>
      <c r="O557" s="39"/>
      <c r="P557" s="39"/>
      <c r="Q557" s="39"/>
      <c r="R557" s="39">
        <f t="shared" si="664"/>
        <v>0</v>
      </c>
      <c r="S557" s="39"/>
      <c r="T557" s="39"/>
      <c r="U557" s="39"/>
      <c r="V557" s="39"/>
      <c r="W557" s="39"/>
      <c r="X557" s="39"/>
      <c r="Y557" s="39"/>
      <c r="Z557" s="39"/>
      <c r="AA557" s="39"/>
      <c r="AB557" s="39">
        <f t="shared" si="665"/>
        <v>0</v>
      </c>
      <c r="AC557" s="39"/>
      <c r="AD557" s="39"/>
      <c r="AE557" s="39"/>
      <c r="AF557" s="39"/>
      <c r="AG557" s="39"/>
      <c r="AH557" s="39">
        <f t="shared" si="666"/>
        <v>0</v>
      </c>
      <c r="AI557" s="39"/>
      <c r="AJ557" s="39"/>
      <c r="AK557" s="39"/>
      <c r="AL557" s="39"/>
      <c r="AM557" s="39"/>
      <c r="AN557" s="39">
        <f t="shared" si="405"/>
        <v>0</v>
      </c>
      <c r="AO557" s="39"/>
      <c r="AP557" s="39"/>
      <c r="AQ557" s="39"/>
      <c r="AR557" s="39"/>
      <c r="AS557" s="39"/>
      <c r="AT557" s="39">
        <f t="shared" si="462"/>
        <v>0</v>
      </c>
      <c r="AU557" s="39"/>
      <c r="AV557" s="39"/>
      <c r="AW557" s="39"/>
      <c r="AX557" s="39"/>
      <c r="AY557" s="39"/>
      <c r="AZ557" s="39">
        <f t="shared" si="463"/>
        <v>0</v>
      </c>
      <c r="BA557" s="39"/>
      <c r="BB557" s="39"/>
      <c r="BC557" s="39"/>
      <c r="BD557" s="39"/>
      <c r="BE557" s="39"/>
      <c r="BF557" s="39">
        <f t="shared" si="464"/>
        <v>0</v>
      </c>
      <c r="BG557" s="39"/>
      <c r="BH557" s="39"/>
      <c r="BI557" s="39"/>
      <c r="BJ557" s="39"/>
      <c r="BK557" s="39"/>
      <c r="BL557" s="39">
        <f t="shared" si="667"/>
        <v>0</v>
      </c>
      <c r="BM557" s="54" t="e">
        <f t="shared" si="466"/>
        <v>#DIV/0!</v>
      </c>
      <c r="BN557" s="61"/>
      <c r="BO557" s="36"/>
      <c r="BP557" s="36"/>
      <c r="BQ557" s="36"/>
      <c r="BR557" s="40"/>
      <c r="BS557" s="40"/>
      <c r="BT557" s="39"/>
      <c r="BU557" s="39"/>
      <c r="BV557" s="39"/>
      <c r="BW557" s="39"/>
      <c r="BX557" s="39"/>
      <c r="BY557" s="39"/>
      <c r="BZ557" s="39">
        <f t="shared" si="668"/>
        <v>0</v>
      </c>
      <c r="CA557" s="39">
        <f t="shared" si="468"/>
        <v>0</v>
      </c>
      <c r="CB557" s="39">
        <f t="shared" si="469"/>
        <v>0</v>
      </c>
      <c r="CC557" s="39">
        <f t="shared" si="470"/>
        <v>0</v>
      </c>
      <c r="CD557" s="39">
        <f t="shared" si="471"/>
        <v>0</v>
      </c>
      <c r="CE557" s="47" t="e">
        <f t="shared" si="472"/>
        <v>#DIV/0!</v>
      </c>
      <c r="CF557" s="36"/>
      <c r="CG557" s="39"/>
      <c r="CH557" s="39"/>
      <c r="CI557" s="25">
        <v>3</v>
      </c>
    </row>
    <row r="558" spans="1:87" ht="24.75" customHeight="1">
      <c r="A558" s="36" t="s">
        <v>387</v>
      </c>
      <c r="B558" s="27"/>
      <c r="C558" s="36"/>
      <c r="D558" s="36"/>
      <c r="E558" s="39"/>
      <c r="F558" s="39"/>
      <c r="G558" s="36"/>
      <c r="H558" s="39"/>
      <c r="I558" s="39"/>
      <c r="J558" s="39"/>
      <c r="K558" s="39"/>
      <c r="L558" s="39">
        <f t="shared" si="663"/>
        <v>0</v>
      </c>
      <c r="M558" s="39"/>
      <c r="N558" s="39"/>
      <c r="O558" s="39"/>
      <c r="P558" s="39"/>
      <c r="Q558" s="39"/>
      <c r="R558" s="39">
        <f t="shared" si="664"/>
        <v>0</v>
      </c>
      <c r="S558" s="39"/>
      <c r="T558" s="39"/>
      <c r="U558" s="39"/>
      <c r="V558" s="39"/>
      <c r="W558" s="39"/>
      <c r="X558" s="39"/>
      <c r="Y558" s="39"/>
      <c r="Z558" s="39"/>
      <c r="AA558" s="39"/>
      <c r="AB558" s="39">
        <f t="shared" si="665"/>
        <v>0</v>
      </c>
      <c r="AC558" s="39"/>
      <c r="AD558" s="39"/>
      <c r="AE558" s="39"/>
      <c r="AF558" s="39"/>
      <c r="AG558" s="39"/>
      <c r="AH558" s="39">
        <f t="shared" si="666"/>
        <v>0</v>
      </c>
      <c r="AI558" s="39"/>
      <c r="AJ558" s="39"/>
      <c r="AK558" s="39"/>
      <c r="AL558" s="39"/>
      <c r="AM558" s="39"/>
      <c r="AN558" s="39">
        <f t="shared" si="405"/>
        <v>0</v>
      </c>
      <c r="AO558" s="39"/>
      <c r="AP558" s="39"/>
      <c r="AQ558" s="39"/>
      <c r="AR558" s="39"/>
      <c r="AS558" s="39"/>
      <c r="AT558" s="39">
        <f t="shared" si="462"/>
        <v>0</v>
      </c>
      <c r="AU558" s="39"/>
      <c r="AV558" s="39"/>
      <c r="AW558" s="39"/>
      <c r="AX558" s="39"/>
      <c r="AY558" s="39"/>
      <c r="AZ558" s="39">
        <f t="shared" si="463"/>
        <v>0</v>
      </c>
      <c r="BA558" s="39"/>
      <c r="BB558" s="39"/>
      <c r="BC558" s="39"/>
      <c r="BD558" s="39"/>
      <c r="BE558" s="39"/>
      <c r="BF558" s="39">
        <f t="shared" si="464"/>
        <v>0</v>
      </c>
      <c r="BG558" s="39"/>
      <c r="BH558" s="39"/>
      <c r="BI558" s="39"/>
      <c r="BJ558" s="39"/>
      <c r="BK558" s="39"/>
      <c r="BL558" s="39">
        <f t="shared" si="667"/>
        <v>0</v>
      </c>
      <c r="BM558" s="54" t="e">
        <f t="shared" si="466"/>
        <v>#DIV/0!</v>
      </c>
      <c r="BN558" s="61"/>
      <c r="BO558" s="36"/>
      <c r="BP558" s="36"/>
      <c r="BQ558" s="36"/>
      <c r="BR558" s="40"/>
      <c r="BS558" s="40"/>
      <c r="BT558" s="39"/>
      <c r="BU558" s="39"/>
      <c r="BV558" s="39"/>
      <c r="BW558" s="39"/>
      <c r="BX558" s="39"/>
      <c r="BY558" s="39"/>
      <c r="BZ558" s="39">
        <f t="shared" si="668"/>
        <v>0</v>
      </c>
      <c r="CA558" s="39">
        <f t="shared" si="468"/>
        <v>0</v>
      </c>
      <c r="CB558" s="39">
        <f t="shared" si="469"/>
        <v>0</v>
      </c>
      <c r="CC558" s="39">
        <f t="shared" si="470"/>
        <v>0</v>
      </c>
      <c r="CD558" s="39">
        <f t="shared" si="471"/>
        <v>0</v>
      </c>
      <c r="CE558" s="47" t="e">
        <f t="shared" si="472"/>
        <v>#DIV/0!</v>
      </c>
      <c r="CF558" s="36"/>
      <c r="CG558" s="39"/>
      <c r="CH558" s="39"/>
      <c r="CI558" s="25">
        <v>3</v>
      </c>
    </row>
    <row r="559" spans="1:87" ht="24.75" customHeight="1">
      <c r="A559" s="36" t="s">
        <v>387</v>
      </c>
      <c r="B559" s="27"/>
      <c r="C559" s="36"/>
      <c r="D559" s="36"/>
      <c r="E559" s="39"/>
      <c r="F559" s="39"/>
      <c r="G559" s="36"/>
      <c r="H559" s="39"/>
      <c r="I559" s="39"/>
      <c r="J559" s="39"/>
      <c r="K559" s="39"/>
      <c r="L559" s="39">
        <f t="shared" si="663"/>
        <v>0</v>
      </c>
      <c r="M559" s="39"/>
      <c r="N559" s="39"/>
      <c r="O559" s="39"/>
      <c r="P559" s="39"/>
      <c r="Q559" s="39"/>
      <c r="R559" s="39">
        <f t="shared" si="664"/>
        <v>0</v>
      </c>
      <c r="S559" s="39"/>
      <c r="T559" s="39"/>
      <c r="U559" s="39"/>
      <c r="V559" s="39"/>
      <c r="W559" s="39"/>
      <c r="X559" s="39"/>
      <c r="Y559" s="39"/>
      <c r="Z559" s="39"/>
      <c r="AA559" s="39"/>
      <c r="AB559" s="39">
        <f t="shared" si="665"/>
        <v>0</v>
      </c>
      <c r="AC559" s="39"/>
      <c r="AD559" s="39"/>
      <c r="AE559" s="39"/>
      <c r="AF559" s="39"/>
      <c r="AG559" s="39"/>
      <c r="AH559" s="39">
        <f t="shared" si="666"/>
        <v>0</v>
      </c>
      <c r="AI559" s="39"/>
      <c r="AJ559" s="39"/>
      <c r="AK559" s="39"/>
      <c r="AL559" s="39"/>
      <c r="AM559" s="39"/>
      <c r="AN559" s="39">
        <f t="shared" si="405"/>
        <v>0</v>
      </c>
      <c r="AO559" s="39"/>
      <c r="AP559" s="39"/>
      <c r="AQ559" s="39"/>
      <c r="AR559" s="39"/>
      <c r="AS559" s="39"/>
      <c r="AT559" s="39">
        <f t="shared" si="462"/>
        <v>0</v>
      </c>
      <c r="AU559" s="39"/>
      <c r="AV559" s="39"/>
      <c r="AW559" s="39"/>
      <c r="AX559" s="39"/>
      <c r="AY559" s="39"/>
      <c r="AZ559" s="39">
        <f t="shared" si="463"/>
        <v>0</v>
      </c>
      <c r="BA559" s="39"/>
      <c r="BB559" s="39"/>
      <c r="BC559" s="39"/>
      <c r="BD559" s="39"/>
      <c r="BE559" s="39"/>
      <c r="BF559" s="39">
        <f t="shared" si="464"/>
        <v>0</v>
      </c>
      <c r="BG559" s="39"/>
      <c r="BH559" s="39"/>
      <c r="BI559" s="39"/>
      <c r="BJ559" s="39"/>
      <c r="BK559" s="39"/>
      <c r="BL559" s="39">
        <f t="shared" si="667"/>
        <v>0</v>
      </c>
      <c r="BM559" s="54" t="e">
        <f t="shared" si="466"/>
        <v>#DIV/0!</v>
      </c>
      <c r="BN559" s="61"/>
      <c r="BO559" s="36"/>
      <c r="BP559" s="36"/>
      <c r="BQ559" s="36"/>
      <c r="BR559" s="40"/>
      <c r="BS559" s="40"/>
      <c r="BT559" s="39"/>
      <c r="BU559" s="39"/>
      <c r="BV559" s="39"/>
      <c r="BW559" s="39"/>
      <c r="BX559" s="39"/>
      <c r="BY559" s="39"/>
      <c r="BZ559" s="39">
        <f t="shared" si="668"/>
        <v>0</v>
      </c>
      <c r="CA559" s="39">
        <f t="shared" si="468"/>
        <v>0</v>
      </c>
      <c r="CB559" s="39">
        <f t="shared" si="469"/>
        <v>0</v>
      </c>
      <c r="CC559" s="39">
        <f t="shared" si="470"/>
        <v>0</v>
      </c>
      <c r="CD559" s="39">
        <f t="shared" si="471"/>
        <v>0</v>
      </c>
      <c r="CE559" s="47" t="e">
        <f t="shared" si="472"/>
        <v>#DIV/0!</v>
      </c>
      <c r="CF559" s="36"/>
      <c r="CG559" s="39"/>
      <c r="CH559" s="39"/>
      <c r="CI559" s="25">
        <v>3</v>
      </c>
    </row>
    <row r="560" spans="1:87" ht="24.75" customHeight="1">
      <c r="A560" s="36" t="s">
        <v>387</v>
      </c>
      <c r="B560" s="27"/>
      <c r="C560" s="36"/>
      <c r="D560" s="36"/>
      <c r="E560" s="39"/>
      <c r="F560" s="39"/>
      <c r="G560" s="36"/>
      <c r="H560" s="39"/>
      <c r="I560" s="39"/>
      <c r="J560" s="39"/>
      <c r="K560" s="39"/>
      <c r="L560" s="39">
        <f t="shared" si="663"/>
        <v>0</v>
      </c>
      <c r="M560" s="39"/>
      <c r="N560" s="39"/>
      <c r="O560" s="39"/>
      <c r="P560" s="39"/>
      <c r="Q560" s="39"/>
      <c r="R560" s="39">
        <f t="shared" si="664"/>
        <v>0</v>
      </c>
      <c r="S560" s="39"/>
      <c r="T560" s="39"/>
      <c r="U560" s="39"/>
      <c r="V560" s="39"/>
      <c r="W560" s="39"/>
      <c r="X560" s="39"/>
      <c r="Y560" s="39"/>
      <c r="Z560" s="39"/>
      <c r="AA560" s="39"/>
      <c r="AB560" s="39">
        <f t="shared" si="665"/>
        <v>0</v>
      </c>
      <c r="AC560" s="39"/>
      <c r="AD560" s="39"/>
      <c r="AE560" s="39"/>
      <c r="AF560" s="39"/>
      <c r="AG560" s="39"/>
      <c r="AH560" s="39">
        <f t="shared" si="666"/>
        <v>0</v>
      </c>
      <c r="AI560" s="39"/>
      <c r="AJ560" s="39"/>
      <c r="AK560" s="39"/>
      <c r="AL560" s="39"/>
      <c r="AM560" s="39"/>
      <c r="AN560" s="39">
        <f t="shared" si="405"/>
        <v>0</v>
      </c>
      <c r="AO560" s="39"/>
      <c r="AP560" s="39"/>
      <c r="AQ560" s="39"/>
      <c r="AR560" s="39"/>
      <c r="AS560" s="39"/>
      <c r="AT560" s="39">
        <f t="shared" si="462"/>
        <v>0</v>
      </c>
      <c r="AU560" s="39"/>
      <c r="AV560" s="39"/>
      <c r="AW560" s="39"/>
      <c r="AX560" s="39"/>
      <c r="AY560" s="39"/>
      <c r="AZ560" s="39">
        <f t="shared" si="463"/>
        <v>0</v>
      </c>
      <c r="BA560" s="39"/>
      <c r="BB560" s="39"/>
      <c r="BC560" s="39"/>
      <c r="BD560" s="39"/>
      <c r="BE560" s="39"/>
      <c r="BF560" s="39">
        <f t="shared" si="464"/>
        <v>0</v>
      </c>
      <c r="BG560" s="39"/>
      <c r="BH560" s="39"/>
      <c r="BI560" s="39"/>
      <c r="BJ560" s="39"/>
      <c r="BK560" s="39"/>
      <c r="BL560" s="39">
        <f t="shared" si="667"/>
        <v>0</v>
      </c>
      <c r="BM560" s="54" t="e">
        <f t="shared" si="466"/>
        <v>#DIV/0!</v>
      </c>
      <c r="BN560" s="61"/>
      <c r="BO560" s="36"/>
      <c r="BP560" s="36"/>
      <c r="BQ560" s="36"/>
      <c r="BR560" s="40"/>
      <c r="BS560" s="40"/>
      <c r="BT560" s="39"/>
      <c r="BU560" s="39"/>
      <c r="BV560" s="39"/>
      <c r="BW560" s="39"/>
      <c r="BX560" s="39"/>
      <c r="BY560" s="39"/>
      <c r="BZ560" s="39">
        <f t="shared" si="668"/>
        <v>0</v>
      </c>
      <c r="CA560" s="39">
        <f t="shared" si="468"/>
        <v>0</v>
      </c>
      <c r="CB560" s="39">
        <f t="shared" si="469"/>
        <v>0</v>
      </c>
      <c r="CC560" s="39">
        <f t="shared" si="470"/>
        <v>0</v>
      </c>
      <c r="CD560" s="39">
        <f t="shared" si="471"/>
        <v>0</v>
      </c>
      <c r="CE560" s="47" t="e">
        <f t="shared" si="472"/>
        <v>#DIV/0!</v>
      </c>
      <c r="CF560" s="36"/>
      <c r="CG560" s="39"/>
      <c r="CH560" s="39"/>
      <c r="CI560" s="25">
        <v>3</v>
      </c>
    </row>
    <row r="561" spans="1:87" ht="24.75" customHeight="1">
      <c r="A561" s="36" t="s">
        <v>388</v>
      </c>
      <c r="B561" s="27" t="s">
        <v>595</v>
      </c>
      <c r="C561" s="235">
        <v>15323159</v>
      </c>
      <c r="D561" s="36"/>
      <c r="E561" s="39">
        <v>230</v>
      </c>
      <c r="F561" s="39" t="s">
        <v>53</v>
      </c>
      <c r="G561" s="36" t="s">
        <v>306</v>
      </c>
      <c r="H561" s="36" t="s">
        <v>96</v>
      </c>
      <c r="I561" s="39">
        <v>1184</v>
      </c>
      <c r="J561" s="39"/>
      <c r="K561" s="39"/>
      <c r="L561" s="39">
        <f t="shared" ref="L561:L563" si="680">SUM(I561:K561)</f>
        <v>1184</v>
      </c>
      <c r="M561" s="117">
        <v>46147</v>
      </c>
      <c r="N561" s="117">
        <v>46157</v>
      </c>
      <c r="O561" s="39"/>
      <c r="P561" s="39"/>
      <c r="Q561" s="39"/>
      <c r="R561" s="39">
        <f t="shared" si="664"/>
        <v>0</v>
      </c>
      <c r="S561" s="39" t="s">
        <v>31</v>
      </c>
      <c r="T561" s="39"/>
      <c r="U561" s="39"/>
      <c r="V561" s="117">
        <v>46183</v>
      </c>
      <c r="W561" s="39">
        <v>1325</v>
      </c>
      <c r="X561" s="117" t="s">
        <v>1156</v>
      </c>
      <c r="Y561" s="39">
        <f>1081+117</f>
        <v>1198</v>
      </c>
      <c r="Z561" s="39"/>
      <c r="AA561" s="39"/>
      <c r="AB561" s="119">
        <f t="shared" si="665"/>
        <v>1198</v>
      </c>
      <c r="AC561" s="39"/>
      <c r="AD561" s="39"/>
      <c r="AE561" s="39"/>
      <c r="AF561" s="39"/>
      <c r="AG561" s="39"/>
      <c r="AH561" s="39">
        <f t="shared" si="666"/>
        <v>0</v>
      </c>
      <c r="AI561" s="39"/>
      <c r="AJ561" s="39"/>
      <c r="AK561" s="39"/>
      <c r="AL561" s="39"/>
      <c r="AM561" s="39"/>
      <c r="AN561" s="39">
        <f t="shared" si="405"/>
        <v>0</v>
      </c>
      <c r="AO561" s="39"/>
      <c r="AP561" s="39"/>
      <c r="AQ561" s="39"/>
      <c r="AR561" s="39"/>
      <c r="AS561" s="39"/>
      <c r="AT561" s="39">
        <f t="shared" si="462"/>
        <v>0</v>
      </c>
      <c r="AU561" s="39"/>
      <c r="AV561" s="39"/>
      <c r="AW561" s="39"/>
      <c r="AX561" s="39"/>
      <c r="AY561" s="39"/>
      <c r="AZ561" s="39">
        <f t="shared" si="463"/>
        <v>0</v>
      </c>
      <c r="BA561" s="39"/>
      <c r="BB561" s="39"/>
      <c r="BC561" s="39"/>
      <c r="BD561" s="39"/>
      <c r="BE561" s="39"/>
      <c r="BF561" s="39">
        <f t="shared" si="464"/>
        <v>0</v>
      </c>
      <c r="BG561" s="39"/>
      <c r="BH561" s="39"/>
      <c r="BI561" s="39"/>
      <c r="BJ561" s="39"/>
      <c r="BK561" s="39"/>
      <c r="BL561" s="39">
        <f t="shared" si="667"/>
        <v>0</v>
      </c>
      <c r="BM561" s="54" t="str">
        <f t="shared" si="466"/>
        <v/>
      </c>
      <c r="BN561" s="58">
        <v>46178</v>
      </c>
      <c r="BO561" s="57">
        <v>46188</v>
      </c>
      <c r="BP561" s="36"/>
      <c r="BQ561" s="36"/>
      <c r="BR561" s="237">
        <v>46193</v>
      </c>
      <c r="BS561" s="255"/>
      <c r="BT561" s="39" t="s">
        <v>1182</v>
      </c>
      <c r="BU561" s="39">
        <f>1081+117</f>
        <v>1198</v>
      </c>
      <c r="BV561" s="39"/>
      <c r="BW561" s="39"/>
      <c r="BX561" s="39"/>
      <c r="BY561" s="39"/>
      <c r="BZ561" s="39">
        <f t="shared" si="668"/>
        <v>1198</v>
      </c>
      <c r="CA561" s="39">
        <f t="shared" si="468"/>
        <v>14</v>
      </c>
      <c r="CB561" s="39">
        <f t="shared" si="469"/>
        <v>0</v>
      </c>
      <c r="CC561" s="39">
        <f t="shared" si="470"/>
        <v>0</v>
      </c>
      <c r="CD561" s="39">
        <f t="shared" si="471"/>
        <v>0</v>
      </c>
      <c r="CE561" s="102">
        <f t="shared" si="472"/>
        <v>0</v>
      </c>
      <c r="CF561" s="36" t="s">
        <v>252</v>
      </c>
      <c r="CG561" s="39" t="s">
        <v>223</v>
      </c>
      <c r="CH561" s="39"/>
      <c r="CI561" s="25">
        <v>1</v>
      </c>
    </row>
    <row r="562" spans="1:87" ht="24.75" customHeight="1">
      <c r="A562" s="36" t="s">
        <v>388</v>
      </c>
      <c r="B562" s="27" t="s">
        <v>595</v>
      </c>
      <c r="C562" s="236"/>
      <c r="D562" s="36"/>
      <c r="E562" s="39">
        <v>230</v>
      </c>
      <c r="F562" s="39" t="s">
        <v>53</v>
      </c>
      <c r="G562" s="36" t="s">
        <v>30</v>
      </c>
      <c r="H562" s="36" t="s">
        <v>96</v>
      </c>
      <c r="I562" s="39">
        <v>1235</v>
      </c>
      <c r="J562" s="39"/>
      <c r="K562" s="39"/>
      <c r="L562" s="39">
        <f t="shared" si="680"/>
        <v>1235</v>
      </c>
      <c r="M562" s="117">
        <v>46147</v>
      </c>
      <c r="N562" s="117">
        <v>46157</v>
      </c>
      <c r="O562" s="39"/>
      <c r="P562" s="39"/>
      <c r="Q562" s="39"/>
      <c r="R562" s="39">
        <f t="shared" si="664"/>
        <v>0</v>
      </c>
      <c r="S562" s="39" t="s">
        <v>100</v>
      </c>
      <c r="T562" s="39"/>
      <c r="U562" s="39"/>
      <c r="V562" s="117">
        <v>46165</v>
      </c>
      <c r="W562" s="39">
        <v>1383</v>
      </c>
      <c r="X562" s="117" t="s">
        <v>1145</v>
      </c>
      <c r="Y562" s="39">
        <f>1055+178</f>
        <v>1233</v>
      </c>
      <c r="Z562" s="39"/>
      <c r="AA562" s="39"/>
      <c r="AB562" s="119">
        <f t="shared" si="665"/>
        <v>1233</v>
      </c>
      <c r="AC562" s="39"/>
      <c r="AD562" s="39"/>
      <c r="AE562" s="39"/>
      <c r="AF562" s="39"/>
      <c r="AG562" s="39"/>
      <c r="AH562" s="39">
        <f t="shared" si="666"/>
        <v>0</v>
      </c>
      <c r="AI562" s="39"/>
      <c r="AJ562" s="39"/>
      <c r="AK562" s="39"/>
      <c r="AL562" s="39"/>
      <c r="AM562" s="39"/>
      <c r="AN562" s="39">
        <f t="shared" si="405"/>
        <v>0</v>
      </c>
      <c r="AO562" s="39"/>
      <c r="AP562" s="39"/>
      <c r="AQ562" s="39"/>
      <c r="AR562" s="39"/>
      <c r="AS562" s="39"/>
      <c r="AT562" s="39">
        <f t="shared" si="462"/>
        <v>0</v>
      </c>
      <c r="AU562" s="39"/>
      <c r="AV562" s="39"/>
      <c r="AW562" s="39"/>
      <c r="AX562" s="39"/>
      <c r="AY562" s="39"/>
      <c r="AZ562" s="39">
        <f t="shared" si="463"/>
        <v>0</v>
      </c>
      <c r="BA562" s="39"/>
      <c r="BB562" s="39"/>
      <c r="BC562" s="39"/>
      <c r="BD562" s="39"/>
      <c r="BE562" s="39"/>
      <c r="BF562" s="39">
        <f t="shared" si="464"/>
        <v>0</v>
      </c>
      <c r="BG562" s="39"/>
      <c r="BH562" s="39"/>
      <c r="BI562" s="39"/>
      <c r="BJ562" s="39"/>
      <c r="BK562" s="39"/>
      <c r="BL562" s="39">
        <f t="shared" si="667"/>
        <v>0</v>
      </c>
      <c r="BM562" s="54" t="str">
        <f t="shared" si="466"/>
        <v/>
      </c>
      <c r="BN562" s="58">
        <v>46178</v>
      </c>
      <c r="BO562" s="57">
        <v>46188</v>
      </c>
      <c r="BP562" s="36"/>
      <c r="BQ562" s="36"/>
      <c r="BR562" s="239"/>
      <c r="BS562" s="239"/>
      <c r="BT562" s="39" t="s">
        <v>1181</v>
      </c>
      <c r="BU562" s="39">
        <f>1055+178</f>
        <v>1233</v>
      </c>
      <c r="BV562" s="39"/>
      <c r="BW562" s="39"/>
      <c r="BX562" s="39"/>
      <c r="BY562" s="39"/>
      <c r="BZ562" s="39">
        <f t="shared" si="668"/>
        <v>1233</v>
      </c>
      <c r="CA562" s="39">
        <f t="shared" si="468"/>
        <v>-2</v>
      </c>
      <c r="CB562" s="39">
        <f t="shared" si="469"/>
        <v>0</v>
      </c>
      <c r="CC562" s="39">
        <f t="shared" si="470"/>
        <v>0</v>
      </c>
      <c r="CD562" s="39">
        <v>0</v>
      </c>
      <c r="CE562" s="102">
        <f t="shared" si="472"/>
        <v>0</v>
      </c>
      <c r="CF562" s="36" t="s">
        <v>252</v>
      </c>
      <c r="CG562" s="39" t="s">
        <v>223</v>
      </c>
      <c r="CH562" s="39"/>
      <c r="CI562" s="25">
        <v>1</v>
      </c>
    </row>
    <row r="563" spans="1:87" ht="38.25">
      <c r="A563" s="36" t="s">
        <v>388</v>
      </c>
      <c r="B563" s="27" t="s">
        <v>660</v>
      </c>
      <c r="C563" s="41" t="s">
        <v>661</v>
      </c>
      <c r="D563" s="36"/>
      <c r="E563" s="39">
        <v>220</v>
      </c>
      <c r="F563" s="39" t="s">
        <v>55</v>
      </c>
      <c r="G563" s="36" t="s">
        <v>23</v>
      </c>
      <c r="H563" s="36" t="s">
        <v>210</v>
      </c>
      <c r="I563" s="39">
        <v>2500</v>
      </c>
      <c r="J563" s="39"/>
      <c r="K563" s="39"/>
      <c r="L563" s="39">
        <f t="shared" si="680"/>
        <v>2500</v>
      </c>
      <c r="M563" s="117">
        <v>46144</v>
      </c>
      <c r="N563" s="117">
        <v>46158</v>
      </c>
      <c r="O563" s="39"/>
      <c r="P563" s="39"/>
      <c r="Q563" s="39"/>
      <c r="R563" s="39">
        <f t="shared" si="664"/>
        <v>0</v>
      </c>
      <c r="S563" s="39" t="s">
        <v>130</v>
      </c>
      <c r="T563" s="39" t="s">
        <v>1026</v>
      </c>
      <c r="U563" s="117">
        <v>46187</v>
      </c>
      <c r="V563" s="39"/>
      <c r="W563" s="39"/>
      <c r="X563" s="39"/>
      <c r="Y563" s="39">
        <f>1125+1148+397</f>
        <v>2670</v>
      </c>
      <c r="Z563" s="39"/>
      <c r="AA563" s="39"/>
      <c r="AB563" s="118">
        <f t="shared" si="665"/>
        <v>2670</v>
      </c>
      <c r="AC563" s="39"/>
      <c r="AD563" s="39"/>
      <c r="AE563" s="39"/>
      <c r="AF563" s="39"/>
      <c r="AG563" s="39"/>
      <c r="AH563" s="39">
        <f t="shared" si="666"/>
        <v>0</v>
      </c>
      <c r="AI563" s="39"/>
      <c r="AJ563" s="39"/>
      <c r="AK563" s="39"/>
      <c r="AL563" s="39"/>
      <c r="AM563" s="39"/>
      <c r="AN563" s="39">
        <f t="shared" si="405"/>
        <v>0</v>
      </c>
      <c r="AO563" s="39"/>
      <c r="AP563" s="39"/>
      <c r="AQ563" s="39"/>
      <c r="AR563" s="39"/>
      <c r="AS563" s="39"/>
      <c r="AT563" s="39">
        <f t="shared" si="462"/>
        <v>0</v>
      </c>
      <c r="AU563" s="39"/>
      <c r="AV563" s="39"/>
      <c r="AW563" s="39"/>
      <c r="AX563" s="39"/>
      <c r="AY563" s="39"/>
      <c r="AZ563" s="39">
        <f t="shared" si="463"/>
        <v>0</v>
      </c>
      <c r="BA563" s="39"/>
      <c r="BB563" s="39"/>
      <c r="BC563" s="39"/>
      <c r="BD563" s="39"/>
      <c r="BE563" s="39"/>
      <c r="BF563" s="39">
        <f t="shared" si="464"/>
        <v>0</v>
      </c>
      <c r="BG563" s="39"/>
      <c r="BH563" s="39"/>
      <c r="BI563" s="39"/>
      <c r="BJ563" s="39"/>
      <c r="BK563" s="39"/>
      <c r="BL563" s="39">
        <f t="shared" si="667"/>
        <v>0</v>
      </c>
      <c r="BM563" s="54" t="str">
        <f t="shared" si="466"/>
        <v/>
      </c>
      <c r="BN563" s="58">
        <v>46179</v>
      </c>
      <c r="BO563" s="57">
        <v>46189</v>
      </c>
      <c r="BP563" s="36"/>
      <c r="BQ563" s="36"/>
      <c r="BR563" s="50">
        <v>46191</v>
      </c>
      <c r="BS563" s="50">
        <v>46256</v>
      </c>
      <c r="BT563" s="39" t="s">
        <v>2527</v>
      </c>
      <c r="BU563" s="39">
        <f>779+346+55+288+30+978+20</f>
        <v>2496</v>
      </c>
      <c r="BV563" s="39"/>
      <c r="BW563" s="39"/>
      <c r="BX563" s="39"/>
      <c r="BY563" s="39"/>
      <c r="BZ563" s="39">
        <f t="shared" si="668"/>
        <v>2496</v>
      </c>
      <c r="CA563" s="39">
        <f t="shared" si="468"/>
        <v>-4</v>
      </c>
      <c r="CB563" s="39">
        <f t="shared" si="469"/>
        <v>0</v>
      </c>
      <c r="CC563" s="39">
        <f t="shared" si="470"/>
        <v>0</v>
      </c>
      <c r="CD563" s="39">
        <v>0</v>
      </c>
      <c r="CE563" s="102">
        <f t="shared" si="472"/>
        <v>0</v>
      </c>
      <c r="CF563" s="36" t="s">
        <v>292</v>
      </c>
      <c r="CG563" s="39" t="s">
        <v>231</v>
      </c>
      <c r="CH563" s="39" t="s">
        <v>543</v>
      </c>
      <c r="CI563" s="25">
        <v>1</v>
      </c>
    </row>
    <row r="564" spans="1:87" ht="33.75" customHeight="1">
      <c r="A564" s="36" t="s">
        <v>388</v>
      </c>
      <c r="B564" s="27" t="s">
        <v>844</v>
      </c>
      <c r="C564" s="41" t="s">
        <v>721</v>
      </c>
      <c r="D564" s="36"/>
      <c r="E564" s="39">
        <v>180</v>
      </c>
      <c r="F564" s="39" t="s">
        <v>55</v>
      </c>
      <c r="G564" s="36" t="s">
        <v>23</v>
      </c>
      <c r="H564" s="36" t="s">
        <v>87</v>
      </c>
      <c r="I564" s="39">
        <v>511</v>
      </c>
      <c r="J564" s="39"/>
      <c r="K564" s="39"/>
      <c r="L564" s="39">
        <f t="shared" ref="L564:L567" si="681">SUM(I564:K564)</f>
        <v>511</v>
      </c>
      <c r="M564" s="117">
        <v>46162</v>
      </c>
      <c r="N564" s="117">
        <v>46167</v>
      </c>
      <c r="O564" s="39"/>
      <c r="P564" s="39"/>
      <c r="Q564" s="39"/>
      <c r="R564" s="39">
        <f t="shared" si="664"/>
        <v>0</v>
      </c>
      <c r="S564" s="39" t="s">
        <v>100</v>
      </c>
      <c r="T564" s="39"/>
      <c r="U564" s="39"/>
      <c r="V564" s="117">
        <v>46181</v>
      </c>
      <c r="W564" s="39">
        <v>559</v>
      </c>
      <c r="X564" s="117">
        <v>46190</v>
      </c>
      <c r="Y564" s="39">
        <v>512</v>
      </c>
      <c r="Z564" s="39"/>
      <c r="AA564" s="39"/>
      <c r="AB564" s="119">
        <f t="shared" si="665"/>
        <v>512</v>
      </c>
      <c r="AC564" s="39"/>
      <c r="AD564" s="39"/>
      <c r="AE564" s="39"/>
      <c r="AF564" s="39"/>
      <c r="AG564" s="39"/>
      <c r="AH564" s="39">
        <f t="shared" si="666"/>
        <v>0</v>
      </c>
      <c r="AI564" s="39"/>
      <c r="AJ564" s="39"/>
      <c r="AK564" s="39"/>
      <c r="AL564" s="39"/>
      <c r="AM564" s="39"/>
      <c r="AN564" s="39">
        <f t="shared" si="405"/>
        <v>0</v>
      </c>
      <c r="AO564" s="39"/>
      <c r="AP564" s="39"/>
      <c r="AQ564" s="39"/>
      <c r="AR564" s="39"/>
      <c r="AS564" s="39"/>
      <c r="AT564" s="39">
        <f t="shared" si="462"/>
        <v>0</v>
      </c>
      <c r="AU564" s="39"/>
      <c r="AV564" s="39"/>
      <c r="AW564" s="39"/>
      <c r="AX564" s="39"/>
      <c r="AY564" s="39"/>
      <c r="AZ564" s="39">
        <f t="shared" si="463"/>
        <v>0</v>
      </c>
      <c r="BA564" s="39"/>
      <c r="BB564" s="39"/>
      <c r="BC564" s="39"/>
      <c r="BD564" s="39"/>
      <c r="BE564" s="39"/>
      <c r="BF564" s="39">
        <f t="shared" si="464"/>
        <v>0</v>
      </c>
      <c r="BG564" s="39"/>
      <c r="BH564" s="39"/>
      <c r="BI564" s="39"/>
      <c r="BJ564" s="39"/>
      <c r="BK564" s="39"/>
      <c r="BL564" s="39">
        <f t="shared" si="667"/>
        <v>0</v>
      </c>
      <c r="BM564" s="54" t="str">
        <f t="shared" si="466"/>
        <v/>
      </c>
      <c r="BN564" s="58">
        <v>46181</v>
      </c>
      <c r="BO564" s="57">
        <v>46188</v>
      </c>
      <c r="BP564" s="36"/>
      <c r="BQ564" s="36"/>
      <c r="BR564" s="50">
        <v>46191</v>
      </c>
      <c r="BS564" s="50">
        <v>46191</v>
      </c>
      <c r="BT564" s="39">
        <v>1501</v>
      </c>
      <c r="BU564" s="39">
        <v>512</v>
      </c>
      <c r="BV564" s="39"/>
      <c r="BW564" s="39"/>
      <c r="BX564" s="39"/>
      <c r="BY564" s="39"/>
      <c r="BZ564" s="39">
        <f t="shared" si="668"/>
        <v>512</v>
      </c>
      <c r="CA564" s="39">
        <f t="shared" si="468"/>
        <v>1</v>
      </c>
      <c r="CB564" s="39">
        <f t="shared" si="469"/>
        <v>0</v>
      </c>
      <c r="CC564" s="39">
        <f t="shared" si="470"/>
        <v>0</v>
      </c>
      <c r="CD564" s="39">
        <f t="shared" si="471"/>
        <v>0</v>
      </c>
      <c r="CE564" s="102">
        <f t="shared" si="472"/>
        <v>0</v>
      </c>
      <c r="CF564" s="36" t="s">
        <v>295</v>
      </c>
      <c r="CG564" s="39" t="s">
        <v>224</v>
      </c>
      <c r="CH564" s="39"/>
      <c r="CI564" s="25">
        <v>1</v>
      </c>
    </row>
    <row r="565" spans="1:87" ht="24.75" customHeight="1">
      <c r="A565" s="36" t="s">
        <v>388</v>
      </c>
      <c r="B565" s="27">
        <v>47784</v>
      </c>
      <c r="C565" s="235">
        <v>15395035</v>
      </c>
      <c r="D565" s="36"/>
      <c r="E565" s="39">
        <v>250</v>
      </c>
      <c r="F565" s="39" t="s">
        <v>55</v>
      </c>
      <c r="G565" s="36" t="s">
        <v>439</v>
      </c>
      <c r="H565" s="36" t="s">
        <v>212</v>
      </c>
      <c r="I565" s="39">
        <v>300</v>
      </c>
      <c r="J565" s="39">
        <v>15</v>
      </c>
      <c r="K565" s="39"/>
      <c r="L565" s="39">
        <f t="shared" si="681"/>
        <v>315</v>
      </c>
      <c r="M565" s="117">
        <v>46165</v>
      </c>
      <c r="N565" s="117">
        <v>46181</v>
      </c>
      <c r="O565" s="39"/>
      <c r="P565" s="39"/>
      <c r="Q565" s="39"/>
      <c r="R565" s="39">
        <f t="shared" ref="R565:R567" si="682">SUM(O565:Q565)</f>
        <v>0</v>
      </c>
      <c r="S565" s="39" t="s">
        <v>130</v>
      </c>
      <c r="T565" s="39">
        <v>107034</v>
      </c>
      <c r="U565" s="117">
        <v>46195</v>
      </c>
      <c r="V565" s="39"/>
      <c r="W565" s="39"/>
      <c r="X565" s="39"/>
      <c r="Y565" s="39">
        <v>336</v>
      </c>
      <c r="Z565" s="39">
        <v>21</v>
      </c>
      <c r="AA565" s="39"/>
      <c r="AB565" s="119">
        <f t="shared" ref="AB565:AB567" si="683">SUM(Y565:AA565)</f>
        <v>357</v>
      </c>
      <c r="AC565" s="39"/>
      <c r="AD565" s="39"/>
      <c r="AE565" s="39"/>
      <c r="AF565" s="39"/>
      <c r="AG565" s="39"/>
      <c r="AH565" s="39">
        <f t="shared" si="666"/>
        <v>0</v>
      </c>
      <c r="AI565" s="39"/>
      <c r="AJ565" s="39"/>
      <c r="AK565" s="39"/>
      <c r="AL565" s="39"/>
      <c r="AM565" s="39"/>
      <c r="AN565" s="39">
        <f t="shared" si="405"/>
        <v>0</v>
      </c>
      <c r="AO565" s="39"/>
      <c r="AP565" s="39"/>
      <c r="AQ565" s="39"/>
      <c r="AR565" s="39"/>
      <c r="AS565" s="39"/>
      <c r="AT565" s="39">
        <f t="shared" si="462"/>
        <v>0</v>
      </c>
      <c r="AU565" s="39"/>
      <c r="AV565" s="39"/>
      <c r="AW565" s="39"/>
      <c r="AX565" s="39"/>
      <c r="AY565" s="39"/>
      <c r="AZ565" s="39">
        <f t="shared" si="463"/>
        <v>0</v>
      </c>
      <c r="BA565" s="39"/>
      <c r="BB565" s="39"/>
      <c r="BC565" s="39"/>
      <c r="BD565" s="39"/>
      <c r="BE565" s="39"/>
      <c r="BF565" s="39">
        <f t="shared" si="464"/>
        <v>0</v>
      </c>
      <c r="BG565" s="39"/>
      <c r="BH565" s="39"/>
      <c r="BI565" s="39"/>
      <c r="BJ565" s="39"/>
      <c r="BK565" s="39"/>
      <c r="BL565" s="39">
        <f t="shared" si="667"/>
        <v>0</v>
      </c>
      <c r="BM565" s="54" t="str">
        <f t="shared" si="466"/>
        <v/>
      </c>
      <c r="BN565" s="58">
        <v>46181</v>
      </c>
      <c r="BO565" s="57">
        <v>46191</v>
      </c>
      <c r="BP565" s="36"/>
      <c r="BQ565" s="36"/>
      <c r="BR565" s="237">
        <v>46197</v>
      </c>
      <c r="BS565" s="237">
        <v>46206</v>
      </c>
      <c r="BT565" s="39">
        <v>2119</v>
      </c>
      <c r="BU565" s="39">
        <v>303</v>
      </c>
      <c r="BV565" s="39">
        <v>2119</v>
      </c>
      <c r="BW565" s="39">
        <v>18</v>
      </c>
      <c r="BX565" s="39"/>
      <c r="BY565" s="39"/>
      <c r="BZ565" s="39">
        <f t="shared" si="668"/>
        <v>321</v>
      </c>
      <c r="CA565" s="39">
        <f t="shared" si="468"/>
        <v>3</v>
      </c>
      <c r="CB565" s="39">
        <f t="shared" si="469"/>
        <v>3</v>
      </c>
      <c r="CC565" s="39">
        <f t="shared" si="470"/>
        <v>0</v>
      </c>
      <c r="CD565" s="39">
        <f t="shared" si="471"/>
        <v>0</v>
      </c>
      <c r="CE565" s="102">
        <f t="shared" si="472"/>
        <v>0</v>
      </c>
      <c r="CF565" s="36" t="s">
        <v>295</v>
      </c>
      <c r="CG565" s="39" t="s">
        <v>224</v>
      </c>
      <c r="CH565" s="39"/>
      <c r="CI565" s="25">
        <v>1</v>
      </c>
    </row>
    <row r="566" spans="1:87" ht="24.75" customHeight="1">
      <c r="A566" s="36" t="s">
        <v>388</v>
      </c>
      <c r="B566" s="27">
        <v>47784</v>
      </c>
      <c r="C566" s="240"/>
      <c r="D566" s="36"/>
      <c r="E566" s="39">
        <v>250</v>
      </c>
      <c r="F566" s="39" t="s">
        <v>55</v>
      </c>
      <c r="G566" s="36" t="s">
        <v>23</v>
      </c>
      <c r="H566" s="36" t="s">
        <v>212</v>
      </c>
      <c r="I566" s="39">
        <v>390</v>
      </c>
      <c r="J566" s="39">
        <v>18</v>
      </c>
      <c r="K566" s="39"/>
      <c r="L566" s="39">
        <f t="shared" si="681"/>
        <v>408</v>
      </c>
      <c r="M566" s="117">
        <v>46165</v>
      </c>
      <c r="N566" s="117">
        <v>46181</v>
      </c>
      <c r="O566" s="39"/>
      <c r="P566" s="39"/>
      <c r="Q566" s="39"/>
      <c r="R566" s="39">
        <f t="shared" si="682"/>
        <v>0</v>
      </c>
      <c r="S566" s="39" t="s">
        <v>130</v>
      </c>
      <c r="T566" s="39">
        <v>107041</v>
      </c>
      <c r="U566" s="117">
        <v>46195</v>
      </c>
      <c r="V566" s="39"/>
      <c r="W566" s="39"/>
      <c r="X566" s="39"/>
      <c r="Y566" s="39">
        <v>422</v>
      </c>
      <c r="Z566" s="39">
        <v>21</v>
      </c>
      <c r="AA566" s="39"/>
      <c r="AB566" s="119">
        <f t="shared" si="683"/>
        <v>443</v>
      </c>
      <c r="AC566" s="39"/>
      <c r="AD566" s="39"/>
      <c r="AE566" s="39"/>
      <c r="AF566" s="39"/>
      <c r="AG566" s="39"/>
      <c r="AH566" s="39">
        <f t="shared" si="666"/>
        <v>0</v>
      </c>
      <c r="AI566" s="39"/>
      <c r="AJ566" s="39"/>
      <c r="AK566" s="39"/>
      <c r="AL566" s="39"/>
      <c r="AM566" s="39"/>
      <c r="AN566" s="39">
        <f t="shared" si="405"/>
        <v>0</v>
      </c>
      <c r="AO566" s="39"/>
      <c r="AP566" s="39"/>
      <c r="AQ566" s="39"/>
      <c r="AR566" s="39"/>
      <c r="AS566" s="39"/>
      <c r="AT566" s="39">
        <f t="shared" si="462"/>
        <v>0</v>
      </c>
      <c r="AU566" s="39"/>
      <c r="AV566" s="39"/>
      <c r="AW566" s="39"/>
      <c r="AX566" s="39"/>
      <c r="AY566" s="39"/>
      <c r="AZ566" s="39">
        <f t="shared" si="463"/>
        <v>0</v>
      </c>
      <c r="BA566" s="39"/>
      <c r="BB566" s="39"/>
      <c r="BC566" s="39"/>
      <c r="BD566" s="39"/>
      <c r="BE566" s="39"/>
      <c r="BF566" s="39">
        <f t="shared" si="464"/>
        <v>0</v>
      </c>
      <c r="BG566" s="39"/>
      <c r="BH566" s="39"/>
      <c r="BI566" s="39"/>
      <c r="BJ566" s="39"/>
      <c r="BK566" s="39"/>
      <c r="BL566" s="39">
        <f t="shared" si="667"/>
        <v>0</v>
      </c>
      <c r="BM566" s="54" t="str">
        <f t="shared" si="466"/>
        <v/>
      </c>
      <c r="BN566" s="58">
        <v>46181</v>
      </c>
      <c r="BO566" s="57">
        <v>46191</v>
      </c>
      <c r="BP566" s="36"/>
      <c r="BQ566" s="36"/>
      <c r="BR566" s="238"/>
      <c r="BS566" s="238"/>
      <c r="BT566" s="39">
        <v>2116</v>
      </c>
      <c r="BU566" s="39">
        <f>385</f>
        <v>385</v>
      </c>
      <c r="BV566" s="39">
        <v>2116</v>
      </c>
      <c r="BW566" s="39">
        <v>18</v>
      </c>
      <c r="BX566" s="39"/>
      <c r="BY566" s="39"/>
      <c r="BZ566" s="39">
        <f t="shared" si="668"/>
        <v>403</v>
      </c>
      <c r="CA566" s="39">
        <f t="shared" si="468"/>
        <v>-5</v>
      </c>
      <c r="CB566" s="39">
        <f t="shared" si="469"/>
        <v>0</v>
      </c>
      <c r="CC566" s="39">
        <f t="shared" si="470"/>
        <v>0</v>
      </c>
      <c r="CD566" s="39">
        <v>0</v>
      </c>
      <c r="CE566" s="102">
        <f t="shared" si="472"/>
        <v>0</v>
      </c>
      <c r="CF566" s="36" t="s">
        <v>295</v>
      </c>
      <c r="CG566" s="39" t="s">
        <v>224</v>
      </c>
      <c r="CH566" s="39"/>
      <c r="CI566" s="25">
        <v>1</v>
      </c>
    </row>
    <row r="567" spans="1:87" ht="24.75" customHeight="1">
      <c r="A567" s="36" t="s">
        <v>388</v>
      </c>
      <c r="B567" s="27">
        <v>47784</v>
      </c>
      <c r="C567" s="236"/>
      <c r="D567" s="36"/>
      <c r="E567" s="39">
        <v>250</v>
      </c>
      <c r="F567" s="39" t="s">
        <v>55</v>
      </c>
      <c r="G567" s="36" t="s">
        <v>291</v>
      </c>
      <c r="H567" s="36" t="s">
        <v>212</v>
      </c>
      <c r="I567" s="39">
        <v>295</v>
      </c>
      <c r="J567" s="39">
        <v>14</v>
      </c>
      <c r="K567" s="39"/>
      <c r="L567" s="39">
        <f t="shared" si="681"/>
        <v>309</v>
      </c>
      <c r="M567" s="117">
        <v>46165</v>
      </c>
      <c r="N567" s="117">
        <v>46181</v>
      </c>
      <c r="O567" s="39"/>
      <c r="P567" s="39"/>
      <c r="Q567" s="39"/>
      <c r="R567" s="39">
        <f t="shared" si="682"/>
        <v>0</v>
      </c>
      <c r="S567" s="39" t="s">
        <v>130</v>
      </c>
      <c r="T567" s="39">
        <v>107183</v>
      </c>
      <c r="U567" s="117">
        <v>46197</v>
      </c>
      <c r="V567" s="39"/>
      <c r="W567" s="39"/>
      <c r="X567" s="39"/>
      <c r="Y567" s="39">
        <v>330</v>
      </c>
      <c r="Z567" s="39">
        <v>21</v>
      </c>
      <c r="AA567" s="39"/>
      <c r="AB567" s="119">
        <f t="shared" si="683"/>
        <v>351</v>
      </c>
      <c r="AC567" s="39"/>
      <c r="AD567" s="39"/>
      <c r="AE567" s="39"/>
      <c r="AF567" s="39"/>
      <c r="AG567" s="39"/>
      <c r="AH567" s="39">
        <f t="shared" si="666"/>
        <v>0</v>
      </c>
      <c r="AI567" s="39"/>
      <c r="AJ567" s="39"/>
      <c r="AK567" s="39"/>
      <c r="AL567" s="39"/>
      <c r="AM567" s="39"/>
      <c r="AN567" s="39">
        <f t="shared" si="405"/>
        <v>0</v>
      </c>
      <c r="AO567" s="39"/>
      <c r="AP567" s="39"/>
      <c r="AQ567" s="39"/>
      <c r="AR567" s="39"/>
      <c r="AS567" s="39"/>
      <c r="AT567" s="39">
        <f t="shared" si="462"/>
        <v>0</v>
      </c>
      <c r="AU567" s="39"/>
      <c r="AV567" s="39"/>
      <c r="AW567" s="39"/>
      <c r="AX567" s="39"/>
      <c r="AY567" s="39"/>
      <c r="AZ567" s="39">
        <f t="shared" si="463"/>
        <v>0</v>
      </c>
      <c r="BA567" s="39"/>
      <c r="BB567" s="39"/>
      <c r="BC567" s="39"/>
      <c r="BD567" s="39"/>
      <c r="BE567" s="39"/>
      <c r="BF567" s="39">
        <f t="shared" si="464"/>
        <v>0</v>
      </c>
      <c r="BG567" s="39" t="s">
        <v>28</v>
      </c>
      <c r="BH567" s="117">
        <v>46198</v>
      </c>
      <c r="BI567" s="39">
        <f>330+21</f>
        <v>351</v>
      </c>
      <c r="BJ567" s="117">
        <v>46200</v>
      </c>
      <c r="BK567" s="39">
        <f>293+19</f>
        <v>312</v>
      </c>
      <c r="BL567" s="39">
        <f t="shared" si="667"/>
        <v>-39</v>
      </c>
      <c r="BM567" s="54" t="str">
        <f t="shared" si="466"/>
        <v/>
      </c>
      <c r="BN567" s="58">
        <v>46181</v>
      </c>
      <c r="BO567" s="57">
        <v>46191</v>
      </c>
      <c r="BP567" s="36"/>
      <c r="BQ567" s="36"/>
      <c r="BR567" s="239"/>
      <c r="BS567" s="239"/>
      <c r="BT567" s="39">
        <v>1515</v>
      </c>
      <c r="BU567" s="39">
        <v>293</v>
      </c>
      <c r="BV567" s="39">
        <v>2009</v>
      </c>
      <c r="BW567" s="39">
        <v>17</v>
      </c>
      <c r="BX567" s="39"/>
      <c r="BY567" s="39"/>
      <c r="BZ567" s="39">
        <f t="shared" si="668"/>
        <v>310</v>
      </c>
      <c r="CA567" s="39">
        <f t="shared" si="468"/>
        <v>-2</v>
      </c>
      <c r="CB567" s="39">
        <f t="shared" si="469"/>
        <v>3</v>
      </c>
      <c r="CC567" s="39">
        <f t="shared" si="470"/>
        <v>0</v>
      </c>
      <c r="CD567" s="39">
        <v>0</v>
      </c>
      <c r="CE567" s="102">
        <f t="shared" si="472"/>
        <v>0</v>
      </c>
      <c r="CF567" s="36" t="s">
        <v>295</v>
      </c>
      <c r="CG567" s="39" t="s">
        <v>224</v>
      </c>
      <c r="CH567" s="39"/>
      <c r="CI567" s="25">
        <v>1</v>
      </c>
    </row>
    <row r="568" spans="1:87" ht="24.75" customHeight="1">
      <c r="A568" s="36" t="s">
        <v>388</v>
      </c>
      <c r="B568" s="27"/>
      <c r="C568" s="36"/>
      <c r="D568" s="36"/>
      <c r="E568" s="39"/>
      <c r="F568" s="39"/>
      <c r="G568" s="36"/>
      <c r="H568" s="39"/>
      <c r="I568" s="39"/>
      <c r="J568" s="39"/>
      <c r="K568" s="39"/>
      <c r="L568" s="39">
        <f t="shared" si="663"/>
        <v>0</v>
      </c>
      <c r="M568" s="39"/>
      <c r="N568" s="39"/>
      <c r="O568" s="39"/>
      <c r="P568" s="39"/>
      <c r="Q568" s="39"/>
      <c r="R568" s="39">
        <f t="shared" si="664"/>
        <v>0</v>
      </c>
      <c r="S568" s="39"/>
      <c r="T568" s="39"/>
      <c r="U568" s="39"/>
      <c r="V568" s="39"/>
      <c r="W568" s="39"/>
      <c r="X568" s="39"/>
      <c r="Y568" s="39"/>
      <c r="Z568" s="39"/>
      <c r="AA568" s="39"/>
      <c r="AB568" s="39">
        <f t="shared" si="665"/>
        <v>0</v>
      </c>
      <c r="AC568" s="39"/>
      <c r="AD568" s="39"/>
      <c r="AE568" s="39"/>
      <c r="AF568" s="39"/>
      <c r="AG568" s="39"/>
      <c r="AH568" s="39">
        <f t="shared" si="666"/>
        <v>0</v>
      </c>
      <c r="AI568" s="39"/>
      <c r="AJ568" s="39"/>
      <c r="AK568" s="39"/>
      <c r="AL568" s="39"/>
      <c r="AM568" s="39"/>
      <c r="AN568" s="39">
        <f t="shared" si="405"/>
        <v>0</v>
      </c>
      <c r="AO568" s="39"/>
      <c r="AP568" s="39"/>
      <c r="AQ568" s="39"/>
      <c r="AR568" s="39"/>
      <c r="AS568" s="39"/>
      <c r="AT568" s="39">
        <f t="shared" si="462"/>
        <v>0</v>
      </c>
      <c r="AU568" s="39"/>
      <c r="AV568" s="39"/>
      <c r="AW568" s="39"/>
      <c r="AX568" s="39"/>
      <c r="AY568" s="39"/>
      <c r="AZ568" s="39">
        <f t="shared" si="463"/>
        <v>0</v>
      </c>
      <c r="BA568" s="39"/>
      <c r="BB568" s="39"/>
      <c r="BC568" s="39"/>
      <c r="BD568" s="39"/>
      <c r="BE568" s="39"/>
      <c r="BF568" s="39">
        <f t="shared" si="464"/>
        <v>0</v>
      </c>
      <c r="BG568" s="39"/>
      <c r="BH568" s="39"/>
      <c r="BI568" s="39"/>
      <c r="BJ568" s="39"/>
      <c r="BK568" s="39"/>
      <c r="BL568" s="39">
        <f t="shared" si="667"/>
        <v>0</v>
      </c>
      <c r="BM568" s="54" t="e">
        <f t="shared" si="466"/>
        <v>#DIV/0!</v>
      </c>
      <c r="BN568" s="42"/>
      <c r="BO568" s="39"/>
      <c r="BP568" s="39"/>
      <c r="BQ568" s="39"/>
      <c r="BR568" s="40"/>
      <c r="BS568" s="40"/>
      <c r="BT568" s="39"/>
      <c r="BU568" s="39"/>
      <c r="BV568" s="39"/>
      <c r="BW568" s="39"/>
      <c r="BX568" s="39"/>
      <c r="BY568" s="39"/>
      <c r="BZ568" s="39">
        <f t="shared" si="668"/>
        <v>0</v>
      </c>
      <c r="CA568" s="39">
        <f t="shared" si="468"/>
        <v>0</v>
      </c>
      <c r="CB568" s="39">
        <f t="shared" si="469"/>
        <v>0</v>
      </c>
      <c r="CC568" s="39">
        <f t="shared" si="470"/>
        <v>0</v>
      </c>
      <c r="CD568" s="39">
        <f t="shared" si="471"/>
        <v>0</v>
      </c>
      <c r="CE568" s="47" t="e">
        <f t="shared" si="472"/>
        <v>#DIV/0!</v>
      </c>
      <c r="CF568" s="36"/>
      <c r="CG568" s="39"/>
      <c r="CH568" s="39"/>
      <c r="CI568" s="25">
        <v>1</v>
      </c>
    </row>
    <row r="569" spans="1:87" ht="24.75" customHeight="1">
      <c r="A569" s="36" t="s">
        <v>388</v>
      </c>
      <c r="B569" s="27"/>
      <c r="C569" s="36"/>
      <c r="D569" s="36"/>
      <c r="E569" s="39"/>
      <c r="F569" s="39"/>
      <c r="G569" s="36"/>
      <c r="H569" s="39"/>
      <c r="I569" s="39"/>
      <c r="J569" s="39"/>
      <c r="K569" s="39"/>
      <c r="L569" s="39">
        <f t="shared" si="663"/>
        <v>0</v>
      </c>
      <c r="M569" s="39"/>
      <c r="N569" s="39"/>
      <c r="O569" s="39"/>
      <c r="P569" s="39"/>
      <c r="Q569" s="39"/>
      <c r="R569" s="39">
        <f t="shared" si="664"/>
        <v>0</v>
      </c>
      <c r="S569" s="39"/>
      <c r="T569" s="39"/>
      <c r="U569" s="39"/>
      <c r="V569" s="39"/>
      <c r="W569" s="39"/>
      <c r="X569" s="39"/>
      <c r="Y569" s="39"/>
      <c r="Z569" s="39"/>
      <c r="AA569" s="39"/>
      <c r="AB569" s="39">
        <f t="shared" si="665"/>
        <v>0</v>
      </c>
      <c r="AC569" s="39"/>
      <c r="AD569" s="39"/>
      <c r="AE569" s="39"/>
      <c r="AF569" s="39"/>
      <c r="AG569" s="39"/>
      <c r="AH569" s="39">
        <f t="shared" si="666"/>
        <v>0</v>
      </c>
      <c r="AI569" s="39"/>
      <c r="AJ569" s="39"/>
      <c r="AK569" s="39"/>
      <c r="AL569" s="39"/>
      <c r="AM569" s="39"/>
      <c r="AN569" s="39">
        <f t="shared" si="405"/>
        <v>0</v>
      </c>
      <c r="AO569" s="39"/>
      <c r="AP569" s="39"/>
      <c r="AQ569" s="39"/>
      <c r="AR569" s="39"/>
      <c r="AS569" s="39"/>
      <c r="AT569" s="39">
        <f t="shared" si="462"/>
        <v>0</v>
      </c>
      <c r="AU569" s="39"/>
      <c r="AV569" s="39"/>
      <c r="AW569" s="39"/>
      <c r="AX569" s="39"/>
      <c r="AY569" s="39"/>
      <c r="AZ569" s="39">
        <f t="shared" si="463"/>
        <v>0</v>
      </c>
      <c r="BA569" s="39"/>
      <c r="BB569" s="39"/>
      <c r="BC569" s="39"/>
      <c r="BD569" s="39"/>
      <c r="BE569" s="39"/>
      <c r="BF569" s="39">
        <f t="shared" si="464"/>
        <v>0</v>
      </c>
      <c r="BG569" s="39"/>
      <c r="BH569" s="39"/>
      <c r="BI569" s="39"/>
      <c r="BJ569" s="39"/>
      <c r="BK569" s="39"/>
      <c r="BL569" s="39">
        <f t="shared" si="667"/>
        <v>0</v>
      </c>
      <c r="BM569" s="54" t="e">
        <f t="shared" si="466"/>
        <v>#DIV/0!</v>
      </c>
      <c r="BN569" s="42"/>
      <c r="BO569" s="39"/>
      <c r="BP569" s="39"/>
      <c r="BQ569" s="39"/>
      <c r="BR569" s="40"/>
      <c r="BS569" s="40"/>
      <c r="BT569" s="39"/>
      <c r="BU569" s="39"/>
      <c r="BV569" s="39"/>
      <c r="BW569" s="39"/>
      <c r="BX569" s="39"/>
      <c r="BY569" s="39"/>
      <c r="BZ569" s="39">
        <f t="shared" si="668"/>
        <v>0</v>
      </c>
      <c r="CA569" s="39">
        <f t="shared" si="468"/>
        <v>0</v>
      </c>
      <c r="CB569" s="39">
        <f t="shared" si="469"/>
        <v>0</v>
      </c>
      <c r="CC569" s="39">
        <f t="shared" si="470"/>
        <v>0</v>
      </c>
      <c r="CD569" s="39">
        <f t="shared" si="471"/>
        <v>0</v>
      </c>
      <c r="CE569" s="47" t="e">
        <f t="shared" si="472"/>
        <v>#DIV/0!</v>
      </c>
      <c r="CF569" s="36"/>
      <c r="CG569" s="39"/>
      <c r="CH569" s="39"/>
      <c r="CI569" s="25">
        <v>1</v>
      </c>
    </row>
    <row r="570" spans="1:87" ht="24.75" customHeight="1">
      <c r="A570" s="36" t="s">
        <v>388</v>
      </c>
      <c r="B570" s="27"/>
      <c r="C570" s="36"/>
      <c r="D570" s="36"/>
      <c r="E570" s="39"/>
      <c r="F570" s="39"/>
      <c r="G570" s="36"/>
      <c r="H570" s="39"/>
      <c r="I570" s="39"/>
      <c r="J570" s="39"/>
      <c r="K570" s="39"/>
      <c r="L570" s="39">
        <f t="shared" si="663"/>
        <v>0</v>
      </c>
      <c r="M570" s="39"/>
      <c r="N570" s="39"/>
      <c r="O570" s="39"/>
      <c r="P570" s="39"/>
      <c r="Q570" s="39"/>
      <c r="R570" s="39">
        <f t="shared" si="664"/>
        <v>0</v>
      </c>
      <c r="S570" s="39"/>
      <c r="T570" s="39"/>
      <c r="U570" s="39"/>
      <c r="V570" s="39"/>
      <c r="W570" s="39"/>
      <c r="X570" s="39"/>
      <c r="Y570" s="39"/>
      <c r="Z570" s="39"/>
      <c r="AA570" s="39"/>
      <c r="AB570" s="39">
        <f t="shared" si="665"/>
        <v>0</v>
      </c>
      <c r="AC570" s="39"/>
      <c r="AD570" s="39"/>
      <c r="AE570" s="39"/>
      <c r="AF570" s="39"/>
      <c r="AG570" s="39"/>
      <c r="AH570" s="39">
        <f t="shared" si="666"/>
        <v>0</v>
      </c>
      <c r="AI570" s="39"/>
      <c r="AJ570" s="39"/>
      <c r="AK570" s="39"/>
      <c r="AL570" s="39"/>
      <c r="AM570" s="39"/>
      <c r="AN570" s="39">
        <f t="shared" si="405"/>
        <v>0</v>
      </c>
      <c r="AO570" s="39"/>
      <c r="AP570" s="39"/>
      <c r="AQ570" s="39"/>
      <c r="AR570" s="39"/>
      <c r="AS570" s="39"/>
      <c r="AT570" s="39">
        <f t="shared" si="462"/>
        <v>0</v>
      </c>
      <c r="AU570" s="39"/>
      <c r="AV570" s="39"/>
      <c r="AW570" s="39"/>
      <c r="AX570" s="39"/>
      <c r="AY570" s="39"/>
      <c r="AZ570" s="39">
        <f t="shared" si="463"/>
        <v>0</v>
      </c>
      <c r="BA570" s="39"/>
      <c r="BB570" s="39"/>
      <c r="BC570" s="39"/>
      <c r="BD570" s="39"/>
      <c r="BE570" s="39"/>
      <c r="BF570" s="39">
        <f t="shared" si="464"/>
        <v>0</v>
      </c>
      <c r="BG570" s="39"/>
      <c r="BH570" s="39"/>
      <c r="BI570" s="39"/>
      <c r="BJ570" s="39"/>
      <c r="BK570" s="39"/>
      <c r="BL570" s="39">
        <f t="shared" si="667"/>
        <v>0</v>
      </c>
      <c r="BM570" s="54" t="e">
        <f t="shared" si="466"/>
        <v>#DIV/0!</v>
      </c>
      <c r="BN570" s="42"/>
      <c r="BO570" s="39"/>
      <c r="BP570" s="39"/>
      <c r="BQ570" s="39"/>
      <c r="BR570" s="40"/>
      <c r="BS570" s="40"/>
      <c r="BT570" s="39"/>
      <c r="BU570" s="39"/>
      <c r="BV570" s="39"/>
      <c r="BW570" s="39"/>
      <c r="BX570" s="39"/>
      <c r="BY570" s="39"/>
      <c r="BZ570" s="39">
        <f t="shared" si="668"/>
        <v>0</v>
      </c>
      <c r="CA570" s="39">
        <f t="shared" si="468"/>
        <v>0</v>
      </c>
      <c r="CB570" s="39">
        <f t="shared" si="469"/>
        <v>0</v>
      </c>
      <c r="CC570" s="39">
        <f t="shared" si="470"/>
        <v>0</v>
      </c>
      <c r="CD570" s="39">
        <f t="shared" si="471"/>
        <v>0</v>
      </c>
      <c r="CE570" s="47" t="e">
        <f t="shared" si="472"/>
        <v>#DIV/0!</v>
      </c>
      <c r="CF570" s="36"/>
      <c r="CG570" s="39"/>
      <c r="CH570" s="39"/>
      <c r="CI570" s="25">
        <v>1</v>
      </c>
    </row>
    <row r="571" spans="1:87" ht="24.75" customHeight="1">
      <c r="A571" s="36" t="s">
        <v>388</v>
      </c>
      <c r="B571" s="27"/>
      <c r="C571" s="36"/>
      <c r="D571" s="36"/>
      <c r="E571" s="39"/>
      <c r="F571" s="39"/>
      <c r="G571" s="36"/>
      <c r="H571" s="39"/>
      <c r="I571" s="39"/>
      <c r="J571" s="39"/>
      <c r="K571" s="39"/>
      <c r="L571" s="39">
        <f t="shared" si="663"/>
        <v>0</v>
      </c>
      <c r="M571" s="39"/>
      <c r="N571" s="39"/>
      <c r="O571" s="39"/>
      <c r="P571" s="39"/>
      <c r="Q571" s="39"/>
      <c r="R571" s="39">
        <f t="shared" si="664"/>
        <v>0</v>
      </c>
      <c r="S571" s="39"/>
      <c r="T571" s="39"/>
      <c r="U571" s="39"/>
      <c r="V571" s="39"/>
      <c r="W571" s="39"/>
      <c r="X571" s="39"/>
      <c r="Y571" s="39"/>
      <c r="Z571" s="39"/>
      <c r="AA571" s="39"/>
      <c r="AB571" s="39">
        <f t="shared" si="665"/>
        <v>0</v>
      </c>
      <c r="AC571" s="39"/>
      <c r="AD571" s="39"/>
      <c r="AE571" s="39"/>
      <c r="AF571" s="39"/>
      <c r="AG571" s="39"/>
      <c r="AH571" s="39">
        <f t="shared" si="666"/>
        <v>0</v>
      </c>
      <c r="AI571" s="39"/>
      <c r="AJ571" s="39"/>
      <c r="AK571" s="39"/>
      <c r="AL571" s="39"/>
      <c r="AM571" s="39"/>
      <c r="AN571" s="39">
        <f t="shared" si="405"/>
        <v>0</v>
      </c>
      <c r="AO571" s="39"/>
      <c r="AP571" s="39"/>
      <c r="AQ571" s="39"/>
      <c r="AR571" s="39"/>
      <c r="AS571" s="39"/>
      <c r="AT571" s="39">
        <f t="shared" si="462"/>
        <v>0</v>
      </c>
      <c r="AU571" s="39"/>
      <c r="AV571" s="39"/>
      <c r="AW571" s="39"/>
      <c r="AX571" s="39"/>
      <c r="AY571" s="39"/>
      <c r="AZ571" s="39">
        <f t="shared" si="463"/>
        <v>0</v>
      </c>
      <c r="BA571" s="39"/>
      <c r="BB571" s="39"/>
      <c r="BC571" s="39"/>
      <c r="BD571" s="39"/>
      <c r="BE571" s="39"/>
      <c r="BF571" s="39">
        <f t="shared" si="464"/>
        <v>0</v>
      </c>
      <c r="BG571" s="39"/>
      <c r="BH571" s="39"/>
      <c r="BI571" s="39"/>
      <c r="BJ571" s="39"/>
      <c r="BK571" s="39"/>
      <c r="BL571" s="39">
        <f t="shared" si="667"/>
        <v>0</v>
      </c>
      <c r="BM571" s="54" t="e">
        <f t="shared" si="466"/>
        <v>#DIV/0!</v>
      </c>
      <c r="BN571" s="42"/>
      <c r="BO571" s="39"/>
      <c r="BP571" s="39"/>
      <c r="BQ571" s="39"/>
      <c r="BR571" s="40"/>
      <c r="BS571" s="40"/>
      <c r="BT571" s="39"/>
      <c r="BU571" s="39"/>
      <c r="BV571" s="39"/>
      <c r="BW571" s="39"/>
      <c r="BX571" s="39"/>
      <c r="BY571" s="39"/>
      <c r="BZ571" s="39">
        <f t="shared" si="668"/>
        <v>0</v>
      </c>
      <c r="CA571" s="39">
        <f t="shared" si="468"/>
        <v>0</v>
      </c>
      <c r="CB571" s="39">
        <f t="shared" si="469"/>
        <v>0</v>
      </c>
      <c r="CC571" s="39">
        <f t="shared" si="470"/>
        <v>0</v>
      </c>
      <c r="CD571" s="39">
        <f t="shared" si="471"/>
        <v>0</v>
      </c>
      <c r="CE571" s="47" t="e">
        <f t="shared" si="472"/>
        <v>#DIV/0!</v>
      </c>
      <c r="CF571" s="36"/>
      <c r="CG571" s="39"/>
      <c r="CH571" s="39"/>
      <c r="CI571" s="25">
        <v>1</v>
      </c>
    </row>
    <row r="572" spans="1:87" ht="24.75" customHeight="1">
      <c r="A572" s="36" t="s">
        <v>388</v>
      </c>
      <c r="B572" s="27"/>
      <c r="C572" s="36"/>
      <c r="D572" s="36"/>
      <c r="E572" s="39"/>
      <c r="F572" s="39"/>
      <c r="G572" s="36"/>
      <c r="H572" s="39"/>
      <c r="I572" s="39"/>
      <c r="J572" s="39"/>
      <c r="K572" s="39"/>
      <c r="L572" s="39">
        <f t="shared" si="663"/>
        <v>0</v>
      </c>
      <c r="M572" s="39"/>
      <c r="N572" s="39"/>
      <c r="O572" s="39"/>
      <c r="P572" s="39"/>
      <c r="Q572" s="39"/>
      <c r="R572" s="39">
        <f t="shared" si="664"/>
        <v>0</v>
      </c>
      <c r="S572" s="39"/>
      <c r="T572" s="39"/>
      <c r="U572" s="39"/>
      <c r="V572" s="39"/>
      <c r="W572" s="39"/>
      <c r="X572" s="39"/>
      <c r="Y572" s="39"/>
      <c r="Z572" s="39"/>
      <c r="AA572" s="39"/>
      <c r="AB572" s="39">
        <f t="shared" si="665"/>
        <v>0</v>
      </c>
      <c r="AC572" s="39"/>
      <c r="AD572" s="39"/>
      <c r="AE572" s="39"/>
      <c r="AF572" s="39"/>
      <c r="AG572" s="39"/>
      <c r="AH572" s="39">
        <f t="shared" si="666"/>
        <v>0</v>
      </c>
      <c r="AI572" s="39"/>
      <c r="AJ572" s="39"/>
      <c r="AK572" s="39"/>
      <c r="AL572" s="39"/>
      <c r="AM572" s="39"/>
      <c r="AN572" s="39">
        <f t="shared" si="405"/>
        <v>0</v>
      </c>
      <c r="AO572" s="39"/>
      <c r="AP572" s="39"/>
      <c r="AQ572" s="39"/>
      <c r="AR572" s="39"/>
      <c r="AS572" s="39"/>
      <c r="AT572" s="39">
        <f t="shared" si="462"/>
        <v>0</v>
      </c>
      <c r="AU572" s="39"/>
      <c r="AV572" s="39"/>
      <c r="AW572" s="39"/>
      <c r="AX572" s="39"/>
      <c r="AY572" s="39"/>
      <c r="AZ572" s="39">
        <f t="shared" si="463"/>
        <v>0</v>
      </c>
      <c r="BA572" s="39"/>
      <c r="BB572" s="39"/>
      <c r="BC572" s="39"/>
      <c r="BD572" s="39"/>
      <c r="BE572" s="39"/>
      <c r="BF572" s="39">
        <f t="shared" si="464"/>
        <v>0</v>
      </c>
      <c r="BG572" s="39"/>
      <c r="BH572" s="39"/>
      <c r="BI572" s="39"/>
      <c r="BJ572" s="39"/>
      <c r="BK572" s="39"/>
      <c r="BL572" s="39">
        <f t="shared" si="667"/>
        <v>0</v>
      </c>
      <c r="BM572" s="54" t="e">
        <f t="shared" si="466"/>
        <v>#DIV/0!</v>
      </c>
      <c r="BN572" s="42"/>
      <c r="BO572" s="39"/>
      <c r="BP572" s="39"/>
      <c r="BQ572" s="39"/>
      <c r="BR572" s="40"/>
      <c r="BS572" s="40"/>
      <c r="BT572" s="39"/>
      <c r="BU572" s="39"/>
      <c r="BV572" s="39"/>
      <c r="BW572" s="39"/>
      <c r="BX572" s="39"/>
      <c r="BY572" s="39"/>
      <c r="BZ572" s="39">
        <f t="shared" si="668"/>
        <v>0</v>
      </c>
      <c r="CA572" s="39">
        <f t="shared" si="468"/>
        <v>0</v>
      </c>
      <c r="CB572" s="39">
        <f t="shared" si="469"/>
        <v>0</v>
      </c>
      <c r="CC572" s="39">
        <f t="shared" si="470"/>
        <v>0</v>
      </c>
      <c r="CD572" s="39">
        <f t="shared" si="471"/>
        <v>0</v>
      </c>
      <c r="CE572" s="47" t="e">
        <f t="shared" si="472"/>
        <v>#DIV/0!</v>
      </c>
      <c r="CF572" s="36"/>
      <c r="CG572" s="39"/>
      <c r="CH572" s="39"/>
      <c r="CI572" s="25">
        <v>1</v>
      </c>
    </row>
    <row r="573" spans="1:87" ht="24.75" customHeight="1">
      <c r="A573" s="36" t="s">
        <v>388</v>
      </c>
      <c r="B573" s="27"/>
      <c r="C573" s="36"/>
      <c r="D573" s="36"/>
      <c r="E573" s="39"/>
      <c r="F573" s="39"/>
      <c r="G573" s="36"/>
      <c r="H573" s="39"/>
      <c r="I573" s="39"/>
      <c r="J573" s="39"/>
      <c r="K573" s="39"/>
      <c r="L573" s="39">
        <f t="shared" si="663"/>
        <v>0</v>
      </c>
      <c r="M573" s="39"/>
      <c r="N573" s="39"/>
      <c r="O573" s="39"/>
      <c r="P573" s="39"/>
      <c r="Q573" s="39"/>
      <c r="R573" s="39">
        <f t="shared" si="664"/>
        <v>0</v>
      </c>
      <c r="S573" s="39"/>
      <c r="T573" s="39"/>
      <c r="U573" s="39"/>
      <c r="V573" s="39"/>
      <c r="W573" s="39"/>
      <c r="X573" s="39"/>
      <c r="Y573" s="39"/>
      <c r="Z573" s="39"/>
      <c r="AA573" s="39"/>
      <c r="AB573" s="39">
        <f t="shared" si="665"/>
        <v>0</v>
      </c>
      <c r="AC573" s="39"/>
      <c r="AD573" s="39"/>
      <c r="AE573" s="39"/>
      <c r="AF573" s="39"/>
      <c r="AG573" s="39"/>
      <c r="AH573" s="39">
        <f t="shared" si="666"/>
        <v>0</v>
      </c>
      <c r="AI573" s="39"/>
      <c r="AJ573" s="39"/>
      <c r="AK573" s="39"/>
      <c r="AL573" s="39"/>
      <c r="AM573" s="39"/>
      <c r="AN573" s="39">
        <f t="shared" si="405"/>
        <v>0</v>
      </c>
      <c r="AO573" s="39"/>
      <c r="AP573" s="39"/>
      <c r="AQ573" s="39"/>
      <c r="AR573" s="39"/>
      <c r="AS573" s="39"/>
      <c r="AT573" s="39">
        <f t="shared" si="462"/>
        <v>0</v>
      </c>
      <c r="AU573" s="39"/>
      <c r="AV573" s="39"/>
      <c r="AW573" s="39"/>
      <c r="AX573" s="39"/>
      <c r="AY573" s="39"/>
      <c r="AZ573" s="39">
        <f t="shared" si="463"/>
        <v>0</v>
      </c>
      <c r="BA573" s="39"/>
      <c r="BB573" s="39"/>
      <c r="BC573" s="39"/>
      <c r="BD573" s="39"/>
      <c r="BE573" s="39"/>
      <c r="BF573" s="39">
        <f t="shared" si="464"/>
        <v>0</v>
      </c>
      <c r="BG573" s="39"/>
      <c r="BH573" s="39"/>
      <c r="BI573" s="39"/>
      <c r="BJ573" s="39"/>
      <c r="BK573" s="39"/>
      <c r="BL573" s="39">
        <f t="shared" si="667"/>
        <v>0</v>
      </c>
      <c r="BM573" s="54" t="e">
        <f t="shared" si="466"/>
        <v>#DIV/0!</v>
      </c>
      <c r="BN573" s="42"/>
      <c r="BO573" s="39"/>
      <c r="BP573" s="39"/>
      <c r="BQ573" s="39"/>
      <c r="BR573" s="40"/>
      <c r="BS573" s="40"/>
      <c r="BT573" s="39"/>
      <c r="BU573" s="39"/>
      <c r="BV573" s="39"/>
      <c r="BW573" s="39"/>
      <c r="BX573" s="39"/>
      <c r="BY573" s="39"/>
      <c r="BZ573" s="39">
        <f t="shared" si="668"/>
        <v>0</v>
      </c>
      <c r="CA573" s="39">
        <f t="shared" si="468"/>
        <v>0</v>
      </c>
      <c r="CB573" s="39">
        <f t="shared" si="469"/>
        <v>0</v>
      </c>
      <c r="CC573" s="39">
        <f t="shared" si="470"/>
        <v>0</v>
      </c>
      <c r="CD573" s="39">
        <f t="shared" si="471"/>
        <v>0</v>
      </c>
      <c r="CE573" s="47" t="e">
        <f t="shared" si="472"/>
        <v>#DIV/0!</v>
      </c>
      <c r="CF573" s="36"/>
      <c r="CG573" s="39"/>
      <c r="CH573" s="39"/>
      <c r="CI573" s="25">
        <v>1</v>
      </c>
    </row>
    <row r="574" spans="1:87" ht="24.75" customHeight="1">
      <c r="A574" s="36" t="s">
        <v>388</v>
      </c>
      <c r="B574" s="27"/>
      <c r="C574" s="36"/>
      <c r="D574" s="36"/>
      <c r="E574" s="39"/>
      <c r="F574" s="39"/>
      <c r="G574" s="36"/>
      <c r="H574" s="39"/>
      <c r="I574" s="39"/>
      <c r="J574" s="39"/>
      <c r="K574" s="39"/>
      <c r="L574" s="39">
        <f t="shared" si="663"/>
        <v>0</v>
      </c>
      <c r="M574" s="39"/>
      <c r="N574" s="39"/>
      <c r="O574" s="39"/>
      <c r="P574" s="39"/>
      <c r="Q574" s="39"/>
      <c r="R574" s="39">
        <f t="shared" si="664"/>
        <v>0</v>
      </c>
      <c r="S574" s="39"/>
      <c r="T574" s="39"/>
      <c r="U574" s="39"/>
      <c r="V574" s="39"/>
      <c r="W574" s="39"/>
      <c r="X574" s="39"/>
      <c r="Y574" s="39"/>
      <c r="Z574" s="39"/>
      <c r="AA574" s="39"/>
      <c r="AB574" s="39">
        <f t="shared" si="665"/>
        <v>0</v>
      </c>
      <c r="AC574" s="39"/>
      <c r="AD574" s="39"/>
      <c r="AE574" s="39"/>
      <c r="AF574" s="39"/>
      <c r="AG574" s="39"/>
      <c r="AH574" s="39">
        <f t="shared" si="666"/>
        <v>0</v>
      </c>
      <c r="AI574" s="39"/>
      <c r="AJ574" s="39"/>
      <c r="AK574" s="39"/>
      <c r="AL574" s="39"/>
      <c r="AM574" s="39"/>
      <c r="AN574" s="39">
        <f t="shared" si="405"/>
        <v>0</v>
      </c>
      <c r="AO574" s="39"/>
      <c r="AP574" s="39"/>
      <c r="AQ574" s="39"/>
      <c r="AR574" s="39"/>
      <c r="AS574" s="39"/>
      <c r="AT574" s="39">
        <f t="shared" si="462"/>
        <v>0</v>
      </c>
      <c r="AU574" s="39"/>
      <c r="AV574" s="39"/>
      <c r="AW574" s="39"/>
      <c r="AX574" s="39"/>
      <c r="AY574" s="39"/>
      <c r="AZ574" s="39">
        <f t="shared" si="463"/>
        <v>0</v>
      </c>
      <c r="BA574" s="39"/>
      <c r="BB574" s="39"/>
      <c r="BC574" s="39"/>
      <c r="BD574" s="39"/>
      <c r="BE574" s="39"/>
      <c r="BF574" s="39">
        <f t="shared" si="464"/>
        <v>0</v>
      </c>
      <c r="BG574" s="39"/>
      <c r="BH574" s="39"/>
      <c r="BI574" s="39"/>
      <c r="BJ574" s="39"/>
      <c r="BK574" s="39"/>
      <c r="BL574" s="39">
        <f t="shared" si="667"/>
        <v>0</v>
      </c>
      <c r="BM574" s="54" t="e">
        <f t="shared" si="466"/>
        <v>#DIV/0!</v>
      </c>
      <c r="BN574" s="42"/>
      <c r="BO574" s="39"/>
      <c r="BP574" s="39"/>
      <c r="BQ574" s="39"/>
      <c r="BR574" s="40"/>
      <c r="BS574" s="40"/>
      <c r="BT574" s="39"/>
      <c r="BU574" s="39"/>
      <c r="BV574" s="39"/>
      <c r="BW574" s="39"/>
      <c r="BX574" s="39"/>
      <c r="BY574" s="39"/>
      <c r="BZ574" s="39">
        <f t="shared" si="668"/>
        <v>0</v>
      </c>
      <c r="CA574" s="39">
        <f t="shared" si="468"/>
        <v>0</v>
      </c>
      <c r="CB574" s="39">
        <f t="shared" si="469"/>
        <v>0</v>
      </c>
      <c r="CC574" s="39">
        <f t="shared" si="470"/>
        <v>0</v>
      </c>
      <c r="CD574" s="39">
        <f t="shared" si="471"/>
        <v>0</v>
      </c>
      <c r="CE574" s="47" t="e">
        <f t="shared" si="472"/>
        <v>#DIV/0!</v>
      </c>
      <c r="CF574" s="36"/>
      <c r="CG574" s="39"/>
      <c r="CH574" s="39"/>
      <c r="CI574" s="25">
        <v>1</v>
      </c>
    </row>
    <row r="575" spans="1:87" ht="24.75" customHeight="1">
      <c r="A575" s="36" t="s">
        <v>388</v>
      </c>
      <c r="B575" s="27"/>
      <c r="C575" s="36"/>
      <c r="D575" s="36"/>
      <c r="E575" s="39"/>
      <c r="F575" s="39"/>
      <c r="G575" s="36"/>
      <c r="H575" s="39"/>
      <c r="I575" s="39"/>
      <c r="J575" s="39"/>
      <c r="K575" s="39"/>
      <c r="L575" s="39">
        <f t="shared" si="663"/>
        <v>0</v>
      </c>
      <c r="M575" s="39"/>
      <c r="N575" s="39"/>
      <c r="O575" s="39"/>
      <c r="P575" s="39"/>
      <c r="Q575" s="39"/>
      <c r="R575" s="39">
        <f t="shared" si="664"/>
        <v>0</v>
      </c>
      <c r="S575" s="39"/>
      <c r="T575" s="39"/>
      <c r="U575" s="39"/>
      <c r="V575" s="39"/>
      <c r="W575" s="39"/>
      <c r="X575" s="39"/>
      <c r="Y575" s="39"/>
      <c r="Z575" s="39"/>
      <c r="AA575" s="39"/>
      <c r="AB575" s="39">
        <f t="shared" si="665"/>
        <v>0</v>
      </c>
      <c r="AC575" s="39"/>
      <c r="AD575" s="39"/>
      <c r="AE575" s="39"/>
      <c r="AF575" s="39"/>
      <c r="AG575" s="39"/>
      <c r="AH575" s="39">
        <f t="shared" si="666"/>
        <v>0</v>
      </c>
      <c r="AI575" s="39"/>
      <c r="AJ575" s="39"/>
      <c r="AK575" s="39"/>
      <c r="AL575" s="39"/>
      <c r="AM575" s="39"/>
      <c r="AN575" s="39">
        <f t="shared" si="405"/>
        <v>0</v>
      </c>
      <c r="AO575" s="39"/>
      <c r="AP575" s="39"/>
      <c r="AQ575" s="39"/>
      <c r="AR575" s="39"/>
      <c r="AS575" s="39"/>
      <c r="AT575" s="39">
        <f t="shared" si="462"/>
        <v>0</v>
      </c>
      <c r="AU575" s="39"/>
      <c r="AV575" s="39"/>
      <c r="AW575" s="39"/>
      <c r="AX575" s="39"/>
      <c r="AY575" s="39"/>
      <c r="AZ575" s="39">
        <f t="shared" si="463"/>
        <v>0</v>
      </c>
      <c r="BA575" s="39"/>
      <c r="BB575" s="39"/>
      <c r="BC575" s="39"/>
      <c r="BD575" s="39"/>
      <c r="BE575" s="39"/>
      <c r="BF575" s="39">
        <f t="shared" si="464"/>
        <v>0</v>
      </c>
      <c r="BG575" s="39"/>
      <c r="BH575" s="39"/>
      <c r="BI575" s="39"/>
      <c r="BJ575" s="39"/>
      <c r="BK575" s="39"/>
      <c r="BL575" s="39">
        <f t="shared" si="667"/>
        <v>0</v>
      </c>
      <c r="BM575" s="54" t="e">
        <f t="shared" si="466"/>
        <v>#DIV/0!</v>
      </c>
      <c r="BN575" s="42"/>
      <c r="BO575" s="39"/>
      <c r="BP575" s="39"/>
      <c r="BQ575" s="39"/>
      <c r="BR575" s="40"/>
      <c r="BS575" s="40"/>
      <c r="BT575" s="39"/>
      <c r="BU575" s="39"/>
      <c r="BV575" s="39"/>
      <c r="BW575" s="39"/>
      <c r="BX575" s="39"/>
      <c r="BY575" s="39"/>
      <c r="BZ575" s="39">
        <f t="shared" si="668"/>
        <v>0</v>
      </c>
      <c r="CA575" s="39">
        <f t="shared" si="468"/>
        <v>0</v>
      </c>
      <c r="CB575" s="39">
        <f t="shared" si="469"/>
        <v>0</v>
      </c>
      <c r="CC575" s="39">
        <f t="shared" si="470"/>
        <v>0</v>
      </c>
      <c r="CD575" s="39">
        <f t="shared" si="471"/>
        <v>0</v>
      </c>
      <c r="CE575" s="47" t="e">
        <f t="shared" si="472"/>
        <v>#DIV/0!</v>
      </c>
      <c r="CF575" s="36"/>
      <c r="CG575" s="39"/>
      <c r="CH575" s="39"/>
      <c r="CI575" s="25">
        <v>1</v>
      </c>
    </row>
    <row r="576" spans="1:87" ht="24.75" customHeight="1">
      <c r="A576" s="36" t="s">
        <v>388</v>
      </c>
      <c r="B576" s="27"/>
      <c r="C576" s="41"/>
      <c r="D576" s="36"/>
      <c r="E576" s="39"/>
      <c r="F576" s="39"/>
      <c r="G576" s="36"/>
      <c r="H576" s="39"/>
      <c r="I576" s="39"/>
      <c r="J576" s="39"/>
      <c r="K576" s="39"/>
      <c r="L576" s="39">
        <f t="shared" si="663"/>
        <v>0</v>
      </c>
      <c r="M576" s="39"/>
      <c r="N576" s="39"/>
      <c r="O576" s="39"/>
      <c r="P576" s="39"/>
      <c r="Q576" s="39"/>
      <c r="R576" s="39">
        <f t="shared" si="664"/>
        <v>0</v>
      </c>
      <c r="S576" s="39"/>
      <c r="T576" s="39"/>
      <c r="U576" s="39"/>
      <c r="V576" s="39"/>
      <c r="W576" s="39"/>
      <c r="X576" s="39"/>
      <c r="Y576" s="39"/>
      <c r="Z576" s="39"/>
      <c r="AA576" s="39"/>
      <c r="AB576" s="39">
        <f t="shared" si="665"/>
        <v>0</v>
      </c>
      <c r="AC576" s="39"/>
      <c r="AD576" s="39"/>
      <c r="AE576" s="39"/>
      <c r="AF576" s="39"/>
      <c r="AG576" s="39"/>
      <c r="AH576" s="39">
        <f t="shared" si="666"/>
        <v>0</v>
      </c>
      <c r="AI576" s="39"/>
      <c r="AJ576" s="39"/>
      <c r="AK576" s="39"/>
      <c r="AL576" s="39"/>
      <c r="AM576" s="39"/>
      <c r="AN576" s="39">
        <f t="shared" si="405"/>
        <v>0</v>
      </c>
      <c r="AO576" s="39"/>
      <c r="AP576" s="39"/>
      <c r="AQ576" s="39"/>
      <c r="AR576" s="39"/>
      <c r="AS576" s="39"/>
      <c r="AT576" s="39">
        <f t="shared" si="462"/>
        <v>0</v>
      </c>
      <c r="AU576" s="39"/>
      <c r="AV576" s="39"/>
      <c r="AW576" s="39"/>
      <c r="AX576" s="39"/>
      <c r="AY576" s="39"/>
      <c r="AZ576" s="39">
        <f t="shared" si="463"/>
        <v>0</v>
      </c>
      <c r="BA576" s="39"/>
      <c r="BB576" s="39"/>
      <c r="BC576" s="39"/>
      <c r="BD576" s="39"/>
      <c r="BE576" s="39"/>
      <c r="BF576" s="39">
        <f t="shared" si="464"/>
        <v>0</v>
      </c>
      <c r="BG576" s="39"/>
      <c r="BH576" s="39"/>
      <c r="BI576" s="39"/>
      <c r="BJ576" s="39"/>
      <c r="BK576" s="39"/>
      <c r="BL576" s="39">
        <f t="shared" si="667"/>
        <v>0</v>
      </c>
      <c r="BM576" s="54" t="e">
        <f t="shared" si="466"/>
        <v>#DIV/0!</v>
      </c>
      <c r="BN576" s="64"/>
      <c r="BO576" s="36"/>
      <c r="BP576" s="36"/>
      <c r="BQ576" s="36"/>
      <c r="BR576" s="40"/>
      <c r="BS576" s="40"/>
      <c r="BT576" s="39"/>
      <c r="BU576" s="39"/>
      <c r="BV576" s="39"/>
      <c r="BW576" s="39"/>
      <c r="BX576" s="39"/>
      <c r="BY576" s="39"/>
      <c r="BZ576" s="39">
        <f t="shared" si="668"/>
        <v>0</v>
      </c>
      <c r="CA576" s="39">
        <f t="shared" si="468"/>
        <v>0</v>
      </c>
      <c r="CB576" s="39">
        <f t="shared" si="469"/>
        <v>0</v>
      </c>
      <c r="CC576" s="39">
        <f t="shared" si="470"/>
        <v>0</v>
      </c>
      <c r="CD576" s="39">
        <f t="shared" si="471"/>
        <v>0</v>
      </c>
      <c r="CE576" s="47" t="e">
        <f t="shared" si="472"/>
        <v>#DIV/0!</v>
      </c>
      <c r="CF576" s="36"/>
      <c r="CG576" s="39"/>
      <c r="CH576" s="39"/>
      <c r="CI576" s="25">
        <v>1</v>
      </c>
    </row>
    <row r="577" spans="1:87" ht="24.75" customHeight="1">
      <c r="A577" s="36" t="s">
        <v>388</v>
      </c>
      <c r="B577" s="27"/>
      <c r="C577" s="41"/>
      <c r="D577" s="36"/>
      <c r="E577" s="39"/>
      <c r="F577" s="39"/>
      <c r="G577" s="36"/>
      <c r="H577" s="39"/>
      <c r="I577" s="39"/>
      <c r="J577" s="39"/>
      <c r="K577" s="39"/>
      <c r="L577" s="39">
        <f t="shared" si="663"/>
        <v>0</v>
      </c>
      <c r="M577" s="39"/>
      <c r="N577" s="39"/>
      <c r="O577" s="39"/>
      <c r="P577" s="39"/>
      <c r="Q577" s="39"/>
      <c r="R577" s="39">
        <f t="shared" si="664"/>
        <v>0</v>
      </c>
      <c r="S577" s="39"/>
      <c r="T577" s="39"/>
      <c r="U577" s="39"/>
      <c r="V577" s="39"/>
      <c r="W577" s="39"/>
      <c r="X577" s="39"/>
      <c r="Y577" s="39"/>
      <c r="Z577" s="39"/>
      <c r="AA577" s="39"/>
      <c r="AB577" s="39">
        <f t="shared" si="665"/>
        <v>0</v>
      </c>
      <c r="AC577" s="39"/>
      <c r="AD577" s="39"/>
      <c r="AE577" s="39"/>
      <c r="AF577" s="39"/>
      <c r="AG577" s="39"/>
      <c r="AH577" s="39">
        <f t="shared" si="666"/>
        <v>0</v>
      </c>
      <c r="AI577" s="39"/>
      <c r="AJ577" s="39"/>
      <c r="AK577" s="39"/>
      <c r="AL577" s="39"/>
      <c r="AM577" s="39"/>
      <c r="AN577" s="39">
        <f t="shared" si="405"/>
        <v>0</v>
      </c>
      <c r="AO577" s="39"/>
      <c r="AP577" s="39"/>
      <c r="AQ577" s="39"/>
      <c r="AR577" s="39"/>
      <c r="AS577" s="39"/>
      <c r="AT577" s="39">
        <f t="shared" si="462"/>
        <v>0</v>
      </c>
      <c r="AU577" s="39"/>
      <c r="AV577" s="39"/>
      <c r="AW577" s="39"/>
      <c r="AX577" s="39"/>
      <c r="AY577" s="39"/>
      <c r="AZ577" s="39">
        <f t="shared" si="463"/>
        <v>0</v>
      </c>
      <c r="BA577" s="39"/>
      <c r="BB577" s="39"/>
      <c r="BC577" s="39"/>
      <c r="BD577" s="39"/>
      <c r="BE577" s="39"/>
      <c r="BF577" s="39">
        <f t="shared" si="464"/>
        <v>0</v>
      </c>
      <c r="BG577" s="39"/>
      <c r="BH577" s="39"/>
      <c r="BI577" s="39"/>
      <c r="BJ577" s="39"/>
      <c r="BK577" s="39"/>
      <c r="BL577" s="39">
        <f t="shared" si="667"/>
        <v>0</v>
      </c>
      <c r="BM577" s="54" t="e">
        <f t="shared" si="466"/>
        <v>#DIV/0!</v>
      </c>
      <c r="BN577" s="64"/>
      <c r="BO577" s="36"/>
      <c r="BP577" s="36"/>
      <c r="BQ577" s="36"/>
      <c r="BR577" s="40"/>
      <c r="BS577" s="40"/>
      <c r="BT577" s="39"/>
      <c r="BU577" s="39"/>
      <c r="BV577" s="39"/>
      <c r="BW577" s="39"/>
      <c r="BX577" s="39"/>
      <c r="BY577" s="39"/>
      <c r="BZ577" s="39">
        <f t="shared" si="668"/>
        <v>0</v>
      </c>
      <c r="CA577" s="39">
        <f t="shared" si="468"/>
        <v>0</v>
      </c>
      <c r="CB577" s="39">
        <f t="shared" si="469"/>
        <v>0</v>
      </c>
      <c r="CC577" s="39">
        <f t="shared" si="470"/>
        <v>0</v>
      </c>
      <c r="CD577" s="39">
        <f t="shared" si="471"/>
        <v>0</v>
      </c>
      <c r="CE577" s="47" t="e">
        <f t="shared" si="472"/>
        <v>#DIV/0!</v>
      </c>
      <c r="CF577" s="36"/>
      <c r="CG577" s="39"/>
      <c r="CH577" s="39"/>
      <c r="CI577" s="25">
        <v>1</v>
      </c>
    </row>
    <row r="578" spans="1:87" ht="24.75" customHeight="1">
      <c r="A578" s="36" t="s">
        <v>388</v>
      </c>
      <c r="B578" s="27"/>
      <c r="C578" s="41"/>
      <c r="D578" s="36"/>
      <c r="E578" s="39"/>
      <c r="F578" s="39"/>
      <c r="G578" s="36"/>
      <c r="H578" s="39"/>
      <c r="I578" s="39"/>
      <c r="J578" s="39"/>
      <c r="K578" s="39"/>
      <c r="L578" s="39">
        <f t="shared" si="663"/>
        <v>0</v>
      </c>
      <c r="M578" s="39"/>
      <c r="N578" s="39"/>
      <c r="O578" s="39"/>
      <c r="P578" s="39"/>
      <c r="Q578" s="39"/>
      <c r="R578" s="39">
        <f t="shared" si="664"/>
        <v>0</v>
      </c>
      <c r="S578" s="39"/>
      <c r="T578" s="39"/>
      <c r="U578" s="39"/>
      <c r="V578" s="39"/>
      <c r="W578" s="39"/>
      <c r="X578" s="39"/>
      <c r="Y578" s="39"/>
      <c r="Z578" s="39"/>
      <c r="AA578" s="39"/>
      <c r="AB578" s="39">
        <f t="shared" si="665"/>
        <v>0</v>
      </c>
      <c r="AC578" s="39"/>
      <c r="AD578" s="39"/>
      <c r="AE578" s="39"/>
      <c r="AF578" s="39"/>
      <c r="AG578" s="39"/>
      <c r="AH578" s="39">
        <f t="shared" si="666"/>
        <v>0</v>
      </c>
      <c r="AI578" s="39"/>
      <c r="AJ578" s="39"/>
      <c r="AK578" s="39"/>
      <c r="AL578" s="39"/>
      <c r="AM578" s="39"/>
      <c r="AN578" s="39">
        <f t="shared" si="405"/>
        <v>0</v>
      </c>
      <c r="AO578" s="39"/>
      <c r="AP578" s="39"/>
      <c r="AQ578" s="39"/>
      <c r="AR578" s="39"/>
      <c r="AS578" s="39"/>
      <c r="AT578" s="39">
        <f t="shared" si="462"/>
        <v>0</v>
      </c>
      <c r="AU578" s="39"/>
      <c r="AV578" s="39"/>
      <c r="AW578" s="39"/>
      <c r="AX578" s="39"/>
      <c r="AY578" s="39"/>
      <c r="AZ578" s="39">
        <f t="shared" si="463"/>
        <v>0</v>
      </c>
      <c r="BA578" s="39"/>
      <c r="BB578" s="39"/>
      <c r="BC578" s="39"/>
      <c r="BD578" s="39"/>
      <c r="BE578" s="39"/>
      <c r="BF578" s="39">
        <f t="shared" si="464"/>
        <v>0</v>
      </c>
      <c r="BG578" s="39"/>
      <c r="BH578" s="39"/>
      <c r="BI578" s="39"/>
      <c r="BJ578" s="39"/>
      <c r="BK578" s="39"/>
      <c r="BL578" s="39">
        <f t="shared" si="667"/>
        <v>0</v>
      </c>
      <c r="BM578" s="54" t="e">
        <f t="shared" si="466"/>
        <v>#DIV/0!</v>
      </c>
      <c r="BN578" s="64"/>
      <c r="BO578" s="36"/>
      <c r="BP578" s="36"/>
      <c r="BQ578" s="36"/>
      <c r="BR578" s="40"/>
      <c r="BS578" s="40"/>
      <c r="BT578" s="39"/>
      <c r="BU578" s="39"/>
      <c r="BV578" s="39"/>
      <c r="BW578" s="39"/>
      <c r="BX578" s="39"/>
      <c r="BY578" s="39"/>
      <c r="BZ578" s="39">
        <f t="shared" si="668"/>
        <v>0</v>
      </c>
      <c r="CA578" s="39">
        <f t="shared" si="468"/>
        <v>0</v>
      </c>
      <c r="CB578" s="39">
        <f t="shared" si="469"/>
        <v>0</v>
      </c>
      <c r="CC578" s="39">
        <f t="shared" si="470"/>
        <v>0</v>
      </c>
      <c r="CD578" s="39">
        <f t="shared" si="471"/>
        <v>0</v>
      </c>
      <c r="CE578" s="47" t="e">
        <f t="shared" si="472"/>
        <v>#DIV/0!</v>
      </c>
      <c r="CF578" s="36"/>
      <c r="CG578" s="39"/>
      <c r="CH578" s="39"/>
      <c r="CI578" s="25">
        <v>1</v>
      </c>
    </row>
    <row r="579" spans="1:87" ht="24.75" customHeight="1">
      <c r="A579" s="36" t="s">
        <v>388</v>
      </c>
      <c r="B579" s="27"/>
      <c r="C579" s="41"/>
      <c r="D579" s="36"/>
      <c r="E579" s="39"/>
      <c r="F579" s="39"/>
      <c r="G579" s="36"/>
      <c r="H579" s="39"/>
      <c r="I579" s="39"/>
      <c r="J579" s="39"/>
      <c r="K579" s="39"/>
      <c r="L579" s="39">
        <f t="shared" si="663"/>
        <v>0</v>
      </c>
      <c r="M579" s="39"/>
      <c r="N579" s="39"/>
      <c r="O579" s="39"/>
      <c r="P579" s="39"/>
      <c r="Q579" s="39"/>
      <c r="R579" s="39">
        <f t="shared" si="664"/>
        <v>0</v>
      </c>
      <c r="S579" s="39"/>
      <c r="T579" s="39"/>
      <c r="U579" s="39"/>
      <c r="V579" s="39"/>
      <c r="W579" s="39"/>
      <c r="X579" s="39"/>
      <c r="Y579" s="39"/>
      <c r="Z579" s="39"/>
      <c r="AA579" s="39"/>
      <c r="AB579" s="39">
        <f t="shared" si="665"/>
        <v>0</v>
      </c>
      <c r="AC579" s="39"/>
      <c r="AD579" s="39"/>
      <c r="AE579" s="39"/>
      <c r="AF579" s="39"/>
      <c r="AG579" s="39"/>
      <c r="AH579" s="39">
        <f t="shared" si="666"/>
        <v>0</v>
      </c>
      <c r="AI579" s="39"/>
      <c r="AJ579" s="39"/>
      <c r="AK579" s="39"/>
      <c r="AL579" s="39"/>
      <c r="AM579" s="39"/>
      <c r="AN579" s="39">
        <f t="shared" si="405"/>
        <v>0</v>
      </c>
      <c r="AO579" s="39"/>
      <c r="AP579" s="39"/>
      <c r="AQ579" s="39"/>
      <c r="AR579" s="39"/>
      <c r="AS579" s="39"/>
      <c r="AT579" s="39">
        <f t="shared" si="462"/>
        <v>0</v>
      </c>
      <c r="AU579" s="39"/>
      <c r="AV579" s="39"/>
      <c r="AW579" s="39"/>
      <c r="AX579" s="39"/>
      <c r="AY579" s="39"/>
      <c r="AZ579" s="39">
        <f t="shared" si="463"/>
        <v>0</v>
      </c>
      <c r="BA579" s="39"/>
      <c r="BB579" s="39"/>
      <c r="BC579" s="39"/>
      <c r="BD579" s="39"/>
      <c r="BE579" s="39"/>
      <c r="BF579" s="39">
        <f t="shared" si="464"/>
        <v>0</v>
      </c>
      <c r="BG579" s="39"/>
      <c r="BH579" s="39"/>
      <c r="BI579" s="39"/>
      <c r="BJ579" s="39"/>
      <c r="BK579" s="39"/>
      <c r="BL579" s="39">
        <f t="shared" si="667"/>
        <v>0</v>
      </c>
      <c r="BM579" s="54" t="e">
        <f t="shared" si="466"/>
        <v>#DIV/0!</v>
      </c>
      <c r="BN579" s="64"/>
      <c r="BO579" s="36"/>
      <c r="BP579" s="36"/>
      <c r="BQ579" s="36"/>
      <c r="BR579" s="40"/>
      <c r="BS579" s="40"/>
      <c r="BT579" s="39"/>
      <c r="BU579" s="39"/>
      <c r="BV579" s="39"/>
      <c r="BW579" s="39"/>
      <c r="BX579" s="39"/>
      <c r="BY579" s="39"/>
      <c r="BZ579" s="39">
        <f t="shared" si="668"/>
        <v>0</v>
      </c>
      <c r="CA579" s="39">
        <f t="shared" si="468"/>
        <v>0</v>
      </c>
      <c r="CB579" s="39">
        <f t="shared" si="469"/>
        <v>0</v>
      </c>
      <c r="CC579" s="39">
        <f t="shared" si="470"/>
        <v>0</v>
      </c>
      <c r="CD579" s="39">
        <f t="shared" si="471"/>
        <v>0</v>
      </c>
      <c r="CE579" s="47" t="e">
        <f t="shared" si="472"/>
        <v>#DIV/0!</v>
      </c>
      <c r="CF579" s="36"/>
      <c r="CG579" s="39"/>
      <c r="CH579" s="39"/>
      <c r="CI579" s="25">
        <v>1</v>
      </c>
    </row>
    <row r="580" spans="1:87" ht="24.75" customHeight="1">
      <c r="A580" s="36" t="s">
        <v>388</v>
      </c>
      <c r="B580" s="27">
        <v>47753</v>
      </c>
      <c r="C580" s="227">
        <v>15392578</v>
      </c>
      <c r="D580" s="36" t="s">
        <v>45</v>
      </c>
      <c r="E580" s="39">
        <v>260</v>
      </c>
      <c r="F580" s="39" t="s">
        <v>58</v>
      </c>
      <c r="G580" s="36" t="s">
        <v>769</v>
      </c>
      <c r="H580" s="36" t="s">
        <v>355</v>
      </c>
      <c r="I580" s="39">
        <v>165</v>
      </c>
      <c r="J580" s="39">
        <v>70</v>
      </c>
      <c r="K580" s="39">
        <v>5</v>
      </c>
      <c r="L580" s="39">
        <f t="shared" ref="L580:L617" si="684">SUM(I580:K580)</f>
        <v>240</v>
      </c>
      <c r="M580" s="117">
        <v>46179</v>
      </c>
      <c r="N580" s="117">
        <v>46183</v>
      </c>
      <c r="O580" s="39"/>
      <c r="P580" s="39"/>
      <c r="Q580" s="39"/>
      <c r="R580" s="39">
        <f t="shared" si="664"/>
        <v>0</v>
      </c>
      <c r="S580" s="39" t="s">
        <v>100</v>
      </c>
      <c r="T580" s="39"/>
      <c r="U580" s="39"/>
      <c r="V580" s="117">
        <v>46183</v>
      </c>
      <c r="W580" s="39">
        <f>204+83+7</f>
        <v>294</v>
      </c>
      <c r="X580" s="117">
        <v>46195</v>
      </c>
      <c r="Y580" s="39">
        <v>194</v>
      </c>
      <c r="Z580" s="39"/>
      <c r="AA580" s="39"/>
      <c r="AB580" s="120">
        <f t="shared" si="665"/>
        <v>194</v>
      </c>
      <c r="AC580" s="39"/>
      <c r="AD580" s="39"/>
      <c r="AE580" s="39"/>
      <c r="AF580" s="39"/>
      <c r="AG580" s="39"/>
      <c r="AH580" s="39">
        <f t="shared" si="666"/>
        <v>0</v>
      </c>
      <c r="AI580" s="39"/>
      <c r="AJ580" s="39"/>
      <c r="AK580" s="39"/>
      <c r="AL580" s="39"/>
      <c r="AM580" s="39"/>
      <c r="AN580" s="39">
        <f t="shared" si="405"/>
        <v>0</v>
      </c>
      <c r="AO580" s="39" t="s">
        <v>280</v>
      </c>
      <c r="AP580" s="117">
        <v>46197</v>
      </c>
      <c r="AQ580" s="39">
        <v>194</v>
      </c>
      <c r="AR580" s="117">
        <v>46199</v>
      </c>
      <c r="AS580" s="39">
        <v>194</v>
      </c>
      <c r="AT580" s="39">
        <f t="shared" si="462"/>
        <v>0</v>
      </c>
      <c r="AU580" s="39" t="s">
        <v>257</v>
      </c>
      <c r="AV580" s="117">
        <v>46199</v>
      </c>
      <c r="AW580" s="39">
        <v>194</v>
      </c>
      <c r="AX580" s="117">
        <v>46200</v>
      </c>
      <c r="AY580" s="39">
        <v>191</v>
      </c>
      <c r="AZ580" s="39">
        <f t="shared" si="463"/>
        <v>-3</v>
      </c>
      <c r="BA580" s="39"/>
      <c r="BB580" s="39"/>
      <c r="BC580" s="39"/>
      <c r="BD580" s="39"/>
      <c r="BE580" s="39"/>
      <c r="BF580" s="39">
        <f t="shared" si="464"/>
        <v>0</v>
      </c>
      <c r="BG580" s="39"/>
      <c r="BH580" s="39"/>
      <c r="BI580" s="39"/>
      <c r="BJ580" s="39"/>
      <c r="BK580" s="39"/>
      <c r="BL580" s="39">
        <f t="shared" si="667"/>
        <v>0</v>
      </c>
      <c r="BM580" s="54" t="str">
        <f t="shared" si="466"/>
        <v/>
      </c>
      <c r="BN580" s="66">
        <v>46189</v>
      </c>
      <c r="BO580" s="117">
        <v>46200</v>
      </c>
      <c r="BP580" s="39"/>
      <c r="BQ580" s="39"/>
      <c r="BR580" s="229">
        <v>46205</v>
      </c>
      <c r="BS580" s="229">
        <v>46213</v>
      </c>
      <c r="BT580" s="39">
        <v>2008</v>
      </c>
      <c r="BU580" s="39">
        <v>186</v>
      </c>
      <c r="BV580" s="39">
        <v>1772</v>
      </c>
      <c r="BW580" s="39">
        <v>76</v>
      </c>
      <c r="BX580" s="39">
        <v>1772</v>
      </c>
      <c r="BY580" s="39">
        <v>7</v>
      </c>
      <c r="BZ580" s="39">
        <f t="shared" si="668"/>
        <v>269</v>
      </c>
      <c r="CA580" s="39">
        <f t="shared" si="468"/>
        <v>21</v>
      </c>
      <c r="CB580" s="39">
        <f t="shared" si="469"/>
        <v>6</v>
      </c>
      <c r="CC580" s="39">
        <f t="shared" si="470"/>
        <v>2</v>
      </c>
      <c r="CD580" s="39">
        <f t="shared" si="471"/>
        <v>0</v>
      </c>
      <c r="CE580" s="47">
        <f t="shared" si="472"/>
        <v>0</v>
      </c>
      <c r="CF580" s="36" t="s">
        <v>295</v>
      </c>
      <c r="CG580" s="39" t="s">
        <v>224</v>
      </c>
      <c r="CH580" s="39"/>
      <c r="CI580" s="25">
        <v>2</v>
      </c>
    </row>
    <row r="581" spans="1:87" ht="24.75" customHeight="1">
      <c r="A581" s="36" t="s">
        <v>388</v>
      </c>
      <c r="B581" s="27">
        <v>47753</v>
      </c>
      <c r="C581" s="228"/>
      <c r="D581" s="36"/>
      <c r="E581" s="39"/>
      <c r="F581" s="39"/>
      <c r="G581" s="36" t="s">
        <v>493</v>
      </c>
      <c r="H581" s="39">
        <v>350</v>
      </c>
      <c r="I581" s="39" t="s">
        <v>90</v>
      </c>
      <c r="J581" s="39"/>
      <c r="K581" s="39"/>
      <c r="L581" s="39">
        <f t="shared" si="684"/>
        <v>0</v>
      </c>
      <c r="M581" s="117">
        <v>46179</v>
      </c>
      <c r="N581" s="117">
        <v>46183</v>
      </c>
      <c r="O581" s="39"/>
      <c r="P581" s="39"/>
      <c r="Q581" s="39"/>
      <c r="R581" s="39">
        <f t="shared" ref="R581" si="685">SUM(O581:Q581)</f>
        <v>0</v>
      </c>
      <c r="S581" s="39" t="s">
        <v>130</v>
      </c>
      <c r="T581" s="39" t="s">
        <v>1656</v>
      </c>
      <c r="U581" s="117" t="s">
        <v>1657</v>
      </c>
      <c r="V581" s="39"/>
      <c r="W581" s="39"/>
      <c r="X581" s="39"/>
      <c r="Y581" s="39">
        <f>50+10</f>
        <v>60</v>
      </c>
      <c r="Z581" s="39"/>
      <c r="AA581" s="39"/>
      <c r="AB581" s="39">
        <f t="shared" ref="AB581" si="686">SUM(Y581:AA581)</f>
        <v>60</v>
      </c>
      <c r="AC581" s="39"/>
      <c r="AD581" s="39"/>
      <c r="AE581" s="39"/>
      <c r="AF581" s="39"/>
      <c r="AG581" s="39"/>
      <c r="AH581" s="39">
        <f t="shared" ref="AH581" si="687">AG581-AE581</f>
        <v>0</v>
      </c>
      <c r="AI581" s="39"/>
      <c r="AJ581" s="39"/>
      <c r="AK581" s="39"/>
      <c r="AL581" s="39"/>
      <c r="AM581" s="39"/>
      <c r="AN581" s="39">
        <f t="shared" ref="AN581" si="688">AM581-AK581</f>
        <v>0</v>
      </c>
      <c r="AO581" s="39"/>
      <c r="AP581" s="39"/>
      <c r="AQ581" s="39"/>
      <c r="AR581" s="39"/>
      <c r="AS581" s="39"/>
      <c r="AT581" s="39">
        <f t="shared" ref="AT581" si="689">AS581-AQ581</f>
        <v>0</v>
      </c>
      <c r="AU581" s="39"/>
      <c r="AV581" s="39"/>
      <c r="AW581" s="39"/>
      <c r="AX581" s="39"/>
      <c r="AY581" s="39"/>
      <c r="AZ581" s="39">
        <f t="shared" ref="AZ581" si="690">AY581-AW581</f>
        <v>0</v>
      </c>
      <c r="BA581" s="39"/>
      <c r="BB581" s="39"/>
      <c r="BC581" s="39"/>
      <c r="BD581" s="39"/>
      <c r="BE581" s="39"/>
      <c r="BF581" s="39">
        <f t="shared" ref="BF581" si="691">BE581-BC581</f>
        <v>0</v>
      </c>
      <c r="BG581" s="39"/>
      <c r="BH581" s="39"/>
      <c r="BI581" s="39"/>
      <c r="BJ581" s="39"/>
      <c r="BK581" s="39"/>
      <c r="BL581" s="39">
        <f t="shared" ref="BL581" si="692">BK581-BI581</f>
        <v>0</v>
      </c>
      <c r="BM581" s="54" t="e">
        <f t="shared" ref="BM581" si="693">IF((BZ581/L581)&lt;0.9,$CO$1-U581,"")</f>
        <v>#DIV/0!</v>
      </c>
      <c r="BN581" s="66">
        <v>46189</v>
      </c>
      <c r="BO581" s="117">
        <v>46200</v>
      </c>
      <c r="BP581" s="39"/>
      <c r="BQ581" s="39"/>
      <c r="BR581" s="230"/>
      <c r="BS581" s="230"/>
      <c r="BT581" s="39" t="s">
        <v>1670</v>
      </c>
      <c r="BU581" s="39"/>
      <c r="BV581" s="39"/>
      <c r="BW581" s="39"/>
      <c r="BX581" s="39"/>
      <c r="BY581" s="39"/>
      <c r="BZ581" s="39">
        <f t="shared" si="668"/>
        <v>0</v>
      </c>
      <c r="CA581" s="39" t="e">
        <f t="shared" si="468"/>
        <v>#VALUE!</v>
      </c>
      <c r="CB581" s="39">
        <f t="shared" si="469"/>
        <v>0</v>
      </c>
      <c r="CC581" s="39">
        <f t="shared" si="470"/>
        <v>0</v>
      </c>
      <c r="CD581" s="39">
        <f t="shared" si="471"/>
        <v>0</v>
      </c>
      <c r="CE581" s="47" t="e">
        <f t="shared" si="472"/>
        <v>#DIV/0!</v>
      </c>
      <c r="CF581" s="36" t="s">
        <v>295</v>
      </c>
      <c r="CG581" s="39" t="s">
        <v>224</v>
      </c>
      <c r="CH581" s="39"/>
      <c r="CI581" s="25">
        <v>2</v>
      </c>
    </row>
    <row r="582" spans="1:87" ht="24.75" customHeight="1">
      <c r="A582" s="36" t="s">
        <v>388</v>
      </c>
      <c r="B582" s="27">
        <v>47752</v>
      </c>
      <c r="C582" s="227" t="s">
        <v>771</v>
      </c>
      <c r="D582" s="36" t="s">
        <v>82</v>
      </c>
      <c r="E582" s="39">
        <v>300</v>
      </c>
      <c r="F582" s="39" t="s">
        <v>58</v>
      </c>
      <c r="G582" s="36" t="s">
        <v>770</v>
      </c>
      <c r="H582" s="36" t="s">
        <v>355</v>
      </c>
      <c r="I582" s="39">
        <v>485</v>
      </c>
      <c r="J582" s="39">
        <v>20</v>
      </c>
      <c r="K582" s="39"/>
      <c r="L582" s="39">
        <f t="shared" si="684"/>
        <v>505</v>
      </c>
      <c r="M582" s="117">
        <v>46178</v>
      </c>
      <c r="N582" s="117">
        <v>46183</v>
      </c>
      <c r="O582" s="39"/>
      <c r="P582" s="39"/>
      <c r="Q582" s="39"/>
      <c r="R582" s="39">
        <f t="shared" si="664"/>
        <v>0</v>
      </c>
      <c r="S582" s="39" t="s">
        <v>31</v>
      </c>
      <c r="T582" s="39"/>
      <c r="U582" s="39"/>
      <c r="V582" s="117">
        <v>46200</v>
      </c>
      <c r="W582" s="39">
        <f>558+25</f>
        <v>583</v>
      </c>
      <c r="X582" s="117" t="s">
        <v>1554</v>
      </c>
      <c r="Y582" s="39">
        <v>525</v>
      </c>
      <c r="Z582" s="39">
        <v>22</v>
      </c>
      <c r="AA582" s="39"/>
      <c r="AB582" s="119">
        <f t="shared" si="665"/>
        <v>547</v>
      </c>
      <c r="AC582" s="39"/>
      <c r="AD582" s="39"/>
      <c r="AE582" s="39"/>
      <c r="AF582" s="39"/>
      <c r="AG582" s="39"/>
      <c r="AH582" s="39">
        <f t="shared" si="666"/>
        <v>0</v>
      </c>
      <c r="AI582" s="39"/>
      <c r="AJ582" s="39"/>
      <c r="AK582" s="39"/>
      <c r="AL582" s="39"/>
      <c r="AM582" s="39"/>
      <c r="AN582" s="39">
        <f t="shared" si="405"/>
        <v>0</v>
      </c>
      <c r="AO582" s="39" t="s">
        <v>257</v>
      </c>
      <c r="AP582" s="117">
        <v>46210</v>
      </c>
      <c r="AQ582" s="39">
        <v>524</v>
      </c>
      <c r="AR582" s="117">
        <v>46211</v>
      </c>
      <c r="AS582" s="39">
        <v>508</v>
      </c>
      <c r="AT582" s="39">
        <f t="shared" si="462"/>
        <v>-16</v>
      </c>
      <c r="AU582" s="39"/>
      <c r="AV582" s="39"/>
      <c r="AW582" s="39"/>
      <c r="AX582" s="39"/>
      <c r="AY582" s="39"/>
      <c r="AZ582" s="39">
        <f t="shared" si="463"/>
        <v>0</v>
      </c>
      <c r="BA582" s="39"/>
      <c r="BB582" s="39"/>
      <c r="BC582" s="39"/>
      <c r="BD582" s="39"/>
      <c r="BE582" s="39"/>
      <c r="BF582" s="39">
        <f t="shared" si="464"/>
        <v>0</v>
      </c>
      <c r="BG582" s="39"/>
      <c r="BH582" s="39"/>
      <c r="BI582" s="39"/>
      <c r="BJ582" s="39"/>
      <c r="BK582" s="39"/>
      <c r="BL582" s="39">
        <f t="shared" si="667"/>
        <v>0</v>
      </c>
      <c r="BM582" s="54" t="str">
        <f t="shared" si="466"/>
        <v/>
      </c>
      <c r="BN582" s="66">
        <v>46185</v>
      </c>
      <c r="BO582" s="117">
        <v>46197</v>
      </c>
      <c r="BP582" s="39"/>
      <c r="BQ582" s="39"/>
      <c r="BR582" s="229">
        <v>46212</v>
      </c>
      <c r="BS582" s="229">
        <v>46217</v>
      </c>
      <c r="BT582" s="39" t="s">
        <v>1511</v>
      </c>
      <c r="BU582" s="39">
        <f>449+17+21</f>
        <v>487</v>
      </c>
      <c r="BV582" s="39">
        <v>2025</v>
      </c>
      <c r="BW582" s="39">
        <v>20</v>
      </c>
      <c r="BX582" s="39"/>
      <c r="BY582" s="39"/>
      <c r="BZ582" s="39">
        <f t="shared" si="668"/>
        <v>507</v>
      </c>
      <c r="CA582" s="39">
        <f t="shared" si="468"/>
        <v>2</v>
      </c>
      <c r="CB582" s="39">
        <f t="shared" si="469"/>
        <v>0</v>
      </c>
      <c r="CC582" s="39">
        <f t="shared" si="470"/>
        <v>0</v>
      </c>
      <c r="CD582" s="39">
        <f t="shared" si="471"/>
        <v>0</v>
      </c>
      <c r="CE582" s="47">
        <f t="shared" si="472"/>
        <v>0</v>
      </c>
      <c r="CF582" s="36" t="s">
        <v>295</v>
      </c>
      <c r="CG582" s="39" t="s">
        <v>224</v>
      </c>
      <c r="CH582" s="39"/>
      <c r="CI582" s="25">
        <v>2</v>
      </c>
    </row>
    <row r="583" spans="1:87" ht="24.75" customHeight="1">
      <c r="A583" s="36" t="s">
        <v>388</v>
      </c>
      <c r="B583" s="27">
        <v>47752</v>
      </c>
      <c r="C583" s="231"/>
      <c r="D583" s="36"/>
      <c r="E583" s="39"/>
      <c r="F583" s="39"/>
      <c r="G583" s="36" t="s">
        <v>198</v>
      </c>
      <c r="H583" s="39">
        <v>220</v>
      </c>
      <c r="I583" s="39" t="s">
        <v>90</v>
      </c>
      <c r="J583" s="39"/>
      <c r="K583" s="39"/>
      <c r="L583" s="39">
        <f t="shared" si="684"/>
        <v>0</v>
      </c>
      <c r="M583" s="117">
        <v>46178</v>
      </c>
      <c r="N583" s="117">
        <v>46183</v>
      </c>
      <c r="O583" s="39"/>
      <c r="P583" s="39"/>
      <c r="Q583" s="39"/>
      <c r="R583" s="39">
        <f t="shared" ref="R583:R585" si="694">SUM(O583:Q583)</f>
        <v>0</v>
      </c>
      <c r="S583" s="39" t="s">
        <v>130</v>
      </c>
      <c r="T583" s="39"/>
      <c r="U583" s="39"/>
      <c r="V583" s="117">
        <v>46200</v>
      </c>
      <c r="W583" s="39">
        <f>1</f>
        <v>1</v>
      </c>
      <c r="X583" s="117">
        <v>46209</v>
      </c>
      <c r="Y583" s="39">
        <v>1</v>
      </c>
      <c r="Z583" s="39"/>
      <c r="AA583" s="39"/>
      <c r="AB583" s="39">
        <f t="shared" ref="AB583:AB585" si="695">SUM(Y583:AA583)</f>
        <v>1</v>
      </c>
      <c r="AC583" s="39"/>
      <c r="AD583" s="39"/>
      <c r="AE583" s="39"/>
      <c r="AF583" s="39"/>
      <c r="AG583" s="39"/>
      <c r="AH583" s="39">
        <f t="shared" ref="AH583:AH585" si="696">AG583-AE583</f>
        <v>0</v>
      </c>
      <c r="AI583" s="39"/>
      <c r="AJ583" s="39"/>
      <c r="AK583" s="39"/>
      <c r="AL583" s="39"/>
      <c r="AM583" s="39"/>
      <c r="AN583" s="39">
        <f t="shared" ref="AN583:AN585" si="697">AM583-AK583</f>
        <v>0</v>
      </c>
      <c r="AO583" s="39"/>
      <c r="AP583" s="39"/>
      <c r="AQ583" s="39"/>
      <c r="AR583" s="39"/>
      <c r="AS583" s="39"/>
      <c r="AT583" s="39">
        <f t="shared" ref="AT583:AT585" si="698">AS583-AQ583</f>
        <v>0</v>
      </c>
      <c r="AU583" s="39"/>
      <c r="AV583" s="39"/>
      <c r="AW583" s="39"/>
      <c r="AX583" s="39"/>
      <c r="AY583" s="39"/>
      <c r="AZ583" s="39">
        <f t="shared" ref="AZ583:AZ585" si="699">AY583-AW583</f>
        <v>0</v>
      </c>
      <c r="BA583" s="39"/>
      <c r="BB583" s="39"/>
      <c r="BC583" s="39"/>
      <c r="BD583" s="39"/>
      <c r="BE583" s="39"/>
      <c r="BF583" s="39">
        <f t="shared" ref="BF583:BF585" si="700">BE583-BC583</f>
        <v>0</v>
      </c>
      <c r="BG583" s="39"/>
      <c r="BH583" s="39"/>
      <c r="BI583" s="39"/>
      <c r="BJ583" s="39"/>
      <c r="BK583" s="39"/>
      <c r="BL583" s="39">
        <f t="shared" ref="BL583:BL585" si="701">BK583-BI583</f>
        <v>0</v>
      </c>
      <c r="BM583" s="54" t="e">
        <f t="shared" ref="BM583:BM585" si="702">IF((BZ583/L583)&lt;0.9,$CO$1-U583,"")</f>
        <v>#DIV/0!</v>
      </c>
      <c r="BN583" s="66">
        <v>46185</v>
      </c>
      <c r="BO583" s="117">
        <v>46197</v>
      </c>
      <c r="BP583" s="39"/>
      <c r="BQ583" s="39"/>
      <c r="BR583" s="232"/>
      <c r="BS583" s="232"/>
      <c r="BT583" s="39" t="s">
        <v>1583</v>
      </c>
      <c r="BU583" s="39"/>
      <c r="BV583" s="39"/>
      <c r="BW583" s="39"/>
      <c r="BX583" s="39"/>
      <c r="BY583" s="39"/>
      <c r="BZ583" s="39">
        <f t="shared" si="668"/>
        <v>0</v>
      </c>
      <c r="CA583" s="39" t="e">
        <f t="shared" si="468"/>
        <v>#VALUE!</v>
      </c>
      <c r="CB583" s="39">
        <f t="shared" si="469"/>
        <v>0</v>
      </c>
      <c r="CC583" s="39">
        <f t="shared" si="470"/>
        <v>0</v>
      </c>
      <c r="CD583" s="39">
        <f t="shared" si="471"/>
        <v>0</v>
      </c>
      <c r="CE583" s="47" t="e">
        <f t="shared" si="472"/>
        <v>#DIV/0!</v>
      </c>
      <c r="CF583" s="36" t="s">
        <v>295</v>
      </c>
      <c r="CG583" s="39" t="s">
        <v>224</v>
      </c>
      <c r="CH583" s="39"/>
      <c r="CI583" s="25">
        <v>2</v>
      </c>
    </row>
    <row r="584" spans="1:87" ht="24.75" customHeight="1">
      <c r="A584" s="36" t="s">
        <v>388</v>
      </c>
      <c r="B584" s="27">
        <v>47752</v>
      </c>
      <c r="C584" s="231"/>
      <c r="D584" s="36"/>
      <c r="E584" s="39"/>
      <c r="F584" s="39"/>
      <c r="G584" s="36" t="s">
        <v>1217</v>
      </c>
      <c r="H584" s="39">
        <v>900</v>
      </c>
      <c r="I584" s="39" t="s">
        <v>90</v>
      </c>
      <c r="J584" s="39"/>
      <c r="K584" s="39"/>
      <c r="L584" s="39">
        <f t="shared" si="684"/>
        <v>0</v>
      </c>
      <c r="M584" s="117">
        <v>46178</v>
      </c>
      <c r="N584" s="117">
        <v>46183</v>
      </c>
      <c r="O584" s="39"/>
      <c r="P584" s="39"/>
      <c r="Q584" s="39"/>
      <c r="R584" s="39">
        <f t="shared" si="694"/>
        <v>0</v>
      </c>
      <c r="S584" s="39" t="s">
        <v>130</v>
      </c>
      <c r="T584" s="39"/>
      <c r="U584" s="39"/>
      <c r="V584" s="117">
        <v>46200</v>
      </c>
      <c r="W584" s="39">
        <v>12</v>
      </c>
      <c r="X584" s="117">
        <v>46209</v>
      </c>
      <c r="Y584" s="39">
        <v>12</v>
      </c>
      <c r="Z584" s="39"/>
      <c r="AA584" s="39"/>
      <c r="AB584" s="39">
        <f t="shared" si="695"/>
        <v>12</v>
      </c>
      <c r="AC584" s="39"/>
      <c r="AD584" s="39"/>
      <c r="AE584" s="39"/>
      <c r="AF584" s="39"/>
      <c r="AG584" s="39"/>
      <c r="AH584" s="39">
        <f t="shared" si="696"/>
        <v>0</v>
      </c>
      <c r="AI584" s="39"/>
      <c r="AJ584" s="39"/>
      <c r="AK584" s="39"/>
      <c r="AL584" s="39"/>
      <c r="AM584" s="39"/>
      <c r="AN584" s="39">
        <f t="shared" si="697"/>
        <v>0</v>
      </c>
      <c r="AO584" s="39"/>
      <c r="AP584" s="39"/>
      <c r="AQ584" s="39"/>
      <c r="AR584" s="39"/>
      <c r="AS584" s="39"/>
      <c r="AT584" s="39">
        <f t="shared" si="698"/>
        <v>0</v>
      </c>
      <c r="AU584" s="39"/>
      <c r="AV584" s="39"/>
      <c r="AW584" s="39"/>
      <c r="AX584" s="39"/>
      <c r="AY584" s="39"/>
      <c r="AZ584" s="39">
        <f t="shared" si="699"/>
        <v>0</v>
      </c>
      <c r="BA584" s="39"/>
      <c r="BB584" s="39"/>
      <c r="BC584" s="39"/>
      <c r="BD584" s="39"/>
      <c r="BE584" s="39"/>
      <c r="BF584" s="39">
        <f t="shared" si="700"/>
        <v>0</v>
      </c>
      <c r="BG584" s="39"/>
      <c r="BH584" s="39"/>
      <c r="BI584" s="39"/>
      <c r="BJ584" s="39"/>
      <c r="BK584" s="39"/>
      <c r="BL584" s="39">
        <f t="shared" si="701"/>
        <v>0</v>
      </c>
      <c r="BM584" s="54" t="e">
        <f t="shared" si="702"/>
        <v>#DIV/0!</v>
      </c>
      <c r="BN584" s="66">
        <v>46185</v>
      </c>
      <c r="BO584" s="117">
        <v>46197</v>
      </c>
      <c r="BP584" s="39"/>
      <c r="BQ584" s="39"/>
      <c r="BR584" s="232"/>
      <c r="BS584" s="232"/>
      <c r="BT584" s="39"/>
      <c r="BU584" s="39"/>
      <c r="BV584" s="39"/>
      <c r="BW584" s="39"/>
      <c r="BX584" s="39"/>
      <c r="BY584" s="39"/>
      <c r="BZ584" s="39">
        <f t="shared" si="668"/>
        <v>0</v>
      </c>
      <c r="CA584" s="39" t="e">
        <f t="shared" si="468"/>
        <v>#VALUE!</v>
      </c>
      <c r="CB584" s="39">
        <f t="shared" si="469"/>
        <v>0</v>
      </c>
      <c r="CC584" s="39">
        <f t="shared" si="470"/>
        <v>0</v>
      </c>
      <c r="CD584" s="39">
        <f t="shared" si="471"/>
        <v>0</v>
      </c>
      <c r="CE584" s="47" t="e">
        <f t="shared" si="472"/>
        <v>#DIV/0!</v>
      </c>
      <c r="CF584" s="36" t="s">
        <v>295</v>
      </c>
      <c r="CG584" s="39" t="s">
        <v>224</v>
      </c>
      <c r="CH584" s="39"/>
      <c r="CI584" s="25">
        <v>2</v>
      </c>
    </row>
    <row r="585" spans="1:87" ht="24.75" customHeight="1">
      <c r="A585" s="36" t="s">
        <v>388</v>
      </c>
      <c r="B585" s="27">
        <v>47752</v>
      </c>
      <c r="C585" s="228"/>
      <c r="D585" s="36"/>
      <c r="E585" s="39"/>
      <c r="F585" s="39"/>
      <c r="G585" s="36" t="s">
        <v>493</v>
      </c>
      <c r="H585" s="39">
        <v>50</v>
      </c>
      <c r="I585" s="39" t="s">
        <v>90</v>
      </c>
      <c r="J585" s="39"/>
      <c r="K585" s="39"/>
      <c r="L585" s="39">
        <f t="shared" si="684"/>
        <v>0</v>
      </c>
      <c r="M585" s="117">
        <v>46178</v>
      </c>
      <c r="N585" s="117">
        <v>46183</v>
      </c>
      <c r="O585" s="39"/>
      <c r="P585" s="39"/>
      <c r="Q585" s="39"/>
      <c r="R585" s="39">
        <f t="shared" si="694"/>
        <v>0</v>
      </c>
      <c r="S585" s="39" t="s">
        <v>130</v>
      </c>
      <c r="T585" s="39"/>
      <c r="U585" s="39"/>
      <c r="V585" s="39"/>
      <c r="W585" s="39"/>
      <c r="X585" s="39"/>
      <c r="Y585" s="39"/>
      <c r="Z585" s="39"/>
      <c r="AA585" s="39"/>
      <c r="AB585" s="39">
        <f t="shared" si="695"/>
        <v>0</v>
      </c>
      <c r="AC585" s="39"/>
      <c r="AD585" s="39"/>
      <c r="AE585" s="39"/>
      <c r="AF585" s="39"/>
      <c r="AG585" s="39"/>
      <c r="AH585" s="39">
        <f t="shared" si="696"/>
        <v>0</v>
      </c>
      <c r="AI585" s="39"/>
      <c r="AJ585" s="39"/>
      <c r="AK585" s="39"/>
      <c r="AL585" s="39"/>
      <c r="AM585" s="39"/>
      <c r="AN585" s="39">
        <f t="shared" si="697"/>
        <v>0</v>
      </c>
      <c r="AO585" s="39"/>
      <c r="AP585" s="39"/>
      <c r="AQ585" s="39"/>
      <c r="AR585" s="39"/>
      <c r="AS585" s="39"/>
      <c r="AT585" s="39">
        <f t="shared" si="698"/>
        <v>0</v>
      </c>
      <c r="AU585" s="39"/>
      <c r="AV585" s="39"/>
      <c r="AW585" s="39"/>
      <c r="AX585" s="39"/>
      <c r="AY585" s="39"/>
      <c r="AZ585" s="39">
        <f t="shared" si="699"/>
        <v>0</v>
      </c>
      <c r="BA585" s="39"/>
      <c r="BB585" s="39"/>
      <c r="BC585" s="39"/>
      <c r="BD585" s="39"/>
      <c r="BE585" s="39"/>
      <c r="BF585" s="39">
        <f t="shared" si="700"/>
        <v>0</v>
      </c>
      <c r="BG585" s="39"/>
      <c r="BH585" s="39"/>
      <c r="BI585" s="39"/>
      <c r="BJ585" s="39"/>
      <c r="BK585" s="39"/>
      <c r="BL585" s="39">
        <f t="shared" si="701"/>
        <v>0</v>
      </c>
      <c r="BM585" s="54" t="e">
        <f t="shared" si="702"/>
        <v>#DIV/0!</v>
      </c>
      <c r="BN585" s="66">
        <v>46185</v>
      </c>
      <c r="BO585" s="117">
        <v>46197</v>
      </c>
      <c r="BP585" s="39"/>
      <c r="BQ585" s="39"/>
      <c r="BR585" s="230"/>
      <c r="BS585" s="230"/>
      <c r="BT585" s="39" t="s">
        <v>1539</v>
      </c>
      <c r="BU585" s="39"/>
      <c r="BV585" s="39"/>
      <c r="BW585" s="39"/>
      <c r="BX585" s="39"/>
      <c r="BY585" s="39"/>
      <c r="BZ585" s="39">
        <f t="shared" si="668"/>
        <v>0</v>
      </c>
      <c r="CA585" s="39" t="e">
        <f t="shared" si="468"/>
        <v>#VALUE!</v>
      </c>
      <c r="CB585" s="39">
        <f t="shared" si="469"/>
        <v>0</v>
      </c>
      <c r="CC585" s="39">
        <f t="shared" si="470"/>
        <v>0</v>
      </c>
      <c r="CD585" s="39">
        <f t="shared" si="471"/>
        <v>0</v>
      </c>
      <c r="CE585" s="47" t="e">
        <f t="shared" si="472"/>
        <v>#DIV/0!</v>
      </c>
      <c r="CF585" s="36" t="s">
        <v>295</v>
      </c>
      <c r="CG585" s="39" t="s">
        <v>224</v>
      </c>
      <c r="CH585" s="39"/>
      <c r="CI585" s="25">
        <v>2</v>
      </c>
    </row>
    <row r="586" spans="1:87" ht="24.75" customHeight="1">
      <c r="A586" s="36" t="s">
        <v>388</v>
      </c>
      <c r="B586" s="27" t="s">
        <v>792</v>
      </c>
      <c r="C586" s="227">
        <v>15323159</v>
      </c>
      <c r="D586" s="36"/>
      <c r="E586" s="39">
        <v>230</v>
      </c>
      <c r="F586" s="39" t="s">
        <v>53</v>
      </c>
      <c r="G586" s="36" t="s">
        <v>351</v>
      </c>
      <c r="H586" s="39" t="s">
        <v>96</v>
      </c>
      <c r="I586" s="39">
        <v>730</v>
      </c>
      <c r="J586" s="39"/>
      <c r="K586" s="39"/>
      <c r="L586" s="39">
        <f t="shared" si="684"/>
        <v>730</v>
      </c>
      <c r="M586" s="117">
        <v>46178</v>
      </c>
      <c r="N586" s="117">
        <v>46188</v>
      </c>
      <c r="O586" s="39"/>
      <c r="P586" s="39"/>
      <c r="Q586" s="39"/>
      <c r="R586" s="39">
        <f t="shared" si="664"/>
        <v>0</v>
      </c>
      <c r="S586" s="39" t="s">
        <v>130</v>
      </c>
      <c r="T586" s="39">
        <v>106991</v>
      </c>
      <c r="U586" s="117">
        <v>46189</v>
      </c>
      <c r="V586" s="39"/>
      <c r="W586" s="39"/>
      <c r="X586" s="39"/>
      <c r="Y586" s="39">
        <v>818</v>
      </c>
      <c r="Z586" s="39"/>
      <c r="AA586" s="39"/>
      <c r="AB586" s="119">
        <f t="shared" si="665"/>
        <v>818</v>
      </c>
      <c r="AC586" s="39"/>
      <c r="AD586" s="39"/>
      <c r="AE586" s="39"/>
      <c r="AF586" s="39"/>
      <c r="AG586" s="39"/>
      <c r="AH586" s="39">
        <f t="shared" si="666"/>
        <v>0</v>
      </c>
      <c r="AI586" s="39"/>
      <c r="AJ586" s="39"/>
      <c r="AK586" s="39"/>
      <c r="AL586" s="39"/>
      <c r="AM586" s="39"/>
      <c r="AN586" s="39">
        <f t="shared" ref="AN586:AN679" si="703">AM586-AK586</f>
        <v>0</v>
      </c>
      <c r="AO586" s="39"/>
      <c r="AP586" s="39"/>
      <c r="AQ586" s="39"/>
      <c r="AR586" s="39"/>
      <c r="AS586" s="39"/>
      <c r="AT586" s="39">
        <f t="shared" si="462"/>
        <v>0</v>
      </c>
      <c r="AU586" s="39"/>
      <c r="AV586" s="39"/>
      <c r="AW586" s="39"/>
      <c r="AX586" s="39"/>
      <c r="AY586" s="39"/>
      <c r="AZ586" s="39">
        <f t="shared" si="463"/>
        <v>0</v>
      </c>
      <c r="BA586" s="39"/>
      <c r="BB586" s="39"/>
      <c r="BC586" s="39"/>
      <c r="BD586" s="39"/>
      <c r="BE586" s="39"/>
      <c r="BF586" s="39">
        <f t="shared" si="464"/>
        <v>0</v>
      </c>
      <c r="BG586" s="39"/>
      <c r="BH586" s="39"/>
      <c r="BI586" s="39"/>
      <c r="BJ586" s="39"/>
      <c r="BK586" s="39"/>
      <c r="BL586" s="39">
        <f t="shared" si="667"/>
        <v>0</v>
      </c>
      <c r="BM586" s="54" t="str">
        <f t="shared" si="466"/>
        <v/>
      </c>
      <c r="BN586" s="66">
        <v>46188</v>
      </c>
      <c r="BO586" s="117">
        <v>46201</v>
      </c>
      <c r="BP586" s="39"/>
      <c r="BQ586" s="39"/>
      <c r="BR586" s="229">
        <v>46186</v>
      </c>
      <c r="BS586" s="229">
        <v>46196</v>
      </c>
      <c r="BT586" s="39" t="s">
        <v>1139</v>
      </c>
      <c r="BU586" s="39">
        <f>518+213</f>
        <v>731</v>
      </c>
      <c r="BV586" s="39"/>
      <c r="BW586" s="39"/>
      <c r="BX586" s="39"/>
      <c r="BY586" s="39"/>
      <c r="BZ586" s="39">
        <f t="shared" si="668"/>
        <v>731</v>
      </c>
      <c r="CA586" s="39">
        <f t="shared" si="468"/>
        <v>1</v>
      </c>
      <c r="CB586" s="39">
        <f t="shared" si="469"/>
        <v>0</v>
      </c>
      <c r="CC586" s="39">
        <f t="shared" si="470"/>
        <v>0</v>
      </c>
      <c r="CD586" s="39">
        <f t="shared" si="471"/>
        <v>0</v>
      </c>
      <c r="CE586" s="47">
        <f t="shared" si="472"/>
        <v>0</v>
      </c>
      <c r="CF586" s="36" t="s">
        <v>252</v>
      </c>
      <c r="CG586" s="39" t="s">
        <v>223</v>
      </c>
      <c r="CH586" s="39" t="s">
        <v>1109</v>
      </c>
      <c r="CI586" s="25">
        <v>2</v>
      </c>
    </row>
    <row r="587" spans="1:87" ht="24.75" customHeight="1">
      <c r="A587" s="36" t="s">
        <v>388</v>
      </c>
      <c r="B587" s="27" t="s">
        <v>792</v>
      </c>
      <c r="C587" s="228"/>
      <c r="D587" s="36"/>
      <c r="E587" s="39">
        <v>230</v>
      </c>
      <c r="F587" s="39" t="s">
        <v>53</v>
      </c>
      <c r="G587" s="36" t="s">
        <v>306</v>
      </c>
      <c r="H587" s="39" t="s">
        <v>96</v>
      </c>
      <c r="I587" s="39">
        <v>2400</v>
      </c>
      <c r="J587" s="39"/>
      <c r="K587" s="39"/>
      <c r="L587" s="39">
        <f t="shared" si="684"/>
        <v>2400</v>
      </c>
      <c r="M587" s="117">
        <v>46178</v>
      </c>
      <c r="N587" s="117">
        <v>46188</v>
      </c>
      <c r="O587" s="39"/>
      <c r="P587" s="39"/>
      <c r="Q587" s="39"/>
      <c r="R587" s="39">
        <f t="shared" ref="R587" si="704">SUM(O587:Q587)</f>
        <v>0</v>
      </c>
      <c r="S587" s="39" t="s">
        <v>31</v>
      </c>
      <c r="T587" s="39"/>
      <c r="U587" s="39"/>
      <c r="V587" s="117">
        <v>46179</v>
      </c>
      <c r="W587" s="39">
        <v>2662</v>
      </c>
      <c r="X587" s="117" t="s">
        <v>1102</v>
      </c>
      <c r="Y587" s="39">
        <f>200+33+1776+370</f>
        <v>2379</v>
      </c>
      <c r="Z587" s="39"/>
      <c r="AA587" s="39"/>
      <c r="AB587" s="119">
        <f t="shared" ref="AB587" si="705">SUM(Y587:AA587)</f>
        <v>2379</v>
      </c>
      <c r="AC587" s="39"/>
      <c r="AD587" s="39"/>
      <c r="AE587" s="39"/>
      <c r="AF587" s="39"/>
      <c r="AG587" s="39"/>
      <c r="AH587" s="39">
        <f t="shared" ref="AH587:AH606" si="706">AG587-AE587</f>
        <v>0</v>
      </c>
      <c r="AI587" s="39"/>
      <c r="AJ587" s="39"/>
      <c r="AK587" s="39"/>
      <c r="AL587" s="39"/>
      <c r="AM587" s="39"/>
      <c r="AN587" s="39">
        <f t="shared" ref="AN587:AN606" si="707">AM587-AK587</f>
        <v>0</v>
      </c>
      <c r="AO587" s="39"/>
      <c r="AP587" s="39"/>
      <c r="AQ587" s="39"/>
      <c r="AR587" s="39"/>
      <c r="AS587" s="39"/>
      <c r="AT587" s="39">
        <f t="shared" ref="AT587:AT606" si="708">AS587-AQ587</f>
        <v>0</v>
      </c>
      <c r="AU587" s="39"/>
      <c r="AV587" s="39"/>
      <c r="AW587" s="39"/>
      <c r="AX587" s="39"/>
      <c r="AY587" s="39"/>
      <c r="AZ587" s="39">
        <f t="shared" ref="AZ587:AZ606" si="709">AY587-AW587</f>
        <v>0</v>
      </c>
      <c r="BA587" s="39"/>
      <c r="BB587" s="39"/>
      <c r="BC587" s="39"/>
      <c r="BD587" s="39"/>
      <c r="BE587" s="39"/>
      <c r="BF587" s="39">
        <f t="shared" ref="BF587:BF606" si="710">BE587-BC587</f>
        <v>0</v>
      </c>
      <c r="BG587" s="39"/>
      <c r="BH587" s="39"/>
      <c r="BI587" s="39"/>
      <c r="BJ587" s="39"/>
      <c r="BK587" s="39"/>
      <c r="BL587" s="39">
        <f t="shared" ref="BL587:BL606" si="711">BK587-BI587</f>
        <v>0</v>
      </c>
      <c r="BM587" s="54" t="str">
        <f t="shared" ref="BM587:BM606" si="712">IF((BZ587/L587)&lt;0.9,$CO$1-U587,"")</f>
        <v/>
      </c>
      <c r="BN587" s="66">
        <v>46188</v>
      </c>
      <c r="BO587" s="117">
        <v>46201</v>
      </c>
      <c r="BP587" s="39"/>
      <c r="BQ587" s="39"/>
      <c r="BR587" s="230"/>
      <c r="BS587" s="230"/>
      <c r="BT587" s="39" t="s">
        <v>1205</v>
      </c>
      <c r="BU587" s="39">
        <f>200+1776+370+33</f>
        <v>2379</v>
      </c>
      <c r="BV587" s="39"/>
      <c r="BW587" s="39"/>
      <c r="BX587" s="39"/>
      <c r="BY587" s="39"/>
      <c r="BZ587" s="39">
        <f t="shared" si="668"/>
        <v>2379</v>
      </c>
      <c r="CA587" s="39">
        <f t="shared" si="468"/>
        <v>-21</v>
      </c>
      <c r="CB587" s="39">
        <f t="shared" si="469"/>
        <v>0</v>
      </c>
      <c r="CC587" s="39">
        <f t="shared" si="470"/>
        <v>0</v>
      </c>
      <c r="CD587" s="39">
        <v>0</v>
      </c>
      <c r="CE587" s="47">
        <f t="shared" si="472"/>
        <v>0</v>
      </c>
      <c r="CF587" s="36" t="s">
        <v>252</v>
      </c>
      <c r="CG587" s="39" t="s">
        <v>223</v>
      </c>
      <c r="CH587" s="39"/>
      <c r="CI587" s="25">
        <v>2</v>
      </c>
    </row>
    <row r="588" spans="1:87" ht="24.75" customHeight="1">
      <c r="A588" s="36" t="s">
        <v>388</v>
      </c>
      <c r="B588" s="27" t="s">
        <v>806</v>
      </c>
      <c r="C588" s="227">
        <v>15354114</v>
      </c>
      <c r="D588" s="36"/>
      <c r="E588" s="39">
        <v>160</v>
      </c>
      <c r="F588" s="39" t="s">
        <v>57</v>
      </c>
      <c r="G588" s="36" t="s">
        <v>38</v>
      </c>
      <c r="H588" s="36" t="s">
        <v>22</v>
      </c>
      <c r="I588" s="39">
        <v>190</v>
      </c>
      <c r="J588" s="39">
        <v>12</v>
      </c>
      <c r="K588" s="39"/>
      <c r="L588" s="39">
        <f t="shared" si="684"/>
        <v>202</v>
      </c>
      <c r="M588" s="117">
        <v>46179</v>
      </c>
      <c r="N588" s="117">
        <v>46183</v>
      </c>
      <c r="O588" s="39"/>
      <c r="P588" s="39"/>
      <c r="Q588" s="39"/>
      <c r="R588" s="39">
        <f t="shared" ref="R588:R606" si="713">SUM(O588:Q588)</f>
        <v>0</v>
      </c>
      <c r="S588" s="39" t="s">
        <v>130</v>
      </c>
      <c r="T588" s="39">
        <v>107780</v>
      </c>
      <c r="U588" s="117">
        <v>46217</v>
      </c>
      <c r="V588" s="39"/>
      <c r="W588" s="39"/>
      <c r="X588" s="39"/>
      <c r="Y588" s="39">
        <v>228</v>
      </c>
      <c r="Z588" s="39">
        <v>15</v>
      </c>
      <c r="AA588" s="39"/>
      <c r="AB588" s="119">
        <f t="shared" ref="AB588:AB606" si="714">SUM(Y588:AA588)</f>
        <v>243</v>
      </c>
      <c r="AC588" s="39"/>
      <c r="AD588" s="39"/>
      <c r="AE588" s="39"/>
      <c r="AF588" s="39"/>
      <c r="AG588" s="39"/>
      <c r="AH588" s="39">
        <f t="shared" si="706"/>
        <v>0</v>
      </c>
      <c r="AI588" s="39"/>
      <c r="AJ588" s="39"/>
      <c r="AK588" s="39"/>
      <c r="AL588" s="39"/>
      <c r="AM588" s="39"/>
      <c r="AN588" s="39">
        <f t="shared" si="707"/>
        <v>0</v>
      </c>
      <c r="AO588" s="39"/>
      <c r="AP588" s="39"/>
      <c r="AQ588" s="39"/>
      <c r="AR588" s="39"/>
      <c r="AS588" s="39"/>
      <c r="AT588" s="39">
        <f t="shared" si="708"/>
        <v>0</v>
      </c>
      <c r="AU588" s="39"/>
      <c r="AV588" s="39"/>
      <c r="AW588" s="39"/>
      <c r="AX588" s="39"/>
      <c r="AY588" s="39"/>
      <c r="AZ588" s="39">
        <f t="shared" si="709"/>
        <v>0</v>
      </c>
      <c r="BA588" s="39"/>
      <c r="BB588" s="39"/>
      <c r="BC588" s="39"/>
      <c r="BD588" s="39"/>
      <c r="BE588" s="39"/>
      <c r="BF588" s="39">
        <f t="shared" si="710"/>
        <v>0</v>
      </c>
      <c r="BG588" s="39"/>
      <c r="BH588" s="39"/>
      <c r="BI588" s="39"/>
      <c r="BJ588" s="39"/>
      <c r="BK588" s="39"/>
      <c r="BL588" s="39">
        <f t="shared" si="711"/>
        <v>0</v>
      </c>
      <c r="BM588" s="54" t="str">
        <f t="shared" si="712"/>
        <v/>
      </c>
      <c r="BN588" s="66">
        <v>46189</v>
      </c>
      <c r="BO588" s="117">
        <v>46203</v>
      </c>
      <c r="BP588" s="39"/>
      <c r="BQ588" s="39"/>
      <c r="BR588" s="229">
        <v>46219</v>
      </c>
      <c r="BS588" s="229">
        <v>46219</v>
      </c>
      <c r="BT588" s="39">
        <v>1812</v>
      </c>
      <c r="BU588" s="39">
        <v>190</v>
      </c>
      <c r="BV588" s="39">
        <v>1812</v>
      </c>
      <c r="BW588" s="39">
        <v>12</v>
      </c>
      <c r="BX588" s="39"/>
      <c r="BY588" s="39"/>
      <c r="BZ588" s="39">
        <f t="shared" si="668"/>
        <v>202</v>
      </c>
      <c r="CA588" s="39">
        <f t="shared" si="468"/>
        <v>0</v>
      </c>
      <c r="CB588" s="39">
        <f t="shared" si="469"/>
        <v>0</v>
      </c>
      <c r="CC588" s="39">
        <f t="shared" si="470"/>
        <v>0</v>
      </c>
      <c r="CD588" s="39">
        <f t="shared" si="471"/>
        <v>0</v>
      </c>
      <c r="CE588" s="102">
        <f t="shared" si="472"/>
        <v>0</v>
      </c>
      <c r="CF588" s="36" t="s">
        <v>295</v>
      </c>
      <c r="CG588" s="39" t="s">
        <v>224</v>
      </c>
      <c r="CH588" s="39"/>
      <c r="CI588" s="25">
        <v>2</v>
      </c>
    </row>
    <row r="589" spans="1:87" ht="24.75" customHeight="1">
      <c r="A589" s="36" t="s">
        <v>388</v>
      </c>
      <c r="B589" s="27" t="s">
        <v>806</v>
      </c>
      <c r="C589" s="228"/>
      <c r="D589" s="36"/>
      <c r="E589" s="39">
        <v>160</v>
      </c>
      <c r="F589" s="39" t="s">
        <v>57</v>
      </c>
      <c r="G589" s="36" t="s">
        <v>47</v>
      </c>
      <c r="H589" s="36" t="s">
        <v>22</v>
      </c>
      <c r="I589" s="39">
        <v>230</v>
      </c>
      <c r="J589" s="39">
        <v>14</v>
      </c>
      <c r="K589" s="39"/>
      <c r="L589" s="39">
        <f t="shared" si="684"/>
        <v>244</v>
      </c>
      <c r="M589" s="117">
        <v>46179</v>
      </c>
      <c r="N589" s="117">
        <v>46183</v>
      </c>
      <c r="O589" s="39"/>
      <c r="P589" s="39"/>
      <c r="Q589" s="39"/>
      <c r="R589" s="39">
        <f t="shared" si="713"/>
        <v>0</v>
      </c>
      <c r="S589" s="39" t="s">
        <v>130</v>
      </c>
      <c r="T589" s="39">
        <v>107727</v>
      </c>
      <c r="U589" s="117">
        <v>46217</v>
      </c>
      <c r="V589" s="39"/>
      <c r="W589" s="39"/>
      <c r="X589" s="39"/>
      <c r="Y589" s="39">
        <v>259</v>
      </c>
      <c r="Z589" s="39">
        <v>18</v>
      </c>
      <c r="AA589" s="39"/>
      <c r="AB589" s="119">
        <f t="shared" si="714"/>
        <v>277</v>
      </c>
      <c r="AC589" s="39"/>
      <c r="AD589" s="39"/>
      <c r="AE589" s="39"/>
      <c r="AF589" s="39"/>
      <c r="AG589" s="39"/>
      <c r="AH589" s="39">
        <f t="shared" si="706"/>
        <v>0</v>
      </c>
      <c r="AI589" s="39"/>
      <c r="AJ589" s="39"/>
      <c r="AK589" s="39"/>
      <c r="AL589" s="39"/>
      <c r="AM589" s="39"/>
      <c r="AN589" s="39">
        <f t="shared" si="707"/>
        <v>0</v>
      </c>
      <c r="AO589" s="39"/>
      <c r="AP589" s="39"/>
      <c r="AQ589" s="39"/>
      <c r="AR589" s="39"/>
      <c r="AS589" s="39"/>
      <c r="AT589" s="39">
        <f t="shared" si="708"/>
        <v>0</v>
      </c>
      <c r="AU589" s="39"/>
      <c r="AV589" s="39"/>
      <c r="AW589" s="39"/>
      <c r="AX589" s="39"/>
      <c r="AY589" s="39"/>
      <c r="AZ589" s="39">
        <f t="shared" si="709"/>
        <v>0</v>
      </c>
      <c r="BA589" s="39"/>
      <c r="BB589" s="39"/>
      <c r="BC589" s="39"/>
      <c r="BD589" s="39"/>
      <c r="BE589" s="39"/>
      <c r="BF589" s="39">
        <f t="shared" si="710"/>
        <v>0</v>
      </c>
      <c r="BG589" s="39"/>
      <c r="BH589" s="39"/>
      <c r="BI589" s="39"/>
      <c r="BJ589" s="39"/>
      <c r="BK589" s="39"/>
      <c r="BL589" s="39">
        <f t="shared" si="711"/>
        <v>0</v>
      </c>
      <c r="BM589" s="54" t="str">
        <f t="shared" si="712"/>
        <v/>
      </c>
      <c r="BN589" s="66">
        <v>46189</v>
      </c>
      <c r="BO589" s="117">
        <v>46203</v>
      </c>
      <c r="BP589" s="39"/>
      <c r="BQ589" s="39"/>
      <c r="BR589" s="230"/>
      <c r="BS589" s="230"/>
      <c r="BT589" s="39">
        <v>1811</v>
      </c>
      <c r="BU589" s="39">
        <v>232</v>
      </c>
      <c r="BV589" s="39">
        <v>1811</v>
      </c>
      <c r="BW589" s="39">
        <v>17</v>
      </c>
      <c r="BX589" s="39"/>
      <c r="BY589" s="39"/>
      <c r="BZ589" s="39">
        <f t="shared" si="668"/>
        <v>249</v>
      </c>
      <c r="CA589" s="39">
        <f t="shared" si="468"/>
        <v>2</v>
      </c>
      <c r="CB589" s="39">
        <f t="shared" si="469"/>
        <v>3</v>
      </c>
      <c r="CC589" s="39">
        <f t="shared" si="470"/>
        <v>0</v>
      </c>
      <c r="CD589" s="39">
        <f t="shared" si="471"/>
        <v>0</v>
      </c>
      <c r="CE589" s="102">
        <f t="shared" si="472"/>
        <v>0</v>
      </c>
      <c r="CF589" s="36" t="s">
        <v>295</v>
      </c>
      <c r="CG589" s="39" t="s">
        <v>224</v>
      </c>
      <c r="CH589" s="39"/>
      <c r="CI589" s="25">
        <v>2</v>
      </c>
    </row>
    <row r="590" spans="1:87" ht="24.75" customHeight="1">
      <c r="A590" s="36" t="s">
        <v>388</v>
      </c>
      <c r="B590" s="27">
        <v>47756</v>
      </c>
      <c r="C590" s="227">
        <v>15387715</v>
      </c>
      <c r="D590" s="36"/>
      <c r="E590" s="39">
        <v>140</v>
      </c>
      <c r="F590" s="39" t="s">
        <v>54</v>
      </c>
      <c r="G590" s="36" t="s">
        <v>807</v>
      </c>
      <c r="H590" s="36" t="s">
        <v>22</v>
      </c>
      <c r="I590" s="39">
        <v>125</v>
      </c>
      <c r="J590" s="39">
        <v>10</v>
      </c>
      <c r="K590" s="39"/>
      <c r="L590" s="39">
        <f t="shared" si="684"/>
        <v>135</v>
      </c>
      <c r="M590" s="117">
        <v>46181</v>
      </c>
      <c r="N590" s="117">
        <v>46186</v>
      </c>
      <c r="O590" s="39"/>
      <c r="P590" s="39"/>
      <c r="Q590" s="39"/>
      <c r="R590" s="39">
        <f t="shared" si="713"/>
        <v>0</v>
      </c>
      <c r="S590" s="39" t="s">
        <v>130</v>
      </c>
      <c r="T590" s="39">
        <v>107550</v>
      </c>
      <c r="U590" s="117">
        <v>46223</v>
      </c>
      <c r="V590" s="39"/>
      <c r="W590" s="39"/>
      <c r="X590" s="39"/>
      <c r="Y590" s="39">
        <v>156</v>
      </c>
      <c r="Z590" s="39">
        <v>13</v>
      </c>
      <c r="AA590" s="39"/>
      <c r="AB590" s="119">
        <f t="shared" si="714"/>
        <v>169</v>
      </c>
      <c r="AC590" s="39"/>
      <c r="AD590" s="39"/>
      <c r="AE590" s="39"/>
      <c r="AF590" s="39"/>
      <c r="AG590" s="39"/>
      <c r="AH590" s="39">
        <f t="shared" si="706"/>
        <v>0</v>
      </c>
      <c r="AI590" s="39"/>
      <c r="AJ590" s="39"/>
      <c r="AK590" s="39"/>
      <c r="AL590" s="39"/>
      <c r="AM590" s="39"/>
      <c r="AN590" s="39">
        <f t="shared" si="707"/>
        <v>0</v>
      </c>
      <c r="AO590" s="39"/>
      <c r="AP590" s="39"/>
      <c r="AQ590" s="39"/>
      <c r="AR590" s="39"/>
      <c r="AS590" s="39"/>
      <c r="AT590" s="39">
        <f t="shared" si="708"/>
        <v>0</v>
      </c>
      <c r="AU590" s="39"/>
      <c r="AV590" s="39"/>
      <c r="AW590" s="39"/>
      <c r="AX590" s="39"/>
      <c r="AY590" s="39"/>
      <c r="AZ590" s="39">
        <f t="shared" si="709"/>
        <v>0</v>
      </c>
      <c r="BA590" s="39"/>
      <c r="BB590" s="39"/>
      <c r="BC590" s="39"/>
      <c r="BD590" s="39"/>
      <c r="BE590" s="39"/>
      <c r="BF590" s="39">
        <f t="shared" si="710"/>
        <v>0</v>
      </c>
      <c r="BG590" s="39"/>
      <c r="BH590" s="39"/>
      <c r="BI590" s="39"/>
      <c r="BJ590" s="39"/>
      <c r="BK590" s="39"/>
      <c r="BL590" s="39">
        <f t="shared" si="711"/>
        <v>0</v>
      </c>
      <c r="BM590" s="54" t="str">
        <f t="shared" si="712"/>
        <v/>
      </c>
      <c r="BN590" s="66">
        <v>46190</v>
      </c>
      <c r="BO590" s="117">
        <v>46203</v>
      </c>
      <c r="BP590" s="39"/>
      <c r="BQ590" s="39"/>
      <c r="BR590" s="229">
        <v>46225</v>
      </c>
      <c r="BS590" s="229">
        <v>46235</v>
      </c>
      <c r="BT590" s="39">
        <v>1825</v>
      </c>
      <c r="BU590" s="39">
        <v>133</v>
      </c>
      <c r="BV590" s="39">
        <v>1847</v>
      </c>
      <c r="BW590" s="39">
        <v>10</v>
      </c>
      <c r="BX590" s="39"/>
      <c r="BY590" s="39"/>
      <c r="BZ590" s="39">
        <f t="shared" si="668"/>
        <v>143</v>
      </c>
      <c r="CA590" s="39">
        <f t="shared" si="468"/>
        <v>8</v>
      </c>
      <c r="CB590" s="39">
        <f t="shared" si="469"/>
        <v>0</v>
      </c>
      <c r="CC590" s="39">
        <f t="shared" si="470"/>
        <v>0</v>
      </c>
      <c r="CD590" s="39">
        <f t="shared" si="471"/>
        <v>0</v>
      </c>
      <c r="CE590" s="102">
        <f t="shared" si="472"/>
        <v>0</v>
      </c>
      <c r="CF590" s="36" t="s">
        <v>295</v>
      </c>
      <c r="CG590" s="39" t="s">
        <v>224</v>
      </c>
      <c r="CH590" s="39" t="s">
        <v>973</v>
      </c>
      <c r="CI590" s="25">
        <v>2</v>
      </c>
    </row>
    <row r="591" spans="1:87" ht="24.75" customHeight="1">
      <c r="A591" s="36" t="s">
        <v>388</v>
      </c>
      <c r="B591" s="27">
        <v>47756</v>
      </c>
      <c r="C591" s="228"/>
      <c r="D591" s="36"/>
      <c r="E591" s="39">
        <v>140</v>
      </c>
      <c r="F591" s="39" t="s">
        <v>54</v>
      </c>
      <c r="G591" s="36" t="s">
        <v>30</v>
      </c>
      <c r="H591" s="36" t="s">
        <v>22</v>
      </c>
      <c r="I591" s="39">
        <v>130</v>
      </c>
      <c r="J591" s="39">
        <v>12</v>
      </c>
      <c r="K591" s="39"/>
      <c r="L591" s="39">
        <f t="shared" si="684"/>
        <v>142</v>
      </c>
      <c r="M591" s="117">
        <v>46181</v>
      </c>
      <c r="N591" s="117">
        <v>46186</v>
      </c>
      <c r="O591" s="39"/>
      <c r="P591" s="39"/>
      <c r="Q591" s="39"/>
      <c r="R591" s="39">
        <f t="shared" si="713"/>
        <v>0</v>
      </c>
      <c r="S591" s="39" t="s">
        <v>130</v>
      </c>
      <c r="T591" s="39">
        <v>108145</v>
      </c>
      <c r="U591" s="117">
        <v>46232</v>
      </c>
      <c r="V591" s="39"/>
      <c r="W591" s="39"/>
      <c r="X591" s="39"/>
      <c r="Y591" s="39">
        <v>163</v>
      </c>
      <c r="Z591" s="39">
        <v>16</v>
      </c>
      <c r="AA591" s="39"/>
      <c r="AB591" s="119">
        <f t="shared" si="714"/>
        <v>179</v>
      </c>
      <c r="AC591" s="39"/>
      <c r="AD591" s="39"/>
      <c r="AE591" s="39"/>
      <c r="AF591" s="39"/>
      <c r="AG591" s="39"/>
      <c r="AH591" s="39">
        <f t="shared" si="706"/>
        <v>0</v>
      </c>
      <c r="AI591" s="39"/>
      <c r="AJ591" s="39"/>
      <c r="AK591" s="39"/>
      <c r="AL591" s="39"/>
      <c r="AM591" s="39"/>
      <c r="AN591" s="39">
        <f t="shared" si="707"/>
        <v>0</v>
      </c>
      <c r="AO591" s="39"/>
      <c r="AP591" s="39"/>
      <c r="AQ591" s="39"/>
      <c r="AR591" s="39"/>
      <c r="AS591" s="39"/>
      <c r="AT591" s="39">
        <f t="shared" si="708"/>
        <v>0</v>
      </c>
      <c r="AU591" s="39"/>
      <c r="AV591" s="39"/>
      <c r="AW591" s="39"/>
      <c r="AX591" s="39"/>
      <c r="AY591" s="39"/>
      <c r="AZ591" s="39">
        <f t="shared" si="709"/>
        <v>0</v>
      </c>
      <c r="BA591" s="39"/>
      <c r="BB591" s="39"/>
      <c r="BC591" s="39"/>
      <c r="BD591" s="39"/>
      <c r="BE591" s="39"/>
      <c r="BF591" s="39">
        <f t="shared" si="710"/>
        <v>0</v>
      </c>
      <c r="BG591" s="39"/>
      <c r="BH591" s="39"/>
      <c r="BI591" s="39"/>
      <c r="BJ591" s="39"/>
      <c r="BK591" s="39"/>
      <c r="BL591" s="39">
        <f t="shared" si="711"/>
        <v>0</v>
      </c>
      <c r="BM591" s="54" t="str">
        <f t="shared" si="712"/>
        <v/>
      </c>
      <c r="BN591" s="66">
        <v>46190</v>
      </c>
      <c r="BO591" s="117">
        <v>46203</v>
      </c>
      <c r="BP591" s="39"/>
      <c r="BQ591" s="39"/>
      <c r="BR591" s="230"/>
      <c r="BS591" s="230"/>
      <c r="BT591" s="39">
        <v>1927</v>
      </c>
      <c r="BU591" s="39">
        <v>144</v>
      </c>
      <c r="BV591" s="39">
        <v>1932</v>
      </c>
      <c r="BW591" s="39">
        <v>14</v>
      </c>
      <c r="BX591" s="39"/>
      <c r="BY591" s="39"/>
      <c r="BZ591" s="39">
        <f t="shared" si="668"/>
        <v>158</v>
      </c>
      <c r="CA591" s="39">
        <f t="shared" si="468"/>
        <v>14</v>
      </c>
      <c r="CB591" s="39">
        <f t="shared" si="469"/>
        <v>2</v>
      </c>
      <c r="CC591" s="39">
        <f t="shared" si="470"/>
        <v>0</v>
      </c>
      <c r="CD591" s="39">
        <f t="shared" si="471"/>
        <v>0</v>
      </c>
      <c r="CE591" s="102">
        <f t="shared" si="472"/>
        <v>0</v>
      </c>
      <c r="CF591" s="36" t="s">
        <v>295</v>
      </c>
      <c r="CG591" s="39" t="s">
        <v>224</v>
      </c>
      <c r="CH591" s="39" t="s">
        <v>973</v>
      </c>
      <c r="CI591" s="25">
        <v>2</v>
      </c>
    </row>
    <row r="592" spans="1:87" ht="24.75" customHeight="1">
      <c r="A592" s="36" t="s">
        <v>388</v>
      </c>
      <c r="B592" s="27">
        <v>47757</v>
      </c>
      <c r="C592" s="227">
        <v>15387146</v>
      </c>
      <c r="D592" s="36"/>
      <c r="E592" s="39">
        <v>250</v>
      </c>
      <c r="F592" s="39" t="s">
        <v>59</v>
      </c>
      <c r="G592" s="36" t="s">
        <v>23</v>
      </c>
      <c r="H592" s="36" t="s">
        <v>212</v>
      </c>
      <c r="I592" s="39">
        <v>275</v>
      </c>
      <c r="J592" s="39">
        <v>45</v>
      </c>
      <c r="K592" s="39"/>
      <c r="L592" s="39">
        <f t="shared" si="684"/>
        <v>320</v>
      </c>
      <c r="M592" s="117">
        <v>46183</v>
      </c>
      <c r="N592" s="117">
        <v>46187</v>
      </c>
      <c r="O592" s="39"/>
      <c r="P592" s="39"/>
      <c r="Q592" s="39"/>
      <c r="R592" s="39">
        <f t="shared" si="713"/>
        <v>0</v>
      </c>
      <c r="S592" s="39" t="s">
        <v>130</v>
      </c>
      <c r="T592" s="39">
        <v>107146</v>
      </c>
      <c r="U592" s="117">
        <v>46195</v>
      </c>
      <c r="V592" s="39"/>
      <c r="W592" s="39"/>
      <c r="X592" s="39"/>
      <c r="Y592" s="39">
        <v>300</v>
      </c>
      <c r="Z592" s="39">
        <v>55</v>
      </c>
      <c r="AA592" s="39"/>
      <c r="AB592" s="119">
        <f t="shared" si="714"/>
        <v>355</v>
      </c>
      <c r="AC592" s="39"/>
      <c r="AD592" s="39"/>
      <c r="AE592" s="39"/>
      <c r="AF592" s="39"/>
      <c r="AG592" s="39"/>
      <c r="AH592" s="39">
        <f t="shared" si="706"/>
        <v>0</v>
      </c>
      <c r="AI592" s="39"/>
      <c r="AJ592" s="39"/>
      <c r="AK592" s="39"/>
      <c r="AL592" s="39"/>
      <c r="AM592" s="39"/>
      <c r="AN592" s="39">
        <f t="shared" si="707"/>
        <v>0</v>
      </c>
      <c r="AO592" s="39"/>
      <c r="AP592" s="39"/>
      <c r="AQ592" s="39"/>
      <c r="AR592" s="39"/>
      <c r="AS592" s="39"/>
      <c r="AT592" s="39">
        <f t="shared" si="708"/>
        <v>0</v>
      </c>
      <c r="AU592" s="39"/>
      <c r="AV592" s="39"/>
      <c r="AW592" s="39"/>
      <c r="AX592" s="39"/>
      <c r="AY592" s="39"/>
      <c r="AZ592" s="39">
        <f t="shared" si="709"/>
        <v>0</v>
      </c>
      <c r="BA592" s="39"/>
      <c r="BB592" s="39"/>
      <c r="BC592" s="39"/>
      <c r="BD592" s="39"/>
      <c r="BE592" s="39"/>
      <c r="BF592" s="39">
        <f t="shared" si="710"/>
        <v>0</v>
      </c>
      <c r="BG592" s="39"/>
      <c r="BH592" s="39"/>
      <c r="BI592" s="39"/>
      <c r="BJ592" s="39"/>
      <c r="BK592" s="39"/>
      <c r="BL592" s="39">
        <f t="shared" si="711"/>
        <v>0</v>
      </c>
      <c r="BM592" s="54" t="str">
        <f t="shared" si="712"/>
        <v/>
      </c>
      <c r="BN592" s="66">
        <v>46193</v>
      </c>
      <c r="BO592" s="117">
        <v>46203</v>
      </c>
      <c r="BP592" s="39"/>
      <c r="BQ592" s="39"/>
      <c r="BR592" s="229">
        <v>46197</v>
      </c>
      <c r="BS592" s="229">
        <v>46197</v>
      </c>
      <c r="BT592" s="39">
        <v>2119</v>
      </c>
      <c r="BU592" s="39">
        <v>276</v>
      </c>
      <c r="BV592" s="39">
        <v>2119</v>
      </c>
      <c r="BW592" s="39">
        <v>51</v>
      </c>
      <c r="BX592" s="39"/>
      <c r="BY592" s="39"/>
      <c r="BZ592" s="39">
        <f t="shared" si="668"/>
        <v>327</v>
      </c>
      <c r="CA592" s="39">
        <f t="shared" si="468"/>
        <v>1</v>
      </c>
      <c r="CB592" s="39">
        <f t="shared" si="469"/>
        <v>6</v>
      </c>
      <c r="CC592" s="39">
        <f t="shared" si="470"/>
        <v>0</v>
      </c>
      <c r="CD592" s="39">
        <f t="shared" si="471"/>
        <v>0</v>
      </c>
      <c r="CE592" s="102">
        <f t="shared" si="472"/>
        <v>0</v>
      </c>
      <c r="CF592" s="36" t="s">
        <v>295</v>
      </c>
      <c r="CG592" s="39" t="s">
        <v>224</v>
      </c>
      <c r="CH592" s="39"/>
      <c r="CI592" s="25">
        <v>2</v>
      </c>
    </row>
    <row r="593" spans="1:87" ht="24.75" customHeight="1">
      <c r="A593" s="36" t="s">
        <v>388</v>
      </c>
      <c r="B593" s="27">
        <v>47757</v>
      </c>
      <c r="C593" s="228"/>
      <c r="D593" s="36"/>
      <c r="E593" s="39"/>
      <c r="F593" s="39"/>
      <c r="G593" s="36" t="s">
        <v>318</v>
      </c>
      <c r="H593" s="36">
        <v>1200</v>
      </c>
      <c r="I593" s="39" t="s">
        <v>90</v>
      </c>
      <c r="J593" s="39"/>
      <c r="K593" s="39"/>
      <c r="L593" s="39">
        <f t="shared" si="684"/>
        <v>0</v>
      </c>
      <c r="M593" s="117">
        <v>46183</v>
      </c>
      <c r="N593" s="117">
        <v>46187</v>
      </c>
      <c r="O593" s="39"/>
      <c r="P593" s="39"/>
      <c r="Q593" s="39"/>
      <c r="R593" s="39">
        <f t="shared" si="713"/>
        <v>0</v>
      </c>
      <c r="S593" s="39" t="s">
        <v>130</v>
      </c>
      <c r="T593" s="39">
        <v>107146</v>
      </c>
      <c r="U593" s="117">
        <v>46195</v>
      </c>
      <c r="V593" s="39"/>
      <c r="W593" s="39"/>
      <c r="X593" s="39"/>
      <c r="Y593" s="39">
        <v>13</v>
      </c>
      <c r="Z593" s="39"/>
      <c r="AA593" s="39"/>
      <c r="AB593" s="39">
        <f t="shared" si="714"/>
        <v>13</v>
      </c>
      <c r="AC593" s="39"/>
      <c r="AD593" s="39"/>
      <c r="AE593" s="39"/>
      <c r="AF593" s="39"/>
      <c r="AG593" s="39"/>
      <c r="AH593" s="39">
        <f t="shared" si="706"/>
        <v>0</v>
      </c>
      <c r="AI593" s="39"/>
      <c r="AJ593" s="39"/>
      <c r="AK593" s="39"/>
      <c r="AL593" s="39"/>
      <c r="AM593" s="39"/>
      <c r="AN593" s="39">
        <f t="shared" si="707"/>
        <v>0</v>
      </c>
      <c r="AO593" s="39"/>
      <c r="AP593" s="39"/>
      <c r="AQ593" s="39"/>
      <c r="AR593" s="39"/>
      <c r="AS593" s="39"/>
      <c r="AT593" s="39">
        <f t="shared" si="708"/>
        <v>0</v>
      </c>
      <c r="AU593" s="39"/>
      <c r="AV593" s="39"/>
      <c r="AW593" s="39"/>
      <c r="AX593" s="39"/>
      <c r="AY593" s="39"/>
      <c r="AZ593" s="39">
        <f t="shared" si="709"/>
        <v>0</v>
      </c>
      <c r="BA593" s="39"/>
      <c r="BB593" s="39"/>
      <c r="BC593" s="39"/>
      <c r="BD593" s="39"/>
      <c r="BE593" s="39"/>
      <c r="BF593" s="39">
        <f t="shared" si="710"/>
        <v>0</v>
      </c>
      <c r="BG593" s="39"/>
      <c r="BH593" s="39"/>
      <c r="BI593" s="39"/>
      <c r="BJ593" s="39"/>
      <c r="BK593" s="39"/>
      <c r="BL593" s="39">
        <f t="shared" si="711"/>
        <v>0</v>
      </c>
      <c r="BM593" s="54" t="e">
        <f t="shared" si="712"/>
        <v>#DIV/0!</v>
      </c>
      <c r="BN593" s="66">
        <v>46193</v>
      </c>
      <c r="BO593" s="117">
        <v>46203</v>
      </c>
      <c r="BP593" s="39"/>
      <c r="BQ593" s="39"/>
      <c r="BR593" s="230"/>
      <c r="BS593" s="230"/>
      <c r="BT593" s="39" t="s">
        <v>1272</v>
      </c>
      <c r="BU593" s="39"/>
      <c r="BV593" s="39"/>
      <c r="BW593" s="39"/>
      <c r="BX593" s="39"/>
      <c r="BY593" s="39"/>
      <c r="BZ593" s="39">
        <f t="shared" si="668"/>
        <v>0</v>
      </c>
      <c r="CA593" s="39" t="e">
        <f t="shared" si="468"/>
        <v>#VALUE!</v>
      </c>
      <c r="CB593" s="39">
        <f t="shared" si="469"/>
        <v>0</v>
      </c>
      <c r="CC593" s="39">
        <f t="shared" si="470"/>
        <v>0</v>
      </c>
      <c r="CD593" s="39">
        <f t="shared" si="471"/>
        <v>0</v>
      </c>
      <c r="CE593" s="102" t="e">
        <f t="shared" si="472"/>
        <v>#DIV/0!</v>
      </c>
      <c r="CF593" s="36" t="s">
        <v>295</v>
      </c>
      <c r="CG593" s="39" t="s">
        <v>224</v>
      </c>
      <c r="CH593" s="39"/>
      <c r="CI593" s="25">
        <v>2</v>
      </c>
    </row>
    <row r="594" spans="1:87" ht="33.75" customHeight="1">
      <c r="A594" s="36" t="s">
        <v>388</v>
      </c>
      <c r="B594" s="27">
        <v>47760</v>
      </c>
      <c r="C594" s="36">
        <v>15388847</v>
      </c>
      <c r="D594" s="36"/>
      <c r="E594" s="39">
        <v>140</v>
      </c>
      <c r="F594" s="39" t="s">
        <v>54</v>
      </c>
      <c r="G594" s="36" t="s">
        <v>23</v>
      </c>
      <c r="H594" s="36" t="s">
        <v>22</v>
      </c>
      <c r="I594" s="39">
        <v>105</v>
      </c>
      <c r="J594" s="39">
        <v>10</v>
      </c>
      <c r="K594" s="39"/>
      <c r="L594" s="39">
        <f t="shared" si="684"/>
        <v>115</v>
      </c>
      <c r="M594" s="117">
        <v>46181</v>
      </c>
      <c r="N594" s="117">
        <v>46186</v>
      </c>
      <c r="O594" s="39"/>
      <c r="P594" s="39"/>
      <c r="Q594" s="39"/>
      <c r="R594" s="39">
        <f t="shared" si="713"/>
        <v>0</v>
      </c>
      <c r="S594" s="39" t="s">
        <v>100</v>
      </c>
      <c r="T594" s="39"/>
      <c r="U594" s="39"/>
      <c r="V594" s="117">
        <v>46181</v>
      </c>
      <c r="W594" s="39">
        <f>127+13</f>
        <v>140</v>
      </c>
      <c r="X594" s="117">
        <v>46198</v>
      </c>
      <c r="Y594" s="39">
        <v>114</v>
      </c>
      <c r="Z594" s="39">
        <v>11</v>
      </c>
      <c r="AA594" s="39"/>
      <c r="AB594" s="119">
        <f t="shared" si="714"/>
        <v>125</v>
      </c>
      <c r="AC594" s="39"/>
      <c r="AD594" s="39"/>
      <c r="AE594" s="39"/>
      <c r="AF594" s="39"/>
      <c r="AG594" s="39"/>
      <c r="AH594" s="39">
        <f t="shared" si="706"/>
        <v>0</v>
      </c>
      <c r="AI594" s="39"/>
      <c r="AJ594" s="39"/>
      <c r="AK594" s="39"/>
      <c r="AL594" s="39"/>
      <c r="AM594" s="39"/>
      <c r="AN594" s="39">
        <f t="shared" si="707"/>
        <v>0</v>
      </c>
      <c r="AO594" s="39"/>
      <c r="AP594" s="39"/>
      <c r="AQ594" s="39"/>
      <c r="AR594" s="39"/>
      <c r="AS594" s="39"/>
      <c r="AT594" s="39">
        <f t="shared" si="708"/>
        <v>0</v>
      </c>
      <c r="AU594" s="39"/>
      <c r="AV594" s="39"/>
      <c r="AW594" s="39"/>
      <c r="AX594" s="39"/>
      <c r="AY594" s="39"/>
      <c r="AZ594" s="39">
        <f t="shared" si="709"/>
        <v>0</v>
      </c>
      <c r="BA594" s="39"/>
      <c r="BB594" s="39"/>
      <c r="BC594" s="39"/>
      <c r="BD594" s="39"/>
      <c r="BE594" s="39"/>
      <c r="BF594" s="39">
        <f t="shared" si="710"/>
        <v>0</v>
      </c>
      <c r="BG594" s="39"/>
      <c r="BH594" s="39"/>
      <c r="BI594" s="39"/>
      <c r="BJ594" s="39"/>
      <c r="BK594" s="39"/>
      <c r="BL594" s="39">
        <f t="shared" si="711"/>
        <v>0</v>
      </c>
      <c r="BM594" s="54" t="str">
        <f t="shared" si="712"/>
        <v/>
      </c>
      <c r="BN594" s="66">
        <v>46193</v>
      </c>
      <c r="BO594" s="117">
        <v>46203</v>
      </c>
      <c r="BP594" s="39"/>
      <c r="BQ594" s="39"/>
      <c r="BR594" s="50">
        <v>46200</v>
      </c>
      <c r="BS594" s="50">
        <v>46200</v>
      </c>
      <c r="BT594" s="39">
        <v>1514</v>
      </c>
      <c r="BU594" s="39">
        <v>114</v>
      </c>
      <c r="BV594" s="39">
        <v>1514</v>
      </c>
      <c r="BW594" s="39">
        <v>11</v>
      </c>
      <c r="BX594" s="39"/>
      <c r="BY594" s="39"/>
      <c r="BZ594" s="39">
        <f t="shared" si="668"/>
        <v>125</v>
      </c>
      <c r="CA594" s="39">
        <f t="shared" si="468"/>
        <v>9</v>
      </c>
      <c r="CB594" s="39">
        <f t="shared" si="469"/>
        <v>1</v>
      </c>
      <c r="CC594" s="39">
        <f t="shared" si="470"/>
        <v>0</v>
      </c>
      <c r="CD594" s="39">
        <f t="shared" si="471"/>
        <v>0</v>
      </c>
      <c r="CE594" s="102">
        <f t="shared" si="472"/>
        <v>0</v>
      </c>
      <c r="CF594" s="36" t="s">
        <v>295</v>
      </c>
      <c r="CG594" s="39" t="s">
        <v>224</v>
      </c>
      <c r="CH594" s="39"/>
      <c r="CI594" s="25">
        <v>2</v>
      </c>
    </row>
    <row r="595" spans="1:87" ht="33.75" customHeight="1">
      <c r="A595" s="36" t="s">
        <v>388</v>
      </c>
      <c r="B595" s="27" t="s">
        <v>808</v>
      </c>
      <c r="C595" s="36">
        <v>15303954</v>
      </c>
      <c r="D595" s="36"/>
      <c r="E595" s="39">
        <v>260</v>
      </c>
      <c r="F595" s="39" t="s">
        <v>67</v>
      </c>
      <c r="G595" s="36" t="s">
        <v>324</v>
      </c>
      <c r="H595" s="36" t="s">
        <v>355</v>
      </c>
      <c r="I595" s="39">
        <v>361</v>
      </c>
      <c r="J595" s="39">
        <v>25</v>
      </c>
      <c r="K595" s="39">
        <v>15</v>
      </c>
      <c r="L595" s="39">
        <f t="shared" si="684"/>
        <v>401</v>
      </c>
      <c r="M595" s="117">
        <v>46179</v>
      </c>
      <c r="N595" s="117">
        <v>46183</v>
      </c>
      <c r="O595" s="39"/>
      <c r="P595" s="39"/>
      <c r="Q595" s="39"/>
      <c r="R595" s="39">
        <f t="shared" si="713"/>
        <v>0</v>
      </c>
      <c r="S595" s="39" t="s">
        <v>100</v>
      </c>
      <c r="T595" s="39"/>
      <c r="U595" s="39"/>
      <c r="V595" s="117">
        <v>46186</v>
      </c>
      <c r="W595" s="39">
        <f>387+31+18</f>
        <v>436</v>
      </c>
      <c r="X595" s="117">
        <v>46200</v>
      </c>
      <c r="Y595" s="39">
        <v>384</v>
      </c>
      <c r="Z595" s="39">
        <v>29</v>
      </c>
      <c r="AA595" s="39">
        <v>16</v>
      </c>
      <c r="AB595" s="119">
        <f t="shared" si="714"/>
        <v>429</v>
      </c>
      <c r="AC595" s="39"/>
      <c r="AD595" s="39"/>
      <c r="AE595" s="39"/>
      <c r="AF595" s="39"/>
      <c r="AG595" s="39"/>
      <c r="AH595" s="39">
        <f t="shared" si="706"/>
        <v>0</v>
      </c>
      <c r="AI595" s="39"/>
      <c r="AJ595" s="39"/>
      <c r="AK595" s="39"/>
      <c r="AL595" s="39"/>
      <c r="AM595" s="39"/>
      <c r="AN595" s="39">
        <f t="shared" si="707"/>
        <v>0</v>
      </c>
      <c r="AO595" s="39"/>
      <c r="AP595" s="39"/>
      <c r="AQ595" s="39"/>
      <c r="AR595" s="39"/>
      <c r="AS595" s="39"/>
      <c r="AT595" s="39">
        <f t="shared" si="708"/>
        <v>0</v>
      </c>
      <c r="AU595" s="39"/>
      <c r="AV595" s="39"/>
      <c r="AW595" s="39"/>
      <c r="AX595" s="39"/>
      <c r="AY595" s="39"/>
      <c r="AZ595" s="39">
        <f t="shared" si="709"/>
        <v>0</v>
      </c>
      <c r="BA595" s="39"/>
      <c r="BB595" s="39"/>
      <c r="BC595" s="39"/>
      <c r="BD595" s="39"/>
      <c r="BE595" s="39"/>
      <c r="BF595" s="39">
        <f t="shared" si="710"/>
        <v>0</v>
      </c>
      <c r="BG595" s="39"/>
      <c r="BH595" s="39"/>
      <c r="BI595" s="39"/>
      <c r="BJ595" s="39"/>
      <c r="BK595" s="39"/>
      <c r="BL595" s="39">
        <f t="shared" si="711"/>
        <v>0</v>
      </c>
      <c r="BM595" s="54" t="str">
        <f t="shared" si="712"/>
        <v/>
      </c>
      <c r="BN595" s="66">
        <v>46188</v>
      </c>
      <c r="BO595" s="117">
        <v>46200</v>
      </c>
      <c r="BP595" s="39"/>
      <c r="BQ595" s="39"/>
      <c r="BR595" s="50">
        <v>46200</v>
      </c>
      <c r="BS595" s="50">
        <v>46200</v>
      </c>
      <c r="BT595" s="39">
        <v>1514</v>
      </c>
      <c r="BU595" s="39">
        <v>384</v>
      </c>
      <c r="BV595" s="39">
        <v>1514</v>
      </c>
      <c r="BW595" s="39">
        <v>29</v>
      </c>
      <c r="BX595" s="39">
        <v>1514</v>
      </c>
      <c r="BY595" s="39">
        <v>16</v>
      </c>
      <c r="BZ595" s="39">
        <f t="shared" si="668"/>
        <v>429</v>
      </c>
      <c r="CA595" s="39">
        <f t="shared" si="468"/>
        <v>23</v>
      </c>
      <c r="CB595" s="39">
        <f t="shared" si="469"/>
        <v>4</v>
      </c>
      <c r="CC595" s="39">
        <f t="shared" si="470"/>
        <v>1</v>
      </c>
      <c r="CD595" s="39">
        <f t="shared" si="471"/>
        <v>0</v>
      </c>
      <c r="CE595" s="102">
        <f t="shared" si="472"/>
        <v>0</v>
      </c>
      <c r="CF595" s="36" t="s">
        <v>294</v>
      </c>
      <c r="CG595" s="39" t="s">
        <v>231</v>
      </c>
      <c r="CH595" s="39"/>
      <c r="CI595" s="25">
        <v>2</v>
      </c>
    </row>
    <row r="596" spans="1:87" ht="24.75" customHeight="1">
      <c r="A596" s="36" t="s">
        <v>388</v>
      </c>
      <c r="B596" s="27" t="s">
        <v>809</v>
      </c>
      <c r="C596" s="227" t="s">
        <v>809</v>
      </c>
      <c r="D596" s="36"/>
      <c r="E596" s="39"/>
      <c r="F596" s="39"/>
      <c r="G596" s="36" t="s">
        <v>810</v>
      </c>
      <c r="H596" s="36">
        <v>20000</v>
      </c>
      <c r="I596" s="39" t="s">
        <v>90</v>
      </c>
      <c r="J596" s="39"/>
      <c r="K596" s="39"/>
      <c r="L596" s="39">
        <f t="shared" si="684"/>
        <v>0</v>
      </c>
      <c r="M596" s="39"/>
      <c r="N596" s="39"/>
      <c r="O596" s="39"/>
      <c r="P596" s="39"/>
      <c r="Q596" s="39"/>
      <c r="R596" s="39">
        <f t="shared" si="713"/>
        <v>0</v>
      </c>
      <c r="S596" s="39" t="s">
        <v>130</v>
      </c>
      <c r="T596" s="39">
        <v>107209</v>
      </c>
      <c r="U596" s="117">
        <v>46198</v>
      </c>
      <c r="V596" s="39"/>
      <c r="W596" s="39"/>
      <c r="X596" s="39"/>
      <c r="Y596" s="39">
        <f>54</f>
        <v>54</v>
      </c>
      <c r="Z596" s="39"/>
      <c r="AA596" s="39"/>
      <c r="AB596" s="39">
        <f t="shared" si="714"/>
        <v>54</v>
      </c>
      <c r="AC596" s="39"/>
      <c r="AD596" s="39"/>
      <c r="AE596" s="39"/>
      <c r="AF596" s="39"/>
      <c r="AG596" s="39"/>
      <c r="AH596" s="39">
        <f t="shared" si="706"/>
        <v>0</v>
      </c>
      <c r="AI596" s="39"/>
      <c r="AJ596" s="39"/>
      <c r="AK596" s="39"/>
      <c r="AL596" s="39"/>
      <c r="AM596" s="39"/>
      <c r="AN596" s="39">
        <f t="shared" si="707"/>
        <v>0</v>
      </c>
      <c r="AO596" s="39"/>
      <c r="AP596" s="39"/>
      <c r="AQ596" s="39"/>
      <c r="AR596" s="39"/>
      <c r="AS596" s="39"/>
      <c r="AT596" s="39">
        <f t="shared" si="708"/>
        <v>0</v>
      </c>
      <c r="AU596" s="39"/>
      <c r="AV596" s="39"/>
      <c r="AW596" s="39"/>
      <c r="AX596" s="39"/>
      <c r="AY596" s="39"/>
      <c r="AZ596" s="39">
        <f t="shared" si="709"/>
        <v>0</v>
      </c>
      <c r="BA596" s="39"/>
      <c r="BB596" s="39"/>
      <c r="BC596" s="39"/>
      <c r="BD596" s="39"/>
      <c r="BE596" s="39"/>
      <c r="BF596" s="39">
        <f t="shared" si="710"/>
        <v>0</v>
      </c>
      <c r="BG596" s="39"/>
      <c r="BH596" s="39"/>
      <c r="BI596" s="39"/>
      <c r="BJ596" s="39"/>
      <c r="BK596" s="39"/>
      <c r="BL596" s="39">
        <f t="shared" si="711"/>
        <v>0</v>
      </c>
      <c r="BM596" s="54" t="e">
        <f t="shared" si="712"/>
        <v>#DIV/0!</v>
      </c>
      <c r="BN596" s="67"/>
      <c r="BO596" s="39"/>
      <c r="BP596" s="39"/>
      <c r="BQ596" s="39"/>
      <c r="BR596" s="229">
        <v>46204</v>
      </c>
      <c r="BS596" s="229">
        <v>46204</v>
      </c>
      <c r="BT596" s="39" t="s">
        <v>1302</v>
      </c>
      <c r="BU596" s="39"/>
      <c r="BV596" s="39"/>
      <c r="BW596" s="39"/>
      <c r="BX596" s="39"/>
      <c r="BY596" s="39"/>
      <c r="BZ596" s="39">
        <f t="shared" si="668"/>
        <v>0</v>
      </c>
      <c r="CA596" s="39" t="e">
        <f t="shared" si="468"/>
        <v>#VALUE!</v>
      </c>
      <c r="CB596" s="39">
        <f t="shared" si="469"/>
        <v>0</v>
      </c>
      <c r="CC596" s="39">
        <f t="shared" si="470"/>
        <v>0</v>
      </c>
      <c r="CD596" s="39">
        <f t="shared" si="471"/>
        <v>0</v>
      </c>
      <c r="CE596" s="102" t="e">
        <f t="shared" si="472"/>
        <v>#DIV/0!</v>
      </c>
      <c r="CF596" s="36" t="s">
        <v>294</v>
      </c>
      <c r="CG596" s="39" t="s">
        <v>231</v>
      </c>
      <c r="CH596" s="39"/>
      <c r="CI596" s="25">
        <v>2</v>
      </c>
    </row>
    <row r="597" spans="1:87" ht="24.75" customHeight="1">
      <c r="A597" s="36" t="s">
        <v>388</v>
      </c>
      <c r="B597" s="27" t="s">
        <v>809</v>
      </c>
      <c r="C597" s="228"/>
      <c r="D597" s="36"/>
      <c r="E597" s="39"/>
      <c r="F597" s="39"/>
      <c r="G597" s="36" t="s">
        <v>811</v>
      </c>
      <c r="H597" s="36">
        <v>7000</v>
      </c>
      <c r="I597" s="39" t="s">
        <v>90</v>
      </c>
      <c r="J597" s="39"/>
      <c r="K597" s="39"/>
      <c r="L597" s="39">
        <f t="shared" si="684"/>
        <v>0</v>
      </c>
      <c r="M597" s="39"/>
      <c r="N597" s="39"/>
      <c r="O597" s="39"/>
      <c r="P597" s="39"/>
      <c r="Q597" s="39"/>
      <c r="R597" s="39">
        <f t="shared" si="713"/>
        <v>0</v>
      </c>
      <c r="S597" s="39" t="s">
        <v>130</v>
      </c>
      <c r="T597" s="39">
        <v>107187</v>
      </c>
      <c r="U597" s="117">
        <v>46200</v>
      </c>
      <c r="V597" s="39"/>
      <c r="W597" s="39"/>
      <c r="X597" s="39"/>
      <c r="Y597" s="39">
        <v>19</v>
      </c>
      <c r="Z597" s="39"/>
      <c r="AA597" s="39"/>
      <c r="AB597" s="39">
        <f t="shared" si="714"/>
        <v>19</v>
      </c>
      <c r="AC597" s="39"/>
      <c r="AD597" s="39"/>
      <c r="AE597" s="39"/>
      <c r="AF597" s="39"/>
      <c r="AG597" s="39"/>
      <c r="AH597" s="39">
        <f t="shared" si="706"/>
        <v>0</v>
      </c>
      <c r="AI597" s="39"/>
      <c r="AJ597" s="39"/>
      <c r="AK597" s="39"/>
      <c r="AL597" s="39"/>
      <c r="AM597" s="39"/>
      <c r="AN597" s="39">
        <f t="shared" si="707"/>
        <v>0</v>
      </c>
      <c r="AO597" s="39"/>
      <c r="AP597" s="39"/>
      <c r="AQ597" s="39"/>
      <c r="AR597" s="39"/>
      <c r="AS597" s="39"/>
      <c r="AT597" s="39">
        <f t="shared" si="708"/>
        <v>0</v>
      </c>
      <c r="AU597" s="39"/>
      <c r="AV597" s="39"/>
      <c r="AW597" s="39"/>
      <c r="AX597" s="39"/>
      <c r="AY597" s="39"/>
      <c r="AZ597" s="39">
        <f t="shared" si="709"/>
        <v>0</v>
      </c>
      <c r="BA597" s="39"/>
      <c r="BB597" s="39"/>
      <c r="BC597" s="39"/>
      <c r="BD597" s="39"/>
      <c r="BE597" s="39"/>
      <c r="BF597" s="39">
        <f t="shared" si="710"/>
        <v>0</v>
      </c>
      <c r="BG597" s="39"/>
      <c r="BH597" s="39"/>
      <c r="BI597" s="39"/>
      <c r="BJ597" s="39"/>
      <c r="BK597" s="39"/>
      <c r="BL597" s="39">
        <f t="shared" si="711"/>
        <v>0</v>
      </c>
      <c r="BM597" s="54" t="e">
        <f t="shared" si="712"/>
        <v>#DIV/0!</v>
      </c>
      <c r="BN597" s="67"/>
      <c r="BO597" s="39"/>
      <c r="BP597" s="39"/>
      <c r="BQ597" s="39"/>
      <c r="BR597" s="230"/>
      <c r="BS597" s="230"/>
      <c r="BT597" s="39" t="s">
        <v>1301</v>
      </c>
      <c r="BU597" s="39"/>
      <c r="BV597" s="39"/>
      <c r="BW597" s="39"/>
      <c r="BX597" s="39"/>
      <c r="BY597" s="39"/>
      <c r="BZ597" s="39">
        <f t="shared" si="668"/>
        <v>0</v>
      </c>
      <c r="CA597" s="39" t="e">
        <f t="shared" si="468"/>
        <v>#VALUE!</v>
      </c>
      <c r="CB597" s="39">
        <f t="shared" si="469"/>
        <v>0</v>
      </c>
      <c r="CC597" s="39">
        <f t="shared" si="470"/>
        <v>0</v>
      </c>
      <c r="CD597" s="39">
        <f t="shared" si="471"/>
        <v>0</v>
      </c>
      <c r="CE597" s="102" t="e">
        <f t="shared" si="472"/>
        <v>#DIV/0!</v>
      </c>
      <c r="CF597" s="36" t="s">
        <v>294</v>
      </c>
      <c r="CG597" s="39" t="s">
        <v>231</v>
      </c>
      <c r="CH597" s="39"/>
      <c r="CI597" s="25">
        <v>2</v>
      </c>
    </row>
    <row r="598" spans="1:87" ht="30.75" customHeight="1">
      <c r="A598" s="36" t="s">
        <v>388</v>
      </c>
      <c r="B598" s="27" t="s">
        <v>840</v>
      </c>
      <c r="C598" s="36" t="s">
        <v>841</v>
      </c>
      <c r="D598" s="36"/>
      <c r="E598" s="39">
        <v>180</v>
      </c>
      <c r="F598" s="39" t="s">
        <v>55</v>
      </c>
      <c r="G598" s="36" t="s">
        <v>23</v>
      </c>
      <c r="H598" s="36" t="s">
        <v>87</v>
      </c>
      <c r="I598" s="39">
        <v>389</v>
      </c>
      <c r="J598" s="39"/>
      <c r="K598" s="39"/>
      <c r="L598" s="39">
        <f t="shared" si="684"/>
        <v>389</v>
      </c>
      <c r="M598" s="117">
        <v>46178</v>
      </c>
      <c r="N598" s="117">
        <v>46183</v>
      </c>
      <c r="O598" s="39"/>
      <c r="P598" s="39"/>
      <c r="Q598" s="39"/>
      <c r="R598" s="39">
        <f t="shared" ref="R598:R599" si="715">SUM(O598:Q598)</f>
        <v>0</v>
      </c>
      <c r="S598" s="39" t="s">
        <v>100</v>
      </c>
      <c r="T598" s="39"/>
      <c r="U598" s="39"/>
      <c r="V598" s="117">
        <v>46181</v>
      </c>
      <c r="W598" s="39">
        <v>427</v>
      </c>
      <c r="X598" s="117">
        <v>46207</v>
      </c>
      <c r="Y598" s="39">
        <v>393</v>
      </c>
      <c r="Z598" s="39"/>
      <c r="AA598" s="39"/>
      <c r="AB598" s="119">
        <f t="shared" ref="AB598:AB599" si="716">SUM(Y598:AA598)</f>
        <v>393</v>
      </c>
      <c r="AC598" s="39"/>
      <c r="AD598" s="39"/>
      <c r="AE598" s="39"/>
      <c r="AF598" s="39"/>
      <c r="AG598" s="39"/>
      <c r="AH598" s="39">
        <f t="shared" si="706"/>
        <v>0</v>
      </c>
      <c r="AI598" s="39"/>
      <c r="AJ598" s="39"/>
      <c r="AK598" s="39"/>
      <c r="AL598" s="39"/>
      <c r="AM598" s="39"/>
      <c r="AN598" s="39">
        <f t="shared" si="707"/>
        <v>0</v>
      </c>
      <c r="AO598" s="39"/>
      <c r="AP598" s="39"/>
      <c r="AQ598" s="39"/>
      <c r="AR598" s="39"/>
      <c r="AS598" s="39"/>
      <c r="AT598" s="39">
        <f t="shared" si="708"/>
        <v>0</v>
      </c>
      <c r="AU598" s="39"/>
      <c r="AV598" s="39"/>
      <c r="AW598" s="39"/>
      <c r="AX598" s="39"/>
      <c r="AY598" s="39"/>
      <c r="AZ598" s="39">
        <f t="shared" si="709"/>
        <v>0</v>
      </c>
      <c r="BA598" s="39"/>
      <c r="BB598" s="39"/>
      <c r="BC598" s="39"/>
      <c r="BD598" s="39"/>
      <c r="BE598" s="39"/>
      <c r="BF598" s="39">
        <f t="shared" si="710"/>
        <v>0</v>
      </c>
      <c r="BG598" s="39"/>
      <c r="BH598" s="39"/>
      <c r="BI598" s="39"/>
      <c r="BJ598" s="39"/>
      <c r="BK598" s="39"/>
      <c r="BL598" s="39">
        <f t="shared" si="711"/>
        <v>0</v>
      </c>
      <c r="BM598" s="54" t="str">
        <f t="shared" si="712"/>
        <v/>
      </c>
      <c r="BN598" s="66">
        <v>46188</v>
      </c>
      <c r="BO598" s="117">
        <v>46199</v>
      </c>
      <c r="BP598" s="39"/>
      <c r="BQ598" s="39"/>
      <c r="BR598" s="50">
        <v>46207</v>
      </c>
      <c r="BS598" s="40"/>
      <c r="BT598" s="39">
        <v>1521</v>
      </c>
      <c r="BU598" s="39">
        <v>393</v>
      </c>
      <c r="BV598" s="39"/>
      <c r="BW598" s="39"/>
      <c r="BX598" s="39"/>
      <c r="BY598" s="39"/>
      <c r="BZ598" s="39">
        <f t="shared" si="668"/>
        <v>393</v>
      </c>
      <c r="CA598" s="39">
        <f t="shared" si="468"/>
        <v>4</v>
      </c>
      <c r="CB598" s="39">
        <f t="shared" si="469"/>
        <v>0</v>
      </c>
      <c r="CC598" s="39">
        <f t="shared" si="470"/>
        <v>0</v>
      </c>
      <c r="CD598" s="39">
        <f t="shared" si="471"/>
        <v>0</v>
      </c>
      <c r="CE598" s="102">
        <f t="shared" si="472"/>
        <v>0</v>
      </c>
      <c r="CF598" s="36" t="s">
        <v>266</v>
      </c>
      <c r="CG598" s="39" t="s">
        <v>224</v>
      </c>
      <c r="CH598" s="39"/>
      <c r="CI598" s="25">
        <v>2</v>
      </c>
    </row>
    <row r="599" spans="1:87" ht="33.75" customHeight="1">
      <c r="A599" s="36" t="s">
        <v>388</v>
      </c>
      <c r="B599" s="27" t="s">
        <v>842</v>
      </c>
      <c r="C599" s="36" t="s">
        <v>843</v>
      </c>
      <c r="D599" s="36"/>
      <c r="E599" s="39">
        <v>180</v>
      </c>
      <c r="F599" s="39" t="s">
        <v>55</v>
      </c>
      <c r="G599" s="36" t="s">
        <v>23</v>
      </c>
      <c r="H599" s="36" t="s">
        <v>87</v>
      </c>
      <c r="I599" s="39">
        <v>520</v>
      </c>
      <c r="J599" s="39"/>
      <c r="K599" s="39"/>
      <c r="L599" s="39">
        <f t="shared" si="684"/>
        <v>520</v>
      </c>
      <c r="M599" s="117">
        <v>46178</v>
      </c>
      <c r="N599" s="117">
        <v>46182</v>
      </c>
      <c r="O599" s="39"/>
      <c r="P599" s="39"/>
      <c r="Q599" s="39"/>
      <c r="R599" s="39">
        <f t="shared" si="715"/>
        <v>0</v>
      </c>
      <c r="S599" s="39" t="s">
        <v>100</v>
      </c>
      <c r="T599" s="39"/>
      <c r="U599" s="39"/>
      <c r="V599" s="117">
        <v>46181</v>
      </c>
      <c r="W599" s="39">
        <v>567</v>
      </c>
      <c r="X599" s="117">
        <v>46190</v>
      </c>
      <c r="Y599" s="39">
        <v>523</v>
      </c>
      <c r="Z599" s="39"/>
      <c r="AA599" s="39"/>
      <c r="AB599" s="119">
        <f t="shared" si="716"/>
        <v>523</v>
      </c>
      <c r="AC599" s="39"/>
      <c r="AD599" s="39"/>
      <c r="AE599" s="39"/>
      <c r="AF599" s="39"/>
      <c r="AG599" s="39"/>
      <c r="AH599" s="39">
        <f t="shared" si="706"/>
        <v>0</v>
      </c>
      <c r="AI599" s="39"/>
      <c r="AJ599" s="39"/>
      <c r="AK599" s="39"/>
      <c r="AL599" s="39"/>
      <c r="AM599" s="39"/>
      <c r="AN599" s="39">
        <f t="shared" si="707"/>
        <v>0</v>
      </c>
      <c r="AO599" s="39"/>
      <c r="AP599" s="39"/>
      <c r="AQ599" s="39"/>
      <c r="AR599" s="39"/>
      <c r="AS599" s="39"/>
      <c r="AT599" s="39">
        <f t="shared" si="708"/>
        <v>0</v>
      </c>
      <c r="AU599" s="39"/>
      <c r="AV599" s="39"/>
      <c r="AW599" s="39"/>
      <c r="AX599" s="39"/>
      <c r="AY599" s="39"/>
      <c r="AZ599" s="39">
        <f t="shared" si="709"/>
        <v>0</v>
      </c>
      <c r="BA599" s="39"/>
      <c r="BB599" s="39"/>
      <c r="BC599" s="39"/>
      <c r="BD599" s="39"/>
      <c r="BE599" s="39"/>
      <c r="BF599" s="39">
        <f t="shared" si="710"/>
        <v>0</v>
      </c>
      <c r="BG599" s="39"/>
      <c r="BH599" s="39"/>
      <c r="BI599" s="39"/>
      <c r="BJ599" s="39"/>
      <c r="BK599" s="39"/>
      <c r="BL599" s="39">
        <f t="shared" si="711"/>
        <v>0</v>
      </c>
      <c r="BM599" s="54" t="str">
        <f t="shared" si="712"/>
        <v/>
      </c>
      <c r="BN599" s="66">
        <v>46188</v>
      </c>
      <c r="BO599" s="117">
        <v>46199</v>
      </c>
      <c r="BP599" s="39"/>
      <c r="BQ599" s="39"/>
      <c r="BR599" s="50">
        <v>46191</v>
      </c>
      <c r="BS599" s="50">
        <v>46191</v>
      </c>
      <c r="BT599" s="39">
        <v>1501</v>
      </c>
      <c r="BU599" s="39">
        <v>523</v>
      </c>
      <c r="BV599" s="39"/>
      <c r="BW599" s="39"/>
      <c r="BX599" s="39"/>
      <c r="BY599" s="39"/>
      <c r="BZ599" s="39">
        <f t="shared" si="668"/>
        <v>523</v>
      </c>
      <c r="CA599" s="39">
        <f t="shared" si="468"/>
        <v>3</v>
      </c>
      <c r="CB599" s="39">
        <f t="shared" si="469"/>
        <v>0</v>
      </c>
      <c r="CC599" s="39">
        <f t="shared" si="470"/>
        <v>0</v>
      </c>
      <c r="CD599" s="39">
        <f t="shared" si="471"/>
        <v>0</v>
      </c>
      <c r="CE599" s="102">
        <f t="shared" si="472"/>
        <v>0</v>
      </c>
      <c r="CF599" s="36" t="s">
        <v>295</v>
      </c>
      <c r="CG599" s="39" t="s">
        <v>224</v>
      </c>
      <c r="CH599" s="39"/>
      <c r="CI599" s="25">
        <v>2</v>
      </c>
    </row>
    <row r="600" spans="1:87" ht="38.25" customHeight="1">
      <c r="A600" s="36" t="s">
        <v>388</v>
      </c>
      <c r="B600" s="27">
        <v>47777</v>
      </c>
      <c r="C600" s="36">
        <v>15395268</v>
      </c>
      <c r="D600" s="36" t="s">
        <v>49</v>
      </c>
      <c r="E600" s="39">
        <v>180</v>
      </c>
      <c r="F600" s="39" t="s">
        <v>55</v>
      </c>
      <c r="G600" s="36" t="s">
        <v>23</v>
      </c>
      <c r="H600" s="36" t="s">
        <v>994</v>
      </c>
      <c r="I600" s="39">
        <v>321</v>
      </c>
      <c r="J600" s="39"/>
      <c r="K600" s="39"/>
      <c r="L600" s="39">
        <f t="shared" si="684"/>
        <v>321</v>
      </c>
      <c r="M600" s="117">
        <v>46181</v>
      </c>
      <c r="N600" s="117">
        <v>46186</v>
      </c>
      <c r="O600" s="39"/>
      <c r="P600" s="39"/>
      <c r="Q600" s="39"/>
      <c r="R600" s="39">
        <f t="shared" ref="R600" si="717">SUM(O600:Q600)</f>
        <v>0</v>
      </c>
      <c r="S600" s="39" t="s">
        <v>130</v>
      </c>
      <c r="T600" s="39">
        <v>107441</v>
      </c>
      <c r="U600" s="117">
        <v>46205</v>
      </c>
      <c r="V600" s="39"/>
      <c r="W600" s="39"/>
      <c r="X600" s="39"/>
      <c r="Y600" s="39">
        <f>324</f>
        <v>324</v>
      </c>
      <c r="Z600" s="39"/>
      <c r="AA600" s="39"/>
      <c r="AB600" s="118">
        <f t="shared" ref="AB600" si="718">SUM(Y600:AA600)</f>
        <v>324</v>
      </c>
      <c r="AC600" s="39"/>
      <c r="AD600" s="39"/>
      <c r="AE600" s="39"/>
      <c r="AF600" s="39"/>
      <c r="AG600" s="39"/>
      <c r="AH600" s="39">
        <f t="shared" si="706"/>
        <v>0</v>
      </c>
      <c r="AI600" s="39" t="s">
        <v>257</v>
      </c>
      <c r="AJ600" s="117">
        <v>46206</v>
      </c>
      <c r="AK600" s="39">
        <f>314</f>
        <v>314</v>
      </c>
      <c r="AL600" s="117">
        <v>46206</v>
      </c>
      <c r="AM600" s="39">
        <v>311</v>
      </c>
      <c r="AN600" s="39">
        <f t="shared" si="707"/>
        <v>-3</v>
      </c>
      <c r="AO600" s="39"/>
      <c r="AP600" s="117"/>
      <c r="AQ600" s="39"/>
      <c r="AR600" s="39"/>
      <c r="AS600" s="39"/>
      <c r="AT600" s="39">
        <f t="shared" si="708"/>
        <v>0</v>
      </c>
      <c r="AU600" s="39"/>
      <c r="AV600" s="39"/>
      <c r="AW600" s="39"/>
      <c r="AX600" s="39"/>
      <c r="AY600" s="39"/>
      <c r="AZ600" s="39">
        <f t="shared" si="709"/>
        <v>0</v>
      </c>
      <c r="BA600" s="39"/>
      <c r="BB600" s="39"/>
      <c r="BC600" s="39"/>
      <c r="BD600" s="39"/>
      <c r="BE600" s="39"/>
      <c r="BF600" s="39">
        <f t="shared" si="710"/>
        <v>0</v>
      </c>
      <c r="BG600" s="39"/>
      <c r="BH600" s="39"/>
      <c r="BI600" s="39"/>
      <c r="BJ600" s="39"/>
      <c r="BK600" s="39"/>
      <c r="BL600" s="39">
        <f t="shared" si="711"/>
        <v>0</v>
      </c>
      <c r="BM600" s="54" t="str">
        <f t="shared" si="712"/>
        <v/>
      </c>
      <c r="BN600" s="66">
        <v>46189</v>
      </c>
      <c r="BO600" s="117">
        <v>46202</v>
      </c>
      <c r="BP600" s="39"/>
      <c r="BQ600" s="39"/>
      <c r="BR600" s="50">
        <v>46211</v>
      </c>
      <c r="BS600" s="50">
        <v>46211</v>
      </c>
      <c r="BT600" s="39">
        <v>1583</v>
      </c>
      <c r="BU600" s="39">
        <v>319</v>
      </c>
      <c r="BV600" s="39"/>
      <c r="BW600" s="39"/>
      <c r="BX600" s="39"/>
      <c r="BY600" s="39"/>
      <c r="BZ600" s="39">
        <f t="shared" si="668"/>
        <v>319</v>
      </c>
      <c r="CA600" s="39">
        <f t="shared" si="468"/>
        <v>-2</v>
      </c>
      <c r="CB600" s="39">
        <f t="shared" si="469"/>
        <v>0</v>
      </c>
      <c r="CC600" s="39">
        <f t="shared" si="470"/>
        <v>0</v>
      </c>
      <c r="CD600" s="39">
        <v>0</v>
      </c>
      <c r="CE600" s="102">
        <f t="shared" si="472"/>
        <v>0</v>
      </c>
      <c r="CF600" s="36" t="s">
        <v>252</v>
      </c>
      <c r="CG600" s="39" t="s">
        <v>223</v>
      </c>
      <c r="CH600" s="39"/>
      <c r="CI600" s="25">
        <v>2</v>
      </c>
    </row>
    <row r="601" spans="1:87" ht="24.75" customHeight="1">
      <c r="A601" s="36" t="s">
        <v>388</v>
      </c>
      <c r="B601" s="27"/>
      <c r="C601" s="36"/>
      <c r="D601" s="36"/>
      <c r="E601" s="39"/>
      <c r="F601" s="39"/>
      <c r="G601" s="36"/>
      <c r="H601" s="39"/>
      <c r="I601" s="39"/>
      <c r="J601" s="39"/>
      <c r="K601" s="39"/>
      <c r="L601" s="39">
        <f t="shared" si="684"/>
        <v>0</v>
      </c>
      <c r="M601" s="39"/>
      <c r="N601" s="39"/>
      <c r="O601" s="39"/>
      <c r="P601" s="39"/>
      <c r="Q601" s="39"/>
      <c r="R601" s="39">
        <f t="shared" ref="R601:R604" si="719">SUM(O601:Q601)</f>
        <v>0</v>
      </c>
      <c r="S601" s="39"/>
      <c r="T601" s="39"/>
      <c r="U601" s="39"/>
      <c r="V601" s="39"/>
      <c r="W601" s="39"/>
      <c r="X601" s="39"/>
      <c r="Y601" s="39"/>
      <c r="Z601" s="39"/>
      <c r="AA601" s="39"/>
      <c r="AB601" s="39">
        <f t="shared" ref="AB601:AB604" si="720">SUM(Y601:AA601)</f>
        <v>0</v>
      </c>
      <c r="AC601" s="39"/>
      <c r="AD601" s="39"/>
      <c r="AE601" s="39"/>
      <c r="AF601" s="39"/>
      <c r="AG601" s="39"/>
      <c r="AH601" s="39">
        <f t="shared" ref="AH601:AH604" si="721">AG601-AE601</f>
        <v>0</v>
      </c>
      <c r="AI601" s="39"/>
      <c r="AJ601" s="39"/>
      <c r="AK601" s="39"/>
      <c r="AL601" s="39"/>
      <c r="AM601" s="39"/>
      <c r="AN601" s="39">
        <f t="shared" ref="AN601:AN604" si="722">AM601-AK601</f>
        <v>0</v>
      </c>
      <c r="AO601" s="39"/>
      <c r="AP601" s="39"/>
      <c r="AQ601" s="39"/>
      <c r="AR601" s="39"/>
      <c r="AS601" s="39"/>
      <c r="AT601" s="39">
        <f t="shared" ref="AT601:AT604" si="723">AS601-AQ601</f>
        <v>0</v>
      </c>
      <c r="AU601" s="39"/>
      <c r="AV601" s="39"/>
      <c r="AW601" s="39"/>
      <c r="AX601" s="39"/>
      <c r="AY601" s="39"/>
      <c r="AZ601" s="39">
        <f t="shared" ref="AZ601:AZ604" si="724">AY601-AW601</f>
        <v>0</v>
      </c>
      <c r="BA601" s="39"/>
      <c r="BB601" s="39"/>
      <c r="BC601" s="39"/>
      <c r="BD601" s="39"/>
      <c r="BE601" s="39"/>
      <c r="BF601" s="39">
        <f t="shared" ref="BF601:BF604" si="725">BE601-BC601</f>
        <v>0</v>
      </c>
      <c r="BG601" s="39"/>
      <c r="BH601" s="39"/>
      <c r="BI601" s="39"/>
      <c r="BJ601" s="39"/>
      <c r="BK601" s="39"/>
      <c r="BL601" s="39">
        <f t="shared" ref="BL601:BL604" si="726">BK601-BI601</f>
        <v>0</v>
      </c>
      <c r="BM601" s="54" t="e">
        <f t="shared" ref="BM601:BM604" si="727">IF((BZ601/L601)&lt;0.9,$CO$1-U601,"")</f>
        <v>#DIV/0!</v>
      </c>
      <c r="BN601" s="67"/>
      <c r="BO601" s="39"/>
      <c r="BP601" s="39"/>
      <c r="BQ601" s="39"/>
      <c r="BR601" s="40"/>
      <c r="BS601" s="40"/>
      <c r="BT601" s="39"/>
      <c r="BU601" s="39"/>
      <c r="BV601" s="39"/>
      <c r="BW601" s="39"/>
      <c r="BX601" s="39"/>
      <c r="BY601" s="39"/>
      <c r="BZ601" s="39">
        <f t="shared" si="668"/>
        <v>0</v>
      </c>
      <c r="CA601" s="39">
        <f t="shared" si="468"/>
        <v>0</v>
      </c>
      <c r="CB601" s="39">
        <f t="shared" si="469"/>
        <v>0</v>
      </c>
      <c r="CC601" s="39">
        <f t="shared" si="470"/>
        <v>0</v>
      </c>
      <c r="CD601" s="39">
        <f t="shared" si="471"/>
        <v>0</v>
      </c>
      <c r="CE601" s="47" t="e">
        <f t="shared" si="472"/>
        <v>#DIV/0!</v>
      </c>
      <c r="CF601" s="36"/>
      <c r="CG601" s="39"/>
      <c r="CH601" s="39"/>
      <c r="CI601" s="25">
        <v>2</v>
      </c>
    </row>
    <row r="602" spans="1:87" ht="24.75" customHeight="1">
      <c r="A602" s="36" t="s">
        <v>388</v>
      </c>
      <c r="B602" s="27"/>
      <c r="C602" s="36"/>
      <c r="D602" s="36"/>
      <c r="E602" s="39"/>
      <c r="F602" s="39"/>
      <c r="G602" s="36"/>
      <c r="H602" s="39"/>
      <c r="I602" s="39"/>
      <c r="J602" s="39"/>
      <c r="K602" s="39"/>
      <c r="L602" s="39">
        <f t="shared" si="684"/>
        <v>0</v>
      </c>
      <c r="M602" s="39"/>
      <c r="N602" s="39"/>
      <c r="O602" s="39"/>
      <c r="P602" s="39"/>
      <c r="Q602" s="39"/>
      <c r="R602" s="39">
        <f t="shared" si="719"/>
        <v>0</v>
      </c>
      <c r="S602" s="39"/>
      <c r="T602" s="39"/>
      <c r="U602" s="39"/>
      <c r="V602" s="39"/>
      <c r="W602" s="39"/>
      <c r="X602" s="39"/>
      <c r="Y602" s="39"/>
      <c r="Z602" s="39"/>
      <c r="AA602" s="39"/>
      <c r="AB602" s="39">
        <f t="shared" si="720"/>
        <v>0</v>
      </c>
      <c r="AC602" s="39"/>
      <c r="AD602" s="39"/>
      <c r="AE602" s="39"/>
      <c r="AF602" s="39"/>
      <c r="AG602" s="39"/>
      <c r="AH602" s="39">
        <f t="shared" si="721"/>
        <v>0</v>
      </c>
      <c r="AI602" s="39"/>
      <c r="AJ602" s="39"/>
      <c r="AK602" s="39"/>
      <c r="AL602" s="39"/>
      <c r="AM602" s="39"/>
      <c r="AN602" s="39">
        <f t="shared" si="722"/>
        <v>0</v>
      </c>
      <c r="AO602" s="39"/>
      <c r="AP602" s="39"/>
      <c r="AQ602" s="39"/>
      <c r="AR602" s="39"/>
      <c r="AS602" s="39"/>
      <c r="AT602" s="39">
        <f t="shared" si="723"/>
        <v>0</v>
      </c>
      <c r="AU602" s="39"/>
      <c r="AV602" s="39"/>
      <c r="AW602" s="39"/>
      <c r="AX602" s="39"/>
      <c r="AY602" s="39"/>
      <c r="AZ602" s="39">
        <f t="shared" si="724"/>
        <v>0</v>
      </c>
      <c r="BA602" s="39"/>
      <c r="BB602" s="39"/>
      <c r="BC602" s="39"/>
      <c r="BD602" s="39"/>
      <c r="BE602" s="39"/>
      <c r="BF602" s="39">
        <f t="shared" si="725"/>
        <v>0</v>
      </c>
      <c r="BG602" s="39"/>
      <c r="BH602" s="39"/>
      <c r="BI602" s="39"/>
      <c r="BJ602" s="39"/>
      <c r="BK602" s="39"/>
      <c r="BL602" s="39">
        <f t="shared" si="726"/>
        <v>0</v>
      </c>
      <c r="BM602" s="54" t="e">
        <f t="shared" si="727"/>
        <v>#DIV/0!</v>
      </c>
      <c r="BN602" s="67"/>
      <c r="BO602" s="39"/>
      <c r="BP602" s="39"/>
      <c r="BQ602" s="39"/>
      <c r="BR602" s="40"/>
      <c r="BS602" s="40"/>
      <c r="BT602" s="39"/>
      <c r="BU602" s="39"/>
      <c r="BV602" s="39"/>
      <c r="BW602" s="39"/>
      <c r="BX602" s="39"/>
      <c r="BY602" s="39"/>
      <c r="BZ602" s="39">
        <f t="shared" si="668"/>
        <v>0</v>
      </c>
      <c r="CA602" s="39">
        <f t="shared" si="468"/>
        <v>0</v>
      </c>
      <c r="CB602" s="39">
        <f t="shared" si="469"/>
        <v>0</v>
      </c>
      <c r="CC602" s="39">
        <f t="shared" si="470"/>
        <v>0</v>
      </c>
      <c r="CD602" s="39">
        <f t="shared" si="471"/>
        <v>0</v>
      </c>
      <c r="CE602" s="47" t="e">
        <f t="shared" si="472"/>
        <v>#DIV/0!</v>
      </c>
      <c r="CF602" s="36"/>
      <c r="CG602" s="39"/>
      <c r="CH602" s="39"/>
      <c r="CI602" s="25">
        <v>2</v>
      </c>
    </row>
    <row r="603" spans="1:87" ht="24.75" customHeight="1">
      <c r="A603" s="36" t="s">
        <v>388</v>
      </c>
      <c r="B603" s="27"/>
      <c r="C603" s="36"/>
      <c r="D603" s="36"/>
      <c r="E603" s="39"/>
      <c r="F603" s="39"/>
      <c r="G603" s="36"/>
      <c r="H603" s="39"/>
      <c r="I603" s="39"/>
      <c r="J603" s="39"/>
      <c r="K603" s="39"/>
      <c r="L603" s="39">
        <f t="shared" ref="L603:L604" si="728">SUM(I603:K603)</f>
        <v>0</v>
      </c>
      <c r="M603" s="39"/>
      <c r="N603" s="39"/>
      <c r="O603" s="39"/>
      <c r="P603" s="39"/>
      <c r="Q603" s="39"/>
      <c r="R603" s="39">
        <f t="shared" si="719"/>
        <v>0</v>
      </c>
      <c r="S603" s="39"/>
      <c r="T603" s="39"/>
      <c r="U603" s="39"/>
      <c r="V603" s="39"/>
      <c r="W603" s="39"/>
      <c r="X603" s="39"/>
      <c r="Y603" s="39"/>
      <c r="Z603" s="39"/>
      <c r="AA603" s="39"/>
      <c r="AB603" s="39">
        <f t="shared" si="720"/>
        <v>0</v>
      </c>
      <c r="AC603" s="39"/>
      <c r="AD603" s="39"/>
      <c r="AE603" s="39"/>
      <c r="AF603" s="39"/>
      <c r="AG603" s="39"/>
      <c r="AH603" s="39">
        <f t="shared" si="721"/>
        <v>0</v>
      </c>
      <c r="AI603" s="39"/>
      <c r="AJ603" s="39"/>
      <c r="AK603" s="39"/>
      <c r="AL603" s="39"/>
      <c r="AM603" s="39"/>
      <c r="AN603" s="39">
        <f t="shared" si="722"/>
        <v>0</v>
      </c>
      <c r="AO603" s="39"/>
      <c r="AP603" s="39"/>
      <c r="AQ603" s="39"/>
      <c r="AR603" s="39"/>
      <c r="AS603" s="39"/>
      <c r="AT603" s="39">
        <f t="shared" si="723"/>
        <v>0</v>
      </c>
      <c r="AU603" s="39"/>
      <c r="AV603" s="39"/>
      <c r="AW603" s="39"/>
      <c r="AX603" s="39"/>
      <c r="AY603" s="39"/>
      <c r="AZ603" s="39">
        <f t="shared" si="724"/>
        <v>0</v>
      </c>
      <c r="BA603" s="39"/>
      <c r="BB603" s="39"/>
      <c r="BC603" s="39"/>
      <c r="BD603" s="39"/>
      <c r="BE603" s="39"/>
      <c r="BF603" s="39">
        <f t="shared" si="725"/>
        <v>0</v>
      </c>
      <c r="BG603" s="39"/>
      <c r="BH603" s="39"/>
      <c r="BI603" s="39"/>
      <c r="BJ603" s="39"/>
      <c r="BK603" s="39"/>
      <c r="BL603" s="39">
        <f t="shared" si="726"/>
        <v>0</v>
      </c>
      <c r="BM603" s="54" t="e">
        <f t="shared" si="727"/>
        <v>#DIV/0!</v>
      </c>
      <c r="BN603" s="67"/>
      <c r="BO603" s="39"/>
      <c r="BP603" s="39"/>
      <c r="BQ603" s="39"/>
      <c r="BR603" s="40"/>
      <c r="BS603" s="40"/>
      <c r="BT603" s="39"/>
      <c r="BU603" s="39"/>
      <c r="BV603" s="39"/>
      <c r="BW603" s="39"/>
      <c r="BX603" s="39"/>
      <c r="BY603" s="39"/>
      <c r="BZ603" s="39">
        <f t="shared" ref="BZ603:BZ604" si="729">BU603+BW603+BY603</f>
        <v>0</v>
      </c>
      <c r="CA603" s="39">
        <f t="shared" ref="CA603:CA604" si="730">BU603-I603</f>
        <v>0</v>
      </c>
      <c r="CB603" s="39">
        <f t="shared" ref="CB603:CB604" si="731">BW603-J603</f>
        <v>0</v>
      </c>
      <c r="CC603" s="39">
        <f t="shared" ref="CC603:CC604" si="732">BY603-K603</f>
        <v>0</v>
      </c>
      <c r="CD603" s="39">
        <f t="shared" ref="CD603:CD604" si="733">SUMIF(CA603:CC603,"&lt;0")</f>
        <v>0</v>
      </c>
      <c r="CE603" s="47" t="e">
        <f t="shared" ref="CE603:CE604" si="734">CD603/L603</f>
        <v>#DIV/0!</v>
      </c>
      <c r="CF603" s="36"/>
      <c r="CG603" s="39"/>
      <c r="CH603" s="39"/>
      <c r="CI603" s="25">
        <v>2</v>
      </c>
    </row>
    <row r="604" spans="1:87" ht="24.75" customHeight="1">
      <c r="A604" s="36" t="s">
        <v>388</v>
      </c>
      <c r="B604" s="27"/>
      <c r="C604" s="36"/>
      <c r="D604" s="36"/>
      <c r="E604" s="39"/>
      <c r="F604" s="39"/>
      <c r="G604" s="36"/>
      <c r="H604" s="39"/>
      <c r="I604" s="39"/>
      <c r="J604" s="39"/>
      <c r="K604" s="39"/>
      <c r="L604" s="39">
        <f t="shared" si="728"/>
        <v>0</v>
      </c>
      <c r="M604" s="39"/>
      <c r="N604" s="39"/>
      <c r="O604" s="39"/>
      <c r="P604" s="39"/>
      <c r="Q604" s="39"/>
      <c r="R604" s="39">
        <f t="shared" si="719"/>
        <v>0</v>
      </c>
      <c r="S604" s="39"/>
      <c r="T604" s="39"/>
      <c r="U604" s="39"/>
      <c r="V604" s="39"/>
      <c r="W604" s="39"/>
      <c r="X604" s="39"/>
      <c r="Y604" s="39"/>
      <c r="Z604" s="39"/>
      <c r="AA604" s="39"/>
      <c r="AB604" s="39">
        <f t="shared" si="720"/>
        <v>0</v>
      </c>
      <c r="AC604" s="39"/>
      <c r="AD604" s="39"/>
      <c r="AE604" s="39"/>
      <c r="AF604" s="39"/>
      <c r="AG604" s="39"/>
      <c r="AH604" s="39">
        <f t="shared" si="721"/>
        <v>0</v>
      </c>
      <c r="AI604" s="39"/>
      <c r="AJ604" s="39"/>
      <c r="AK604" s="39"/>
      <c r="AL604" s="39"/>
      <c r="AM604" s="39"/>
      <c r="AN604" s="39">
        <f t="shared" si="722"/>
        <v>0</v>
      </c>
      <c r="AO604" s="39"/>
      <c r="AP604" s="39"/>
      <c r="AQ604" s="39"/>
      <c r="AR604" s="39"/>
      <c r="AS604" s="39"/>
      <c r="AT604" s="39">
        <f t="shared" si="723"/>
        <v>0</v>
      </c>
      <c r="AU604" s="39"/>
      <c r="AV604" s="39"/>
      <c r="AW604" s="39"/>
      <c r="AX604" s="39"/>
      <c r="AY604" s="39"/>
      <c r="AZ604" s="39">
        <f t="shared" si="724"/>
        <v>0</v>
      </c>
      <c r="BA604" s="39"/>
      <c r="BB604" s="39"/>
      <c r="BC604" s="39"/>
      <c r="BD604" s="39"/>
      <c r="BE604" s="39"/>
      <c r="BF604" s="39">
        <f t="shared" si="725"/>
        <v>0</v>
      </c>
      <c r="BG604" s="39"/>
      <c r="BH604" s="39"/>
      <c r="BI604" s="39"/>
      <c r="BJ604" s="39"/>
      <c r="BK604" s="39"/>
      <c r="BL604" s="39">
        <f t="shared" si="726"/>
        <v>0</v>
      </c>
      <c r="BM604" s="54" t="e">
        <f t="shared" si="727"/>
        <v>#DIV/0!</v>
      </c>
      <c r="BN604" s="67"/>
      <c r="BO604" s="39"/>
      <c r="BP604" s="39"/>
      <c r="BQ604" s="39"/>
      <c r="BR604" s="40"/>
      <c r="BS604" s="40"/>
      <c r="BT604" s="39"/>
      <c r="BU604" s="39"/>
      <c r="BV604" s="39"/>
      <c r="BW604" s="39"/>
      <c r="BX604" s="39"/>
      <c r="BY604" s="39"/>
      <c r="BZ604" s="39">
        <f t="shared" si="729"/>
        <v>0</v>
      </c>
      <c r="CA604" s="39">
        <f t="shared" si="730"/>
        <v>0</v>
      </c>
      <c r="CB604" s="39">
        <f t="shared" si="731"/>
        <v>0</v>
      </c>
      <c r="CC604" s="39">
        <f t="shared" si="732"/>
        <v>0</v>
      </c>
      <c r="CD604" s="39">
        <f t="shared" si="733"/>
        <v>0</v>
      </c>
      <c r="CE604" s="47" t="e">
        <f t="shared" si="734"/>
        <v>#DIV/0!</v>
      </c>
      <c r="CF604" s="36"/>
      <c r="CG604" s="39"/>
      <c r="CH604" s="39"/>
      <c r="CI604" s="25">
        <v>2</v>
      </c>
    </row>
    <row r="605" spans="1:87" ht="24.75" customHeight="1">
      <c r="A605" s="36" t="s">
        <v>388</v>
      </c>
      <c r="B605" s="27"/>
      <c r="C605" s="36"/>
      <c r="D605" s="36"/>
      <c r="E605" s="39"/>
      <c r="F605" s="39"/>
      <c r="G605" s="36"/>
      <c r="H605" s="39"/>
      <c r="I605" s="39"/>
      <c r="J605" s="39"/>
      <c r="K605" s="39"/>
      <c r="L605" s="39">
        <f t="shared" ref="L605:L606" si="735">SUM(I605:K605)</f>
        <v>0</v>
      </c>
      <c r="M605" s="39"/>
      <c r="N605" s="39"/>
      <c r="O605" s="39"/>
      <c r="P605" s="39"/>
      <c r="Q605" s="39"/>
      <c r="R605" s="39">
        <f t="shared" si="713"/>
        <v>0</v>
      </c>
      <c r="S605" s="39"/>
      <c r="T605" s="39"/>
      <c r="U605" s="39"/>
      <c r="V605" s="39"/>
      <c r="W605" s="39"/>
      <c r="X605" s="39"/>
      <c r="Y605" s="39"/>
      <c r="Z605" s="39"/>
      <c r="AA605" s="39"/>
      <c r="AB605" s="39">
        <f t="shared" si="714"/>
        <v>0</v>
      </c>
      <c r="AC605" s="39"/>
      <c r="AD605" s="39"/>
      <c r="AE605" s="39"/>
      <c r="AF605" s="39"/>
      <c r="AG605" s="39"/>
      <c r="AH605" s="39">
        <f t="shared" si="706"/>
        <v>0</v>
      </c>
      <c r="AI605" s="39"/>
      <c r="AJ605" s="39"/>
      <c r="AK605" s="39"/>
      <c r="AL605" s="39"/>
      <c r="AM605" s="39"/>
      <c r="AN605" s="39">
        <f t="shared" si="707"/>
        <v>0</v>
      </c>
      <c r="AO605" s="39"/>
      <c r="AP605" s="39"/>
      <c r="AQ605" s="39"/>
      <c r="AR605" s="39"/>
      <c r="AS605" s="39"/>
      <c r="AT605" s="39">
        <f t="shared" si="708"/>
        <v>0</v>
      </c>
      <c r="AU605" s="39"/>
      <c r="AV605" s="39"/>
      <c r="AW605" s="39"/>
      <c r="AX605" s="39"/>
      <c r="AY605" s="39"/>
      <c r="AZ605" s="39">
        <f t="shared" si="709"/>
        <v>0</v>
      </c>
      <c r="BA605" s="39"/>
      <c r="BB605" s="39"/>
      <c r="BC605" s="39"/>
      <c r="BD605" s="39"/>
      <c r="BE605" s="39"/>
      <c r="BF605" s="39">
        <f t="shared" si="710"/>
        <v>0</v>
      </c>
      <c r="BG605" s="39"/>
      <c r="BH605" s="39"/>
      <c r="BI605" s="39"/>
      <c r="BJ605" s="39"/>
      <c r="BK605" s="39"/>
      <c r="BL605" s="39">
        <f t="shared" si="711"/>
        <v>0</v>
      </c>
      <c r="BM605" s="54" t="e">
        <f t="shared" si="712"/>
        <v>#DIV/0!</v>
      </c>
      <c r="BN605" s="67"/>
      <c r="BO605" s="39"/>
      <c r="BP605" s="39"/>
      <c r="BQ605" s="39"/>
      <c r="BR605" s="40"/>
      <c r="BS605" s="40"/>
      <c r="BT605" s="39"/>
      <c r="BU605" s="39"/>
      <c r="BV605" s="39"/>
      <c r="BW605" s="39"/>
      <c r="BX605" s="39"/>
      <c r="BY605" s="39"/>
      <c r="BZ605" s="39">
        <f t="shared" ref="BZ605:BZ606" si="736">BU605+BW605+BY605</f>
        <v>0</v>
      </c>
      <c r="CA605" s="39">
        <f t="shared" ref="CA605:CA606" si="737">BU605-I605</f>
        <v>0</v>
      </c>
      <c r="CB605" s="39">
        <f t="shared" ref="CB605:CB606" si="738">BW605-J605</f>
        <v>0</v>
      </c>
      <c r="CC605" s="39">
        <f t="shared" ref="CC605:CC606" si="739">BY605-K605</f>
        <v>0</v>
      </c>
      <c r="CD605" s="39">
        <f t="shared" ref="CD605:CD606" si="740">SUMIF(CA605:CC605,"&lt;0")</f>
        <v>0</v>
      </c>
      <c r="CE605" s="47" t="e">
        <f t="shared" ref="CE605:CE606" si="741">CD605/L605</f>
        <v>#DIV/0!</v>
      </c>
      <c r="CF605" s="36"/>
      <c r="CG605" s="39"/>
      <c r="CH605" s="39"/>
      <c r="CI605" s="25">
        <v>2</v>
      </c>
    </row>
    <row r="606" spans="1:87" ht="24.75" customHeight="1">
      <c r="A606" s="36" t="s">
        <v>388</v>
      </c>
      <c r="B606" s="27"/>
      <c r="C606" s="36"/>
      <c r="D606" s="36"/>
      <c r="E606" s="39"/>
      <c r="F606" s="39"/>
      <c r="G606" s="36"/>
      <c r="H606" s="39"/>
      <c r="I606" s="39"/>
      <c r="J606" s="39"/>
      <c r="K606" s="39"/>
      <c r="L606" s="39">
        <f t="shared" si="735"/>
        <v>0</v>
      </c>
      <c r="M606" s="39"/>
      <c r="N606" s="39"/>
      <c r="O606" s="39"/>
      <c r="P606" s="39"/>
      <c r="Q606" s="39"/>
      <c r="R606" s="39">
        <f t="shared" si="713"/>
        <v>0</v>
      </c>
      <c r="S606" s="39"/>
      <c r="T606" s="39"/>
      <c r="U606" s="39"/>
      <c r="V606" s="39"/>
      <c r="W606" s="39"/>
      <c r="X606" s="39"/>
      <c r="Y606" s="39"/>
      <c r="Z606" s="39"/>
      <c r="AA606" s="39"/>
      <c r="AB606" s="39">
        <f t="shared" si="714"/>
        <v>0</v>
      </c>
      <c r="AC606" s="39"/>
      <c r="AD606" s="39"/>
      <c r="AE606" s="39"/>
      <c r="AF606" s="39"/>
      <c r="AG606" s="39"/>
      <c r="AH606" s="39">
        <f t="shared" si="706"/>
        <v>0</v>
      </c>
      <c r="AI606" s="39"/>
      <c r="AJ606" s="39"/>
      <c r="AK606" s="39"/>
      <c r="AL606" s="39"/>
      <c r="AM606" s="39"/>
      <c r="AN606" s="39">
        <f t="shared" si="707"/>
        <v>0</v>
      </c>
      <c r="AO606" s="39"/>
      <c r="AP606" s="39"/>
      <c r="AQ606" s="39"/>
      <c r="AR606" s="39"/>
      <c r="AS606" s="39"/>
      <c r="AT606" s="39">
        <f t="shared" si="708"/>
        <v>0</v>
      </c>
      <c r="AU606" s="39"/>
      <c r="AV606" s="39"/>
      <c r="AW606" s="39"/>
      <c r="AX606" s="39"/>
      <c r="AY606" s="39"/>
      <c r="AZ606" s="39">
        <f t="shared" si="709"/>
        <v>0</v>
      </c>
      <c r="BA606" s="39"/>
      <c r="BB606" s="39"/>
      <c r="BC606" s="39"/>
      <c r="BD606" s="39"/>
      <c r="BE606" s="39"/>
      <c r="BF606" s="39">
        <f t="shared" si="710"/>
        <v>0</v>
      </c>
      <c r="BG606" s="39"/>
      <c r="BH606" s="39"/>
      <c r="BI606" s="39"/>
      <c r="BJ606" s="39"/>
      <c r="BK606" s="39"/>
      <c r="BL606" s="39">
        <f t="shared" si="711"/>
        <v>0</v>
      </c>
      <c r="BM606" s="54" t="e">
        <f t="shared" si="712"/>
        <v>#DIV/0!</v>
      </c>
      <c r="BN606" s="67"/>
      <c r="BO606" s="39"/>
      <c r="BP606" s="39"/>
      <c r="BQ606" s="39"/>
      <c r="BR606" s="40"/>
      <c r="BS606" s="40"/>
      <c r="BT606" s="39"/>
      <c r="BU606" s="39"/>
      <c r="BV606" s="39"/>
      <c r="BW606" s="39"/>
      <c r="BX606" s="39"/>
      <c r="BY606" s="39"/>
      <c r="BZ606" s="39">
        <f t="shared" si="736"/>
        <v>0</v>
      </c>
      <c r="CA606" s="39">
        <f t="shared" si="737"/>
        <v>0</v>
      </c>
      <c r="CB606" s="39">
        <f t="shared" si="738"/>
        <v>0</v>
      </c>
      <c r="CC606" s="39">
        <f t="shared" si="739"/>
        <v>0</v>
      </c>
      <c r="CD606" s="39">
        <f t="shared" si="740"/>
        <v>0</v>
      </c>
      <c r="CE606" s="47" t="e">
        <f t="shared" si="741"/>
        <v>#DIV/0!</v>
      </c>
      <c r="CF606" s="36"/>
      <c r="CG606" s="39"/>
      <c r="CH606" s="39"/>
      <c r="CI606" s="25">
        <v>2</v>
      </c>
    </row>
    <row r="607" spans="1:87" ht="24.75" customHeight="1">
      <c r="A607" s="36" t="s">
        <v>388</v>
      </c>
      <c r="B607" s="27"/>
      <c r="C607" s="36"/>
      <c r="D607" s="36"/>
      <c r="E607" s="39"/>
      <c r="F607" s="39"/>
      <c r="G607" s="36"/>
      <c r="H607" s="39"/>
      <c r="I607" s="39"/>
      <c r="J607" s="39"/>
      <c r="K607" s="39"/>
      <c r="L607" s="39">
        <f t="shared" si="684"/>
        <v>0</v>
      </c>
      <c r="M607" s="39"/>
      <c r="N607" s="39"/>
      <c r="O607" s="39"/>
      <c r="P607" s="39"/>
      <c r="Q607" s="39"/>
      <c r="R607" s="39">
        <f t="shared" si="664"/>
        <v>0</v>
      </c>
      <c r="S607" s="39"/>
      <c r="T607" s="39"/>
      <c r="U607" s="39"/>
      <c r="V607" s="39"/>
      <c r="W607" s="39"/>
      <c r="X607" s="39"/>
      <c r="Y607" s="39"/>
      <c r="Z607" s="39"/>
      <c r="AA607" s="39"/>
      <c r="AB607" s="39">
        <f t="shared" si="665"/>
        <v>0</v>
      </c>
      <c r="AC607" s="39"/>
      <c r="AD607" s="39"/>
      <c r="AE607" s="39"/>
      <c r="AF607" s="39"/>
      <c r="AG607" s="39"/>
      <c r="AH607" s="39">
        <f t="shared" si="666"/>
        <v>0</v>
      </c>
      <c r="AI607" s="39"/>
      <c r="AJ607" s="39"/>
      <c r="AK607" s="39"/>
      <c r="AL607" s="39"/>
      <c r="AM607" s="39"/>
      <c r="AN607" s="39">
        <f t="shared" si="703"/>
        <v>0</v>
      </c>
      <c r="AO607" s="39"/>
      <c r="AP607" s="39"/>
      <c r="AQ607" s="39"/>
      <c r="AR607" s="39"/>
      <c r="AS607" s="39"/>
      <c r="AT607" s="39">
        <f t="shared" si="462"/>
        <v>0</v>
      </c>
      <c r="AU607" s="39"/>
      <c r="AV607" s="39"/>
      <c r="AW607" s="39"/>
      <c r="AX607" s="39"/>
      <c r="AY607" s="39"/>
      <c r="AZ607" s="39">
        <f t="shared" si="463"/>
        <v>0</v>
      </c>
      <c r="BA607" s="39"/>
      <c r="BB607" s="39"/>
      <c r="BC607" s="39"/>
      <c r="BD607" s="39"/>
      <c r="BE607" s="39"/>
      <c r="BF607" s="39">
        <f t="shared" si="464"/>
        <v>0</v>
      </c>
      <c r="BG607" s="39"/>
      <c r="BH607" s="39"/>
      <c r="BI607" s="39"/>
      <c r="BJ607" s="39"/>
      <c r="BK607" s="39"/>
      <c r="BL607" s="39">
        <f t="shared" si="667"/>
        <v>0</v>
      </c>
      <c r="BM607" s="54" t="e">
        <f t="shared" si="466"/>
        <v>#DIV/0!</v>
      </c>
      <c r="BN607" s="67"/>
      <c r="BO607" s="39"/>
      <c r="BP607" s="39"/>
      <c r="BQ607" s="39"/>
      <c r="BR607" s="40"/>
      <c r="BS607" s="40"/>
      <c r="BT607" s="39"/>
      <c r="BU607" s="39"/>
      <c r="BV607" s="39"/>
      <c r="BW607" s="39"/>
      <c r="BX607" s="39"/>
      <c r="BY607" s="39"/>
      <c r="BZ607" s="39">
        <f t="shared" si="668"/>
        <v>0</v>
      </c>
      <c r="CA607" s="39">
        <f t="shared" si="468"/>
        <v>0</v>
      </c>
      <c r="CB607" s="39">
        <f t="shared" si="469"/>
        <v>0</v>
      </c>
      <c r="CC607" s="39">
        <f t="shared" si="470"/>
        <v>0</v>
      </c>
      <c r="CD607" s="39">
        <f t="shared" si="471"/>
        <v>0</v>
      </c>
      <c r="CE607" s="47" t="e">
        <f t="shared" si="472"/>
        <v>#DIV/0!</v>
      </c>
      <c r="CF607" s="36"/>
      <c r="CG607" s="39"/>
      <c r="CH607" s="39"/>
      <c r="CI607" s="25">
        <v>2</v>
      </c>
    </row>
    <row r="608" spans="1:87" ht="24.75" customHeight="1">
      <c r="A608" s="36" t="s">
        <v>388</v>
      </c>
      <c r="B608" s="27"/>
      <c r="C608" s="36"/>
      <c r="D608" s="36"/>
      <c r="E608" s="39"/>
      <c r="F608" s="39"/>
      <c r="G608" s="36"/>
      <c r="H608" s="39"/>
      <c r="I608" s="39"/>
      <c r="J608" s="39"/>
      <c r="K608" s="39"/>
      <c r="L608" s="39">
        <f t="shared" si="684"/>
        <v>0</v>
      </c>
      <c r="M608" s="39"/>
      <c r="N608" s="39"/>
      <c r="O608" s="39"/>
      <c r="P608" s="39"/>
      <c r="Q608" s="39"/>
      <c r="R608" s="39">
        <f t="shared" si="664"/>
        <v>0</v>
      </c>
      <c r="S608" s="39"/>
      <c r="T608" s="39"/>
      <c r="U608" s="39"/>
      <c r="V608" s="39"/>
      <c r="W608" s="39"/>
      <c r="X608" s="39"/>
      <c r="Y608" s="39"/>
      <c r="Z608" s="39"/>
      <c r="AA608" s="39"/>
      <c r="AB608" s="39">
        <f t="shared" si="665"/>
        <v>0</v>
      </c>
      <c r="AC608" s="39"/>
      <c r="AD608" s="39"/>
      <c r="AE608" s="39"/>
      <c r="AF608" s="39"/>
      <c r="AG608" s="39"/>
      <c r="AH608" s="39">
        <f t="shared" si="666"/>
        <v>0</v>
      </c>
      <c r="AI608" s="39"/>
      <c r="AJ608" s="39"/>
      <c r="AK608" s="39"/>
      <c r="AL608" s="39"/>
      <c r="AM608" s="39"/>
      <c r="AN608" s="39">
        <f t="shared" si="703"/>
        <v>0</v>
      </c>
      <c r="AO608" s="39"/>
      <c r="AP608" s="39"/>
      <c r="AQ608" s="39"/>
      <c r="AR608" s="39"/>
      <c r="AS608" s="39"/>
      <c r="AT608" s="39">
        <f t="shared" si="462"/>
        <v>0</v>
      </c>
      <c r="AU608" s="39"/>
      <c r="AV608" s="39"/>
      <c r="AW608" s="39"/>
      <c r="AX608" s="39"/>
      <c r="AY608" s="39"/>
      <c r="AZ608" s="39">
        <f t="shared" si="463"/>
        <v>0</v>
      </c>
      <c r="BA608" s="39"/>
      <c r="BB608" s="39"/>
      <c r="BC608" s="39"/>
      <c r="BD608" s="39"/>
      <c r="BE608" s="39"/>
      <c r="BF608" s="39">
        <f t="shared" si="464"/>
        <v>0</v>
      </c>
      <c r="BG608" s="39"/>
      <c r="BH608" s="39"/>
      <c r="BI608" s="39"/>
      <c r="BJ608" s="39"/>
      <c r="BK608" s="39"/>
      <c r="BL608" s="39">
        <f t="shared" si="667"/>
        <v>0</v>
      </c>
      <c r="BM608" s="54" t="e">
        <f t="shared" si="466"/>
        <v>#DIV/0!</v>
      </c>
      <c r="BN608" s="67"/>
      <c r="BO608" s="39"/>
      <c r="BP608" s="39"/>
      <c r="BQ608" s="39"/>
      <c r="BR608" s="40"/>
      <c r="BS608" s="40"/>
      <c r="BT608" s="39"/>
      <c r="BU608" s="39"/>
      <c r="BV608" s="39"/>
      <c r="BW608" s="39"/>
      <c r="BX608" s="39"/>
      <c r="BY608" s="39"/>
      <c r="BZ608" s="39">
        <f t="shared" si="668"/>
        <v>0</v>
      </c>
      <c r="CA608" s="39">
        <f t="shared" si="468"/>
        <v>0</v>
      </c>
      <c r="CB608" s="39">
        <f t="shared" si="469"/>
        <v>0</v>
      </c>
      <c r="CC608" s="39">
        <f t="shared" si="470"/>
        <v>0</v>
      </c>
      <c r="CD608" s="39">
        <f t="shared" si="471"/>
        <v>0</v>
      </c>
      <c r="CE608" s="47" t="e">
        <f t="shared" si="472"/>
        <v>#DIV/0!</v>
      </c>
      <c r="CF608" s="36"/>
      <c r="CG608" s="39"/>
      <c r="CH608" s="39"/>
      <c r="CI608" s="25">
        <v>2</v>
      </c>
    </row>
    <row r="609" spans="1:87" ht="24.75" customHeight="1">
      <c r="A609" s="36" t="s">
        <v>388</v>
      </c>
      <c r="B609" s="27">
        <v>47754</v>
      </c>
      <c r="C609" s="227" t="s">
        <v>812</v>
      </c>
      <c r="D609" s="36" t="s">
        <v>82</v>
      </c>
      <c r="E609" s="39">
        <v>300</v>
      </c>
      <c r="F609" s="39" t="s">
        <v>67</v>
      </c>
      <c r="G609" s="36" t="s">
        <v>374</v>
      </c>
      <c r="H609" s="36" t="s">
        <v>396</v>
      </c>
      <c r="I609" s="39">
        <v>675</v>
      </c>
      <c r="J609" s="39">
        <v>210</v>
      </c>
      <c r="K609" s="39"/>
      <c r="L609" s="39">
        <f t="shared" si="684"/>
        <v>885</v>
      </c>
      <c r="M609" s="117">
        <v>46183</v>
      </c>
      <c r="N609" s="117">
        <v>46188</v>
      </c>
      <c r="O609" s="39"/>
      <c r="P609" s="39"/>
      <c r="Q609" s="39"/>
      <c r="R609" s="39">
        <f t="shared" si="664"/>
        <v>0</v>
      </c>
      <c r="S609" s="39" t="s">
        <v>31</v>
      </c>
      <c r="T609" s="39">
        <v>108596</v>
      </c>
      <c r="U609" s="117">
        <v>46246</v>
      </c>
      <c r="V609" s="117">
        <v>46203</v>
      </c>
      <c r="W609" s="39">
        <f>778+238</f>
        <v>1016</v>
      </c>
      <c r="X609" s="117" t="s">
        <v>2032</v>
      </c>
      <c r="Y609" s="39">
        <f>28+678+57</f>
        <v>763</v>
      </c>
      <c r="Z609" s="39">
        <v>222</v>
      </c>
      <c r="AA609" s="39"/>
      <c r="AB609" s="119">
        <f t="shared" si="665"/>
        <v>985</v>
      </c>
      <c r="AC609" s="39"/>
      <c r="AD609" s="39"/>
      <c r="AE609" s="39"/>
      <c r="AF609" s="39"/>
      <c r="AG609" s="39"/>
      <c r="AH609" s="39">
        <f t="shared" si="666"/>
        <v>0</v>
      </c>
      <c r="AI609" s="39"/>
      <c r="AJ609" s="39"/>
      <c r="AK609" s="39"/>
      <c r="AL609" s="39"/>
      <c r="AM609" s="39"/>
      <c r="AN609" s="39">
        <f t="shared" si="703"/>
        <v>0</v>
      </c>
      <c r="AO609" s="39" t="s">
        <v>280</v>
      </c>
      <c r="AP609" s="117" t="s">
        <v>2272</v>
      </c>
      <c r="AQ609" s="39">
        <f>28+679+53</f>
        <v>760</v>
      </c>
      <c r="AR609" s="117" t="s">
        <v>2273</v>
      </c>
      <c r="AS609" s="39">
        <f>30+666+53</f>
        <v>749</v>
      </c>
      <c r="AT609" s="39">
        <f t="shared" si="462"/>
        <v>-11</v>
      </c>
      <c r="AU609" s="39" t="s">
        <v>273</v>
      </c>
      <c r="AV609" s="117" t="s">
        <v>2273</v>
      </c>
      <c r="AW609" s="39">
        <f>30+666+53</f>
        <v>749</v>
      </c>
      <c r="AX609" s="117" t="s">
        <v>2274</v>
      </c>
      <c r="AY609" s="39">
        <f>30+660+52</f>
        <v>742</v>
      </c>
      <c r="AZ609" s="39">
        <f t="shared" si="463"/>
        <v>-7</v>
      </c>
      <c r="BA609" s="39"/>
      <c r="BB609" s="39"/>
      <c r="BC609" s="39"/>
      <c r="BD609" s="39"/>
      <c r="BE609" s="39"/>
      <c r="BF609" s="39">
        <f t="shared" si="464"/>
        <v>0</v>
      </c>
      <c r="BG609" s="39"/>
      <c r="BH609" s="39"/>
      <c r="BI609" s="39"/>
      <c r="BJ609" s="39"/>
      <c r="BK609" s="39"/>
      <c r="BL609" s="39">
        <f t="shared" si="667"/>
        <v>0</v>
      </c>
      <c r="BM609" s="54" t="str">
        <f t="shared" si="466"/>
        <v/>
      </c>
      <c r="BN609" s="60">
        <v>46195</v>
      </c>
      <c r="BO609" s="57">
        <v>46209</v>
      </c>
      <c r="BP609" s="36"/>
      <c r="BQ609" s="36"/>
      <c r="BR609" s="229">
        <v>46223</v>
      </c>
      <c r="BS609" s="229">
        <v>46248</v>
      </c>
      <c r="BT609" s="39" t="s">
        <v>2291</v>
      </c>
      <c r="BU609" s="39">
        <f>29+639+51</f>
        <v>719</v>
      </c>
      <c r="BV609" s="39">
        <v>1794</v>
      </c>
      <c r="BW609" s="39">
        <v>222</v>
      </c>
      <c r="BX609" s="39"/>
      <c r="BY609" s="39"/>
      <c r="BZ609" s="39">
        <f t="shared" si="668"/>
        <v>941</v>
      </c>
      <c r="CA609" s="39">
        <f t="shared" si="468"/>
        <v>44</v>
      </c>
      <c r="CB609" s="39">
        <f t="shared" si="469"/>
        <v>12</v>
      </c>
      <c r="CC609" s="39">
        <f t="shared" si="470"/>
        <v>0</v>
      </c>
      <c r="CD609" s="39">
        <f t="shared" si="471"/>
        <v>0</v>
      </c>
      <c r="CE609" s="102">
        <f t="shared" si="472"/>
        <v>0</v>
      </c>
      <c r="CF609" s="36" t="s">
        <v>295</v>
      </c>
      <c r="CG609" s="39" t="s">
        <v>224</v>
      </c>
      <c r="CH609" s="39"/>
      <c r="CI609" s="25">
        <v>3</v>
      </c>
    </row>
    <row r="610" spans="1:87" ht="24.75" customHeight="1">
      <c r="A610" s="36" t="s">
        <v>388</v>
      </c>
      <c r="B610" s="27">
        <v>47754</v>
      </c>
      <c r="C610" s="228"/>
      <c r="D610" s="36"/>
      <c r="E610" s="39"/>
      <c r="F610" s="39"/>
      <c r="G610" s="36" t="s">
        <v>198</v>
      </c>
      <c r="H610" s="36">
        <v>550</v>
      </c>
      <c r="I610" s="39" t="s">
        <v>90</v>
      </c>
      <c r="J610" s="39"/>
      <c r="K610" s="39"/>
      <c r="L610" s="39">
        <f t="shared" si="684"/>
        <v>0</v>
      </c>
      <c r="M610" s="117">
        <v>46183</v>
      </c>
      <c r="N610" s="117">
        <v>46188</v>
      </c>
      <c r="O610" s="39"/>
      <c r="P610" s="39"/>
      <c r="Q610" s="39"/>
      <c r="R610" s="39">
        <f t="shared" si="664"/>
        <v>0</v>
      </c>
      <c r="S610" s="39" t="s">
        <v>130</v>
      </c>
      <c r="T610" s="39"/>
      <c r="U610" s="39"/>
      <c r="V610" s="117">
        <v>46203</v>
      </c>
      <c r="W610" s="39">
        <v>2</v>
      </c>
      <c r="X610" s="117">
        <v>46224</v>
      </c>
      <c r="Y610" s="39">
        <v>2</v>
      </c>
      <c r="Z610" s="39"/>
      <c r="AA610" s="39"/>
      <c r="AB610" s="39">
        <f t="shared" si="665"/>
        <v>2</v>
      </c>
      <c r="AC610" s="39"/>
      <c r="AD610" s="39"/>
      <c r="AE610" s="39"/>
      <c r="AF610" s="39"/>
      <c r="AG610" s="39"/>
      <c r="AH610" s="39">
        <f t="shared" si="666"/>
        <v>0</v>
      </c>
      <c r="AI610" s="39"/>
      <c r="AJ610" s="39"/>
      <c r="AK610" s="39"/>
      <c r="AL610" s="39"/>
      <c r="AM610" s="39"/>
      <c r="AN610" s="39">
        <f t="shared" si="703"/>
        <v>0</v>
      </c>
      <c r="AO610" s="39"/>
      <c r="AP610" s="39"/>
      <c r="AQ610" s="39"/>
      <c r="AR610" s="39"/>
      <c r="AS610" s="39"/>
      <c r="AT610" s="39">
        <f t="shared" si="462"/>
        <v>0</v>
      </c>
      <c r="AU610" s="39"/>
      <c r="AV610" s="39"/>
      <c r="AW610" s="39"/>
      <c r="AX610" s="39"/>
      <c r="AY610" s="39"/>
      <c r="AZ610" s="39">
        <f t="shared" si="463"/>
        <v>0</v>
      </c>
      <c r="BA610" s="39"/>
      <c r="BB610" s="39"/>
      <c r="BC610" s="39"/>
      <c r="BD610" s="39"/>
      <c r="BE610" s="39"/>
      <c r="BF610" s="39">
        <f t="shared" si="464"/>
        <v>0</v>
      </c>
      <c r="BG610" s="39"/>
      <c r="BH610" s="39"/>
      <c r="BI610" s="39"/>
      <c r="BJ610" s="39"/>
      <c r="BK610" s="39"/>
      <c r="BL610" s="39">
        <f t="shared" si="667"/>
        <v>0</v>
      </c>
      <c r="BM610" s="54" t="e">
        <f t="shared" si="466"/>
        <v>#DIV/0!</v>
      </c>
      <c r="BN610" s="60">
        <v>46195</v>
      </c>
      <c r="BO610" s="57">
        <v>46209</v>
      </c>
      <c r="BP610" s="36"/>
      <c r="BQ610" s="36"/>
      <c r="BR610" s="230"/>
      <c r="BS610" s="230"/>
      <c r="BT610" s="39" t="s">
        <v>1960</v>
      </c>
      <c r="BU610" s="39"/>
      <c r="BV610" s="39"/>
      <c r="BW610" s="39"/>
      <c r="BX610" s="39"/>
      <c r="BY610" s="39"/>
      <c r="BZ610" s="39">
        <f t="shared" si="668"/>
        <v>0</v>
      </c>
      <c r="CA610" s="39" t="e">
        <f t="shared" si="468"/>
        <v>#VALUE!</v>
      </c>
      <c r="CB610" s="39">
        <f t="shared" si="469"/>
        <v>0</v>
      </c>
      <c r="CC610" s="39">
        <f t="shared" si="470"/>
        <v>0</v>
      </c>
      <c r="CD610" s="39">
        <f t="shared" si="471"/>
        <v>0</v>
      </c>
      <c r="CE610" s="102" t="e">
        <f t="shared" si="472"/>
        <v>#DIV/0!</v>
      </c>
      <c r="CF610" s="36" t="s">
        <v>295</v>
      </c>
      <c r="CG610" s="39" t="s">
        <v>224</v>
      </c>
      <c r="CH610" s="39"/>
      <c r="CI610" s="25">
        <v>3</v>
      </c>
    </row>
    <row r="611" spans="1:87" ht="24.75" customHeight="1">
      <c r="A611" s="36" t="s">
        <v>388</v>
      </c>
      <c r="B611" s="27">
        <v>47755</v>
      </c>
      <c r="C611" s="227">
        <v>15388679</v>
      </c>
      <c r="D611" s="36"/>
      <c r="E611" s="39">
        <v>200</v>
      </c>
      <c r="F611" s="39" t="s">
        <v>58</v>
      </c>
      <c r="G611" s="36" t="s">
        <v>23</v>
      </c>
      <c r="H611" s="36" t="s">
        <v>212</v>
      </c>
      <c r="I611" s="39">
        <v>205</v>
      </c>
      <c r="J611" s="39">
        <v>10</v>
      </c>
      <c r="K611" s="39"/>
      <c r="L611" s="39">
        <f t="shared" si="684"/>
        <v>215</v>
      </c>
      <c r="M611" s="117">
        <v>46181</v>
      </c>
      <c r="N611" s="117">
        <v>46188</v>
      </c>
      <c r="O611" s="39"/>
      <c r="P611" s="39"/>
      <c r="Q611" s="39"/>
      <c r="R611" s="39">
        <f t="shared" si="664"/>
        <v>0</v>
      </c>
      <c r="S611" s="39" t="s">
        <v>130</v>
      </c>
      <c r="T611" s="39">
        <v>107888</v>
      </c>
      <c r="U611" s="117">
        <v>46226</v>
      </c>
      <c r="V611" s="39"/>
      <c r="W611" s="39"/>
      <c r="X611" s="39"/>
      <c r="Y611" s="39">
        <v>229</v>
      </c>
      <c r="Z611" s="39">
        <v>14</v>
      </c>
      <c r="AA611" s="39"/>
      <c r="AB611" s="119">
        <f t="shared" si="665"/>
        <v>243</v>
      </c>
      <c r="AC611" s="39"/>
      <c r="AD611" s="39"/>
      <c r="AE611" s="39"/>
      <c r="AF611" s="39"/>
      <c r="AG611" s="39"/>
      <c r="AH611" s="39">
        <f t="shared" si="666"/>
        <v>0</v>
      </c>
      <c r="AI611" s="39"/>
      <c r="AJ611" s="39"/>
      <c r="AK611" s="39"/>
      <c r="AL611" s="39"/>
      <c r="AM611" s="39"/>
      <c r="AN611" s="39">
        <f t="shared" si="703"/>
        <v>0</v>
      </c>
      <c r="AO611" s="39"/>
      <c r="AP611" s="39"/>
      <c r="AQ611" s="39"/>
      <c r="AR611" s="39"/>
      <c r="AS611" s="39"/>
      <c r="AT611" s="39">
        <f t="shared" si="462"/>
        <v>0</v>
      </c>
      <c r="AU611" s="39"/>
      <c r="AV611" s="39"/>
      <c r="AW611" s="39"/>
      <c r="AX611" s="39"/>
      <c r="AY611" s="39"/>
      <c r="AZ611" s="39">
        <f t="shared" si="463"/>
        <v>0</v>
      </c>
      <c r="BA611" s="39"/>
      <c r="BB611" s="39"/>
      <c r="BC611" s="39"/>
      <c r="BD611" s="39"/>
      <c r="BE611" s="39"/>
      <c r="BF611" s="39">
        <f t="shared" si="464"/>
        <v>0</v>
      </c>
      <c r="BG611" s="39"/>
      <c r="BH611" s="39"/>
      <c r="BI611" s="39"/>
      <c r="BJ611" s="39"/>
      <c r="BK611" s="39"/>
      <c r="BL611" s="39">
        <f t="shared" si="667"/>
        <v>0</v>
      </c>
      <c r="BM611" s="54" t="str">
        <f t="shared" si="466"/>
        <v/>
      </c>
      <c r="BN611" s="60">
        <v>46196</v>
      </c>
      <c r="BO611" s="57">
        <v>46213</v>
      </c>
      <c r="BP611" s="36"/>
      <c r="BQ611" s="36"/>
      <c r="BR611" s="229">
        <v>46212</v>
      </c>
      <c r="BS611" s="229">
        <v>46228</v>
      </c>
      <c r="BT611" s="39" t="s">
        <v>1951</v>
      </c>
      <c r="BU611" s="39">
        <f>177+32</f>
        <v>209</v>
      </c>
      <c r="BV611" s="39">
        <v>1838</v>
      </c>
      <c r="BW611" s="39">
        <v>13</v>
      </c>
      <c r="BX611" s="39"/>
      <c r="BY611" s="39"/>
      <c r="BZ611" s="39">
        <f t="shared" si="668"/>
        <v>222</v>
      </c>
      <c r="CA611" s="39">
        <f t="shared" si="468"/>
        <v>4</v>
      </c>
      <c r="CB611" s="39">
        <f t="shared" si="469"/>
        <v>3</v>
      </c>
      <c r="CC611" s="39">
        <f t="shared" si="470"/>
        <v>0</v>
      </c>
      <c r="CD611" s="39">
        <f t="shared" si="471"/>
        <v>0</v>
      </c>
      <c r="CE611" s="102">
        <f t="shared" si="472"/>
        <v>0</v>
      </c>
      <c r="CF611" s="36" t="s">
        <v>295</v>
      </c>
      <c r="CG611" s="39" t="s">
        <v>224</v>
      </c>
      <c r="CH611" s="39" t="s">
        <v>483</v>
      </c>
      <c r="CI611" s="25">
        <v>3</v>
      </c>
    </row>
    <row r="612" spans="1:87" ht="24.75" customHeight="1">
      <c r="A612" s="36" t="s">
        <v>388</v>
      </c>
      <c r="B612" s="27">
        <v>47755</v>
      </c>
      <c r="C612" s="231"/>
      <c r="D612" s="36"/>
      <c r="E612" s="39">
        <v>200</v>
      </c>
      <c r="F612" s="39" t="s">
        <v>58</v>
      </c>
      <c r="G612" s="36" t="s">
        <v>439</v>
      </c>
      <c r="H612" s="36" t="s">
        <v>212</v>
      </c>
      <c r="I612" s="39">
        <v>215</v>
      </c>
      <c r="J612" s="39">
        <v>14</v>
      </c>
      <c r="K612" s="39"/>
      <c r="L612" s="39">
        <f t="shared" si="684"/>
        <v>229</v>
      </c>
      <c r="M612" s="117">
        <v>46181</v>
      </c>
      <c r="N612" s="117">
        <v>46188</v>
      </c>
      <c r="O612" s="39"/>
      <c r="P612" s="39"/>
      <c r="Q612" s="39"/>
      <c r="R612" s="39">
        <f t="shared" si="664"/>
        <v>0</v>
      </c>
      <c r="S612" s="39" t="s">
        <v>31</v>
      </c>
      <c r="T612" s="39"/>
      <c r="U612" s="39"/>
      <c r="V612" s="117">
        <v>46193</v>
      </c>
      <c r="W612" s="39">
        <f>242+17</f>
        <v>259</v>
      </c>
      <c r="X612" s="117" t="s">
        <v>1398</v>
      </c>
      <c r="Y612" s="39">
        <f>6+205</f>
        <v>211</v>
      </c>
      <c r="Z612" s="39">
        <v>15</v>
      </c>
      <c r="AA612" s="39"/>
      <c r="AB612" s="120">
        <f t="shared" si="665"/>
        <v>226</v>
      </c>
      <c r="AC612" s="39"/>
      <c r="AD612" s="39"/>
      <c r="AE612" s="39"/>
      <c r="AF612" s="39"/>
      <c r="AG612" s="39"/>
      <c r="AH612" s="39">
        <f t="shared" si="666"/>
        <v>0</v>
      </c>
      <c r="AI612" s="39"/>
      <c r="AJ612" s="39"/>
      <c r="AK612" s="39"/>
      <c r="AL612" s="39"/>
      <c r="AM612" s="39"/>
      <c r="AN612" s="39">
        <f t="shared" si="703"/>
        <v>0</v>
      </c>
      <c r="AO612" s="39"/>
      <c r="AP612" s="39"/>
      <c r="AQ612" s="39"/>
      <c r="AR612" s="39"/>
      <c r="AS612" s="39"/>
      <c r="AT612" s="39">
        <f t="shared" si="462"/>
        <v>0</v>
      </c>
      <c r="AU612" s="39"/>
      <c r="AV612" s="39"/>
      <c r="AW612" s="39"/>
      <c r="AX612" s="39"/>
      <c r="AY612" s="39"/>
      <c r="AZ612" s="39">
        <f t="shared" si="463"/>
        <v>0</v>
      </c>
      <c r="BA612" s="39"/>
      <c r="BB612" s="39"/>
      <c r="BC612" s="39"/>
      <c r="BD612" s="39"/>
      <c r="BE612" s="39"/>
      <c r="BF612" s="39">
        <f t="shared" si="464"/>
        <v>0</v>
      </c>
      <c r="BG612" s="39"/>
      <c r="BH612" s="39"/>
      <c r="BI612" s="39"/>
      <c r="BJ612" s="39"/>
      <c r="BK612" s="39"/>
      <c r="BL612" s="39">
        <f t="shared" si="667"/>
        <v>0</v>
      </c>
      <c r="BM612" s="54" t="str">
        <f t="shared" si="466"/>
        <v/>
      </c>
      <c r="BN612" s="60">
        <v>46196</v>
      </c>
      <c r="BO612" s="57">
        <v>46213</v>
      </c>
      <c r="BP612" s="36"/>
      <c r="BQ612" s="36"/>
      <c r="BR612" s="232"/>
      <c r="BS612" s="232"/>
      <c r="BT612" s="39">
        <v>1588</v>
      </c>
      <c r="BU612" s="39">
        <f>203</f>
        <v>203</v>
      </c>
      <c r="BV612" s="39">
        <v>1588</v>
      </c>
      <c r="BW612" s="39">
        <v>15</v>
      </c>
      <c r="BX612" s="39"/>
      <c r="BY612" s="39"/>
      <c r="BZ612" s="39">
        <f t="shared" si="668"/>
        <v>218</v>
      </c>
      <c r="CA612" s="39">
        <f t="shared" si="468"/>
        <v>-12</v>
      </c>
      <c r="CB612" s="39">
        <f t="shared" si="469"/>
        <v>1</v>
      </c>
      <c r="CC612" s="39">
        <f t="shared" si="470"/>
        <v>0</v>
      </c>
      <c r="CD612" s="39">
        <f t="shared" si="471"/>
        <v>-12</v>
      </c>
      <c r="CE612" s="102">
        <f t="shared" si="472"/>
        <v>-5.2401746724890827E-2</v>
      </c>
      <c r="CF612" s="36" t="s">
        <v>295</v>
      </c>
      <c r="CG612" s="39" t="s">
        <v>224</v>
      </c>
      <c r="CH612" s="39"/>
      <c r="CI612" s="25">
        <v>3</v>
      </c>
    </row>
    <row r="613" spans="1:87" ht="24.75" customHeight="1">
      <c r="A613" s="36" t="s">
        <v>388</v>
      </c>
      <c r="B613" s="27">
        <v>47755</v>
      </c>
      <c r="C613" s="228"/>
      <c r="D613" s="36"/>
      <c r="E613" s="39"/>
      <c r="F613" s="39"/>
      <c r="G613" s="36" t="s">
        <v>103</v>
      </c>
      <c r="H613" s="36">
        <f>280+300</f>
        <v>580</v>
      </c>
      <c r="I613" s="39" t="s">
        <v>90</v>
      </c>
      <c r="J613" s="39"/>
      <c r="K613" s="39"/>
      <c r="L613" s="39">
        <f t="shared" si="684"/>
        <v>0</v>
      </c>
      <c r="M613" s="117">
        <v>46181</v>
      </c>
      <c r="N613" s="117">
        <v>46188</v>
      </c>
      <c r="O613" s="39"/>
      <c r="P613" s="39"/>
      <c r="Q613" s="39"/>
      <c r="R613" s="39">
        <f t="shared" si="664"/>
        <v>0</v>
      </c>
      <c r="S613" s="39" t="s">
        <v>130</v>
      </c>
      <c r="T613" s="39"/>
      <c r="U613" s="39"/>
      <c r="V613" s="39"/>
      <c r="W613" s="39"/>
      <c r="X613" s="39"/>
      <c r="Y613" s="39"/>
      <c r="Z613" s="39"/>
      <c r="AA613" s="39"/>
      <c r="AB613" s="39">
        <f t="shared" si="665"/>
        <v>0</v>
      </c>
      <c r="AC613" s="39"/>
      <c r="AD613" s="39"/>
      <c r="AE613" s="39"/>
      <c r="AF613" s="39"/>
      <c r="AG613" s="39"/>
      <c r="AH613" s="39">
        <f t="shared" si="666"/>
        <v>0</v>
      </c>
      <c r="AI613" s="39"/>
      <c r="AJ613" s="39"/>
      <c r="AK613" s="39"/>
      <c r="AL613" s="39"/>
      <c r="AM613" s="39"/>
      <c r="AN613" s="39">
        <f t="shared" si="703"/>
        <v>0</v>
      </c>
      <c r="AO613" s="39"/>
      <c r="AP613" s="39"/>
      <c r="AQ613" s="39"/>
      <c r="AR613" s="39"/>
      <c r="AS613" s="39"/>
      <c r="AT613" s="39">
        <f t="shared" si="462"/>
        <v>0</v>
      </c>
      <c r="AU613" s="39"/>
      <c r="AV613" s="39"/>
      <c r="AW613" s="39"/>
      <c r="AX613" s="39"/>
      <c r="AY613" s="39"/>
      <c r="AZ613" s="39">
        <f t="shared" si="463"/>
        <v>0</v>
      </c>
      <c r="BA613" s="39"/>
      <c r="BB613" s="39"/>
      <c r="BC613" s="39"/>
      <c r="BD613" s="39"/>
      <c r="BE613" s="39"/>
      <c r="BF613" s="39">
        <f t="shared" si="464"/>
        <v>0</v>
      </c>
      <c r="BG613" s="39"/>
      <c r="BH613" s="39"/>
      <c r="BI613" s="39"/>
      <c r="BJ613" s="39"/>
      <c r="BK613" s="39"/>
      <c r="BL613" s="39">
        <f t="shared" si="667"/>
        <v>0</v>
      </c>
      <c r="BM613" s="54" t="e">
        <f t="shared" si="466"/>
        <v>#DIV/0!</v>
      </c>
      <c r="BN613" s="60">
        <v>46196</v>
      </c>
      <c r="BO613" s="57">
        <v>46213</v>
      </c>
      <c r="BP613" s="36"/>
      <c r="BQ613" s="36"/>
      <c r="BR613" s="230"/>
      <c r="BS613" s="230"/>
      <c r="BT613" s="39"/>
      <c r="BU613" s="39"/>
      <c r="BV613" s="39"/>
      <c r="BW613" s="39"/>
      <c r="BX613" s="39"/>
      <c r="BY613" s="39"/>
      <c r="BZ613" s="39">
        <f t="shared" si="668"/>
        <v>0</v>
      </c>
      <c r="CA613" s="39" t="e">
        <f t="shared" si="468"/>
        <v>#VALUE!</v>
      </c>
      <c r="CB613" s="39">
        <f t="shared" si="469"/>
        <v>0</v>
      </c>
      <c r="CC613" s="39">
        <f t="shared" si="470"/>
        <v>0</v>
      </c>
      <c r="CD613" s="39">
        <f t="shared" si="471"/>
        <v>0</v>
      </c>
      <c r="CE613" s="102" t="e">
        <f t="shared" si="472"/>
        <v>#DIV/0!</v>
      </c>
      <c r="CF613" s="36" t="s">
        <v>295</v>
      </c>
      <c r="CG613" s="39" t="s">
        <v>224</v>
      </c>
      <c r="CH613" s="39"/>
      <c r="CI613" s="25">
        <v>3</v>
      </c>
    </row>
    <row r="614" spans="1:87" ht="24.75" customHeight="1">
      <c r="A614" s="36" t="s">
        <v>388</v>
      </c>
      <c r="B614" s="27">
        <v>47759</v>
      </c>
      <c r="C614" s="227" t="s">
        <v>813</v>
      </c>
      <c r="D614" s="36" t="s">
        <v>45</v>
      </c>
      <c r="E614" s="39">
        <v>260</v>
      </c>
      <c r="F614" s="39" t="s">
        <v>58</v>
      </c>
      <c r="G614" s="36" t="s">
        <v>187</v>
      </c>
      <c r="H614" s="36" t="s">
        <v>814</v>
      </c>
      <c r="I614" s="39">
        <v>210</v>
      </c>
      <c r="J614" s="39">
        <v>60</v>
      </c>
      <c r="K614" s="39"/>
      <c r="L614" s="39">
        <f t="shared" si="684"/>
        <v>270</v>
      </c>
      <c r="M614" s="117">
        <v>46188</v>
      </c>
      <c r="N614" s="117">
        <v>46192</v>
      </c>
      <c r="O614" s="39"/>
      <c r="P614" s="39"/>
      <c r="Q614" s="39"/>
      <c r="R614" s="39">
        <f t="shared" si="664"/>
        <v>0</v>
      </c>
      <c r="S614" s="39" t="s">
        <v>130</v>
      </c>
      <c r="T614" s="39">
        <v>107917</v>
      </c>
      <c r="U614" s="117">
        <v>46225</v>
      </c>
      <c r="V614" s="39"/>
      <c r="W614" s="39"/>
      <c r="X614" s="39"/>
      <c r="Y614" s="39">
        <v>248</v>
      </c>
      <c r="Z614" s="39">
        <v>73</v>
      </c>
      <c r="AA614" s="39"/>
      <c r="AB614" s="119">
        <f t="shared" si="665"/>
        <v>321</v>
      </c>
      <c r="AC614" s="39"/>
      <c r="AD614" s="39"/>
      <c r="AE614" s="39"/>
      <c r="AF614" s="39"/>
      <c r="AG614" s="39"/>
      <c r="AH614" s="39">
        <f t="shared" si="666"/>
        <v>0</v>
      </c>
      <c r="AI614" s="39"/>
      <c r="AJ614" s="39"/>
      <c r="AK614" s="39"/>
      <c r="AL614" s="39"/>
      <c r="AM614" s="39"/>
      <c r="AN614" s="39">
        <f t="shared" si="703"/>
        <v>0</v>
      </c>
      <c r="AO614" s="39" t="s">
        <v>280</v>
      </c>
      <c r="AP614" s="117">
        <v>46226</v>
      </c>
      <c r="AQ614" s="39">
        <v>226</v>
      </c>
      <c r="AR614" s="117">
        <v>46226</v>
      </c>
      <c r="AS614" s="39">
        <v>224</v>
      </c>
      <c r="AT614" s="39">
        <f t="shared" si="462"/>
        <v>-2</v>
      </c>
      <c r="AU614" s="39" t="s">
        <v>256</v>
      </c>
      <c r="AV614" s="117">
        <v>46226</v>
      </c>
      <c r="AW614" s="39">
        <v>224</v>
      </c>
      <c r="AX614" s="117">
        <v>46226</v>
      </c>
      <c r="AY614" s="39">
        <v>221</v>
      </c>
      <c r="AZ614" s="39">
        <f t="shared" si="463"/>
        <v>-3</v>
      </c>
      <c r="BA614" s="39"/>
      <c r="BB614" s="39"/>
      <c r="BC614" s="39"/>
      <c r="BD614" s="39"/>
      <c r="BE614" s="39"/>
      <c r="BF614" s="39">
        <f t="shared" si="464"/>
        <v>0</v>
      </c>
      <c r="BG614" s="39"/>
      <c r="BH614" s="39"/>
      <c r="BI614" s="39"/>
      <c r="BJ614" s="39"/>
      <c r="BK614" s="39"/>
      <c r="BL614" s="39">
        <f t="shared" si="667"/>
        <v>0</v>
      </c>
      <c r="BM614" s="54" t="str">
        <f t="shared" si="466"/>
        <v/>
      </c>
      <c r="BN614" s="60">
        <v>46196</v>
      </c>
      <c r="BO614" s="57">
        <v>46211</v>
      </c>
      <c r="BP614" s="36"/>
      <c r="BQ614" s="36"/>
      <c r="BR614" s="229">
        <v>46212</v>
      </c>
      <c r="BS614" s="229">
        <v>46256</v>
      </c>
      <c r="BT614" s="39">
        <v>1912</v>
      </c>
      <c r="BU614" s="39">
        <v>208</v>
      </c>
      <c r="BV614" s="39">
        <v>601</v>
      </c>
      <c r="BW614" s="39">
        <v>64</v>
      </c>
      <c r="BX614" s="39"/>
      <c r="BY614" s="39"/>
      <c r="BZ614" s="39">
        <f t="shared" si="668"/>
        <v>272</v>
      </c>
      <c r="CA614" s="39">
        <f t="shared" si="468"/>
        <v>-2</v>
      </c>
      <c r="CB614" s="39">
        <f t="shared" si="469"/>
        <v>4</v>
      </c>
      <c r="CC614" s="39">
        <f t="shared" si="470"/>
        <v>0</v>
      </c>
      <c r="CD614" s="39">
        <v>0</v>
      </c>
      <c r="CE614" s="102">
        <f t="shared" si="472"/>
        <v>0</v>
      </c>
      <c r="CF614" s="36" t="s">
        <v>295</v>
      </c>
      <c r="CG614" s="39" t="s">
        <v>224</v>
      </c>
      <c r="CH614" s="39"/>
      <c r="CI614" s="25">
        <v>3</v>
      </c>
    </row>
    <row r="615" spans="1:87" ht="24.75" customHeight="1">
      <c r="A615" s="36" t="s">
        <v>388</v>
      </c>
      <c r="B615" s="27">
        <v>47759</v>
      </c>
      <c r="C615" s="231"/>
      <c r="D615" s="36" t="s">
        <v>45</v>
      </c>
      <c r="E615" s="39">
        <v>260</v>
      </c>
      <c r="F615" s="39" t="s">
        <v>58</v>
      </c>
      <c r="G615" s="36" t="s">
        <v>47</v>
      </c>
      <c r="H615" s="36" t="s">
        <v>355</v>
      </c>
      <c r="I615" s="39">
        <v>25</v>
      </c>
      <c r="J615" s="39"/>
      <c r="K615" s="39"/>
      <c r="L615" s="39">
        <f t="shared" si="684"/>
        <v>25</v>
      </c>
      <c r="M615" s="117">
        <v>46188</v>
      </c>
      <c r="N615" s="117">
        <v>46192</v>
      </c>
      <c r="O615" s="39"/>
      <c r="P615" s="39"/>
      <c r="Q615" s="39"/>
      <c r="R615" s="39">
        <f t="shared" si="664"/>
        <v>0</v>
      </c>
      <c r="S615" s="39" t="s">
        <v>130</v>
      </c>
      <c r="T615" s="39">
        <v>107286</v>
      </c>
      <c r="U615" s="117">
        <v>46201</v>
      </c>
      <c r="V615" s="39"/>
      <c r="W615" s="39"/>
      <c r="X615" s="39"/>
      <c r="Y615" s="39">
        <v>35</v>
      </c>
      <c r="Z615" s="39"/>
      <c r="AA615" s="39"/>
      <c r="AB615" s="119">
        <f t="shared" si="665"/>
        <v>35</v>
      </c>
      <c r="AC615" s="39"/>
      <c r="AD615" s="39"/>
      <c r="AE615" s="39"/>
      <c r="AF615" s="39"/>
      <c r="AG615" s="39"/>
      <c r="AH615" s="39">
        <f t="shared" si="666"/>
        <v>0</v>
      </c>
      <c r="AI615" s="39"/>
      <c r="AJ615" s="39"/>
      <c r="AK615" s="39"/>
      <c r="AL615" s="39"/>
      <c r="AM615" s="39"/>
      <c r="AN615" s="39">
        <f t="shared" si="703"/>
        <v>0</v>
      </c>
      <c r="AO615" s="39" t="s">
        <v>257</v>
      </c>
      <c r="AP615" s="117">
        <v>46206</v>
      </c>
      <c r="AQ615" s="39">
        <v>32</v>
      </c>
      <c r="AR615" s="117">
        <v>46206</v>
      </c>
      <c r="AS615" s="39">
        <v>31</v>
      </c>
      <c r="AT615" s="39">
        <f t="shared" si="462"/>
        <v>-1</v>
      </c>
      <c r="AU615" s="39" t="s">
        <v>257</v>
      </c>
      <c r="AV615" s="117">
        <v>46206</v>
      </c>
      <c r="AW615" s="39">
        <v>32</v>
      </c>
      <c r="AX615" s="117">
        <v>46206</v>
      </c>
      <c r="AY615" s="39">
        <v>31</v>
      </c>
      <c r="AZ615" s="39">
        <f t="shared" si="463"/>
        <v>-1</v>
      </c>
      <c r="BA615" s="39"/>
      <c r="BB615" s="39"/>
      <c r="BC615" s="39"/>
      <c r="BD615" s="39"/>
      <c r="BE615" s="39"/>
      <c r="BF615" s="39">
        <f t="shared" si="464"/>
        <v>0</v>
      </c>
      <c r="BG615" s="39"/>
      <c r="BH615" s="39"/>
      <c r="BI615" s="39"/>
      <c r="BJ615" s="39"/>
      <c r="BK615" s="39"/>
      <c r="BL615" s="39">
        <f t="shared" si="667"/>
        <v>0</v>
      </c>
      <c r="BM615" s="54" t="str">
        <f t="shared" si="466"/>
        <v/>
      </c>
      <c r="BN615" s="60">
        <v>46196</v>
      </c>
      <c r="BO615" s="57">
        <v>46211</v>
      </c>
      <c r="BP615" s="36"/>
      <c r="BQ615" s="36"/>
      <c r="BR615" s="232"/>
      <c r="BS615" s="232"/>
      <c r="BT615" s="39">
        <v>1025</v>
      </c>
      <c r="BU615" s="39">
        <v>32</v>
      </c>
      <c r="BV615" s="39"/>
      <c r="BW615" s="39"/>
      <c r="BX615" s="39"/>
      <c r="BY615" s="39"/>
      <c r="BZ615" s="39">
        <f t="shared" si="668"/>
        <v>32</v>
      </c>
      <c r="CA615" s="39">
        <f t="shared" si="468"/>
        <v>7</v>
      </c>
      <c r="CB615" s="39">
        <f t="shared" si="469"/>
        <v>0</v>
      </c>
      <c r="CC615" s="39">
        <f t="shared" si="470"/>
        <v>0</v>
      </c>
      <c r="CD615" s="39">
        <f t="shared" si="471"/>
        <v>0</v>
      </c>
      <c r="CE615" s="102">
        <f t="shared" si="472"/>
        <v>0</v>
      </c>
      <c r="CF615" s="36" t="s">
        <v>295</v>
      </c>
      <c r="CG615" s="39" t="s">
        <v>224</v>
      </c>
      <c r="CH615" s="39"/>
      <c r="CI615" s="25">
        <v>3</v>
      </c>
    </row>
    <row r="616" spans="1:87" ht="24.75" customHeight="1">
      <c r="A616" s="36" t="s">
        <v>388</v>
      </c>
      <c r="B616" s="27">
        <v>47759</v>
      </c>
      <c r="C616" s="231"/>
      <c r="D616" s="36" t="s">
        <v>45</v>
      </c>
      <c r="E616" s="39">
        <v>260</v>
      </c>
      <c r="F616" s="39" t="s">
        <v>58</v>
      </c>
      <c r="G616" s="36" t="s">
        <v>815</v>
      </c>
      <c r="H616" s="36" t="s">
        <v>355</v>
      </c>
      <c r="I616" s="39">
        <v>15</v>
      </c>
      <c r="J616" s="39"/>
      <c r="K616" s="39"/>
      <c r="L616" s="39">
        <f t="shared" si="684"/>
        <v>15</v>
      </c>
      <c r="M616" s="117">
        <v>46188</v>
      </c>
      <c r="N616" s="117">
        <v>46192</v>
      </c>
      <c r="O616" s="39"/>
      <c r="P616" s="39"/>
      <c r="Q616" s="39"/>
      <c r="R616" s="39">
        <f t="shared" si="664"/>
        <v>0</v>
      </c>
      <c r="S616" s="39" t="s">
        <v>130</v>
      </c>
      <c r="T616" s="39">
        <v>107288</v>
      </c>
      <c r="U616" s="117">
        <v>46203</v>
      </c>
      <c r="V616" s="39"/>
      <c r="W616" s="39"/>
      <c r="X616" s="39"/>
      <c r="Y616" s="39">
        <v>23</v>
      </c>
      <c r="Z616" s="39"/>
      <c r="AA616" s="39"/>
      <c r="AB616" s="119">
        <f t="shared" si="665"/>
        <v>23</v>
      </c>
      <c r="AC616" s="39"/>
      <c r="AD616" s="39"/>
      <c r="AE616" s="39"/>
      <c r="AF616" s="39"/>
      <c r="AG616" s="39"/>
      <c r="AH616" s="39">
        <f t="shared" si="666"/>
        <v>0</v>
      </c>
      <c r="AI616" s="39"/>
      <c r="AJ616" s="39"/>
      <c r="AK616" s="39"/>
      <c r="AL616" s="39"/>
      <c r="AM616" s="39"/>
      <c r="AN616" s="39">
        <f t="shared" si="703"/>
        <v>0</v>
      </c>
      <c r="AO616" s="39" t="s">
        <v>256</v>
      </c>
      <c r="AP616" s="117">
        <v>46204</v>
      </c>
      <c r="AQ616" s="39">
        <v>21</v>
      </c>
      <c r="AR616" s="117">
        <v>46204</v>
      </c>
      <c r="AS616" s="39">
        <v>20</v>
      </c>
      <c r="AT616" s="39">
        <f t="shared" si="462"/>
        <v>-1</v>
      </c>
      <c r="AU616" s="39" t="s">
        <v>256</v>
      </c>
      <c r="AV616" s="117">
        <v>46204</v>
      </c>
      <c r="AW616" s="39">
        <v>21</v>
      </c>
      <c r="AX616" s="39"/>
      <c r="AY616" s="39"/>
      <c r="AZ616" s="39">
        <f t="shared" si="463"/>
        <v>-21</v>
      </c>
      <c r="BA616" s="39"/>
      <c r="BB616" s="39"/>
      <c r="BC616" s="39"/>
      <c r="BD616" s="39"/>
      <c r="BE616" s="39"/>
      <c r="BF616" s="39">
        <f t="shared" si="464"/>
        <v>0</v>
      </c>
      <c r="BG616" s="39"/>
      <c r="BH616" s="39"/>
      <c r="BI616" s="39"/>
      <c r="BJ616" s="39"/>
      <c r="BK616" s="39"/>
      <c r="BL616" s="39">
        <f t="shared" si="667"/>
        <v>0</v>
      </c>
      <c r="BM616" s="54" t="str">
        <f t="shared" si="466"/>
        <v/>
      </c>
      <c r="BN616" s="60">
        <v>46196</v>
      </c>
      <c r="BO616" s="57">
        <v>46211</v>
      </c>
      <c r="BP616" s="36"/>
      <c r="BQ616" s="36"/>
      <c r="BR616" s="232"/>
      <c r="BS616" s="232"/>
      <c r="BT616" s="39">
        <v>1588</v>
      </c>
      <c r="BU616" s="39">
        <v>18</v>
      </c>
      <c r="BV616" s="39"/>
      <c r="BW616" s="39"/>
      <c r="BX616" s="39"/>
      <c r="BY616" s="39"/>
      <c r="BZ616" s="39">
        <f t="shared" si="668"/>
        <v>18</v>
      </c>
      <c r="CA616" s="39">
        <f t="shared" si="468"/>
        <v>3</v>
      </c>
      <c r="CB616" s="39">
        <f t="shared" si="469"/>
        <v>0</v>
      </c>
      <c r="CC616" s="39">
        <f t="shared" si="470"/>
        <v>0</v>
      </c>
      <c r="CD616" s="39">
        <f t="shared" si="471"/>
        <v>0</v>
      </c>
      <c r="CE616" s="102">
        <f t="shared" si="472"/>
        <v>0</v>
      </c>
      <c r="CF616" s="36" t="s">
        <v>295</v>
      </c>
      <c r="CG616" s="39" t="s">
        <v>224</v>
      </c>
      <c r="CH616" s="39"/>
      <c r="CI616" s="25">
        <v>3</v>
      </c>
    </row>
    <row r="617" spans="1:87" ht="24.75" customHeight="1">
      <c r="A617" s="36" t="s">
        <v>388</v>
      </c>
      <c r="B617" s="27">
        <v>47759</v>
      </c>
      <c r="C617" s="228"/>
      <c r="D617" s="36"/>
      <c r="E617" s="39"/>
      <c r="F617" s="39"/>
      <c r="G617" s="36" t="s">
        <v>198</v>
      </c>
      <c r="H617" s="36">
        <v>250</v>
      </c>
      <c r="I617" s="39" t="s">
        <v>90</v>
      </c>
      <c r="J617" s="39"/>
      <c r="K617" s="39"/>
      <c r="L617" s="39">
        <f t="shared" si="684"/>
        <v>0</v>
      </c>
      <c r="M617" s="117">
        <v>46188</v>
      </c>
      <c r="N617" s="117">
        <v>46192</v>
      </c>
      <c r="O617" s="39"/>
      <c r="P617" s="39"/>
      <c r="Q617" s="39"/>
      <c r="R617" s="39">
        <f t="shared" si="664"/>
        <v>0</v>
      </c>
      <c r="S617" s="39" t="s">
        <v>130</v>
      </c>
      <c r="T617" s="39"/>
      <c r="U617" s="39"/>
      <c r="V617" s="39"/>
      <c r="W617" s="39"/>
      <c r="X617" s="39"/>
      <c r="Y617" s="39"/>
      <c r="Z617" s="39"/>
      <c r="AA617" s="39"/>
      <c r="AB617" s="39">
        <f t="shared" si="665"/>
        <v>0</v>
      </c>
      <c r="AC617" s="39"/>
      <c r="AD617" s="39"/>
      <c r="AE617" s="39"/>
      <c r="AF617" s="39"/>
      <c r="AG617" s="39"/>
      <c r="AH617" s="39">
        <f t="shared" si="666"/>
        <v>0</v>
      </c>
      <c r="AI617" s="39"/>
      <c r="AJ617" s="39"/>
      <c r="AK617" s="39"/>
      <c r="AL617" s="39"/>
      <c r="AM617" s="39"/>
      <c r="AN617" s="39">
        <f t="shared" si="703"/>
        <v>0</v>
      </c>
      <c r="AO617" s="39"/>
      <c r="AP617" s="39"/>
      <c r="AQ617" s="39"/>
      <c r="AR617" s="39"/>
      <c r="AS617" s="39"/>
      <c r="AT617" s="39">
        <f t="shared" si="462"/>
        <v>0</v>
      </c>
      <c r="AU617" s="39"/>
      <c r="AV617" s="39"/>
      <c r="AW617" s="39"/>
      <c r="AX617" s="39"/>
      <c r="AY617" s="39"/>
      <c r="AZ617" s="39">
        <f t="shared" si="463"/>
        <v>0</v>
      </c>
      <c r="BA617" s="39"/>
      <c r="BB617" s="39"/>
      <c r="BC617" s="39"/>
      <c r="BD617" s="39"/>
      <c r="BE617" s="39"/>
      <c r="BF617" s="39">
        <f t="shared" si="464"/>
        <v>0</v>
      </c>
      <c r="BG617" s="39"/>
      <c r="BH617" s="39"/>
      <c r="BI617" s="39"/>
      <c r="BJ617" s="39"/>
      <c r="BK617" s="39"/>
      <c r="BL617" s="39">
        <f t="shared" si="667"/>
        <v>0</v>
      </c>
      <c r="BM617" s="54" t="e">
        <f t="shared" si="466"/>
        <v>#DIV/0!</v>
      </c>
      <c r="BN617" s="60">
        <v>46196</v>
      </c>
      <c r="BO617" s="57">
        <v>46211</v>
      </c>
      <c r="BP617" s="36"/>
      <c r="BQ617" s="36"/>
      <c r="BR617" s="230"/>
      <c r="BS617" s="230"/>
      <c r="BT617" s="39" t="s">
        <v>1959</v>
      </c>
      <c r="BU617" s="39"/>
      <c r="BV617" s="39"/>
      <c r="BW617" s="39"/>
      <c r="BX617" s="39"/>
      <c r="BY617" s="39"/>
      <c r="BZ617" s="39">
        <f t="shared" si="668"/>
        <v>0</v>
      </c>
      <c r="CA617" s="39" t="e">
        <f t="shared" si="468"/>
        <v>#VALUE!</v>
      </c>
      <c r="CB617" s="39">
        <f t="shared" si="469"/>
        <v>0</v>
      </c>
      <c r="CC617" s="39">
        <f t="shared" si="470"/>
        <v>0</v>
      </c>
      <c r="CD617" s="39">
        <f t="shared" si="471"/>
        <v>0</v>
      </c>
      <c r="CE617" s="102" t="e">
        <f t="shared" si="472"/>
        <v>#DIV/0!</v>
      </c>
      <c r="CF617" s="36" t="s">
        <v>295</v>
      </c>
      <c r="CG617" s="39" t="s">
        <v>224</v>
      </c>
      <c r="CH617" s="39"/>
      <c r="CI617" s="25">
        <v>3</v>
      </c>
    </row>
    <row r="618" spans="1:87" ht="35.25" customHeight="1">
      <c r="A618" s="36" t="s">
        <v>388</v>
      </c>
      <c r="B618" s="27" t="s">
        <v>953</v>
      </c>
      <c r="C618" s="36">
        <v>15303956</v>
      </c>
      <c r="D618" s="36"/>
      <c r="E618" s="39">
        <v>260</v>
      </c>
      <c r="F618" s="39" t="s">
        <v>67</v>
      </c>
      <c r="G618" s="36" t="s">
        <v>769</v>
      </c>
      <c r="H618" s="36" t="s">
        <v>355</v>
      </c>
      <c r="I618" s="39">
        <v>616</v>
      </c>
      <c r="J618" s="39"/>
      <c r="K618" s="39">
        <v>25</v>
      </c>
      <c r="L618" s="39">
        <f t="shared" ref="L618:L628" si="742">SUM(I618:K618)</f>
        <v>641</v>
      </c>
      <c r="M618" s="117">
        <v>46188</v>
      </c>
      <c r="N618" s="117">
        <v>46193</v>
      </c>
      <c r="O618" s="39"/>
      <c r="P618" s="39"/>
      <c r="Q618" s="39"/>
      <c r="R618" s="39">
        <f t="shared" si="664"/>
        <v>0</v>
      </c>
      <c r="S618" s="39" t="s">
        <v>100</v>
      </c>
      <c r="T618" s="39"/>
      <c r="U618" s="39"/>
      <c r="V618" s="117">
        <v>46195</v>
      </c>
      <c r="W618" s="39">
        <f>526+135+33</f>
        <v>694</v>
      </c>
      <c r="X618" s="117" t="s">
        <v>1468</v>
      </c>
      <c r="Y618" s="39">
        <f>573+41</f>
        <v>614</v>
      </c>
      <c r="Z618" s="39"/>
      <c r="AA618" s="39">
        <f>10+22</f>
        <v>32</v>
      </c>
      <c r="AB618" s="119">
        <f t="shared" si="665"/>
        <v>646</v>
      </c>
      <c r="AC618" s="39"/>
      <c r="AD618" s="39"/>
      <c r="AE618" s="39"/>
      <c r="AF618" s="39"/>
      <c r="AG618" s="39"/>
      <c r="AH618" s="39">
        <f t="shared" si="666"/>
        <v>0</v>
      </c>
      <c r="AI618" s="39"/>
      <c r="AJ618" s="39"/>
      <c r="AK618" s="39"/>
      <c r="AL618" s="39"/>
      <c r="AM618" s="39"/>
      <c r="AN618" s="39">
        <f t="shared" si="703"/>
        <v>0</v>
      </c>
      <c r="AO618" s="39"/>
      <c r="AP618" s="39"/>
      <c r="AQ618" s="39"/>
      <c r="AR618" s="39"/>
      <c r="AS618" s="39"/>
      <c r="AT618" s="39">
        <f t="shared" si="462"/>
        <v>0</v>
      </c>
      <c r="AU618" s="39"/>
      <c r="AV618" s="39"/>
      <c r="AW618" s="39"/>
      <c r="AX618" s="39"/>
      <c r="AY618" s="39"/>
      <c r="AZ618" s="39">
        <f t="shared" si="463"/>
        <v>0</v>
      </c>
      <c r="BA618" s="39"/>
      <c r="BB618" s="39"/>
      <c r="BC618" s="39"/>
      <c r="BD618" s="39"/>
      <c r="BE618" s="39"/>
      <c r="BF618" s="39">
        <f t="shared" si="464"/>
        <v>0</v>
      </c>
      <c r="BG618" s="39"/>
      <c r="BH618" s="39"/>
      <c r="BI618" s="39"/>
      <c r="BJ618" s="39"/>
      <c r="BK618" s="39"/>
      <c r="BL618" s="39">
        <f t="shared" si="667"/>
        <v>0</v>
      </c>
      <c r="BM618" s="54" t="str">
        <f t="shared" si="466"/>
        <v/>
      </c>
      <c r="BN618" s="60">
        <v>46198</v>
      </c>
      <c r="BO618" s="57">
        <v>46209</v>
      </c>
      <c r="BP618" s="36"/>
      <c r="BQ618" s="36"/>
      <c r="BR618" s="50">
        <v>46210</v>
      </c>
      <c r="BS618" s="50">
        <v>46212</v>
      </c>
      <c r="BT618" s="39" t="s">
        <v>1480</v>
      </c>
      <c r="BU618" s="39">
        <f>573+41</f>
        <v>614</v>
      </c>
      <c r="BV618" s="39"/>
      <c r="BW618" s="39"/>
      <c r="BX618" s="39" t="s">
        <v>1480</v>
      </c>
      <c r="BY618" s="39">
        <f>10+22</f>
        <v>32</v>
      </c>
      <c r="BZ618" s="39">
        <f t="shared" si="668"/>
        <v>646</v>
      </c>
      <c r="CA618" s="39">
        <f t="shared" si="468"/>
        <v>-2</v>
      </c>
      <c r="CB618" s="39">
        <f t="shared" si="469"/>
        <v>0</v>
      </c>
      <c r="CC618" s="39">
        <f t="shared" si="470"/>
        <v>7</v>
      </c>
      <c r="CD618" s="39">
        <v>0</v>
      </c>
      <c r="CE618" s="47">
        <f t="shared" si="472"/>
        <v>0</v>
      </c>
      <c r="CF618" s="36" t="s">
        <v>294</v>
      </c>
      <c r="CG618" s="39" t="s">
        <v>231</v>
      </c>
      <c r="CH618" s="39"/>
      <c r="CI618" s="25">
        <v>3</v>
      </c>
    </row>
    <row r="619" spans="1:87" ht="34.5" customHeight="1">
      <c r="A619" s="36" t="s">
        <v>388</v>
      </c>
      <c r="B619" s="27" t="s">
        <v>954</v>
      </c>
      <c r="C619" s="36">
        <v>15270390</v>
      </c>
      <c r="D619" s="36"/>
      <c r="E619" s="39">
        <v>150</v>
      </c>
      <c r="F619" s="39" t="s">
        <v>69</v>
      </c>
      <c r="G619" s="36" t="s">
        <v>21</v>
      </c>
      <c r="H619" s="39" t="s">
        <v>22</v>
      </c>
      <c r="I619" s="39">
        <v>494</v>
      </c>
      <c r="J619" s="39"/>
      <c r="K619" s="39"/>
      <c r="L619" s="39">
        <f t="shared" si="742"/>
        <v>494</v>
      </c>
      <c r="M619" s="117">
        <v>46188</v>
      </c>
      <c r="N619" s="117">
        <v>46191</v>
      </c>
      <c r="O619" s="39"/>
      <c r="P619" s="39"/>
      <c r="Q619" s="39"/>
      <c r="R619" s="39">
        <f t="shared" si="664"/>
        <v>0</v>
      </c>
      <c r="S619" s="39" t="s">
        <v>130</v>
      </c>
      <c r="T619" s="39">
        <v>107054</v>
      </c>
      <c r="U619" s="117">
        <v>46191</v>
      </c>
      <c r="V619" s="39"/>
      <c r="W619" s="39"/>
      <c r="X619" s="39"/>
      <c r="Y619" s="39">
        <v>554</v>
      </c>
      <c r="Z619" s="39"/>
      <c r="AA619" s="39"/>
      <c r="AB619" s="119">
        <f t="shared" si="665"/>
        <v>554</v>
      </c>
      <c r="AC619" s="39"/>
      <c r="AD619" s="39"/>
      <c r="AE619" s="39"/>
      <c r="AF619" s="39"/>
      <c r="AG619" s="39"/>
      <c r="AH619" s="39">
        <f t="shared" si="666"/>
        <v>0</v>
      </c>
      <c r="AI619" s="39"/>
      <c r="AJ619" s="39"/>
      <c r="AK619" s="39"/>
      <c r="AL619" s="39"/>
      <c r="AM619" s="39"/>
      <c r="AN619" s="39">
        <f t="shared" si="703"/>
        <v>0</v>
      </c>
      <c r="AO619" s="39"/>
      <c r="AP619" s="39"/>
      <c r="AQ619" s="39"/>
      <c r="AR619" s="39"/>
      <c r="AS619" s="39"/>
      <c r="AT619" s="39">
        <f t="shared" si="462"/>
        <v>0</v>
      </c>
      <c r="AU619" s="39"/>
      <c r="AV619" s="39"/>
      <c r="AW619" s="39"/>
      <c r="AX619" s="39"/>
      <c r="AY619" s="39"/>
      <c r="AZ619" s="39">
        <f t="shared" si="463"/>
        <v>0</v>
      </c>
      <c r="BA619" s="39"/>
      <c r="BB619" s="39"/>
      <c r="BC619" s="39"/>
      <c r="BD619" s="39"/>
      <c r="BE619" s="39"/>
      <c r="BF619" s="39">
        <f t="shared" si="464"/>
        <v>0</v>
      </c>
      <c r="BG619" s="39"/>
      <c r="BH619" s="39"/>
      <c r="BI619" s="39"/>
      <c r="BJ619" s="39"/>
      <c r="BK619" s="39"/>
      <c r="BL619" s="39">
        <f t="shared" si="667"/>
        <v>0</v>
      </c>
      <c r="BM619" s="54" t="str">
        <f t="shared" si="466"/>
        <v/>
      </c>
      <c r="BN619" s="60">
        <v>46198</v>
      </c>
      <c r="BO619" s="57">
        <v>46206</v>
      </c>
      <c r="BP619" s="36"/>
      <c r="BQ619" s="36"/>
      <c r="BR619" s="50">
        <v>46195</v>
      </c>
      <c r="BS619" s="50">
        <v>46195</v>
      </c>
      <c r="BT619" s="39" t="s">
        <v>1137</v>
      </c>
      <c r="BU619" s="39">
        <f>477+22</f>
        <v>499</v>
      </c>
      <c r="BV619" s="39"/>
      <c r="BW619" s="39"/>
      <c r="BX619" s="39"/>
      <c r="BY619" s="39"/>
      <c r="BZ619" s="39">
        <f t="shared" si="668"/>
        <v>499</v>
      </c>
      <c r="CA619" s="39">
        <f t="shared" si="468"/>
        <v>5</v>
      </c>
      <c r="CB619" s="39">
        <f t="shared" si="469"/>
        <v>0</v>
      </c>
      <c r="CC619" s="39">
        <f t="shared" si="470"/>
        <v>0</v>
      </c>
      <c r="CD619" s="39">
        <f t="shared" si="471"/>
        <v>0</v>
      </c>
      <c r="CE619" s="47">
        <f t="shared" si="472"/>
        <v>0</v>
      </c>
      <c r="CF619" s="36" t="s">
        <v>252</v>
      </c>
      <c r="CG619" s="39" t="s">
        <v>223</v>
      </c>
      <c r="CH619" s="39"/>
      <c r="CI619" s="25">
        <v>3</v>
      </c>
    </row>
    <row r="620" spans="1:87" ht="24.75" customHeight="1">
      <c r="A620" s="36" t="s">
        <v>388</v>
      </c>
      <c r="B620" s="27"/>
      <c r="C620" s="36"/>
      <c r="D620" s="36"/>
      <c r="E620" s="39"/>
      <c r="F620" s="39"/>
      <c r="G620" s="36"/>
      <c r="H620" s="39"/>
      <c r="I620" s="39"/>
      <c r="J620" s="39"/>
      <c r="K620" s="39"/>
      <c r="L620" s="39">
        <f t="shared" si="742"/>
        <v>0</v>
      </c>
      <c r="M620" s="39"/>
      <c r="N620" s="39"/>
      <c r="O620" s="39"/>
      <c r="P620" s="39"/>
      <c r="Q620" s="39"/>
      <c r="R620" s="39">
        <f t="shared" si="664"/>
        <v>0</v>
      </c>
      <c r="S620" s="39"/>
      <c r="T620" s="39"/>
      <c r="U620" s="39"/>
      <c r="V620" s="39"/>
      <c r="W620" s="39"/>
      <c r="X620" s="39"/>
      <c r="Y620" s="39"/>
      <c r="Z620" s="39"/>
      <c r="AA620" s="39"/>
      <c r="AB620" s="39">
        <f t="shared" si="665"/>
        <v>0</v>
      </c>
      <c r="AC620" s="39"/>
      <c r="AD620" s="39"/>
      <c r="AE620" s="39"/>
      <c r="AF620" s="39"/>
      <c r="AG620" s="39"/>
      <c r="AH620" s="39">
        <f t="shared" si="666"/>
        <v>0</v>
      </c>
      <c r="AI620" s="39"/>
      <c r="AJ620" s="39"/>
      <c r="AK620" s="39"/>
      <c r="AL620" s="39"/>
      <c r="AM620" s="39"/>
      <c r="AN620" s="39">
        <f t="shared" si="703"/>
        <v>0</v>
      </c>
      <c r="AO620" s="39"/>
      <c r="AP620" s="39"/>
      <c r="AQ620" s="39"/>
      <c r="AR620" s="39"/>
      <c r="AS620" s="39"/>
      <c r="AT620" s="39">
        <f t="shared" si="462"/>
        <v>0</v>
      </c>
      <c r="AU620" s="39"/>
      <c r="AV620" s="39"/>
      <c r="AW620" s="39"/>
      <c r="AX620" s="39"/>
      <c r="AY620" s="39"/>
      <c r="AZ620" s="39">
        <f t="shared" si="463"/>
        <v>0</v>
      </c>
      <c r="BA620" s="39"/>
      <c r="BB620" s="39"/>
      <c r="BC620" s="39"/>
      <c r="BD620" s="39"/>
      <c r="BE620" s="39"/>
      <c r="BF620" s="39">
        <f t="shared" si="464"/>
        <v>0</v>
      </c>
      <c r="BG620" s="39"/>
      <c r="BH620" s="39"/>
      <c r="BI620" s="39"/>
      <c r="BJ620" s="39"/>
      <c r="BK620" s="39"/>
      <c r="BL620" s="39">
        <f t="shared" si="667"/>
        <v>0</v>
      </c>
      <c r="BM620" s="54" t="e">
        <f t="shared" si="466"/>
        <v>#DIV/0!</v>
      </c>
      <c r="BN620" s="61"/>
      <c r="BO620" s="36"/>
      <c r="BP620" s="36"/>
      <c r="BQ620" s="36"/>
      <c r="BR620" s="40"/>
      <c r="BS620" s="40"/>
      <c r="BT620" s="39"/>
      <c r="BU620" s="39"/>
      <c r="BV620" s="39"/>
      <c r="BW620" s="39"/>
      <c r="BX620" s="39"/>
      <c r="BY620" s="39"/>
      <c r="BZ620" s="39">
        <f t="shared" si="668"/>
        <v>0</v>
      </c>
      <c r="CA620" s="39">
        <f t="shared" si="468"/>
        <v>0</v>
      </c>
      <c r="CB620" s="39">
        <f t="shared" si="469"/>
        <v>0</v>
      </c>
      <c r="CC620" s="39">
        <f t="shared" si="470"/>
        <v>0</v>
      </c>
      <c r="CD620" s="39">
        <f t="shared" si="471"/>
        <v>0</v>
      </c>
      <c r="CE620" s="47" t="e">
        <f t="shared" si="472"/>
        <v>#DIV/0!</v>
      </c>
      <c r="CF620" s="36"/>
      <c r="CG620" s="39"/>
      <c r="CH620" s="39"/>
      <c r="CI620" s="25">
        <v>3</v>
      </c>
    </row>
    <row r="621" spans="1:87" ht="24.75" customHeight="1">
      <c r="A621" s="36" t="s">
        <v>388</v>
      </c>
      <c r="B621" s="27"/>
      <c r="C621" s="36"/>
      <c r="D621" s="36"/>
      <c r="E621" s="39"/>
      <c r="F621" s="39"/>
      <c r="G621" s="36"/>
      <c r="H621" s="39"/>
      <c r="I621" s="39"/>
      <c r="J621" s="39"/>
      <c r="K621" s="39"/>
      <c r="L621" s="39">
        <f t="shared" si="742"/>
        <v>0</v>
      </c>
      <c r="M621" s="39"/>
      <c r="N621" s="39"/>
      <c r="O621" s="39"/>
      <c r="P621" s="39"/>
      <c r="Q621" s="39"/>
      <c r="R621" s="39">
        <f t="shared" si="664"/>
        <v>0</v>
      </c>
      <c r="S621" s="39"/>
      <c r="T621" s="39"/>
      <c r="U621" s="39"/>
      <c r="V621" s="39"/>
      <c r="W621" s="39"/>
      <c r="X621" s="39"/>
      <c r="Y621" s="39"/>
      <c r="Z621" s="39"/>
      <c r="AA621" s="39"/>
      <c r="AB621" s="39">
        <f t="shared" si="665"/>
        <v>0</v>
      </c>
      <c r="AC621" s="39"/>
      <c r="AD621" s="39"/>
      <c r="AE621" s="39"/>
      <c r="AF621" s="39"/>
      <c r="AG621" s="39"/>
      <c r="AH621" s="39">
        <f t="shared" si="666"/>
        <v>0</v>
      </c>
      <c r="AI621" s="39"/>
      <c r="AJ621" s="39"/>
      <c r="AK621" s="39"/>
      <c r="AL621" s="39"/>
      <c r="AM621" s="39"/>
      <c r="AN621" s="39">
        <f t="shared" si="703"/>
        <v>0</v>
      </c>
      <c r="AO621" s="39"/>
      <c r="AP621" s="39"/>
      <c r="AQ621" s="39"/>
      <c r="AR621" s="39"/>
      <c r="AS621" s="39"/>
      <c r="AT621" s="39">
        <f t="shared" si="462"/>
        <v>0</v>
      </c>
      <c r="AU621" s="39"/>
      <c r="AV621" s="39"/>
      <c r="AW621" s="39"/>
      <c r="AX621" s="39"/>
      <c r="AY621" s="39"/>
      <c r="AZ621" s="39">
        <f t="shared" si="463"/>
        <v>0</v>
      </c>
      <c r="BA621" s="39"/>
      <c r="BB621" s="39"/>
      <c r="BC621" s="39"/>
      <c r="BD621" s="39"/>
      <c r="BE621" s="39"/>
      <c r="BF621" s="39">
        <f t="shared" si="464"/>
        <v>0</v>
      </c>
      <c r="BG621" s="39"/>
      <c r="BH621" s="39"/>
      <c r="BI621" s="39"/>
      <c r="BJ621" s="39"/>
      <c r="BK621" s="39"/>
      <c r="BL621" s="39">
        <f t="shared" si="667"/>
        <v>0</v>
      </c>
      <c r="BM621" s="54" t="e">
        <f t="shared" si="466"/>
        <v>#DIV/0!</v>
      </c>
      <c r="BN621" s="61"/>
      <c r="BO621" s="36"/>
      <c r="BP621" s="36"/>
      <c r="BQ621" s="36"/>
      <c r="BR621" s="40"/>
      <c r="BS621" s="40"/>
      <c r="BT621" s="39"/>
      <c r="BU621" s="39"/>
      <c r="BV621" s="39"/>
      <c r="BW621" s="39"/>
      <c r="BX621" s="39"/>
      <c r="BY621" s="39"/>
      <c r="BZ621" s="39">
        <f t="shared" si="668"/>
        <v>0</v>
      </c>
      <c r="CA621" s="39">
        <f t="shared" si="468"/>
        <v>0</v>
      </c>
      <c r="CB621" s="39">
        <f t="shared" si="469"/>
        <v>0</v>
      </c>
      <c r="CC621" s="39">
        <f t="shared" si="470"/>
        <v>0</v>
      </c>
      <c r="CD621" s="39">
        <f t="shared" si="471"/>
        <v>0</v>
      </c>
      <c r="CE621" s="47" t="e">
        <f t="shared" si="472"/>
        <v>#DIV/0!</v>
      </c>
      <c r="CF621" s="36"/>
      <c r="CG621" s="39"/>
      <c r="CH621" s="39"/>
      <c r="CI621" s="25">
        <v>3</v>
      </c>
    </row>
    <row r="622" spans="1:87" ht="24.75" customHeight="1">
      <c r="A622" s="36" t="s">
        <v>388</v>
      </c>
      <c r="B622" s="27"/>
      <c r="C622" s="36"/>
      <c r="D622" s="36"/>
      <c r="E622" s="39"/>
      <c r="F622" s="39"/>
      <c r="G622" s="36"/>
      <c r="H622" s="39"/>
      <c r="I622" s="39"/>
      <c r="J622" s="39"/>
      <c r="K622" s="39"/>
      <c r="L622" s="39">
        <f t="shared" si="742"/>
        <v>0</v>
      </c>
      <c r="M622" s="39"/>
      <c r="N622" s="39"/>
      <c r="O622" s="39"/>
      <c r="P622" s="39"/>
      <c r="Q622" s="39"/>
      <c r="R622" s="39">
        <f t="shared" si="664"/>
        <v>0</v>
      </c>
      <c r="S622" s="39"/>
      <c r="T622" s="39"/>
      <c r="U622" s="39"/>
      <c r="V622" s="39"/>
      <c r="W622" s="39"/>
      <c r="X622" s="39"/>
      <c r="Y622" s="39"/>
      <c r="Z622" s="39"/>
      <c r="AA622" s="39"/>
      <c r="AB622" s="39">
        <f t="shared" si="665"/>
        <v>0</v>
      </c>
      <c r="AC622" s="39"/>
      <c r="AD622" s="39"/>
      <c r="AE622" s="39"/>
      <c r="AF622" s="39"/>
      <c r="AG622" s="39"/>
      <c r="AH622" s="39">
        <f t="shared" si="666"/>
        <v>0</v>
      </c>
      <c r="AI622" s="39"/>
      <c r="AJ622" s="39"/>
      <c r="AK622" s="39"/>
      <c r="AL622" s="39"/>
      <c r="AM622" s="39"/>
      <c r="AN622" s="39">
        <f t="shared" si="703"/>
        <v>0</v>
      </c>
      <c r="AO622" s="39"/>
      <c r="AP622" s="39"/>
      <c r="AQ622" s="39"/>
      <c r="AR622" s="39"/>
      <c r="AS622" s="39"/>
      <c r="AT622" s="39">
        <f t="shared" si="462"/>
        <v>0</v>
      </c>
      <c r="AU622" s="39"/>
      <c r="AV622" s="39"/>
      <c r="AW622" s="39"/>
      <c r="AX622" s="39"/>
      <c r="AY622" s="39"/>
      <c r="AZ622" s="39">
        <f t="shared" si="463"/>
        <v>0</v>
      </c>
      <c r="BA622" s="39"/>
      <c r="BB622" s="39"/>
      <c r="BC622" s="39"/>
      <c r="BD622" s="39"/>
      <c r="BE622" s="39"/>
      <c r="BF622" s="39">
        <f t="shared" si="464"/>
        <v>0</v>
      </c>
      <c r="BG622" s="39"/>
      <c r="BH622" s="39"/>
      <c r="BI622" s="39"/>
      <c r="BJ622" s="39"/>
      <c r="BK622" s="39"/>
      <c r="BL622" s="39">
        <f t="shared" si="667"/>
        <v>0</v>
      </c>
      <c r="BM622" s="54" t="e">
        <f t="shared" si="466"/>
        <v>#DIV/0!</v>
      </c>
      <c r="BN622" s="61"/>
      <c r="BO622" s="36"/>
      <c r="BP622" s="36"/>
      <c r="BQ622" s="36"/>
      <c r="BR622" s="40"/>
      <c r="BS622" s="40"/>
      <c r="BT622" s="39"/>
      <c r="BU622" s="39"/>
      <c r="BV622" s="39"/>
      <c r="BW622" s="39"/>
      <c r="BX622" s="39"/>
      <c r="BY622" s="39"/>
      <c r="BZ622" s="39">
        <f t="shared" si="668"/>
        <v>0</v>
      </c>
      <c r="CA622" s="39">
        <f t="shared" si="468"/>
        <v>0</v>
      </c>
      <c r="CB622" s="39">
        <f t="shared" si="469"/>
        <v>0</v>
      </c>
      <c r="CC622" s="39">
        <f t="shared" si="470"/>
        <v>0</v>
      </c>
      <c r="CD622" s="39">
        <f t="shared" si="471"/>
        <v>0</v>
      </c>
      <c r="CE622" s="47" t="e">
        <f t="shared" si="472"/>
        <v>#DIV/0!</v>
      </c>
      <c r="CF622" s="36"/>
      <c r="CG622" s="39"/>
      <c r="CH622" s="39"/>
      <c r="CI622" s="25">
        <v>3</v>
      </c>
    </row>
    <row r="623" spans="1:87" ht="24.75" customHeight="1">
      <c r="A623" s="36" t="s">
        <v>388</v>
      </c>
      <c r="B623" s="27"/>
      <c r="C623" s="36"/>
      <c r="D623" s="36"/>
      <c r="E623" s="39"/>
      <c r="F623" s="39"/>
      <c r="G623" s="36"/>
      <c r="H623" s="39"/>
      <c r="I623" s="39"/>
      <c r="J623" s="39"/>
      <c r="K623" s="39"/>
      <c r="L623" s="39">
        <f t="shared" si="742"/>
        <v>0</v>
      </c>
      <c r="M623" s="39"/>
      <c r="N623" s="39"/>
      <c r="O623" s="39"/>
      <c r="P623" s="39"/>
      <c r="Q623" s="39"/>
      <c r="R623" s="39">
        <f t="shared" si="664"/>
        <v>0</v>
      </c>
      <c r="S623" s="39"/>
      <c r="T623" s="39"/>
      <c r="U623" s="39"/>
      <c r="V623" s="39"/>
      <c r="W623" s="39"/>
      <c r="X623" s="39"/>
      <c r="Y623" s="39"/>
      <c r="Z623" s="39"/>
      <c r="AA623" s="39"/>
      <c r="AB623" s="39">
        <f t="shared" si="665"/>
        <v>0</v>
      </c>
      <c r="AC623" s="39"/>
      <c r="AD623" s="39"/>
      <c r="AE623" s="39"/>
      <c r="AF623" s="39"/>
      <c r="AG623" s="39"/>
      <c r="AH623" s="39">
        <f t="shared" si="666"/>
        <v>0</v>
      </c>
      <c r="AI623" s="39"/>
      <c r="AJ623" s="39"/>
      <c r="AK623" s="39"/>
      <c r="AL623" s="39"/>
      <c r="AM623" s="39"/>
      <c r="AN623" s="39">
        <f t="shared" si="703"/>
        <v>0</v>
      </c>
      <c r="AO623" s="39"/>
      <c r="AP623" s="39"/>
      <c r="AQ623" s="39"/>
      <c r="AR623" s="39"/>
      <c r="AS623" s="39"/>
      <c r="AT623" s="39">
        <f t="shared" si="462"/>
        <v>0</v>
      </c>
      <c r="AU623" s="39"/>
      <c r="AV623" s="39"/>
      <c r="AW623" s="39"/>
      <c r="AX623" s="39"/>
      <c r="AY623" s="39"/>
      <c r="AZ623" s="39">
        <f t="shared" si="463"/>
        <v>0</v>
      </c>
      <c r="BA623" s="39"/>
      <c r="BB623" s="39"/>
      <c r="BC623" s="39"/>
      <c r="BD623" s="39"/>
      <c r="BE623" s="39"/>
      <c r="BF623" s="39">
        <f t="shared" si="464"/>
        <v>0</v>
      </c>
      <c r="BG623" s="39"/>
      <c r="BH623" s="39"/>
      <c r="BI623" s="39"/>
      <c r="BJ623" s="39"/>
      <c r="BK623" s="39"/>
      <c r="BL623" s="39">
        <f t="shared" si="667"/>
        <v>0</v>
      </c>
      <c r="BM623" s="54" t="e">
        <f t="shared" si="466"/>
        <v>#DIV/0!</v>
      </c>
      <c r="BN623" s="61"/>
      <c r="BO623" s="36"/>
      <c r="BP623" s="36"/>
      <c r="BQ623" s="36"/>
      <c r="BR623" s="40"/>
      <c r="BS623" s="40"/>
      <c r="BT623" s="39"/>
      <c r="BU623" s="39"/>
      <c r="BV623" s="39"/>
      <c r="BW623" s="39"/>
      <c r="BX623" s="39"/>
      <c r="BY623" s="39"/>
      <c r="BZ623" s="39">
        <f t="shared" si="668"/>
        <v>0</v>
      </c>
      <c r="CA623" s="39">
        <f t="shared" si="468"/>
        <v>0</v>
      </c>
      <c r="CB623" s="39">
        <f t="shared" si="469"/>
        <v>0</v>
      </c>
      <c r="CC623" s="39">
        <f t="shared" si="470"/>
        <v>0</v>
      </c>
      <c r="CD623" s="39">
        <f t="shared" si="471"/>
        <v>0</v>
      </c>
      <c r="CE623" s="47" t="e">
        <f t="shared" si="472"/>
        <v>#DIV/0!</v>
      </c>
      <c r="CF623" s="36"/>
      <c r="CG623" s="39"/>
      <c r="CH623" s="39"/>
      <c r="CI623" s="25">
        <v>3</v>
      </c>
    </row>
    <row r="624" spans="1:87" ht="24.75" customHeight="1">
      <c r="A624" s="36" t="s">
        <v>388</v>
      </c>
      <c r="B624" s="27"/>
      <c r="C624" s="36"/>
      <c r="D624" s="36"/>
      <c r="E624" s="39"/>
      <c r="F624" s="39"/>
      <c r="G624" s="36"/>
      <c r="H624" s="39"/>
      <c r="I624" s="39"/>
      <c r="J624" s="39"/>
      <c r="K624" s="39"/>
      <c r="L624" s="39">
        <f t="shared" si="742"/>
        <v>0</v>
      </c>
      <c r="M624" s="39"/>
      <c r="N624" s="39"/>
      <c r="O624" s="39"/>
      <c r="P624" s="39"/>
      <c r="Q624" s="39"/>
      <c r="R624" s="39">
        <f t="shared" si="664"/>
        <v>0</v>
      </c>
      <c r="S624" s="39"/>
      <c r="T624" s="39"/>
      <c r="U624" s="39"/>
      <c r="V624" s="39"/>
      <c r="W624" s="39"/>
      <c r="X624" s="39"/>
      <c r="Y624" s="39"/>
      <c r="Z624" s="39"/>
      <c r="AA624" s="39"/>
      <c r="AB624" s="39">
        <f t="shared" si="665"/>
        <v>0</v>
      </c>
      <c r="AC624" s="39"/>
      <c r="AD624" s="39"/>
      <c r="AE624" s="39"/>
      <c r="AF624" s="39"/>
      <c r="AG624" s="39"/>
      <c r="AH624" s="39">
        <f t="shared" si="666"/>
        <v>0</v>
      </c>
      <c r="AI624" s="39"/>
      <c r="AJ624" s="39"/>
      <c r="AK624" s="39"/>
      <c r="AL624" s="39"/>
      <c r="AM624" s="39"/>
      <c r="AN624" s="39">
        <f t="shared" si="703"/>
        <v>0</v>
      </c>
      <c r="AO624" s="39"/>
      <c r="AP624" s="39"/>
      <c r="AQ624" s="39"/>
      <c r="AR624" s="39"/>
      <c r="AS624" s="39"/>
      <c r="AT624" s="39">
        <f t="shared" si="462"/>
        <v>0</v>
      </c>
      <c r="AU624" s="39"/>
      <c r="AV624" s="39"/>
      <c r="AW624" s="39"/>
      <c r="AX624" s="39"/>
      <c r="AY624" s="39"/>
      <c r="AZ624" s="39">
        <f t="shared" si="463"/>
        <v>0</v>
      </c>
      <c r="BA624" s="39"/>
      <c r="BB624" s="39"/>
      <c r="BC624" s="39"/>
      <c r="BD624" s="39"/>
      <c r="BE624" s="39"/>
      <c r="BF624" s="39">
        <f t="shared" si="464"/>
        <v>0</v>
      </c>
      <c r="BG624" s="39"/>
      <c r="BH624" s="39"/>
      <c r="BI624" s="39"/>
      <c r="BJ624" s="39"/>
      <c r="BK624" s="39"/>
      <c r="BL624" s="39">
        <f t="shared" si="667"/>
        <v>0</v>
      </c>
      <c r="BM624" s="54" t="e">
        <f t="shared" si="466"/>
        <v>#DIV/0!</v>
      </c>
      <c r="BN624" s="61"/>
      <c r="BO624" s="36"/>
      <c r="BP624" s="36"/>
      <c r="BQ624" s="36"/>
      <c r="BR624" s="40"/>
      <c r="BS624" s="40"/>
      <c r="BT624" s="39"/>
      <c r="BU624" s="39"/>
      <c r="BV624" s="39"/>
      <c r="BW624" s="39"/>
      <c r="BX624" s="39"/>
      <c r="BY624" s="39"/>
      <c r="BZ624" s="39">
        <f t="shared" si="668"/>
        <v>0</v>
      </c>
      <c r="CA624" s="39">
        <f t="shared" si="468"/>
        <v>0</v>
      </c>
      <c r="CB624" s="39">
        <f t="shared" si="469"/>
        <v>0</v>
      </c>
      <c r="CC624" s="39">
        <f t="shared" si="470"/>
        <v>0</v>
      </c>
      <c r="CD624" s="39">
        <f t="shared" si="471"/>
        <v>0</v>
      </c>
      <c r="CE624" s="47" t="e">
        <f t="shared" si="472"/>
        <v>#DIV/0!</v>
      </c>
      <c r="CF624" s="36"/>
      <c r="CG624" s="39"/>
      <c r="CH624" s="39"/>
      <c r="CI624" s="25">
        <v>3</v>
      </c>
    </row>
    <row r="625" spans="1:87" ht="24.75" customHeight="1">
      <c r="A625" s="36" t="s">
        <v>388</v>
      </c>
      <c r="B625" s="27"/>
      <c r="C625" s="36"/>
      <c r="D625" s="36"/>
      <c r="E625" s="39"/>
      <c r="F625" s="39"/>
      <c r="G625" s="36"/>
      <c r="H625" s="39"/>
      <c r="I625" s="39"/>
      <c r="J625" s="39"/>
      <c r="K625" s="39"/>
      <c r="L625" s="39">
        <f t="shared" si="742"/>
        <v>0</v>
      </c>
      <c r="M625" s="39"/>
      <c r="N625" s="39"/>
      <c r="O625" s="39"/>
      <c r="P625" s="39"/>
      <c r="Q625" s="39"/>
      <c r="R625" s="39">
        <f t="shared" si="664"/>
        <v>0</v>
      </c>
      <c r="S625" s="39"/>
      <c r="T625" s="39"/>
      <c r="U625" s="39"/>
      <c r="V625" s="39"/>
      <c r="W625" s="39"/>
      <c r="X625" s="39"/>
      <c r="Y625" s="39"/>
      <c r="Z625" s="39"/>
      <c r="AA625" s="39"/>
      <c r="AB625" s="39">
        <f t="shared" si="665"/>
        <v>0</v>
      </c>
      <c r="AC625" s="39"/>
      <c r="AD625" s="39"/>
      <c r="AE625" s="39"/>
      <c r="AF625" s="39"/>
      <c r="AG625" s="39"/>
      <c r="AH625" s="39">
        <f t="shared" si="666"/>
        <v>0</v>
      </c>
      <c r="AI625" s="39"/>
      <c r="AJ625" s="39"/>
      <c r="AK625" s="39"/>
      <c r="AL625" s="39"/>
      <c r="AM625" s="39"/>
      <c r="AN625" s="39">
        <f t="shared" si="703"/>
        <v>0</v>
      </c>
      <c r="AO625" s="39"/>
      <c r="AP625" s="39"/>
      <c r="AQ625" s="39"/>
      <c r="AR625" s="39"/>
      <c r="AS625" s="39"/>
      <c r="AT625" s="39">
        <f t="shared" si="462"/>
        <v>0</v>
      </c>
      <c r="AU625" s="39"/>
      <c r="AV625" s="39"/>
      <c r="AW625" s="39"/>
      <c r="AX625" s="39"/>
      <c r="AY625" s="39"/>
      <c r="AZ625" s="39">
        <f t="shared" si="463"/>
        <v>0</v>
      </c>
      <c r="BA625" s="39"/>
      <c r="BB625" s="39"/>
      <c r="BC625" s="39"/>
      <c r="BD625" s="39"/>
      <c r="BE625" s="39"/>
      <c r="BF625" s="39">
        <f t="shared" si="464"/>
        <v>0</v>
      </c>
      <c r="BG625" s="39"/>
      <c r="BH625" s="39"/>
      <c r="BI625" s="39"/>
      <c r="BJ625" s="39"/>
      <c r="BK625" s="39"/>
      <c r="BL625" s="39">
        <f t="shared" si="667"/>
        <v>0</v>
      </c>
      <c r="BM625" s="54" t="e">
        <f t="shared" si="466"/>
        <v>#DIV/0!</v>
      </c>
      <c r="BN625" s="61"/>
      <c r="BO625" s="36"/>
      <c r="BP625" s="36"/>
      <c r="BQ625" s="36"/>
      <c r="BR625" s="40"/>
      <c r="BS625" s="40"/>
      <c r="BT625" s="39"/>
      <c r="BU625" s="39"/>
      <c r="BV625" s="39"/>
      <c r="BW625" s="39"/>
      <c r="BX625" s="39"/>
      <c r="BY625" s="39"/>
      <c r="BZ625" s="39">
        <f t="shared" si="668"/>
        <v>0</v>
      </c>
      <c r="CA625" s="39">
        <f t="shared" si="468"/>
        <v>0</v>
      </c>
      <c r="CB625" s="39">
        <f t="shared" si="469"/>
        <v>0</v>
      </c>
      <c r="CC625" s="39">
        <f t="shared" si="470"/>
        <v>0</v>
      </c>
      <c r="CD625" s="39">
        <f t="shared" si="471"/>
        <v>0</v>
      </c>
      <c r="CE625" s="47" t="e">
        <f t="shared" si="472"/>
        <v>#DIV/0!</v>
      </c>
      <c r="CF625" s="36"/>
      <c r="CG625" s="39"/>
      <c r="CH625" s="39"/>
      <c r="CI625" s="25">
        <v>3</v>
      </c>
    </row>
    <row r="626" spans="1:87" ht="24.75" customHeight="1">
      <c r="A626" s="36" t="s">
        <v>388</v>
      </c>
      <c r="B626" s="27"/>
      <c r="C626" s="36"/>
      <c r="D626" s="36"/>
      <c r="E626" s="39"/>
      <c r="F626" s="39"/>
      <c r="G626" s="36"/>
      <c r="H626" s="39"/>
      <c r="I626" s="39"/>
      <c r="J626" s="39"/>
      <c r="K626" s="39"/>
      <c r="L626" s="39">
        <f t="shared" si="742"/>
        <v>0</v>
      </c>
      <c r="M626" s="39"/>
      <c r="N626" s="39"/>
      <c r="O626" s="39"/>
      <c r="P626" s="39"/>
      <c r="Q626" s="39"/>
      <c r="R626" s="39">
        <f t="shared" si="664"/>
        <v>0</v>
      </c>
      <c r="S626" s="39"/>
      <c r="T626" s="39"/>
      <c r="U626" s="39"/>
      <c r="V626" s="39"/>
      <c r="W626" s="39"/>
      <c r="X626" s="39"/>
      <c r="Y626" s="39"/>
      <c r="Z626" s="39"/>
      <c r="AA626" s="39"/>
      <c r="AB626" s="39">
        <f t="shared" si="665"/>
        <v>0</v>
      </c>
      <c r="AC626" s="39"/>
      <c r="AD626" s="39"/>
      <c r="AE626" s="39"/>
      <c r="AF626" s="39"/>
      <c r="AG626" s="39"/>
      <c r="AH626" s="39">
        <f t="shared" si="666"/>
        <v>0</v>
      </c>
      <c r="AI626" s="39"/>
      <c r="AJ626" s="39"/>
      <c r="AK626" s="39"/>
      <c r="AL626" s="39"/>
      <c r="AM626" s="39"/>
      <c r="AN626" s="39">
        <f t="shared" si="703"/>
        <v>0</v>
      </c>
      <c r="AO626" s="39"/>
      <c r="AP626" s="39"/>
      <c r="AQ626" s="39"/>
      <c r="AR626" s="39"/>
      <c r="AS626" s="39"/>
      <c r="AT626" s="39">
        <f t="shared" ref="AT626:AT704" si="743">AS626-AQ626</f>
        <v>0</v>
      </c>
      <c r="AU626" s="39"/>
      <c r="AV626" s="39"/>
      <c r="AW626" s="39"/>
      <c r="AX626" s="39"/>
      <c r="AY626" s="39"/>
      <c r="AZ626" s="39">
        <f t="shared" ref="AZ626:AZ704" si="744">AY626-AW626</f>
        <v>0</v>
      </c>
      <c r="BA626" s="39"/>
      <c r="BB626" s="39"/>
      <c r="BC626" s="39"/>
      <c r="BD626" s="39"/>
      <c r="BE626" s="39"/>
      <c r="BF626" s="39">
        <f t="shared" ref="BF626:BF704" si="745">BE626-BC626</f>
        <v>0</v>
      </c>
      <c r="BG626" s="39"/>
      <c r="BH626" s="39"/>
      <c r="BI626" s="39"/>
      <c r="BJ626" s="39"/>
      <c r="BK626" s="39"/>
      <c r="BL626" s="39">
        <f t="shared" si="667"/>
        <v>0</v>
      </c>
      <c r="BM626" s="54" t="e">
        <f t="shared" ref="BM626:BM704" si="746">IF((BZ626/L626)&lt;0.9,$CO$1-U626,"")</f>
        <v>#DIV/0!</v>
      </c>
      <c r="BN626" s="61"/>
      <c r="BO626" s="36"/>
      <c r="BP626" s="36"/>
      <c r="BQ626" s="36"/>
      <c r="BR626" s="40"/>
      <c r="BS626" s="40"/>
      <c r="BT626" s="39"/>
      <c r="BU626" s="39"/>
      <c r="BV626" s="39"/>
      <c r="BW626" s="39"/>
      <c r="BX626" s="39"/>
      <c r="BY626" s="39"/>
      <c r="BZ626" s="39">
        <f t="shared" si="668"/>
        <v>0</v>
      </c>
      <c r="CA626" s="39">
        <f t="shared" ref="CA626:CA704" si="747">BU626-I626</f>
        <v>0</v>
      </c>
      <c r="CB626" s="39">
        <f t="shared" ref="CB626:CB704" si="748">BW626-J626</f>
        <v>0</v>
      </c>
      <c r="CC626" s="39">
        <f t="shared" ref="CC626:CC704" si="749">BY626-K626</f>
        <v>0</v>
      </c>
      <c r="CD626" s="39">
        <f t="shared" ref="CD626:CD641" si="750">SUMIF(CA626:CC626,"&lt;0")</f>
        <v>0</v>
      </c>
      <c r="CE626" s="47" t="e">
        <f t="shared" ref="CE626:CE704" si="751">CD626/L626</f>
        <v>#DIV/0!</v>
      </c>
      <c r="CF626" s="36"/>
      <c r="CG626" s="39"/>
      <c r="CH626" s="39"/>
      <c r="CI626" s="25">
        <v>3</v>
      </c>
    </row>
    <row r="627" spans="1:87" ht="24.75" customHeight="1">
      <c r="A627" s="36" t="s">
        <v>494</v>
      </c>
      <c r="B627" s="55"/>
      <c r="C627" s="36"/>
      <c r="D627" s="36"/>
      <c r="E627" s="39"/>
      <c r="F627" s="39"/>
      <c r="G627" s="36"/>
      <c r="H627" s="36"/>
      <c r="I627" s="39"/>
      <c r="J627" s="39"/>
      <c r="K627" s="39"/>
      <c r="L627" s="39">
        <f t="shared" si="742"/>
        <v>0</v>
      </c>
      <c r="M627" s="39"/>
      <c r="N627" s="39"/>
      <c r="O627" s="39"/>
      <c r="P627" s="39"/>
      <c r="Q627" s="39"/>
      <c r="R627" s="39">
        <f t="shared" si="664"/>
        <v>0</v>
      </c>
      <c r="S627" s="39"/>
      <c r="T627" s="39"/>
      <c r="U627" s="39"/>
      <c r="V627" s="39"/>
      <c r="W627" s="39"/>
      <c r="X627" s="39"/>
      <c r="Y627" s="39"/>
      <c r="Z627" s="39"/>
      <c r="AA627" s="39"/>
      <c r="AB627" s="39">
        <f t="shared" si="665"/>
        <v>0</v>
      </c>
      <c r="AC627" s="39"/>
      <c r="AD627" s="39"/>
      <c r="AE627" s="39"/>
      <c r="AF627" s="39"/>
      <c r="AG627" s="39"/>
      <c r="AH627" s="39">
        <f t="shared" si="666"/>
        <v>0</v>
      </c>
      <c r="AI627" s="39"/>
      <c r="AJ627" s="39"/>
      <c r="AK627" s="39"/>
      <c r="AL627" s="39"/>
      <c r="AM627" s="39"/>
      <c r="AN627" s="39">
        <f t="shared" si="703"/>
        <v>0</v>
      </c>
      <c r="AO627" s="39"/>
      <c r="AP627" s="39"/>
      <c r="AQ627" s="39"/>
      <c r="AR627" s="39"/>
      <c r="AS627" s="39"/>
      <c r="AT627" s="39">
        <f t="shared" si="743"/>
        <v>0</v>
      </c>
      <c r="AU627" s="39"/>
      <c r="AV627" s="39"/>
      <c r="AW627" s="39"/>
      <c r="AX627" s="39"/>
      <c r="AY627" s="39"/>
      <c r="AZ627" s="39">
        <f t="shared" si="744"/>
        <v>0</v>
      </c>
      <c r="BA627" s="39"/>
      <c r="BB627" s="39"/>
      <c r="BC627" s="39"/>
      <c r="BD627" s="39"/>
      <c r="BE627" s="39"/>
      <c r="BF627" s="39">
        <f t="shared" si="745"/>
        <v>0</v>
      </c>
      <c r="BG627" s="39"/>
      <c r="BH627" s="39"/>
      <c r="BI627" s="39"/>
      <c r="BJ627" s="39"/>
      <c r="BK627" s="39"/>
      <c r="BL627" s="39">
        <f t="shared" si="667"/>
        <v>0</v>
      </c>
      <c r="BM627" s="54" t="e">
        <f t="shared" si="746"/>
        <v>#DIV/0!</v>
      </c>
      <c r="BN627" s="42"/>
      <c r="BO627" s="39"/>
      <c r="BP627" s="39"/>
      <c r="BQ627" s="39"/>
      <c r="BR627" s="40"/>
      <c r="BS627" s="40"/>
      <c r="BT627" s="39"/>
      <c r="BU627" s="39"/>
      <c r="BV627" s="39"/>
      <c r="BW627" s="39"/>
      <c r="BX627" s="39"/>
      <c r="BY627" s="39"/>
      <c r="BZ627" s="39">
        <f t="shared" si="668"/>
        <v>0</v>
      </c>
      <c r="CA627" s="39">
        <f t="shared" si="747"/>
        <v>0</v>
      </c>
      <c r="CB627" s="39">
        <f t="shared" si="748"/>
        <v>0</v>
      </c>
      <c r="CC627" s="39">
        <f t="shared" si="749"/>
        <v>0</v>
      </c>
      <c r="CD627" s="39">
        <f t="shared" si="750"/>
        <v>0</v>
      </c>
      <c r="CE627" s="47" t="e">
        <f t="shared" si="751"/>
        <v>#DIV/0!</v>
      </c>
      <c r="CF627" s="36"/>
      <c r="CG627" s="39"/>
      <c r="CH627" s="39"/>
      <c r="CI627" s="25">
        <v>1</v>
      </c>
    </row>
    <row r="628" spans="1:87" ht="24.75" customHeight="1">
      <c r="A628" s="36" t="s">
        <v>494</v>
      </c>
      <c r="B628" s="55"/>
      <c r="C628" s="36"/>
      <c r="D628" s="36"/>
      <c r="E628" s="39"/>
      <c r="F628" s="39"/>
      <c r="G628" s="36"/>
      <c r="H628" s="36"/>
      <c r="I628" s="39"/>
      <c r="J628" s="39"/>
      <c r="K628" s="39"/>
      <c r="L628" s="39">
        <f t="shared" si="742"/>
        <v>0</v>
      </c>
      <c r="M628" s="39"/>
      <c r="N628" s="39"/>
      <c r="O628" s="39"/>
      <c r="P628" s="39"/>
      <c r="Q628" s="39"/>
      <c r="R628" s="39">
        <f t="shared" si="664"/>
        <v>0</v>
      </c>
      <c r="S628" s="39"/>
      <c r="T628" s="39"/>
      <c r="U628" s="39"/>
      <c r="V628" s="39"/>
      <c r="W628" s="39"/>
      <c r="X628" s="39"/>
      <c r="Y628" s="39"/>
      <c r="Z628" s="39"/>
      <c r="AA628" s="39"/>
      <c r="AB628" s="39">
        <f t="shared" si="665"/>
        <v>0</v>
      </c>
      <c r="AC628" s="39"/>
      <c r="AD628" s="39"/>
      <c r="AE628" s="39"/>
      <c r="AF628" s="39"/>
      <c r="AG628" s="39"/>
      <c r="AH628" s="39">
        <f t="shared" si="666"/>
        <v>0</v>
      </c>
      <c r="AI628" s="39"/>
      <c r="AJ628" s="39"/>
      <c r="AK628" s="39"/>
      <c r="AL628" s="39"/>
      <c r="AM628" s="39"/>
      <c r="AN628" s="39">
        <f t="shared" si="703"/>
        <v>0</v>
      </c>
      <c r="AO628" s="39"/>
      <c r="AP628" s="39"/>
      <c r="AQ628" s="39"/>
      <c r="AR628" s="39"/>
      <c r="AS628" s="39"/>
      <c r="AT628" s="39">
        <f t="shared" si="743"/>
        <v>0</v>
      </c>
      <c r="AU628" s="39"/>
      <c r="AV628" s="39"/>
      <c r="AW628" s="39"/>
      <c r="AX628" s="39"/>
      <c r="AY628" s="39"/>
      <c r="AZ628" s="39">
        <f t="shared" si="744"/>
        <v>0</v>
      </c>
      <c r="BA628" s="39"/>
      <c r="BB628" s="39"/>
      <c r="BC628" s="39"/>
      <c r="BD628" s="39"/>
      <c r="BE628" s="39"/>
      <c r="BF628" s="39">
        <f t="shared" si="745"/>
        <v>0</v>
      </c>
      <c r="BG628" s="39"/>
      <c r="BH628" s="39"/>
      <c r="BI628" s="39"/>
      <c r="BJ628" s="39"/>
      <c r="BK628" s="39"/>
      <c r="BL628" s="39">
        <f t="shared" si="667"/>
        <v>0</v>
      </c>
      <c r="BM628" s="54" t="e">
        <f t="shared" si="746"/>
        <v>#DIV/0!</v>
      </c>
      <c r="BN628" s="42"/>
      <c r="BO628" s="39"/>
      <c r="BP628" s="39"/>
      <c r="BQ628" s="39"/>
      <c r="BR628" s="40"/>
      <c r="BS628" s="40"/>
      <c r="BT628" s="39"/>
      <c r="BU628" s="39"/>
      <c r="BV628" s="39"/>
      <c r="BW628" s="39"/>
      <c r="BX628" s="39"/>
      <c r="BY628" s="39"/>
      <c r="BZ628" s="39">
        <f t="shared" si="668"/>
        <v>0</v>
      </c>
      <c r="CA628" s="39">
        <f t="shared" si="747"/>
        <v>0</v>
      </c>
      <c r="CB628" s="39">
        <f t="shared" si="748"/>
        <v>0</v>
      </c>
      <c r="CC628" s="39">
        <f t="shared" si="749"/>
        <v>0</v>
      </c>
      <c r="CD628" s="39">
        <f t="shared" si="750"/>
        <v>0</v>
      </c>
      <c r="CE628" s="47" t="e">
        <f t="shared" si="751"/>
        <v>#DIV/0!</v>
      </c>
      <c r="CF628" s="36"/>
      <c r="CG628" s="39"/>
      <c r="CH628" s="39"/>
      <c r="CI628" s="25">
        <v>1</v>
      </c>
    </row>
    <row r="629" spans="1:87" ht="24.75" customHeight="1">
      <c r="A629" s="36" t="s">
        <v>494</v>
      </c>
      <c r="B629" s="55"/>
      <c r="C629" s="36"/>
      <c r="D629" s="36"/>
      <c r="E629" s="39"/>
      <c r="F629" s="39"/>
      <c r="G629" s="36"/>
      <c r="H629" s="36"/>
      <c r="I629" s="39"/>
      <c r="J629" s="39"/>
      <c r="K629" s="39"/>
      <c r="L629" s="39">
        <f>SUM(I629:K629)</f>
        <v>0</v>
      </c>
      <c r="M629" s="39"/>
      <c r="N629" s="39"/>
      <c r="O629" s="39"/>
      <c r="P629" s="39"/>
      <c r="Q629" s="39"/>
      <c r="R629" s="39">
        <f>SUM(O629:Q629)</f>
        <v>0</v>
      </c>
      <c r="S629" s="39"/>
      <c r="T629" s="39"/>
      <c r="U629" s="39"/>
      <c r="V629" s="39"/>
      <c r="W629" s="39"/>
      <c r="X629" s="39"/>
      <c r="Y629" s="39"/>
      <c r="Z629" s="39"/>
      <c r="AA629" s="39"/>
      <c r="AB629" s="39">
        <f>SUM(Y629:AA629)</f>
        <v>0</v>
      </c>
      <c r="AC629" s="39"/>
      <c r="AD629" s="39"/>
      <c r="AE629" s="39"/>
      <c r="AF629" s="39"/>
      <c r="AG629" s="39"/>
      <c r="AH629" s="39">
        <f t="shared" si="666"/>
        <v>0</v>
      </c>
      <c r="AI629" s="39"/>
      <c r="AJ629" s="39"/>
      <c r="AK629" s="39"/>
      <c r="AL629" s="39"/>
      <c r="AM629" s="39"/>
      <c r="AN629" s="39">
        <f t="shared" si="703"/>
        <v>0</v>
      </c>
      <c r="AO629" s="39"/>
      <c r="AP629" s="39"/>
      <c r="AQ629" s="39"/>
      <c r="AR629" s="39"/>
      <c r="AS629" s="39"/>
      <c r="AT629" s="39">
        <f t="shared" si="743"/>
        <v>0</v>
      </c>
      <c r="AU629" s="39"/>
      <c r="AV629" s="39"/>
      <c r="AW629" s="39"/>
      <c r="AX629" s="39"/>
      <c r="AY629" s="39"/>
      <c r="AZ629" s="39">
        <f t="shared" si="744"/>
        <v>0</v>
      </c>
      <c r="BA629" s="39"/>
      <c r="BB629" s="39"/>
      <c r="BC629" s="39"/>
      <c r="BD629" s="39"/>
      <c r="BE629" s="39"/>
      <c r="BF629" s="39">
        <f t="shared" si="745"/>
        <v>0</v>
      </c>
      <c r="BG629" s="39"/>
      <c r="BH629" s="39"/>
      <c r="BI629" s="39"/>
      <c r="BJ629" s="39"/>
      <c r="BK629" s="39"/>
      <c r="BL629" s="39">
        <f t="shared" si="667"/>
        <v>0</v>
      </c>
      <c r="BM629" s="54" t="e">
        <f t="shared" si="746"/>
        <v>#DIV/0!</v>
      </c>
      <c r="BN629" s="42"/>
      <c r="BO629" s="39"/>
      <c r="BP629" s="39"/>
      <c r="BQ629" s="39"/>
      <c r="BR629" s="40"/>
      <c r="BS629" s="40"/>
      <c r="BT629" s="39"/>
      <c r="BU629" s="39"/>
      <c r="BV629" s="39"/>
      <c r="BW629" s="39"/>
      <c r="BX629" s="39"/>
      <c r="BY629" s="39"/>
      <c r="BZ629" s="39">
        <f t="shared" si="668"/>
        <v>0</v>
      </c>
      <c r="CA629" s="39">
        <f t="shared" si="747"/>
        <v>0</v>
      </c>
      <c r="CB629" s="39">
        <f t="shared" si="748"/>
        <v>0</v>
      </c>
      <c r="CC629" s="39">
        <f t="shared" si="749"/>
        <v>0</v>
      </c>
      <c r="CD629" s="39">
        <f t="shared" si="750"/>
        <v>0</v>
      </c>
      <c r="CE629" s="47" t="e">
        <f t="shared" si="751"/>
        <v>#DIV/0!</v>
      </c>
      <c r="CF629" s="36"/>
      <c r="CG629" s="39"/>
      <c r="CH629" s="39"/>
      <c r="CI629" s="25">
        <v>1</v>
      </c>
    </row>
    <row r="630" spans="1:87" ht="24.75" customHeight="1">
      <c r="A630" s="36" t="s">
        <v>494</v>
      </c>
      <c r="B630" s="55"/>
      <c r="C630" s="36"/>
      <c r="D630" s="36"/>
      <c r="E630" s="39"/>
      <c r="F630" s="39"/>
      <c r="G630" s="36"/>
      <c r="H630" s="36"/>
      <c r="I630" s="39"/>
      <c r="J630" s="39"/>
      <c r="K630" s="39"/>
      <c r="L630" s="39">
        <f>SUM(I630:K630)</f>
        <v>0</v>
      </c>
      <c r="M630" s="39"/>
      <c r="N630" s="39"/>
      <c r="O630" s="39"/>
      <c r="P630" s="39"/>
      <c r="Q630" s="39"/>
      <c r="R630" s="39">
        <f>SUM(O630:Q630)</f>
        <v>0</v>
      </c>
      <c r="S630" s="39"/>
      <c r="T630" s="39"/>
      <c r="U630" s="39"/>
      <c r="V630" s="39"/>
      <c r="W630" s="39"/>
      <c r="X630" s="39"/>
      <c r="Y630" s="39"/>
      <c r="Z630" s="39"/>
      <c r="AA630" s="39"/>
      <c r="AB630" s="39">
        <f>SUM(Y630:AA630)</f>
        <v>0</v>
      </c>
      <c r="AC630" s="39"/>
      <c r="AD630" s="39"/>
      <c r="AE630" s="39"/>
      <c r="AF630" s="39"/>
      <c r="AG630" s="39"/>
      <c r="AH630" s="39">
        <f t="shared" si="666"/>
        <v>0</v>
      </c>
      <c r="AI630" s="39"/>
      <c r="AJ630" s="39"/>
      <c r="AK630" s="39"/>
      <c r="AL630" s="39"/>
      <c r="AM630" s="39"/>
      <c r="AN630" s="39">
        <f t="shared" si="703"/>
        <v>0</v>
      </c>
      <c r="AO630" s="39"/>
      <c r="AP630" s="39"/>
      <c r="AQ630" s="39"/>
      <c r="AR630" s="39"/>
      <c r="AS630" s="39"/>
      <c r="AT630" s="39">
        <f t="shared" si="743"/>
        <v>0</v>
      </c>
      <c r="AU630" s="39"/>
      <c r="AV630" s="39"/>
      <c r="AW630" s="39"/>
      <c r="AX630" s="39"/>
      <c r="AY630" s="39"/>
      <c r="AZ630" s="39">
        <f t="shared" si="744"/>
        <v>0</v>
      </c>
      <c r="BA630" s="39"/>
      <c r="BB630" s="39"/>
      <c r="BC630" s="39"/>
      <c r="BD630" s="39"/>
      <c r="BE630" s="39"/>
      <c r="BF630" s="39">
        <f t="shared" si="745"/>
        <v>0</v>
      </c>
      <c r="BG630" s="39"/>
      <c r="BH630" s="39"/>
      <c r="BI630" s="39"/>
      <c r="BJ630" s="39"/>
      <c r="BK630" s="39"/>
      <c r="BL630" s="39">
        <f t="shared" si="667"/>
        <v>0</v>
      </c>
      <c r="BM630" s="54" t="e">
        <f t="shared" si="746"/>
        <v>#DIV/0!</v>
      </c>
      <c r="BN630" s="42"/>
      <c r="BO630" s="39"/>
      <c r="BP630" s="39"/>
      <c r="BQ630" s="39"/>
      <c r="BR630" s="40"/>
      <c r="BS630" s="40"/>
      <c r="BT630" s="39"/>
      <c r="BU630" s="39"/>
      <c r="BV630" s="39"/>
      <c r="BW630" s="39"/>
      <c r="BX630" s="39"/>
      <c r="BY630" s="39"/>
      <c r="BZ630" s="39">
        <f t="shared" si="668"/>
        <v>0</v>
      </c>
      <c r="CA630" s="39">
        <f t="shared" si="747"/>
        <v>0</v>
      </c>
      <c r="CB630" s="39">
        <f t="shared" si="748"/>
        <v>0</v>
      </c>
      <c r="CC630" s="39">
        <f t="shared" si="749"/>
        <v>0</v>
      </c>
      <c r="CD630" s="39">
        <f t="shared" si="750"/>
        <v>0</v>
      </c>
      <c r="CE630" s="47" t="e">
        <f t="shared" si="751"/>
        <v>#DIV/0!</v>
      </c>
      <c r="CF630" s="36"/>
      <c r="CG630" s="39"/>
      <c r="CH630" s="39"/>
      <c r="CI630" s="25">
        <v>1</v>
      </c>
    </row>
    <row r="631" spans="1:87" ht="24.75" customHeight="1">
      <c r="A631" s="36" t="s">
        <v>494</v>
      </c>
      <c r="B631" s="55"/>
      <c r="C631" s="36"/>
      <c r="D631" s="36"/>
      <c r="E631" s="39"/>
      <c r="F631" s="39"/>
      <c r="G631" s="36"/>
      <c r="H631" s="36"/>
      <c r="I631" s="39"/>
      <c r="J631" s="39"/>
      <c r="K631" s="39"/>
      <c r="L631" s="39">
        <f>SUM(I631:K631)</f>
        <v>0</v>
      </c>
      <c r="M631" s="39"/>
      <c r="N631" s="39"/>
      <c r="O631" s="39"/>
      <c r="P631" s="39"/>
      <c r="Q631" s="39"/>
      <c r="R631" s="39">
        <f>SUM(O631:Q631)</f>
        <v>0</v>
      </c>
      <c r="S631" s="39"/>
      <c r="T631" s="39"/>
      <c r="U631" s="39"/>
      <c r="V631" s="39"/>
      <c r="W631" s="39"/>
      <c r="X631" s="39"/>
      <c r="Y631" s="39"/>
      <c r="Z631" s="39"/>
      <c r="AA631" s="39"/>
      <c r="AB631" s="39">
        <f>SUM(Y631:AA631)</f>
        <v>0</v>
      </c>
      <c r="AC631" s="39"/>
      <c r="AD631" s="39"/>
      <c r="AE631" s="39"/>
      <c r="AF631" s="39"/>
      <c r="AG631" s="39"/>
      <c r="AH631" s="39">
        <f t="shared" si="666"/>
        <v>0</v>
      </c>
      <c r="AI631" s="39"/>
      <c r="AJ631" s="39"/>
      <c r="AK631" s="39"/>
      <c r="AL631" s="39"/>
      <c r="AM631" s="39"/>
      <c r="AN631" s="39">
        <f t="shared" si="703"/>
        <v>0</v>
      </c>
      <c r="AO631" s="39"/>
      <c r="AP631" s="39"/>
      <c r="AQ631" s="39"/>
      <c r="AR631" s="39"/>
      <c r="AS631" s="39"/>
      <c r="AT631" s="39">
        <f t="shared" si="743"/>
        <v>0</v>
      </c>
      <c r="AU631" s="39"/>
      <c r="AV631" s="39"/>
      <c r="AW631" s="39"/>
      <c r="AX631" s="39"/>
      <c r="AY631" s="39"/>
      <c r="AZ631" s="39">
        <f t="shared" si="744"/>
        <v>0</v>
      </c>
      <c r="BA631" s="39"/>
      <c r="BB631" s="39"/>
      <c r="BC631" s="39"/>
      <c r="BD631" s="39"/>
      <c r="BE631" s="39"/>
      <c r="BF631" s="39">
        <f t="shared" si="745"/>
        <v>0</v>
      </c>
      <c r="BG631" s="39"/>
      <c r="BH631" s="39"/>
      <c r="BI631" s="39"/>
      <c r="BJ631" s="39"/>
      <c r="BK631" s="39"/>
      <c r="BL631" s="39">
        <f t="shared" si="667"/>
        <v>0</v>
      </c>
      <c r="BM631" s="54" t="e">
        <f t="shared" si="746"/>
        <v>#DIV/0!</v>
      </c>
      <c r="BN631" s="42"/>
      <c r="BO631" s="39"/>
      <c r="BP631" s="39"/>
      <c r="BQ631" s="39"/>
      <c r="BR631" s="40"/>
      <c r="BS631" s="40"/>
      <c r="BT631" s="39"/>
      <c r="BU631" s="39"/>
      <c r="BV631" s="39"/>
      <c r="BW631" s="39"/>
      <c r="BX631" s="39"/>
      <c r="BY631" s="39"/>
      <c r="BZ631" s="39">
        <f t="shared" si="668"/>
        <v>0</v>
      </c>
      <c r="CA631" s="39">
        <f t="shared" si="747"/>
        <v>0</v>
      </c>
      <c r="CB631" s="39">
        <f t="shared" si="748"/>
        <v>0</v>
      </c>
      <c r="CC631" s="39">
        <f t="shared" si="749"/>
        <v>0</v>
      </c>
      <c r="CD631" s="39">
        <f t="shared" si="750"/>
        <v>0</v>
      </c>
      <c r="CE631" s="47" t="e">
        <f t="shared" si="751"/>
        <v>#DIV/0!</v>
      </c>
      <c r="CF631" s="36"/>
      <c r="CG631" s="39"/>
      <c r="CH631" s="39"/>
      <c r="CI631" s="25">
        <v>1</v>
      </c>
    </row>
    <row r="632" spans="1:87" ht="24.75" customHeight="1">
      <c r="A632" s="36" t="s">
        <v>494</v>
      </c>
      <c r="B632" s="55"/>
      <c r="C632" s="36"/>
      <c r="D632" s="36"/>
      <c r="E632" s="39"/>
      <c r="F632" s="39"/>
      <c r="G632" s="36"/>
      <c r="H632" s="36"/>
      <c r="I632" s="39"/>
      <c r="J632" s="39"/>
      <c r="K632" s="39"/>
      <c r="L632" s="39">
        <f t="shared" ref="L632:L633" si="752">SUM(I632:K632)</f>
        <v>0</v>
      </c>
      <c r="M632" s="39"/>
      <c r="N632" s="39"/>
      <c r="O632" s="39"/>
      <c r="P632" s="39"/>
      <c r="Q632" s="39"/>
      <c r="R632" s="39">
        <f t="shared" ref="R632:R633" si="753">SUM(O632:Q632)</f>
        <v>0</v>
      </c>
      <c r="S632" s="39"/>
      <c r="T632" s="39"/>
      <c r="U632" s="39"/>
      <c r="V632" s="39"/>
      <c r="W632" s="39"/>
      <c r="X632" s="39"/>
      <c r="Y632" s="39"/>
      <c r="Z632" s="39"/>
      <c r="AA632" s="39"/>
      <c r="AB632" s="39">
        <f t="shared" ref="AB632:AB633" si="754">SUM(Y632:AA632)</f>
        <v>0</v>
      </c>
      <c r="AC632" s="39"/>
      <c r="AD632" s="39"/>
      <c r="AE632" s="39"/>
      <c r="AF632" s="39"/>
      <c r="AG632" s="39"/>
      <c r="AH632" s="39">
        <f t="shared" si="666"/>
        <v>0</v>
      </c>
      <c r="AI632" s="39"/>
      <c r="AJ632" s="39"/>
      <c r="AK632" s="39"/>
      <c r="AL632" s="39"/>
      <c r="AM632" s="39"/>
      <c r="AN632" s="39">
        <f t="shared" si="703"/>
        <v>0</v>
      </c>
      <c r="AO632" s="39"/>
      <c r="AP632" s="39"/>
      <c r="AQ632" s="39"/>
      <c r="AR632" s="39"/>
      <c r="AS632" s="39"/>
      <c r="AT632" s="39">
        <f t="shared" si="743"/>
        <v>0</v>
      </c>
      <c r="AU632" s="39"/>
      <c r="AV632" s="39"/>
      <c r="AW632" s="39"/>
      <c r="AX632" s="39"/>
      <c r="AY632" s="39"/>
      <c r="AZ632" s="39">
        <f t="shared" si="744"/>
        <v>0</v>
      </c>
      <c r="BA632" s="39"/>
      <c r="BB632" s="39"/>
      <c r="BC632" s="39"/>
      <c r="BD632" s="39"/>
      <c r="BE632" s="39"/>
      <c r="BF632" s="39">
        <f t="shared" si="745"/>
        <v>0</v>
      </c>
      <c r="BG632" s="39"/>
      <c r="BH632" s="39"/>
      <c r="BI632" s="39"/>
      <c r="BJ632" s="39"/>
      <c r="BK632" s="39"/>
      <c r="BL632" s="39">
        <f t="shared" si="667"/>
        <v>0</v>
      </c>
      <c r="BM632" s="54" t="e">
        <f t="shared" si="746"/>
        <v>#DIV/0!</v>
      </c>
      <c r="BN632" s="67"/>
      <c r="BO632" s="39"/>
      <c r="BP632" s="39"/>
      <c r="BQ632" s="39"/>
      <c r="BR632" s="40"/>
      <c r="BS632" s="40"/>
      <c r="BT632" s="39"/>
      <c r="BU632" s="39"/>
      <c r="BV632" s="39"/>
      <c r="BW632" s="39"/>
      <c r="BX632" s="39"/>
      <c r="BY632" s="39"/>
      <c r="BZ632" s="39">
        <f t="shared" si="668"/>
        <v>0</v>
      </c>
      <c r="CA632" s="39">
        <f t="shared" si="747"/>
        <v>0</v>
      </c>
      <c r="CB632" s="39">
        <f t="shared" si="748"/>
        <v>0</v>
      </c>
      <c r="CC632" s="39">
        <f t="shared" si="749"/>
        <v>0</v>
      </c>
      <c r="CD632" s="39">
        <f t="shared" si="750"/>
        <v>0</v>
      </c>
      <c r="CE632" s="47" t="e">
        <f t="shared" si="751"/>
        <v>#DIV/0!</v>
      </c>
      <c r="CF632" s="36"/>
      <c r="CG632" s="39"/>
      <c r="CH632" s="39"/>
      <c r="CI632" s="25">
        <v>2</v>
      </c>
    </row>
    <row r="633" spans="1:87" ht="24.75" customHeight="1">
      <c r="A633" s="36" t="s">
        <v>494</v>
      </c>
      <c r="B633" s="55"/>
      <c r="C633" s="36"/>
      <c r="D633" s="36"/>
      <c r="E633" s="39"/>
      <c r="F633" s="39"/>
      <c r="G633" s="36"/>
      <c r="H633" s="36"/>
      <c r="I633" s="39"/>
      <c r="J633" s="39"/>
      <c r="K633" s="39"/>
      <c r="L633" s="39">
        <f t="shared" si="752"/>
        <v>0</v>
      </c>
      <c r="M633" s="39"/>
      <c r="N633" s="39"/>
      <c r="O633" s="39"/>
      <c r="P633" s="39"/>
      <c r="Q633" s="39"/>
      <c r="R633" s="39">
        <f t="shared" si="753"/>
        <v>0</v>
      </c>
      <c r="S633" s="39"/>
      <c r="T633" s="39"/>
      <c r="U633" s="39"/>
      <c r="V633" s="39"/>
      <c r="W633" s="39"/>
      <c r="X633" s="39"/>
      <c r="Y633" s="39"/>
      <c r="Z633" s="39"/>
      <c r="AA633" s="39"/>
      <c r="AB633" s="39">
        <f t="shared" si="754"/>
        <v>0</v>
      </c>
      <c r="AC633" s="39"/>
      <c r="AD633" s="39"/>
      <c r="AE633" s="39"/>
      <c r="AF633" s="39"/>
      <c r="AG633" s="39"/>
      <c r="AH633" s="39">
        <f t="shared" si="666"/>
        <v>0</v>
      </c>
      <c r="AI633" s="39"/>
      <c r="AJ633" s="39"/>
      <c r="AK633" s="39"/>
      <c r="AL633" s="39"/>
      <c r="AM633" s="39"/>
      <c r="AN633" s="39">
        <f t="shared" si="703"/>
        <v>0</v>
      </c>
      <c r="AO633" s="39"/>
      <c r="AP633" s="39"/>
      <c r="AQ633" s="39"/>
      <c r="AR633" s="39"/>
      <c r="AS633" s="39"/>
      <c r="AT633" s="39">
        <f t="shared" si="743"/>
        <v>0</v>
      </c>
      <c r="AU633" s="39"/>
      <c r="AV633" s="39"/>
      <c r="AW633" s="39"/>
      <c r="AX633" s="39"/>
      <c r="AY633" s="39"/>
      <c r="AZ633" s="39">
        <f t="shared" si="744"/>
        <v>0</v>
      </c>
      <c r="BA633" s="39"/>
      <c r="BB633" s="39"/>
      <c r="BC633" s="39"/>
      <c r="BD633" s="39"/>
      <c r="BE633" s="39"/>
      <c r="BF633" s="39">
        <f t="shared" si="745"/>
        <v>0</v>
      </c>
      <c r="BG633" s="39"/>
      <c r="BH633" s="39"/>
      <c r="BI633" s="39"/>
      <c r="BJ633" s="39"/>
      <c r="BK633" s="39"/>
      <c r="BL633" s="39">
        <f t="shared" si="667"/>
        <v>0</v>
      </c>
      <c r="BM633" s="54" t="e">
        <f t="shared" si="746"/>
        <v>#DIV/0!</v>
      </c>
      <c r="BN633" s="67"/>
      <c r="BO633" s="39"/>
      <c r="BP633" s="39"/>
      <c r="BQ633" s="39"/>
      <c r="BR633" s="40"/>
      <c r="BS633" s="40"/>
      <c r="BT633" s="39"/>
      <c r="BU633" s="39"/>
      <c r="BV633" s="39"/>
      <c r="BW633" s="39"/>
      <c r="BX633" s="39"/>
      <c r="BY633" s="39"/>
      <c r="BZ633" s="39">
        <f t="shared" si="668"/>
        <v>0</v>
      </c>
      <c r="CA633" s="39">
        <f t="shared" si="747"/>
        <v>0</v>
      </c>
      <c r="CB633" s="39">
        <f t="shared" si="748"/>
        <v>0</v>
      </c>
      <c r="CC633" s="39">
        <f t="shared" si="749"/>
        <v>0</v>
      </c>
      <c r="CD633" s="39">
        <f t="shared" si="750"/>
        <v>0</v>
      </c>
      <c r="CE633" s="47" t="e">
        <f t="shared" si="751"/>
        <v>#DIV/0!</v>
      </c>
      <c r="CF633" s="36"/>
      <c r="CG633" s="39"/>
      <c r="CH633" s="39"/>
      <c r="CI633" s="25">
        <v>2</v>
      </c>
    </row>
    <row r="634" spans="1:87" ht="24.75" customHeight="1">
      <c r="A634" s="36" t="s">
        <v>494</v>
      </c>
      <c r="B634" s="55"/>
      <c r="C634" s="36"/>
      <c r="D634" s="36"/>
      <c r="E634" s="39"/>
      <c r="F634" s="39"/>
      <c r="G634" s="36"/>
      <c r="H634" s="36"/>
      <c r="I634" s="39"/>
      <c r="J634" s="39"/>
      <c r="K634" s="39"/>
      <c r="L634" s="39">
        <f>SUM(I634:K634)</f>
        <v>0</v>
      </c>
      <c r="M634" s="39"/>
      <c r="N634" s="39"/>
      <c r="O634" s="39"/>
      <c r="P634" s="39"/>
      <c r="Q634" s="39"/>
      <c r="R634" s="39">
        <f>SUM(O634:Q634)</f>
        <v>0</v>
      </c>
      <c r="S634" s="39"/>
      <c r="T634" s="39"/>
      <c r="U634" s="39"/>
      <c r="V634" s="39"/>
      <c r="W634" s="39"/>
      <c r="X634" s="39"/>
      <c r="Y634" s="39"/>
      <c r="Z634" s="39"/>
      <c r="AA634" s="39"/>
      <c r="AB634" s="39">
        <f>SUM(Y634:AA634)</f>
        <v>0</v>
      </c>
      <c r="AC634" s="39"/>
      <c r="AD634" s="39"/>
      <c r="AE634" s="39"/>
      <c r="AF634" s="39"/>
      <c r="AG634" s="39"/>
      <c r="AH634" s="39">
        <f t="shared" si="666"/>
        <v>0</v>
      </c>
      <c r="AI634" s="39"/>
      <c r="AJ634" s="39"/>
      <c r="AK634" s="39"/>
      <c r="AL634" s="39"/>
      <c r="AM634" s="39"/>
      <c r="AN634" s="39">
        <f t="shared" si="703"/>
        <v>0</v>
      </c>
      <c r="AO634" s="39"/>
      <c r="AP634" s="39"/>
      <c r="AQ634" s="39"/>
      <c r="AR634" s="39"/>
      <c r="AS634" s="39"/>
      <c r="AT634" s="39">
        <f t="shared" si="743"/>
        <v>0</v>
      </c>
      <c r="AU634" s="39"/>
      <c r="AV634" s="39"/>
      <c r="AW634" s="39"/>
      <c r="AX634" s="39"/>
      <c r="AY634" s="39"/>
      <c r="AZ634" s="39">
        <f t="shared" si="744"/>
        <v>0</v>
      </c>
      <c r="BA634" s="39"/>
      <c r="BB634" s="39"/>
      <c r="BC634" s="39"/>
      <c r="BD634" s="39"/>
      <c r="BE634" s="39"/>
      <c r="BF634" s="39">
        <f t="shared" si="745"/>
        <v>0</v>
      </c>
      <c r="BG634" s="39"/>
      <c r="BH634" s="39"/>
      <c r="BI634" s="39"/>
      <c r="BJ634" s="39"/>
      <c r="BK634" s="39"/>
      <c r="BL634" s="39">
        <f t="shared" si="667"/>
        <v>0</v>
      </c>
      <c r="BM634" s="54" t="e">
        <f t="shared" si="746"/>
        <v>#DIV/0!</v>
      </c>
      <c r="BN634" s="67"/>
      <c r="BO634" s="39"/>
      <c r="BP634" s="39"/>
      <c r="BQ634" s="39"/>
      <c r="BR634" s="40"/>
      <c r="BS634" s="40"/>
      <c r="BT634" s="39"/>
      <c r="BU634" s="39"/>
      <c r="BV634" s="39"/>
      <c r="BW634" s="39"/>
      <c r="BX634" s="39"/>
      <c r="BY634" s="39"/>
      <c r="BZ634" s="39">
        <f t="shared" si="668"/>
        <v>0</v>
      </c>
      <c r="CA634" s="39">
        <f t="shared" si="747"/>
        <v>0</v>
      </c>
      <c r="CB634" s="39">
        <f t="shared" si="748"/>
        <v>0</v>
      </c>
      <c r="CC634" s="39">
        <f t="shared" si="749"/>
        <v>0</v>
      </c>
      <c r="CD634" s="39">
        <f t="shared" si="750"/>
        <v>0</v>
      </c>
      <c r="CE634" s="47" t="e">
        <f t="shared" si="751"/>
        <v>#DIV/0!</v>
      </c>
      <c r="CF634" s="36"/>
      <c r="CG634" s="39"/>
      <c r="CH634" s="39"/>
      <c r="CI634" s="25">
        <v>2</v>
      </c>
    </row>
    <row r="635" spans="1:87" ht="24.75" customHeight="1">
      <c r="A635" s="36" t="s">
        <v>494</v>
      </c>
      <c r="B635" s="55"/>
      <c r="C635" s="36"/>
      <c r="D635" s="36"/>
      <c r="E635" s="39"/>
      <c r="F635" s="39"/>
      <c r="G635" s="36"/>
      <c r="H635" s="36"/>
      <c r="I635" s="39"/>
      <c r="J635" s="39"/>
      <c r="K635" s="39"/>
      <c r="L635" s="39">
        <f>SUM(I635:K635)</f>
        <v>0</v>
      </c>
      <c r="M635" s="39"/>
      <c r="N635" s="39"/>
      <c r="O635" s="39"/>
      <c r="P635" s="39"/>
      <c r="Q635" s="39"/>
      <c r="R635" s="39">
        <f>SUM(O635:Q635)</f>
        <v>0</v>
      </c>
      <c r="S635" s="39"/>
      <c r="T635" s="39"/>
      <c r="U635" s="39"/>
      <c r="V635" s="39"/>
      <c r="W635" s="39"/>
      <c r="X635" s="39"/>
      <c r="Y635" s="39"/>
      <c r="Z635" s="39"/>
      <c r="AA635" s="39"/>
      <c r="AB635" s="39">
        <f>SUM(Y635:AA635)</f>
        <v>0</v>
      </c>
      <c r="AC635" s="39"/>
      <c r="AD635" s="39"/>
      <c r="AE635" s="39"/>
      <c r="AF635" s="39"/>
      <c r="AG635" s="39"/>
      <c r="AH635" s="39">
        <f t="shared" si="666"/>
        <v>0</v>
      </c>
      <c r="AI635" s="39"/>
      <c r="AJ635" s="39"/>
      <c r="AK635" s="39"/>
      <c r="AL635" s="39"/>
      <c r="AM635" s="39"/>
      <c r="AN635" s="39">
        <f t="shared" si="703"/>
        <v>0</v>
      </c>
      <c r="AO635" s="39"/>
      <c r="AP635" s="39"/>
      <c r="AQ635" s="39"/>
      <c r="AR635" s="39"/>
      <c r="AS635" s="39"/>
      <c r="AT635" s="39">
        <f t="shared" si="743"/>
        <v>0</v>
      </c>
      <c r="AU635" s="39"/>
      <c r="AV635" s="39"/>
      <c r="AW635" s="39"/>
      <c r="AX635" s="39"/>
      <c r="AY635" s="39"/>
      <c r="AZ635" s="39">
        <f t="shared" si="744"/>
        <v>0</v>
      </c>
      <c r="BA635" s="39"/>
      <c r="BB635" s="39"/>
      <c r="BC635" s="39"/>
      <c r="BD635" s="39"/>
      <c r="BE635" s="39"/>
      <c r="BF635" s="39">
        <f t="shared" si="745"/>
        <v>0</v>
      </c>
      <c r="BG635" s="39"/>
      <c r="BH635" s="39"/>
      <c r="BI635" s="39"/>
      <c r="BJ635" s="39"/>
      <c r="BK635" s="39"/>
      <c r="BL635" s="39">
        <f t="shared" si="667"/>
        <v>0</v>
      </c>
      <c r="BM635" s="54" t="e">
        <f t="shared" si="746"/>
        <v>#DIV/0!</v>
      </c>
      <c r="BN635" s="67"/>
      <c r="BO635" s="39"/>
      <c r="BP635" s="39"/>
      <c r="BQ635" s="39"/>
      <c r="BR635" s="40"/>
      <c r="BS635" s="40"/>
      <c r="BT635" s="39"/>
      <c r="BU635" s="39"/>
      <c r="BV635" s="39"/>
      <c r="BW635" s="39"/>
      <c r="BX635" s="39"/>
      <c r="BY635" s="39"/>
      <c r="BZ635" s="39">
        <f t="shared" si="668"/>
        <v>0</v>
      </c>
      <c r="CA635" s="39">
        <f t="shared" si="747"/>
        <v>0</v>
      </c>
      <c r="CB635" s="39">
        <f t="shared" si="748"/>
        <v>0</v>
      </c>
      <c r="CC635" s="39">
        <f t="shared" si="749"/>
        <v>0</v>
      </c>
      <c r="CD635" s="39">
        <f t="shared" si="750"/>
        <v>0</v>
      </c>
      <c r="CE635" s="47" t="e">
        <f t="shared" si="751"/>
        <v>#DIV/0!</v>
      </c>
      <c r="CF635" s="36"/>
      <c r="CG635" s="39"/>
      <c r="CH635" s="39"/>
      <c r="CI635" s="25">
        <v>2</v>
      </c>
    </row>
    <row r="636" spans="1:87" ht="24.75" customHeight="1">
      <c r="A636" s="36" t="s">
        <v>494</v>
      </c>
      <c r="B636" s="55"/>
      <c r="C636" s="36"/>
      <c r="D636" s="36"/>
      <c r="E636" s="39"/>
      <c r="F636" s="39"/>
      <c r="G636" s="36"/>
      <c r="H636" s="36"/>
      <c r="I636" s="39"/>
      <c r="J636" s="39"/>
      <c r="K636" s="39"/>
      <c r="L636" s="39">
        <f>SUM(I636:K636)</f>
        <v>0</v>
      </c>
      <c r="M636" s="39"/>
      <c r="N636" s="39"/>
      <c r="O636" s="39"/>
      <c r="P636" s="39"/>
      <c r="Q636" s="39"/>
      <c r="R636" s="39">
        <f>SUM(O636:Q636)</f>
        <v>0</v>
      </c>
      <c r="S636" s="39"/>
      <c r="T636" s="39"/>
      <c r="U636" s="39"/>
      <c r="V636" s="39"/>
      <c r="W636" s="39"/>
      <c r="X636" s="39"/>
      <c r="Y636" s="39"/>
      <c r="Z636" s="39"/>
      <c r="AA636" s="39"/>
      <c r="AB636" s="39">
        <f>SUM(Y636:AA636)</f>
        <v>0</v>
      </c>
      <c r="AC636" s="39"/>
      <c r="AD636" s="39"/>
      <c r="AE636" s="39"/>
      <c r="AF636" s="39"/>
      <c r="AG636" s="39"/>
      <c r="AH636" s="39">
        <f t="shared" si="666"/>
        <v>0</v>
      </c>
      <c r="AI636" s="39"/>
      <c r="AJ636" s="39"/>
      <c r="AK636" s="39"/>
      <c r="AL636" s="39"/>
      <c r="AM636" s="39"/>
      <c r="AN636" s="39">
        <f t="shared" si="703"/>
        <v>0</v>
      </c>
      <c r="AO636" s="39"/>
      <c r="AP636" s="39"/>
      <c r="AQ636" s="39"/>
      <c r="AR636" s="39"/>
      <c r="AS636" s="39"/>
      <c r="AT636" s="39">
        <f t="shared" si="743"/>
        <v>0</v>
      </c>
      <c r="AU636" s="39"/>
      <c r="AV636" s="39"/>
      <c r="AW636" s="39"/>
      <c r="AX636" s="39"/>
      <c r="AY636" s="39"/>
      <c r="AZ636" s="39">
        <f t="shared" si="744"/>
        <v>0</v>
      </c>
      <c r="BA636" s="39"/>
      <c r="BB636" s="39"/>
      <c r="BC636" s="39"/>
      <c r="BD636" s="39"/>
      <c r="BE636" s="39"/>
      <c r="BF636" s="39">
        <f t="shared" si="745"/>
        <v>0</v>
      </c>
      <c r="BG636" s="39"/>
      <c r="BH636" s="39"/>
      <c r="BI636" s="39"/>
      <c r="BJ636" s="39"/>
      <c r="BK636" s="39"/>
      <c r="BL636" s="39">
        <f t="shared" si="667"/>
        <v>0</v>
      </c>
      <c r="BM636" s="54" t="e">
        <f t="shared" si="746"/>
        <v>#DIV/0!</v>
      </c>
      <c r="BN636" s="67"/>
      <c r="BO636" s="39"/>
      <c r="BP636" s="39"/>
      <c r="BQ636" s="39"/>
      <c r="BR636" s="40"/>
      <c r="BS636" s="40"/>
      <c r="BT636" s="39"/>
      <c r="BU636" s="39"/>
      <c r="BV636" s="39"/>
      <c r="BW636" s="39"/>
      <c r="BX636" s="39"/>
      <c r="BY636" s="39"/>
      <c r="BZ636" s="39">
        <f t="shared" si="668"/>
        <v>0</v>
      </c>
      <c r="CA636" s="39">
        <f t="shared" si="747"/>
        <v>0</v>
      </c>
      <c r="CB636" s="39">
        <f t="shared" si="748"/>
        <v>0</v>
      </c>
      <c r="CC636" s="39">
        <f t="shared" si="749"/>
        <v>0</v>
      </c>
      <c r="CD636" s="39">
        <f t="shared" si="750"/>
        <v>0</v>
      </c>
      <c r="CE636" s="47" t="e">
        <f t="shared" si="751"/>
        <v>#DIV/0!</v>
      </c>
      <c r="CF636" s="36"/>
      <c r="CG636" s="39"/>
      <c r="CH636" s="39"/>
      <c r="CI636" s="25">
        <v>2</v>
      </c>
    </row>
    <row r="637" spans="1:87" ht="24.75" customHeight="1">
      <c r="A637" s="36" t="s">
        <v>494</v>
      </c>
      <c r="B637" s="55"/>
      <c r="C637" s="36"/>
      <c r="D637" s="36"/>
      <c r="E637" s="39"/>
      <c r="F637" s="39"/>
      <c r="G637" s="36"/>
      <c r="H637" s="36"/>
      <c r="I637" s="39"/>
      <c r="J637" s="39"/>
      <c r="K637" s="39"/>
      <c r="L637" s="39">
        <f t="shared" ref="L637:L641" si="755">SUM(I637:K637)</f>
        <v>0</v>
      </c>
      <c r="M637" s="39"/>
      <c r="N637" s="39"/>
      <c r="O637" s="39"/>
      <c r="P637" s="39"/>
      <c r="Q637" s="39"/>
      <c r="R637" s="39">
        <f t="shared" ref="R637:R641" si="756">SUM(O637:Q637)</f>
        <v>0</v>
      </c>
      <c r="S637" s="39"/>
      <c r="T637" s="39"/>
      <c r="U637" s="39"/>
      <c r="V637" s="39"/>
      <c r="W637" s="39"/>
      <c r="X637" s="39"/>
      <c r="Y637" s="39"/>
      <c r="Z637" s="39"/>
      <c r="AA637" s="39"/>
      <c r="AB637" s="39">
        <f t="shared" ref="AB637:AB641" si="757">SUM(Y637:AA637)</f>
        <v>0</v>
      </c>
      <c r="AC637" s="39"/>
      <c r="AD637" s="39"/>
      <c r="AE637" s="39"/>
      <c r="AF637" s="39"/>
      <c r="AG637" s="39"/>
      <c r="AH637" s="39">
        <f t="shared" si="666"/>
        <v>0</v>
      </c>
      <c r="AI637" s="39"/>
      <c r="AJ637" s="39"/>
      <c r="AK637" s="39"/>
      <c r="AL637" s="39"/>
      <c r="AM637" s="39"/>
      <c r="AN637" s="39">
        <f t="shared" si="703"/>
        <v>0</v>
      </c>
      <c r="AO637" s="39"/>
      <c r="AP637" s="39"/>
      <c r="AQ637" s="39"/>
      <c r="AR637" s="39"/>
      <c r="AS637" s="39"/>
      <c r="AT637" s="39">
        <f t="shared" si="743"/>
        <v>0</v>
      </c>
      <c r="AU637" s="39"/>
      <c r="AV637" s="39"/>
      <c r="AW637" s="39"/>
      <c r="AX637" s="39"/>
      <c r="AY637" s="39"/>
      <c r="AZ637" s="39">
        <f t="shared" si="744"/>
        <v>0</v>
      </c>
      <c r="BA637" s="39"/>
      <c r="BB637" s="39"/>
      <c r="BC637" s="39"/>
      <c r="BD637" s="39"/>
      <c r="BE637" s="39"/>
      <c r="BF637" s="39">
        <f t="shared" si="745"/>
        <v>0</v>
      </c>
      <c r="BG637" s="39"/>
      <c r="BH637" s="39"/>
      <c r="BI637" s="39"/>
      <c r="BJ637" s="39"/>
      <c r="BK637" s="39"/>
      <c r="BL637" s="39">
        <f t="shared" si="667"/>
        <v>0</v>
      </c>
      <c r="BM637" s="54" t="e">
        <f t="shared" si="746"/>
        <v>#DIV/0!</v>
      </c>
      <c r="BN637" s="63"/>
      <c r="BO637" s="39"/>
      <c r="BP637" s="39"/>
      <c r="BQ637" s="39"/>
      <c r="BR637" s="40"/>
      <c r="BS637" s="40"/>
      <c r="BT637" s="39"/>
      <c r="BU637" s="39"/>
      <c r="BV637" s="39"/>
      <c r="BW637" s="39"/>
      <c r="BX637" s="39"/>
      <c r="BY637" s="39"/>
      <c r="BZ637" s="39">
        <f t="shared" si="668"/>
        <v>0</v>
      </c>
      <c r="CA637" s="39">
        <f t="shared" si="747"/>
        <v>0</v>
      </c>
      <c r="CB637" s="39">
        <f t="shared" si="748"/>
        <v>0</v>
      </c>
      <c r="CC637" s="39">
        <f t="shared" si="749"/>
        <v>0</v>
      </c>
      <c r="CD637" s="39">
        <f t="shared" si="750"/>
        <v>0</v>
      </c>
      <c r="CE637" s="47" t="e">
        <f t="shared" si="751"/>
        <v>#DIV/0!</v>
      </c>
      <c r="CF637" s="36"/>
      <c r="CG637" s="39"/>
      <c r="CH637" s="39"/>
      <c r="CI637" s="25">
        <v>3</v>
      </c>
    </row>
    <row r="638" spans="1:87" ht="24.75" customHeight="1">
      <c r="A638" s="36" t="s">
        <v>494</v>
      </c>
      <c r="B638" s="55"/>
      <c r="C638" s="36"/>
      <c r="D638" s="36"/>
      <c r="E638" s="39"/>
      <c r="F638" s="39"/>
      <c r="G638" s="36"/>
      <c r="H638" s="36"/>
      <c r="I638" s="39"/>
      <c r="J638" s="39"/>
      <c r="K638" s="39"/>
      <c r="L638" s="39">
        <f t="shared" si="755"/>
        <v>0</v>
      </c>
      <c r="M638" s="39"/>
      <c r="N638" s="39"/>
      <c r="O638" s="39"/>
      <c r="P638" s="39"/>
      <c r="Q638" s="39"/>
      <c r="R638" s="39">
        <f t="shared" si="756"/>
        <v>0</v>
      </c>
      <c r="S638" s="39"/>
      <c r="T638" s="39"/>
      <c r="U638" s="39"/>
      <c r="V638" s="39"/>
      <c r="W638" s="39"/>
      <c r="X638" s="39"/>
      <c r="Y638" s="39"/>
      <c r="Z638" s="39"/>
      <c r="AA638" s="39"/>
      <c r="AB638" s="39">
        <f t="shared" si="757"/>
        <v>0</v>
      </c>
      <c r="AC638" s="39"/>
      <c r="AD638" s="39"/>
      <c r="AE638" s="39"/>
      <c r="AF638" s="39"/>
      <c r="AG638" s="39"/>
      <c r="AH638" s="39">
        <f t="shared" si="666"/>
        <v>0</v>
      </c>
      <c r="AI638" s="39"/>
      <c r="AJ638" s="39"/>
      <c r="AK638" s="39"/>
      <c r="AL638" s="39"/>
      <c r="AM638" s="39"/>
      <c r="AN638" s="39">
        <f t="shared" si="703"/>
        <v>0</v>
      </c>
      <c r="AO638" s="39"/>
      <c r="AP638" s="39"/>
      <c r="AQ638" s="39"/>
      <c r="AR638" s="39"/>
      <c r="AS638" s="39"/>
      <c r="AT638" s="39">
        <f t="shared" si="743"/>
        <v>0</v>
      </c>
      <c r="AU638" s="39"/>
      <c r="AV638" s="39"/>
      <c r="AW638" s="39"/>
      <c r="AX638" s="39"/>
      <c r="AY638" s="39"/>
      <c r="AZ638" s="39">
        <f t="shared" si="744"/>
        <v>0</v>
      </c>
      <c r="BA638" s="39"/>
      <c r="BB638" s="39"/>
      <c r="BC638" s="39"/>
      <c r="BD638" s="39"/>
      <c r="BE638" s="39"/>
      <c r="BF638" s="39">
        <f t="shared" si="745"/>
        <v>0</v>
      </c>
      <c r="BG638" s="39"/>
      <c r="BH638" s="39"/>
      <c r="BI638" s="39"/>
      <c r="BJ638" s="39"/>
      <c r="BK638" s="39"/>
      <c r="BL638" s="39">
        <f t="shared" si="667"/>
        <v>0</v>
      </c>
      <c r="BM638" s="54" t="e">
        <f t="shared" si="746"/>
        <v>#DIV/0!</v>
      </c>
      <c r="BN638" s="63"/>
      <c r="BO638" s="39"/>
      <c r="BP638" s="39"/>
      <c r="BQ638" s="39"/>
      <c r="BR638" s="40"/>
      <c r="BS638" s="40"/>
      <c r="BT638" s="39"/>
      <c r="BU638" s="39"/>
      <c r="BV638" s="39"/>
      <c r="BW638" s="39"/>
      <c r="BX638" s="39"/>
      <c r="BY638" s="39"/>
      <c r="BZ638" s="39">
        <f t="shared" si="668"/>
        <v>0</v>
      </c>
      <c r="CA638" s="39">
        <f t="shared" si="747"/>
        <v>0</v>
      </c>
      <c r="CB638" s="39">
        <f t="shared" si="748"/>
        <v>0</v>
      </c>
      <c r="CC638" s="39">
        <f t="shared" si="749"/>
        <v>0</v>
      </c>
      <c r="CD638" s="39">
        <f t="shared" si="750"/>
        <v>0</v>
      </c>
      <c r="CE638" s="47" t="e">
        <f t="shared" si="751"/>
        <v>#DIV/0!</v>
      </c>
      <c r="CF638" s="36"/>
      <c r="CG638" s="39"/>
      <c r="CH638" s="39"/>
      <c r="CI638" s="25">
        <v>3</v>
      </c>
    </row>
    <row r="639" spans="1:87" ht="24.75" customHeight="1">
      <c r="A639" s="36" t="s">
        <v>494</v>
      </c>
      <c r="B639" s="55"/>
      <c r="C639" s="36"/>
      <c r="D639" s="36"/>
      <c r="E639" s="39"/>
      <c r="F639" s="39"/>
      <c r="G639" s="36"/>
      <c r="H639" s="36"/>
      <c r="I639" s="39"/>
      <c r="J639" s="39"/>
      <c r="K639" s="39"/>
      <c r="L639" s="39">
        <f t="shared" si="755"/>
        <v>0</v>
      </c>
      <c r="M639" s="39"/>
      <c r="N639" s="39"/>
      <c r="O639" s="39"/>
      <c r="P639" s="39"/>
      <c r="Q639" s="39"/>
      <c r="R639" s="39">
        <f t="shared" si="756"/>
        <v>0</v>
      </c>
      <c r="S639" s="39"/>
      <c r="T639" s="39"/>
      <c r="U639" s="39"/>
      <c r="V639" s="39"/>
      <c r="W639" s="39"/>
      <c r="X639" s="39"/>
      <c r="Y639" s="39"/>
      <c r="Z639" s="39"/>
      <c r="AA639" s="39"/>
      <c r="AB639" s="39">
        <f t="shared" si="757"/>
        <v>0</v>
      </c>
      <c r="AC639" s="39"/>
      <c r="AD639" s="39"/>
      <c r="AE639" s="39"/>
      <c r="AF639" s="39"/>
      <c r="AG639" s="39"/>
      <c r="AH639" s="39">
        <f t="shared" si="666"/>
        <v>0</v>
      </c>
      <c r="AI639" s="39"/>
      <c r="AJ639" s="39"/>
      <c r="AK639" s="39"/>
      <c r="AL639" s="39"/>
      <c r="AM639" s="39"/>
      <c r="AN639" s="39">
        <f t="shared" si="703"/>
        <v>0</v>
      </c>
      <c r="AO639" s="39"/>
      <c r="AP639" s="39"/>
      <c r="AQ639" s="39"/>
      <c r="AR639" s="39"/>
      <c r="AS639" s="39"/>
      <c r="AT639" s="39">
        <f t="shared" si="743"/>
        <v>0</v>
      </c>
      <c r="AU639" s="39"/>
      <c r="AV639" s="39"/>
      <c r="AW639" s="39"/>
      <c r="AX639" s="39"/>
      <c r="AY639" s="39"/>
      <c r="AZ639" s="39">
        <f t="shared" si="744"/>
        <v>0</v>
      </c>
      <c r="BA639" s="39"/>
      <c r="BB639" s="39"/>
      <c r="BC639" s="39"/>
      <c r="BD639" s="39"/>
      <c r="BE639" s="39"/>
      <c r="BF639" s="39">
        <f t="shared" si="745"/>
        <v>0</v>
      </c>
      <c r="BG639" s="39"/>
      <c r="BH639" s="39"/>
      <c r="BI639" s="39"/>
      <c r="BJ639" s="39"/>
      <c r="BK639" s="39"/>
      <c r="BL639" s="39">
        <f t="shared" si="667"/>
        <v>0</v>
      </c>
      <c r="BM639" s="54" t="e">
        <f t="shared" si="746"/>
        <v>#DIV/0!</v>
      </c>
      <c r="BN639" s="63"/>
      <c r="BO639" s="39"/>
      <c r="BP639" s="39"/>
      <c r="BQ639" s="39"/>
      <c r="BR639" s="40"/>
      <c r="BS639" s="40"/>
      <c r="BT639" s="39"/>
      <c r="BU639" s="39"/>
      <c r="BV639" s="39"/>
      <c r="BW639" s="39"/>
      <c r="BX639" s="39"/>
      <c r="BY639" s="39"/>
      <c r="BZ639" s="39">
        <f t="shared" si="668"/>
        <v>0</v>
      </c>
      <c r="CA639" s="39">
        <f t="shared" si="747"/>
        <v>0</v>
      </c>
      <c r="CB639" s="39">
        <f t="shared" si="748"/>
        <v>0</v>
      </c>
      <c r="CC639" s="39">
        <f t="shared" si="749"/>
        <v>0</v>
      </c>
      <c r="CD639" s="39">
        <f t="shared" si="750"/>
        <v>0</v>
      </c>
      <c r="CE639" s="47" t="e">
        <f t="shared" si="751"/>
        <v>#DIV/0!</v>
      </c>
      <c r="CF639" s="36"/>
      <c r="CG639" s="39"/>
      <c r="CH639" s="39"/>
      <c r="CI639" s="25">
        <v>3</v>
      </c>
    </row>
    <row r="640" spans="1:87" ht="24.75" customHeight="1">
      <c r="A640" s="36" t="s">
        <v>494</v>
      </c>
      <c r="B640" s="55"/>
      <c r="C640" s="36"/>
      <c r="D640" s="36"/>
      <c r="E640" s="39"/>
      <c r="F640" s="39"/>
      <c r="G640" s="36"/>
      <c r="H640" s="36"/>
      <c r="I640" s="39"/>
      <c r="J640" s="39"/>
      <c r="K640" s="39"/>
      <c r="L640" s="39">
        <f t="shared" si="755"/>
        <v>0</v>
      </c>
      <c r="M640" s="39"/>
      <c r="N640" s="39"/>
      <c r="O640" s="39"/>
      <c r="P640" s="39"/>
      <c r="Q640" s="39"/>
      <c r="R640" s="39">
        <f t="shared" si="756"/>
        <v>0</v>
      </c>
      <c r="S640" s="39"/>
      <c r="T640" s="39"/>
      <c r="U640" s="39"/>
      <c r="V640" s="39"/>
      <c r="W640" s="39"/>
      <c r="X640" s="39"/>
      <c r="Y640" s="39"/>
      <c r="Z640" s="39"/>
      <c r="AA640" s="39"/>
      <c r="AB640" s="39">
        <f t="shared" si="757"/>
        <v>0</v>
      </c>
      <c r="AC640" s="39"/>
      <c r="AD640" s="39"/>
      <c r="AE640" s="39"/>
      <c r="AF640" s="39"/>
      <c r="AG640" s="39"/>
      <c r="AH640" s="39">
        <f t="shared" si="666"/>
        <v>0</v>
      </c>
      <c r="AI640" s="39"/>
      <c r="AJ640" s="39"/>
      <c r="AK640" s="39"/>
      <c r="AL640" s="39"/>
      <c r="AM640" s="39"/>
      <c r="AN640" s="39">
        <f t="shared" si="703"/>
        <v>0</v>
      </c>
      <c r="AO640" s="39"/>
      <c r="AP640" s="39"/>
      <c r="AQ640" s="39"/>
      <c r="AR640" s="39"/>
      <c r="AS640" s="39"/>
      <c r="AT640" s="39">
        <f t="shared" si="743"/>
        <v>0</v>
      </c>
      <c r="AU640" s="39"/>
      <c r="AV640" s="39"/>
      <c r="AW640" s="39"/>
      <c r="AX640" s="39"/>
      <c r="AY640" s="39"/>
      <c r="AZ640" s="39">
        <f t="shared" si="744"/>
        <v>0</v>
      </c>
      <c r="BA640" s="39"/>
      <c r="BB640" s="39"/>
      <c r="BC640" s="39"/>
      <c r="BD640" s="39"/>
      <c r="BE640" s="39"/>
      <c r="BF640" s="39">
        <f t="shared" si="745"/>
        <v>0</v>
      </c>
      <c r="BG640" s="39"/>
      <c r="BH640" s="39"/>
      <c r="BI640" s="39"/>
      <c r="BJ640" s="39"/>
      <c r="BK640" s="39"/>
      <c r="BL640" s="39">
        <f t="shared" si="667"/>
        <v>0</v>
      </c>
      <c r="BM640" s="54" t="e">
        <f t="shared" si="746"/>
        <v>#DIV/0!</v>
      </c>
      <c r="BN640" s="63"/>
      <c r="BO640" s="39"/>
      <c r="BP640" s="39"/>
      <c r="BQ640" s="39"/>
      <c r="BR640" s="40"/>
      <c r="BS640" s="40"/>
      <c r="BT640" s="39"/>
      <c r="BU640" s="39"/>
      <c r="BV640" s="39"/>
      <c r="BW640" s="39"/>
      <c r="BX640" s="39"/>
      <c r="BY640" s="39"/>
      <c r="BZ640" s="39">
        <f t="shared" si="668"/>
        <v>0</v>
      </c>
      <c r="CA640" s="39">
        <f t="shared" si="747"/>
        <v>0</v>
      </c>
      <c r="CB640" s="39">
        <f t="shared" si="748"/>
        <v>0</v>
      </c>
      <c r="CC640" s="39">
        <f t="shared" si="749"/>
        <v>0</v>
      </c>
      <c r="CD640" s="39">
        <f t="shared" si="750"/>
        <v>0</v>
      </c>
      <c r="CE640" s="47" t="e">
        <f t="shared" si="751"/>
        <v>#DIV/0!</v>
      </c>
      <c r="CF640" s="36"/>
      <c r="CG640" s="39"/>
      <c r="CH640" s="39"/>
      <c r="CI640" s="25">
        <v>3</v>
      </c>
    </row>
    <row r="641" spans="1:88" ht="24.75" customHeight="1">
      <c r="A641" s="36" t="s">
        <v>494</v>
      </c>
      <c r="B641" s="55"/>
      <c r="C641" s="36"/>
      <c r="D641" s="36"/>
      <c r="E641" s="39"/>
      <c r="F641" s="39"/>
      <c r="G641" s="36"/>
      <c r="H641" s="36"/>
      <c r="I641" s="39"/>
      <c r="J641" s="39"/>
      <c r="K641" s="39"/>
      <c r="L641" s="39">
        <f t="shared" si="755"/>
        <v>0</v>
      </c>
      <c r="M641" s="39"/>
      <c r="N641" s="39"/>
      <c r="O641" s="39"/>
      <c r="P641" s="39"/>
      <c r="Q641" s="39"/>
      <c r="R641" s="39">
        <f t="shared" si="756"/>
        <v>0</v>
      </c>
      <c r="S641" s="39"/>
      <c r="T641" s="39"/>
      <c r="U641" s="39"/>
      <c r="V641" s="39"/>
      <c r="W641" s="39"/>
      <c r="X641" s="39"/>
      <c r="Y641" s="39"/>
      <c r="Z641" s="39"/>
      <c r="AA641" s="39"/>
      <c r="AB641" s="39">
        <f t="shared" si="757"/>
        <v>0</v>
      </c>
      <c r="AC641" s="39"/>
      <c r="AD641" s="39"/>
      <c r="AE641" s="39"/>
      <c r="AF641" s="39"/>
      <c r="AG641" s="39"/>
      <c r="AH641" s="39">
        <f t="shared" si="666"/>
        <v>0</v>
      </c>
      <c r="AI641" s="39"/>
      <c r="AJ641" s="39"/>
      <c r="AK641" s="39"/>
      <c r="AL641" s="39"/>
      <c r="AM641" s="39"/>
      <c r="AN641" s="39">
        <f t="shared" si="703"/>
        <v>0</v>
      </c>
      <c r="AO641" s="39"/>
      <c r="AP641" s="39"/>
      <c r="AQ641" s="39"/>
      <c r="AR641" s="39"/>
      <c r="AS641" s="39"/>
      <c r="AT641" s="39">
        <f t="shared" si="743"/>
        <v>0</v>
      </c>
      <c r="AU641" s="39"/>
      <c r="AV641" s="39"/>
      <c r="AW641" s="39"/>
      <c r="AX641" s="39"/>
      <c r="AY641" s="39"/>
      <c r="AZ641" s="39">
        <f t="shared" si="744"/>
        <v>0</v>
      </c>
      <c r="BA641" s="39"/>
      <c r="BB641" s="39"/>
      <c r="BC641" s="39"/>
      <c r="BD641" s="39"/>
      <c r="BE641" s="39"/>
      <c r="BF641" s="39">
        <f t="shared" si="745"/>
        <v>0</v>
      </c>
      <c r="BG641" s="39"/>
      <c r="BH641" s="39"/>
      <c r="BI641" s="39"/>
      <c r="BJ641" s="39"/>
      <c r="BK641" s="39"/>
      <c r="BL641" s="39">
        <f t="shared" si="667"/>
        <v>0</v>
      </c>
      <c r="BM641" s="54" t="e">
        <f t="shared" si="746"/>
        <v>#DIV/0!</v>
      </c>
      <c r="BN641" s="63"/>
      <c r="BO641" s="39"/>
      <c r="BP641" s="39"/>
      <c r="BQ641" s="39"/>
      <c r="BR641" s="40"/>
      <c r="BS641" s="40"/>
      <c r="BT641" s="39"/>
      <c r="BU641" s="39"/>
      <c r="BV641" s="39"/>
      <c r="BW641" s="39"/>
      <c r="BX641" s="39"/>
      <c r="BY641" s="39"/>
      <c r="BZ641" s="39">
        <f t="shared" si="668"/>
        <v>0</v>
      </c>
      <c r="CA641" s="39">
        <f t="shared" si="747"/>
        <v>0</v>
      </c>
      <c r="CB641" s="39">
        <f t="shared" si="748"/>
        <v>0</v>
      </c>
      <c r="CC641" s="39">
        <f t="shared" si="749"/>
        <v>0</v>
      </c>
      <c r="CD641" s="39">
        <f t="shared" si="750"/>
        <v>0</v>
      </c>
      <c r="CE641" s="47" t="e">
        <f t="shared" si="751"/>
        <v>#DIV/0!</v>
      </c>
      <c r="CF641" s="36"/>
      <c r="CG641" s="39"/>
      <c r="CH641" s="39"/>
      <c r="CI641" s="25">
        <v>3</v>
      </c>
    </row>
    <row r="642" spans="1:88" ht="24.75" customHeight="1">
      <c r="A642" s="39" t="s">
        <v>128</v>
      </c>
      <c r="B642" s="55" t="s">
        <v>580</v>
      </c>
      <c r="C642" s="227" t="s">
        <v>506</v>
      </c>
      <c r="D642" s="36"/>
      <c r="E642" s="39">
        <v>210</v>
      </c>
      <c r="F642" s="39" t="s">
        <v>60</v>
      </c>
      <c r="G642" s="36" t="s">
        <v>514</v>
      </c>
      <c r="H642" s="36" t="s">
        <v>507</v>
      </c>
      <c r="I642" s="39">
        <v>158</v>
      </c>
      <c r="J642" s="39"/>
      <c r="K642" s="39"/>
      <c r="L642" s="39">
        <f t="shared" ref="L642:L644" si="758">SUM(I642:K642)</f>
        <v>158</v>
      </c>
      <c r="M642" s="117">
        <v>46152</v>
      </c>
      <c r="N642" s="117">
        <v>46158</v>
      </c>
      <c r="O642" s="39"/>
      <c r="P642" s="39"/>
      <c r="Q642" s="39"/>
      <c r="R642" s="39">
        <f t="shared" ref="R642:R644" si="759">SUM(O642:Q642)</f>
        <v>0</v>
      </c>
      <c r="S642" s="39" t="s">
        <v>130</v>
      </c>
      <c r="T642" s="39">
        <v>107474</v>
      </c>
      <c r="U642" s="117">
        <v>46206</v>
      </c>
      <c r="V642" s="39"/>
      <c r="W642" s="39"/>
      <c r="X642" s="39"/>
      <c r="Y642" s="39">
        <v>196</v>
      </c>
      <c r="Z642" s="39"/>
      <c r="AA642" s="39"/>
      <c r="AB642" s="119">
        <f t="shared" ref="AB642:AB644" si="760">SUM(Y642:AA642)</f>
        <v>196</v>
      </c>
      <c r="AC642" s="39"/>
      <c r="AD642" s="39"/>
      <c r="AE642" s="39"/>
      <c r="AF642" s="39"/>
      <c r="AG642" s="39"/>
      <c r="AH642" s="39">
        <f t="shared" ref="AH642:AH644" si="761">AG642-AE642</f>
        <v>0</v>
      </c>
      <c r="AI642" s="39"/>
      <c r="AJ642" s="39"/>
      <c r="AK642" s="39"/>
      <c r="AL642" s="39"/>
      <c r="AM642" s="39"/>
      <c r="AN642" s="39">
        <f t="shared" si="703"/>
        <v>0</v>
      </c>
      <c r="AO642" s="39"/>
      <c r="AP642" s="39"/>
      <c r="AQ642" s="39"/>
      <c r="AR642" s="39"/>
      <c r="AS642" s="39"/>
      <c r="AT642" s="39">
        <f t="shared" si="743"/>
        <v>0</v>
      </c>
      <c r="AU642" s="39"/>
      <c r="AV642" s="39"/>
      <c r="AW642" s="39"/>
      <c r="AX642" s="39"/>
      <c r="AY642" s="39"/>
      <c r="AZ642" s="39">
        <f t="shared" si="744"/>
        <v>0</v>
      </c>
      <c r="BA642" s="39"/>
      <c r="BB642" s="39"/>
      <c r="BC642" s="39"/>
      <c r="BD642" s="39"/>
      <c r="BE642" s="39"/>
      <c r="BF642" s="39">
        <f t="shared" si="745"/>
        <v>0</v>
      </c>
      <c r="BG642" s="39"/>
      <c r="BH642" s="39"/>
      <c r="BI642" s="39"/>
      <c r="BJ642" s="39"/>
      <c r="BK642" s="39"/>
      <c r="BL642" s="39">
        <f t="shared" ref="BL642:BL644" si="762">BK642-BI642</f>
        <v>0</v>
      </c>
      <c r="BM642" s="54">
        <f t="shared" ca="1" si="746"/>
        <v>77</v>
      </c>
      <c r="BN642" s="56">
        <v>46178</v>
      </c>
      <c r="BO642" s="117">
        <v>46188</v>
      </c>
      <c r="BP642" s="39"/>
      <c r="BQ642" s="39"/>
      <c r="BR642" s="243"/>
      <c r="BS642" s="243"/>
      <c r="BT642" s="39"/>
      <c r="BU642" s="39"/>
      <c r="BV642" s="39"/>
      <c r="BW642" s="39"/>
      <c r="BX642" s="39"/>
      <c r="BY642" s="39"/>
      <c r="BZ642" s="39">
        <f t="shared" ref="BZ642:BZ644" si="763">BU642+BW642+BY642</f>
        <v>0</v>
      </c>
      <c r="CA642" s="39">
        <f t="shared" si="747"/>
        <v>-158</v>
      </c>
      <c r="CB642" s="39">
        <f t="shared" si="748"/>
        <v>0</v>
      </c>
      <c r="CC642" s="39">
        <f t="shared" si="749"/>
        <v>0</v>
      </c>
      <c r="CD642" s="39">
        <f t="shared" ref="CD642:CD644" si="764">SUMIF(CA642:CC642,"&lt;0")</f>
        <v>-158</v>
      </c>
      <c r="CE642" s="102">
        <f t="shared" si="751"/>
        <v>-1</v>
      </c>
      <c r="CF642" s="36"/>
      <c r="CG642" s="39" t="s">
        <v>237</v>
      </c>
      <c r="CH642" s="39"/>
      <c r="CI642" s="25">
        <v>1</v>
      </c>
    </row>
    <row r="643" spans="1:88" ht="24.75" customHeight="1">
      <c r="A643" s="39" t="s">
        <v>128</v>
      </c>
      <c r="B643" s="55" t="s">
        <v>580</v>
      </c>
      <c r="C643" s="228"/>
      <c r="D643" s="36"/>
      <c r="E643" s="39">
        <v>210</v>
      </c>
      <c r="F643" s="39" t="s">
        <v>60</v>
      </c>
      <c r="G643" s="36" t="s">
        <v>432</v>
      </c>
      <c r="H643" s="36" t="s">
        <v>507</v>
      </c>
      <c r="I643" s="39">
        <v>220</v>
      </c>
      <c r="J643" s="39"/>
      <c r="K643" s="39"/>
      <c r="L643" s="39">
        <f t="shared" si="758"/>
        <v>220</v>
      </c>
      <c r="M643" s="117">
        <v>46152</v>
      </c>
      <c r="N643" s="117">
        <v>46158</v>
      </c>
      <c r="O643" s="39"/>
      <c r="P643" s="39"/>
      <c r="Q643" s="39"/>
      <c r="R643" s="39">
        <f t="shared" si="759"/>
        <v>0</v>
      </c>
      <c r="S643" s="39" t="s">
        <v>130</v>
      </c>
      <c r="T643" s="39"/>
      <c r="U643" s="39"/>
      <c r="V643" s="39"/>
      <c r="W643" s="39"/>
      <c r="X643" s="39"/>
      <c r="Y643" s="39"/>
      <c r="Z643" s="39"/>
      <c r="AA643" s="39"/>
      <c r="AB643" s="118">
        <f t="shared" si="760"/>
        <v>0</v>
      </c>
      <c r="AC643" s="39"/>
      <c r="AD643" s="39"/>
      <c r="AE643" s="39"/>
      <c r="AF643" s="39"/>
      <c r="AG643" s="39"/>
      <c r="AH643" s="39">
        <f t="shared" si="761"/>
        <v>0</v>
      </c>
      <c r="AI643" s="39"/>
      <c r="AJ643" s="39"/>
      <c r="AK643" s="39"/>
      <c r="AL643" s="39"/>
      <c r="AM643" s="39"/>
      <c r="AN643" s="39">
        <f t="shared" si="703"/>
        <v>0</v>
      </c>
      <c r="AO643" s="39"/>
      <c r="AP643" s="39"/>
      <c r="AQ643" s="39"/>
      <c r="AR643" s="39"/>
      <c r="AS643" s="39"/>
      <c r="AT643" s="39">
        <f t="shared" si="743"/>
        <v>0</v>
      </c>
      <c r="AU643" s="39"/>
      <c r="AV643" s="39"/>
      <c r="AW643" s="39"/>
      <c r="AX643" s="39"/>
      <c r="AY643" s="39"/>
      <c r="AZ643" s="39">
        <f t="shared" si="744"/>
        <v>0</v>
      </c>
      <c r="BA643" s="39"/>
      <c r="BB643" s="39"/>
      <c r="BC643" s="39"/>
      <c r="BD643" s="39"/>
      <c r="BE643" s="39"/>
      <c r="BF643" s="39">
        <f t="shared" si="745"/>
        <v>0</v>
      </c>
      <c r="BG643" s="39"/>
      <c r="BH643" s="39"/>
      <c r="BI643" s="39"/>
      <c r="BJ643" s="39"/>
      <c r="BK643" s="39"/>
      <c r="BL643" s="39">
        <f t="shared" si="762"/>
        <v>0</v>
      </c>
      <c r="BM643" s="54">
        <f t="shared" ca="1" si="746"/>
        <v>46283</v>
      </c>
      <c r="BN643" s="56">
        <v>46178</v>
      </c>
      <c r="BO643" s="117">
        <v>46188</v>
      </c>
      <c r="BP643" s="39"/>
      <c r="BQ643" s="39"/>
      <c r="BR643" s="230"/>
      <c r="BS643" s="230"/>
      <c r="BT643" s="39"/>
      <c r="BU643" s="39"/>
      <c r="BV643" s="39"/>
      <c r="BW643" s="39"/>
      <c r="BX643" s="39"/>
      <c r="BY643" s="39"/>
      <c r="BZ643" s="39">
        <f t="shared" si="763"/>
        <v>0</v>
      </c>
      <c r="CA643" s="39">
        <f t="shared" si="747"/>
        <v>-220</v>
      </c>
      <c r="CB643" s="39">
        <f t="shared" si="748"/>
        <v>0</v>
      </c>
      <c r="CC643" s="39">
        <f t="shared" si="749"/>
        <v>0</v>
      </c>
      <c r="CD643" s="39">
        <f t="shared" si="764"/>
        <v>-220</v>
      </c>
      <c r="CE643" s="102">
        <f t="shared" si="751"/>
        <v>-1</v>
      </c>
      <c r="CF643" s="36"/>
      <c r="CG643" s="39" t="s">
        <v>237</v>
      </c>
      <c r="CH643" s="39"/>
      <c r="CI643" s="25">
        <v>1</v>
      </c>
    </row>
    <row r="644" spans="1:88" ht="33.75" customHeight="1">
      <c r="A644" s="39" t="s">
        <v>128</v>
      </c>
      <c r="B644" s="55" t="s">
        <v>581</v>
      </c>
      <c r="C644" s="36" t="s">
        <v>512</v>
      </c>
      <c r="D644" s="36"/>
      <c r="E644" s="39">
        <v>200</v>
      </c>
      <c r="F644" s="39" t="s">
        <v>61</v>
      </c>
      <c r="G644" s="36" t="s">
        <v>23</v>
      </c>
      <c r="H644" s="36" t="s">
        <v>503</v>
      </c>
      <c r="I644" s="39">
        <v>201</v>
      </c>
      <c r="J644" s="39"/>
      <c r="K644" s="39"/>
      <c r="L644" s="39">
        <f t="shared" si="758"/>
        <v>201</v>
      </c>
      <c r="M644" s="117">
        <v>46147</v>
      </c>
      <c r="N644" s="117">
        <v>46157</v>
      </c>
      <c r="O644" s="39"/>
      <c r="P644" s="39"/>
      <c r="Q644" s="39"/>
      <c r="R644" s="39">
        <f t="shared" si="759"/>
        <v>0</v>
      </c>
      <c r="S644" s="39" t="s">
        <v>130</v>
      </c>
      <c r="T644" s="39">
        <v>107247</v>
      </c>
      <c r="U644" s="117">
        <v>46205</v>
      </c>
      <c r="V644" s="39"/>
      <c r="W644" s="39"/>
      <c r="X644" s="39"/>
      <c r="Y644" s="39">
        <v>215</v>
      </c>
      <c r="Z644" s="39"/>
      <c r="AA644" s="39"/>
      <c r="AB644" s="119">
        <f t="shared" si="760"/>
        <v>215</v>
      </c>
      <c r="AC644" s="39"/>
      <c r="AD644" s="39"/>
      <c r="AE644" s="39"/>
      <c r="AF644" s="39"/>
      <c r="AG644" s="39"/>
      <c r="AH644" s="39">
        <f t="shared" si="761"/>
        <v>0</v>
      </c>
      <c r="AI644" s="39"/>
      <c r="AJ644" s="39"/>
      <c r="AK644" s="39"/>
      <c r="AL644" s="39"/>
      <c r="AM644" s="39"/>
      <c r="AN644" s="39">
        <f t="shared" si="703"/>
        <v>0</v>
      </c>
      <c r="AO644" s="39"/>
      <c r="AP644" s="39"/>
      <c r="AQ644" s="39"/>
      <c r="AR644" s="39"/>
      <c r="AS644" s="39"/>
      <c r="AT644" s="39">
        <f t="shared" si="743"/>
        <v>0</v>
      </c>
      <c r="AU644" s="39"/>
      <c r="AV644" s="39"/>
      <c r="AW644" s="39"/>
      <c r="AX644" s="39"/>
      <c r="AY644" s="39"/>
      <c r="AZ644" s="39">
        <f t="shared" si="744"/>
        <v>0</v>
      </c>
      <c r="BA644" s="39"/>
      <c r="BB644" s="39"/>
      <c r="BC644" s="39"/>
      <c r="BD644" s="39"/>
      <c r="BE644" s="39"/>
      <c r="BF644" s="39">
        <f t="shared" si="745"/>
        <v>0</v>
      </c>
      <c r="BG644" s="39"/>
      <c r="BH644" s="39"/>
      <c r="BI644" s="39"/>
      <c r="BJ644" s="39"/>
      <c r="BK644" s="39"/>
      <c r="BL644" s="39">
        <f t="shared" si="762"/>
        <v>0</v>
      </c>
      <c r="BM644" s="54" t="str">
        <f t="shared" si="746"/>
        <v/>
      </c>
      <c r="BN644" s="56">
        <v>46177</v>
      </c>
      <c r="BO644" s="117">
        <v>46189</v>
      </c>
      <c r="BP644" s="39"/>
      <c r="BQ644" s="39"/>
      <c r="BR644" s="50">
        <v>46211</v>
      </c>
      <c r="BS644" s="50">
        <v>46211</v>
      </c>
      <c r="BT644" s="39">
        <v>1585</v>
      </c>
      <c r="BU644" s="39">
        <v>211</v>
      </c>
      <c r="BV644" s="39"/>
      <c r="BW644" s="39"/>
      <c r="BX644" s="39"/>
      <c r="BY644" s="39"/>
      <c r="BZ644" s="39">
        <f t="shared" si="763"/>
        <v>211</v>
      </c>
      <c r="CA644" s="39">
        <f t="shared" si="747"/>
        <v>10</v>
      </c>
      <c r="CB644" s="39">
        <f t="shared" si="748"/>
        <v>0</v>
      </c>
      <c r="CC644" s="39">
        <f t="shared" si="749"/>
        <v>0</v>
      </c>
      <c r="CD644" s="39">
        <f t="shared" si="764"/>
        <v>0</v>
      </c>
      <c r="CE644" s="102">
        <f t="shared" si="751"/>
        <v>0</v>
      </c>
      <c r="CF644" s="36"/>
      <c r="CG644" s="39" t="s">
        <v>237</v>
      </c>
      <c r="CH644" s="39"/>
      <c r="CI644" s="25">
        <v>1</v>
      </c>
    </row>
    <row r="645" spans="1:88" ht="24.75" customHeight="1">
      <c r="A645" s="39" t="s">
        <v>128</v>
      </c>
      <c r="B645" s="55"/>
      <c r="C645" s="36"/>
      <c r="D645" s="36"/>
      <c r="E645" s="39"/>
      <c r="F645" s="39"/>
      <c r="G645" s="36"/>
      <c r="H645" s="39"/>
      <c r="I645" s="39"/>
      <c r="J645" s="39"/>
      <c r="K645" s="39"/>
      <c r="L645" s="39">
        <f>SUM(I645:K645)</f>
        <v>0</v>
      </c>
      <c r="M645" s="39"/>
      <c r="N645" s="39"/>
      <c r="O645" s="39"/>
      <c r="P645" s="39"/>
      <c r="Q645" s="39"/>
      <c r="R645" s="39">
        <f>SUM(O645:Q645)</f>
        <v>0</v>
      </c>
      <c r="S645" s="39"/>
      <c r="T645" s="39"/>
      <c r="U645" s="39"/>
      <c r="V645" s="39"/>
      <c r="W645" s="39"/>
      <c r="X645" s="39"/>
      <c r="Y645" s="39"/>
      <c r="Z645" s="39"/>
      <c r="AA645" s="39"/>
      <c r="AB645" s="39">
        <f>SUM(Y645:AA645)</f>
        <v>0</v>
      </c>
      <c r="AC645" s="39"/>
      <c r="AD645" s="39"/>
      <c r="AE645" s="39"/>
      <c r="AF645" s="39"/>
      <c r="AG645" s="39"/>
      <c r="AH645" s="39">
        <f>AG645-AE645</f>
        <v>0</v>
      </c>
      <c r="AI645" s="39"/>
      <c r="AJ645" s="39"/>
      <c r="AK645" s="39"/>
      <c r="AL645" s="39"/>
      <c r="AM645" s="39"/>
      <c r="AN645" s="39">
        <f t="shared" si="703"/>
        <v>0</v>
      </c>
      <c r="AO645" s="39"/>
      <c r="AP645" s="39"/>
      <c r="AQ645" s="39"/>
      <c r="AR645" s="39"/>
      <c r="AS645" s="39"/>
      <c r="AT645" s="39">
        <f t="shared" si="743"/>
        <v>0</v>
      </c>
      <c r="AU645" s="39"/>
      <c r="AV645" s="39"/>
      <c r="AW645" s="39"/>
      <c r="AX645" s="39"/>
      <c r="AY645" s="39"/>
      <c r="AZ645" s="39">
        <f t="shared" si="744"/>
        <v>0</v>
      </c>
      <c r="BA645" s="39"/>
      <c r="BB645" s="39"/>
      <c r="BC645" s="39"/>
      <c r="BD645" s="39"/>
      <c r="BE645" s="39"/>
      <c r="BF645" s="39">
        <f t="shared" si="745"/>
        <v>0</v>
      </c>
      <c r="BG645" s="39"/>
      <c r="BH645" s="39"/>
      <c r="BI645" s="39"/>
      <c r="BJ645" s="39"/>
      <c r="BK645" s="39"/>
      <c r="BL645" s="39">
        <f>BK645-BI645</f>
        <v>0</v>
      </c>
      <c r="BM645" s="54" t="e">
        <f t="shared" si="746"/>
        <v>#DIV/0!</v>
      </c>
      <c r="BN645" s="42"/>
      <c r="BO645" s="39"/>
      <c r="BP645" s="39"/>
      <c r="BQ645" s="39"/>
      <c r="BR645" s="40"/>
      <c r="BS645" s="40"/>
      <c r="BT645" s="39"/>
      <c r="BU645" s="39"/>
      <c r="BV645" s="39"/>
      <c r="BW645" s="39"/>
      <c r="BX645" s="39"/>
      <c r="BY645" s="39"/>
      <c r="BZ645" s="39">
        <f>BU645+BW645+BY645</f>
        <v>0</v>
      </c>
      <c r="CA645" s="39">
        <f t="shared" si="747"/>
        <v>0</v>
      </c>
      <c r="CB645" s="39">
        <f t="shared" si="748"/>
        <v>0</v>
      </c>
      <c r="CC645" s="39">
        <f t="shared" si="749"/>
        <v>0</v>
      </c>
      <c r="CD645" s="39">
        <f>SUMIF(CA645:CC645,"&lt;0")</f>
        <v>0</v>
      </c>
      <c r="CE645" s="47" t="e">
        <f t="shared" si="751"/>
        <v>#DIV/0!</v>
      </c>
      <c r="CF645" s="36"/>
      <c r="CG645" s="39"/>
      <c r="CH645" s="39"/>
      <c r="CI645" s="25">
        <v>1</v>
      </c>
    </row>
    <row r="646" spans="1:88" ht="24.75" customHeight="1">
      <c r="A646" s="39" t="s">
        <v>128</v>
      </c>
      <c r="B646" s="55"/>
      <c r="C646" s="36"/>
      <c r="D646" s="36"/>
      <c r="E646" s="39"/>
      <c r="F646" s="39"/>
      <c r="G646" s="36"/>
      <c r="H646" s="39"/>
      <c r="I646" s="39"/>
      <c r="J646" s="39"/>
      <c r="K646" s="39"/>
      <c r="L646" s="39">
        <f>SUM(I646:K646)</f>
        <v>0</v>
      </c>
      <c r="M646" s="39"/>
      <c r="N646" s="39"/>
      <c r="O646" s="39"/>
      <c r="P646" s="39"/>
      <c r="Q646" s="39"/>
      <c r="R646" s="39">
        <f>SUM(O646:Q646)</f>
        <v>0</v>
      </c>
      <c r="S646" s="39"/>
      <c r="T646" s="39"/>
      <c r="U646" s="39"/>
      <c r="V646" s="39"/>
      <c r="W646" s="39"/>
      <c r="X646" s="39"/>
      <c r="Y646" s="39"/>
      <c r="Z646" s="39"/>
      <c r="AA646" s="39"/>
      <c r="AB646" s="39">
        <f>SUM(Y646:AA646)</f>
        <v>0</v>
      </c>
      <c r="AC646" s="39"/>
      <c r="AD646" s="39"/>
      <c r="AE646" s="39"/>
      <c r="AF646" s="39"/>
      <c r="AG646" s="39"/>
      <c r="AH646" s="39">
        <f>AG646-AE646</f>
        <v>0</v>
      </c>
      <c r="AI646" s="39"/>
      <c r="AJ646" s="39"/>
      <c r="AK646" s="39"/>
      <c r="AL646" s="39"/>
      <c r="AM646" s="39"/>
      <c r="AN646" s="39">
        <f t="shared" si="703"/>
        <v>0</v>
      </c>
      <c r="AO646" s="39"/>
      <c r="AP646" s="39"/>
      <c r="AQ646" s="39"/>
      <c r="AR646" s="39"/>
      <c r="AS646" s="39"/>
      <c r="AT646" s="39">
        <f t="shared" si="743"/>
        <v>0</v>
      </c>
      <c r="AU646" s="39"/>
      <c r="AV646" s="39"/>
      <c r="AW646" s="39"/>
      <c r="AX646" s="39"/>
      <c r="AY646" s="39"/>
      <c r="AZ646" s="39">
        <f t="shared" si="744"/>
        <v>0</v>
      </c>
      <c r="BA646" s="39"/>
      <c r="BB646" s="39"/>
      <c r="BC646" s="39"/>
      <c r="BD646" s="39"/>
      <c r="BE646" s="39"/>
      <c r="BF646" s="39">
        <f t="shared" si="745"/>
        <v>0</v>
      </c>
      <c r="BG646" s="39"/>
      <c r="BH646" s="39"/>
      <c r="BI646" s="39"/>
      <c r="BJ646" s="39"/>
      <c r="BK646" s="39"/>
      <c r="BL646" s="39">
        <f>BK646-BI646</f>
        <v>0</v>
      </c>
      <c r="BM646" s="54" t="e">
        <f t="shared" si="746"/>
        <v>#DIV/0!</v>
      </c>
      <c r="BN646" s="42"/>
      <c r="BO646" s="39"/>
      <c r="BP646" s="39"/>
      <c r="BQ646" s="39"/>
      <c r="BR646" s="40"/>
      <c r="BS646" s="40"/>
      <c r="BT646" s="39"/>
      <c r="BU646" s="39"/>
      <c r="BV646" s="39"/>
      <c r="BW646" s="39"/>
      <c r="BX646" s="39"/>
      <c r="BY646" s="39"/>
      <c r="BZ646" s="39">
        <f>BU646+BW646+BY646</f>
        <v>0</v>
      </c>
      <c r="CA646" s="39">
        <f t="shared" si="747"/>
        <v>0</v>
      </c>
      <c r="CB646" s="39">
        <f t="shared" si="748"/>
        <v>0</v>
      </c>
      <c r="CC646" s="39">
        <f t="shared" si="749"/>
        <v>0</v>
      </c>
      <c r="CD646" s="39">
        <f>SUMIF(CA646:CC646,"&lt;0")</f>
        <v>0</v>
      </c>
      <c r="CE646" s="47" t="e">
        <f t="shared" si="751"/>
        <v>#DIV/0!</v>
      </c>
      <c r="CF646" s="36"/>
      <c r="CG646" s="39"/>
      <c r="CH646" s="39"/>
      <c r="CI646" s="25">
        <v>1</v>
      </c>
    </row>
    <row r="647" spans="1:88" ht="24.75" customHeight="1">
      <c r="A647" s="39" t="s">
        <v>128</v>
      </c>
      <c r="B647" s="55"/>
      <c r="C647" s="36"/>
      <c r="D647" s="36"/>
      <c r="E647" s="39"/>
      <c r="F647" s="39"/>
      <c r="G647" s="36"/>
      <c r="H647" s="39"/>
      <c r="I647" s="39"/>
      <c r="J647" s="39"/>
      <c r="K647" s="39"/>
      <c r="L647" s="39">
        <f>SUM(I647:K647)</f>
        <v>0</v>
      </c>
      <c r="M647" s="39"/>
      <c r="N647" s="39"/>
      <c r="O647" s="39"/>
      <c r="P647" s="39"/>
      <c r="Q647" s="39"/>
      <c r="R647" s="39">
        <f>SUM(O647:Q647)</f>
        <v>0</v>
      </c>
      <c r="S647" s="39"/>
      <c r="T647" s="39"/>
      <c r="U647" s="39"/>
      <c r="V647" s="39"/>
      <c r="W647" s="39"/>
      <c r="X647" s="39"/>
      <c r="Y647" s="39"/>
      <c r="Z647" s="39"/>
      <c r="AA647" s="39"/>
      <c r="AB647" s="39">
        <f>SUM(Y647:AA647)</f>
        <v>0</v>
      </c>
      <c r="AC647" s="39"/>
      <c r="AD647" s="39"/>
      <c r="AE647" s="39"/>
      <c r="AF647" s="39"/>
      <c r="AG647" s="39"/>
      <c r="AH647" s="39">
        <f>AG647-AE647</f>
        <v>0</v>
      </c>
      <c r="AI647" s="39"/>
      <c r="AJ647" s="39"/>
      <c r="AK647" s="39"/>
      <c r="AL647" s="39"/>
      <c r="AM647" s="39"/>
      <c r="AN647" s="39">
        <f t="shared" si="703"/>
        <v>0</v>
      </c>
      <c r="AO647" s="39"/>
      <c r="AP647" s="39"/>
      <c r="AQ647" s="39"/>
      <c r="AR647" s="39"/>
      <c r="AS647" s="39"/>
      <c r="AT647" s="39">
        <f t="shared" si="743"/>
        <v>0</v>
      </c>
      <c r="AU647" s="39"/>
      <c r="AV647" s="39"/>
      <c r="AW647" s="39"/>
      <c r="AX647" s="39"/>
      <c r="AY647" s="39"/>
      <c r="AZ647" s="39">
        <f t="shared" si="744"/>
        <v>0</v>
      </c>
      <c r="BA647" s="39"/>
      <c r="BB647" s="39"/>
      <c r="BC647" s="39"/>
      <c r="BD647" s="39"/>
      <c r="BE647" s="39"/>
      <c r="BF647" s="39">
        <f t="shared" si="745"/>
        <v>0</v>
      </c>
      <c r="BG647" s="39"/>
      <c r="BH647" s="39"/>
      <c r="BI647" s="39"/>
      <c r="BJ647" s="39"/>
      <c r="BK647" s="39"/>
      <c r="BL647" s="39">
        <f>BK647-BI647</f>
        <v>0</v>
      </c>
      <c r="BM647" s="54" t="e">
        <f t="shared" si="746"/>
        <v>#DIV/0!</v>
      </c>
      <c r="BN647" s="42"/>
      <c r="BO647" s="39"/>
      <c r="BP647" s="39"/>
      <c r="BQ647" s="39"/>
      <c r="BR647" s="40"/>
      <c r="BS647" s="40"/>
      <c r="BT647" s="39"/>
      <c r="BU647" s="39"/>
      <c r="BV647" s="39"/>
      <c r="BW647" s="39"/>
      <c r="BX647" s="39"/>
      <c r="BY647" s="39"/>
      <c r="BZ647" s="39">
        <f>BU647+BW647+BY647</f>
        <v>0</v>
      </c>
      <c r="CA647" s="39">
        <f t="shared" si="747"/>
        <v>0</v>
      </c>
      <c r="CB647" s="39">
        <f t="shared" si="748"/>
        <v>0</v>
      </c>
      <c r="CC647" s="39">
        <f t="shared" si="749"/>
        <v>0</v>
      </c>
      <c r="CD647" s="39">
        <f>SUMIF(CA647:CC647,"&lt;0")</f>
        <v>0</v>
      </c>
      <c r="CE647" s="47" t="e">
        <f t="shared" si="751"/>
        <v>#DIV/0!</v>
      </c>
      <c r="CF647" s="36"/>
      <c r="CG647" s="39"/>
      <c r="CH647" s="39"/>
      <c r="CI647" s="25">
        <v>1</v>
      </c>
    </row>
    <row r="648" spans="1:88" ht="24.75" customHeight="1">
      <c r="A648" s="39" t="s">
        <v>128</v>
      </c>
      <c r="B648" s="55"/>
      <c r="C648" s="36"/>
      <c r="D648" s="36"/>
      <c r="E648" s="39"/>
      <c r="F648" s="39"/>
      <c r="G648" s="36"/>
      <c r="H648" s="39"/>
      <c r="I648" s="39"/>
      <c r="J648" s="39"/>
      <c r="K648" s="39"/>
      <c r="L648" s="39">
        <f>SUM(I648:K648)</f>
        <v>0</v>
      </c>
      <c r="M648" s="39"/>
      <c r="N648" s="39"/>
      <c r="O648" s="39"/>
      <c r="P648" s="39"/>
      <c r="Q648" s="39"/>
      <c r="R648" s="39">
        <f>SUM(O648:Q648)</f>
        <v>0</v>
      </c>
      <c r="S648" s="39"/>
      <c r="T648" s="39"/>
      <c r="U648" s="39"/>
      <c r="V648" s="39"/>
      <c r="W648" s="39"/>
      <c r="X648" s="39"/>
      <c r="Y648" s="39"/>
      <c r="Z648" s="39"/>
      <c r="AA648" s="39"/>
      <c r="AB648" s="39">
        <f>SUM(Y648:AA648)</f>
        <v>0</v>
      </c>
      <c r="AC648" s="39"/>
      <c r="AD648" s="39"/>
      <c r="AE648" s="39"/>
      <c r="AF648" s="39"/>
      <c r="AG648" s="39"/>
      <c r="AH648" s="39">
        <f>AG648-AE648</f>
        <v>0</v>
      </c>
      <c r="AI648" s="39"/>
      <c r="AJ648" s="39"/>
      <c r="AK648" s="39"/>
      <c r="AL648" s="39"/>
      <c r="AM648" s="39"/>
      <c r="AN648" s="39">
        <f t="shared" si="703"/>
        <v>0</v>
      </c>
      <c r="AO648" s="39"/>
      <c r="AP648" s="39"/>
      <c r="AQ648" s="39"/>
      <c r="AR648" s="39"/>
      <c r="AS648" s="39"/>
      <c r="AT648" s="39">
        <f t="shared" si="743"/>
        <v>0</v>
      </c>
      <c r="AU648" s="39"/>
      <c r="AV648" s="39"/>
      <c r="AW648" s="39"/>
      <c r="AX648" s="39"/>
      <c r="AY648" s="39"/>
      <c r="AZ648" s="39">
        <f t="shared" si="744"/>
        <v>0</v>
      </c>
      <c r="BA648" s="39"/>
      <c r="BB648" s="39"/>
      <c r="BC648" s="39"/>
      <c r="BD648" s="39"/>
      <c r="BE648" s="39"/>
      <c r="BF648" s="39">
        <f t="shared" si="745"/>
        <v>0</v>
      </c>
      <c r="BG648" s="39"/>
      <c r="BH648" s="39"/>
      <c r="BI648" s="39"/>
      <c r="BJ648" s="39"/>
      <c r="BK648" s="39"/>
      <c r="BL648" s="39">
        <f>BK648-BI648</f>
        <v>0</v>
      </c>
      <c r="BM648" s="54" t="e">
        <f t="shared" si="746"/>
        <v>#DIV/0!</v>
      </c>
      <c r="BN648" s="42"/>
      <c r="BO648" s="39"/>
      <c r="BP648" s="39"/>
      <c r="BQ648" s="39"/>
      <c r="BR648" s="40"/>
      <c r="BS648" s="40"/>
      <c r="BT648" s="39"/>
      <c r="BU648" s="39"/>
      <c r="BV648" s="39"/>
      <c r="BW648" s="39"/>
      <c r="BX648" s="39"/>
      <c r="BY648" s="39"/>
      <c r="BZ648" s="39">
        <f>BU648+BW648+BY648</f>
        <v>0</v>
      </c>
      <c r="CA648" s="39">
        <f t="shared" si="747"/>
        <v>0</v>
      </c>
      <c r="CB648" s="39">
        <f t="shared" si="748"/>
        <v>0</v>
      </c>
      <c r="CC648" s="39">
        <f t="shared" si="749"/>
        <v>0</v>
      </c>
      <c r="CD648" s="39">
        <f>SUMIF(CA648:CC648,"&lt;0")</f>
        <v>0</v>
      </c>
      <c r="CE648" s="47" t="e">
        <f t="shared" si="751"/>
        <v>#DIV/0!</v>
      </c>
      <c r="CF648" s="36"/>
      <c r="CG648" s="39"/>
      <c r="CH648" s="39"/>
      <c r="CI648" s="25">
        <v>1</v>
      </c>
    </row>
    <row r="649" spans="1:88" ht="24.75" customHeight="1">
      <c r="A649" s="39" t="s">
        <v>128</v>
      </c>
      <c r="B649" s="55"/>
      <c r="C649" s="36"/>
      <c r="D649" s="36"/>
      <c r="E649" s="39"/>
      <c r="F649" s="39"/>
      <c r="G649" s="36"/>
      <c r="H649" s="39"/>
      <c r="I649" s="39"/>
      <c r="J649" s="39"/>
      <c r="K649" s="39"/>
      <c r="L649" s="39">
        <f t="shared" ref="L649:L670" si="765">SUM(I649:K649)</f>
        <v>0</v>
      </c>
      <c r="M649" s="39"/>
      <c r="N649" s="39"/>
      <c r="O649" s="39"/>
      <c r="P649" s="39"/>
      <c r="Q649" s="39"/>
      <c r="R649" s="39">
        <f t="shared" ref="R649:R672" si="766">SUM(O649:Q649)</f>
        <v>0</v>
      </c>
      <c r="S649" s="39"/>
      <c r="T649" s="39"/>
      <c r="U649" s="39"/>
      <c r="V649" s="39"/>
      <c r="W649" s="39"/>
      <c r="X649" s="39"/>
      <c r="Y649" s="39"/>
      <c r="Z649" s="39"/>
      <c r="AA649" s="39"/>
      <c r="AB649" s="39">
        <f t="shared" ref="AB649:AB672" si="767">SUM(Y649:AA649)</f>
        <v>0</v>
      </c>
      <c r="AC649" s="39"/>
      <c r="AD649" s="39"/>
      <c r="AE649" s="39"/>
      <c r="AF649" s="39"/>
      <c r="AG649" s="39"/>
      <c r="AH649" s="39">
        <f t="shared" ref="AH649:AH739" si="768">AG649-AE649</f>
        <v>0</v>
      </c>
      <c r="AI649" s="39"/>
      <c r="AJ649" s="39"/>
      <c r="AK649" s="39"/>
      <c r="AL649" s="39"/>
      <c r="AM649" s="39"/>
      <c r="AN649" s="39">
        <f t="shared" si="703"/>
        <v>0</v>
      </c>
      <c r="AO649" s="39"/>
      <c r="AP649" s="39"/>
      <c r="AQ649" s="39"/>
      <c r="AR649" s="39"/>
      <c r="AS649" s="39"/>
      <c r="AT649" s="39">
        <f t="shared" si="743"/>
        <v>0</v>
      </c>
      <c r="AU649" s="39"/>
      <c r="AV649" s="39"/>
      <c r="AW649" s="39"/>
      <c r="AX649" s="39"/>
      <c r="AY649" s="39"/>
      <c r="AZ649" s="39">
        <f t="shared" si="744"/>
        <v>0</v>
      </c>
      <c r="BA649" s="39"/>
      <c r="BB649" s="39"/>
      <c r="BC649" s="39"/>
      <c r="BD649" s="39"/>
      <c r="BE649" s="39"/>
      <c r="BF649" s="39">
        <f t="shared" si="745"/>
        <v>0</v>
      </c>
      <c r="BG649" s="39"/>
      <c r="BH649" s="39"/>
      <c r="BI649" s="39"/>
      <c r="BJ649" s="39"/>
      <c r="BK649" s="39"/>
      <c r="BL649" s="39">
        <f t="shared" ref="BL649:BL739" si="769">BK649-BI649</f>
        <v>0</v>
      </c>
      <c r="BM649" s="54" t="e">
        <f t="shared" si="746"/>
        <v>#DIV/0!</v>
      </c>
      <c r="BN649" s="67"/>
      <c r="BO649" s="39"/>
      <c r="BP649" s="39"/>
      <c r="BQ649" s="39"/>
      <c r="BR649" s="40"/>
      <c r="BS649" s="40"/>
      <c r="BT649" s="39"/>
      <c r="BU649" s="39"/>
      <c r="BV649" s="39"/>
      <c r="BW649" s="39"/>
      <c r="BX649" s="39"/>
      <c r="BY649" s="39"/>
      <c r="BZ649" s="39">
        <f t="shared" ref="BZ649:BZ739" si="770">BU649+BW649+BY649</f>
        <v>0</v>
      </c>
      <c r="CA649" s="39">
        <f t="shared" si="747"/>
        <v>0</v>
      </c>
      <c r="CB649" s="39">
        <f t="shared" si="748"/>
        <v>0</v>
      </c>
      <c r="CC649" s="39">
        <f t="shared" si="749"/>
        <v>0</v>
      </c>
      <c r="CD649" s="39">
        <f t="shared" ref="CD649:CD739" si="771">SUMIF(CA649:CC649,"&lt;0")</f>
        <v>0</v>
      </c>
      <c r="CE649" s="47" t="e">
        <f t="shared" si="751"/>
        <v>#DIV/0!</v>
      </c>
      <c r="CF649" s="36"/>
      <c r="CG649" s="39"/>
      <c r="CH649" s="39"/>
      <c r="CI649" s="25">
        <v>2</v>
      </c>
    </row>
    <row r="650" spans="1:88" ht="24.75" customHeight="1">
      <c r="A650" s="39" t="s">
        <v>128</v>
      </c>
      <c r="B650" s="55"/>
      <c r="C650" s="36"/>
      <c r="D650" s="36"/>
      <c r="E650" s="39"/>
      <c r="F650" s="39"/>
      <c r="G650" s="36"/>
      <c r="H650" s="39"/>
      <c r="I650" s="39"/>
      <c r="J650" s="39"/>
      <c r="K650" s="39"/>
      <c r="L650" s="39">
        <f t="shared" si="765"/>
        <v>0</v>
      </c>
      <c r="M650" s="39"/>
      <c r="N650" s="39"/>
      <c r="O650" s="39"/>
      <c r="P650" s="39"/>
      <c r="Q650" s="39"/>
      <c r="R650" s="39">
        <f t="shared" si="766"/>
        <v>0</v>
      </c>
      <c r="S650" s="39"/>
      <c r="T650" s="39"/>
      <c r="U650" s="39"/>
      <c r="V650" s="39"/>
      <c r="W650" s="39"/>
      <c r="X650" s="39"/>
      <c r="Y650" s="39"/>
      <c r="Z650" s="39"/>
      <c r="AA650" s="39"/>
      <c r="AB650" s="39">
        <f t="shared" si="767"/>
        <v>0</v>
      </c>
      <c r="AC650" s="39"/>
      <c r="AD650" s="39"/>
      <c r="AE650" s="39"/>
      <c r="AF650" s="39"/>
      <c r="AG650" s="39"/>
      <c r="AH650" s="39">
        <f t="shared" si="768"/>
        <v>0</v>
      </c>
      <c r="AI650" s="39"/>
      <c r="AJ650" s="39"/>
      <c r="AK650" s="39"/>
      <c r="AL650" s="39"/>
      <c r="AM650" s="39"/>
      <c r="AN650" s="39">
        <f t="shared" si="703"/>
        <v>0</v>
      </c>
      <c r="AO650" s="39"/>
      <c r="AP650" s="39"/>
      <c r="AQ650" s="39"/>
      <c r="AR650" s="39"/>
      <c r="AS650" s="39"/>
      <c r="AT650" s="39">
        <f t="shared" si="743"/>
        <v>0</v>
      </c>
      <c r="AU650" s="39"/>
      <c r="AV650" s="39"/>
      <c r="AW650" s="39"/>
      <c r="AX650" s="39"/>
      <c r="AY650" s="39"/>
      <c r="AZ650" s="39">
        <f t="shared" si="744"/>
        <v>0</v>
      </c>
      <c r="BA650" s="39"/>
      <c r="BB650" s="39"/>
      <c r="BC650" s="39"/>
      <c r="BD650" s="39"/>
      <c r="BE650" s="39"/>
      <c r="BF650" s="39">
        <f t="shared" si="745"/>
        <v>0</v>
      </c>
      <c r="BG650" s="39"/>
      <c r="BH650" s="39"/>
      <c r="BI650" s="39"/>
      <c r="BJ650" s="39"/>
      <c r="BK650" s="39"/>
      <c r="BL650" s="39">
        <f t="shared" si="769"/>
        <v>0</v>
      </c>
      <c r="BM650" s="54" t="e">
        <f t="shared" si="746"/>
        <v>#DIV/0!</v>
      </c>
      <c r="BN650" s="67"/>
      <c r="BO650" s="39"/>
      <c r="BP650" s="39"/>
      <c r="BQ650" s="39"/>
      <c r="BR650" s="40"/>
      <c r="BS650" s="40"/>
      <c r="BT650" s="39"/>
      <c r="BU650" s="39"/>
      <c r="BV650" s="39"/>
      <c r="BW650" s="39"/>
      <c r="BX650" s="39"/>
      <c r="BY650" s="39"/>
      <c r="BZ650" s="39">
        <f t="shared" si="770"/>
        <v>0</v>
      </c>
      <c r="CA650" s="39">
        <f t="shared" si="747"/>
        <v>0</v>
      </c>
      <c r="CB650" s="39">
        <f t="shared" si="748"/>
        <v>0</v>
      </c>
      <c r="CC650" s="39">
        <f t="shared" si="749"/>
        <v>0</v>
      </c>
      <c r="CD650" s="39">
        <f t="shared" si="771"/>
        <v>0</v>
      </c>
      <c r="CE650" s="47" t="e">
        <f t="shared" si="751"/>
        <v>#DIV/0!</v>
      </c>
      <c r="CF650" s="36"/>
      <c r="CG650" s="39"/>
      <c r="CH650" s="39"/>
      <c r="CI650" s="25">
        <v>2</v>
      </c>
    </row>
    <row r="651" spans="1:88" ht="24.75" customHeight="1">
      <c r="A651" s="39" t="s">
        <v>128</v>
      </c>
      <c r="B651" s="55"/>
      <c r="C651" s="36"/>
      <c r="D651" s="36"/>
      <c r="E651" s="39"/>
      <c r="F651" s="39"/>
      <c r="G651" s="36"/>
      <c r="H651" s="39"/>
      <c r="I651" s="39"/>
      <c r="J651" s="39"/>
      <c r="K651" s="39"/>
      <c r="L651" s="39">
        <f t="shared" si="765"/>
        <v>0</v>
      </c>
      <c r="M651" s="39"/>
      <c r="N651" s="39"/>
      <c r="O651" s="39"/>
      <c r="P651" s="39"/>
      <c r="Q651" s="39"/>
      <c r="R651" s="39">
        <f t="shared" si="766"/>
        <v>0</v>
      </c>
      <c r="S651" s="39"/>
      <c r="T651" s="39"/>
      <c r="U651" s="39"/>
      <c r="V651" s="39"/>
      <c r="W651" s="39"/>
      <c r="X651" s="39"/>
      <c r="Y651" s="39"/>
      <c r="Z651" s="39"/>
      <c r="AA651" s="39"/>
      <c r="AB651" s="39">
        <f t="shared" si="767"/>
        <v>0</v>
      </c>
      <c r="AC651" s="39"/>
      <c r="AD651" s="39"/>
      <c r="AE651" s="39"/>
      <c r="AF651" s="39"/>
      <c r="AG651" s="39"/>
      <c r="AH651" s="39">
        <f t="shared" si="768"/>
        <v>0</v>
      </c>
      <c r="AI651" s="39"/>
      <c r="AJ651" s="39"/>
      <c r="AK651" s="39"/>
      <c r="AL651" s="39"/>
      <c r="AM651" s="39"/>
      <c r="AN651" s="39">
        <f t="shared" si="703"/>
        <v>0</v>
      </c>
      <c r="AO651" s="39"/>
      <c r="AP651" s="39"/>
      <c r="AQ651" s="39"/>
      <c r="AR651" s="39"/>
      <c r="AS651" s="39"/>
      <c r="AT651" s="39">
        <f t="shared" si="743"/>
        <v>0</v>
      </c>
      <c r="AU651" s="39"/>
      <c r="AV651" s="39"/>
      <c r="AW651" s="39"/>
      <c r="AX651" s="39"/>
      <c r="AY651" s="39"/>
      <c r="AZ651" s="39">
        <f t="shared" si="744"/>
        <v>0</v>
      </c>
      <c r="BA651" s="39"/>
      <c r="BB651" s="39"/>
      <c r="BC651" s="39"/>
      <c r="BD651" s="39"/>
      <c r="BE651" s="39"/>
      <c r="BF651" s="39">
        <f t="shared" si="745"/>
        <v>0</v>
      </c>
      <c r="BG651" s="39"/>
      <c r="BH651" s="39"/>
      <c r="BI651" s="39"/>
      <c r="BJ651" s="39"/>
      <c r="BK651" s="39"/>
      <c r="BL651" s="39">
        <f t="shared" si="769"/>
        <v>0</v>
      </c>
      <c r="BM651" s="54" t="e">
        <f t="shared" si="746"/>
        <v>#DIV/0!</v>
      </c>
      <c r="BN651" s="67"/>
      <c r="BO651" s="39"/>
      <c r="BP651" s="39"/>
      <c r="BQ651" s="39"/>
      <c r="BR651" s="40"/>
      <c r="BS651" s="40"/>
      <c r="BT651" s="39"/>
      <c r="BU651" s="39"/>
      <c r="BV651" s="39"/>
      <c r="BW651" s="39"/>
      <c r="BX651" s="39"/>
      <c r="BY651" s="39"/>
      <c r="BZ651" s="39">
        <f t="shared" si="770"/>
        <v>0</v>
      </c>
      <c r="CA651" s="39">
        <f t="shared" si="747"/>
        <v>0</v>
      </c>
      <c r="CB651" s="39">
        <f t="shared" si="748"/>
        <v>0</v>
      </c>
      <c r="CC651" s="39">
        <f t="shared" si="749"/>
        <v>0</v>
      </c>
      <c r="CD651" s="39">
        <f t="shared" si="771"/>
        <v>0</v>
      </c>
      <c r="CE651" s="47" t="e">
        <f t="shared" si="751"/>
        <v>#DIV/0!</v>
      </c>
      <c r="CF651" s="36"/>
      <c r="CG651" s="39"/>
      <c r="CH651" s="39"/>
      <c r="CI651" s="25">
        <v>2</v>
      </c>
    </row>
    <row r="652" spans="1:88" ht="24.75" customHeight="1">
      <c r="A652" s="39" t="s">
        <v>128</v>
      </c>
      <c r="B652" s="55"/>
      <c r="C652" s="36"/>
      <c r="D652" s="36"/>
      <c r="E652" s="39"/>
      <c r="F652" s="39"/>
      <c r="G652" s="36"/>
      <c r="H652" s="39"/>
      <c r="I652" s="39"/>
      <c r="J652" s="39"/>
      <c r="K652" s="39"/>
      <c r="L652" s="39">
        <f t="shared" si="765"/>
        <v>0</v>
      </c>
      <c r="M652" s="39"/>
      <c r="N652" s="39"/>
      <c r="O652" s="39"/>
      <c r="P652" s="39"/>
      <c r="Q652" s="39"/>
      <c r="R652" s="39">
        <f t="shared" si="766"/>
        <v>0</v>
      </c>
      <c r="S652" s="39"/>
      <c r="T652" s="39"/>
      <c r="U652" s="39"/>
      <c r="V652" s="39"/>
      <c r="W652" s="39"/>
      <c r="X652" s="39"/>
      <c r="Y652" s="39"/>
      <c r="Z652" s="39"/>
      <c r="AA652" s="39"/>
      <c r="AB652" s="39">
        <f t="shared" si="767"/>
        <v>0</v>
      </c>
      <c r="AC652" s="39"/>
      <c r="AD652" s="39"/>
      <c r="AE652" s="39"/>
      <c r="AF652" s="39"/>
      <c r="AG652" s="39"/>
      <c r="AH652" s="39">
        <f t="shared" si="768"/>
        <v>0</v>
      </c>
      <c r="AI652" s="39"/>
      <c r="AJ652" s="39"/>
      <c r="AK652" s="39"/>
      <c r="AL652" s="39"/>
      <c r="AM652" s="39"/>
      <c r="AN652" s="39">
        <f t="shared" si="703"/>
        <v>0</v>
      </c>
      <c r="AO652" s="39"/>
      <c r="AP652" s="39"/>
      <c r="AQ652" s="39"/>
      <c r="AR652" s="39"/>
      <c r="AS652" s="39"/>
      <c r="AT652" s="39">
        <f t="shared" si="743"/>
        <v>0</v>
      </c>
      <c r="AU652" s="39"/>
      <c r="AV652" s="39"/>
      <c r="AW652" s="39"/>
      <c r="AX652" s="39"/>
      <c r="AY652" s="39"/>
      <c r="AZ652" s="39">
        <f t="shared" si="744"/>
        <v>0</v>
      </c>
      <c r="BA652" s="39"/>
      <c r="BB652" s="39"/>
      <c r="BC652" s="39"/>
      <c r="BD652" s="39"/>
      <c r="BE652" s="39"/>
      <c r="BF652" s="39">
        <f t="shared" si="745"/>
        <v>0</v>
      </c>
      <c r="BG652" s="39"/>
      <c r="BH652" s="39"/>
      <c r="BI652" s="39"/>
      <c r="BJ652" s="39"/>
      <c r="BK652" s="39"/>
      <c r="BL652" s="39">
        <f t="shared" si="769"/>
        <v>0</v>
      </c>
      <c r="BM652" s="54" t="e">
        <f t="shared" si="746"/>
        <v>#DIV/0!</v>
      </c>
      <c r="BN652" s="67"/>
      <c r="BO652" s="39"/>
      <c r="BP652" s="39"/>
      <c r="BQ652" s="39"/>
      <c r="BR652" s="40"/>
      <c r="BS652" s="40"/>
      <c r="BT652" s="39"/>
      <c r="BU652" s="39"/>
      <c r="BV652" s="39"/>
      <c r="BW652" s="39"/>
      <c r="BX652" s="39"/>
      <c r="BY652" s="39"/>
      <c r="BZ652" s="39">
        <f t="shared" si="770"/>
        <v>0</v>
      </c>
      <c r="CA652" s="39">
        <f t="shared" si="747"/>
        <v>0</v>
      </c>
      <c r="CB652" s="39">
        <f t="shared" si="748"/>
        <v>0</v>
      </c>
      <c r="CC652" s="39">
        <f t="shared" si="749"/>
        <v>0</v>
      </c>
      <c r="CD652" s="39">
        <f t="shared" si="771"/>
        <v>0</v>
      </c>
      <c r="CE652" s="47" t="e">
        <f t="shared" si="751"/>
        <v>#DIV/0!</v>
      </c>
      <c r="CF652" s="36"/>
      <c r="CG652" s="39"/>
      <c r="CH652" s="39"/>
      <c r="CI652" s="25">
        <v>2</v>
      </c>
    </row>
    <row r="653" spans="1:88" ht="24.75" customHeight="1">
      <c r="A653" s="39" t="s">
        <v>128</v>
      </c>
      <c r="B653" s="55"/>
      <c r="C653" s="36"/>
      <c r="D653" s="36"/>
      <c r="E653" s="39"/>
      <c r="F653" s="39"/>
      <c r="G653" s="36"/>
      <c r="H653" s="39"/>
      <c r="I653" s="39"/>
      <c r="J653" s="39"/>
      <c r="K653" s="39"/>
      <c r="L653" s="39">
        <f t="shared" si="765"/>
        <v>0</v>
      </c>
      <c r="M653" s="39"/>
      <c r="N653" s="39"/>
      <c r="O653" s="39"/>
      <c r="P653" s="39"/>
      <c r="Q653" s="39"/>
      <c r="R653" s="39">
        <f t="shared" si="766"/>
        <v>0</v>
      </c>
      <c r="S653" s="39"/>
      <c r="T653" s="39"/>
      <c r="U653" s="39"/>
      <c r="V653" s="39"/>
      <c r="W653" s="39"/>
      <c r="X653" s="39"/>
      <c r="Y653" s="39"/>
      <c r="Z653" s="39"/>
      <c r="AA653" s="39"/>
      <c r="AB653" s="39">
        <f t="shared" si="767"/>
        <v>0</v>
      </c>
      <c r="AC653" s="39"/>
      <c r="AD653" s="39"/>
      <c r="AE653" s="39"/>
      <c r="AF653" s="39"/>
      <c r="AG653" s="39"/>
      <c r="AH653" s="39">
        <f t="shared" si="768"/>
        <v>0</v>
      </c>
      <c r="AI653" s="39"/>
      <c r="AJ653" s="39"/>
      <c r="AK653" s="39"/>
      <c r="AL653" s="39"/>
      <c r="AM653" s="39"/>
      <c r="AN653" s="39">
        <f t="shared" si="703"/>
        <v>0</v>
      </c>
      <c r="AO653" s="39"/>
      <c r="AP653" s="39"/>
      <c r="AQ653" s="39"/>
      <c r="AR653" s="39"/>
      <c r="AS653" s="39"/>
      <c r="AT653" s="39">
        <f t="shared" si="743"/>
        <v>0</v>
      </c>
      <c r="AU653" s="39"/>
      <c r="AV653" s="39"/>
      <c r="AW653" s="39"/>
      <c r="AX653" s="39"/>
      <c r="AY653" s="39"/>
      <c r="AZ653" s="39">
        <f t="shared" si="744"/>
        <v>0</v>
      </c>
      <c r="BA653" s="39"/>
      <c r="BB653" s="39"/>
      <c r="BC653" s="39"/>
      <c r="BD653" s="39"/>
      <c r="BE653" s="39"/>
      <c r="BF653" s="39">
        <f t="shared" si="745"/>
        <v>0</v>
      </c>
      <c r="BG653" s="39"/>
      <c r="BH653" s="39"/>
      <c r="BI653" s="39"/>
      <c r="BJ653" s="39"/>
      <c r="BK653" s="39"/>
      <c r="BL653" s="39">
        <f t="shared" si="769"/>
        <v>0</v>
      </c>
      <c r="BM653" s="54" t="e">
        <f t="shared" si="746"/>
        <v>#DIV/0!</v>
      </c>
      <c r="BN653" s="67"/>
      <c r="BO653" s="39"/>
      <c r="BP653" s="39"/>
      <c r="BQ653" s="39"/>
      <c r="BR653" s="40"/>
      <c r="BS653" s="40"/>
      <c r="BT653" s="39"/>
      <c r="BU653" s="39"/>
      <c r="BV653" s="39"/>
      <c r="BW653" s="39"/>
      <c r="BX653" s="39"/>
      <c r="BY653" s="39"/>
      <c r="BZ653" s="39">
        <f t="shared" si="770"/>
        <v>0</v>
      </c>
      <c r="CA653" s="39">
        <f t="shared" si="747"/>
        <v>0</v>
      </c>
      <c r="CB653" s="39">
        <f t="shared" si="748"/>
        <v>0</v>
      </c>
      <c r="CC653" s="39">
        <f t="shared" si="749"/>
        <v>0</v>
      </c>
      <c r="CD653" s="39">
        <f t="shared" si="771"/>
        <v>0</v>
      </c>
      <c r="CE653" s="47" t="e">
        <f t="shared" si="751"/>
        <v>#DIV/0!</v>
      </c>
      <c r="CF653" s="36"/>
      <c r="CG653" s="39"/>
      <c r="CH653" s="39"/>
      <c r="CI653" s="25">
        <v>2</v>
      </c>
    </row>
    <row r="654" spans="1:88" ht="24.75" customHeight="1">
      <c r="A654" s="39" t="s">
        <v>128</v>
      </c>
      <c r="B654" s="55"/>
      <c r="C654" s="36"/>
      <c r="D654" s="36"/>
      <c r="E654" s="39"/>
      <c r="F654" s="39"/>
      <c r="G654" s="36"/>
      <c r="H654" s="39"/>
      <c r="I654" s="39"/>
      <c r="J654" s="39"/>
      <c r="K654" s="39"/>
      <c r="L654" s="39">
        <f t="shared" si="765"/>
        <v>0</v>
      </c>
      <c r="M654" s="39"/>
      <c r="N654" s="39"/>
      <c r="O654" s="39"/>
      <c r="P654" s="39"/>
      <c r="Q654" s="39"/>
      <c r="R654" s="39">
        <f t="shared" si="766"/>
        <v>0</v>
      </c>
      <c r="S654" s="39"/>
      <c r="T654" s="39"/>
      <c r="U654" s="39"/>
      <c r="V654" s="39"/>
      <c r="W654" s="39"/>
      <c r="X654" s="39"/>
      <c r="Y654" s="39"/>
      <c r="Z654" s="39"/>
      <c r="AA654" s="39"/>
      <c r="AB654" s="39">
        <f t="shared" si="767"/>
        <v>0</v>
      </c>
      <c r="AC654" s="39"/>
      <c r="AD654" s="39"/>
      <c r="AE654" s="39"/>
      <c r="AF654" s="39"/>
      <c r="AG654" s="39"/>
      <c r="AH654" s="39">
        <f t="shared" si="768"/>
        <v>0</v>
      </c>
      <c r="AI654" s="39"/>
      <c r="AJ654" s="39"/>
      <c r="AK654" s="39"/>
      <c r="AL654" s="39"/>
      <c r="AM654" s="39"/>
      <c r="AN654" s="39">
        <f t="shared" si="703"/>
        <v>0</v>
      </c>
      <c r="AO654" s="39"/>
      <c r="AP654" s="39"/>
      <c r="AQ654" s="39"/>
      <c r="AR654" s="39"/>
      <c r="AS654" s="39"/>
      <c r="AT654" s="39">
        <f t="shared" si="743"/>
        <v>0</v>
      </c>
      <c r="AU654" s="39"/>
      <c r="AV654" s="39"/>
      <c r="AW654" s="39"/>
      <c r="AX654" s="39"/>
      <c r="AY654" s="39"/>
      <c r="AZ654" s="39">
        <f t="shared" si="744"/>
        <v>0</v>
      </c>
      <c r="BA654" s="39"/>
      <c r="BB654" s="39"/>
      <c r="BC654" s="39"/>
      <c r="BD654" s="39"/>
      <c r="BE654" s="39"/>
      <c r="BF654" s="39">
        <f t="shared" si="745"/>
        <v>0</v>
      </c>
      <c r="BG654" s="39"/>
      <c r="BH654" s="39"/>
      <c r="BI654" s="39"/>
      <c r="BJ654" s="39"/>
      <c r="BK654" s="39"/>
      <c r="BL654" s="39">
        <f t="shared" si="769"/>
        <v>0</v>
      </c>
      <c r="BM654" s="54" t="e">
        <f t="shared" si="746"/>
        <v>#DIV/0!</v>
      </c>
      <c r="BN654" s="63"/>
      <c r="BO654" s="39"/>
      <c r="BP654" s="39"/>
      <c r="BQ654" s="39"/>
      <c r="BR654" s="40"/>
      <c r="BS654" s="40"/>
      <c r="BT654" s="39"/>
      <c r="BU654" s="39"/>
      <c r="BV654" s="39"/>
      <c r="BW654" s="39"/>
      <c r="BX654" s="39"/>
      <c r="BY654" s="39"/>
      <c r="BZ654" s="39">
        <f t="shared" si="770"/>
        <v>0</v>
      </c>
      <c r="CA654" s="39">
        <f t="shared" si="747"/>
        <v>0</v>
      </c>
      <c r="CB654" s="39">
        <f t="shared" si="748"/>
        <v>0</v>
      </c>
      <c r="CC654" s="39">
        <f t="shared" si="749"/>
        <v>0</v>
      </c>
      <c r="CD654" s="39">
        <f t="shared" si="771"/>
        <v>0</v>
      </c>
      <c r="CE654" s="47" t="e">
        <f t="shared" si="751"/>
        <v>#DIV/0!</v>
      </c>
      <c r="CF654" s="36"/>
      <c r="CG654" s="39"/>
      <c r="CH654" s="39"/>
      <c r="CI654" s="25">
        <v>3</v>
      </c>
    </row>
    <row r="655" spans="1:88" ht="24.75" customHeight="1">
      <c r="A655" s="39" t="s">
        <v>128</v>
      </c>
      <c r="B655" s="55"/>
      <c r="C655" s="36"/>
      <c r="D655" s="36"/>
      <c r="E655" s="39"/>
      <c r="F655" s="39"/>
      <c r="G655" s="36"/>
      <c r="H655" s="39"/>
      <c r="I655" s="39"/>
      <c r="J655" s="39"/>
      <c r="K655" s="39"/>
      <c r="L655" s="39">
        <f t="shared" si="765"/>
        <v>0</v>
      </c>
      <c r="M655" s="39"/>
      <c r="N655" s="39"/>
      <c r="O655" s="39"/>
      <c r="P655" s="39"/>
      <c r="Q655" s="39"/>
      <c r="R655" s="39">
        <f t="shared" si="766"/>
        <v>0</v>
      </c>
      <c r="S655" s="39"/>
      <c r="T655" s="39"/>
      <c r="U655" s="39"/>
      <c r="V655" s="39"/>
      <c r="W655" s="39"/>
      <c r="X655" s="39"/>
      <c r="Y655" s="39"/>
      <c r="Z655" s="39"/>
      <c r="AA655" s="39"/>
      <c r="AB655" s="39">
        <f t="shared" si="767"/>
        <v>0</v>
      </c>
      <c r="AC655" s="39"/>
      <c r="AD655" s="39"/>
      <c r="AE655" s="39"/>
      <c r="AF655" s="39"/>
      <c r="AG655" s="39"/>
      <c r="AH655" s="39">
        <f t="shared" si="768"/>
        <v>0</v>
      </c>
      <c r="AI655" s="39"/>
      <c r="AJ655" s="39"/>
      <c r="AK655" s="39"/>
      <c r="AL655" s="39"/>
      <c r="AM655" s="39"/>
      <c r="AN655" s="39">
        <f t="shared" si="703"/>
        <v>0</v>
      </c>
      <c r="AO655" s="39"/>
      <c r="AP655" s="39"/>
      <c r="AQ655" s="39"/>
      <c r="AR655" s="39"/>
      <c r="AS655" s="39"/>
      <c r="AT655" s="39">
        <f t="shared" si="743"/>
        <v>0</v>
      </c>
      <c r="AU655" s="39"/>
      <c r="AV655" s="39"/>
      <c r="AW655" s="39"/>
      <c r="AX655" s="39"/>
      <c r="AY655" s="39"/>
      <c r="AZ655" s="39">
        <f t="shared" si="744"/>
        <v>0</v>
      </c>
      <c r="BA655" s="39"/>
      <c r="BB655" s="39"/>
      <c r="BC655" s="39"/>
      <c r="BD655" s="39"/>
      <c r="BE655" s="39"/>
      <c r="BF655" s="39">
        <f t="shared" si="745"/>
        <v>0</v>
      </c>
      <c r="BG655" s="39"/>
      <c r="BH655" s="39"/>
      <c r="BI655" s="39"/>
      <c r="BJ655" s="39"/>
      <c r="BK655" s="39"/>
      <c r="BL655" s="39">
        <f t="shared" si="769"/>
        <v>0</v>
      </c>
      <c r="BM655" s="54" t="e">
        <f t="shared" si="746"/>
        <v>#DIV/0!</v>
      </c>
      <c r="BN655" s="63"/>
      <c r="BO655" s="39"/>
      <c r="BP655" s="39"/>
      <c r="BQ655" s="39"/>
      <c r="BR655" s="40"/>
      <c r="BS655" s="40"/>
      <c r="BT655" s="39"/>
      <c r="BU655" s="39"/>
      <c r="BV655" s="39"/>
      <c r="BW655" s="39"/>
      <c r="BX655" s="39"/>
      <c r="BY655" s="39"/>
      <c r="BZ655" s="39">
        <f t="shared" si="770"/>
        <v>0</v>
      </c>
      <c r="CA655" s="39">
        <f t="shared" si="747"/>
        <v>0</v>
      </c>
      <c r="CB655" s="39">
        <f t="shared" si="748"/>
        <v>0</v>
      </c>
      <c r="CC655" s="39">
        <f t="shared" si="749"/>
        <v>0</v>
      </c>
      <c r="CD655" s="39">
        <f t="shared" si="771"/>
        <v>0</v>
      </c>
      <c r="CE655" s="47" t="e">
        <f t="shared" si="751"/>
        <v>#DIV/0!</v>
      </c>
      <c r="CF655" s="36"/>
      <c r="CG655" s="39"/>
      <c r="CH655" s="39"/>
      <c r="CI655" s="25">
        <v>3</v>
      </c>
      <c r="CJ655" s="6" t="s">
        <v>19</v>
      </c>
    </row>
    <row r="656" spans="1:88" ht="24.75" customHeight="1">
      <c r="A656" s="39" t="s">
        <v>128</v>
      </c>
      <c r="B656" s="55"/>
      <c r="C656" s="36"/>
      <c r="D656" s="36"/>
      <c r="E656" s="39"/>
      <c r="F656" s="39"/>
      <c r="G656" s="36"/>
      <c r="H656" s="39"/>
      <c r="I656" s="39"/>
      <c r="J656" s="39"/>
      <c r="K656" s="39"/>
      <c r="L656" s="39">
        <f t="shared" si="765"/>
        <v>0</v>
      </c>
      <c r="M656" s="39"/>
      <c r="N656" s="39"/>
      <c r="O656" s="39"/>
      <c r="P656" s="39"/>
      <c r="Q656" s="39"/>
      <c r="R656" s="39">
        <f t="shared" si="766"/>
        <v>0</v>
      </c>
      <c r="S656" s="39"/>
      <c r="T656" s="39"/>
      <c r="U656" s="39"/>
      <c r="V656" s="39"/>
      <c r="W656" s="39"/>
      <c r="X656" s="39"/>
      <c r="Y656" s="39"/>
      <c r="Z656" s="39"/>
      <c r="AA656" s="39"/>
      <c r="AB656" s="39">
        <f t="shared" si="767"/>
        <v>0</v>
      </c>
      <c r="AC656" s="39"/>
      <c r="AD656" s="39"/>
      <c r="AE656" s="39"/>
      <c r="AF656" s="39"/>
      <c r="AG656" s="39"/>
      <c r="AH656" s="39">
        <f t="shared" si="768"/>
        <v>0</v>
      </c>
      <c r="AI656" s="39"/>
      <c r="AJ656" s="39"/>
      <c r="AK656" s="39"/>
      <c r="AL656" s="39"/>
      <c r="AM656" s="39"/>
      <c r="AN656" s="39">
        <f t="shared" si="703"/>
        <v>0</v>
      </c>
      <c r="AO656" s="39"/>
      <c r="AP656" s="39"/>
      <c r="AQ656" s="39"/>
      <c r="AR656" s="39"/>
      <c r="AS656" s="39"/>
      <c r="AT656" s="39">
        <f t="shared" si="743"/>
        <v>0</v>
      </c>
      <c r="AU656" s="39"/>
      <c r="AV656" s="39"/>
      <c r="AW656" s="39"/>
      <c r="AX656" s="39"/>
      <c r="AY656" s="39"/>
      <c r="AZ656" s="39">
        <f t="shared" si="744"/>
        <v>0</v>
      </c>
      <c r="BA656" s="39"/>
      <c r="BB656" s="39"/>
      <c r="BC656" s="39"/>
      <c r="BD656" s="39"/>
      <c r="BE656" s="39"/>
      <c r="BF656" s="39">
        <f t="shared" si="745"/>
        <v>0</v>
      </c>
      <c r="BG656" s="39"/>
      <c r="BH656" s="39"/>
      <c r="BI656" s="39"/>
      <c r="BJ656" s="39"/>
      <c r="BK656" s="39"/>
      <c r="BL656" s="39">
        <f t="shared" si="769"/>
        <v>0</v>
      </c>
      <c r="BM656" s="54" t="e">
        <f t="shared" si="746"/>
        <v>#DIV/0!</v>
      </c>
      <c r="BN656" s="63"/>
      <c r="BO656" s="39"/>
      <c r="BP656" s="39"/>
      <c r="BQ656" s="39"/>
      <c r="BR656" s="40"/>
      <c r="BS656" s="40"/>
      <c r="BT656" s="39"/>
      <c r="BU656" s="39"/>
      <c r="BV656" s="39"/>
      <c r="BW656" s="39"/>
      <c r="BX656" s="39"/>
      <c r="BY656" s="39"/>
      <c r="BZ656" s="39">
        <f t="shared" si="770"/>
        <v>0</v>
      </c>
      <c r="CA656" s="39">
        <f t="shared" si="747"/>
        <v>0</v>
      </c>
      <c r="CB656" s="39">
        <f t="shared" si="748"/>
        <v>0</v>
      </c>
      <c r="CC656" s="39">
        <f t="shared" si="749"/>
        <v>0</v>
      </c>
      <c r="CD656" s="39">
        <f t="shared" si="771"/>
        <v>0</v>
      </c>
      <c r="CE656" s="47" t="e">
        <f t="shared" si="751"/>
        <v>#DIV/0!</v>
      </c>
      <c r="CF656" s="36"/>
      <c r="CG656" s="39"/>
      <c r="CH656" s="39"/>
      <c r="CI656" s="25">
        <v>3</v>
      </c>
    </row>
    <row r="657" spans="1:88" ht="24.75" customHeight="1">
      <c r="A657" s="39" t="s">
        <v>128</v>
      </c>
      <c r="B657" s="55"/>
      <c r="C657" s="36"/>
      <c r="D657" s="36"/>
      <c r="E657" s="39"/>
      <c r="F657" s="39"/>
      <c r="G657" s="36"/>
      <c r="H657" s="39"/>
      <c r="I657" s="39"/>
      <c r="J657" s="39"/>
      <c r="K657" s="39"/>
      <c r="L657" s="39">
        <f t="shared" si="765"/>
        <v>0</v>
      </c>
      <c r="M657" s="39"/>
      <c r="N657" s="39"/>
      <c r="O657" s="39"/>
      <c r="P657" s="39"/>
      <c r="Q657" s="39"/>
      <c r="R657" s="39">
        <f t="shared" si="766"/>
        <v>0</v>
      </c>
      <c r="S657" s="39"/>
      <c r="T657" s="39"/>
      <c r="U657" s="39"/>
      <c r="V657" s="39"/>
      <c r="W657" s="39"/>
      <c r="X657" s="39"/>
      <c r="Y657" s="39"/>
      <c r="Z657" s="39"/>
      <c r="AA657" s="39"/>
      <c r="AB657" s="39">
        <f t="shared" si="767"/>
        <v>0</v>
      </c>
      <c r="AC657" s="39"/>
      <c r="AD657" s="39"/>
      <c r="AE657" s="39"/>
      <c r="AF657" s="39"/>
      <c r="AG657" s="39"/>
      <c r="AH657" s="39">
        <f t="shared" si="768"/>
        <v>0</v>
      </c>
      <c r="AI657" s="39"/>
      <c r="AJ657" s="39"/>
      <c r="AK657" s="39"/>
      <c r="AL657" s="39"/>
      <c r="AM657" s="39"/>
      <c r="AN657" s="39">
        <f t="shared" si="703"/>
        <v>0</v>
      </c>
      <c r="AO657" s="39"/>
      <c r="AP657" s="39"/>
      <c r="AQ657" s="39"/>
      <c r="AR657" s="39"/>
      <c r="AS657" s="39"/>
      <c r="AT657" s="39">
        <f t="shared" si="743"/>
        <v>0</v>
      </c>
      <c r="AU657" s="39"/>
      <c r="AV657" s="39"/>
      <c r="AW657" s="39"/>
      <c r="AX657" s="39"/>
      <c r="AY657" s="39"/>
      <c r="AZ657" s="39">
        <f t="shared" si="744"/>
        <v>0</v>
      </c>
      <c r="BA657" s="39"/>
      <c r="BB657" s="39"/>
      <c r="BC657" s="39"/>
      <c r="BD657" s="39"/>
      <c r="BE657" s="39"/>
      <c r="BF657" s="39">
        <f t="shared" si="745"/>
        <v>0</v>
      </c>
      <c r="BG657" s="39"/>
      <c r="BH657" s="39"/>
      <c r="BI657" s="39"/>
      <c r="BJ657" s="39"/>
      <c r="BK657" s="39"/>
      <c r="BL657" s="39">
        <f t="shared" si="769"/>
        <v>0</v>
      </c>
      <c r="BM657" s="54" t="e">
        <f t="shared" si="746"/>
        <v>#DIV/0!</v>
      </c>
      <c r="BN657" s="63"/>
      <c r="BO657" s="39"/>
      <c r="BP657" s="39"/>
      <c r="BQ657" s="39"/>
      <c r="BR657" s="40"/>
      <c r="BS657" s="40"/>
      <c r="BT657" s="39"/>
      <c r="BU657" s="39"/>
      <c r="BV657" s="39"/>
      <c r="BW657" s="39"/>
      <c r="BX657" s="39"/>
      <c r="BY657" s="39"/>
      <c r="BZ657" s="39">
        <f t="shared" si="770"/>
        <v>0</v>
      </c>
      <c r="CA657" s="39">
        <f t="shared" si="747"/>
        <v>0</v>
      </c>
      <c r="CB657" s="39">
        <f t="shared" si="748"/>
        <v>0</v>
      </c>
      <c r="CC657" s="39">
        <f t="shared" si="749"/>
        <v>0</v>
      </c>
      <c r="CD657" s="39">
        <f t="shared" si="771"/>
        <v>0</v>
      </c>
      <c r="CE657" s="47" t="e">
        <f t="shared" si="751"/>
        <v>#DIV/0!</v>
      </c>
      <c r="CF657" s="36"/>
      <c r="CG657" s="39"/>
      <c r="CH657" s="39"/>
      <c r="CI657" s="25">
        <v>3</v>
      </c>
    </row>
    <row r="658" spans="1:88" ht="24.75" customHeight="1">
      <c r="A658" s="39" t="s">
        <v>128</v>
      </c>
      <c r="B658" s="55"/>
      <c r="C658" s="36"/>
      <c r="D658" s="36"/>
      <c r="E658" s="39"/>
      <c r="F658" s="39"/>
      <c r="G658" s="36"/>
      <c r="H658" s="39"/>
      <c r="I658" s="39"/>
      <c r="J658" s="39"/>
      <c r="K658" s="39"/>
      <c r="L658" s="39">
        <f t="shared" si="765"/>
        <v>0</v>
      </c>
      <c r="M658" s="39"/>
      <c r="N658" s="39"/>
      <c r="O658" s="39"/>
      <c r="P658" s="39"/>
      <c r="Q658" s="39"/>
      <c r="R658" s="39">
        <f t="shared" si="766"/>
        <v>0</v>
      </c>
      <c r="S658" s="39"/>
      <c r="T658" s="39"/>
      <c r="U658" s="39"/>
      <c r="V658" s="39"/>
      <c r="W658" s="39"/>
      <c r="X658" s="39"/>
      <c r="Y658" s="39"/>
      <c r="Z658" s="39"/>
      <c r="AA658" s="39"/>
      <c r="AB658" s="39">
        <f t="shared" si="767"/>
        <v>0</v>
      </c>
      <c r="AC658" s="39"/>
      <c r="AD658" s="39"/>
      <c r="AE658" s="39"/>
      <c r="AF658" s="39"/>
      <c r="AG658" s="39"/>
      <c r="AH658" s="39">
        <f t="shared" si="768"/>
        <v>0</v>
      </c>
      <c r="AI658" s="39"/>
      <c r="AJ658" s="39"/>
      <c r="AK658" s="39"/>
      <c r="AL658" s="39"/>
      <c r="AM658" s="39"/>
      <c r="AN658" s="39">
        <f t="shared" si="703"/>
        <v>0</v>
      </c>
      <c r="AO658" s="39"/>
      <c r="AP658" s="39"/>
      <c r="AQ658" s="39"/>
      <c r="AR658" s="39"/>
      <c r="AS658" s="39"/>
      <c r="AT658" s="39">
        <f t="shared" si="743"/>
        <v>0</v>
      </c>
      <c r="AU658" s="39"/>
      <c r="AV658" s="39"/>
      <c r="AW658" s="39"/>
      <c r="AX658" s="39"/>
      <c r="AY658" s="39"/>
      <c r="AZ658" s="39">
        <f t="shared" si="744"/>
        <v>0</v>
      </c>
      <c r="BA658" s="39"/>
      <c r="BB658" s="39"/>
      <c r="BC658" s="39"/>
      <c r="BD658" s="39"/>
      <c r="BE658" s="39"/>
      <c r="BF658" s="39">
        <f t="shared" si="745"/>
        <v>0</v>
      </c>
      <c r="BG658" s="39"/>
      <c r="BH658" s="39"/>
      <c r="BI658" s="39"/>
      <c r="BJ658" s="39"/>
      <c r="BK658" s="39"/>
      <c r="BL658" s="39">
        <f t="shared" si="769"/>
        <v>0</v>
      </c>
      <c r="BM658" s="54" t="e">
        <f t="shared" si="746"/>
        <v>#DIV/0!</v>
      </c>
      <c r="BN658" s="63"/>
      <c r="BO658" s="39"/>
      <c r="BP658" s="39"/>
      <c r="BQ658" s="39"/>
      <c r="BR658" s="40"/>
      <c r="BS658" s="40"/>
      <c r="BT658" s="39"/>
      <c r="BU658" s="39"/>
      <c r="BV658" s="39"/>
      <c r="BW658" s="39"/>
      <c r="BX658" s="39"/>
      <c r="BY658" s="39"/>
      <c r="BZ658" s="39">
        <f t="shared" si="770"/>
        <v>0</v>
      </c>
      <c r="CA658" s="39">
        <f t="shared" si="747"/>
        <v>0</v>
      </c>
      <c r="CB658" s="39">
        <f t="shared" si="748"/>
        <v>0</v>
      </c>
      <c r="CC658" s="39">
        <f t="shared" si="749"/>
        <v>0</v>
      </c>
      <c r="CD658" s="39">
        <f t="shared" si="771"/>
        <v>0</v>
      </c>
      <c r="CE658" s="47" t="e">
        <f t="shared" si="751"/>
        <v>#DIV/0!</v>
      </c>
      <c r="CF658" s="36"/>
      <c r="CG658" s="39"/>
      <c r="CH658" s="39"/>
      <c r="CI658" s="25">
        <v>3</v>
      </c>
    </row>
    <row r="659" spans="1:88" ht="24.75" customHeight="1">
      <c r="A659" s="39" t="s">
        <v>86</v>
      </c>
      <c r="B659" s="55">
        <v>47739</v>
      </c>
      <c r="C659" s="264" t="s">
        <v>768</v>
      </c>
      <c r="D659" s="39"/>
      <c r="E659" s="39">
        <v>160</v>
      </c>
      <c r="F659" s="39" t="s">
        <v>55</v>
      </c>
      <c r="G659" s="36" t="s">
        <v>731</v>
      </c>
      <c r="H659" s="39" t="s">
        <v>26</v>
      </c>
      <c r="I659" s="39">
        <v>2340</v>
      </c>
      <c r="J659" s="39"/>
      <c r="K659" s="39"/>
      <c r="L659" s="39">
        <v>0</v>
      </c>
      <c r="M659" s="117">
        <v>46157</v>
      </c>
      <c r="N659" s="117">
        <v>46167</v>
      </c>
      <c r="O659" s="39"/>
      <c r="P659" s="39"/>
      <c r="Q659" s="39"/>
      <c r="R659" s="39">
        <f>SUM(O659:Q659)</f>
        <v>0</v>
      </c>
      <c r="S659" s="39" t="s">
        <v>130</v>
      </c>
      <c r="T659" s="260" t="s">
        <v>790</v>
      </c>
      <c r="U659" s="261"/>
      <c r="V659" s="39"/>
      <c r="W659" s="39"/>
      <c r="X659" s="39"/>
      <c r="Y659" s="39"/>
      <c r="Z659" s="39"/>
      <c r="AA659" s="39"/>
      <c r="AB659" s="39">
        <f>SUM(Y659:AA659)</f>
        <v>0</v>
      </c>
      <c r="AC659" s="39"/>
      <c r="AD659" s="39"/>
      <c r="AE659" s="39"/>
      <c r="AF659" s="39"/>
      <c r="AG659" s="39"/>
      <c r="AH659" s="39">
        <f>AG659-AE659</f>
        <v>0</v>
      </c>
      <c r="AI659" s="39"/>
      <c r="AJ659" s="39"/>
      <c r="AK659" s="39"/>
      <c r="AL659" s="39"/>
      <c r="AM659" s="39"/>
      <c r="AN659" s="39">
        <f t="shared" si="703"/>
        <v>0</v>
      </c>
      <c r="AO659" s="39"/>
      <c r="AP659" s="39"/>
      <c r="AQ659" s="39"/>
      <c r="AR659" s="39"/>
      <c r="AS659" s="39"/>
      <c r="AT659" s="39">
        <f t="shared" si="743"/>
        <v>0</v>
      </c>
      <c r="AU659" s="39"/>
      <c r="AV659" s="39"/>
      <c r="AW659" s="39"/>
      <c r="AX659" s="39"/>
      <c r="AY659" s="39"/>
      <c r="AZ659" s="39">
        <f t="shared" si="744"/>
        <v>0</v>
      </c>
      <c r="BA659" s="39"/>
      <c r="BB659" s="39"/>
      <c r="BC659" s="39"/>
      <c r="BD659" s="39"/>
      <c r="BE659" s="39"/>
      <c r="BF659" s="39">
        <f t="shared" si="745"/>
        <v>0</v>
      </c>
      <c r="BG659" s="39"/>
      <c r="BH659" s="39"/>
      <c r="BI659" s="39"/>
      <c r="BJ659" s="39"/>
      <c r="BK659" s="39"/>
      <c r="BL659" s="39">
        <f>BK659-BI659</f>
        <v>0</v>
      </c>
      <c r="BM659" s="54" t="e">
        <f t="shared" si="746"/>
        <v>#DIV/0!</v>
      </c>
      <c r="BN659" s="56">
        <v>46178</v>
      </c>
      <c r="BO659" s="117">
        <v>46188</v>
      </c>
      <c r="BP659" s="39"/>
      <c r="BQ659" s="39"/>
      <c r="BR659" s="256"/>
      <c r="BS659" s="256"/>
      <c r="BT659" s="39"/>
      <c r="BU659" s="39"/>
      <c r="BV659" s="39"/>
      <c r="BW659" s="39"/>
      <c r="BX659" s="39"/>
      <c r="BY659" s="39"/>
      <c r="BZ659" s="39">
        <f>BU659+BW659+BY659</f>
        <v>0</v>
      </c>
      <c r="CA659" s="39">
        <v>0</v>
      </c>
      <c r="CB659" s="39">
        <f t="shared" si="748"/>
        <v>0</v>
      </c>
      <c r="CC659" s="39">
        <f t="shared" si="749"/>
        <v>0</v>
      </c>
      <c r="CD659" s="39">
        <f>SUMIF(CA659:CC659,"&lt;0")</f>
        <v>0</v>
      </c>
      <c r="CE659" s="47" t="e">
        <f t="shared" si="751"/>
        <v>#DIV/0!</v>
      </c>
      <c r="CF659" s="39"/>
      <c r="CG659" s="39" t="s">
        <v>234</v>
      </c>
      <c r="CH659" s="39"/>
      <c r="CI659" s="25">
        <v>1</v>
      </c>
      <c r="CJ659" s="6" t="s">
        <v>19</v>
      </c>
    </row>
    <row r="660" spans="1:88" ht="24.75" customHeight="1">
      <c r="A660" s="39" t="s">
        <v>86</v>
      </c>
      <c r="B660" s="55">
        <v>47739</v>
      </c>
      <c r="C660" s="265"/>
      <c r="D660" s="39"/>
      <c r="E660" s="39">
        <v>160</v>
      </c>
      <c r="F660" s="39" t="s">
        <v>57</v>
      </c>
      <c r="G660" s="36" t="s">
        <v>731</v>
      </c>
      <c r="H660" s="39" t="s">
        <v>26</v>
      </c>
      <c r="I660" s="39">
        <v>795</v>
      </c>
      <c r="J660" s="39"/>
      <c r="K660" s="39"/>
      <c r="L660" s="39">
        <v>0</v>
      </c>
      <c r="M660" s="117">
        <v>46157</v>
      </c>
      <c r="N660" s="117">
        <v>46167</v>
      </c>
      <c r="O660" s="39"/>
      <c r="P660" s="39"/>
      <c r="Q660" s="39"/>
      <c r="R660" s="39">
        <f>SUM(O660:Q660)</f>
        <v>0</v>
      </c>
      <c r="S660" s="39" t="s">
        <v>130</v>
      </c>
      <c r="T660" s="262"/>
      <c r="U660" s="263"/>
      <c r="V660" s="39"/>
      <c r="W660" s="39"/>
      <c r="X660" s="39"/>
      <c r="Y660" s="39"/>
      <c r="Z660" s="39"/>
      <c r="AA660" s="39"/>
      <c r="AB660" s="39">
        <f>SUM(Y660:AA660)</f>
        <v>0</v>
      </c>
      <c r="AC660" s="39"/>
      <c r="AD660" s="39"/>
      <c r="AE660" s="39"/>
      <c r="AF660" s="39"/>
      <c r="AG660" s="39"/>
      <c r="AH660" s="39">
        <f>AG660-AE660</f>
        <v>0</v>
      </c>
      <c r="AI660" s="39"/>
      <c r="AJ660" s="39"/>
      <c r="AK660" s="39"/>
      <c r="AL660" s="39"/>
      <c r="AM660" s="39"/>
      <c r="AN660" s="39">
        <f t="shared" ref="AN660:AN662" si="772">AM660-AK660</f>
        <v>0</v>
      </c>
      <c r="AO660" s="39"/>
      <c r="AP660" s="39"/>
      <c r="AQ660" s="39"/>
      <c r="AR660" s="39"/>
      <c r="AS660" s="39"/>
      <c r="AT660" s="39">
        <f t="shared" ref="AT660:AT662" si="773">AS660-AQ660</f>
        <v>0</v>
      </c>
      <c r="AU660" s="39"/>
      <c r="AV660" s="39"/>
      <c r="AW660" s="39"/>
      <c r="AX660" s="39"/>
      <c r="AY660" s="39"/>
      <c r="AZ660" s="39">
        <f t="shared" ref="AZ660:AZ662" si="774">AY660-AW660</f>
        <v>0</v>
      </c>
      <c r="BA660" s="39"/>
      <c r="BB660" s="39"/>
      <c r="BC660" s="39"/>
      <c r="BD660" s="39"/>
      <c r="BE660" s="39"/>
      <c r="BF660" s="39">
        <f t="shared" ref="BF660:BF662" si="775">BE660-BC660</f>
        <v>0</v>
      </c>
      <c r="BG660" s="39"/>
      <c r="BH660" s="39"/>
      <c r="BI660" s="39"/>
      <c r="BJ660" s="39"/>
      <c r="BK660" s="39"/>
      <c r="BL660" s="39">
        <f>BK660-BI660</f>
        <v>0</v>
      </c>
      <c r="BM660" s="54" t="e">
        <f t="shared" ref="BM660:BM662" si="776">IF((BZ660/L660)&lt;0.9,$CO$1-U660,"")</f>
        <v>#DIV/0!</v>
      </c>
      <c r="BN660" s="56">
        <v>46178</v>
      </c>
      <c r="BO660" s="117">
        <v>46188</v>
      </c>
      <c r="BP660" s="39"/>
      <c r="BQ660" s="39"/>
      <c r="BR660" s="242"/>
      <c r="BS660" s="242"/>
      <c r="BT660" s="39"/>
      <c r="BU660" s="39"/>
      <c r="BV660" s="39"/>
      <c r="BW660" s="39"/>
      <c r="BX660" s="39"/>
      <c r="BY660" s="39"/>
      <c r="BZ660" s="39">
        <f>BU660+BW660+BY660</f>
        <v>0</v>
      </c>
      <c r="CA660" s="39">
        <v>0</v>
      </c>
      <c r="CB660" s="39">
        <f t="shared" si="748"/>
        <v>0</v>
      </c>
      <c r="CC660" s="39">
        <f t="shared" si="749"/>
        <v>0</v>
      </c>
      <c r="CD660" s="39">
        <f>SUMIF(CA660:CC660,"&lt;0")</f>
        <v>0</v>
      </c>
      <c r="CE660" s="47" t="e">
        <f t="shared" si="751"/>
        <v>#DIV/0!</v>
      </c>
      <c r="CF660" s="39"/>
      <c r="CG660" s="39" t="s">
        <v>234</v>
      </c>
      <c r="CH660" s="39"/>
      <c r="CI660" s="25">
        <v>1</v>
      </c>
      <c r="CJ660" s="6" t="s">
        <v>19</v>
      </c>
    </row>
    <row r="661" spans="1:88" ht="30.75" customHeight="1">
      <c r="A661" s="39" t="s">
        <v>86</v>
      </c>
      <c r="B661" s="55">
        <v>47817</v>
      </c>
      <c r="C661" s="146" t="s">
        <v>1081</v>
      </c>
      <c r="D661" s="36" t="s">
        <v>254</v>
      </c>
      <c r="E661" s="39">
        <v>230</v>
      </c>
      <c r="F661" s="39" t="s">
        <v>55</v>
      </c>
      <c r="G661" s="36" t="s">
        <v>983</v>
      </c>
      <c r="H661" s="39" t="s">
        <v>32</v>
      </c>
      <c r="I661" s="39">
        <f>8639+220</f>
        <v>8859</v>
      </c>
      <c r="J661" s="39">
        <f>2981+76</f>
        <v>3057</v>
      </c>
      <c r="K661" s="39"/>
      <c r="L661" s="39">
        <f t="shared" ref="L661:L662" si="777">SUM(I661:K661)</f>
        <v>11916</v>
      </c>
      <c r="M661" s="117">
        <v>46178</v>
      </c>
      <c r="N661" s="117">
        <v>46185</v>
      </c>
      <c r="O661" s="39"/>
      <c r="P661" s="39"/>
      <c r="Q661" s="39"/>
      <c r="R661" s="39">
        <f t="shared" ref="R661:R662" si="778">SUM(O661:Q661)</f>
        <v>0</v>
      </c>
      <c r="S661" s="39" t="s">
        <v>130</v>
      </c>
      <c r="T661" s="39" t="s">
        <v>1708</v>
      </c>
      <c r="U661" s="117" t="s">
        <v>1705</v>
      </c>
      <c r="V661" s="39"/>
      <c r="W661" s="39"/>
      <c r="X661" s="39"/>
      <c r="Y661" s="39">
        <f>760+745+755+761+755+755+755+750+808+710+715+700+856+503+224</f>
        <v>10552</v>
      </c>
      <c r="Z661" s="39">
        <f>260+260+260+269+260+260+260+260+260+250+285+285+174+144+66</f>
        <v>3553</v>
      </c>
      <c r="AA661" s="39"/>
      <c r="AB661" s="119">
        <f t="shared" ref="AB661:AB662" si="779">SUM(Y661:AA661)</f>
        <v>14105</v>
      </c>
      <c r="AC661" s="39"/>
      <c r="AD661" s="39"/>
      <c r="AE661" s="39"/>
      <c r="AF661" s="39"/>
      <c r="AG661" s="39"/>
      <c r="AH661" s="39">
        <f t="shared" ref="AH661:AH662" si="780">AG661-AE661</f>
        <v>0</v>
      </c>
      <c r="AI661" s="39"/>
      <c r="AJ661" s="39"/>
      <c r="AK661" s="39"/>
      <c r="AL661" s="39"/>
      <c r="AM661" s="39"/>
      <c r="AN661" s="39">
        <f t="shared" si="772"/>
        <v>0</v>
      </c>
      <c r="AO661" s="39" t="s">
        <v>412</v>
      </c>
      <c r="AP661" s="117" t="s">
        <v>1698</v>
      </c>
      <c r="AQ661" s="39">
        <f>33+694+666+684+713+687+714+708+685+710+757+673+663+133+10+639+640+656+422+227+791+209</f>
        <v>12114</v>
      </c>
      <c r="AR661" s="117" t="s">
        <v>1806</v>
      </c>
      <c r="AS661" s="39">
        <f>642+664+656+680+656+681+684+34+647+635+143+635+645+725+528+621+615+628+405+217+755+200</f>
        <v>12096</v>
      </c>
      <c r="AT661" s="39">
        <f t="shared" si="773"/>
        <v>-18</v>
      </c>
      <c r="AU661" s="39" t="s">
        <v>274</v>
      </c>
      <c r="AV661" s="117" t="s">
        <v>1699</v>
      </c>
      <c r="AW661" s="39">
        <f>33+694+666+684+713+687+714+708+685+710+757+673+663+143+528+639+640+656+422+227+791+209</f>
        <v>12642</v>
      </c>
      <c r="AX661" s="117" t="s">
        <v>1805</v>
      </c>
      <c r="AY661" s="39">
        <f>642+664+656+680+656+681+684+34+647+635+141+635+645+725+516+621+615+628+405+217+755+200</f>
        <v>12082</v>
      </c>
      <c r="AZ661" s="39">
        <f t="shared" si="774"/>
        <v>-560</v>
      </c>
      <c r="BA661" s="39"/>
      <c r="BB661" s="39"/>
      <c r="BC661" s="39"/>
      <c r="BD661" s="39"/>
      <c r="BE661" s="39"/>
      <c r="BF661" s="39">
        <f t="shared" si="775"/>
        <v>0</v>
      </c>
      <c r="BG661" s="39"/>
      <c r="BH661" s="39"/>
      <c r="BI661" s="39"/>
      <c r="BJ661" s="39"/>
      <c r="BK661" s="39"/>
      <c r="BL661" s="39">
        <f t="shared" ref="BL661:BL662" si="781">BK661-BI661</f>
        <v>0</v>
      </c>
      <c r="BM661" s="54" t="str">
        <f t="shared" si="776"/>
        <v/>
      </c>
      <c r="BN661" s="56">
        <v>46181</v>
      </c>
      <c r="BO661" s="117">
        <v>46195</v>
      </c>
      <c r="BP661" s="39"/>
      <c r="BQ661" s="39"/>
      <c r="BR661" s="233">
        <v>46190</v>
      </c>
      <c r="BS661" s="233">
        <v>46217</v>
      </c>
      <c r="BT661" s="39" t="s">
        <v>1793</v>
      </c>
      <c r="BU661" s="39">
        <f>31+637+643+620+5+621+612+623+25+606-638+600+706+576+623+617+662+400+65+202+518+202+60+13+384+90+232</f>
        <v>9735</v>
      </c>
      <c r="BV661" s="39" t="s">
        <v>1717</v>
      </c>
      <c r="BW661" s="39">
        <f>6+249+244+233+231+228+266+237-249+242+242+256+240+249+248+240+32+164+62</f>
        <v>3420</v>
      </c>
      <c r="BX661" s="39"/>
      <c r="BY661" s="39"/>
      <c r="BZ661" s="39">
        <f t="shared" ref="BZ661:BZ662" si="782">BU661+BW661+BY661</f>
        <v>13155</v>
      </c>
      <c r="CA661" s="39">
        <f t="shared" ref="CA661:CA662" si="783">BU661-I661</f>
        <v>876</v>
      </c>
      <c r="CB661" s="39">
        <f t="shared" si="748"/>
        <v>363</v>
      </c>
      <c r="CC661" s="39">
        <f t="shared" si="749"/>
        <v>0</v>
      </c>
      <c r="CD661" s="39">
        <f t="shared" ref="CD661" si="784">SUMIF(CA661:CC661,"&lt;0")</f>
        <v>0</v>
      </c>
      <c r="CE661" s="102">
        <f t="shared" si="751"/>
        <v>0</v>
      </c>
      <c r="CF661" s="39"/>
      <c r="CG661" s="39" t="s">
        <v>234</v>
      </c>
      <c r="CH661" s="39" t="s">
        <v>1377</v>
      </c>
      <c r="CI661" s="25">
        <v>1</v>
      </c>
      <c r="CJ661" s="6" t="s">
        <v>19</v>
      </c>
    </row>
    <row r="662" spans="1:88" ht="30.75" customHeight="1">
      <c r="A662" s="39" t="s">
        <v>86</v>
      </c>
      <c r="B662" s="55">
        <v>47817</v>
      </c>
      <c r="C662" s="146" t="s">
        <v>1082</v>
      </c>
      <c r="D662" s="36" t="s">
        <v>254</v>
      </c>
      <c r="E662" s="39">
        <v>230</v>
      </c>
      <c r="F662" s="39" t="s">
        <v>58</v>
      </c>
      <c r="G662" s="36" t="s">
        <v>983</v>
      </c>
      <c r="H662" s="39" t="s">
        <v>32</v>
      </c>
      <c r="I662" s="39">
        <f>4208-60</f>
        <v>4148</v>
      </c>
      <c r="J662" s="39">
        <f>1442-21</f>
        <v>1421</v>
      </c>
      <c r="K662" s="39"/>
      <c r="L662" s="39">
        <f t="shared" si="777"/>
        <v>5569</v>
      </c>
      <c r="M662" s="117">
        <v>46178</v>
      </c>
      <c r="N662" s="117">
        <v>46185</v>
      </c>
      <c r="O662" s="39"/>
      <c r="P662" s="39"/>
      <c r="Q662" s="39"/>
      <c r="R662" s="39">
        <f t="shared" si="778"/>
        <v>0</v>
      </c>
      <c r="S662" s="39" t="s">
        <v>130</v>
      </c>
      <c r="T662" s="39" t="s">
        <v>1707</v>
      </c>
      <c r="U662" s="117" t="s">
        <v>1706</v>
      </c>
      <c r="V662" s="39"/>
      <c r="W662" s="39"/>
      <c r="X662" s="39"/>
      <c r="Y662" s="39">
        <f>755+755+755+770+755+835+793+110+43</f>
        <v>5571</v>
      </c>
      <c r="Z662" s="39">
        <f>260+260+262+260+260+310+247+24</f>
        <v>1883</v>
      </c>
      <c r="AA662" s="39"/>
      <c r="AB662" s="119">
        <f t="shared" si="779"/>
        <v>7454</v>
      </c>
      <c r="AC662" s="39"/>
      <c r="AD662" s="39"/>
      <c r="AE662" s="39"/>
      <c r="AF662" s="39"/>
      <c r="AG662" s="39"/>
      <c r="AH662" s="39">
        <f t="shared" si="780"/>
        <v>0</v>
      </c>
      <c r="AI662" s="39"/>
      <c r="AJ662" s="39"/>
      <c r="AK662" s="39"/>
      <c r="AL662" s="39"/>
      <c r="AM662" s="39"/>
      <c r="AN662" s="39">
        <f t="shared" si="772"/>
        <v>0</v>
      </c>
      <c r="AO662" s="39" t="s">
        <v>257</v>
      </c>
      <c r="AP662" s="117" t="s">
        <v>1700</v>
      </c>
      <c r="AQ662" s="39">
        <f>732+710+727+713+639+774+734+636</f>
        <v>5665</v>
      </c>
      <c r="AR662" s="117" t="s">
        <v>1803</v>
      </c>
      <c r="AS662" s="39">
        <f>707+651+702+677+680+745+107+701+608</f>
        <v>5578</v>
      </c>
      <c r="AT662" s="39">
        <f t="shared" si="773"/>
        <v>-87</v>
      </c>
      <c r="AU662" s="39" t="s">
        <v>257</v>
      </c>
      <c r="AV662" s="117" t="s">
        <v>1700</v>
      </c>
      <c r="AW662" s="39">
        <f>732+710+727+713+639+774+734+636</f>
        <v>5665</v>
      </c>
      <c r="AX662" s="117" t="s">
        <v>1804</v>
      </c>
      <c r="AY662" s="39">
        <f>707+651+702+677+623+745+107+701+608</f>
        <v>5521</v>
      </c>
      <c r="AZ662" s="39">
        <f t="shared" si="774"/>
        <v>-144</v>
      </c>
      <c r="BA662" s="39"/>
      <c r="BB662" s="39"/>
      <c r="BC662" s="39"/>
      <c r="BD662" s="39"/>
      <c r="BE662" s="39"/>
      <c r="BF662" s="39">
        <f t="shared" si="775"/>
        <v>0</v>
      </c>
      <c r="BG662" s="39"/>
      <c r="BH662" s="39"/>
      <c r="BI662" s="39"/>
      <c r="BJ662" s="39"/>
      <c r="BK662" s="39"/>
      <c r="BL662" s="39">
        <f t="shared" si="781"/>
        <v>0</v>
      </c>
      <c r="BM662" s="54" t="str">
        <f t="shared" si="776"/>
        <v/>
      </c>
      <c r="BN662" s="56">
        <v>46181</v>
      </c>
      <c r="BO662" s="117">
        <v>46195</v>
      </c>
      <c r="BP662" s="39"/>
      <c r="BQ662" s="39"/>
      <c r="BR662" s="234"/>
      <c r="BS662" s="234"/>
      <c r="BT662" s="39" t="s">
        <v>1794</v>
      </c>
      <c r="BU662" s="39">
        <f>663+591+592+559+657+45+75+678+106+83</f>
        <v>4049</v>
      </c>
      <c r="BV662" s="39" t="s">
        <v>1716</v>
      </c>
      <c r="BW662" s="39">
        <f>249+248+240+262+293+234+134</f>
        <v>1660</v>
      </c>
      <c r="BX662" s="39"/>
      <c r="BY662" s="39"/>
      <c r="BZ662" s="39">
        <f t="shared" si="782"/>
        <v>5709</v>
      </c>
      <c r="CA662" s="39">
        <f t="shared" si="783"/>
        <v>-99</v>
      </c>
      <c r="CB662" s="39">
        <f t="shared" si="748"/>
        <v>239</v>
      </c>
      <c r="CC662" s="39">
        <f t="shared" si="749"/>
        <v>0</v>
      </c>
      <c r="CD662" s="39">
        <v>0</v>
      </c>
      <c r="CE662" s="102">
        <f t="shared" si="751"/>
        <v>0</v>
      </c>
      <c r="CF662" s="39"/>
      <c r="CG662" s="39" t="s">
        <v>234</v>
      </c>
      <c r="CH662" s="39" t="s">
        <v>1403</v>
      </c>
      <c r="CI662" s="25">
        <v>1</v>
      </c>
      <c r="CJ662" s="6" t="s">
        <v>19</v>
      </c>
    </row>
    <row r="663" spans="1:88" ht="24.75" customHeight="1">
      <c r="A663" s="39" t="s">
        <v>86</v>
      </c>
      <c r="B663" s="55"/>
      <c r="C663" s="39"/>
      <c r="D663" s="39"/>
      <c r="E663" s="39"/>
      <c r="F663" s="39"/>
      <c r="G663" s="36"/>
      <c r="H663" s="39"/>
      <c r="I663" s="39"/>
      <c r="J663" s="39"/>
      <c r="K663" s="39"/>
      <c r="L663" s="39">
        <f>SUM(I663:K663)</f>
        <v>0</v>
      </c>
      <c r="M663" s="39"/>
      <c r="N663" s="39"/>
      <c r="O663" s="39"/>
      <c r="P663" s="39"/>
      <c r="Q663" s="39"/>
      <c r="R663" s="39">
        <f>SUM(O663:Q663)</f>
        <v>0</v>
      </c>
      <c r="S663" s="39"/>
      <c r="T663" s="39"/>
      <c r="U663" s="39"/>
      <c r="V663" s="39"/>
      <c r="W663" s="39"/>
      <c r="X663" s="39"/>
      <c r="Y663" s="39"/>
      <c r="Z663" s="39"/>
      <c r="AA663" s="39"/>
      <c r="AB663" s="39">
        <f>SUM(Y663:AA663)</f>
        <v>0</v>
      </c>
      <c r="AC663" s="39"/>
      <c r="AD663" s="39"/>
      <c r="AE663" s="39"/>
      <c r="AF663" s="39"/>
      <c r="AG663" s="39"/>
      <c r="AH663" s="39">
        <f>AG663-AE663</f>
        <v>0</v>
      </c>
      <c r="AI663" s="39"/>
      <c r="AJ663" s="39"/>
      <c r="AK663" s="39"/>
      <c r="AL663" s="39"/>
      <c r="AM663" s="39"/>
      <c r="AN663" s="39">
        <f t="shared" si="703"/>
        <v>0</v>
      </c>
      <c r="AO663" s="39"/>
      <c r="AP663" s="39"/>
      <c r="AQ663" s="39"/>
      <c r="AR663" s="39"/>
      <c r="AS663" s="39"/>
      <c r="AT663" s="39">
        <f t="shared" si="743"/>
        <v>0</v>
      </c>
      <c r="AU663" s="39"/>
      <c r="AV663" s="39"/>
      <c r="AW663" s="39"/>
      <c r="AX663" s="39"/>
      <c r="AY663" s="39"/>
      <c r="AZ663" s="39">
        <f t="shared" si="744"/>
        <v>0</v>
      </c>
      <c r="BA663" s="39"/>
      <c r="BB663" s="39"/>
      <c r="BC663" s="39"/>
      <c r="BD663" s="39"/>
      <c r="BE663" s="39"/>
      <c r="BF663" s="39">
        <f t="shared" si="745"/>
        <v>0</v>
      </c>
      <c r="BG663" s="39"/>
      <c r="BH663" s="39"/>
      <c r="BI663" s="39"/>
      <c r="BJ663" s="39"/>
      <c r="BK663" s="39"/>
      <c r="BL663" s="39">
        <f>BK663-BI663</f>
        <v>0</v>
      </c>
      <c r="BM663" s="54" t="e">
        <f t="shared" si="746"/>
        <v>#DIV/0!</v>
      </c>
      <c r="BN663" s="42"/>
      <c r="BO663" s="39"/>
      <c r="BP663" s="39"/>
      <c r="BQ663" s="39"/>
      <c r="BR663" s="40"/>
      <c r="BS663" s="40"/>
      <c r="BT663" s="39"/>
      <c r="BU663" s="39"/>
      <c r="BV663" s="39"/>
      <c r="BW663" s="39"/>
      <c r="BX663" s="39"/>
      <c r="BY663" s="39"/>
      <c r="BZ663" s="39">
        <f>BU663+BW663+BY663</f>
        <v>0</v>
      </c>
      <c r="CA663" s="39">
        <f t="shared" si="747"/>
        <v>0</v>
      </c>
      <c r="CB663" s="39">
        <f t="shared" si="748"/>
        <v>0</v>
      </c>
      <c r="CC663" s="39">
        <f t="shared" si="749"/>
        <v>0</v>
      </c>
      <c r="CD663" s="39">
        <f>SUMIF(CA663:CC663,"&lt;0")</f>
        <v>0</v>
      </c>
      <c r="CE663" s="47" t="e">
        <f t="shared" si="751"/>
        <v>#DIV/0!</v>
      </c>
      <c r="CF663" s="39"/>
      <c r="CG663" s="39"/>
      <c r="CH663" s="39"/>
      <c r="CI663" s="25">
        <v>1</v>
      </c>
      <c r="CJ663" s="6" t="s">
        <v>19</v>
      </c>
    </row>
    <row r="664" spans="1:88" ht="24.75" customHeight="1">
      <c r="A664" s="39" t="s">
        <v>86</v>
      </c>
      <c r="B664" s="55"/>
      <c r="C664" s="39"/>
      <c r="D664" s="39"/>
      <c r="E664" s="39"/>
      <c r="F664" s="39"/>
      <c r="G664" s="36"/>
      <c r="H664" s="39"/>
      <c r="I664" s="39"/>
      <c r="J664" s="39"/>
      <c r="K664" s="39"/>
      <c r="L664" s="39">
        <f>SUM(I664:K664)</f>
        <v>0</v>
      </c>
      <c r="M664" s="39"/>
      <c r="N664" s="39"/>
      <c r="O664" s="39"/>
      <c r="P664" s="39"/>
      <c r="Q664" s="39"/>
      <c r="R664" s="39">
        <f>SUM(O664:Q664)</f>
        <v>0</v>
      </c>
      <c r="S664" s="39"/>
      <c r="T664" s="39"/>
      <c r="U664" s="39"/>
      <c r="V664" s="39"/>
      <c r="W664" s="39"/>
      <c r="X664" s="39"/>
      <c r="Y664" s="39"/>
      <c r="Z664" s="39"/>
      <c r="AA664" s="39"/>
      <c r="AB664" s="39">
        <f>SUM(Y664:AA664)</f>
        <v>0</v>
      </c>
      <c r="AC664" s="39"/>
      <c r="AD664" s="39"/>
      <c r="AE664" s="39"/>
      <c r="AF664" s="39"/>
      <c r="AG664" s="39"/>
      <c r="AH664" s="39">
        <f>AG664-AE664</f>
        <v>0</v>
      </c>
      <c r="AI664" s="39"/>
      <c r="AJ664" s="39"/>
      <c r="AK664" s="39"/>
      <c r="AL664" s="39"/>
      <c r="AM664" s="39"/>
      <c r="AN664" s="39">
        <f t="shared" si="703"/>
        <v>0</v>
      </c>
      <c r="AO664" s="39"/>
      <c r="AP664" s="39"/>
      <c r="AQ664" s="39"/>
      <c r="AR664" s="39"/>
      <c r="AS664" s="39"/>
      <c r="AT664" s="39">
        <f t="shared" si="743"/>
        <v>0</v>
      </c>
      <c r="AU664" s="39"/>
      <c r="AV664" s="39"/>
      <c r="AW664" s="39"/>
      <c r="AX664" s="39"/>
      <c r="AY664" s="39"/>
      <c r="AZ664" s="39">
        <f t="shared" si="744"/>
        <v>0</v>
      </c>
      <c r="BA664" s="39"/>
      <c r="BB664" s="39"/>
      <c r="BC664" s="39"/>
      <c r="BD664" s="39"/>
      <c r="BE664" s="39"/>
      <c r="BF664" s="39">
        <f t="shared" si="745"/>
        <v>0</v>
      </c>
      <c r="BG664" s="39"/>
      <c r="BH664" s="39"/>
      <c r="BI664" s="39"/>
      <c r="BJ664" s="39"/>
      <c r="BK664" s="39"/>
      <c r="BL664" s="39">
        <f>BK664-BI664</f>
        <v>0</v>
      </c>
      <c r="BM664" s="54" t="e">
        <f t="shared" si="746"/>
        <v>#DIV/0!</v>
      </c>
      <c r="BN664" s="42"/>
      <c r="BO664" s="39"/>
      <c r="BP664" s="39"/>
      <c r="BQ664" s="39"/>
      <c r="BR664" s="40"/>
      <c r="BS664" s="40"/>
      <c r="BT664" s="39"/>
      <c r="BU664" s="39"/>
      <c r="BV664" s="39"/>
      <c r="BW664" s="39"/>
      <c r="BX664" s="39"/>
      <c r="BY664" s="39"/>
      <c r="BZ664" s="39">
        <f>BU664+BW664+BY664</f>
        <v>0</v>
      </c>
      <c r="CA664" s="39">
        <f t="shared" si="747"/>
        <v>0</v>
      </c>
      <c r="CB664" s="39">
        <f t="shared" si="748"/>
        <v>0</v>
      </c>
      <c r="CC664" s="39">
        <f t="shared" si="749"/>
        <v>0</v>
      </c>
      <c r="CD664" s="39">
        <f>SUMIF(CA664:CC664,"&lt;0")</f>
        <v>0</v>
      </c>
      <c r="CE664" s="47" t="e">
        <f t="shared" si="751"/>
        <v>#DIV/0!</v>
      </c>
      <c r="CF664" s="39"/>
      <c r="CG664" s="39"/>
      <c r="CH664" s="39"/>
      <c r="CI664" s="25">
        <v>1</v>
      </c>
    </row>
    <row r="665" spans="1:88" ht="24.75" customHeight="1">
      <c r="A665" s="39" t="s">
        <v>86</v>
      </c>
      <c r="B665" s="55"/>
      <c r="C665" s="39"/>
      <c r="D665" s="39"/>
      <c r="E665" s="39"/>
      <c r="F665" s="39"/>
      <c r="G665" s="36"/>
      <c r="H665" s="39"/>
      <c r="I665" s="39"/>
      <c r="J665" s="39"/>
      <c r="K665" s="39"/>
      <c r="L665" s="39">
        <f>SUM(I665:K665)</f>
        <v>0</v>
      </c>
      <c r="M665" s="39"/>
      <c r="N665" s="39"/>
      <c r="O665" s="39"/>
      <c r="P665" s="39"/>
      <c r="Q665" s="39"/>
      <c r="R665" s="39">
        <f>SUM(O665:Q665)</f>
        <v>0</v>
      </c>
      <c r="S665" s="39"/>
      <c r="T665" s="39"/>
      <c r="U665" s="39"/>
      <c r="V665" s="39"/>
      <c r="W665" s="39"/>
      <c r="X665" s="39"/>
      <c r="Y665" s="39"/>
      <c r="Z665" s="39"/>
      <c r="AA665" s="39"/>
      <c r="AB665" s="39">
        <f>SUM(Y665:AA665)</f>
        <v>0</v>
      </c>
      <c r="AC665" s="39"/>
      <c r="AD665" s="39"/>
      <c r="AE665" s="39"/>
      <c r="AF665" s="39"/>
      <c r="AG665" s="39"/>
      <c r="AH665" s="39">
        <f>AG665-AE665</f>
        <v>0</v>
      </c>
      <c r="AI665" s="39"/>
      <c r="AJ665" s="39"/>
      <c r="AK665" s="39"/>
      <c r="AL665" s="39"/>
      <c r="AM665" s="39"/>
      <c r="AN665" s="39">
        <f t="shared" si="703"/>
        <v>0</v>
      </c>
      <c r="AO665" s="39"/>
      <c r="AP665" s="39"/>
      <c r="AQ665" s="39"/>
      <c r="AR665" s="39"/>
      <c r="AS665" s="39"/>
      <c r="AT665" s="39">
        <f t="shared" si="743"/>
        <v>0</v>
      </c>
      <c r="AU665" s="39"/>
      <c r="AV665" s="39"/>
      <c r="AW665" s="39"/>
      <c r="AX665" s="39"/>
      <c r="AY665" s="39"/>
      <c r="AZ665" s="39">
        <f t="shared" si="744"/>
        <v>0</v>
      </c>
      <c r="BA665" s="39"/>
      <c r="BB665" s="39"/>
      <c r="BC665" s="39"/>
      <c r="BD665" s="39"/>
      <c r="BE665" s="39"/>
      <c r="BF665" s="39">
        <f t="shared" si="745"/>
        <v>0</v>
      </c>
      <c r="BG665" s="39"/>
      <c r="BH665" s="39"/>
      <c r="BI665" s="39"/>
      <c r="BJ665" s="39"/>
      <c r="BK665" s="39"/>
      <c r="BL665" s="39">
        <f>BK665-BI665</f>
        <v>0</v>
      </c>
      <c r="BM665" s="54" t="e">
        <f t="shared" si="746"/>
        <v>#DIV/0!</v>
      </c>
      <c r="BN665" s="42"/>
      <c r="BO665" s="39"/>
      <c r="BP665" s="39"/>
      <c r="BQ665" s="39"/>
      <c r="BR665" s="40"/>
      <c r="BS665" s="40"/>
      <c r="BT665" s="39"/>
      <c r="BU665" s="39"/>
      <c r="BV665" s="39"/>
      <c r="BW665" s="39"/>
      <c r="BX665" s="39"/>
      <c r="BY665" s="39"/>
      <c r="BZ665" s="39">
        <f>BU665+BW665+BY665</f>
        <v>0</v>
      </c>
      <c r="CA665" s="39">
        <f t="shared" si="747"/>
        <v>0</v>
      </c>
      <c r="CB665" s="39">
        <f t="shared" si="748"/>
        <v>0</v>
      </c>
      <c r="CC665" s="39">
        <f t="shared" si="749"/>
        <v>0</v>
      </c>
      <c r="CD665" s="39">
        <f>SUMIF(CA665:CC665,"&lt;0")</f>
        <v>0</v>
      </c>
      <c r="CE665" s="47" t="e">
        <f t="shared" si="751"/>
        <v>#DIV/0!</v>
      </c>
      <c r="CF665" s="39"/>
      <c r="CG665" s="39"/>
      <c r="CH665" s="39"/>
      <c r="CI665" s="25">
        <v>1</v>
      </c>
      <c r="CJ665" s="6" t="s">
        <v>19</v>
      </c>
    </row>
    <row r="666" spans="1:88" ht="24.75" customHeight="1">
      <c r="A666" s="39" t="s">
        <v>86</v>
      </c>
      <c r="B666" s="55"/>
      <c r="C666" s="36"/>
      <c r="D666" s="36"/>
      <c r="E666" s="39"/>
      <c r="F666" s="39"/>
      <c r="G666" s="36"/>
      <c r="H666" s="39"/>
      <c r="I666" s="39"/>
      <c r="J666" s="39"/>
      <c r="K666" s="39"/>
      <c r="L666" s="39">
        <f t="shared" si="765"/>
        <v>0</v>
      </c>
      <c r="M666" s="39"/>
      <c r="N666" s="39"/>
      <c r="O666" s="39"/>
      <c r="P666" s="39"/>
      <c r="Q666" s="39"/>
      <c r="R666" s="39">
        <f t="shared" si="766"/>
        <v>0</v>
      </c>
      <c r="S666" s="39"/>
      <c r="T666" s="39"/>
      <c r="U666" s="39"/>
      <c r="V666" s="39"/>
      <c r="W666" s="39"/>
      <c r="X666" s="39"/>
      <c r="Y666" s="39"/>
      <c r="Z666" s="39"/>
      <c r="AA666" s="39"/>
      <c r="AB666" s="39">
        <f t="shared" si="767"/>
        <v>0</v>
      </c>
      <c r="AC666" s="39"/>
      <c r="AD666" s="39"/>
      <c r="AE666" s="39"/>
      <c r="AF666" s="39"/>
      <c r="AG666" s="39"/>
      <c r="AH666" s="39">
        <f t="shared" si="768"/>
        <v>0</v>
      </c>
      <c r="AI666" s="39"/>
      <c r="AJ666" s="39"/>
      <c r="AK666" s="39"/>
      <c r="AL666" s="39"/>
      <c r="AM666" s="39"/>
      <c r="AN666" s="39">
        <f t="shared" si="703"/>
        <v>0</v>
      </c>
      <c r="AO666" s="39"/>
      <c r="AP666" s="39"/>
      <c r="AQ666" s="39"/>
      <c r="AR666" s="39"/>
      <c r="AS666" s="39"/>
      <c r="AT666" s="39">
        <f t="shared" si="743"/>
        <v>0</v>
      </c>
      <c r="AU666" s="39"/>
      <c r="AV666" s="39"/>
      <c r="AW666" s="39"/>
      <c r="AX666" s="39"/>
      <c r="AY666" s="39"/>
      <c r="AZ666" s="39">
        <f t="shared" si="744"/>
        <v>0</v>
      </c>
      <c r="BA666" s="39"/>
      <c r="BB666" s="39"/>
      <c r="BC666" s="39"/>
      <c r="BD666" s="39"/>
      <c r="BE666" s="39"/>
      <c r="BF666" s="39">
        <f t="shared" si="745"/>
        <v>0</v>
      </c>
      <c r="BG666" s="39"/>
      <c r="BH666" s="39"/>
      <c r="BI666" s="39"/>
      <c r="BJ666" s="39"/>
      <c r="BK666" s="39"/>
      <c r="BL666" s="39">
        <f t="shared" si="769"/>
        <v>0</v>
      </c>
      <c r="BM666" s="54" t="e">
        <f t="shared" si="746"/>
        <v>#DIV/0!</v>
      </c>
      <c r="BN666" s="67"/>
      <c r="BO666" s="39"/>
      <c r="BP666" s="39"/>
      <c r="BQ666" s="39"/>
      <c r="BR666" s="40"/>
      <c r="BS666" s="40"/>
      <c r="BT666" s="39"/>
      <c r="BU666" s="39"/>
      <c r="BV666" s="39"/>
      <c r="BW666" s="39"/>
      <c r="BX666" s="39"/>
      <c r="BY666" s="39"/>
      <c r="BZ666" s="39">
        <f t="shared" si="770"/>
        <v>0</v>
      </c>
      <c r="CA666" s="39">
        <f t="shared" si="747"/>
        <v>0</v>
      </c>
      <c r="CB666" s="39">
        <f t="shared" si="748"/>
        <v>0</v>
      </c>
      <c r="CC666" s="39">
        <f t="shared" si="749"/>
        <v>0</v>
      </c>
      <c r="CD666" s="39">
        <f t="shared" si="771"/>
        <v>0</v>
      </c>
      <c r="CE666" s="47" t="e">
        <f t="shared" si="751"/>
        <v>#DIV/0!</v>
      </c>
      <c r="CF666" s="39"/>
      <c r="CG666" s="39"/>
      <c r="CH666" s="39"/>
      <c r="CI666" s="25">
        <v>2</v>
      </c>
    </row>
    <row r="667" spans="1:88" ht="24.75" customHeight="1">
      <c r="A667" s="39" t="s">
        <v>86</v>
      </c>
      <c r="B667" s="55"/>
      <c r="C667" s="36"/>
      <c r="D667" s="36"/>
      <c r="E667" s="39"/>
      <c r="F667" s="39"/>
      <c r="G667" s="36"/>
      <c r="H667" s="39"/>
      <c r="I667" s="39"/>
      <c r="J667" s="39"/>
      <c r="K667" s="39"/>
      <c r="L667" s="39">
        <f t="shared" si="765"/>
        <v>0</v>
      </c>
      <c r="M667" s="39"/>
      <c r="N667" s="39"/>
      <c r="O667" s="39"/>
      <c r="P667" s="39"/>
      <c r="Q667" s="39"/>
      <c r="R667" s="39">
        <f t="shared" si="766"/>
        <v>0</v>
      </c>
      <c r="S667" s="39"/>
      <c r="T667" s="39"/>
      <c r="U667" s="39"/>
      <c r="V667" s="39"/>
      <c r="W667" s="39"/>
      <c r="X667" s="39"/>
      <c r="Y667" s="39"/>
      <c r="Z667" s="39"/>
      <c r="AA667" s="39"/>
      <c r="AB667" s="39">
        <f t="shared" si="767"/>
        <v>0</v>
      </c>
      <c r="AC667" s="39"/>
      <c r="AD667" s="39"/>
      <c r="AE667" s="39"/>
      <c r="AF667" s="39"/>
      <c r="AG667" s="39"/>
      <c r="AH667" s="39">
        <f t="shared" si="768"/>
        <v>0</v>
      </c>
      <c r="AI667" s="39"/>
      <c r="AJ667" s="39"/>
      <c r="AK667" s="39"/>
      <c r="AL667" s="39"/>
      <c r="AM667" s="39"/>
      <c r="AN667" s="39">
        <f t="shared" si="703"/>
        <v>0</v>
      </c>
      <c r="AO667" s="39"/>
      <c r="AP667" s="39"/>
      <c r="AQ667" s="39"/>
      <c r="AR667" s="39"/>
      <c r="AS667" s="39"/>
      <c r="AT667" s="39">
        <f t="shared" si="743"/>
        <v>0</v>
      </c>
      <c r="AU667" s="39"/>
      <c r="AV667" s="39"/>
      <c r="AW667" s="39"/>
      <c r="AX667" s="39"/>
      <c r="AY667" s="39"/>
      <c r="AZ667" s="39">
        <f t="shared" si="744"/>
        <v>0</v>
      </c>
      <c r="BA667" s="39"/>
      <c r="BB667" s="39"/>
      <c r="BC667" s="39"/>
      <c r="BD667" s="39"/>
      <c r="BE667" s="39"/>
      <c r="BF667" s="39">
        <f t="shared" si="745"/>
        <v>0</v>
      </c>
      <c r="BG667" s="39"/>
      <c r="BH667" s="39"/>
      <c r="BI667" s="39"/>
      <c r="BJ667" s="39"/>
      <c r="BK667" s="39"/>
      <c r="BL667" s="39">
        <f t="shared" si="769"/>
        <v>0</v>
      </c>
      <c r="BM667" s="54" t="e">
        <f t="shared" si="746"/>
        <v>#DIV/0!</v>
      </c>
      <c r="BN667" s="67"/>
      <c r="BO667" s="39"/>
      <c r="BP667" s="39"/>
      <c r="BQ667" s="39"/>
      <c r="BR667" s="40"/>
      <c r="BS667" s="40"/>
      <c r="BT667" s="39"/>
      <c r="BU667" s="39"/>
      <c r="BV667" s="39"/>
      <c r="BW667" s="39"/>
      <c r="BX667" s="39"/>
      <c r="BY667" s="39"/>
      <c r="BZ667" s="39">
        <f t="shared" si="770"/>
        <v>0</v>
      </c>
      <c r="CA667" s="39">
        <f t="shared" si="747"/>
        <v>0</v>
      </c>
      <c r="CB667" s="39">
        <f t="shared" si="748"/>
        <v>0</v>
      </c>
      <c r="CC667" s="39">
        <f t="shared" si="749"/>
        <v>0</v>
      </c>
      <c r="CD667" s="39">
        <f t="shared" si="771"/>
        <v>0</v>
      </c>
      <c r="CE667" s="47" t="e">
        <f t="shared" si="751"/>
        <v>#DIV/0!</v>
      </c>
      <c r="CF667" s="39"/>
      <c r="CG667" s="39"/>
      <c r="CH667" s="39"/>
      <c r="CI667" s="25">
        <v>2</v>
      </c>
    </row>
    <row r="668" spans="1:88" ht="24.75" customHeight="1">
      <c r="A668" s="39" t="s">
        <v>86</v>
      </c>
      <c r="B668" s="55"/>
      <c r="C668" s="36"/>
      <c r="D668" s="36"/>
      <c r="E668" s="39"/>
      <c r="F668" s="39"/>
      <c r="G668" s="36"/>
      <c r="H668" s="39"/>
      <c r="I668" s="39"/>
      <c r="J668" s="39"/>
      <c r="K668" s="39"/>
      <c r="L668" s="39">
        <f t="shared" si="765"/>
        <v>0</v>
      </c>
      <c r="M668" s="39"/>
      <c r="N668" s="39"/>
      <c r="O668" s="39"/>
      <c r="P668" s="39"/>
      <c r="Q668" s="39"/>
      <c r="R668" s="39">
        <f t="shared" si="766"/>
        <v>0</v>
      </c>
      <c r="S668" s="39"/>
      <c r="T668" s="39"/>
      <c r="U668" s="39"/>
      <c r="V668" s="39"/>
      <c r="W668" s="39"/>
      <c r="X668" s="39"/>
      <c r="Y668" s="39"/>
      <c r="Z668" s="39"/>
      <c r="AA668" s="39"/>
      <c r="AB668" s="39">
        <f t="shared" si="767"/>
        <v>0</v>
      </c>
      <c r="AC668" s="39"/>
      <c r="AD668" s="39"/>
      <c r="AE668" s="39"/>
      <c r="AF668" s="39"/>
      <c r="AG668" s="39"/>
      <c r="AH668" s="39">
        <f t="shared" si="768"/>
        <v>0</v>
      </c>
      <c r="AI668" s="39"/>
      <c r="AJ668" s="39"/>
      <c r="AK668" s="39"/>
      <c r="AL668" s="39"/>
      <c r="AM668" s="39"/>
      <c r="AN668" s="39">
        <f t="shared" si="703"/>
        <v>0</v>
      </c>
      <c r="AO668" s="39"/>
      <c r="AP668" s="39"/>
      <c r="AQ668" s="39"/>
      <c r="AR668" s="39"/>
      <c r="AS668" s="39"/>
      <c r="AT668" s="39">
        <f t="shared" si="743"/>
        <v>0</v>
      </c>
      <c r="AU668" s="39"/>
      <c r="AV668" s="39"/>
      <c r="AW668" s="39"/>
      <c r="AX668" s="39"/>
      <c r="AY668" s="39"/>
      <c r="AZ668" s="39">
        <f t="shared" si="744"/>
        <v>0</v>
      </c>
      <c r="BA668" s="39"/>
      <c r="BB668" s="39"/>
      <c r="BC668" s="39"/>
      <c r="BD668" s="39"/>
      <c r="BE668" s="39"/>
      <c r="BF668" s="39">
        <f t="shared" si="745"/>
        <v>0</v>
      </c>
      <c r="BG668" s="39"/>
      <c r="BH668" s="39"/>
      <c r="BI668" s="39"/>
      <c r="BJ668" s="39"/>
      <c r="BK668" s="39"/>
      <c r="BL668" s="39">
        <f t="shared" si="769"/>
        <v>0</v>
      </c>
      <c r="BM668" s="54" t="e">
        <f t="shared" si="746"/>
        <v>#DIV/0!</v>
      </c>
      <c r="BN668" s="67"/>
      <c r="BO668" s="39"/>
      <c r="BP668" s="39"/>
      <c r="BQ668" s="39"/>
      <c r="BR668" s="40"/>
      <c r="BS668" s="40"/>
      <c r="BT668" s="39"/>
      <c r="BU668" s="39"/>
      <c r="BV668" s="39"/>
      <c r="BW668" s="39"/>
      <c r="BX668" s="39"/>
      <c r="BY668" s="39"/>
      <c r="BZ668" s="39">
        <f t="shared" si="770"/>
        <v>0</v>
      </c>
      <c r="CA668" s="39">
        <f t="shared" si="747"/>
        <v>0</v>
      </c>
      <c r="CB668" s="39">
        <f t="shared" si="748"/>
        <v>0</v>
      </c>
      <c r="CC668" s="39">
        <f t="shared" si="749"/>
        <v>0</v>
      </c>
      <c r="CD668" s="39">
        <f t="shared" si="771"/>
        <v>0</v>
      </c>
      <c r="CE668" s="47" t="e">
        <f t="shared" si="751"/>
        <v>#DIV/0!</v>
      </c>
      <c r="CF668" s="39"/>
      <c r="CG668" s="39"/>
      <c r="CH668" s="39"/>
      <c r="CI668" s="25">
        <v>2</v>
      </c>
    </row>
    <row r="669" spans="1:88" ht="24.75" customHeight="1">
      <c r="A669" s="39" t="s">
        <v>86</v>
      </c>
      <c r="B669" s="55"/>
      <c r="C669" s="36"/>
      <c r="D669" s="36"/>
      <c r="E669" s="39"/>
      <c r="F669" s="39"/>
      <c r="G669" s="36"/>
      <c r="H669" s="39"/>
      <c r="I669" s="39"/>
      <c r="J669" s="39"/>
      <c r="K669" s="39"/>
      <c r="L669" s="39">
        <f t="shared" si="765"/>
        <v>0</v>
      </c>
      <c r="M669" s="39"/>
      <c r="N669" s="39"/>
      <c r="O669" s="39"/>
      <c r="P669" s="39"/>
      <c r="Q669" s="39"/>
      <c r="R669" s="39">
        <f t="shared" si="766"/>
        <v>0</v>
      </c>
      <c r="S669" s="39"/>
      <c r="T669" s="39"/>
      <c r="U669" s="39"/>
      <c r="V669" s="39"/>
      <c r="W669" s="39"/>
      <c r="X669" s="39"/>
      <c r="Y669" s="39"/>
      <c r="Z669" s="39"/>
      <c r="AA669" s="39"/>
      <c r="AB669" s="39">
        <f t="shared" si="767"/>
        <v>0</v>
      </c>
      <c r="AC669" s="39"/>
      <c r="AD669" s="39"/>
      <c r="AE669" s="39"/>
      <c r="AF669" s="39"/>
      <c r="AG669" s="39"/>
      <c r="AH669" s="39">
        <f t="shared" si="768"/>
        <v>0</v>
      </c>
      <c r="AI669" s="39"/>
      <c r="AJ669" s="39"/>
      <c r="AK669" s="39"/>
      <c r="AL669" s="39"/>
      <c r="AM669" s="39"/>
      <c r="AN669" s="39">
        <f t="shared" si="703"/>
        <v>0</v>
      </c>
      <c r="AO669" s="39"/>
      <c r="AP669" s="39"/>
      <c r="AQ669" s="39"/>
      <c r="AR669" s="39"/>
      <c r="AS669" s="39"/>
      <c r="AT669" s="39">
        <f t="shared" si="743"/>
        <v>0</v>
      </c>
      <c r="AU669" s="39"/>
      <c r="AV669" s="39"/>
      <c r="AW669" s="39"/>
      <c r="AX669" s="39"/>
      <c r="AY669" s="39"/>
      <c r="AZ669" s="39">
        <f t="shared" si="744"/>
        <v>0</v>
      </c>
      <c r="BA669" s="39"/>
      <c r="BB669" s="39"/>
      <c r="BC669" s="39"/>
      <c r="BD669" s="39"/>
      <c r="BE669" s="39"/>
      <c r="BF669" s="39">
        <f t="shared" si="745"/>
        <v>0</v>
      </c>
      <c r="BG669" s="39"/>
      <c r="BH669" s="39"/>
      <c r="BI669" s="39"/>
      <c r="BJ669" s="39"/>
      <c r="BK669" s="39"/>
      <c r="BL669" s="39">
        <f t="shared" si="769"/>
        <v>0</v>
      </c>
      <c r="BM669" s="54" t="e">
        <f t="shared" si="746"/>
        <v>#DIV/0!</v>
      </c>
      <c r="BN669" s="67"/>
      <c r="BO669" s="39"/>
      <c r="BP669" s="39"/>
      <c r="BQ669" s="39"/>
      <c r="BR669" s="40"/>
      <c r="BS669" s="40"/>
      <c r="BT669" s="39"/>
      <c r="BU669" s="39"/>
      <c r="BV669" s="39"/>
      <c r="BW669" s="39"/>
      <c r="BX669" s="39"/>
      <c r="BY669" s="39"/>
      <c r="BZ669" s="39">
        <f t="shared" si="770"/>
        <v>0</v>
      </c>
      <c r="CA669" s="39">
        <f t="shared" si="747"/>
        <v>0</v>
      </c>
      <c r="CB669" s="39">
        <f t="shared" si="748"/>
        <v>0</v>
      </c>
      <c r="CC669" s="39">
        <f t="shared" si="749"/>
        <v>0</v>
      </c>
      <c r="CD669" s="39">
        <f t="shared" si="771"/>
        <v>0</v>
      </c>
      <c r="CE669" s="47" t="e">
        <f t="shared" si="751"/>
        <v>#DIV/0!</v>
      </c>
      <c r="CF669" s="39"/>
      <c r="CG669" s="39"/>
      <c r="CH669" s="39"/>
      <c r="CI669" s="25">
        <v>2</v>
      </c>
    </row>
    <row r="670" spans="1:88" ht="24.75" customHeight="1">
      <c r="A670" s="39" t="s">
        <v>86</v>
      </c>
      <c r="B670" s="55"/>
      <c r="C670" s="36"/>
      <c r="D670" s="36"/>
      <c r="E670" s="39"/>
      <c r="F670" s="39"/>
      <c r="G670" s="36"/>
      <c r="H670" s="39"/>
      <c r="I670" s="39"/>
      <c r="J670" s="39"/>
      <c r="K670" s="39"/>
      <c r="L670" s="39">
        <f t="shared" si="765"/>
        <v>0</v>
      </c>
      <c r="M670" s="39"/>
      <c r="N670" s="39"/>
      <c r="O670" s="39"/>
      <c r="P670" s="39"/>
      <c r="Q670" s="39"/>
      <c r="R670" s="39">
        <f t="shared" si="766"/>
        <v>0</v>
      </c>
      <c r="S670" s="39"/>
      <c r="T670" s="39"/>
      <c r="U670" s="39"/>
      <c r="V670" s="39"/>
      <c r="W670" s="39"/>
      <c r="X670" s="39"/>
      <c r="Y670" s="39"/>
      <c r="Z670" s="39"/>
      <c r="AA670" s="39"/>
      <c r="AB670" s="39">
        <f t="shared" si="767"/>
        <v>0</v>
      </c>
      <c r="AC670" s="39"/>
      <c r="AD670" s="39"/>
      <c r="AE670" s="39"/>
      <c r="AF670" s="39"/>
      <c r="AG670" s="39"/>
      <c r="AH670" s="39">
        <f t="shared" si="768"/>
        <v>0</v>
      </c>
      <c r="AI670" s="39"/>
      <c r="AJ670" s="39"/>
      <c r="AK670" s="39"/>
      <c r="AL670" s="39"/>
      <c r="AM670" s="39"/>
      <c r="AN670" s="39">
        <f t="shared" si="703"/>
        <v>0</v>
      </c>
      <c r="AO670" s="39"/>
      <c r="AP670" s="39"/>
      <c r="AQ670" s="39"/>
      <c r="AR670" s="39"/>
      <c r="AS670" s="39"/>
      <c r="AT670" s="39">
        <f t="shared" si="743"/>
        <v>0</v>
      </c>
      <c r="AU670" s="39"/>
      <c r="AV670" s="39"/>
      <c r="AW670" s="39"/>
      <c r="AX670" s="39"/>
      <c r="AY670" s="39"/>
      <c r="AZ670" s="39">
        <f t="shared" si="744"/>
        <v>0</v>
      </c>
      <c r="BA670" s="39"/>
      <c r="BB670" s="39"/>
      <c r="BC670" s="39"/>
      <c r="BD670" s="39"/>
      <c r="BE670" s="39"/>
      <c r="BF670" s="39">
        <f t="shared" si="745"/>
        <v>0</v>
      </c>
      <c r="BG670" s="39"/>
      <c r="BH670" s="39"/>
      <c r="BI670" s="39"/>
      <c r="BJ670" s="39"/>
      <c r="BK670" s="39"/>
      <c r="BL670" s="39">
        <f t="shared" si="769"/>
        <v>0</v>
      </c>
      <c r="BM670" s="54" t="e">
        <f t="shared" si="746"/>
        <v>#DIV/0!</v>
      </c>
      <c r="BN670" s="67"/>
      <c r="BO670" s="39"/>
      <c r="BP670" s="39"/>
      <c r="BQ670" s="39"/>
      <c r="BR670" s="40"/>
      <c r="BS670" s="40"/>
      <c r="BT670" s="39"/>
      <c r="BU670" s="39"/>
      <c r="BV670" s="39"/>
      <c r="BW670" s="39"/>
      <c r="BX670" s="39"/>
      <c r="BY670" s="39"/>
      <c r="BZ670" s="39">
        <f t="shared" si="770"/>
        <v>0</v>
      </c>
      <c r="CA670" s="39">
        <f t="shared" si="747"/>
        <v>0</v>
      </c>
      <c r="CB670" s="39">
        <f t="shared" si="748"/>
        <v>0</v>
      </c>
      <c r="CC670" s="39">
        <f t="shared" si="749"/>
        <v>0</v>
      </c>
      <c r="CD670" s="39">
        <f t="shared" si="771"/>
        <v>0</v>
      </c>
      <c r="CE670" s="47" t="e">
        <f t="shared" si="751"/>
        <v>#DIV/0!</v>
      </c>
      <c r="CF670" s="39"/>
      <c r="CG670" s="39"/>
      <c r="CH670" s="39"/>
      <c r="CI670" s="25">
        <v>2</v>
      </c>
    </row>
    <row r="671" spans="1:88" ht="24.75" customHeight="1">
      <c r="A671" s="39" t="s">
        <v>86</v>
      </c>
      <c r="B671" s="55">
        <v>47704</v>
      </c>
      <c r="C671" s="227" t="s">
        <v>1008</v>
      </c>
      <c r="D671" s="36" t="s">
        <v>255</v>
      </c>
      <c r="E671" s="39">
        <v>265</v>
      </c>
      <c r="F671" s="39" t="s">
        <v>67</v>
      </c>
      <c r="G671" s="36" t="s">
        <v>320</v>
      </c>
      <c r="H671" s="36" t="s">
        <v>206</v>
      </c>
      <c r="I671" s="39">
        <v>9728</v>
      </c>
      <c r="J671" s="39">
        <v>3524</v>
      </c>
      <c r="K671" s="39"/>
      <c r="L671" s="39">
        <v>0</v>
      </c>
      <c r="M671" s="117">
        <v>46188</v>
      </c>
      <c r="N671" s="117">
        <v>46205</v>
      </c>
      <c r="O671" s="39"/>
      <c r="P671" s="39"/>
      <c r="Q671" s="39"/>
      <c r="R671" s="39">
        <f t="shared" si="766"/>
        <v>0</v>
      </c>
      <c r="S671" s="39" t="s">
        <v>130</v>
      </c>
      <c r="T671" s="244" t="s">
        <v>1132</v>
      </c>
      <c r="U671" s="245"/>
      <c r="V671" s="246"/>
      <c r="W671" s="39"/>
      <c r="X671" s="39"/>
      <c r="Y671" s="39">
        <f>660</f>
        <v>660</v>
      </c>
      <c r="Z671" s="39">
        <f>240</f>
        <v>240</v>
      </c>
      <c r="AA671" s="39"/>
      <c r="AB671" s="39">
        <f t="shared" si="767"/>
        <v>900</v>
      </c>
      <c r="AC671" s="39"/>
      <c r="AD671" s="39"/>
      <c r="AE671" s="39"/>
      <c r="AF671" s="39"/>
      <c r="AG671" s="39"/>
      <c r="AH671" s="39">
        <f t="shared" si="768"/>
        <v>0</v>
      </c>
      <c r="AI671" s="39"/>
      <c r="AJ671" s="39"/>
      <c r="AK671" s="39"/>
      <c r="AL671" s="39"/>
      <c r="AM671" s="39"/>
      <c r="AN671" s="39">
        <f t="shared" si="703"/>
        <v>0</v>
      </c>
      <c r="AO671" s="39"/>
      <c r="AP671" s="39"/>
      <c r="AQ671" s="39"/>
      <c r="AR671" s="39"/>
      <c r="AS671" s="39"/>
      <c r="AT671" s="39">
        <f t="shared" si="743"/>
        <v>0</v>
      </c>
      <c r="AU671" s="39"/>
      <c r="AV671" s="39"/>
      <c r="AW671" s="39"/>
      <c r="AX671" s="39"/>
      <c r="AY671" s="39"/>
      <c r="AZ671" s="39">
        <f t="shared" si="744"/>
        <v>0</v>
      </c>
      <c r="BA671" s="39"/>
      <c r="BB671" s="39"/>
      <c r="BC671" s="39"/>
      <c r="BD671" s="39"/>
      <c r="BE671" s="39"/>
      <c r="BF671" s="39">
        <f t="shared" si="745"/>
        <v>0</v>
      </c>
      <c r="BG671" s="39"/>
      <c r="BH671" s="39"/>
      <c r="BI671" s="39"/>
      <c r="BJ671" s="39"/>
      <c r="BK671" s="39"/>
      <c r="BL671" s="39">
        <f t="shared" si="769"/>
        <v>0</v>
      </c>
      <c r="BM671" s="54" t="e">
        <f t="shared" si="746"/>
        <v>#DIV/0!</v>
      </c>
      <c r="BN671" s="62">
        <v>46199</v>
      </c>
      <c r="BO671" s="117">
        <v>46220</v>
      </c>
      <c r="BP671" s="39"/>
      <c r="BQ671" s="39"/>
      <c r="BR671" s="243"/>
      <c r="BS671" s="243"/>
      <c r="BT671" s="39"/>
      <c r="BU671" s="39"/>
      <c r="BV671" s="39"/>
      <c r="BW671" s="39"/>
      <c r="BX671" s="39"/>
      <c r="BY671" s="39"/>
      <c r="BZ671" s="39">
        <f t="shared" si="770"/>
        <v>0</v>
      </c>
      <c r="CA671" s="39">
        <v>0</v>
      </c>
      <c r="CB671" s="39">
        <v>0</v>
      </c>
      <c r="CC671" s="39">
        <f t="shared" si="749"/>
        <v>0</v>
      </c>
      <c r="CD671" s="39">
        <f t="shared" si="771"/>
        <v>0</v>
      </c>
      <c r="CE671" s="102" t="e">
        <f t="shared" si="751"/>
        <v>#DIV/0!</v>
      </c>
      <c r="CF671" s="39"/>
      <c r="CG671" s="39" t="s">
        <v>234</v>
      </c>
      <c r="CH671" s="39"/>
      <c r="CI671" s="25">
        <v>3</v>
      </c>
    </row>
    <row r="672" spans="1:88" ht="24.75" customHeight="1">
      <c r="A672" s="39" t="s">
        <v>86</v>
      </c>
      <c r="B672" s="55">
        <v>47704</v>
      </c>
      <c r="C672" s="228"/>
      <c r="D672" s="36" t="s">
        <v>255</v>
      </c>
      <c r="E672" s="39">
        <v>265</v>
      </c>
      <c r="F672" s="39" t="s">
        <v>67</v>
      </c>
      <c r="G672" s="36" t="s">
        <v>320</v>
      </c>
      <c r="H672" s="36" t="s">
        <v>206</v>
      </c>
      <c r="I672" s="39">
        <v>5553</v>
      </c>
      <c r="J672" s="39">
        <v>1975</v>
      </c>
      <c r="K672" s="39"/>
      <c r="L672" s="39">
        <v>0</v>
      </c>
      <c r="M672" s="117">
        <v>46188</v>
      </c>
      <c r="N672" s="117">
        <v>46205</v>
      </c>
      <c r="O672" s="39"/>
      <c r="P672" s="39"/>
      <c r="Q672" s="39"/>
      <c r="R672" s="39">
        <f t="shared" si="766"/>
        <v>0</v>
      </c>
      <c r="S672" s="39" t="s">
        <v>130</v>
      </c>
      <c r="T672" s="247"/>
      <c r="U672" s="248"/>
      <c r="V672" s="249"/>
      <c r="W672" s="39"/>
      <c r="X672" s="39"/>
      <c r="Y672" s="39"/>
      <c r="Z672" s="39"/>
      <c r="AA672" s="39"/>
      <c r="AB672" s="39">
        <f t="shared" si="767"/>
        <v>0</v>
      </c>
      <c r="AC672" s="39"/>
      <c r="AD672" s="39"/>
      <c r="AE672" s="39"/>
      <c r="AF672" s="39"/>
      <c r="AG672" s="39"/>
      <c r="AH672" s="39">
        <f t="shared" si="768"/>
        <v>0</v>
      </c>
      <c r="AI672" s="39"/>
      <c r="AJ672" s="39"/>
      <c r="AK672" s="39"/>
      <c r="AL672" s="39"/>
      <c r="AM672" s="39"/>
      <c r="AN672" s="39">
        <f t="shared" si="703"/>
        <v>0</v>
      </c>
      <c r="AO672" s="39"/>
      <c r="AP672" s="39"/>
      <c r="AQ672" s="39"/>
      <c r="AR672" s="39"/>
      <c r="AS672" s="39"/>
      <c r="AT672" s="39">
        <f t="shared" si="743"/>
        <v>0</v>
      </c>
      <c r="AU672" s="39"/>
      <c r="AV672" s="39"/>
      <c r="AW672" s="39"/>
      <c r="AX672" s="39"/>
      <c r="AY672" s="39"/>
      <c r="AZ672" s="39">
        <f t="shared" si="744"/>
        <v>0</v>
      </c>
      <c r="BA672" s="39"/>
      <c r="BB672" s="39"/>
      <c r="BC672" s="39"/>
      <c r="BD672" s="39"/>
      <c r="BE672" s="39"/>
      <c r="BF672" s="39">
        <f t="shared" si="745"/>
        <v>0</v>
      </c>
      <c r="BG672" s="39"/>
      <c r="BH672" s="39"/>
      <c r="BI672" s="39"/>
      <c r="BJ672" s="39"/>
      <c r="BK672" s="39"/>
      <c r="BL672" s="39">
        <f t="shared" si="769"/>
        <v>0</v>
      </c>
      <c r="BM672" s="54" t="e">
        <f t="shared" si="746"/>
        <v>#DIV/0!</v>
      </c>
      <c r="BN672" s="62">
        <v>46199</v>
      </c>
      <c r="BO672" s="117">
        <v>46220</v>
      </c>
      <c r="BP672" s="39"/>
      <c r="BQ672" s="39"/>
      <c r="BR672" s="230"/>
      <c r="BS672" s="230"/>
      <c r="BT672" s="39"/>
      <c r="BU672" s="39"/>
      <c r="BV672" s="39"/>
      <c r="BW672" s="39"/>
      <c r="BX672" s="39"/>
      <c r="BY672" s="39"/>
      <c r="BZ672" s="39">
        <f t="shared" si="770"/>
        <v>0</v>
      </c>
      <c r="CA672" s="39">
        <v>0</v>
      </c>
      <c r="CB672" s="39">
        <v>0</v>
      </c>
      <c r="CC672" s="39">
        <f t="shared" si="749"/>
        <v>0</v>
      </c>
      <c r="CD672" s="39">
        <f t="shared" si="771"/>
        <v>0</v>
      </c>
      <c r="CE672" s="102" t="e">
        <f t="shared" si="751"/>
        <v>#DIV/0!</v>
      </c>
      <c r="CF672" s="39"/>
      <c r="CG672" s="39" t="s">
        <v>234</v>
      </c>
      <c r="CH672" s="39"/>
      <c r="CI672" s="25">
        <v>3</v>
      </c>
    </row>
    <row r="673" spans="1:87" ht="24.75" customHeight="1">
      <c r="A673" s="39" t="s">
        <v>86</v>
      </c>
      <c r="B673" s="55"/>
      <c r="C673" s="36"/>
      <c r="D673" s="36"/>
      <c r="E673" s="39"/>
      <c r="F673" s="39"/>
      <c r="G673" s="36"/>
      <c r="H673" s="39"/>
      <c r="I673" s="39"/>
      <c r="J673" s="39"/>
      <c r="K673" s="39"/>
      <c r="L673" s="39">
        <f t="shared" ref="L673:L742" si="785">SUM(I673:K673)</f>
        <v>0</v>
      </c>
      <c r="M673" s="39"/>
      <c r="N673" s="39"/>
      <c r="O673" s="39"/>
      <c r="P673" s="39"/>
      <c r="Q673" s="39"/>
      <c r="R673" s="39">
        <f t="shared" ref="R673:R760" si="786">SUM(O673:Q673)</f>
        <v>0</v>
      </c>
      <c r="S673" s="39"/>
      <c r="T673" s="39"/>
      <c r="U673" s="39"/>
      <c r="V673" s="39"/>
      <c r="W673" s="39"/>
      <c r="X673" s="39"/>
      <c r="Y673" s="39"/>
      <c r="Z673" s="39"/>
      <c r="AA673" s="39"/>
      <c r="AB673" s="39">
        <f t="shared" ref="AB673:AB760" si="787">SUM(Y673:AA673)</f>
        <v>0</v>
      </c>
      <c r="AC673" s="39"/>
      <c r="AD673" s="39"/>
      <c r="AE673" s="39"/>
      <c r="AF673" s="39"/>
      <c r="AG673" s="39"/>
      <c r="AH673" s="39">
        <f t="shared" si="768"/>
        <v>0</v>
      </c>
      <c r="AI673" s="39"/>
      <c r="AJ673" s="39"/>
      <c r="AK673" s="39"/>
      <c r="AL673" s="39"/>
      <c r="AM673" s="39"/>
      <c r="AN673" s="39">
        <f t="shared" si="703"/>
        <v>0</v>
      </c>
      <c r="AO673" s="39"/>
      <c r="AP673" s="39"/>
      <c r="AQ673" s="39"/>
      <c r="AR673" s="39"/>
      <c r="AS673" s="39"/>
      <c r="AT673" s="39">
        <f t="shared" si="743"/>
        <v>0</v>
      </c>
      <c r="AU673" s="39"/>
      <c r="AV673" s="39"/>
      <c r="AW673" s="39"/>
      <c r="AX673" s="39"/>
      <c r="AY673" s="39"/>
      <c r="AZ673" s="39">
        <f t="shared" si="744"/>
        <v>0</v>
      </c>
      <c r="BA673" s="39"/>
      <c r="BB673" s="39"/>
      <c r="BC673" s="39"/>
      <c r="BD673" s="39"/>
      <c r="BE673" s="39"/>
      <c r="BF673" s="39">
        <f t="shared" si="745"/>
        <v>0</v>
      </c>
      <c r="BG673" s="39"/>
      <c r="BH673" s="39"/>
      <c r="BI673" s="39"/>
      <c r="BJ673" s="39"/>
      <c r="BK673" s="39"/>
      <c r="BL673" s="39">
        <f t="shared" si="769"/>
        <v>0</v>
      </c>
      <c r="BM673" s="54" t="e">
        <f t="shared" si="746"/>
        <v>#DIV/0!</v>
      </c>
      <c r="BN673" s="63"/>
      <c r="BO673" s="39"/>
      <c r="BP673" s="39"/>
      <c r="BQ673" s="39"/>
      <c r="BR673" s="40"/>
      <c r="BS673" s="40"/>
      <c r="BT673" s="39"/>
      <c r="BU673" s="39"/>
      <c r="BV673" s="39"/>
      <c r="BW673" s="39"/>
      <c r="BX673" s="39"/>
      <c r="BY673" s="39"/>
      <c r="BZ673" s="39">
        <f t="shared" si="770"/>
        <v>0</v>
      </c>
      <c r="CA673" s="39">
        <f t="shared" si="747"/>
        <v>0</v>
      </c>
      <c r="CB673" s="39">
        <f t="shared" si="748"/>
        <v>0</v>
      </c>
      <c r="CC673" s="39">
        <f t="shared" si="749"/>
        <v>0</v>
      </c>
      <c r="CD673" s="39">
        <f t="shared" si="771"/>
        <v>0</v>
      </c>
      <c r="CE673" s="47" t="e">
        <f t="shared" si="751"/>
        <v>#DIV/0!</v>
      </c>
      <c r="CF673" s="39"/>
      <c r="CG673" s="39"/>
      <c r="CH673" s="39"/>
      <c r="CI673" s="25">
        <v>3</v>
      </c>
    </row>
    <row r="674" spans="1:87" ht="24.75" customHeight="1">
      <c r="A674" s="39" t="s">
        <v>86</v>
      </c>
      <c r="B674" s="55"/>
      <c r="C674" s="36"/>
      <c r="D674" s="36"/>
      <c r="E674" s="39"/>
      <c r="F674" s="39"/>
      <c r="G674" s="36"/>
      <c r="H674" s="39"/>
      <c r="I674" s="39"/>
      <c r="J674" s="39"/>
      <c r="K674" s="39"/>
      <c r="L674" s="39">
        <f t="shared" si="785"/>
        <v>0</v>
      </c>
      <c r="M674" s="39"/>
      <c r="N674" s="39"/>
      <c r="O674" s="39"/>
      <c r="P674" s="39"/>
      <c r="Q674" s="39"/>
      <c r="R674" s="39">
        <f t="shared" si="786"/>
        <v>0</v>
      </c>
      <c r="S674" s="39"/>
      <c r="T674" s="39"/>
      <c r="U674" s="39"/>
      <c r="V674" s="39"/>
      <c r="W674" s="39"/>
      <c r="X674" s="39"/>
      <c r="Y674" s="39"/>
      <c r="Z674" s="39"/>
      <c r="AA674" s="39"/>
      <c r="AB674" s="39">
        <f t="shared" si="787"/>
        <v>0</v>
      </c>
      <c r="AC674" s="39"/>
      <c r="AD674" s="39"/>
      <c r="AE674" s="39"/>
      <c r="AF674" s="39"/>
      <c r="AG674" s="39"/>
      <c r="AH674" s="39">
        <f t="shared" si="768"/>
        <v>0</v>
      </c>
      <c r="AI674" s="39"/>
      <c r="AJ674" s="39"/>
      <c r="AK674" s="39"/>
      <c r="AL674" s="39"/>
      <c r="AM674" s="39"/>
      <c r="AN674" s="39">
        <f t="shared" si="703"/>
        <v>0</v>
      </c>
      <c r="AO674" s="39"/>
      <c r="AP674" s="39"/>
      <c r="AQ674" s="39"/>
      <c r="AR674" s="39"/>
      <c r="AS674" s="39"/>
      <c r="AT674" s="39">
        <f t="shared" si="743"/>
        <v>0</v>
      </c>
      <c r="AU674" s="39"/>
      <c r="AV674" s="39"/>
      <c r="AW674" s="39"/>
      <c r="AX674" s="39"/>
      <c r="AY674" s="39"/>
      <c r="AZ674" s="39">
        <f t="shared" si="744"/>
        <v>0</v>
      </c>
      <c r="BA674" s="39"/>
      <c r="BB674" s="39"/>
      <c r="BC674" s="39"/>
      <c r="BD674" s="39"/>
      <c r="BE674" s="39"/>
      <c r="BF674" s="39">
        <f t="shared" si="745"/>
        <v>0</v>
      </c>
      <c r="BG674" s="39"/>
      <c r="BH674" s="39"/>
      <c r="BI674" s="39"/>
      <c r="BJ674" s="39"/>
      <c r="BK674" s="39"/>
      <c r="BL674" s="39">
        <f t="shared" si="769"/>
        <v>0</v>
      </c>
      <c r="BM674" s="54" t="e">
        <f t="shared" si="746"/>
        <v>#DIV/0!</v>
      </c>
      <c r="BN674" s="63"/>
      <c r="BO674" s="39"/>
      <c r="BP674" s="39"/>
      <c r="BQ674" s="39"/>
      <c r="BR674" s="40"/>
      <c r="BS674" s="40"/>
      <c r="BT674" s="39"/>
      <c r="BU674" s="39"/>
      <c r="BV674" s="39"/>
      <c r="BW674" s="39"/>
      <c r="BX674" s="39"/>
      <c r="BY674" s="39"/>
      <c r="BZ674" s="39">
        <f t="shared" si="770"/>
        <v>0</v>
      </c>
      <c r="CA674" s="39">
        <f t="shared" si="747"/>
        <v>0</v>
      </c>
      <c r="CB674" s="39">
        <f t="shared" si="748"/>
        <v>0</v>
      </c>
      <c r="CC674" s="39">
        <f t="shared" si="749"/>
        <v>0</v>
      </c>
      <c r="CD674" s="39">
        <f t="shared" si="771"/>
        <v>0</v>
      </c>
      <c r="CE674" s="47" t="e">
        <f t="shared" si="751"/>
        <v>#DIV/0!</v>
      </c>
      <c r="CF674" s="39"/>
      <c r="CG674" s="39"/>
      <c r="CH674" s="39"/>
      <c r="CI674" s="25">
        <v>3</v>
      </c>
    </row>
    <row r="675" spans="1:87" ht="24.75" customHeight="1">
      <c r="A675" s="39" t="s">
        <v>86</v>
      </c>
      <c r="B675" s="55"/>
      <c r="C675" s="36"/>
      <c r="D675" s="36"/>
      <c r="E675" s="39"/>
      <c r="F675" s="39"/>
      <c r="G675" s="36"/>
      <c r="H675" s="39"/>
      <c r="I675" s="39"/>
      <c r="J675" s="39"/>
      <c r="K675" s="39"/>
      <c r="L675" s="39">
        <f t="shared" si="785"/>
        <v>0</v>
      </c>
      <c r="M675" s="39"/>
      <c r="N675" s="39"/>
      <c r="O675" s="39"/>
      <c r="P675" s="39"/>
      <c r="Q675" s="39"/>
      <c r="R675" s="39">
        <f t="shared" si="786"/>
        <v>0</v>
      </c>
      <c r="S675" s="39"/>
      <c r="T675" s="39"/>
      <c r="U675" s="39"/>
      <c r="V675" s="39"/>
      <c r="W675" s="39"/>
      <c r="X675" s="39"/>
      <c r="Y675" s="39"/>
      <c r="Z675" s="39"/>
      <c r="AA675" s="39"/>
      <c r="AB675" s="39">
        <f t="shared" si="787"/>
        <v>0</v>
      </c>
      <c r="AC675" s="39"/>
      <c r="AD675" s="39"/>
      <c r="AE675" s="39"/>
      <c r="AF675" s="39"/>
      <c r="AG675" s="39"/>
      <c r="AH675" s="39">
        <f t="shared" si="768"/>
        <v>0</v>
      </c>
      <c r="AI675" s="39"/>
      <c r="AJ675" s="39"/>
      <c r="AK675" s="39"/>
      <c r="AL675" s="39"/>
      <c r="AM675" s="39"/>
      <c r="AN675" s="39">
        <f t="shared" si="703"/>
        <v>0</v>
      </c>
      <c r="AO675" s="39"/>
      <c r="AP675" s="39"/>
      <c r="AQ675" s="39"/>
      <c r="AR675" s="39"/>
      <c r="AS675" s="39"/>
      <c r="AT675" s="39">
        <f t="shared" si="743"/>
        <v>0</v>
      </c>
      <c r="AU675" s="39"/>
      <c r="AV675" s="39"/>
      <c r="AW675" s="39"/>
      <c r="AX675" s="39"/>
      <c r="AY675" s="39"/>
      <c r="AZ675" s="39">
        <f t="shared" si="744"/>
        <v>0</v>
      </c>
      <c r="BA675" s="39"/>
      <c r="BB675" s="39"/>
      <c r="BC675" s="39"/>
      <c r="BD675" s="39"/>
      <c r="BE675" s="39"/>
      <c r="BF675" s="39">
        <f t="shared" si="745"/>
        <v>0</v>
      </c>
      <c r="BG675" s="39"/>
      <c r="BH675" s="39"/>
      <c r="BI675" s="39"/>
      <c r="BJ675" s="39"/>
      <c r="BK675" s="39"/>
      <c r="BL675" s="39">
        <f t="shared" si="769"/>
        <v>0</v>
      </c>
      <c r="BM675" s="54" t="e">
        <f t="shared" si="746"/>
        <v>#DIV/0!</v>
      </c>
      <c r="BN675" s="63"/>
      <c r="BO675" s="39"/>
      <c r="BP675" s="39"/>
      <c r="BQ675" s="39"/>
      <c r="BR675" s="40"/>
      <c r="BS675" s="40"/>
      <c r="BT675" s="39"/>
      <c r="BU675" s="39"/>
      <c r="BV675" s="39"/>
      <c r="BW675" s="39"/>
      <c r="BX675" s="39"/>
      <c r="BY675" s="39"/>
      <c r="BZ675" s="39">
        <f t="shared" si="770"/>
        <v>0</v>
      </c>
      <c r="CA675" s="39">
        <f t="shared" si="747"/>
        <v>0</v>
      </c>
      <c r="CB675" s="39">
        <f t="shared" si="748"/>
        <v>0</v>
      </c>
      <c r="CC675" s="39">
        <f t="shared" si="749"/>
        <v>0</v>
      </c>
      <c r="CD675" s="39">
        <f t="shared" si="771"/>
        <v>0</v>
      </c>
      <c r="CE675" s="47" t="e">
        <f t="shared" si="751"/>
        <v>#DIV/0!</v>
      </c>
      <c r="CF675" s="39"/>
      <c r="CG675" s="39"/>
      <c r="CH675" s="39"/>
      <c r="CI675" s="25">
        <v>3</v>
      </c>
    </row>
    <row r="676" spans="1:87" ht="24.75" customHeight="1">
      <c r="A676" s="39" t="s">
        <v>86</v>
      </c>
      <c r="B676" s="55"/>
      <c r="C676" s="36"/>
      <c r="D676" s="36"/>
      <c r="E676" s="39"/>
      <c r="F676" s="39"/>
      <c r="G676" s="36"/>
      <c r="H676" s="39"/>
      <c r="I676" s="39"/>
      <c r="J676" s="39"/>
      <c r="K676" s="39"/>
      <c r="L676" s="39">
        <f t="shared" si="785"/>
        <v>0</v>
      </c>
      <c r="M676" s="39"/>
      <c r="N676" s="39"/>
      <c r="O676" s="39"/>
      <c r="P676" s="39"/>
      <c r="Q676" s="39"/>
      <c r="R676" s="39">
        <f t="shared" si="786"/>
        <v>0</v>
      </c>
      <c r="S676" s="39"/>
      <c r="T676" s="39"/>
      <c r="U676" s="39"/>
      <c r="V676" s="39"/>
      <c r="W676" s="39"/>
      <c r="X676" s="39"/>
      <c r="Y676" s="39"/>
      <c r="Z676" s="39"/>
      <c r="AA676" s="39"/>
      <c r="AB676" s="39">
        <f t="shared" si="787"/>
        <v>0</v>
      </c>
      <c r="AC676" s="39"/>
      <c r="AD676" s="39"/>
      <c r="AE676" s="39"/>
      <c r="AF676" s="39"/>
      <c r="AG676" s="39"/>
      <c r="AH676" s="39">
        <f t="shared" si="768"/>
        <v>0</v>
      </c>
      <c r="AI676" s="39"/>
      <c r="AJ676" s="39"/>
      <c r="AK676" s="39"/>
      <c r="AL676" s="39"/>
      <c r="AM676" s="39"/>
      <c r="AN676" s="39">
        <f t="shared" si="703"/>
        <v>0</v>
      </c>
      <c r="AO676" s="39"/>
      <c r="AP676" s="39"/>
      <c r="AQ676" s="39"/>
      <c r="AR676" s="39"/>
      <c r="AS676" s="39"/>
      <c r="AT676" s="39">
        <f t="shared" si="743"/>
        <v>0</v>
      </c>
      <c r="AU676" s="39"/>
      <c r="AV676" s="39"/>
      <c r="AW676" s="39"/>
      <c r="AX676" s="39"/>
      <c r="AY676" s="39"/>
      <c r="AZ676" s="39">
        <f t="shared" si="744"/>
        <v>0</v>
      </c>
      <c r="BA676" s="39"/>
      <c r="BB676" s="39"/>
      <c r="BC676" s="39"/>
      <c r="BD676" s="39"/>
      <c r="BE676" s="39"/>
      <c r="BF676" s="39">
        <f t="shared" si="745"/>
        <v>0</v>
      </c>
      <c r="BG676" s="39"/>
      <c r="BH676" s="39"/>
      <c r="BI676" s="39"/>
      <c r="BJ676" s="39"/>
      <c r="BK676" s="39"/>
      <c r="BL676" s="39">
        <f t="shared" si="769"/>
        <v>0</v>
      </c>
      <c r="BM676" s="54" t="e">
        <f t="shared" si="746"/>
        <v>#DIV/0!</v>
      </c>
      <c r="BN676" s="63"/>
      <c r="BO676" s="39"/>
      <c r="BP676" s="39"/>
      <c r="BQ676" s="39"/>
      <c r="BR676" s="40"/>
      <c r="BS676" s="40"/>
      <c r="BT676" s="39"/>
      <c r="BU676" s="39"/>
      <c r="BV676" s="39"/>
      <c r="BW676" s="39"/>
      <c r="BX676" s="39"/>
      <c r="BY676" s="39"/>
      <c r="BZ676" s="39">
        <f t="shared" si="770"/>
        <v>0</v>
      </c>
      <c r="CA676" s="39">
        <f t="shared" si="747"/>
        <v>0</v>
      </c>
      <c r="CB676" s="39">
        <f t="shared" si="748"/>
        <v>0</v>
      </c>
      <c r="CC676" s="39">
        <f t="shared" si="749"/>
        <v>0</v>
      </c>
      <c r="CD676" s="39">
        <f t="shared" si="771"/>
        <v>0</v>
      </c>
      <c r="CE676" s="47" t="e">
        <f t="shared" si="751"/>
        <v>#DIV/0!</v>
      </c>
      <c r="CF676" s="39"/>
      <c r="CG676" s="39"/>
      <c r="CH676" s="39"/>
      <c r="CI676" s="25">
        <v>3</v>
      </c>
    </row>
    <row r="677" spans="1:87" ht="24.75" customHeight="1">
      <c r="A677" s="39" t="s">
        <v>86</v>
      </c>
      <c r="B677" s="55"/>
      <c r="C677" s="36"/>
      <c r="D677" s="36"/>
      <c r="E677" s="39"/>
      <c r="F677" s="39"/>
      <c r="G677" s="36"/>
      <c r="H677" s="39"/>
      <c r="I677" s="39"/>
      <c r="J677" s="39"/>
      <c r="K677" s="39"/>
      <c r="L677" s="39">
        <f t="shared" si="785"/>
        <v>0</v>
      </c>
      <c r="M677" s="39"/>
      <c r="N677" s="39"/>
      <c r="O677" s="39"/>
      <c r="P677" s="39"/>
      <c r="Q677" s="39"/>
      <c r="R677" s="39">
        <f t="shared" si="786"/>
        <v>0</v>
      </c>
      <c r="S677" s="39"/>
      <c r="T677" s="39"/>
      <c r="U677" s="39"/>
      <c r="V677" s="39"/>
      <c r="W677" s="39"/>
      <c r="X677" s="39"/>
      <c r="Y677" s="39"/>
      <c r="Z677" s="39"/>
      <c r="AA677" s="39"/>
      <c r="AB677" s="39">
        <f t="shared" si="787"/>
        <v>0</v>
      </c>
      <c r="AC677" s="39"/>
      <c r="AD677" s="39"/>
      <c r="AE677" s="39"/>
      <c r="AF677" s="39"/>
      <c r="AG677" s="39"/>
      <c r="AH677" s="39">
        <f t="shared" si="768"/>
        <v>0</v>
      </c>
      <c r="AI677" s="39"/>
      <c r="AJ677" s="39"/>
      <c r="AK677" s="39"/>
      <c r="AL677" s="39"/>
      <c r="AM677" s="39"/>
      <c r="AN677" s="39">
        <f t="shared" si="703"/>
        <v>0</v>
      </c>
      <c r="AO677" s="39"/>
      <c r="AP677" s="39"/>
      <c r="AQ677" s="39"/>
      <c r="AR677" s="39"/>
      <c r="AS677" s="39"/>
      <c r="AT677" s="39">
        <f t="shared" si="743"/>
        <v>0</v>
      </c>
      <c r="AU677" s="39"/>
      <c r="AV677" s="39"/>
      <c r="AW677" s="39"/>
      <c r="AX677" s="39"/>
      <c r="AY677" s="39"/>
      <c r="AZ677" s="39">
        <f t="shared" si="744"/>
        <v>0</v>
      </c>
      <c r="BA677" s="39"/>
      <c r="BB677" s="39"/>
      <c r="BC677" s="39"/>
      <c r="BD677" s="39"/>
      <c r="BE677" s="39"/>
      <c r="BF677" s="39">
        <f t="shared" si="745"/>
        <v>0</v>
      </c>
      <c r="BG677" s="39"/>
      <c r="BH677" s="39"/>
      <c r="BI677" s="39"/>
      <c r="BJ677" s="39"/>
      <c r="BK677" s="39"/>
      <c r="BL677" s="39">
        <f t="shared" si="769"/>
        <v>0</v>
      </c>
      <c r="BM677" s="54" t="e">
        <f t="shared" si="746"/>
        <v>#DIV/0!</v>
      </c>
      <c r="BN677" s="63"/>
      <c r="BO677" s="39"/>
      <c r="BP677" s="39"/>
      <c r="BQ677" s="39"/>
      <c r="BR677" s="40"/>
      <c r="BS677" s="40"/>
      <c r="BT677" s="39"/>
      <c r="BU677" s="39"/>
      <c r="BV677" s="39"/>
      <c r="BW677" s="39"/>
      <c r="BX677" s="39"/>
      <c r="BY677" s="39"/>
      <c r="BZ677" s="39">
        <f t="shared" si="770"/>
        <v>0</v>
      </c>
      <c r="CA677" s="39">
        <f t="shared" si="747"/>
        <v>0</v>
      </c>
      <c r="CB677" s="39">
        <f t="shared" si="748"/>
        <v>0</v>
      </c>
      <c r="CC677" s="39">
        <f t="shared" si="749"/>
        <v>0</v>
      </c>
      <c r="CD677" s="39">
        <f t="shared" si="771"/>
        <v>0</v>
      </c>
      <c r="CE677" s="47" t="e">
        <f t="shared" si="751"/>
        <v>#DIV/0!</v>
      </c>
      <c r="CF677" s="39"/>
      <c r="CG677" s="39"/>
      <c r="CH677" s="39"/>
      <c r="CI677" s="25">
        <v>3</v>
      </c>
    </row>
    <row r="678" spans="1:87" ht="24.75" customHeight="1">
      <c r="A678" s="36" t="s">
        <v>185</v>
      </c>
      <c r="B678" s="55"/>
      <c r="C678" s="36"/>
      <c r="D678" s="36"/>
      <c r="E678" s="39"/>
      <c r="F678" s="39"/>
      <c r="G678" s="36"/>
      <c r="H678" s="39"/>
      <c r="I678" s="39"/>
      <c r="J678" s="39"/>
      <c r="K678" s="39"/>
      <c r="L678" s="39">
        <f t="shared" si="785"/>
        <v>0</v>
      </c>
      <c r="M678" s="39"/>
      <c r="N678" s="39"/>
      <c r="O678" s="39"/>
      <c r="P678" s="39"/>
      <c r="Q678" s="39"/>
      <c r="R678" s="39">
        <f t="shared" si="786"/>
        <v>0</v>
      </c>
      <c r="S678" s="39"/>
      <c r="T678" s="39"/>
      <c r="U678" s="39"/>
      <c r="V678" s="39"/>
      <c r="W678" s="39"/>
      <c r="X678" s="39"/>
      <c r="Y678" s="39"/>
      <c r="Z678" s="39"/>
      <c r="AA678" s="39"/>
      <c r="AB678" s="39">
        <f t="shared" si="787"/>
        <v>0</v>
      </c>
      <c r="AC678" s="39"/>
      <c r="AD678" s="39"/>
      <c r="AE678" s="39"/>
      <c r="AF678" s="39"/>
      <c r="AG678" s="39"/>
      <c r="AH678" s="39">
        <f t="shared" si="768"/>
        <v>0</v>
      </c>
      <c r="AI678" s="39"/>
      <c r="AJ678" s="39"/>
      <c r="AK678" s="39"/>
      <c r="AL678" s="39"/>
      <c r="AM678" s="39"/>
      <c r="AN678" s="39">
        <f t="shared" si="703"/>
        <v>0</v>
      </c>
      <c r="AO678" s="39"/>
      <c r="AP678" s="39"/>
      <c r="AQ678" s="39"/>
      <c r="AR678" s="39"/>
      <c r="AS678" s="39"/>
      <c r="AT678" s="39">
        <f t="shared" si="743"/>
        <v>0</v>
      </c>
      <c r="AU678" s="39"/>
      <c r="AV678" s="39"/>
      <c r="AW678" s="39"/>
      <c r="AX678" s="39"/>
      <c r="AY678" s="39"/>
      <c r="AZ678" s="39">
        <f t="shared" si="744"/>
        <v>0</v>
      </c>
      <c r="BA678" s="39"/>
      <c r="BB678" s="39"/>
      <c r="BC678" s="39"/>
      <c r="BD678" s="39"/>
      <c r="BE678" s="39"/>
      <c r="BF678" s="39">
        <f t="shared" si="745"/>
        <v>0</v>
      </c>
      <c r="BG678" s="39"/>
      <c r="BH678" s="39"/>
      <c r="BI678" s="39"/>
      <c r="BJ678" s="39"/>
      <c r="BK678" s="39"/>
      <c r="BL678" s="39">
        <f t="shared" si="769"/>
        <v>0</v>
      </c>
      <c r="BM678" s="54" t="e">
        <f t="shared" si="746"/>
        <v>#DIV/0!</v>
      </c>
      <c r="BN678" s="42"/>
      <c r="BO678" s="39"/>
      <c r="BP678" s="39"/>
      <c r="BQ678" s="39"/>
      <c r="BR678" s="40"/>
      <c r="BS678" s="40"/>
      <c r="BT678" s="39"/>
      <c r="BU678" s="39"/>
      <c r="BV678" s="39"/>
      <c r="BW678" s="39"/>
      <c r="BX678" s="39"/>
      <c r="BY678" s="39"/>
      <c r="BZ678" s="39">
        <f t="shared" si="770"/>
        <v>0</v>
      </c>
      <c r="CA678" s="39">
        <f t="shared" si="747"/>
        <v>0</v>
      </c>
      <c r="CB678" s="39">
        <f t="shared" si="748"/>
        <v>0</v>
      </c>
      <c r="CC678" s="39">
        <f t="shared" si="749"/>
        <v>0</v>
      </c>
      <c r="CD678" s="39">
        <f t="shared" si="771"/>
        <v>0</v>
      </c>
      <c r="CE678" s="47" t="e">
        <f t="shared" si="751"/>
        <v>#DIV/0!</v>
      </c>
      <c r="CF678" s="36"/>
      <c r="CG678" s="39"/>
      <c r="CH678" s="39"/>
      <c r="CI678" s="25">
        <v>1</v>
      </c>
    </row>
    <row r="679" spans="1:87" ht="24.75" customHeight="1">
      <c r="A679" s="36" t="s">
        <v>185</v>
      </c>
      <c r="B679" s="55"/>
      <c r="C679" s="36"/>
      <c r="D679" s="36"/>
      <c r="E679" s="39"/>
      <c r="F679" s="39"/>
      <c r="G679" s="36"/>
      <c r="H679" s="39"/>
      <c r="I679" s="39"/>
      <c r="J679" s="39"/>
      <c r="K679" s="39"/>
      <c r="L679" s="39">
        <f t="shared" si="785"/>
        <v>0</v>
      </c>
      <c r="M679" s="39"/>
      <c r="N679" s="39"/>
      <c r="O679" s="39"/>
      <c r="P679" s="39"/>
      <c r="Q679" s="39"/>
      <c r="R679" s="39">
        <f t="shared" si="786"/>
        <v>0</v>
      </c>
      <c r="S679" s="39"/>
      <c r="T679" s="39"/>
      <c r="U679" s="39"/>
      <c r="V679" s="39"/>
      <c r="W679" s="39"/>
      <c r="X679" s="39"/>
      <c r="Y679" s="39"/>
      <c r="Z679" s="39"/>
      <c r="AA679" s="39"/>
      <c r="AB679" s="39">
        <f t="shared" si="787"/>
        <v>0</v>
      </c>
      <c r="AC679" s="39"/>
      <c r="AD679" s="39"/>
      <c r="AE679" s="39"/>
      <c r="AF679" s="39"/>
      <c r="AG679" s="39"/>
      <c r="AH679" s="39">
        <f t="shared" si="768"/>
        <v>0</v>
      </c>
      <c r="AI679" s="39"/>
      <c r="AJ679" s="39"/>
      <c r="AK679" s="39"/>
      <c r="AL679" s="39"/>
      <c r="AM679" s="39"/>
      <c r="AN679" s="39">
        <f t="shared" si="703"/>
        <v>0</v>
      </c>
      <c r="AO679" s="39"/>
      <c r="AP679" s="39"/>
      <c r="AQ679" s="39"/>
      <c r="AR679" s="39"/>
      <c r="AS679" s="39"/>
      <c r="AT679" s="39">
        <f t="shared" si="743"/>
        <v>0</v>
      </c>
      <c r="AU679" s="39"/>
      <c r="AV679" s="39"/>
      <c r="AW679" s="39"/>
      <c r="AX679" s="39"/>
      <c r="AY679" s="39"/>
      <c r="AZ679" s="39">
        <f t="shared" si="744"/>
        <v>0</v>
      </c>
      <c r="BA679" s="39"/>
      <c r="BB679" s="39"/>
      <c r="BC679" s="39"/>
      <c r="BD679" s="39"/>
      <c r="BE679" s="39"/>
      <c r="BF679" s="39">
        <f t="shared" si="745"/>
        <v>0</v>
      </c>
      <c r="BG679" s="39"/>
      <c r="BH679" s="39"/>
      <c r="BI679" s="39"/>
      <c r="BJ679" s="39"/>
      <c r="BK679" s="39"/>
      <c r="BL679" s="39">
        <f t="shared" si="769"/>
        <v>0</v>
      </c>
      <c r="BM679" s="54" t="e">
        <f t="shared" si="746"/>
        <v>#DIV/0!</v>
      </c>
      <c r="BN679" s="42"/>
      <c r="BO679" s="39"/>
      <c r="BP679" s="39"/>
      <c r="BQ679" s="39"/>
      <c r="BR679" s="40"/>
      <c r="BS679" s="40"/>
      <c r="BT679" s="39"/>
      <c r="BU679" s="39"/>
      <c r="BV679" s="39"/>
      <c r="BW679" s="39"/>
      <c r="BX679" s="39"/>
      <c r="BY679" s="39"/>
      <c r="BZ679" s="39">
        <f t="shared" si="770"/>
        <v>0</v>
      </c>
      <c r="CA679" s="39">
        <f t="shared" si="747"/>
        <v>0</v>
      </c>
      <c r="CB679" s="39">
        <f t="shared" si="748"/>
        <v>0</v>
      </c>
      <c r="CC679" s="39">
        <f t="shared" si="749"/>
        <v>0</v>
      </c>
      <c r="CD679" s="39">
        <f t="shared" si="771"/>
        <v>0</v>
      </c>
      <c r="CE679" s="47" t="e">
        <f t="shared" si="751"/>
        <v>#DIV/0!</v>
      </c>
      <c r="CF679" s="36"/>
      <c r="CG679" s="39"/>
      <c r="CH679" s="39"/>
      <c r="CI679" s="25">
        <v>1</v>
      </c>
    </row>
    <row r="680" spans="1:87" ht="24.75" customHeight="1">
      <c r="A680" s="36" t="s">
        <v>185</v>
      </c>
      <c r="B680" s="55"/>
      <c r="C680" s="36"/>
      <c r="D680" s="36"/>
      <c r="E680" s="39"/>
      <c r="F680" s="39"/>
      <c r="G680" s="36"/>
      <c r="H680" s="39"/>
      <c r="I680" s="39"/>
      <c r="J680" s="39"/>
      <c r="K680" s="39"/>
      <c r="L680" s="39">
        <f t="shared" si="785"/>
        <v>0</v>
      </c>
      <c r="M680" s="39"/>
      <c r="N680" s="39"/>
      <c r="O680" s="39"/>
      <c r="P680" s="39"/>
      <c r="Q680" s="39"/>
      <c r="R680" s="39">
        <f t="shared" si="786"/>
        <v>0</v>
      </c>
      <c r="S680" s="39"/>
      <c r="T680" s="39"/>
      <c r="U680" s="39"/>
      <c r="V680" s="39"/>
      <c r="W680" s="39"/>
      <c r="X680" s="39"/>
      <c r="Y680" s="39"/>
      <c r="Z680" s="39"/>
      <c r="AA680" s="39"/>
      <c r="AB680" s="39">
        <f t="shared" si="787"/>
        <v>0</v>
      </c>
      <c r="AC680" s="39"/>
      <c r="AD680" s="39"/>
      <c r="AE680" s="39"/>
      <c r="AF680" s="39"/>
      <c r="AG680" s="39"/>
      <c r="AH680" s="39">
        <f t="shared" si="768"/>
        <v>0</v>
      </c>
      <c r="AI680" s="39"/>
      <c r="AJ680" s="39"/>
      <c r="AK680" s="39"/>
      <c r="AL680" s="39"/>
      <c r="AM680" s="39"/>
      <c r="AN680" s="39">
        <f>AM680-AK680</f>
        <v>0</v>
      </c>
      <c r="AO680" s="39"/>
      <c r="AP680" s="39"/>
      <c r="AQ680" s="39"/>
      <c r="AR680" s="39"/>
      <c r="AS680" s="39"/>
      <c r="AT680" s="39">
        <f>AS680-AQ680</f>
        <v>0</v>
      </c>
      <c r="AU680" s="39"/>
      <c r="AV680" s="39"/>
      <c r="AW680" s="39"/>
      <c r="AX680" s="39"/>
      <c r="AY680" s="39"/>
      <c r="AZ680" s="39">
        <f>AY680-AW680</f>
        <v>0</v>
      </c>
      <c r="BA680" s="39"/>
      <c r="BB680" s="39"/>
      <c r="BC680" s="39"/>
      <c r="BD680" s="39"/>
      <c r="BE680" s="39"/>
      <c r="BF680" s="39">
        <f>BE680-BC680</f>
        <v>0</v>
      </c>
      <c r="BG680" s="39"/>
      <c r="BH680" s="39"/>
      <c r="BI680" s="39"/>
      <c r="BJ680" s="39"/>
      <c r="BK680" s="39"/>
      <c r="BL680" s="39">
        <f t="shared" si="769"/>
        <v>0</v>
      </c>
      <c r="BM680" s="54" t="e">
        <f>IF((BZ680/L680)&lt;0.9,$CO$1-U680,"")</f>
        <v>#DIV/0!</v>
      </c>
      <c r="BN680" s="42"/>
      <c r="BO680" s="39"/>
      <c r="BP680" s="39"/>
      <c r="BQ680" s="39"/>
      <c r="BR680" s="40"/>
      <c r="BS680" s="40"/>
      <c r="BT680" s="39"/>
      <c r="BU680" s="39"/>
      <c r="BV680" s="39"/>
      <c r="BW680" s="39"/>
      <c r="BX680" s="39"/>
      <c r="BY680" s="39"/>
      <c r="BZ680" s="39">
        <f t="shared" si="770"/>
        <v>0</v>
      </c>
      <c r="CA680" s="39">
        <f>BU680-I680</f>
        <v>0</v>
      </c>
      <c r="CB680" s="39">
        <f>BW680-J680</f>
        <v>0</v>
      </c>
      <c r="CC680" s="39">
        <f>BY680-K680</f>
        <v>0</v>
      </c>
      <c r="CD680" s="39">
        <f t="shared" si="771"/>
        <v>0</v>
      </c>
      <c r="CE680" s="47" t="e">
        <f>CD680/L680</f>
        <v>#DIV/0!</v>
      </c>
      <c r="CF680" s="36"/>
      <c r="CG680" s="39"/>
      <c r="CH680" s="39"/>
      <c r="CI680" s="25">
        <v>1</v>
      </c>
    </row>
    <row r="681" spans="1:87" ht="24.75" customHeight="1">
      <c r="A681" s="36" t="s">
        <v>185</v>
      </c>
      <c r="B681" s="55"/>
      <c r="C681" s="36"/>
      <c r="D681" s="36"/>
      <c r="E681" s="39"/>
      <c r="F681" s="39"/>
      <c r="G681" s="36"/>
      <c r="H681" s="39"/>
      <c r="I681" s="39"/>
      <c r="J681" s="39"/>
      <c r="K681" s="39"/>
      <c r="L681" s="39">
        <f t="shared" si="785"/>
        <v>0</v>
      </c>
      <c r="M681" s="39"/>
      <c r="N681" s="39"/>
      <c r="O681" s="39"/>
      <c r="P681" s="39"/>
      <c r="Q681" s="39"/>
      <c r="R681" s="39">
        <f t="shared" si="786"/>
        <v>0</v>
      </c>
      <c r="S681" s="39"/>
      <c r="T681" s="39"/>
      <c r="U681" s="39"/>
      <c r="V681" s="39"/>
      <c r="W681" s="39"/>
      <c r="X681" s="39"/>
      <c r="Y681" s="39"/>
      <c r="Z681" s="39"/>
      <c r="AA681" s="39"/>
      <c r="AB681" s="39">
        <f t="shared" si="787"/>
        <v>0</v>
      </c>
      <c r="AC681" s="39"/>
      <c r="AD681" s="39"/>
      <c r="AE681" s="39"/>
      <c r="AF681" s="39"/>
      <c r="AG681" s="39"/>
      <c r="AH681" s="39">
        <f t="shared" si="768"/>
        <v>0</v>
      </c>
      <c r="AI681" s="39"/>
      <c r="AJ681" s="39"/>
      <c r="AK681" s="39"/>
      <c r="AL681" s="39"/>
      <c r="AM681" s="39"/>
      <c r="AN681" s="39">
        <f t="shared" ref="AN681:AN684" si="788">AM681-AK681</f>
        <v>0</v>
      </c>
      <c r="AO681" s="39"/>
      <c r="AP681" s="39"/>
      <c r="AQ681" s="39"/>
      <c r="AR681" s="39"/>
      <c r="AS681" s="39"/>
      <c r="AT681" s="39">
        <f t="shared" si="743"/>
        <v>0</v>
      </c>
      <c r="AU681" s="39"/>
      <c r="AV681" s="39"/>
      <c r="AW681" s="39"/>
      <c r="AX681" s="39"/>
      <c r="AY681" s="39"/>
      <c r="AZ681" s="39">
        <f t="shared" si="744"/>
        <v>0</v>
      </c>
      <c r="BA681" s="39"/>
      <c r="BB681" s="39"/>
      <c r="BC681" s="39"/>
      <c r="BD681" s="39"/>
      <c r="BE681" s="39"/>
      <c r="BF681" s="39">
        <f t="shared" si="745"/>
        <v>0</v>
      </c>
      <c r="BG681" s="39"/>
      <c r="BH681" s="39"/>
      <c r="BI681" s="39"/>
      <c r="BJ681" s="39"/>
      <c r="BK681" s="39"/>
      <c r="BL681" s="39">
        <f t="shared" si="769"/>
        <v>0</v>
      </c>
      <c r="BM681" s="54" t="e">
        <f t="shared" si="746"/>
        <v>#DIV/0!</v>
      </c>
      <c r="BN681" s="42"/>
      <c r="BO681" s="39"/>
      <c r="BP681" s="39"/>
      <c r="BQ681" s="39"/>
      <c r="BR681" s="40"/>
      <c r="BS681" s="40"/>
      <c r="BT681" s="39"/>
      <c r="BU681" s="39"/>
      <c r="BV681" s="39"/>
      <c r="BW681" s="39"/>
      <c r="BX681" s="39"/>
      <c r="BY681" s="39"/>
      <c r="BZ681" s="39">
        <f t="shared" si="770"/>
        <v>0</v>
      </c>
      <c r="CA681" s="39">
        <f t="shared" si="747"/>
        <v>0</v>
      </c>
      <c r="CB681" s="39">
        <f t="shared" si="748"/>
        <v>0</v>
      </c>
      <c r="CC681" s="39">
        <f t="shared" si="749"/>
        <v>0</v>
      </c>
      <c r="CD681" s="39">
        <f t="shared" si="771"/>
        <v>0</v>
      </c>
      <c r="CE681" s="47" t="e">
        <f t="shared" si="751"/>
        <v>#DIV/0!</v>
      </c>
      <c r="CF681" s="36"/>
      <c r="CG681" s="39"/>
      <c r="CH681" s="39"/>
      <c r="CI681" s="25">
        <v>1</v>
      </c>
    </row>
    <row r="682" spans="1:87" ht="24.75" customHeight="1">
      <c r="A682" s="36" t="s">
        <v>185</v>
      </c>
      <c r="B682" s="55"/>
      <c r="C682" s="36"/>
      <c r="D682" s="36"/>
      <c r="E682" s="39"/>
      <c r="F682" s="39"/>
      <c r="G682" s="36"/>
      <c r="H682" s="39"/>
      <c r="I682" s="39"/>
      <c r="J682" s="39"/>
      <c r="K682" s="39"/>
      <c r="L682" s="39">
        <f t="shared" si="785"/>
        <v>0</v>
      </c>
      <c r="M682" s="39"/>
      <c r="N682" s="39"/>
      <c r="O682" s="39"/>
      <c r="P682" s="39"/>
      <c r="Q682" s="39"/>
      <c r="R682" s="39">
        <f t="shared" si="786"/>
        <v>0</v>
      </c>
      <c r="S682" s="39"/>
      <c r="T682" s="39"/>
      <c r="U682" s="39"/>
      <c r="V682" s="39"/>
      <c r="W682" s="39"/>
      <c r="X682" s="39"/>
      <c r="Y682" s="39"/>
      <c r="Z682" s="39"/>
      <c r="AA682" s="39"/>
      <c r="AB682" s="39">
        <f t="shared" si="787"/>
        <v>0</v>
      </c>
      <c r="AC682" s="39"/>
      <c r="AD682" s="39"/>
      <c r="AE682" s="39"/>
      <c r="AF682" s="39"/>
      <c r="AG682" s="39"/>
      <c r="AH682" s="39">
        <f t="shared" si="768"/>
        <v>0</v>
      </c>
      <c r="AI682" s="39"/>
      <c r="AJ682" s="39"/>
      <c r="AK682" s="39"/>
      <c r="AL682" s="39"/>
      <c r="AM682" s="39"/>
      <c r="AN682" s="39">
        <f t="shared" si="788"/>
        <v>0</v>
      </c>
      <c r="AO682" s="39"/>
      <c r="AP682" s="39"/>
      <c r="AQ682" s="39"/>
      <c r="AR682" s="39"/>
      <c r="AS682" s="39"/>
      <c r="AT682" s="39">
        <f t="shared" si="743"/>
        <v>0</v>
      </c>
      <c r="AU682" s="39"/>
      <c r="AV682" s="39"/>
      <c r="AW682" s="39"/>
      <c r="AX682" s="39"/>
      <c r="AY682" s="39"/>
      <c r="AZ682" s="39">
        <f t="shared" si="744"/>
        <v>0</v>
      </c>
      <c r="BA682" s="39"/>
      <c r="BB682" s="39"/>
      <c r="BC682" s="39"/>
      <c r="BD682" s="39"/>
      <c r="BE682" s="39"/>
      <c r="BF682" s="39">
        <f t="shared" si="745"/>
        <v>0</v>
      </c>
      <c r="BG682" s="39"/>
      <c r="BH682" s="39"/>
      <c r="BI682" s="39"/>
      <c r="BJ682" s="39"/>
      <c r="BK682" s="39"/>
      <c r="BL682" s="39">
        <f t="shared" si="769"/>
        <v>0</v>
      </c>
      <c r="BM682" s="54" t="e">
        <f t="shared" si="746"/>
        <v>#DIV/0!</v>
      </c>
      <c r="BN682" s="42"/>
      <c r="BO682" s="39"/>
      <c r="BP682" s="39"/>
      <c r="BQ682" s="39"/>
      <c r="BR682" s="40"/>
      <c r="BS682" s="40"/>
      <c r="BT682" s="39"/>
      <c r="BU682" s="39"/>
      <c r="BV682" s="39"/>
      <c r="BW682" s="39"/>
      <c r="BX682" s="39"/>
      <c r="BY682" s="39"/>
      <c r="BZ682" s="39">
        <f t="shared" si="770"/>
        <v>0</v>
      </c>
      <c r="CA682" s="39">
        <f t="shared" si="747"/>
        <v>0</v>
      </c>
      <c r="CB682" s="39">
        <f t="shared" si="748"/>
        <v>0</v>
      </c>
      <c r="CC682" s="39">
        <f t="shared" si="749"/>
        <v>0</v>
      </c>
      <c r="CD682" s="39">
        <f t="shared" si="771"/>
        <v>0</v>
      </c>
      <c r="CE682" s="47" t="e">
        <f t="shared" si="751"/>
        <v>#DIV/0!</v>
      </c>
      <c r="CF682" s="36"/>
      <c r="CG682" s="39"/>
      <c r="CH682" s="39"/>
      <c r="CI682" s="25">
        <v>1</v>
      </c>
    </row>
    <row r="683" spans="1:87" ht="24.75" customHeight="1">
      <c r="A683" s="36" t="s">
        <v>185</v>
      </c>
      <c r="B683" s="55"/>
      <c r="C683" s="36"/>
      <c r="D683" s="36"/>
      <c r="E683" s="39"/>
      <c r="F683" s="39"/>
      <c r="G683" s="36"/>
      <c r="H683" s="39"/>
      <c r="I683" s="39"/>
      <c r="J683" s="39"/>
      <c r="K683" s="39"/>
      <c r="L683" s="39">
        <f t="shared" si="785"/>
        <v>0</v>
      </c>
      <c r="M683" s="39"/>
      <c r="N683" s="39"/>
      <c r="O683" s="39"/>
      <c r="P683" s="39"/>
      <c r="Q683" s="39"/>
      <c r="R683" s="39">
        <f t="shared" si="786"/>
        <v>0</v>
      </c>
      <c r="S683" s="39"/>
      <c r="T683" s="39"/>
      <c r="U683" s="39"/>
      <c r="V683" s="39"/>
      <c r="W683" s="39"/>
      <c r="X683" s="39"/>
      <c r="Y683" s="39"/>
      <c r="Z683" s="39"/>
      <c r="AA683" s="39"/>
      <c r="AB683" s="39">
        <f t="shared" si="787"/>
        <v>0</v>
      </c>
      <c r="AC683" s="39"/>
      <c r="AD683" s="39"/>
      <c r="AE683" s="39"/>
      <c r="AF683" s="39"/>
      <c r="AG683" s="39"/>
      <c r="AH683" s="39">
        <f t="shared" si="768"/>
        <v>0</v>
      </c>
      <c r="AI683" s="39"/>
      <c r="AJ683" s="39"/>
      <c r="AK683" s="39"/>
      <c r="AL683" s="39"/>
      <c r="AM683" s="39"/>
      <c r="AN683" s="39">
        <f t="shared" si="788"/>
        <v>0</v>
      </c>
      <c r="AO683" s="39"/>
      <c r="AP683" s="39"/>
      <c r="AQ683" s="39"/>
      <c r="AR683" s="39"/>
      <c r="AS683" s="39"/>
      <c r="AT683" s="39">
        <f t="shared" si="743"/>
        <v>0</v>
      </c>
      <c r="AU683" s="39"/>
      <c r="AV683" s="39"/>
      <c r="AW683" s="39"/>
      <c r="AX683" s="39"/>
      <c r="AY683" s="39"/>
      <c r="AZ683" s="39">
        <f t="shared" si="744"/>
        <v>0</v>
      </c>
      <c r="BA683" s="39"/>
      <c r="BB683" s="39"/>
      <c r="BC683" s="39"/>
      <c r="BD683" s="39"/>
      <c r="BE683" s="39"/>
      <c r="BF683" s="39">
        <f t="shared" si="745"/>
        <v>0</v>
      </c>
      <c r="BG683" s="39"/>
      <c r="BH683" s="39"/>
      <c r="BI683" s="39"/>
      <c r="BJ683" s="39"/>
      <c r="BK683" s="39"/>
      <c r="BL683" s="39">
        <f t="shared" si="769"/>
        <v>0</v>
      </c>
      <c r="BM683" s="54" t="e">
        <f t="shared" si="746"/>
        <v>#DIV/0!</v>
      </c>
      <c r="BN683" s="67"/>
      <c r="BO683" s="39"/>
      <c r="BP683" s="39"/>
      <c r="BQ683" s="39"/>
      <c r="BR683" s="40"/>
      <c r="BS683" s="40"/>
      <c r="BT683" s="39"/>
      <c r="BU683" s="39"/>
      <c r="BV683" s="39"/>
      <c r="BW683" s="39"/>
      <c r="BX683" s="39"/>
      <c r="BY683" s="39"/>
      <c r="BZ683" s="39">
        <f t="shared" si="770"/>
        <v>0</v>
      </c>
      <c r="CA683" s="39">
        <f t="shared" si="747"/>
        <v>0</v>
      </c>
      <c r="CB683" s="39">
        <f t="shared" si="748"/>
        <v>0</v>
      </c>
      <c r="CC683" s="39">
        <f t="shared" si="749"/>
        <v>0</v>
      </c>
      <c r="CD683" s="39">
        <f t="shared" si="771"/>
        <v>0</v>
      </c>
      <c r="CE683" s="47" t="e">
        <f t="shared" si="751"/>
        <v>#DIV/0!</v>
      </c>
      <c r="CF683" s="36"/>
      <c r="CG683" s="39"/>
      <c r="CH683" s="39"/>
      <c r="CI683" s="25">
        <v>2</v>
      </c>
    </row>
    <row r="684" spans="1:87" ht="24.75" customHeight="1">
      <c r="A684" s="36" t="s">
        <v>185</v>
      </c>
      <c r="B684" s="55"/>
      <c r="C684" s="36"/>
      <c r="D684" s="36"/>
      <c r="E684" s="39"/>
      <c r="F684" s="39"/>
      <c r="G684" s="36"/>
      <c r="H684" s="39"/>
      <c r="I684" s="39"/>
      <c r="J684" s="39"/>
      <c r="K684" s="39"/>
      <c r="L684" s="39">
        <f t="shared" si="785"/>
        <v>0</v>
      </c>
      <c r="M684" s="39"/>
      <c r="N684" s="39"/>
      <c r="O684" s="39"/>
      <c r="P684" s="39"/>
      <c r="Q684" s="39"/>
      <c r="R684" s="39">
        <f t="shared" si="786"/>
        <v>0</v>
      </c>
      <c r="S684" s="39"/>
      <c r="T684" s="39"/>
      <c r="U684" s="39"/>
      <c r="V684" s="39"/>
      <c r="W684" s="39"/>
      <c r="X684" s="39"/>
      <c r="Y684" s="39"/>
      <c r="Z684" s="39"/>
      <c r="AA684" s="39"/>
      <c r="AB684" s="39">
        <f t="shared" si="787"/>
        <v>0</v>
      </c>
      <c r="AC684" s="39"/>
      <c r="AD684" s="39"/>
      <c r="AE684" s="39"/>
      <c r="AF684" s="39"/>
      <c r="AG684" s="39"/>
      <c r="AH684" s="39">
        <f t="shared" si="768"/>
        <v>0</v>
      </c>
      <c r="AI684" s="39"/>
      <c r="AJ684" s="39"/>
      <c r="AK684" s="39"/>
      <c r="AL684" s="39"/>
      <c r="AM684" s="39"/>
      <c r="AN684" s="39">
        <f t="shared" si="788"/>
        <v>0</v>
      </c>
      <c r="AO684" s="39"/>
      <c r="AP684" s="39"/>
      <c r="AQ684" s="39"/>
      <c r="AR684" s="39"/>
      <c r="AS684" s="39"/>
      <c r="AT684" s="39">
        <f t="shared" si="743"/>
        <v>0</v>
      </c>
      <c r="AU684" s="39"/>
      <c r="AV684" s="39"/>
      <c r="AW684" s="39"/>
      <c r="AX684" s="39"/>
      <c r="AY684" s="39"/>
      <c r="AZ684" s="39">
        <f t="shared" si="744"/>
        <v>0</v>
      </c>
      <c r="BA684" s="39"/>
      <c r="BB684" s="39"/>
      <c r="BC684" s="39"/>
      <c r="BD684" s="39"/>
      <c r="BE684" s="39"/>
      <c r="BF684" s="39">
        <f t="shared" si="745"/>
        <v>0</v>
      </c>
      <c r="BG684" s="39"/>
      <c r="BH684" s="39"/>
      <c r="BI684" s="39"/>
      <c r="BJ684" s="39"/>
      <c r="BK684" s="39"/>
      <c r="BL684" s="39">
        <f t="shared" si="769"/>
        <v>0</v>
      </c>
      <c r="BM684" s="54" t="e">
        <f t="shared" si="746"/>
        <v>#DIV/0!</v>
      </c>
      <c r="BN684" s="67"/>
      <c r="BO684" s="39"/>
      <c r="BP684" s="39"/>
      <c r="BQ684" s="39"/>
      <c r="BR684" s="40"/>
      <c r="BS684" s="40"/>
      <c r="BT684" s="39"/>
      <c r="BU684" s="39"/>
      <c r="BV684" s="39"/>
      <c r="BW684" s="39"/>
      <c r="BX684" s="39"/>
      <c r="BY684" s="39"/>
      <c r="BZ684" s="39">
        <f t="shared" si="770"/>
        <v>0</v>
      </c>
      <c r="CA684" s="39">
        <f t="shared" si="747"/>
        <v>0</v>
      </c>
      <c r="CB684" s="39">
        <f t="shared" si="748"/>
        <v>0</v>
      </c>
      <c r="CC684" s="39">
        <f t="shared" si="749"/>
        <v>0</v>
      </c>
      <c r="CD684" s="39">
        <f t="shared" si="771"/>
        <v>0</v>
      </c>
      <c r="CE684" s="47" t="e">
        <f t="shared" si="751"/>
        <v>#DIV/0!</v>
      </c>
      <c r="CF684" s="36"/>
      <c r="CG684" s="39"/>
      <c r="CH684" s="39"/>
      <c r="CI684" s="25">
        <v>2</v>
      </c>
    </row>
    <row r="685" spans="1:87" ht="24.75" customHeight="1">
      <c r="A685" s="36" t="s">
        <v>185</v>
      </c>
      <c r="B685" s="55"/>
      <c r="C685" s="36"/>
      <c r="D685" s="36"/>
      <c r="E685" s="39"/>
      <c r="F685" s="39"/>
      <c r="G685" s="36"/>
      <c r="H685" s="39"/>
      <c r="I685" s="39"/>
      <c r="J685" s="39"/>
      <c r="K685" s="39"/>
      <c r="L685" s="39">
        <f t="shared" si="785"/>
        <v>0</v>
      </c>
      <c r="M685" s="39"/>
      <c r="N685" s="39"/>
      <c r="O685" s="39"/>
      <c r="P685" s="39"/>
      <c r="Q685" s="39"/>
      <c r="R685" s="39">
        <f t="shared" si="786"/>
        <v>0</v>
      </c>
      <c r="S685" s="39"/>
      <c r="T685" s="39"/>
      <c r="U685" s="39"/>
      <c r="V685" s="39"/>
      <c r="W685" s="39"/>
      <c r="X685" s="39"/>
      <c r="Y685" s="39"/>
      <c r="Z685" s="39"/>
      <c r="AA685" s="39"/>
      <c r="AB685" s="39">
        <f t="shared" si="787"/>
        <v>0</v>
      </c>
      <c r="AC685" s="39"/>
      <c r="AD685" s="39"/>
      <c r="AE685" s="39"/>
      <c r="AF685" s="39"/>
      <c r="AG685" s="39"/>
      <c r="AH685" s="39">
        <f t="shared" si="768"/>
        <v>0</v>
      </c>
      <c r="AI685" s="39"/>
      <c r="AJ685" s="39"/>
      <c r="AK685" s="39"/>
      <c r="AL685" s="39"/>
      <c r="AM685" s="39"/>
      <c r="AN685" s="39">
        <f>AM685-AK685</f>
        <v>0</v>
      </c>
      <c r="AO685" s="39"/>
      <c r="AP685" s="39"/>
      <c r="AQ685" s="39"/>
      <c r="AR685" s="39"/>
      <c r="AS685" s="39"/>
      <c r="AT685" s="39">
        <f>AS685-AQ685</f>
        <v>0</v>
      </c>
      <c r="AU685" s="39"/>
      <c r="AV685" s="39"/>
      <c r="AW685" s="39"/>
      <c r="AX685" s="39"/>
      <c r="AY685" s="39"/>
      <c r="AZ685" s="39">
        <f>AY685-AW685</f>
        <v>0</v>
      </c>
      <c r="BA685" s="39"/>
      <c r="BB685" s="39"/>
      <c r="BC685" s="39"/>
      <c r="BD685" s="39"/>
      <c r="BE685" s="39"/>
      <c r="BF685" s="39">
        <f>BE685-BC685</f>
        <v>0</v>
      </c>
      <c r="BG685" s="39"/>
      <c r="BH685" s="39"/>
      <c r="BI685" s="39"/>
      <c r="BJ685" s="39"/>
      <c r="BK685" s="39"/>
      <c r="BL685" s="39">
        <f t="shared" si="769"/>
        <v>0</v>
      </c>
      <c r="BM685" s="54" t="e">
        <f>IF((BZ685/L685)&lt;0.9,$CO$1-U685,"")</f>
        <v>#DIV/0!</v>
      </c>
      <c r="BN685" s="67"/>
      <c r="BO685" s="39"/>
      <c r="BP685" s="39"/>
      <c r="BQ685" s="39"/>
      <c r="BR685" s="40"/>
      <c r="BS685" s="40"/>
      <c r="BT685" s="39"/>
      <c r="BU685" s="39"/>
      <c r="BV685" s="39"/>
      <c r="BW685" s="39"/>
      <c r="BX685" s="39"/>
      <c r="BY685" s="39"/>
      <c r="BZ685" s="39">
        <f t="shared" si="770"/>
        <v>0</v>
      </c>
      <c r="CA685" s="39">
        <f>BU685-I685</f>
        <v>0</v>
      </c>
      <c r="CB685" s="39">
        <f>BW685-J685</f>
        <v>0</v>
      </c>
      <c r="CC685" s="39">
        <f>BY685-K685</f>
        <v>0</v>
      </c>
      <c r="CD685" s="39">
        <f t="shared" si="771"/>
        <v>0</v>
      </c>
      <c r="CE685" s="47" t="e">
        <f>CD685/L685</f>
        <v>#DIV/0!</v>
      </c>
      <c r="CF685" s="36"/>
      <c r="CG685" s="39"/>
      <c r="CH685" s="39"/>
      <c r="CI685" s="25">
        <v>2</v>
      </c>
    </row>
    <row r="686" spans="1:87" ht="24.75" customHeight="1">
      <c r="A686" s="36" t="s">
        <v>185</v>
      </c>
      <c r="B686" s="55"/>
      <c r="C686" s="36"/>
      <c r="D686" s="36"/>
      <c r="E686" s="39"/>
      <c r="F686" s="39"/>
      <c r="G686" s="36"/>
      <c r="H686" s="39"/>
      <c r="I686" s="39"/>
      <c r="J686" s="39"/>
      <c r="K686" s="39"/>
      <c r="L686" s="39">
        <f t="shared" si="785"/>
        <v>0</v>
      </c>
      <c r="M686" s="39"/>
      <c r="N686" s="39"/>
      <c r="O686" s="39"/>
      <c r="P686" s="39"/>
      <c r="Q686" s="39"/>
      <c r="R686" s="39">
        <f t="shared" si="786"/>
        <v>0</v>
      </c>
      <c r="S686" s="39"/>
      <c r="T686" s="39"/>
      <c r="U686" s="39"/>
      <c r="V686" s="39"/>
      <c r="W686" s="39"/>
      <c r="X686" s="39"/>
      <c r="Y686" s="39"/>
      <c r="Z686" s="39"/>
      <c r="AA686" s="39"/>
      <c r="AB686" s="39">
        <f t="shared" si="787"/>
        <v>0</v>
      </c>
      <c r="AC686" s="39"/>
      <c r="AD686" s="39"/>
      <c r="AE686" s="39"/>
      <c r="AF686" s="39"/>
      <c r="AG686" s="39"/>
      <c r="AH686" s="39">
        <f t="shared" si="768"/>
        <v>0</v>
      </c>
      <c r="AI686" s="39"/>
      <c r="AJ686" s="39"/>
      <c r="AK686" s="39"/>
      <c r="AL686" s="39"/>
      <c r="AM686" s="39"/>
      <c r="AN686" s="39">
        <f t="shared" ref="AN686:AN689" si="789">AM686-AK686</f>
        <v>0</v>
      </c>
      <c r="AO686" s="39"/>
      <c r="AP686" s="39"/>
      <c r="AQ686" s="39"/>
      <c r="AR686" s="39"/>
      <c r="AS686" s="39"/>
      <c r="AT686" s="39">
        <f t="shared" si="743"/>
        <v>0</v>
      </c>
      <c r="AU686" s="39"/>
      <c r="AV686" s="39"/>
      <c r="AW686" s="39"/>
      <c r="AX686" s="39"/>
      <c r="AY686" s="39"/>
      <c r="AZ686" s="39">
        <f t="shared" si="744"/>
        <v>0</v>
      </c>
      <c r="BA686" s="39"/>
      <c r="BB686" s="39"/>
      <c r="BC686" s="39"/>
      <c r="BD686" s="39"/>
      <c r="BE686" s="39"/>
      <c r="BF686" s="39">
        <f t="shared" si="745"/>
        <v>0</v>
      </c>
      <c r="BG686" s="39"/>
      <c r="BH686" s="39"/>
      <c r="BI686" s="39"/>
      <c r="BJ686" s="39"/>
      <c r="BK686" s="39"/>
      <c r="BL686" s="39">
        <f t="shared" si="769"/>
        <v>0</v>
      </c>
      <c r="BM686" s="54" t="e">
        <f t="shared" si="746"/>
        <v>#DIV/0!</v>
      </c>
      <c r="BN686" s="67"/>
      <c r="BO686" s="39"/>
      <c r="BP686" s="39"/>
      <c r="BQ686" s="39"/>
      <c r="BR686" s="40"/>
      <c r="BS686" s="40"/>
      <c r="BT686" s="39"/>
      <c r="BU686" s="39"/>
      <c r="BV686" s="39"/>
      <c r="BW686" s="39"/>
      <c r="BX686" s="39"/>
      <c r="BY686" s="39"/>
      <c r="BZ686" s="39">
        <f t="shared" si="770"/>
        <v>0</v>
      </c>
      <c r="CA686" s="39">
        <f t="shared" si="747"/>
        <v>0</v>
      </c>
      <c r="CB686" s="39">
        <f t="shared" si="748"/>
        <v>0</v>
      </c>
      <c r="CC686" s="39">
        <f t="shared" si="749"/>
        <v>0</v>
      </c>
      <c r="CD686" s="39">
        <f t="shared" si="771"/>
        <v>0</v>
      </c>
      <c r="CE686" s="47" t="e">
        <f t="shared" si="751"/>
        <v>#DIV/0!</v>
      </c>
      <c r="CF686" s="36"/>
      <c r="CG686" s="39"/>
      <c r="CH686" s="39"/>
      <c r="CI686" s="25">
        <v>2</v>
      </c>
    </row>
    <row r="687" spans="1:87" ht="24.75" customHeight="1">
      <c r="A687" s="36" t="s">
        <v>185</v>
      </c>
      <c r="B687" s="55"/>
      <c r="C687" s="36"/>
      <c r="D687" s="36"/>
      <c r="E687" s="39"/>
      <c r="F687" s="39"/>
      <c r="G687" s="36"/>
      <c r="H687" s="39"/>
      <c r="I687" s="39"/>
      <c r="J687" s="39"/>
      <c r="K687" s="39"/>
      <c r="L687" s="39">
        <f t="shared" si="785"/>
        <v>0</v>
      </c>
      <c r="M687" s="39"/>
      <c r="N687" s="39"/>
      <c r="O687" s="39"/>
      <c r="P687" s="39"/>
      <c r="Q687" s="39"/>
      <c r="R687" s="39">
        <f t="shared" si="786"/>
        <v>0</v>
      </c>
      <c r="S687" s="39"/>
      <c r="T687" s="39"/>
      <c r="U687" s="39"/>
      <c r="V687" s="39"/>
      <c r="W687" s="39"/>
      <c r="X687" s="39"/>
      <c r="Y687" s="39"/>
      <c r="Z687" s="39"/>
      <c r="AA687" s="39"/>
      <c r="AB687" s="39">
        <f t="shared" si="787"/>
        <v>0</v>
      </c>
      <c r="AC687" s="39"/>
      <c r="AD687" s="39"/>
      <c r="AE687" s="39"/>
      <c r="AF687" s="39"/>
      <c r="AG687" s="39"/>
      <c r="AH687" s="39">
        <f t="shared" si="768"/>
        <v>0</v>
      </c>
      <c r="AI687" s="39"/>
      <c r="AJ687" s="39"/>
      <c r="AK687" s="39"/>
      <c r="AL687" s="39"/>
      <c r="AM687" s="39"/>
      <c r="AN687" s="39">
        <f t="shared" si="789"/>
        <v>0</v>
      </c>
      <c r="AO687" s="39"/>
      <c r="AP687" s="39"/>
      <c r="AQ687" s="39"/>
      <c r="AR687" s="39"/>
      <c r="AS687" s="39"/>
      <c r="AT687" s="39">
        <f t="shared" si="743"/>
        <v>0</v>
      </c>
      <c r="AU687" s="39"/>
      <c r="AV687" s="39"/>
      <c r="AW687" s="39"/>
      <c r="AX687" s="39"/>
      <c r="AY687" s="39"/>
      <c r="AZ687" s="39">
        <f t="shared" si="744"/>
        <v>0</v>
      </c>
      <c r="BA687" s="39"/>
      <c r="BB687" s="39"/>
      <c r="BC687" s="39"/>
      <c r="BD687" s="39"/>
      <c r="BE687" s="39"/>
      <c r="BF687" s="39">
        <f t="shared" si="745"/>
        <v>0</v>
      </c>
      <c r="BG687" s="39"/>
      <c r="BH687" s="39"/>
      <c r="BI687" s="39"/>
      <c r="BJ687" s="39"/>
      <c r="BK687" s="39"/>
      <c r="BL687" s="39">
        <f t="shared" si="769"/>
        <v>0</v>
      </c>
      <c r="BM687" s="54" t="e">
        <f t="shared" si="746"/>
        <v>#DIV/0!</v>
      </c>
      <c r="BN687" s="67"/>
      <c r="BO687" s="39"/>
      <c r="BP687" s="39"/>
      <c r="BQ687" s="39"/>
      <c r="BR687" s="40"/>
      <c r="BS687" s="40"/>
      <c r="BT687" s="39"/>
      <c r="BU687" s="39"/>
      <c r="BV687" s="39"/>
      <c r="BW687" s="39"/>
      <c r="BX687" s="39"/>
      <c r="BY687" s="39"/>
      <c r="BZ687" s="39">
        <f t="shared" si="770"/>
        <v>0</v>
      </c>
      <c r="CA687" s="39">
        <f t="shared" si="747"/>
        <v>0</v>
      </c>
      <c r="CB687" s="39">
        <f t="shared" si="748"/>
        <v>0</v>
      </c>
      <c r="CC687" s="39">
        <f t="shared" si="749"/>
        <v>0</v>
      </c>
      <c r="CD687" s="39">
        <f t="shared" si="771"/>
        <v>0</v>
      </c>
      <c r="CE687" s="47" t="e">
        <f t="shared" si="751"/>
        <v>#DIV/0!</v>
      </c>
      <c r="CF687" s="36"/>
      <c r="CG687" s="39"/>
      <c r="CH687" s="39"/>
      <c r="CI687" s="25">
        <v>2</v>
      </c>
    </row>
    <row r="688" spans="1:87" ht="24.75" customHeight="1">
      <c r="A688" s="36" t="s">
        <v>185</v>
      </c>
      <c r="B688" s="55">
        <v>47437</v>
      </c>
      <c r="C688" s="49" t="s">
        <v>1134</v>
      </c>
      <c r="D688" s="36"/>
      <c r="E688" s="39"/>
      <c r="F688" s="39"/>
      <c r="G688" s="36" t="s">
        <v>1135</v>
      </c>
      <c r="H688" s="36">
        <v>13000</v>
      </c>
      <c r="I688" s="39" t="s">
        <v>90</v>
      </c>
      <c r="J688" s="39"/>
      <c r="K688" s="39"/>
      <c r="L688" s="39">
        <f t="shared" ref="L688" si="790">SUM(I688:K688)</f>
        <v>0</v>
      </c>
      <c r="M688" s="39"/>
      <c r="N688" s="39"/>
      <c r="O688" s="39"/>
      <c r="P688" s="39"/>
      <c r="Q688" s="39"/>
      <c r="R688" s="39">
        <f t="shared" ref="R688" si="791">SUM(O688:Q688)</f>
        <v>0</v>
      </c>
      <c r="S688" s="39" t="s">
        <v>130</v>
      </c>
      <c r="T688" s="39">
        <v>107294</v>
      </c>
      <c r="U688" s="117">
        <v>46199</v>
      </c>
      <c r="V688" s="39"/>
      <c r="W688" s="39"/>
      <c r="X688" s="39"/>
      <c r="Y688" s="39">
        <v>23</v>
      </c>
      <c r="Z688" s="39"/>
      <c r="AA688" s="39"/>
      <c r="AB688" s="39">
        <f t="shared" ref="AB688" si="792">SUM(Y688:AA688)</f>
        <v>23</v>
      </c>
      <c r="AC688" s="39"/>
      <c r="AD688" s="39"/>
      <c r="AE688" s="39"/>
      <c r="AF688" s="39"/>
      <c r="AG688" s="39"/>
      <c r="AH688" s="39">
        <f t="shared" si="768"/>
        <v>0</v>
      </c>
      <c r="AI688" s="39"/>
      <c r="AJ688" s="39"/>
      <c r="AK688" s="39"/>
      <c r="AL688" s="39"/>
      <c r="AM688" s="39"/>
      <c r="AN688" s="39">
        <f t="shared" si="789"/>
        <v>0</v>
      </c>
      <c r="AO688" s="39"/>
      <c r="AP688" s="39"/>
      <c r="AQ688" s="39"/>
      <c r="AR688" s="39"/>
      <c r="AS688" s="39"/>
      <c r="AT688" s="39">
        <f t="shared" si="743"/>
        <v>0</v>
      </c>
      <c r="AU688" s="39"/>
      <c r="AV688" s="39"/>
      <c r="AW688" s="39"/>
      <c r="AX688" s="39"/>
      <c r="AY688" s="39"/>
      <c r="AZ688" s="39">
        <f t="shared" si="744"/>
        <v>0</v>
      </c>
      <c r="BA688" s="39"/>
      <c r="BB688" s="39"/>
      <c r="BC688" s="39"/>
      <c r="BD688" s="39"/>
      <c r="BE688" s="39"/>
      <c r="BF688" s="39">
        <f t="shared" si="745"/>
        <v>0</v>
      </c>
      <c r="BG688" s="39"/>
      <c r="BH688" s="39"/>
      <c r="BI688" s="39"/>
      <c r="BJ688" s="39"/>
      <c r="BK688" s="39"/>
      <c r="BL688" s="39">
        <f t="shared" si="769"/>
        <v>0</v>
      </c>
      <c r="BM688" s="54" t="e">
        <f t="shared" si="746"/>
        <v>#DIV/0!</v>
      </c>
      <c r="BN688" s="63"/>
      <c r="BO688" s="39"/>
      <c r="BP688" s="39"/>
      <c r="BQ688" s="39"/>
      <c r="BR688" s="40"/>
      <c r="BS688" s="40"/>
      <c r="BT688" s="39"/>
      <c r="BU688" s="39"/>
      <c r="BV688" s="39"/>
      <c r="BW688" s="39"/>
      <c r="BX688" s="39"/>
      <c r="BY688" s="39"/>
      <c r="BZ688" s="39">
        <f t="shared" si="770"/>
        <v>0</v>
      </c>
      <c r="CA688" s="39" t="e">
        <f t="shared" si="747"/>
        <v>#VALUE!</v>
      </c>
      <c r="CB688" s="39">
        <f t="shared" si="748"/>
        <v>0</v>
      </c>
      <c r="CC688" s="39">
        <f t="shared" si="749"/>
        <v>0</v>
      </c>
      <c r="CD688" s="39">
        <f t="shared" si="771"/>
        <v>0</v>
      </c>
      <c r="CE688" s="102" t="e">
        <f t="shared" si="751"/>
        <v>#DIV/0!</v>
      </c>
      <c r="CF688" s="36"/>
      <c r="CG688" s="39" t="s">
        <v>237</v>
      </c>
      <c r="CH688" s="39"/>
      <c r="CI688" s="25">
        <v>3</v>
      </c>
    </row>
    <row r="689" spans="1:87" ht="24.75" customHeight="1">
      <c r="A689" s="36" t="s">
        <v>185</v>
      </c>
      <c r="B689" s="55"/>
      <c r="C689" s="36"/>
      <c r="D689" s="36"/>
      <c r="E689" s="39"/>
      <c r="F689" s="39"/>
      <c r="G689" s="36"/>
      <c r="H689" s="39"/>
      <c r="I689" s="39"/>
      <c r="J689" s="39"/>
      <c r="K689" s="39"/>
      <c r="L689" s="39">
        <f t="shared" si="785"/>
        <v>0</v>
      </c>
      <c r="M689" s="39"/>
      <c r="N689" s="39"/>
      <c r="O689" s="39"/>
      <c r="P689" s="39"/>
      <c r="Q689" s="39"/>
      <c r="R689" s="39">
        <f t="shared" si="786"/>
        <v>0</v>
      </c>
      <c r="S689" s="39"/>
      <c r="T689" s="39"/>
      <c r="U689" s="39"/>
      <c r="V689" s="39"/>
      <c r="W689" s="39"/>
      <c r="X689" s="39"/>
      <c r="Y689" s="39"/>
      <c r="Z689" s="39"/>
      <c r="AA689" s="39"/>
      <c r="AB689" s="39">
        <f t="shared" si="787"/>
        <v>0</v>
      </c>
      <c r="AC689" s="39"/>
      <c r="AD689" s="39"/>
      <c r="AE689" s="39"/>
      <c r="AF689" s="39"/>
      <c r="AG689" s="39"/>
      <c r="AH689" s="39">
        <f t="shared" si="768"/>
        <v>0</v>
      </c>
      <c r="AI689" s="39"/>
      <c r="AJ689" s="39"/>
      <c r="AK689" s="39"/>
      <c r="AL689" s="39"/>
      <c r="AM689" s="39"/>
      <c r="AN689" s="39">
        <f t="shared" si="789"/>
        <v>0</v>
      </c>
      <c r="AO689" s="39"/>
      <c r="AP689" s="39"/>
      <c r="AQ689" s="39"/>
      <c r="AR689" s="39"/>
      <c r="AS689" s="39"/>
      <c r="AT689" s="39">
        <f t="shared" si="743"/>
        <v>0</v>
      </c>
      <c r="AU689" s="39"/>
      <c r="AV689" s="39"/>
      <c r="AW689" s="39"/>
      <c r="AX689" s="39"/>
      <c r="AY689" s="39"/>
      <c r="AZ689" s="39">
        <f t="shared" si="744"/>
        <v>0</v>
      </c>
      <c r="BA689" s="39"/>
      <c r="BB689" s="39"/>
      <c r="BC689" s="39"/>
      <c r="BD689" s="39"/>
      <c r="BE689" s="39"/>
      <c r="BF689" s="39">
        <f t="shared" si="745"/>
        <v>0</v>
      </c>
      <c r="BG689" s="39"/>
      <c r="BH689" s="39"/>
      <c r="BI689" s="39"/>
      <c r="BJ689" s="39"/>
      <c r="BK689" s="39"/>
      <c r="BL689" s="39">
        <f t="shared" si="769"/>
        <v>0</v>
      </c>
      <c r="BM689" s="54" t="e">
        <f t="shared" si="746"/>
        <v>#DIV/0!</v>
      </c>
      <c r="BN689" s="63"/>
      <c r="BO689" s="39"/>
      <c r="BP689" s="39"/>
      <c r="BQ689" s="39"/>
      <c r="BR689" s="40"/>
      <c r="BS689" s="40"/>
      <c r="BT689" s="39"/>
      <c r="BU689" s="39"/>
      <c r="BV689" s="39"/>
      <c r="BW689" s="39"/>
      <c r="BX689" s="39"/>
      <c r="BY689" s="39"/>
      <c r="BZ689" s="39">
        <f t="shared" si="770"/>
        <v>0</v>
      </c>
      <c r="CA689" s="39">
        <f t="shared" si="747"/>
        <v>0</v>
      </c>
      <c r="CB689" s="39">
        <f t="shared" si="748"/>
        <v>0</v>
      </c>
      <c r="CC689" s="39">
        <f t="shared" si="749"/>
        <v>0</v>
      </c>
      <c r="CD689" s="39">
        <f t="shared" si="771"/>
        <v>0</v>
      </c>
      <c r="CE689" s="47" t="e">
        <f t="shared" si="751"/>
        <v>#DIV/0!</v>
      </c>
      <c r="CF689" s="36"/>
      <c r="CG689" s="39"/>
      <c r="CH689" s="39"/>
      <c r="CI689" s="25">
        <v>3</v>
      </c>
    </row>
    <row r="690" spans="1:87" ht="24.75" customHeight="1">
      <c r="A690" s="36" t="s">
        <v>185</v>
      </c>
      <c r="B690" s="55"/>
      <c r="C690" s="36"/>
      <c r="D690" s="36"/>
      <c r="E690" s="39"/>
      <c r="F690" s="39"/>
      <c r="G690" s="36"/>
      <c r="H690" s="39"/>
      <c r="I690" s="39"/>
      <c r="J690" s="39"/>
      <c r="K690" s="39"/>
      <c r="L690" s="39">
        <f t="shared" si="785"/>
        <v>0</v>
      </c>
      <c r="M690" s="39"/>
      <c r="N690" s="39"/>
      <c r="O690" s="39"/>
      <c r="P690" s="39"/>
      <c r="Q690" s="39"/>
      <c r="R690" s="39">
        <f t="shared" si="786"/>
        <v>0</v>
      </c>
      <c r="S690" s="39"/>
      <c r="T690" s="39"/>
      <c r="U690" s="39"/>
      <c r="V690" s="39"/>
      <c r="W690" s="39"/>
      <c r="X690" s="39"/>
      <c r="Y690" s="39"/>
      <c r="Z690" s="39"/>
      <c r="AA690" s="39"/>
      <c r="AB690" s="39">
        <f t="shared" si="787"/>
        <v>0</v>
      </c>
      <c r="AC690" s="39"/>
      <c r="AD690" s="39"/>
      <c r="AE690" s="39"/>
      <c r="AF690" s="39"/>
      <c r="AG690" s="39"/>
      <c r="AH690" s="39">
        <f t="shared" si="768"/>
        <v>0</v>
      </c>
      <c r="AI690" s="39"/>
      <c r="AJ690" s="39"/>
      <c r="AK690" s="39"/>
      <c r="AL690" s="39"/>
      <c r="AM690" s="39"/>
      <c r="AN690" s="39">
        <f>AM690-AK690</f>
        <v>0</v>
      </c>
      <c r="AO690" s="39"/>
      <c r="AP690" s="39"/>
      <c r="AQ690" s="39"/>
      <c r="AR690" s="39"/>
      <c r="AS690" s="39"/>
      <c r="AT690" s="39">
        <f>AS690-AQ690</f>
        <v>0</v>
      </c>
      <c r="AU690" s="39"/>
      <c r="AV690" s="39"/>
      <c r="AW690" s="39"/>
      <c r="AX690" s="39"/>
      <c r="AY690" s="39"/>
      <c r="AZ690" s="39">
        <f>AY690-AW690</f>
        <v>0</v>
      </c>
      <c r="BA690" s="39"/>
      <c r="BB690" s="39"/>
      <c r="BC690" s="39"/>
      <c r="BD690" s="39"/>
      <c r="BE690" s="39"/>
      <c r="BF690" s="39">
        <f>BE690-BC690</f>
        <v>0</v>
      </c>
      <c r="BG690" s="39"/>
      <c r="BH690" s="39"/>
      <c r="BI690" s="39"/>
      <c r="BJ690" s="39"/>
      <c r="BK690" s="39"/>
      <c r="BL690" s="39">
        <f t="shared" si="769"/>
        <v>0</v>
      </c>
      <c r="BM690" s="54" t="e">
        <f>IF((BZ690/L690)&lt;0.9,$CO$1-U690,"")</f>
        <v>#DIV/0!</v>
      </c>
      <c r="BN690" s="63"/>
      <c r="BO690" s="39"/>
      <c r="BP690" s="39"/>
      <c r="BQ690" s="39"/>
      <c r="BR690" s="40"/>
      <c r="BS690" s="40"/>
      <c r="BT690" s="39"/>
      <c r="BU690" s="39"/>
      <c r="BV690" s="39"/>
      <c r="BW690" s="39"/>
      <c r="BX690" s="39"/>
      <c r="BY690" s="39"/>
      <c r="BZ690" s="39">
        <f t="shared" si="770"/>
        <v>0</v>
      </c>
      <c r="CA690" s="39">
        <f>BU690-I690</f>
        <v>0</v>
      </c>
      <c r="CB690" s="39">
        <f>BW690-J690</f>
        <v>0</v>
      </c>
      <c r="CC690" s="39">
        <f>BY690-K690</f>
        <v>0</v>
      </c>
      <c r="CD690" s="39">
        <f t="shared" si="771"/>
        <v>0</v>
      </c>
      <c r="CE690" s="47" t="e">
        <f>CD690/L690</f>
        <v>#DIV/0!</v>
      </c>
      <c r="CF690" s="36"/>
      <c r="CG690" s="39"/>
      <c r="CH690" s="39"/>
      <c r="CI690" s="25">
        <v>3</v>
      </c>
    </row>
    <row r="691" spans="1:87" ht="24.75" customHeight="1">
      <c r="A691" s="36" t="s">
        <v>185</v>
      </c>
      <c r="B691" s="55"/>
      <c r="C691" s="36"/>
      <c r="D691" s="36"/>
      <c r="E691" s="39"/>
      <c r="F691" s="39"/>
      <c r="G691" s="36"/>
      <c r="H691" s="39"/>
      <c r="I691" s="39"/>
      <c r="J691" s="39"/>
      <c r="K691" s="39"/>
      <c r="L691" s="39">
        <f t="shared" si="785"/>
        <v>0</v>
      </c>
      <c r="M691" s="39"/>
      <c r="N691" s="39"/>
      <c r="O691" s="39"/>
      <c r="P691" s="39"/>
      <c r="Q691" s="39"/>
      <c r="R691" s="39">
        <f t="shared" si="786"/>
        <v>0</v>
      </c>
      <c r="S691" s="39"/>
      <c r="T691" s="39"/>
      <c r="U691" s="39"/>
      <c r="V691" s="39"/>
      <c r="W691" s="39"/>
      <c r="X691" s="39"/>
      <c r="Y691" s="39"/>
      <c r="Z691" s="39"/>
      <c r="AA691" s="39"/>
      <c r="AB691" s="39">
        <f t="shared" si="787"/>
        <v>0</v>
      </c>
      <c r="AC691" s="39"/>
      <c r="AD691" s="39"/>
      <c r="AE691" s="39"/>
      <c r="AF691" s="39"/>
      <c r="AG691" s="39"/>
      <c r="AH691" s="39">
        <f t="shared" si="768"/>
        <v>0</v>
      </c>
      <c r="AI691" s="39"/>
      <c r="AJ691" s="39"/>
      <c r="AK691" s="39"/>
      <c r="AL691" s="39"/>
      <c r="AM691" s="39"/>
      <c r="AN691" s="39">
        <f t="shared" ref="AN691:AN704" si="793">AM691-AK691</f>
        <v>0</v>
      </c>
      <c r="AO691" s="39"/>
      <c r="AP691" s="39"/>
      <c r="AQ691" s="39"/>
      <c r="AR691" s="39"/>
      <c r="AS691" s="39"/>
      <c r="AT691" s="39">
        <f t="shared" si="743"/>
        <v>0</v>
      </c>
      <c r="AU691" s="39"/>
      <c r="AV691" s="39"/>
      <c r="AW691" s="39"/>
      <c r="AX691" s="39"/>
      <c r="AY691" s="39"/>
      <c r="AZ691" s="39">
        <f t="shared" si="744"/>
        <v>0</v>
      </c>
      <c r="BA691" s="39"/>
      <c r="BB691" s="39"/>
      <c r="BC691" s="39"/>
      <c r="BD691" s="39"/>
      <c r="BE691" s="39"/>
      <c r="BF691" s="39">
        <f t="shared" si="745"/>
        <v>0</v>
      </c>
      <c r="BG691" s="39"/>
      <c r="BH691" s="39"/>
      <c r="BI691" s="39"/>
      <c r="BJ691" s="39"/>
      <c r="BK691" s="39"/>
      <c r="BL691" s="39">
        <f t="shared" si="769"/>
        <v>0</v>
      </c>
      <c r="BM691" s="54" t="e">
        <f t="shared" si="746"/>
        <v>#DIV/0!</v>
      </c>
      <c r="BN691" s="63"/>
      <c r="BO691" s="39"/>
      <c r="BP691" s="39"/>
      <c r="BQ691" s="39"/>
      <c r="BR691" s="40"/>
      <c r="BS691" s="40"/>
      <c r="BT691" s="39"/>
      <c r="BU691" s="39"/>
      <c r="BV691" s="39"/>
      <c r="BW691" s="39"/>
      <c r="BX691" s="39"/>
      <c r="BY691" s="39"/>
      <c r="BZ691" s="39">
        <f t="shared" si="770"/>
        <v>0</v>
      </c>
      <c r="CA691" s="39">
        <f t="shared" si="747"/>
        <v>0</v>
      </c>
      <c r="CB691" s="39">
        <f t="shared" si="748"/>
        <v>0</v>
      </c>
      <c r="CC691" s="39">
        <f t="shared" si="749"/>
        <v>0</v>
      </c>
      <c r="CD691" s="39">
        <f t="shared" si="771"/>
        <v>0</v>
      </c>
      <c r="CE691" s="47" t="e">
        <f t="shared" si="751"/>
        <v>#DIV/0!</v>
      </c>
      <c r="CF691" s="36"/>
      <c r="CG691" s="39"/>
      <c r="CH691" s="39"/>
      <c r="CI691" s="25">
        <v>3</v>
      </c>
    </row>
    <row r="692" spans="1:87" ht="24.75" customHeight="1">
      <c r="A692" s="36" t="s">
        <v>185</v>
      </c>
      <c r="B692" s="55"/>
      <c r="C692" s="36"/>
      <c r="D692" s="36"/>
      <c r="E692" s="39"/>
      <c r="F692" s="39"/>
      <c r="G692" s="36"/>
      <c r="H692" s="39"/>
      <c r="I692" s="39"/>
      <c r="J692" s="39"/>
      <c r="K692" s="39"/>
      <c r="L692" s="39">
        <f t="shared" si="785"/>
        <v>0</v>
      </c>
      <c r="M692" s="39"/>
      <c r="N692" s="39"/>
      <c r="O692" s="39"/>
      <c r="P692" s="39"/>
      <c r="Q692" s="39"/>
      <c r="R692" s="39">
        <f t="shared" si="786"/>
        <v>0</v>
      </c>
      <c r="S692" s="39"/>
      <c r="T692" s="39"/>
      <c r="U692" s="39"/>
      <c r="V692" s="39"/>
      <c r="W692" s="39"/>
      <c r="X692" s="39"/>
      <c r="Y692" s="39"/>
      <c r="Z692" s="39"/>
      <c r="AA692" s="39"/>
      <c r="AB692" s="39">
        <f t="shared" si="787"/>
        <v>0</v>
      </c>
      <c r="AC692" s="39"/>
      <c r="AD692" s="39"/>
      <c r="AE692" s="39"/>
      <c r="AF692" s="39"/>
      <c r="AG692" s="39"/>
      <c r="AH692" s="39">
        <f t="shared" si="768"/>
        <v>0</v>
      </c>
      <c r="AI692" s="39"/>
      <c r="AJ692" s="39"/>
      <c r="AK692" s="39"/>
      <c r="AL692" s="39"/>
      <c r="AM692" s="39"/>
      <c r="AN692" s="39">
        <f t="shared" si="793"/>
        <v>0</v>
      </c>
      <c r="AO692" s="39"/>
      <c r="AP692" s="39"/>
      <c r="AQ692" s="39"/>
      <c r="AR692" s="39"/>
      <c r="AS692" s="39"/>
      <c r="AT692" s="39">
        <f t="shared" si="743"/>
        <v>0</v>
      </c>
      <c r="AU692" s="39"/>
      <c r="AV692" s="39"/>
      <c r="AW692" s="39"/>
      <c r="AX692" s="39"/>
      <c r="AY692" s="39"/>
      <c r="AZ692" s="39">
        <f t="shared" si="744"/>
        <v>0</v>
      </c>
      <c r="BA692" s="39"/>
      <c r="BB692" s="39"/>
      <c r="BC692" s="39"/>
      <c r="BD692" s="39"/>
      <c r="BE692" s="39"/>
      <c r="BF692" s="39">
        <f t="shared" si="745"/>
        <v>0</v>
      </c>
      <c r="BG692" s="39"/>
      <c r="BH692" s="39"/>
      <c r="BI692" s="39"/>
      <c r="BJ692" s="39"/>
      <c r="BK692" s="39"/>
      <c r="BL692" s="39">
        <f t="shared" si="769"/>
        <v>0</v>
      </c>
      <c r="BM692" s="54" t="e">
        <f t="shared" si="746"/>
        <v>#DIV/0!</v>
      </c>
      <c r="BN692" s="63"/>
      <c r="BO692" s="39"/>
      <c r="BP692" s="39"/>
      <c r="BQ692" s="39"/>
      <c r="BR692" s="40"/>
      <c r="BS692" s="40"/>
      <c r="BT692" s="39"/>
      <c r="BU692" s="39"/>
      <c r="BV692" s="39"/>
      <c r="BW692" s="39"/>
      <c r="BX692" s="39"/>
      <c r="BY692" s="39"/>
      <c r="BZ692" s="39">
        <f t="shared" si="770"/>
        <v>0</v>
      </c>
      <c r="CA692" s="39">
        <f t="shared" si="747"/>
        <v>0</v>
      </c>
      <c r="CB692" s="39">
        <f t="shared" si="748"/>
        <v>0</v>
      </c>
      <c r="CC692" s="39">
        <f t="shared" si="749"/>
        <v>0</v>
      </c>
      <c r="CD692" s="39">
        <f t="shared" si="771"/>
        <v>0</v>
      </c>
      <c r="CE692" s="47" t="e">
        <f t="shared" si="751"/>
        <v>#DIV/0!</v>
      </c>
      <c r="CF692" s="36"/>
      <c r="CG692" s="39"/>
      <c r="CH692" s="39"/>
      <c r="CI692" s="25">
        <v>3</v>
      </c>
    </row>
    <row r="693" spans="1:87" ht="24.75" customHeight="1">
      <c r="A693" s="36" t="s">
        <v>185</v>
      </c>
      <c r="B693" s="55"/>
      <c r="C693" s="36"/>
      <c r="D693" s="36"/>
      <c r="E693" s="39"/>
      <c r="F693" s="39"/>
      <c r="G693" s="36"/>
      <c r="H693" s="39"/>
      <c r="I693" s="39"/>
      <c r="J693" s="39"/>
      <c r="K693" s="39"/>
      <c r="L693" s="39">
        <f t="shared" si="785"/>
        <v>0</v>
      </c>
      <c r="M693" s="39"/>
      <c r="N693" s="39"/>
      <c r="O693" s="39"/>
      <c r="P693" s="39"/>
      <c r="Q693" s="39"/>
      <c r="R693" s="39">
        <f t="shared" si="786"/>
        <v>0</v>
      </c>
      <c r="S693" s="39"/>
      <c r="T693" s="39"/>
      <c r="U693" s="39"/>
      <c r="V693" s="39"/>
      <c r="W693" s="39"/>
      <c r="X693" s="39"/>
      <c r="Y693" s="39"/>
      <c r="Z693" s="39"/>
      <c r="AA693" s="39"/>
      <c r="AB693" s="39">
        <f t="shared" si="787"/>
        <v>0</v>
      </c>
      <c r="AC693" s="39"/>
      <c r="AD693" s="39"/>
      <c r="AE693" s="39"/>
      <c r="AF693" s="39"/>
      <c r="AG693" s="39"/>
      <c r="AH693" s="39">
        <f t="shared" si="768"/>
        <v>0</v>
      </c>
      <c r="AI693" s="39"/>
      <c r="AJ693" s="39"/>
      <c r="AK693" s="39"/>
      <c r="AL693" s="39"/>
      <c r="AM693" s="39"/>
      <c r="AN693" s="39">
        <f t="shared" si="793"/>
        <v>0</v>
      </c>
      <c r="AO693" s="39"/>
      <c r="AP693" s="39"/>
      <c r="AQ693" s="39"/>
      <c r="AR693" s="39"/>
      <c r="AS693" s="39"/>
      <c r="AT693" s="39">
        <f t="shared" si="743"/>
        <v>0</v>
      </c>
      <c r="AU693" s="39"/>
      <c r="AV693" s="39"/>
      <c r="AW693" s="39"/>
      <c r="AX693" s="39"/>
      <c r="AY693" s="39"/>
      <c r="AZ693" s="39">
        <f t="shared" si="744"/>
        <v>0</v>
      </c>
      <c r="BA693" s="39"/>
      <c r="BB693" s="39"/>
      <c r="BC693" s="39"/>
      <c r="BD693" s="39"/>
      <c r="BE693" s="39"/>
      <c r="BF693" s="39">
        <f t="shared" si="745"/>
        <v>0</v>
      </c>
      <c r="BG693" s="39"/>
      <c r="BH693" s="39"/>
      <c r="BI693" s="39"/>
      <c r="BJ693" s="39"/>
      <c r="BK693" s="39"/>
      <c r="BL693" s="39">
        <f t="shared" si="769"/>
        <v>0</v>
      </c>
      <c r="BM693" s="54" t="e">
        <f t="shared" si="746"/>
        <v>#DIV/0!</v>
      </c>
      <c r="BN693" s="63"/>
      <c r="BO693" s="39"/>
      <c r="BP693" s="39"/>
      <c r="BQ693" s="39"/>
      <c r="BR693" s="40"/>
      <c r="BS693" s="40"/>
      <c r="BT693" s="39"/>
      <c r="BU693" s="39"/>
      <c r="BV693" s="39"/>
      <c r="BW693" s="39"/>
      <c r="BX693" s="39"/>
      <c r="BY693" s="39"/>
      <c r="BZ693" s="39">
        <f t="shared" si="770"/>
        <v>0</v>
      </c>
      <c r="CA693" s="39">
        <f t="shared" si="747"/>
        <v>0</v>
      </c>
      <c r="CB693" s="39">
        <f t="shared" si="748"/>
        <v>0</v>
      </c>
      <c r="CC693" s="39">
        <f t="shared" si="749"/>
        <v>0</v>
      </c>
      <c r="CD693" s="39">
        <f t="shared" si="771"/>
        <v>0</v>
      </c>
      <c r="CE693" s="47" t="e">
        <f t="shared" si="751"/>
        <v>#DIV/0!</v>
      </c>
      <c r="CF693" s="36"/>
      <c r="CG693" s="39"/>
      <c r="CH693" s="39"/>
      <c r="CI693" s="25">
        <v>3</v>
      </c>
    </row>
    <row r="694" spans="1:87" ht="24.75" customHeight="1">
      <c r="A694" s="36" t="s">
        <v>85</v>
      </c>
      <c r="B694" s="55" t="s">
        <v>576</v>
      </c>
      <c r="C694" s="227">
        <v>9328950</v>
      </c>
      <c r="D694" s="36"/>
      <c r="E694" s="39">
        <v>240</v>
      </c>
      <c r="F694" s="39" t="s">
        <v>68</v>
      </c>
      <c r="G694" s="36" t="s">
        <v>313</v>
      </c>
      <c r="H694" s="39" t="s">
        <v>89</v>
      </c>
      <c r="I694" s="39">
        <v>281</v>
      </c>
      <c r="J694" s="39">
        <v>70</v>
      </c>
      <c r="K694" s="39"/>
      <c r="L694" s="39">
        <f t="shared" ref="L694:L698" si="794">SUM(I694:K694)</f>
        <v>351</v>
      </c>
      <c r="M694" s="57">
        <v>46152</v>
      </c>
      <c r="N694" s="57">
        <v>46158</v>
      </c>
      <c r="O694" s="39"/>
      <c r="P694" s="39"/>
      <c r="Q694" s="39"/>
      <c r="R694" s="39">
        <f t="shared" ref="R694:R698" si="795">SUM(O694:Q694)</f>
        <v>0</v>
      </c>
      <c r="S694" s="39" t="s">
        <v>130</v>
      </c>
      <c r="T694" s="39">
        <v>107722</v>
      </c>
      <c r="U694" s="57">
        <v>46218</v>
      </c>
      <c r="V694" s="36"/>
      <c r="W694" s="39"/>
      <c r="X694" s="39"/>
      <c r="Y694" s="39">
        <v>310</v>
      </c>
      <c r="Z694" s="39">
        <v>83</v>
      </c>
      <c r="AA694" s="39"/>
      <c r="AB694" s="119">
        <f t="shared" ref="AB694:AB698" si="796">SUM(Y694:AA694)</f>
        <v>393</v>
      </c>
      <c r="AC694" s="39"/>
      <c r="AD694" s="39"/>
      <c r="AE694" s="39"/>
      <c r="AF694" s="39"/>
      <c r="AG694" s="39"/>
      <c r="AH694" s="39">
        <f t="shared" si="768"/>
        <v>0</v>
      </c>
      <c r="AI694" s="39"/>
      <c r="AJ694" s="39"/>
      <c r="AK694" s="39"/>
      <c r="AL694" s="39"/>
      <c r="AM694" s="39"/>
      <c r="AN694" s="39">
        <f t="shared" si="793"/>
        <v>0</v>
      </c>
      <c r="AO694" s="39"/>
      <c r="AP694" s="39"/>
      <c r="AQ694" s="39"/>
      <c r="AR694" s="39"/>
      <c r="AS694" s="39"/>
      <c r="AT694" s="39">
        <f t="shared" si="743"/>
        <v>0</v>
      </c>
      <c r="AU694" s="39"/>
      <c r="AV694" s="39"/>
      <c r="AW694" s="39"/>
      <c r="AX694" s="39"/>
      <c r="AY694" s="39"/>
      <c r="AZ694" s="39">
        <f t="shared" si="744"/>
        <v>0</v>
      </c>
      <c r="BA694" s="39"/>
      <c r="BB694" s="39"/>
      <c r="BC694" s="39"/>
      <c r="BD694" s="39"/>
      <c r="BE694" s="39"/>
      <c r="BF694" s="39">
        <f t="shared" si="745"/>
        <v>0</v>
      </c>
      <c r="BG694" s="39"/>
      <c r="BH694" s="39"/>
      <c r="BI694" s="39"/>
      <c r="BJ694" s="39"/>
      <c r="BK694" s="39"/>
      <c r="BL694" s="39">
        <f t="shared" si="769"/>
        <v>0</v>
      </c>
      <c r="BM694" s="54" t="str">
        <f t="shared" si="746"/>
        <v/>
      </c>
      <c r="BN694" s="58">
        <v>46181</v>
      </c>
      <c r="BO694" s="57">
        <v>46195</v>
      </c>
      <c r="BP694" s="36"/>
      <c r="BQ694" s="36"/>
      <c r="BR694" s="229">
        <v>46193</v>
      </c>
      <c r="BS694" s="243"/>
      <c r="BT694" s="39">
        <v>2033</v>
      </c>
      <c r="BU694" s="39">
        <v>285</v>
      </c>
      <c r="BV694" s="39">
        <v>2033</v>
      </c>
      <c r="BW694" s="39">
        <v>66</v>
      </c>
      <c r="BX694" s="39"/>
      <c r="BY694" s="39"/>
      <c r="BZ694" s="39">
        <f t="shared" si="770"/>
        <v>351</v>
      </c>
      <c r="CA694" s="39">
        <f t="shared" si="747"/>
        <v>4</v>
      </c>
      <c r="CB694" s="39">
        <f t="shared" si="748"/>
        <v>-4</v>
      </c>
      <c r="CC694" s="39">
        <f t="shared" si="749"/>
        <v>0</v>
      </c>
      <c r="CD694" s="39">
        <v>0</v>
      </c>
      <c r="CE694" s="102">
        <f t="shared" si="751"/>
        <v>0</v>
      </c>
      <c r="CF694" s="36"/>
      <c r="CG694" s="39" t="s">
        <v>237</v>
      </c>
      <c r="CH694" s="39"/>
      <c r="CI694" s="25">
        <v>1</v>
      </c>
    </row>
    <row r="695" spans="1:87" ht="24.75" customHeight="1">
      <c r="A695" s="36" t="s">
        <v>85</v>
      </c>
      <c r="B695" s="55" t="s">
        <v>576</v>
      </c>
      <c r="C695" s="231"/>
      <c r="D695" s="36"/>
      <c r="E695" s="39">
        <v>240</v>
      </c>
      <c r="F695" s="39" t="s">
        <v>68</v>
      </c>
      <c r="G695" s="36" t="s">
        <v>101</v>
      </c>
      <c r="H695" s="39" t="s">
        <v>89</v>
      </c>
      <c r="I695" s="39">
        <v>374</v>
      </c>
      <c r="J695" s="39">
        <v>94</v>
      </c>
      <c r="K695" s="39"/>
      <c r="L695" s="39">
        <f t="shared" si="794"/>
        <v>468</v>
      </c>
      <c r="M695" s="57">
        <v>46152</v>
      </c>
      <c r="N695" s="57">
        <v>46158</v>
      </c>
      <c r="O695" s="39"/>
      <c r="P695" s="39"/>
      <c r="Q695" s="39"/>
      <c r="R695" s="39">
        <f t="shared" si="795"/>
        <v>0</v>
      </c>
      <c r="S695" s="39" t="s">
        <v>130</v>
      </c>
      <c r="T695" s="39">
        <v>107080</v>
      </c>
      <c r="U695" s="57">
        <v>46191</v>
      </c>
      <c r="V695" s="36"/>
      <c r="W695" s="39"/>
      <c r="X695" s="39"/>
      <c r="Y695" s="39">
        <v>421</v>
      </c>
      <c r="Z695" s="39">
        <v>114</v>
      </c>
      <c r="AA695" s="39"/>
      <c r="AB695" s="119">
        <f t="shared" si="796"/>
        <v>535</v>
      </c>
      <c r="AC695" s="39"/>
      <c r="AD695" s="39"/>
      <c r="AE695" s="39"/>
      <c r="AF695" s="39"/>
      <c r="AG695" s="39"/>
      <c r="AH695" s="39">
        <f t="shared" si="768"/>
        <v>0</v>
      </c>
      <c r="AI695" s="39"/>
      <c r="AJ695" s="39"/>
      <c r="AK695" s="39"/>
      <c r="AL695" s="39"/>
      <c r="AM695" s="39"/>
      <c r="AN695" s="39">
        <f t="shared" si="793"/>
        <v>0</v>
      </c>
      <c r="AO695" s="39"/>
      <c r="AP695" s="39"/>
      <c r="AQ695" s="39"/>
      <c r="AR695" s="39"/>
      <c r="AS695" s="39"/>
      <c r="AT695" s="39">
        <f t="shared" si="743"/>
        <v>0</v>
      </c>
      <c r="AU695" s="39"/>
      <c r="AV695" s="39"/>
      <c r="AW695" s="39"/>
      <c r="AX695" s="39"/>
      <c r="AY695" s="39"/>
      <c r="AZ695" s="39">
        <f t="shared" si="744"/>
        <v>0</v>
      </c>
      <c r="BA695" s="39"/>
      <c r="BB695" s="39"/>
      <c r="BC695" s="39"/>
      <c r="BD695" s="39"/>
      <c r="BE695" s="39"/>
      <c r="BF695" s="39">
        <f t="shared" si="745"/>
        <v>0</v>
      </c>
      <c r="BG695" s="39"/>
      <c r="BH695" s="39"/>
      <c r="BI695" s="39"/>
      <c r="BJ695" s="39"/>
      <c r="BK695" s="39"/>
      <c r="BL695" s="39">
        <f t="shared" si="769"/>
        <v>0</v>
      </c>
      <c r="BM695" s="54" t="str">
        <f t="shared" si="746"/>
        <v/>
      </c>
      <c r="BN695" s="58">
        <v>46181</v>
      </c>
      <c r="BO695" s="57">
        <v>46195</v>
      </c>
      <c r="BP695" s="36"/>
      <c r="BQ695" s="36"/>
      <c r="BR695" s="232"/>
      <c r="BS695" s="232"/>
      <c r="BT695" s="39" t="s">
        <v>1158</v>
      </c>
      <c r="BU695" s="39">
        <f>52+327</f>
        <v>379</v>
      </c>
      <c r="BV695" s="39" t="s">
        <v>1315</v>
      </c>
      <c r="BW695" s="39">
        <f>23+48+26</f>
        <v>97</v>
      </c>
      <c r="BX695" s="39"/>
      <c r="BY695" s="39"/>
      <c r="BZ695" s="39">
        <f t="shared" si="770"/>
        <v>476</v>
      </c>
      <c r="CA695" s="39">
        <f t="shared" si="747"/>
        <v>5</v>
      </c>
      <c r="CB695" s="39">
        <f t="shared" si="748"/>
        <v>3</v>
      </c>
      <c r="CC695" s="39">
        <f t="shared" si="749"/>
        <v>0</v>
      </c>
      <c r="CD695" s="39">
        <f t="shared" si="771"/>
        <v>0</v>
      </c>
      <c r="CE695" s="102">
        <f t="shared" si="751"/>
        <v>0</v>
      </c>
      <c r="CF695" s="36"/>
      <c r="CG695" s="39" t="s">
        <v>237</v>
      </c>
      <c r="CH695" s="39"/>
      <c r="CI695" s="25">
        <v>1</v>
      </c>
    </row>
    <row r="696" spans="1:87" ht="24.75" customHeight="1">
      <c r="A696" s="36" t="s">
        <v>85</v>
      </c>
      <c r="B696" s="55" t="s">
        <v>576</v>
      </c>
      <c r="C696" s="228"/>
      <c r="D696" s="36"/>
      <c r="E696" s="39">
        <v>240</v>
      </c>
      <c r="F696" s="39" t="s">
        <v>68</v>
      </c>
      <c r="G696" s="36" t="s">
        <v>502</v>
      </c>
      <c r="H696" s="39" t="s">
        <v>89</v>
      </c>
      <c r="I696" s="39">
        <v>98</v>
      </c>
      <c r="J696" s="39">
        <v>26</v>
      </c>
      <c r="K696" s="39"/>
      <c r="L696" s="39">
        <f t="shared" si="794"/>
        <v>124</v>
      </c>
      <c r="M696" s="57">
        <v>46152</v>
      </c>
      <c r="N696" s="57">
        <v>46158</v>
      </c>
      <c r="O696" s="39"/>
      <c r="P696" s="39"/>
      <c r="Q696" s="39"/>
      <c r="R696" s="39">
        <f t="shared" si="795"/>
        <v>0</v>
      </c>
      <c r="S696" s="39" t="s">
        <v>130</v>
      </c>
      <c r="T696" s="39">
        <v>107354</v>
      </c>
      <c r="U696" s="57">
        <v>46204</v>
      </c>
      <c r="V696" s="36"/>
      <c r="W696" s="39"/>
      <c r="X696" s="39"/>
      <c r="Y696" s="39">
        <v>123</v>
      </c>
      <c r="Z696" s="39">
        <v>31</v>
      </c>
      <c r="AA696" s="39"/>
      <c r="AB696" s="119">
        <f t="shared" si="796"/>
        <v>154</v>
      </c>
      <c r="AC696" s="39"/>
      <c r="AD696" s="39"/>
      <c r="AE696" s="39"/>
      <c r="AF696" s="39"/>
      <c r="AG696" s="39"/>
      <c r="AH696" s="39">
        <f t="shared" si="768"/>
        <v>0</v>
      </c>
      <c r="AI696" s="39"/>
      <c r="AJ696" s="39"/>
      <c r="AK696" s="39"/>
      <c r="AL696" s="39"/>
      <c r="AM696" s="39"/>
      <c r="AN696" s="39">
        <f t="shared" si="793"/>
        <v>0</v>
      </c>
      <c r="AO696" s="39"/>
      <c r="AP696" s="39"/>
      <c r="AQ696" s="39"/>
      <c r="AR696" s="39"/>
      <c r="AS696" s="39"/>
      <c r="AT696" s="39">
        <f t="shared" si="743"/>
        <v>0</v>
      </c>
      <c r="AU696" s="39"/>
      <c r="AV696" s="39"/>
      <c r="AW696" s="39"/>
      <c r="AX696" s="39"/>
      <c r="AY696" s="39"/>
      <c r="AZ696" s="39">
        <f t="shared" si="744"/>
        <v>0</v>
      </c>
      <c r="BA696" s="39"/>
      <c r="BB696" s="39"/>
      <c r="BC696" s="39"/>
      <c r="BD696" s="39"/>
      <c r="BE696" s="39"/>
      <c r="BF696" s="39">
        <f t="shared" si="745"/>
        <v>0</v>
      </c>
      <c r="BG696" s="39"/>
      <c r="BH696" s="39"/>
      <c r="BI696" s="39"/>
      <c r="BJ696" s="39"/>
      <c r="BK696" s="39"/>
      <c r="BL696" s="39">
        <f t="shared" si="769"/>
        <v>0</v>
      </c>
      <c r="BM696" s="54" t="str">
        <f t="shared" si="746"/>
        <v/>
      </c>
      <c r="BN696" s="58">
        <v>46181</v>
      </c>
      <c r="BO696" s="57">
        <v>46195</v>
      </c>
      <c r="BP696" s="39"/>
      <c r="BQ696" s="39"/>
      <c r="BR696" s="230"/>
      <c r="BS696" s="230"/>
      <c r="BT696" s="39">
        <v>2014</v>
      </c>
      <c r="BU696" s="39">
        <v>107</v>
      </c>
      <c r="BV696" s="39" t="s">
        <v>1856</v>
      </c>
      <c r="BW696" s="39">
        <v>28</v>
      </c>
      <c r="BX696" s="39"/>
      <c r="BY696" s="39"/>
      <c r="BZ696" s="39">
        <f t="shared" si="770"/>
        <v>135</v>
      </c>
      <c r="CA696" s="39">
        <f>BU696-I696</f>
        <v>9</v>
      </c>
      <c r="CB696" s="39">
        <f>BW696-J696</f>
        <v>2</v>
      </c>
      <c r="CC696" s="39">
        <f>BY696-K696</f>
        <v>0</v>
      </c>
      <c r="CD696" s="39">
        <f t="shared" si="771"/>
        <v>0</v>
      </c>
      <c r="CE696" s="102">
        <f>CD696/L696</f>
        <v>0</v>
      </c>
      <c r="CF696" s="36"/>
      <c r="CG696" s="39" t="s">
        <v>237</v>
      </c>
      <c r="CH696" s="39"/>
      <c r="CI696" s="25">
        <v>1</v>
      </c>
    </row>
    <row r="697" spans="1:87" ht="24.75" customHeight="1">
      <c r="A697" s="36" t="s">
        <v>85</v>
      </c>
      <c r="B697" s="55" t="s">
        <v>577</v>
      </c>
      <c r="C697" s="227" t="s">
        <v>578</v>
      </c>
      <c r="D697" s="36"/>
      <c r="E697" s="39">
        <v>200</v>
      </c>
      <c r="F697" s="39" t="s">
        <v>183</v>
      </c>
      <c r="G697" s="36" t="s">
        <v>313</v>
      </c>
      <c r="H697" s="39" t="s">
        <v>212</v>
      </c>
      <c r="I697" s="39">
        <v>92</v>
      </c>
      <c r="J697" s="39">
        <v>8</v>
      </c>
      <c r="K697" s="39"/>
      <c r="L697" s="39">
        <f t="shared" si="794"/>
        <v>100</v>
      </c>
      <c r="M697" s="117">
        <v>46152</v>
      </c>
      <c r="N697" s="117">
        <v>46157</v>
      </c>
      <c r="O697" s="39"/>
      <c r="P697" s="39"/>
      <c r="Q697" s="39"/>
      <c r="R697" s="39">
        <f t="shared" si="795"/>
        <v>0</v>
      </c>
      <c r="S697" s="39" t="s">
        <v>130</v>
      </c>
      <c r="T697" s="39">
        <v>106784</v>
      </c>
      <c r="U697" s="117">
        <v>46192</v>
      </c>
      <c r="V697" s="39"/>
      <c r="W697" s="39"/>
      <c r="X697" s="39"/>
      <c r="Y697" s="39">
        <v>110</v>
      </c>
      <c r="Z697" s="39">
        <v>12</v>
      </c>
      <c r="AA697" s="39"/>
      <c r="AB697" s="119">
        <f t="shared" si="796"/>
        <v>122</v>
      </c>
      <c r="AC697" s="39"/>
      <c r="AD697" s="39"/>
      <c r="AE697" s="39"/>
      <c r="AF697" s="39"/>
      <c r="AG697" s="39"/>
      <c r="AH697" s="39">
        <f t="shared" si="768"/>
        <v>0</v>
      </c>
      <c r="AI697" s="39"/>
      <c r="AJ697" s="39"/>
      <c r="AK697" s="39"/>
      <c r="AL697" s="39"/>
      <c r="AM697" s="39"/>
      <c r="AN697" s="39">
        <f t="shared" si="793"/>
        <v>0</v>
      </c>
      <c r="AO697" s="39"/>
      <c r="AP697" s="39"/>
      <c r="AQ697" s="39"/>
      <c r="AR697" s="39"/>
      <c r="AS697" s="39"/>
      <c r="AT697" s="39">
        <f t="shared" si="743"/>
        <v>0</v>
      </c>
      <c r="AU697" s="39"/>
      <c r="AV697" s="39"/>
      <c r="AW697" s="39"/>
      <c r="AX697" s="39"/>
      <c r="AY697" s="39"/>
      <c r="AZ697" s="39">
        <f t="shared" si="744"/>
        <v>0</v>
      </c>
      <c r="BA697" s="39"/>
      <c r="BB697" s="39"/>
      <c r="BC697" s="39"/>
      <c r="BD697" s="39"/>
      <c r="BE697" s="39"/>
      <c r="BF697" s="39">
        <f t="shared" si="745"/>
        <v>0</v>
      </c>
      <c r="BG697" s="39"/>
      <c r="BH697" s="39"/>
      <c r="BI697" s="39"/>
      <c r="BJ697" s="39"/>
      <c r="BK697" s="39"/>
      <c r="BL697" s="39">
        <f t="shared" si="769"/>
        <v>0</v>
      </c>
      <c r="BM697" s="54" t="str">
        <f t="shared" si="746"/>
        <v/>
      </c>
      <c r="BN697" s="56">
        <v>46178</v>
      </c>
      <c r="BO697" s="117">
        <v>46189</v>
      </c>
      <c r="BP697" s="39"/>
      <c r="BQ697" s="39"/>
      <c r="BR697" s="229">
        <v>46196</v>
      </c>
      <c r="BS697" s="229">
        <v>46210</v>
      </c>
      <c r="BT697" s="39">
        <v>2110</v>
      </c>
      <c r="BU697" s="39">
        <v>103</v>
      </c>
      <c r="BV697" s="39">
        <v>1575</v>
      </c>
      <c r="BW697" s="39">
        <v>10</v>
      </c>
      <c r="BX697" s="39"/>
      <c r="BY697" s="39"/>
      <c r="BZ697" s="39">
        <f t="shared" si="770"/>
        <v>113</v>
      </c>
      <c r="CA697" s="39">
        <f t="shared" ref="CA697:CA701" si="797">BU697-I697</f>
        <v>11</v>
      </c>
      <c r="CB697" s="39">
        <f t="shared" ref="CB697:CB701" si="798">BW697-J697</f>
        <v>2</v>
      </c>
      <c r="CC697" s="39">
        <f t="shared" ref="CC697:CC701" si="799">BY697-K697</f>
        <v>0</v>
      </c>
      <c r="CD697" s="39">
        <f t="shared" si="771"/>
        <v>0</v>
      </c>
      <c r="CE697" s="102">
        <f t="shared" ref="CE697:CE701" si="800">CD697/L697</f>
        <v>0</v>
      </c>
      <c r="CF697" s="36"/>
      <c r="CG697" s="39" t="s">
        <v>237</v>
      </c>
      <c r="CH697" s="39" t="s">
        <v>1000</v>
      </c>
      <c r="CI697" s="25">
        <v>1</v>
      </c>
    </row>
    <row r="698" spans="1:87" ht="24.75" customHeight="1">
      <c r="A698" s="36" t="s">
        <v>85</v>
      </c>
      <c r="B698" s="55" t="s">
        <v>577</v>
      </c>
      <c r="C698" s="231"/>
      <c r="D698" s="36"/>
      <c r="E698" s="39">
        <v>200</v>
      </c>
      <c r="F698" s="39" t="s">
        <v>183</v>
      </c>
      <c r="G698" s="36" t="s">
        <v>101</v>
      </c>
      <c r="H698" s="39" t="s">
        <v>212</v>
      </c>
      <c r="I698" s="39">
        <v>150</v>
      </c>
      <c r="J698" s="39">
        <v>11</v>
      </c>
      <c r="K698" s="39"/>
      <c r="L698" s="39">
        <f t="shared" si="794"/>
        <v>161</v>
      </c>
      <c r="M698" s="117">
        <v>46152</v>
      </c>
      <c r="N698" s="117">
        <v>46157</v>
      </c>
      <c r="O698" s="39"/>
      <c r="P698" s="39"/>
      <c r="Q698" s="39"/>
      <c r="R698" s="39">
        <f t="shared" si="795"/>
        <v>0</v>
      </c>
      <c r="S698" s="39" t="s">
        <v>130</v>
      </c>
      <c r="T698" s="39">
        <v>106946</v>
      </c>
      <c r="U698" s="117">
        <v>46196</v>
      </c>
      <c r="V698" s="39"/>
      <c r="W698" s="39"/>
      <c r="X698" s="39"/>
      <c r="Y698" s="39">
        <v>182</v>
      </c>
      <c r="Z698" s="39">
        <v>16</v>
      </c>
      <c r="AA698" s="39"/>
      <c r="AB698" s="119">
        <f t="shared" si="796"/>
        <v>198</v>
      </c>
      <c r="AC698" s="39"/>
      <c r="AD698" s="39"/>
      <c r="AE698" s="39"/>
      <c r="AF698" s="39"/>
      <c r="AG698" s="39"/>
      <c r="AH698" s="39">
        <f t="shared" si="768"/>
        <v>0</v>
      </c>
      <c r="AI698" s="39"/>
      <c r="AJ698" s="39"/>
      <c r="AK698" s="39"/>
      <c r="AL698" s="39"/>
      <c r="AM698" s="39"/>
      <c r="AN698" s="39">
        <f t="shared" si="793"/>
        <v>0</v>
      </c>
      <c r="AO698" s="39"/>
      <c r="AP698" s="39"/>
      <c r="AQ698" s="39"/>
      <c r="AR698" s="39"/>
      <c r="AS698" s="39"/>
      <c r="AT698" s="39">
        <f t="shared" si="743"/>
        <v>0</v>
      </c>
      <c r="AU698" s="39"/>
      <c r="AV698" s="39"/>
      <c r="AW698" s="39"/>
      <c r="AX698" s="39"/>
      <c r="AY698" s="39"/>
      <c r="AZ698" s="39">
        <f t="shared" si="744"/>
        <v>0</v>
      </c>
      <c r="BA698" s="39"/>
      <c r="BB698" s="39"/>
      <c r="BC698" s="39"/>
      <c r="BD698" s="39"/>
      <c r="BE698" s="39"/>
      <c r="BF698" s="39">
        <f t="shared" si="745"/>
        <v>0</v>
      </c>
      <c r="BG698" s="39"/>
      <c r="BH698" s="39"/>
      <c r="BI698" s="39"/>
      <c r="BJ698" s="39"/>
      <c r="BK698" s="39"/>
      <c r="BL698" s="39">
        <f t="shared" si="769"/>
        <v>0</v>
      </c>
      <c r="BM698" s="54" t="str">
        <f t="shared" si="746"/>
        <v/>
      </c>
      <c r="BN698" s="56">
        <v>46178</v>
      </c>
      <c r="BO698" s="117">
        <v>46189</v>
      </c>
      <c r="BP698" s="36"/>
      <c r="BQ698" s="36"/>
      <c r="BR698" s="232"/>
      <c r="BS698" s="232"/>
      <c r="BT698" s="39">
        <v>2122</v>
      </c>
      <c r="BU698" s="39">
        <v>162</v>
      </c>
      <c r="BV698" s="39">
        <v>2130</v>
      </c>
      <c r="BW698" s="39">
        <v>14</v>
      </c>
      <c r="BX698" s="39"/>
      <c r="BY698" s="39"/>
      <c r="BZ698" s="39">
        <f t="shared" si="770"/>
        <v>176</v>
      </c>
      <c r="CA698" s="39">
        <f t="shared" si="797"/>
        <v>12</v>
      </c>
      <c r="CB698" s="39">
        <f t="shared" si="798"/>
        <v>3</v>
      </c>
      <c r="CC698" s="39">
        <f t="shared" si="799"/>
        <v>0</v>
      </c>
      <c r="CD698" s="39">
        <f t="shared" si="771"/>
        <v>0</v>
      </c>
      <c r="CE698" s="102">
        <f t="shared" si="800"/>
        <v>0</v>
      </c>
      <c r="CF698" s="36"/>
      <c r="CG698" s="39" t="s">
        <v>237</v>
      </c>
      <c r="CH698" s="39" t="s">
        <v>973</v>
      </c>
      <c r="CI698" s="25">
        <v>1</v>
      </c>
    </row>
    <row r="699" spans="1:87" ht="24.75" customHeight="1">
      <c r="A699" s="36" t="s">
        <v>85</v>
      </c>
      <c r="B699" s="55" t="s">
        <v>577</v>
      </c>
      <c r="C699" s="228"/>
      <c r="D699" s="36"/>
      <c r="E699" s="39">
        <v>200</v>
      </c>
      <c r="F699" s="39" t="s">
        <v>183</v>
      </c>
      <c r="G699" s="36" t="s">
        <v>579</v>
      </c>
      <c r="H699" s="39" t="s">
        <v>212</v>
      </c>
      <c r="I699" s="39">
        <v>205</v>
      </c>
      <c r="J699" s="39">
        <v>14</v>
      </c>
      <c r="K699" s="39"/>
      <c r="L699" s="39">
        <f t="shared" ref="L699" si="801">SUM(I699:K699)</f>
        <v>219</v>
      </c>
      <c r="M699" s="117">
        <v>46152</v>
      </c>
      <c r="N699" s="117">
        <v>46157</v>
      </c>
      <c r="O699" s="39"/>
      <c r="P699" s="39"/>
      <c r="Q699" s="39"/>
      <c r="R699" s="39">
        <f t="shared" ref="R699:R703" si="802">SUM(O699:Q699)</f>
        <v>0</v>
      </c>
      <c r="S699" s="39" t="s">
        <v>130</v>
      </c>
      <c r="T699" s="39">
        <v>107156</v>
      </c>
      <c r="U699" s="117">
        <v>46198</v>
      </c>
      <c r="V699" s="39"/>
      <c r="W699" s="39"/>
      <c r="X699" s="39"/>
      <c r="Y699" s="39">
        <v>237</v>
      </c>
      <c r="Z699" s="39">
        <v>17</v>
      </c>
      <c r="AA699" s="39"/>
      <c r="AB699" s="119">
        <f t="shared" ref="AB699" si="803">SUM(Y699:AA699)</f>
        <v>254</v>
      </c>
      <c r="AC699" s="39"/>
      <c r="AD699" s="39"/>
      <c r="AE699" s="39"/>
      <c r="AF699" s="39"/>
      <c r="AG699" s="39"/>
      <c r="AH699" s="39">
        <f t="shared" si="768"/>
        <v>0</v>
      </c>
      <c r="AI699" s="39"/>
      <c r="AJ699" s="39"/>
      <c r="AK699" s="39"/>
      <c r="AL699" s="39"/>
      <c r="AM699" s="39"/>
      <c r="AN699" s="39">
        <f t="shared" si="793"/>
        <v>0</v>
      </c>
      <c r="AO699" s="39"/>
      <c r="AP699" s="39"/>
      <c r="AQ699" s="39"/>
      <c r="AR699" s="39"/>
      <c r="AS699" s="39"/>
      <c r="AT699" s="39">
        <f t="shared" si="743"/>
        <v>0</v>
      </c>
      <c r="AU699" s="39"/>
      <c r="AV699" s="39"/>
      <c r="AW699" s="39"/>
      <c r="AX699" s="39"/>
      <c r="AY699" s="39"/>
      <c r="AZ699" s="39">
        <f t="shared" si="744"/>
        <v>0</v>
      </c>
      <c r="BA699" s="39"/>
      <c r="BB699" s="39"/>
      <c r="BC699" s="39"/>
      <c r="BD699" s="39"/>
      <c r="BE699" s="39"/>
      <c r="BF699" s="39">
        <f t="shared" si="745"/>
        <v>0</v>
      </c>
      <c r="BG699" s="39"/>
      <c r="BH699" s="39"/>
      <c r="BI699" s="39"/>
      <c r="BJ699" s="39"/>
      <c r="BK699" s="39"/>
      <c r="BL699" s="39">
        <f t="shared" si="769"/>
        <v>0</v>
      </c>
      <c r="BM699" s="54" t="str">
        <f t="shared" si="746"/>
        <v/>
      </c>
      <c r="BN699" s="56">
        <v>46178</v>
      </c>
      <c r="BO699" s="117">
        <v>46189</v>
      </c>
      <c r="BP699" s="36"/>
      <c r="BQ699" s="36"/>
      <c r="BR699" s="230"/>
      <c r="BS699" s="230"/>
      <c r="BT699" s="39">
        <v>1580</v>
      </c>
      <c r="BU699" s="39">
        <f>202</f>
        <v>202</v>
      </c>
      <c r="BV699" s="39">
        <v>1580</v>
      </c>
      <c r="BW699" s="39">
        <v>15</v>
      </c>
      <c r="BX699" s="39"/>
      <c r="BY699" s="39"/>
      <c r="BZ699" s="39">
        <f t="shared" si="770"/>
        <v>217</v>
      </c>
      <c r="CA699" s="39">
        <f t="shared" si="797"/>
        <v>-3</v>
      </c>
      <c r="CB699" s="39">
        <f t="shared" si="798"/>
        <v>1</v>
      </c>
      <c r="CC699" s="39">
        <f t="shared" si="799"/>
        <v>0</v>
      </c>
      <c r="CD699" s="39">
        <v>0</v>
      </c>
      <c r="CE699" s="102">
        <f t="shared" si="800"/>
        <v>0</v>
      </c>
      <c r="CF699" s="36"/>
      <c r="CG699" s="39" t="s">
        <v>237</v>
      </c>
      <c r="CH699" s="39"/>
      <c r="CI699" s="25">
        <v>1</v>
      </c>
    </row>
    <row r="700" spans="1:87" ht="34.5" customHeight="1">
      <c r="A700" s="36" t="s">
        <v>85</v>
      </c>
      <c r="B700" s="55">
        <v>47716</v>
      </c>
      <c r="C700" s="36" t="s">
        <v>726</v>
      </c>
      <c r="D700" s="36" t="s">
        <v>24</v>
      </c>
      <c r="E700" s="39">
        <v>180</v>
      </c>
      <c r="F700" s="39" t="s">
        <v>65</v>
      </c>
      <c r="G700" s="36" t="s">
        <v>727</v>
      </c>
      <c r="H700" s="36" t="s">
        <v>87</v>
      </c>
      <c r="I700" s="39">
        <v>43</v>
      </c>
      <c r="J700" s="39"/>
      <c r="K700" s="39">
        <v>13</v>
      </c>
      <c r="L700" s="39">
        <f t="shared" ref="L700:L702" si="804">SUM(I700:K700)</f>
        <v>56</v>
      </c>
      <c r="M700" s="117">
        <v>46167</v>
      </c>
      <c r="N700" s="117">
        <v>46179</v>
      </c>
      <c r="O700" s="39"/>
      <c r="P700" s="39"/>
      <c r="Q700" s="39"/>
      <c r="R700" s="39">
        <f t="shared" si="802"/>
        <v>0</v>
      </c>
      <c r="S700" s="39" t="s">
        <v>130</v>
      </c>
      <c r="T700" s="39">
        <v>106872</v>
      </c>
      <c r="U700" s="117">
        <v>46185</v>
      </c>
      <c r="V700" s="39"/>
      <c r="W700" s="39"/>
      <c r="X700" s="39"/>
      <c r="Y700" s="39">
        <v>54</v>
      </c>
      <c r="Z700" s="39"/>
      <c r="AA700" s="39">
        <v>15</v>
      </c>
      <c r="AB700" s="119">
        <f t="shared" ref="AB700:AB702" si="805">SUM(Y700:AA700)</f>
        <v>69</v>
      </c>
      <c r="AC700" s="39"/>
      <c r="AD700" s="39"/>
      <c r="AE700" s="39"/>
      <c r="AF700" s="39"/>
      <c r="AG700" s="39"/>
      <c r="AH700" s="39">
        <f t="shared" si="768"/>
        <v>0</v>
      </c>
      <c r="AI700" s="39"/>
      <c r="AJ700" s="39"/>
      <c r="AK700" s="39"/>
      <c r="AL700" s="39"/>
      <c r="AM700" s="39"/>
      <c r="AN700" s="39">
        <f t="shared" si="793"/>
        <v>0</v>
      </c>
      <c r="AO700" s="39"/>
      <c r="AP700" s="39"/>
      <c r="AQ700" s="39"/>
      <c r="AR700" s="39"/>
      <c r="AS700" s="39"/>
      <c r="AT700" s="39">
        <f t="shared" si="743"/>
        <v>0</v>
      </c>
      <c r="AU700" s="39"/>
      <c r="AV700" s="39"/>
      <c r="AW700" s="39"/>
      <c r="AX700" s="39"/>
      <c r="AY700" s="39"/>
      <c r="AZ700" s="39">
        <f t="shared" si="744"/>
        <v>0</v>
      </c>
      <c r="BA700" s="39"/>
      <c r="BB700" s="39"/>
      <c r="BC700" s="39"/>
      <c r="BD700" s="39"/>
      <c r="BE700" s="39"/>
      <c r="BF700" s="39">
        <f t="shared" si="745"/>
        <v>0</v>
      </c>
      <c r="BG700" s="39"/>
      <c r="BH700" s="39"/>
      <c r="BI700" s="39"/>
      <c r="BJ700" s="39"/>
      <c r="BK700" s="39"/>
      <c r="BL700" s="39">
        <f t="shared" si="769"/>
        <v>0</v>
      </c>
      <c r="BM700" s="54" t="str">
        <f t="shared" si="746"/>
        <v/>
      </c>
      <c r="BN700" s="56">
        <v>46181</v>
      </c>
      <c r="BO700" s="117">
        <v>46185</v>
      </c>
      <c r="BP700" s="39"/>
      <c r="BQ700" s="39"/>
      <c r="BR700" s="50">
        <v>46188</v>
      </c>
      <c r="BS700" s="50">
        <v>46188</v>
      </c>
      <c r="BT700" s="39">
        <v>1732</v>
      </c>
      <c r="BU700" s="39">
        <v>47</v>
      </c>
      <c r="BV700" s="39"/>
      <c r="BW700" s="39"/>
      <c r="BX700" s="39">
        <v>1732</v>
      </c>
      <c r="BY700" s="39">
        <v>13</v>
      </c>
      <c r="BZ700" s="39">
        <f t="shared" si="770"/>
        <v>60</v>
      </c>
      <c r="CA700" s="39">
        <f t="shared" si="797"/>
        <v>4</v>
      </c>
      <c r="CB700" s="39">
        <f t="shared" si="798"/>
        <v>0</v>
      </c>
      <c r="CC700" s="39">
        <f t="shared" si="799"/>
        <v>0</v>
      </c>
      <c r="CD700" s="39">
        <f t="shared" si="771"/>
        <v>0</v>
      </c>
      <c r="CE700" s="102">
        <f t="shared" si="800"/>
        <v>0</v>
      </c>
      <c r="CF700" s="36"/>
      <c r="CG700" s="39" t="s">
        <v>235</v>
      </c>
      <c r="CH700" s="39"/>
      <c r="CI700" s="25">
        <v>1</v>
      </c>
    </row>
    <row r="701" spans="1:87" ht="24.75" customHeight="1">
      <c r="A701" s="36" t="s">
        <v>85</v>
      </c>
      <c r="B701" s="55">
        <v>47738</v>
      </c>
      <c r="C701" s="227" t="s">
        <v>728</v>
      </c>
      <c r="D701" s="36"/>
      <c r="E701" s="39">
        <v>180</v>
      </c>
      <c r="F701" s="39" t="s">
        <v>55</v>
      </c>
      <c r="G701" s="36" t="s">
        <v>501</v>
      </c>
      <c r="H701" s="36" t="s">
        <v>87</v>
      </c>
      <c r="I701" s="39">
        <v>891</v>
      </c>
      <c r="J701" s="39"/>
      <c r="K701" s="39"/>
      <c r="L701" s="39">
        <f t="shared" si="804"/>
        <v>891</v>
      </c>
      <c r="M701" s="117">
        <v>46155</v>
      </c>
      <c r="N701" s="117">
        <v>46162</v>
      </c>
      <c r="O701" s="39"/>
      <c r="P701" s="39"/>
      <c r="Q701" s="39"/>
      <c r="R701" s="39">
        <f t="shared" si="802"/>
        <v>0</v>
      </c>
      <c r="S701" s="39" t="s">
        <v>130</v>
      </c>
      <c r="T701" s="39">
        <v>107050</v>
      </c>
      <c r="U701" s="117">
        <v>46189</v>
      </c>
      <c r="V701" s="39"/>
      <c r="W701" s="39"/>
      <c r="X701" s="39"/>
      <c r="Y701" s="39">
        <v>1028</v>
      </c>
      <c r="Z701" s="39"/>
      <c r="AA701" s="39"/>
      <c r="AB701" s="119">
        <f t="shared" si="805"/>
        <v>1028</v>
      </c>
      <c r="AC701" s="39"/>
      <c r="AD701" s="39"/>
      <c r="AE701" s="39"/>
      <c r="AF701" s="39"/>
      <c r="AG701" s="39"/>
      <c r="AH701" s="39">
        <f t="shared" si="768"/>
        <v>0</v>
      </c>
      <c r="AI701" s="39"/>
      <c r="AJ701" s="39"/>
      <c r="AK701" s="39"/>
      <c r="AL701" s="39"/>
      <c r="AM701" s="39"/>
      <c r="AN701" s="39">
        <f t="shared" si="793"/>
        <v>0</v>
      </c>
      <c r="AO701" s="39"/>
      <c r="AP701" s="39"/>
      <c r="AQ701" s="39"/>
      <c r="AR701" s="39"/>
      <c r="AS701" s="39"/>
      <c r="AT701" s="39">
        <f t="shared" si="743"/>
        <v>0</v>
      </c>
      <c r="AU701" s="39"/>
      <c r="AV701" s="39"/>
      <c r="AW701" s="39"/>
      <c r="AX701" s="39"/>
      <c r="AY701" s="39"/>
      <c r="AZ701" s="39">
        <f t="shared" si="744"/>
        <v>0</v>
      </c>
      <c r="BA701" s="39"/>
      <c r="BB701" s="39"/>
      <c r="BC701" s="39"/>
      <c r="BD701" s="39"/>
      <c r="BE701" s="39"/>
      <c r="BF701" s="39">
        <f t="shared" si="745"/>
        <v>0</v>
      </c>
      <c r="BG701" s="39"/>
      <c r="BH701" s="39"/>
      <c r="BI701" s="39"/>
      <c r="BJ701" s="39"/>
      <c r="BK701" s="39"/>
      <c r="BL701" s="39">
        <f t="shared" si="769"/>
        <v>0</v>
      </c>
      <c r="BM701" s="54" t="str">
        <f t="shared" si="746"/>
        <v/>
      </c>
      <c r="BN701" s="56">
        <v>46179</v>
      </c>
      <c r="BO701" s="117">
        <v>46157</v>
      </c>
      <c r="BP701" s="39"/>
      <c r="BQ701" s="39"/>
      <c r="BR701" s="229">
        <v>46193</v>
      </c>
      <c r="BS701" s="229">
        <v>46196</v>
      </c>
      <c r="BT701" s="39">
        <v>1698</v>
      </c>
      <c r="BU701" s="39">
        <f>924</f>
        <v>924</v>
      </c>
      <c r="BV701" s="39"/>
      <c r="BW701" s="39"/>
      <c r="BX701" s="39"/>
      <c r="BY701" s="39"/>
      <c r="BZ701" s="39">
        <f t="shared" si="770"/>
        <v>924</v>
      </c>
      <c r="CA701" s="39">
        <f t="shared" si="797"/>
        <v>33</v>
      </c>
      <c r="CB701" s="39">
        <f t="shared" si="798"/>
        <v>0</v>
      </c>
      <c r="CC701" s="39">
        <f t="shared" si="799"/>
        <v>0</v>
      </c>
      <c r="CD701" s="39">
        <f t="shared" si="771"/>
        <v>0</v>
      </c>
      <c r="CE701" s="102">
        <f t="shared" si="800"/>
        <v>0</v>
      </c>
      <c r="CF701" s="36"/>
      <c r="CG701" s="39" t="s">
        <v>235</v>
      </c>
      <c r="CH701" s="39"/>
      <c r="CI701" s="25">
        <v>1</v>
      </c>
    </row>
    <row r="702" spans="1:87" ht="24.75" customHeight="1">
      <c r="A702" s="36" t="s">
        <v>85</v>
      </c>
      <c r="B702" s="55">
        <v>47738</v>
      </c>
      <c r="C702" s="228"/>
      <c r="D702" s="36"/>
      <c r="E702" s="39">
        <v>180</v>
      </c>
      <c r="F702" s="39" t="s">
        <v>55</v>
      </c>
      <c r="G702" s="36" t="s">
        <v>313</v>
      </c>
      <c r="H702" s="36" t="s">
        <v>87</v>
      </c>
      <c r="I702" s="39">
        <v>534</v>
      </c>
      <c r="J702" s="39"/>
      <c r="K702" s="39"/>
      <c r="L702" s="39">
        <f t="shared" si="804"/>
        <v>534</v>
      </c>
      <c r="M702" s="117">
        <v>46155</v>
      </c>
      <c r="N702" s="117">
        <v>46162</v>
      </c>
      <c r="O702" s="39"/>
      <c r="P702" s="39"/>
      <c r="Q702" s="39"/>
      <c r="R702" s="39">
        <f t="shared" si="802"/>
        <v>0</v>
      </c>
      <c r="S702" s="39" t="s">
        <v>130</v>
      </c>
      <c r="T702" s="39">
        <v>107078</v>
      </c>
      <c r="U702" s="117">
        <v>46191</v>
      </c>
      <c r="V702" s="39"/>
      <c r="W702" s="39"/>
      <c r="X702" s="39"/>
      <c r="Y702" s="39">
        <v>597</v>
      </c>
      <c r="Z702" s="39"/>
      <c r="AA702" s="39"/>
      <c r="AB702" s="119">
        <f t="shared" si="805"/>
        <v>597</v>
      </c>
      <c r="AC702" s="39"/>
      <c r="AD702" s="39"/>
      <c r="AE702" s="39"/>
      <c r="AF702" s="39"/>
      <c r="AG702" s="39"/>
      <c r="AH702" s="39">
        <f t="shared" si="768"/>
        <v>0</v>
      </c>
      <c r="AI702" s="39"/>
      <c r="AJ702" s="39"/>
      <c r="AK702" s="39"/>
      <c r="AL702" s="39"/>
      <c r="AM702" s="39"/>
      <c r="AN702" s="39">
        <f t="shared" si="793"/>
        <v>0</v>
      </c>
      <c r="AO702" s="39"/>
      <c r="AP702" s="39"/>
      <c r="AQ702" s="39"/>
      <c r="AR702" s="39"/>
      <c r="AS702" s="39"/>
      <c r="AT702" s="39">
        <f t="shared" si="743"/>
        <v>0</v>
      </c>
      <c r="AU702" s="39"/>
      <c r="AV702" s="39"/>
      <c r="AW702" s="39"/>
      <c r="AX702" s="39"/>
      <c r="AY702" s="39"/>
      <c r="AZ702" s="39">
        <f t="shared" si="744"/>
        <v>0</v>
      </c>
      <c r="BA702" s="39"/>
      <c r="BB702" s="39"/>
      <c r="BC702" s="39"/>
      <c r="BD702" s="39"/>
      <c r="BE702" s="39"/>
      <c r="BF702" s="39">
        <f t="shared" si="745"/>
        <v>0</v>
      </c>
      <c r="BG702" s="39"/>
      <c r="BH702" s="39"/>
      <c r="BI702" s="39"/>
      <c r="BJ702" s="39"/>
      <c r="BK702" s="39"/>
      <c r="BL702" s="39">
        <f t="shared" si="769"/>
        <v>0</v>
      </c>
      <c r="BM702" s="54" t="str">
        <f t="shared" si="746"/>
        <v/>
      </c>
      <c r="BN702" s="56">
        <v>46179</v>
      </c>
      <c r="BO702" s="117">
        <v>46157</v>
      </c>
      <c r="BP702" s="39"/>
      <c r="BQ702" s="39"/>
      <c r="BR702" s="230"/>
      <c r="BS702" s="230"/>
      <c r="BT702" s="39">
        <v>2112</v>
      </c>
      <c r="BU702" s="39">
        <v>545</v>
      </c>
      <c r="BV702" s="39"/>
      <c r="BW702" s="39"/>
      <c r="BX702" s="39"/>
      <c r="BY702" s="39"/>
      <c r="BZ702" s="39">
        <f t="shared" si="770"/>
        <v>545</v>
      </c>
      <c r="CA702" s="39">
        <f>BU702-I702</f>
        <v>11</v>
      </c>
      <c r="CB702" s="39">
        <f>BW702-J702</f>
        <v>0</v>
      </c>
      <c r="CC702" s="39">
        <f>BY702-K702</f>
        <v>0</v>
      </c>
      <c r="CD702" s="39">
        <f t="shared" si="771"/>
        <v>0</v>
      </c>
      <c r="CE702" s="102">
        <f>CD702/L702</f>
        <v>0</v>
      </c>
      <c r="CF702" s="36"/>
      <c r="CG702" s="39" t="s">
        <v>235</v>
      </c>
      <c r="CH702" s="39"/>
      <c r="CI702" s="25">
        <v>1</v>
      </c>
    </row>
    <row r="703" spans="1:87" ht="33.75" customHeight="1">
      <c r="A703" s="36" t="s">
        <v>85</v>
      </c>
      <c r="B703" s="55" t="s">
        <v>798</v>
      </c>
      <c r="C703" s="36" t="s">
        <v>441</v>
      </c>
      <c r="D703" s="36" t="s">
        <v>24</v>
      </c>
      <c r="E703" s="39">
        <v>180</v>
      </c>
      <c r="F703" s="39" t="s">
        <v>56</v>
      </c>
      <c r="G703" s="36" t="s">
        <v>424</v>
      </c>
      <c r="H703" s="36" t="s">
        <v>87</v>
      </c>
      <c r="I703" s="39">
        <v>192</v>
      </c>
      <c r="J703" s="39"/>
      <c r="K703" s="39">
        <v>46</v>
      </c>
      <c r="L703" s="39">
        <f t="shared" ref="L703" si="806">SUM(I703:K703)</f>
        <v>238</v>
      </c>
      <c r="M703" s="117">
        <v>46178</v>
      </c>
      <c r="N703" s="117">
        <v>46182</v>
      </c>
      <c r="O703" s="39"/>
      <c r="P703" s="39"/>
      <c r="Q703" s="39"/>
      <c r="R703" s="39">
        <f t="shared" si="802"/>
        <v>0</v>
      </c>
      <c r="S703" s="39" t="s">
        <v>130</v>
      </c>
      <c r="T703" s="39">
        <v>106995</v>
      </c>
      <c r="U703" s="117">
        <v>46188</v>
      </c>
      <c r="V703" s="39"/>
      <c r="W703" s="39"/>
      <c r="X703" s="39"/>
      <c r="Y703" s="39">
        <v>210</v>
      </c>
      <c r="Z703" s="39"/>
      <c r="AA703" s="39">
        <v>52</v>
      </c>
      <c r="AB703" s="119">
        <f t="shared" ref="AB703" si="807">SUM(Y703:AA703)</f>
        <v>262</v>
      </c>
      <c r="AC703" s="39"/>
      <c r="AD703" s="39"/>
      <c r="AE703" s="39"/>
      <c r="AF703" s="39"/>
      <c r="AG703" s="39"/>
      <c r="AH703" s="39">
        <f t="shared" si="768"/>
        <v>0</v>
      </c>
      <c r="AI703" s="39"/>
      <c r="AJ703" s="39"/>
      <c r="AK703" s="39"/>
      <c r="AL703" s="39"/>
      <c r="AM703" s="39"/>
      <c r="AN703" s="39">
        <f t="shared" si="793"/>
        <v>0</v>
      </c>
      <c r="AO703" s="39"/>
      <c r="AP703" s="39"/>
      <c r="AQ703" s="39"/>
      <c r="AR703" s="39"/>
      <c r="AS703" s="39"/>
      <c r="AT703" s="39">
        <f t="shared" si="743"/>
        <v>0</v>
      </c>
      <c r="AU703" s="39"/>
      <c r="AV703" s="39"/>
      <c r="AW703" s="39"/>
      <c r="AX703" s="39"/>
      <c r="AY703" s="39"/>
      <c r="AZ703" s="39">
        <f t="shared" si="744"/>
        <v>0</v>
      </c>
      <c r="BA703" s="39"/>
      <c r="BB703" s="39"/>
      <c r="BC703" s="39"/>
      <c r="BD703" s="39"/>
      <c r="BE703" s="39"/>
      <c r="BF703" s="39">
        <f t="shared" si="745"/>
        <v>0</v>
      </c>
      <c r="BG703" s="39"/>
      <c r="BH703" s="39"/>
      <c r="BI703" s="39"/>
      <c r="BJ703" s="39"/>
      <c r="BK703" s="39"/>
      <c r="BL703" s="39">
        <f t="shared" si="769"/>
        <v>0</v>
      </c>
      <c r="BM703" s="54" t="str">
        <f t="shared" si="746"/>
        <v/>
      </c>
      <c r="BN703" s="56">
        <v>46183</v>
      </c>
      <c r="BO703" s="117">
        <v>46188</v>
      </c>
      <c r="BP703" s="39"/>
      <c r="BQ703" s="39"/>
      <c r="BR703" s="50">
        <v>46189</v>
      </c>
      <c r="BS703" s="50">
        <v>46189</v>
      </c>
      <c r="BT703" s="39">
        <v>1739</v>
      </c>
      <c r="BU703" s="39">
        <v>196</v>
      </c>
      <c r="BV703" s="39"/>
      <c r="BW703" s="39"/>
      <c r="BX703" s="39">
        <v>1739</v>
      </c>
      <c r="BY703" s="39">
        <v>48</v>
      </c>
      <c r="BZ703" s="39">
        <f t="shared" si="770"/>
        <v>244</v>
      </c>
      <c r="CA703" s="39">
        <f t="shared" ref="CA703" si="808">BU703-I703</f>
        <v>4</v>
      </c>
      <c r="CB703" s="39">
        <f t="shared" ref="CB703" si="809">BW703-J703</f>
        <v>0</v>
      </c>
      <c r="CC703" s="39">
        <f t="shared" ref="CC703" si="810">BY703-K703</f>
        <v>2</v>
      </c>
      <c r="CD703" s="39">
        <f t="shared" si="771"/>
        <v>0</v>
      </c>
      <c r="CE703" s="102">
        <f t="shared" ref="CE703" si="811">CD703/L703</f>
        <v>0</v>
      </c>
      <c r="CF703" s="36"/>
      <c r="CG703" s="39" t="s">
        <v>235</v>
      </c>
      <c r="CH703" s="39"/>
      <c r="CI703" s="25">
        <v>1</v>
      </c>
    </row>
    <row r="704" spans="1:87" ht="24.75" customHeight="1">
      <c r="A704" s="36" t="s">
        <v>85</v>
      </c>
      <c r="B704" s="55"/>
      <c r="C704" s="36"/>
      <c r="D704" s="36"/>
      <c r="E704" s="39"/>
      <c r="F704" s="39"/>
      <c r="G704" s="36"/>
      <c r="H704" s="39"/>
      <c r="I704" s="39"/>
      <c r="J704" s="39"/>
      <c r="K704" s="39"/>
      <c r="L704" s="39">
        <f t="shared" si="785"/>
        <v>0</v>
      </c>
      <c r="M704" s="36"/>
      <c r="N704" s="36"/>
      <c r="O704" s="39"/>
      <c r="P704" s="39"/>
      <c r="Q704" s="39"/>
      <c r="R704" s="39">
        <f t="shared" si="786"/>
        <v>0</v>
      </c>
      <c r="S704" s="39"/>
      <c r="T704" s="39"/>
      <c r="U704" s="39"/>
      <c r="V704" s="39"/>
      <c r="W704" s="39"/>
      <c r="X704" s="39"/>
      <c r="Y704" s="39"/>
      <c r="Z704" s="39"/>
      <c r="AA704" s="39"/>
      <c r="AB704" s="39">
        <f t="shared" si="787"/>
        <v>0</v>
      </c>
      <c r="AC704" s="39"/>
      <c r="AD704" s="39"/>
      <c r="AE704" s="39"/>
      <c r="AF704" s="39"/>
      <c r="AG704" s="39"/>
      <c r="AH704" s="39">
        <f t="shared" si="768"/>
        <v>0</v>
      </c>
      <c r="AI704" s="39"/>
      <c r="AJ704" s="39"/>
      <c r="AK704" s="39"/>
      <c r="AL704" s="39"/>
      <c r="AM704" s="39"/>
      <c r="AN704" s="39">
        <f t="shared" si="793"/>
        <v>0</v>
      </c>
      <c r="AO704" s="39"/>
      <c r="AP704" s="39"/>
      <c r="AQ704" s="39"/>
      <c r="AR704" s="39"/>
      <c r="AS704" s="39"/>
      <c r="AT704" s="39">
        <f t="shared" si="743"/>
        <v>0</v>
      </c>
      <c r="AU704" s="39"/>
      <c r="AV704" s="39"/>
      <c r="AW704" s="39"/>
      <c r="AX704" s="39"/>
      <c r="AY704" s="39"/>
      <c r="AZ704" s="39">
        <f t="shared" si="744"/>
        <v>0</v>
      </c>
      <c r="BA704" s="39"/>
      <c r="BB704" s="39"/>
      <c r="BC704" s="39"/>
      <c r="BD704" s="39"/>
      <c r="BE704" s="39"/>
      <c r="BF704" s="39">
        <f t="shared" si="745"/>
        <v>0</v>
      </c>
      <c r="BG704" s="39"/>
      <c r="BH704" s="39"/>
      <c r="BI704" s="39"/>
      <c r="BJ704" s="39"/>
      <c r="BK704" s="39"/>
      <c r="BL704" s="39">
        <f t="shared" si="769"/>
        <v>0</v>
      </c>
      <c r="BM704" s="54" t="e">
        <f t="shared" si="746"/>
        <v>#DIV/0!</v>
      </c>
      <c r="BN704" s="64"/>
      <c r="BO704" s="36"/>
      <c r="BP704" s="36"/>
      <c r="BQ704" s="36"/>
      <c r="BR704" s="40"/>
      <c r="BS704" s="40"/>
      <c r="BT704" s="39"/>
      <c r="BU704" s="39"/>
      <c r="BV704" s="39"/>
      <c r="BW704" s="39"/>
      <c r="BX704" s="39"/>
      <c r="BY704" s="39"/>
      <c r="BZ704" s="39">
        <f t="shared" si="770"/>
        <v>0</v>
      </c>
      <c r="CA704" s="39">
        <f t="shared" si="747"/>
        <v>0</v>
      </c>
      <c r="CB704" s="39">
        <f t="shared" si="748"/>
        <v>0</v>
      </c>
      <c r="CC704" s="39">
        <f t="shared" si="749"/>
        <v>0</v>
      </c>
      <c r="CD704" s="39">
        <f t="shared" si="771"/>
        <v>0</v>
      </c>
      <c r="CE704" s="47" t="e">
        <f t="shared" si="751"/>
        <v>#DIV/0!</v>
      </c>
      <c r="CF704" s="36"/>
      <c r="CG704" s="39"/>
      <c r="CH704" s="39"/>
      <c r="CI704" s="25">
        <v>1</v>
      </c>
    </row>
    <row r="705" spans="1:88" ht="24.75" customHeight="1">
      <c r="A705" s="36" t="s">
        <v>85</v>
      </c>
      <c r="B705" s="55"/>
      <c r="C705" s="36"/>
      <c r="D705" s="36"/>
      <c r="E705" s="39"/>
      <c r="F705" s="39"/>
      <c r="G705" s="36"/>
      <c r="H705" s="39"/>
      <c r="I705" s="39"/>
      <c r="J705" s="39"/>
      <c r="K705" s="39"/>
      <c r="L705" s="39">
        <f t="shared" si="785"/>
        <v>0</v>
      </c>
      <c r="M705" s="39"/>
      <c r="N705" s="39"/>
      <c r="O705" s="39"/>
      <c r="P705" s="39"/>
      <c r="Q705" s="39"/>
      <c r="R705" s="39">
        <f t="shared" si="786"/>
        <v>0</v>
      </c>
      <c r="S705" s="39"/>
      <c r="T705" s="39"/>
      <c r="U705" s="39"/>
      <c r="V705" s="39"/>
      <c r="W705" s="39"/>
      <c r="X705" s="39"/>
      <c r="Y705" s="39"/>
      <c r="Z705" s="39"/>
      <c r="AA705" s="39"/>
      <c r="AB705" s="39">
        <f t="shared" si="787"/>
        <v>0</v>
      </c>
      <c r="AC705" s="39"/>
      <c r="AD705" s="39"/>
      <c r="AE705" s="39"/>
      <c r="AF705" s="39"/>
      <c r="AG705" s="39"/>
      <c r="AH705" s="39">
        <f t="shared" si="768"/>
        <v>0</v>
      </c>
      <c r="AI705" s="39"/>
      <c r="AJ705" s="39"/>
      <c r="AK705" s="39"/>
      <c r="AL705" s="39"/>
      <c r="AM705" s="39"/>
      <c r="AN705" s="39">
        <f>AM705-AK705</f>
        <v>0</v>
      </c>
      <c r="AO705" s="39"/>
      <c r="AP705" s="39"/>
      <c r="AQ705" s="39"/>
      <c r="AR705" s="39"/>
      <c r="AS705" s="39"/>
      <c r="AT705" s="39">
        <f>AS705-AQ705</f>
        <v>0</v>
      </c>
      <c r="AU705" s="39"/>
      <c r="AV705" s="39"/>
      <c r="AW705" s="39"/>
      <c r="AX705" s="39"/>
      <c r="AY705" s="39"/>
      <c r="AZ705" s="39">
        <f>AY705-AW705</f>
        <v>0</v>
      </c>
      <c r="BA705" s="39"/>
      <c r="BB705" s="39"/>
      <c r="BC705" s="39"/>
      <c r="BD705" s="39"/>
      <c r="BE705" s="39"/>
      <c r="BF705" s="39">
        <f>BE705-BC705</f>
        <v>0</v>
      </c>
      <c r="BG705" s="39"/>
      <c r="BH705" s="39"/>
      <c r="BI705" s="39"/>
      <c r="BJ705" s="39"/>
      <c r="BK705" s="39"/>
      <c r="BL705" s="39">
        <f t="shared" si="769"/>
        <v>0</v>
      </c>
      <c r="BM705" s="54" t="e">
        <f>IF((BZ705/L705)&lt;0.9,$CO$1-U705,"")</f>
        <v>#DIV/0!</v>
      </c>
      <c r="BN705" s="42"/>
      <c r="BO705" s="39"/>
      <c r="BP705" s="39"/>
      <c r="BQ705" s="39"/>
      <c r="BR705" s="40"/>
      <c r="BS705" s="40"/>
      <c r="BT705" s="39"/>
      <c r="BU705" s="39"/>
      <c r="BV705" s="39"/>
      <c r="BW705" s="39"/>
      <c r="BX705" s="39"/>
      <c r="BY705" s="39"/>
      <c r="BZ705" s="39">
        <f t="shared" si="770"/>
        <v>0</v>
      </c>
      <c r="CA705" s="39">
        <f>BU705-I705</f>
        <v>0</v>
      </c>
      <c r="CB705" s="39">
        <f>BW705-J705</f>
        <v>0</v>
      </c>
      <c r="CC705" s="39">
        <f>BY705-K705</f>
        <v>0</v>
      </c>
      <c r="CD705" s="39">
        <f t="shared" si="771"/>
        <v>0</v>
      </c>
      <c r="CE705" s="47" t="e">
        <f>CD705/L705</f>
        <v>#DIV/0!</v>
      </c>
      <c r="CF705" s="36"/>
      <c r="CG705" s="39"/>
      <c r="CH705" s="39"/>
      <c r="CI705" s="25">
        <v>1</v>
      </c>
    </row>
    <row r="706" spans="1:88" ht="24.75" customHeight="1">
      <c r="A706" s="36" t="s">
        <v>85</v>
      </c>
      <c r="B706" s="55"/>
      <c r="C706" s="36"/>
      <c r="D706" s="36"/>
      <c r="E706" s="39"/>
      <c r="F706" s="39"/>
      <c r="G706" s="36"/>
      <c r="H706" s="39"/>
      <c r="I706" s="39"/>
      <c r="J706" s="39"/>
      <c r="K706" s="39"/>
      <c r="L706" s="39">
        <f t="shared" si="785"/>
        <v>0</v>
      </c>
      <c r="M706" s="39"/>
      <c r="N706" s="39"/>
      <c r="O706" s="39"/>
      <c r="P706" s="39"/>
      <c r="Q706" s="39"/>
      <c r="R706" s="39">
        <f t="shared" si="786"/>
        <v>0</v>
      </c>
      <c r="S706" s="39"/>
      <c r="T706" s="39"/>
      <c r="U706" s="39"/>
      <c r="V706" s="39"/>
      <c r="W706" s="39"/>
      <c r="X706" s="39"/>
      <c r="Y706" s="39"/>
      <c r="Z706" s="39"/>
      <c r="AA706" s="39"/>
      <c r="AB706" s="39">
        <f t="shared" si="787"/>
        <v>0</v>
      </c>
      <c r="AC706" s="39"/>
      <c r="AD706" s="39"/>
      <c r="AE706" s="39"/>
      <c r="AF706" s="39"/>
      <c r="AG706" s="39"/>
      <c r="AH706" s="39">
        <f t="shared" si="768"/>
        <v>0</v>
      </c>
      <c r="AI706" s="39"/>
      <c r="AJ706" s="39"/>
      <c r="AK706" s="39"/>
      <c r="AL706" s="39"/>
      <c r="AM706" s="39"/>
      <c r="AN706" s="39">
        <f t="shared" ref="AN706:AN713" si="812">AM706-AK706</f>
        <v>0</v>
      </c>
      <c r="AO706" s="39"/>
      <c r="AP706" s="39"/>
      <c r="AQ706" s="39"/>
      <c r="AR706" s="39"/>
      <c r="AS706" s="39"/>
      <c r="AT706" s="39">
        <f t="shared" ref="AT706:AT820" si="813">AS706-AQ706</f>
        <v>0</v>
      </c>
      <c r="AU706" s="39"/>
      <c r="AV706" s="39"/>
      <c r="AW706" s="39"/>
      <c r="AX706" s="39"/>
      <c r="AY706" s="39"/>
      <c r="AZ706" s="39">
        <f t="shared" ref="AZ706:AZ820" si="814">AY706-AW706</f>
        <v>0</v>
      </c>
      <c r="BA706" s="39"/>
      <c r="BB706" s="39"/>
      <c r="BC706" s="39"/>
      <c r="BD706" s="39"/>
      <c r="BE706" s="39"/>
      <c r="BF706" s="39">
        <f t="shared" ref="BF706:BF820" si="815">BE706-BC706</f>
        <v>0</v>
      </c>
      <c r="BG706" s="39"/>
      <c r="BH706" s="39"/>
      <c r="BI706" s="39"/>
      <c r="BJ706" s="39"/>
      <c r="BK706" s="39"/>
      <c r="BL706" s="39">
        <f t="shared" si="769"/>
        <v>0</v>
      </c>
      <c r="BM706" s="54" t="e">
        <f t="shared" ref="BM706:BM820" si="816">IF((BZ706/L706)&lt;0.9,$CO$1-U706,"")</f>
        <v>#DIV/0!</v>
      </c>
      <c r="BN706" s="42"/>
      <c r="BO706" s="39"/>
      <c r="BP706" s="39"/>
      <c r="BQ706" s="39"/>
      <c r="BR706" s="40"/>
      <c r="BS706" s="40"/>
      <c r="BT706" s="39"/>
      <c r="BU706" s="39"/>
      <c r="BV706" s="39"/>
      <c r="BW706" s="39"/>
      <c r="BX706" s="39"/>
      <c r="BY706" s="39"/>
      <c r="BZ706" s="39">
        <f t="shared" si="770"/>
        <v>0</v>
      </c>
      <c r="CA706" s="39">
        <f t="shared" ref="CA706:CA820" si="817">BU706-I706</f>
        <v>0</v>
      </c>
      <c r="CB706" s="39">
        <f t="shared" ref="CB706:CB820" si="818">BW706-J706</f>
        <v>0</v>
      </c>
      <c r="CC706" s="39">
        <f t="shared" ref="CC706:CC820" si="819">BY706-K706</f>
        <v>0</v>
      </c>
      <c r="CD706" s="39">
        <f t="shared" si="771"/>
        <v>0</v>
      </c>
      <c r="CE706" s="47" t="e">
        <f t="shared" ref="CE706:CE820" si="820">CD706/L706</f>
        <v>#DIV/0!</v>
      </c>
      <c r="CF706" s="36"/>
      <c r="CG706" s="39"/>
      <c r="CH706" s="39"/>
      <c r="CI706" s="25">
        <v>1</v>
      </c>
    </row>
    <row r="707" spans="1:88" ht="24.75" customHeight="1">
      <c r="A707" s="36" t="s">
        <v>85</v>
      </c>
      <c r="B707" s="55"/>
      <c r="C707" s="36"/>
      <c r="D707" s="36"/>
      <c r="E707" s="39"/>
      <c r="F707" s="39"/>
      <c r="G707" s="36"/>
      <c r="H707" s="39"/>
      <c r="I707" s="39"/>
      <c r="J707" s="39"/>
      <c r="K707" s="39"/>
      <c r="L707" s="39">
        <f t="shared" si="785"/>
        <v>0</v>
      </c>
      <c r="M707" s="39"/>
      <c r="N707" s="39"/>
      <c r="O707" s="39"/>
      <c r="P707" s="39"/>
      <c r="Q707" s="39"/>
      <c r="R707" s="39">
        <f t="shared" si="786"/>
        <v>0</v>
      </c>
      <c r="S707" s="39"/>
      <c r="T707" s="39"/>
      <c r="U707" s="39"/>
      <c r="V707" s="39"/>
      <c r="W707" s="39"/>
      <c r="X707" s="39"/>
      <c r="Y707" s="39"/>
      <c r="Z707" s="39"/>
      <c r="AA707" s="39"/>
      <c r="AB707" s="39">
        <f t="shared" si="787"/>
        <v>0</v>
      </c>
      <c r="AC707" s="39"/>
      <c r="AD707" s="39"/>
      <c r="AE707" s="39"/>
      <c r="AF707" s="39"/>
      <c r="AG707" s="39"/>
      <c r="AH707" s="39">
        <f t="shared" si="768"/>
        <v>0</v>
      </c>
      <c r="AI707" s="39"/>
      <c r="AJ707" s="39"/>
      <c r="AK707" s="39"/>
      <c r="AL707" s="39"/>
      <c r="AM707" s="39"/>
      <c r="AN707" s="39">
        <f t="shared" si="812"/>
        <v>0</v>
      </c>
      <c r="AO707" s="39"/>
      <c r="AP707" s="39"/>
      <c r="AQ707" s="39"/>
      <c r="AR707" s="39"/>
      <c r="AS707" s="39"/>
      <c r="AT707" s="39">
        <f t="shared" si="813"/>
        <v>0</v>
      </c>
      <c r="AU707" s="39"/>
      <c r="AV707" s="39"/>
      <c r="AW707" s="39"/>
      <c r="AX707" s="39"/>
      <c r="AY707" s="39"/>
      <c r="AZ707" s="39">
        <f t="shared" si="814"/>
        <v>0</v>
      </c>
      <c r="BA707" s="39"/>
      <c r="BB707" s="39"/>
      <c r="BC707" s="39"/>
      <c r="BD707" s="39"/>
      <c r="BE707" s="39"/>
      <c r="BF707" s="39">
        <f t="shared" si="815"/>
        <v>0</v>
      </c>
      <c r="BG707" s="39"/>
      <c r="BH707" s="39"/>
      <c r="BI707" s="39"/>
      <c r="BJ707" s="39"/>
      <c r="BK707" s="39"/>
      <c r="BL707" s="39">
        <f t="shared" si="769"/>
        <v>0</v>
      </c>
      <c r="BM707" s="54" t="e">
        <f t="shared" si="816"/>
        <v>#DIV/0!</v>
      </c>
      <c r="BN707" s="42"/>
      <c r="BO707" s="39"/>
      <c r="BP707" s="39"/>
      <c r="BQ707" s="39"/>
      <c r="BR707" s="40"/>
      <c r="BS707" s="40"/>
      <c r="BT707" s="39"/>
      <c r="BU707" s="39"/>
      <c r="BV707" s="39"/>
      <c r="BW707" s="39"/>
      <c r="BX707" s="39"/>
      <c r="BY707" s="39"/>
      <c r="BZ707" s="39">
        <f t="shared" si="770"/>
        <v>0</v>
      </c>
      <c r="CA707" s="39">
        <f t="shared" si="817"/>
        <v>0</v>
      </c>
      <c r="CB707" s="39">
        <f t="shared" si="818"/>
        <v>0</v>
      </c>
      <c r="CC707" s="39">
        <f t="shared" si="819"/>
        <v>0</v>
      </c>
      <c r="CD707" s="39">
        <f t="shared" si="771"/>
        <v>0</v>
      </c>
      <c r="CE707" s="47" t="e">
        <f t="shared" si="820"/>
        <v>#DIV/0!</v>
      </c>
      <c r="CF707" s="36"/>
      <c r="CG707" s="39"/>
      <c r="CH707" s="39"/>
      <c r="CI707" s="25">
        <v>1</v>
      </c>
    </row>
    <row r="708" spans="1:88" ht="33.75" customHeight="1">
      <c r="A708" s="36" t="s">
        <v>85</v>
      </c>
      <c r="B708" s="55" t="s">
        <v>776</v>
      </c>
      <c r="C708" s="144" t="s">
        <v>777</v>
      </c>
      <c r="D708" s="36" t="s">
        <v>24</v>
      </c>
      <c r="E708" s="39">
        <v>180</v>
      </c>
      <c r="F708" s="39" t="s">
        <v>58</v>
      </c>
      <c r="G708" s="36" t="s">
        <v>893</v>
      </c>
      <c r="H708" s="36" t="s">
        <v>87</v>
      </c>
      <c r="I708" s="39">
        <v>437</v>
      </c>
      <c r="J708" s="39"/>
      <c r="K708" s="39">
        <v>39</v>
      </c>
      <c r="L708" s="39">
        <f t="shared" ref="L708:L711" si="821">SUM(I708:K708)</f>
        <v>476</v>
      </c>
      <c r="M708" s="117">
        <v>46179</v>
      </c>
      <c r="N708" s="117">
        <v>46188</v>
      </c>
      <c r="O708" s="39"/>
      <c r="P708" s="39"/>
      <c r="Q708" s="39"/>
      <c r="R708" s="39">
        <f t="shared" ref="R708" si="822">SUM(O708:Q708)</f>
        <v>0</v>
      </c>
      <c r="S708" s="39" t="s">
        <v>130</v>
      </c>
      <c r="T708" s="39" t="s">
        <v>2180</v>
      </c>
      <c r="U708" s="117" t="s">
        <v>2181</v>
      </c>
      <c r="V708" s="39"/>
      <c r="W708" s="39"/>
      <c r="X708" s="39"/>
      <c r="Y708" s="39">
        <f>384+71</f>
        <v>455</v>
      </c>
      <c r="Z708" s="39"/>
      <c r="AA708" s="39">
        <v>44</v>
      </c>
      <c r="AB708" s="119">
        <f t="shared" ref="AB708" si="823">SUM(Y708:AA708)</f>
        <v>499</v>
      </c>
      <c r="AC708" s="39"/>
      <c r="AD708" s="39"/>
      <c r="AE708" s="39"/>
      <c r="AF708" s="39"/>
      <c r="AG708" s="39"/>
      <c r="AH708" s="39">
        <f t="shared" si="768"/>
        <v>0</v>
      </c>
      <c r="AI708" s="39"/>
      <c r="AJ708" s="39"/>
      <c r="AK708" s="39"/>
      <c r="AL708" s="39"/>
      <c r="AM708" s="39"/>
      <c r="AN708" s="39">
        <f t="shared" si="812"/>
        <v>0</v>
      </c>
      <c r="AO708" s="39"/>
      <c r="AP708" s="39"/>
      <c r="AQ708" s="39"/>
      <c r="AR708" s="39"/>
      <c r="AS708" s="39"/>
      <c r="AT708" s="39">
        <f t="shared" si="813"/>
        <v>0</v>
      </c>
      <c r="AU708" s="39"/>
      <c r="AV708" s="39"/>
      <c r="AW708" s="39"/>
      <c r="AX708" s="39"/>
      <c r="AY708" s="39"/>
      <c r="AZ708" s="39">
        <f t="shared" si="814"/>
        <v>0</v>
      </c>
      <c r="BA708" s="39"/>
      <c r="BB708" s="39"/>
      <c r="BC708" s="39"/>
      <c r="BD708" s="39"/>
      <c r="BE708" s="39"/>
      <c r="BF708" s="39">
        <f t="shared" si="815"/>
        <v>0</v>
      </c>
      <c r="BG708" s="39"/>
      <c r="BH708" s="39"/>
      <c r="BI708" s="39"/>
      <c r="BJ708" s="39"/>
      <c r="BK708" s="39"/>
      <c r="BL708" s="39">
        <f t="shared" si="769"/>
        <v>0</v>
      </c>
      <c r="BM708" s="54" t="str">
        <f t="shared" si="816"/>
        <v/>
      </c>
      <c r="BN708" s="66">
        <v>46188</v>
      </c>
      <c r="BO708" s="117">
        <v>46193</v>
      </c>
      <c r="BP708" s="39"/>
      <c r="BQ708" s="39"/>
      <c r="BR708" s="150">
        <v>46200</v>
      </c>
      <c r="BS708" s="150">
        <v>46200</v>
      </c>
      <c r="BT708" s="39">
        <v>2139</v>
      </c>
      <c r="BU708" s="39">
        <f>67+354</f>
        <v>421</v>
      </c>
      <c r="BV708" s="39"/>
      <c r="BW708" s="39"/>
      <c r="BX708" s="39">
        <v>2139</v>
      </c>
      <c r="BY708" s="39">
        <v>41</v>
      </c>
      <c r="BZ708" s="39">
        <f t="shared" si="770"/>
        <v>462</v>
      </c>
      <c r="CA708" s="39">
        <f t="shared" si="817"/>
        <v>-16</v>
      </c>
      <c r="CB708" s="39">
        <f t="shared" si="818"/>
        <v>0</v>
      </c>
      <c r="CC708" s="39">
        <f t="shared" si="819"/>
        <v>2</v>
      </c>
      <c r="CD708" s="39">
        <f t="shared" si="771"/>
        <v>-16</v>
      </c>
      <c r="CE708" s="102">
        <f t="shared" si="820"/>
        <v>-3.3613445378151259E-2</v>
      </c>
      <c r="CF708" s="36"/>
      <c r="CG708" s="39" t="s">
        <v>235</v>
      </c>
      <c r="CH708" s="39"/>
      <c r="CI708" s="25">
        <v>2</v>
      </c>
    </row>
    <row r="709" spans="1:88" ht="24.75" customHeight="1">
      <c r="A709" s="36" t="s">
        <v>85</v>
      </c>
      <c r="B709" s="55" t="s">
        <v>889</v>
      </c>
      <c r="C709" s="227" t="s">
        <v>890</v>
      </c>
      <c r="D709" s="36" t="s">
        <v>24</v>
      </c>
      <c r="E709" s="39">
        <v>200</v>
      </c>
      <c r="F709" s="39" t="s">
        <v>58</v>
      </c>
      <c r="G709" s="36" t="s">
        <v>891</v>
      </c>
      <c r="H709" s="36" t="s">
        <v>210</v>
      </c>
      <c r="I709" s="39">
        <v>1321</v>
      </c>
      <c r="J709" s="39"/>
      <c r="K709" s="39"/>
      <c r="L709" s="39">
        <f t="shared" si="821"/>
        <v>1321</v>
      </c>
      <c r="M709" s="117">
        <v>46181</v>
      </c>
      <c r="N709" s="117">
        <v>46192</v>
      </c>
      <c r="O709" s="39"/>
      <c r="P709" s="39"/>
      <c r="Q709" s="39"/>
      <c r="R709" s="39">
        <f>SUM(O709:Q709)</f>
        <v>0</v>
      </c>
      <c r="S709" s="39" t="s">
        <v>130</v>
      </c>
      <c r="T709" s="39" t="s">
        <v>1280</v>
      </c>
      <c r="U709" s="117" t="s">
        <v>1256</v>
      </c>
      <c r="V709" s="39"/>
      <c r="W709" s="39"/>
      <c r="X709" s="39"/>
      <c r="Y709" s="39">
        <f>619+235+63+404+57</f>
        <v>1378</v>
      </c>
      <c r="Z709" s="39"/>
      <c r="AA709" s="39"/>
      <c r="AB709" s="119">
        <f>SUM(Y709:AA709)</f>
        <v>1378</v>
      </c>
      <c r="AC709" s="39"/>
      <c r="AD709" s="39"/>
      <c r="AE709" s="39"/>
      <c r="AF709" s="39"/>
      <c r="AG709" s="39"/>
      <c r="AH709" s="39">
        <f t="shared" si="768"/>
        <v>0</v>
      </c>
      <c r="AI709" s="39"/>
      <c r="AJ709" s="39"/>
      <c r="AK709" s="39"/>
      <c r="AL709" s="39"/>
      <c r="AM709" s="39"/>
      <c r="AN709" s="39">
        <f>AM709-AK709</f>
        <v>0</v>
      </c>
      <c r="AO709" s="39"/>
      <c r="AP709" s="39"/>
      <c r="AQ709" s="39"/>
      <c r="AR709" s="39"/>
      <c r="AS709" s="39"/>
      <c r="AT709" s="39">
        <f>AS709-AQ709</f>
        <v>0</v>
      </c>
      <c r="AU709" s="39"/>
      <c r="AV709" s="39"/>
      <c r="AW709" s="39"/>
      <c r="AX709" s="39"/>
      <c r="AY709" s="39"/>
      <c r="AZ709" s="39">
        <f>AY709-AW709</f>
        <v>0</v>
      </c>
      <c r="BA709" s="39"/>
      <c r="BB709" s="39"/>
      <c r="BC709" s="39"/>
      <c r="BD709" s="39"/>
      <c r="BE709" s="39"/>
      <c r="BF709" s="39">
        <f>BE709-BC709</f>
        <v>0</v>
      </c>
      <c r="BG709" s="39"/>
      <c r="BH709" s="39"/>
      <c r="BI709" s="39"/>
      <c r="BJ709" s="39"/>
      <c r="BK709" s="39"/>
      <c r="BL709" s="39">
        <f t="shared" si="769"/>
        <v>0</v>
      </c>
      <c r="BM709" s="54" t="str">
        <f>IF((BZ709/L709)&lt;0.9,$CO$1-U709,"")</f>
        <v/>
      </c>
      <c r="BN709" s="66">
        <v>46190</v>
      </c>
      <c r="BO709" s="117">
        <v>46195</v>
      </c>
      <c r="BP709" s="39"/>
      <c r="BQ709" s="39"/>
      <c r="BR709" s="229">
        <v>46204</v>
      </c>
      <c r="BS709" s="229">
        <v>46205</v>
      </c>
      <c r="BT709" s="39" t="s">
        <v>1316</v>
      </c>
      <c r="BU709" s="39">
        <f>224+576+58+60+380</f>
        <v>1298</v>
      </c>
      <c r="BV709" s="39"/>
      <c r="BW709" s="39"/>
      <c r="BX709" s="39"/>
      <c r="BY709" s="39"/>
      <c r="BZ709" s="39">
        <f t="shared" si="770"/>
        <v>1298</v>
      </c>
      <c r="CA709" s="39">
        <f>BU709-I709</f>
        <v>-23</v>
      </c>
      <c r="CB709" s="39">
        <f>BW709-J709</f>
        <v>0</v>
      </c>
      <c r="CC709" s="39">
        <f>BY709-K709</f>
        <v>0</v>
      </c>
      <c r="CD709" s="39">
        <v>0</v>
      </c>
      <c r="CE709" s="102">
        <f>CD709/L709</f>
        <v>0</v>
      </c>
      <c r="CF709" s="36"/>
      <c r="CG709" s="39" t="s">
        <v>235</v>
      </c>
      <c r="CH709" s="39"/>
      <c r="CI709" s="25">
        <v>2</v>
      </c>
    </row>
    <row r="710" spans="1:88" ht="24.75" customHeight="1">
      <c r="A710" s="36" t="s">
        <v>85</v>
      </c>
      <c r="B710" s="55" t="s">
        <v>889</v>
      </c>
      <c r="C710" s="228"/>
      <c r="D710" s="36" t="s">
        <v>24</v>
      </c>
      <c r="E710" s="39">
        <v>200</v>
      </c>
      <c r="F710" s="39" t="s">
        <v>58</v>
      </c>
      <c r="G710" s="36" t="s">
        <v>797</v>
      </c>
      <c r="H710" s="36" t="s">
        <v>210</v>
      </c>
      <c r="I710" s="39">
        <v>419</v>
      </c>
      <c r="J710" s="39"/>
      <c r="K710" s="39"/>
      <c r="L710" s="39">
        <f t="shared" si="821"/>
        <v>419</v>
      </c>
      <c r="M710" s="117">
        <v>46181</v>
      </c>
      <c r="N710" s="117">
        <v>46192</v>
      </c>
      <c r="O710" s="39"/>
      <c r="P710" s="39"/>
      <c r="Q710" s="39"/>
      <c r="R710" s="39">
        <f>SUM(O710:Q710)</f>
        <v>0</v>
      </c>
      <c r="S710" s="39" t="s">
        <v>130</v>
      </c>
      <c r="T710" s="39" t="s">
        <v>1279</v>
      </c>
      <c r="U710" s="117">
        <v>46203</v>
      </c>
      <c r="V710" s="39"/>
      <c r="W710" s="39"/>
      <c r="X710" s="39"/>
      <c r="Y710" s="39">
        <f>371+71</f>
        <v>442</v>
      </c>
      <c r="Z710" s="39"/>
      <c r="AA710" s="39"/>
      <c r="AB710" s="119">
        <f>SUM(Y710:AA710)</f>
        <v>442</v>
      </c>
      <c r="AC710" s="39"/>
      <c r="AD710" s="39"/>
      <c r="AE710" s="39"/>
      <c r="AF710" s="39"/>
      <c r="AG710" s="39"/>
      <c r="AH710" s="39">
        <f t="shared" si="768"/>
        <v>0</v>
      </c>
      <c r="AI710" s="39"/>
      <c r="AJ710" s="39"/>
      <c r="AK710" s="39"/>
      <c r="AL710" s="39"/>
      <c r="AM710" s="39"/>
      <c r="AN710" s="39">
        <f>AM710-AK710</f>
        <v>0</v>
      </c>
      <c r="AO710" s="39"/>
      <c r="AP710" s="39"/>
      <c r="AQ710" s="39"/>
      <c r="AR710" s="39"/>
      <c r="AS710" s="39"/>
      <c r="AT710" s="39">
        <f>AS710-AQ710</f>
        <v>0</v>
      </c>
      <c r="AU710" s="39"/>
      <c r="AV710" s="39"/>
      <c r="AW710" s="39"/>
      <c r="AX710" s="39"/>
      <c r="AY710" s="39"/>
      <c r="AZ710" s="39">
        <f>AY710-AW710</f>
        <v>0</v>
      </c>
      <c r="BA710" s="39"/>
      <c r="BB710" s="39"/>
      <c r="BC710" s="39"/>
      <c r="BD710" s="39"/>
      <c r="BE710" s="39"/>
      <c r="BF710" s="39">
        <f>BE710-BC710</f>
        <v>0</v>
      </c>
      <c r="BG710" s="39"/>
      <c r="BH710" s="39"/>
      <c r="BI710" s="39"/>
      <c r="BJ710" s="39"/>
      <c r="BK710" s="39"/>
      <c r="BL710" s="39">
        <f t="shared" si="769"/>
        <v>0</v>
      </c>
      <c r="BM710" s="54" t="str">
        <f>IF((BZ710/L710)&lt;0.9,$CO$1-U710,"")</f>
        <v/>
      </c>
      <c r="BN710" s="66">
        <v>46190</v>
      </c>
      <c r="BO710" s="117">
        <v>46195</v>
      </c>
      <c r="BP710" s="39"/>
      <c r="BQ710" s="39"/>
      <c r="BR710" s="230"/>
      <c r="BS710" s="230"/>
      <c r="BT710" s="39">
        <v>2005</v>
      </c>
      <c r="BU710" s="39">
        <f>67+349</f>
        <v>416</v>
      </c>
      <c r="BV710" s="39"/>
      <c r="BW710" s="39"/>
      <c r="BX710" s="39"/>
      <c r="BY710" s="39"/>
      <c r="BZ710" s="39">
        <f t="shared" si="770"/>
        <v>416</v>
      </c>
      <c r="CA710" s="39">
        <f t="shared" ref="CA710:CA711" si="824">BU710-I710</f>
        <v>-3</v>
      </c>
      <c r="CB710" s="39">
        <f t="shared" ref="CB710:CB711" si="825">BW710-J710</f>
        <v>0</v>
      </c>
      <c r="CC710" s="39">
        <f t="shared" ref="CC710:CC711" si="826">BY710-K710</f>
        <v>0</v>
      </c>
      <c r="CD710" s="39">
        <v>0</v>
      </c>
      <c r="CE710" s="102">
        <f t="shared" ref="CE710:CE711" si="827">CD710/L710</f>
        <v>0</v>
      </c>
      <c r="CF710" s="36"/>
      <c r="CG710" s="39" t="s">
        <v>235</v>
      </c>
      <c r="CH710" s="39"/>
      <c r="CI710" s="25">
        <v>2</v>
      </c>
    </row>
    <row r="711" spans="1:88" ht="34.5" customHeight="1">
      <c r="A711" s="36" t="s">
        <v>85</v>
      </c>
      <c r="B711" s="55" t="s">
        <v>892</v>
      </c>
      <c r="C711" s="36" t="s">
        <v>777</v>
      </c>
      <c r="D711" s="36" t="s">
        <v>24</v>
      </c>
      <c r="E711" s="39">
        <v>180</v>
      </c>
      <c r="F711" s="39" t="s">
        <v>58</v>
      </c>
      <c r="G711" s="36" t="s">
        <v>891</v>
      </c>
      <c r="H711" s="36" t="s">
        <v>87</v>
      </c>
      <c r="I711" s="39">
        <v>178</v>
      </c>
      <c r="J711" s="39"/>
      <c r="K711" s="39">
        <v>18</v>
      </c>
      <c r="L711" s="39">
        <f t="shared" si="821"/>
        <v>196</v>
      </c>
      <c r="M711" s="117">
        <v>46184</v>
      </c>
      <c r="N711" s="117">
        <v>46189</v>
      </c>
      <c r="O711" s="39"/>
      <c r="P711" s="39"/>
      <c r="Q711" s="39"/>
      <c r="R711" s="39">
        <f t="shared" ref="R711" si="828">SUM(O711:Q711)</f>
        <v>0</v>
      </c>
      <c r="S711" s="39" t="s">
        <v>130</v>
      </c>
      <c r="T711" s="39">
        <v>107303</v>
      </c>
      <c r="U711" s="117">
        <v>46202</v>
      </c>
      <c r="V711" s="39"/>
      <c r="W711" s="39"/>
      <c r="X711" s="39"/>
      <c r="Y711" s="39">
        <v>225</v>
      </c>
      <c r="Z711" s="39"/>
      <c r="AA711" s="39">
        <v>22</v>
      </c>
      <c r="AB711" s="119">
        <f t="shared" ref="AB711" si="829">SUM(Y711:AA711)</f>
        <v>247</v>
      </c>
      <c r="AC711" s="39"/>
      <c r="AD711" s="39"/>
      <c r="AE711" s="39"/>
      <c r="AF711" s="39"/>
      <c r="AG711" s="39"/>
      <c r="AH711" s="39">
        <f t="shared" si="768"/>
        <v>0</v>
      </c>
      <c r="AI711" s="39"/>
      <c r="AJ711" s="39"/>
      <c r="AK711" s="39"/>
      <c r="AL711" s="39"/>
      <c r="AM711" s="39"/>
      <c r="AN711" s="39">
        <f t="shared" ref="AN711" si="830">AM711-AK711</f>
        <v>0</v>
      </c>
      <c r="AO711" s="39"/>
      <c r="AP711" s="39"/>
      <c r="AQ711" s="39"/>
      <c r="AR711" s="39"/>
      <c r="AS711" s="39"/>
      <c r="AT711" s="39">
        <f t="shared" ref="AT711" si="831">AS711-AQ711</f>
        <v>0</v>
      </c>
      <c r="AU711" s="39"/>
      <c r="AV711" s="39"/>
      <c r="AW711" s="39"/>
      <c r="AX711" s="39"/>
      <c r="AY711" s="39"/>
      <c r="AZ711" s="39">
        <f t="shared" ref="AZ711" si="832">AY711-AW711</f>
        <v>0</v>
      </c>
      <c r="BA711" s="39"/>
      <c r="BB711" s="39"/>
      <c r="BC711" s="39"/>
      <c r="BD711" s="39"/>
      <c r="BE711" s="39"/>
      <c r="BF711" s="39">
        <f t="shared" ref="BF711" si="833">BE711-BC711</f>
        <v>0</v>
      </c>
      <c r="BG711" s="39"/>
      <c r="BH711" s="39"/>
      <c r="BI711" s="39"/>
      <c r="BJ711" s="39"/>
      <c r="BK711" s="39"/>
      <c r="BL711" s="39">
        <f t="shared" si="769"/>
        <v>0</v>
      </c>
      <c r="BM711" s="54" t="str">
        <f t="shared" ref="BM711" si="834">IF((BZ711/L711)&lt;0.9,$CO$1-U711,"")</f>
        <v/>
      </c>
      <c r="BN711" s="66">
        <v>46191</v>
      </c>
      <c r="BO711" s="117">
        <v>46196</v>
      </c>
      <c r="BP711" s="39"/>
      <c r="BQ711" s="39"/>
      <c r="BR711" s="50">
        <v>46204</v>
      </c>
      <c r="BS711" s="50">
        <v>46204</v>
      </c>
      <c r="BT711" s="39">
        <v>2002</v>
      </c>
      <c r="BU711" s="39">
        <v>204</v>
      </c>
      <c r="BV711" s="39"/>
      <c r="BW711" s="39"/>
      <c r="BX711" s="39">
        <v>2002</v>
      </c>
      <c r="BY711" s="39">
        <v>26</v>
      </c>
      <c r="BZ711" s="39">
        <f t="shared" si="770"/>
        <v>230</v>
      </c>
      <c r="CA711" s="39">
        <f t="shared" si="824"/>
        <v>26</v>
      </c>
      <c r="CB711" s="39">
        <f t="shared" si="825"/>
        <v>0</v>
      </c>
      <c r="CC711" s="39">
        <f t="shared" si="826"/>
        <v>8</v>
      </c>
      <c r="CD711" s="39">
        <f t="shared" si="771"/>
        <v>0</v>
      </c>
      <c r="CE711" s="102">
        <f t="shared" si="827"/>
        <v>0</v>
      </c>
      <c r="CF711" s="36"/>
      <c r="CG711" s="39" t="s">
        <v>235</v>
      </c>
      <c r="CH711" s="39"/>
      <c r="CI711" s="25">
        <v>2</v>
      </c>
    </row>
    <row r="712" spans="1:88" ht="24.75" customHeight="1">
      <c r="A712" s="36" t="s">
        <v>85</v>
      </c>
      <c r="B712" s="55" t="s">
        <v>1011</v>
      </c>
      <c r="C712" s="227" t="s">
        <v>1012</v>
      </c>
      <c r="D712" s="36" t="s">
        <v>24</v>
      </c>
      <c r="E712" s="39">
        <v>180</v>
      </c>
      <c r="F712" s="39" t="s">
        <v>58</v>
      </c>
      <c r="G712" s="36" t="s">
        <v>797</v>
      </c>
      <c r="H712" s="39" t="s">
        <v>87</v>
      </c>
      <c r="I712" s="39">
        <v>30</v>
      </c>
      <c r="J712" s="39"/>
      <c r="K712" s="39">
        <v>5</v>
      </c>
      <c r="L712" s="39">
        <f t="shared" si="785"/>
        <v>35</v>
      </c>
      <c r="M712" s="117">
        <v>46191</v>
      </c>
      <c r="N712" s="117">
        <v>46192</v>
      </c>
      <c r="O712" s="39"/>
      <c r="P712" s="39"/>
      <c r="Q712" s="39"/>
      <c r="R712" s="39">
        <f t="shared" si="786"/>
        <v>0</v>
      </c>
      <c r="S712" s="39" t="s">
        <v>130</v>
      </c>
      <c r="T712" s="39">
        <v>107327</v>
      </c>
      <c r="U712" s="117">
        <v>46203</v>
      </c>
      <c r="V712" s="39"/>
      <c r="W712" s="39"/>
      <c r="X712" s="39"/>
      <c r="Y712" s="39">
        <v>34</v>
      </c>
      <c r="Z712" s="39"/>
      <c r="AA712" s="39">
        <v>6</v>
      </c>
      <c r="AB712" s="119">
        <f t="shared" si="787"/>
        <v>40</v>
      </c>
      <c r="AC712" s="39"/>
      <c r="AD712" s="39"/>
      <c r="AE712" s="39"/>
      <c r="AF712" s="39"/>
      <c r="AG712" s="39"/>
      <c r="AH712" s="39">
        <f t="shared" si="768"/>
        <v>0</v>
      </c>
      <c r="AI712" s="39"/>
      <c r="AJ712" s="39"/>
      <c r="AK712" s="39"/>
      <c r="AL712" s="39"/>
      <c r="AM712" s="39"/>
      <c r="AN712" s="39">
        <f t="shared" si="812"/>
        <v>0</v>
      </c>
      <c r="AO712" s="39"/>
      <c r="AP712" s="39"/>
      <c r="AQ712" s="39"/>
      <c r="AR712" s="39"/>
      <c r="AS712" s="39"/>
      <c r="AT712" s="39">
        <f t="shared" si="813"/>
        <v>0</v>
      </c>
      <c r="AU712" s="39"/>
      <c r="AV712" s="39"/>
      <c r="AW712" s="39"/>
      <c r="AX712" s="39"/>
      <c r="AY712" s="39"/>
      <c r="AZ712" s="39">
        <f t="shared" si="814"/>
        <v>0</v>
      </c>
      <c r="BA712" s="39"/>
      <c r="BB712" s="39"/>
      <c r="BC712" s="39"/>
      <c r="BD712" s="39"/>
      <c r="BE712" s="39"/>
      <c r="BF712" s="39">
        <f t="shared" si="815"/>
        <v>0</v>
      </c>
      <c r="BG712" s="39"/>
      <c r="BH712" s="39"/>
      <c r="BI712" s="39"/>
      <c r="BJ712" s="39"/>
      <c r="BK712" s="39"/>
      <c r="BL712" s="39">
        <f t="shared" si="769"/>
        <v>0</v>
      </c>
      <c r="BM712" s="54" t="str">
        <f t="shared" si="816"/>
        <v/>
      </c>
      <c r="BN712" s="66">
        <v>46193</v>
      </c>
      <c r="BO712" s="117">
        <v>46196</v>
      </c>
      <c r="BP712" s="39"/>
      <c r="BQ712" s="39"/>
      <c r="BR712" s="233">
        <v>46205</v>
      </c>
      <c r="BS712" s="256"/>
      <c r="BT712" s="39">
        <v>2007</v>
      </c>
      <c r="BU712" s="39">
        <v>37</v>
      </c>
      <c r="BV712" s="39"/>
      <c r="BW712" s="39"/>
      <c r="BX712" s="39"/>
      <c r="BY712" s="39"/>
      <c r="BZ712" s="39">
        <f t="shared" si="770"/>
        <v>37</v>
      </c>
      <c r="CA712" s="39">
        <f t="shared" si="817"/>
        <v>7</v>
      </c>
      <c r="CB712" s="39">
        <f t="shared" si="818"/>
        <v>0</v>
      </c>
      <c r="CC712" s="39">
        <f t="shared" si="819"/>
        <v>-5</v>
      </c>
      <c r="CD712" s="39">
        <f t="shared" si="771"/>
        <v>-5</v>
      </c>
      <c r="CE712" s="47">
        <f t="shared" si="820"/>
        <v>-0.14285714285714285</v>
      </c>
      <c r="CF712" s="36"/>
      <c r="CG712" s="39" t="s">
        <v>235</v>
      </c>
      <c r="CH712" s="39"/>
      <c r="CI712" s="25">
        <v>2</v>
      </c>
    </row>
    <row r="713" spans="1:88" ht="24.75" customHeight="1">
      <c r="A713" s="36" t="s">
        <v>85</v>
      </c>
      <c r="B713" s="55" t="s">
        <v>1011</v>
      </c>
      <c r="C713" s="228"/>
      <c r="D713" s="36" t="s">
        <v>24</v>
      </c>
      <c r="E713" s="39">
        <v>180</v>
      </c>
      <c r="F713" s="39" t="s">
        <v>58</v>
      </c>
      <c r="G713" s="36" t="s">
        <v>893</v>
      </c>
      <c r="H713" s="39" t="s">
        <v>87</v>
      </c>
      <c r="I713" s="39">
        <v>32</v>
      </c>
      <c r="J713" s="39"/>
      <c r="K713" s="39">
        <v>5</v>
      </c>
      <c r="L713" s="39">
        <f t="shared" si="785"/>
        <v>37</v>
      </c>
      <c r="M713" s="117">
        <v>46191</v>
      </c>
      <c r="N713" s="117">
        <v>46192</v>
      </c>
      <c r="O713" s="39"/>
      <c r="P713" s="39"/>
      <c r="Q713" s="39"/>
      <c r="R713" s="39">
        <f t="shared" si="786"/>
        <v>0</v>
      </c>
      <c r="S713" s="39" t="s">
        <v>130</v>
      </c>
      <c r="T713" s="39"/>
      <c r="U713" s="39"/>
      <c r="V713" s="39"/>
      <c r="W713" s="39"/>
      <c r="X713" s="39"/>
      <c r="Y713" s="39"/>
      <c r="Z713" s="39"/>
      <c r="AA713" s="39"/>
      <c r="AB713" s="118">
        <f t="shared" si="787"/>
        <v>0</v>
      </c>
      <c r="AC713" s="39"/>
      <c r="AD713" s="39"/>
      <c r="AE713" s="39"/>
      <c r="AF713" s="39"/>
      <c r="AG713" s="39"/>
      <c r="AH713" s="39">
        <f t="shared" si="768"/>
        <v>0</v>
      </c>
      <c r="AI713" s="39"/>
      <c r="AJ713" s="39"/>
      <c r="AK713" s="39"/>
      <c r="AL713" s="39"/>
      <c r="AM713" s="39"/>
      <c r="AN713" s="39">
        <f t="shared" si="812"/>
        <v>0</v>
      </c>
      <c r="AO713" s="39"/>
      <c r="AP713" s="39"/>
      <c r="AQ713" s="39"/>
      <c r="AR713" s="39"/>
      <c r="AS713" s="39"/>
      <c r="AT713" s="39">
        <f t="shared" si="813"/>
        <v>0</v>
      </c>
      <c r="AU713" s="39"/>
      <c r="AV713" s="39"/>
      <c r="AW713" s="39"/>
      <c r="AX713" s="39"/>
      <c r="AY713" s="39"/>
      <c r="AZ713" s="39">
        <f t="shared" si="814"/>
        <v>0</v>
      </c>
      <c r="BA713" s="39"/>
      <c r="BB713" s="39"/>
      <c r="BC713" s="39"/>
      <c r="BD713" s="39"/>
      <c r="BE713" s="39"/>
      <c r="BF713" s="39">
        <f t="shared" si="815"/>
        <v>0</v>
      </c>
      <c r="BG713" s="39"/>
      <c r="BH713" s="39"/>
      <c r="BI713" s="39"/>
      <c r="BJ713" s="39"/>
      <c r="BK713" s="39"/>
      <c r="BL713" s="39">
        <f t="shared" si="769"/>
        <v>0</v>
      </c>
      <c r="BM713" s="54">
        <f t="shared" ca="1" si="816"/>
        <v>46283</v>
      </c>
      <c r="BN713" s="66">
        <v>46193</v>
      </c>
      <c r="BO713" s="117">
        <v>46196</v>
      </c>
      <c r="BP713" s="39"/>
      <c r="BQ713" s="39"/>
      <c r="BR713" s="242"/>
      <c r="BS713" s="242"/>
      <c r="BT713" s="39"/>
      <c r="BU713" s="39"/>
      <c r="BV713" s="39"/>
      <c r="BW713" s="39"/>
      <c r="BX713" s="39"/>
      <c r="BY713" s="39"/>
      <c r="BZ713" s="39">
        <f t="shared" si="770"/>
        <v>0</v>
      </c>
      <c r="CA713" s="39">
        <f t="shared" si="817"/>
        <v>-32</v>
      </c>
      <c r="CB713" s="39">
        <f t="shared" si="818"/>
        <v>0</v>
      </c>
      <c r="CC713" s="39">
        <f t="shared" si="819"/>
        <v>-5</v>
      </c>
      <c r="CD713" s="39">
        <f t="shared" si="771"/>
        <v>-37</v>
      </c>
      <c r="CE713" s="47">
        <f t="shared" si="820"/>
        <v>-1</v>
      </c>
      <c r="CF713" s="36"/>
      <c r="CG713" s="39" t="s">
        <v>235</v>
      </c>
      <c r="CH713" s="39"/>
      <c r="CI713" s="25">
        <v>2</v>
      </c>
    </row>
    <row r="714" spans="1:88" ht="24.75" customHeight="1">
      <c r="A714" s="36" t="s">
        <v>85</v>
      </c>
      <c r="B714" s="55"/>
      <c r="C714" s="36"/>
      <c r="D714" s="36"/>
      <c r="E714" s="39"/>
      <c r="F714" s="39"/>
      <c r="G714" s="36"/>
      <c r="H714" s="39"/>
      <c r="I714" s="39"/>
      <c r="J714" s="39"/>
      <c r="K714" s="39"/>
      <c r="L714" s="39">
        <f>SUM(I714:K714)</f>
        <v>0</v>
      </c>
      <c r="M714" s="39"/>
      <c r="N714" s="39"/>
      <c r="O714" s="39"/>
      <c r="P714" s="39"/>
      <c r="Q714" s="39"/>
      <c r="R714" s="39">
        <f>SUM(O714:Q714)</f>
        <v>0</v>
      </c>
      <c r="S714" s="39"/>
      <c r="T714" s="39"/>
      <c r="U714" s="39"/>
      <c r="V714" s="39"/>
      <c r="W714" s="39"/>
      <c r="X714" s="39"/>
      <c r="Y714" s="39"/>
      <c r="Z714" s="39"/>
      <c r="AA714" s="39"/>
      <c r="AB714" s="39">
        <f>SUM(Y714:AA714)</f>
        <v>0</v>
      </c>
      <c r="AC714" s="39"/>
      <c r="AD714" s="39"/>
      <c r="AE714" s="39"/>
      <c r="AF714" s="39"/>
      <c r="AG714" s="39"/>
      <c r="AH714" s="39">
        <f t="shared" si="768"/>
        <v>0</v>
      </c>
      <c r="AI714" s="39"/>
      <c r="AJ714" s="39"/>
      <c r="AK714" s="39"/>
      <c r="AL714" s="39"/>
      <c r="AM714" s="39"/>
      <c r="AN714" s="39">
        <f>AM714-AK714</f>
        <v>0</v>
      </c>
      <c r="AO714" s="39"/>
      <c r="AP714" s="39"/>
      <c r="AQ714" s="39"/>
      <c r="AR714" s="39"/>
      <c r="AS714" s="39"/>
      <c r="AT714" s="39">
        <f>AS714-AQ714</f>
        <v>0</v>
      </c>
      <c r="AU714" s="39"/>
      <c r="AV714" s="39"/>
      <c r="AW714" s="39"/>
      <c r="AX714" s="39"/>
      <c r="AY714" s="39"/>
      <c r="AZ714" s="39">
        <f>AY714-AW714</f>
        <v>0</v>
      </c>
      <c r="BA714" s="39"/>
      <c r="BB714" s="39"/>
      <c r="BC714" s="39"/>
      <c r="BD714" s="39"/>
      <c r="BE714" s="39"/>
      <c r="BF714" s="39">
        <f>BE714-BC714</f>
        <v>0</v>
      </c>
      <c r="BG714" s="39"/>
      <c r="BH714" s="39"/>
      <c r="BI714" s="39"/>
      <c r="BJ714" s="39"/>
      <c r="BK714" s="39"/>
      <c r="BL714" s="39">
        <f t="shared" si="769"/>
        <v>0</v>
      </c>
      <c r="BM714" s="54" t="e">
        <f>IF((BZ714/L714)&lt;0.9,$CO$1-U714,"")</f>
        <v>#DIV/0!</v>
      </c>
      <c r="BN714" s="67"/>
      <c r="BO714" s="39"/>
      <c r="BP714" s="39"/>
      <c r="BQ714" s="39"/>
      <c r="BR714" s="40"/>
      <c r="BS714" s="40"/>
      <c r="BT714" s="39"/>
      <c r="BU714" s="39"/>
      <c r="BV714" s="39"/>
      <c r="BW714" s="39"/>
      <c r="BX714" s="39"/>
      <c r="BY714" s="39"/>
      <c r="BZ714" s="39">
        <f t="shared" si="770"/>
        <v>0</v>
      </c>
      <c r="CA714" s="39">
        <f>BU714-I714</f>
        <v>0</v>
      </c>
      <c r="CB714" s="39">
        <f>BW714-J714</f>
        <v>0</v>
      </c>
      <c r="CC714" s="39">
        <f>BY714-K714</f>
        <v>0</v>
      </c>
      <c r="CD714" s="39">
        <f t="shared" si="771"/>
        <v>0</v>
      </c>
      <c r="CE714" s="47" t="e">
        <f>CD714/L714</f>
        <v>#DIV/0!</v>
      </c>
      <c r="CF714" s="36"/>
      <c r="CG714" s="39"/>
      <c r="CH714" s="39"/>
      <c r="CI714" s="25">
        <v>2</v>
      </c>
    </row>
    <row r="715" spans="1:88" ht="24.75" customHeight="1">
      <c r="A715" s="36" t="s">
        <v>85</v>
      </c>
      <c r="B715" s="55"/>
      <c r="C715" s="36"/>
      <c r="D715" s="36"/>
      <c r="E715" s="39"/>
      <c r="F715" s="39"/>
      <c r="G715" s="36"/>
      <c r="H715" s="39"/>
      <c r="I715" s="39"/>
      <c r="J715" s="39"/>
      <c r="K715" s="39"/>
      <c r="L715" s="39">
        <f t="shared" si="785"/>
        <v>0</v>
      </c>
      <c r="M715" s="39"/>
      <c r="N715" s="39"/>
      <c r="O715" s="39"/>
      <c r="P715" s="39"/>
      <c r="Q715" s="39"/>
      <c r="R715" s="39">
        <f t="shared" si="786"/>
        <v>0</v>
      </c>
      <c r="S715" s="39"/>
      <c r="T715" s="39"/>
      <c r="U715" s="39"/>
      <c r="V715" s="39"/>
      <c r="W715" s="39"/>
      <c r="X715" s="39"/>
      <c r="Y715" s="39"/>
      <c r="Z715" s="39"/>
      <c r="AA715" s="39"/>
      <c r="AB715" s="39">
        <f t="shared" si="787"/>
        <v>0</v>
      </c>
      <c r="AC715" s="39"/>
      <c r="AD715" s="39"/>
      <c r="AE715" s="39"/>
      <c r="AF715" s="39"/>
      <c r="AG715" s="39"/>
      <c r="AH715" s="39">
        <f t="shared" si="768"/>
        <v>0</v>
      </c>
      <c r="AI715" s="39"/>
      <c r="AJ715" s="39"/>
      <c r="AK715" s="39"/>
      <c r="AL715" s="39"/>
      <c r="AM715" s="39"/>
      <c r="AN715" s="39">
        <f t="shared" ref="AN715:AN728" si="835">AM715-AK715</f>
        <v>0</v>
      </c>
      <c r="AO715" s="39"/>
      <c r="AP715" s="39"/>
      <c r="AQ715" s="39"/>
      <c r="AR715" s="39"/>
      <c r="AS715" s="39"/>
      <c r="AT715" s="39">
        <f t="shared" si="813"/>
        <v>0</v>
      </c>
      <c r="AU715" s="39"/>
      <c r="AV715" s="39"/>
      <c r="AW715" s="39"/>
      <c r="AX715" s="39"/>
      <c r="AY715" s="39"/>
      <c r="AZ715" s="39">
        <f t="shared" si="814"/>
        <v>0</v>
      </c>
      <c r="BA715" s="39"/>
      <c r="BB715" s="39"/>
      <c r="BC715" s="39"/>
      <c r="BD715" s="39"/>
      <c r="BE715" s="39"/>
      <c r="BF715" s="39">
        <f t="shared" si="815"/>
        <v>0</v>
      </c>
      <c r="BG715" s="39"/>
      <c r="BH715" s="39"/>
      <c r="BI715" s="39"/>
      <c r="BJ715" s="39"/>
      <c r="BK715" s="39"/>
      <c r="BL715" s="39">
        <f t="shared" si="769"/>
        <v>0</v>
      </c>
      <c r="BM715" s="54" t="e">
        <f t="shared" si="816"/>
        <v>#DIV/0!</v>
      </c>
      <c r="BN715" s="67"/>
      <c r="BO715" s="39"/>
      <c r="BP715" s="39"/>
      <c r="BQ715" s="39"/>
      <c r="BR715" s="40"/>
      <c r="BS715" s="40"/>
      <c r="BT715" s="39"/>
      <c r="BU715" s="39"/>
      <c r="BV715" s="39"/>
      <c r="BW715" s="39"/>
      <c r="BX715" s="39"/>
      <c r="BY715" s="39"/>
      <c r="BZ715" s="39">
        <f t="shared" si="770"/>
        <v>0</v>
      </c>
      <c r="CA715" s="39">
        <f t="shared" si="817"/>
        <v>0</v>
      </c>
      <c r="CB715" s="39">
        <f t="shared" si="818"/>
        <v>0</v>
      </c>
      <c r="CC715" s="39">
        <f t="shared" si="819"/>
        <v>0</v>
      </c>
      <c r="CD715" s="39">
        <f t="shared" si="771"/>
        <v>0</v>
      </c>
      <c r="CE715" s="47" t="e">
        <f t="shared" si="820"/>
        <v>#DIV/0!</v>
      </c>
      <c r="CF715" s="36"/>
      <c r="CG715" s="39"/>
      <c r="CH715" s="39"/>
      <c r="CI715" s="25">
        <v>2</v>
      </c>
    </row>
    <row r="716" spans="1:88" ht="24.75" customHeight="1">
      <c r="A716" s="36" t="s">
        <v>85</v>
      </c>
      <c r="B716" s="55"/>
      <c r="C716" s="36"/>
      <c r="D716" s="36"/>
      <c r="E716" s="39"/>
      <c r="F716" s="39"/>
      <c r="G716" s="36"/>
      <c r="H716" s="39"/>
      <c r="I716" s="39"/>
      <c r="J716" s="39"/>
      <c r="K716" s="39"/>
      <c r="L716" s="39">
        <f t="shared" si="785"/>
        <v>0</v>
      </c>
      <c r="M716" s="39"/>
      <c r="N716" s="39"/>
      <c r="O716" s="39"/>
      <c r="P716" s="39"/>
      <c r="Q716" s="39"/>
      <c r="R716" s="39">
        <f t="shared" si="786"/>
        <v>0</v>
      </c>
      <c r="S716" s="39"/>
      <c r="T716" s="39"/>
      <c r="U716" s="39"/>
      <c r="V716" s="39"/>
      <c r="W716" s="39"/>
      <c r="X716" s="39"/>
      <c r="Y716" s="39"/>
      <c r="Z716" s="39"/>
      <c r="AA716" s="39"/>
      <c r="AB716" s="39">
        <f t="shared" si="787"/>
        <v>0</v>
      </c>
      <c r="AC716" s="39"/>
      <c r="AD716" s="39"/>
      <c r="AE716" s="39"/>
      <c r="AF716" s="39"/>
      <c r="AG716" s="39"/>
      <c r="AH716" s="39">
        <f t="shared" si="768"/>
        <v>0</v>
      </c>
      <c r="AI716" s="39"/>
      <c r="AJ716" s="39"/>
      <c r="AK716" s="39"/>
      <c r="AL716" s="39"/>
      <c r="AM716" s="39"/>
      <c r="AN716" s="39">
        <f t="shared" si="835"/>
        <v>0</v>
      </c>
      <c r="AO716" s="39"/>
      <c r="AP716" s="39"/>
      <c r="AQ716" s="39"/>
      <c r="AR716" s="39"/>
      <c r="AS716" s="39"/>
      <c r="AT716" s="39">
        <f t="shared" si="813"/>
        <v>0</v>
      </c>
      <c r="AU716" s="39"/>
      <c r="AV716" s="39"/>
      <c r="AW716" s="39"/>
      <c r="AX716" s="39"/>
      <c r="AY716" s="39"/>
      <c r="AZ716" s="39">
        <f t="shared" si="814"/>
        <v>0</v>
      </c>
      <c r="BA716" s="39"/>
      <c r="BB716" s="39"/>
      <c r="BC716" s="39"/>
      <c r="BD716" s="39"/>
      <c r="BE716" s="39"/>
      <c r="BF716" s="39">
        <f t="shared" si="815"/>
        <v>0</v>
      </c>
      <c r="BG716" s="39"/>
      <c r="BH716" s="39"/>
      <c r="BI716" s="39"/>
      <c r="BJ716" s="39"/>
      <c r="BK716" s="39"/>
      <c r="BL716" s="39">
        <f t="shared" si="769"/>
        <v>0</v>
      </c>
      <c r="BM716" s="54" t="e">
        <f t="shared" si="816"/>
        <v>#DIV/0!</v>
      </c>
      <c r="BN716" s="67"/>
      <c r="BO716" s="39"/>
      <c r="BP716" s="39"/>
      <c r="BQ716" s="39"/>
      <c r="BR716" s="40"/>
      <c r="BS716" s="40"/>
      <c r="BT716" s="39"/>
      <c r="BU716" s="39"/>
      <c r="BV716" s="39"/>
      <c r="BW716" s="39"/>
      <c r="BX716" s="39"/>
      <c r="BY716" s="39"/>
      <c r="BZ716" s="39">
        <f t="shared" si="770"/>
        <v>0</v>
      </c>
      <c r="CA716" s="39">
        <f t="shared" si="817"/>
        <v>0</v>
      </c>
      <c r="CB716" s="39">
        <f t="shared" si="818"/>
        <v>0</v>
      </c>
      <c r="CC716" s="39">
        <f t="shared" si="819"/>
        <v>0</v>
      </c>
      <c r="CD716" s="39">
        <f t="shared" si="771"/>
        <v>0</v>
      </c>
      <c r="CE716" s="47" t="e">
        <f t="shared" si="820"/>
        <v>#DIV/0!</v>
      </c>
      <c r="CF716" s="36"/>
      <c r="CG716" s="39"/>
      <c r="CH716" s="39"/>
      <c r="CI716" s="25">
        <v>2</v>
      </c>
    </row>
    <row r="717" spans="1:88" ht="24.75" customHeight="1">
      <c r="A717" s="36" t="s">
        <v>85</v>
      </c>
      <c r="B717" s="55">
        <v>47869</v>
      </c>
      <c r="C717" s="227" t="s">
        <v>984</v>
      </c>
      <c r="D717" s="36"/>
      <c r="E717" s="39">
        <v>240</v>
      </c>
      <c r="F717" s="39" t="s">
        <v>64</v>
      </c>
      <c r="G717" s="36" t="s">
        <v>535</v>
      </c>
      <c r="H717" s="39" t="s">
        <v>89</v>
      </c>
      <c r="I717" s="39">
        <v>659</v>
      </c>
      <c r="J717" s="39"/>
      <c r="K717" s="39"/>
      <c r="L717" s="39">
        <f t="shared" ref="L717:L719" si="836">SUM(I717:K717)</f>
        <v>659</v>
      </c>
      <c r="M717" s="117">
        <v>46188</v>
      </c>
      <c r="N717" s="117">
        <v>46193</v>
      </c>
      <c r="O717" s="39"/>
      <c r="P717" s="39"/>
      <c r="Q717" s="39"/>
      <c r="R717" s="39">
        <f t="shared" si="786"/>
        <v>0</v>
      </c>
      <c r="S717" s="39" t="s">
        <v>130</v>
      </c>
      <c r="T717" s="39" t="s">
        <v>1819</v>
      </c>
      <c r="U717" s="117" t="s">
        <v>1818</v>
      </c>
      <c r="V717" s="39"/>
      <c r="W717" s="39"/>
      <c r="X717" s="39"/>
      <c r="Y717" s="39">
        <f>448+309+756</f>
        <v>1513</v>
      </c>
      <c r="Z717" s="39"/>
      <c r="AA717" s="39"/>
      <c r="AB717" s="119">
        <f t="shared" si="787"/>
        <v>1513</v>
      </c>
      <c r="AC717" s="39"/>
      <c r="AD717" s="39"/>
      <c r="AE717" s="39"/>
      <c r="AF717" s="39"/>
      <c r="AG717" s="39"/>
      <c r="AH717" s="39">
        <f t="shared" si="768"/>
        <v>0</v>
      </c>
      <c r="AI717" s="39"/>
      <c r="AJ717" s="39"/>
      <c r="AK717" s="39"/>
      <c r="AL717" s="39"/>
      <c r="AM717" s="39"/>
      <c r="AN717" s="39">
        <f t="shared" si="835"/>
        <v>0</v>
      </c>
      <c r="AO717" s="39"/>
      <c r="AP717" s="39"/>
      <c r="AQ717" s="39"/>
      <c r="AR717" s="39"/>
      <c r="AS717" s="39"/>
      <c r="AT717" s="39">
        <f t="shared" si="813"/>
        <v>0</v>
      </c>
      <c r="AU717" s="39"/>
      <c r="AV717" s="39"/>
      <c r="AW717" s="39"/>
      <c r="AX717" s="39"/>
      <c r="AY717" s="39"/>
      <c r="AZ717" s="39">
        <f t="shared" si="814"/>
        <v>0</v>
      </c>
      <c r="BA717" s="39"/>
      <c r="BB717" s="39"/>
      <c r="BC717" s="39"/>
      <c r="BD717" s="39"/>
      <c r="BE717" s="39"/>
      <c r="BF717" s="39">
        <f t="shared" si="815"/>
        <v>0</v>
      </c>
      <c r="BG717" s="39"/>
      <c r="BH717" s="39"/>
      <c r="BI717" s="39"/>
      <c r="BJ717" s="39"/>
      <c r="BK717" s="39"/>
      <c r="BL717" s="39">
        <f t="shared" si="769"/>
        <v>0</v>
      </c>
      <c r="BM717" s="54" t="str">
        <f t="shared" si="816"/>
        <v/>
      </c>
      <c r="BN717" s="62">
        <v>46198</v>
      </c>
      <c r="BO717" s="117">
        <v>46208</v>
      </c>
      <c r="BP717" s="39"/>
      <c r="BQ717" s="39"/>
      <c r="BR717" s="229">
        <v>46212</v>
      </c>
      <c r="BS717" s="229">
        <v>46227</v>
      </c>
      <c r="BT717" s="39">
        <v>1834</v>
      </c>
      <c r="BU717" s="39">
        <v>681</v>
      </c>
      <c r="BV717" s="39"/>
      <c r="BW717" s="39"/>
      <c r="BX717" s="39"/>
      <c r="BY717" s="39"/>
      <c r="BZ717" s="39">
        <f t="shared" si="770"/>
        <v>681</v>
      </c>
      <c r="CA717" s="39">
        <f t="shared" si="817"/>
        <v>22</v>
      </c>
      <c r="CB717" s="39">
        <f t="shared" si="818"/>
        <v>0</v>
      </c>
      <c r="CC717" s="39">
        <f t="shared" si="819"/>
        <v>0</v>
      </c>
      <c r="CD717" s="39">
        <f t="shared" si="771"/>
        <v>0</v>
      </c>
      <c r="CE717" s="102">
        <f t="shared" si="820"/>
        <v>0</v>
      </c>
      <c r="CF717" s="36"/>
      <c r="CG717" s="39" t="s">
        <v>235</v>
      </c>
      <c r="CH717" s="39"/>
      <c r="CI717" s="25">
        <v>3</v>
      </c>
    </row>
    <row r="718" spans="1:88" ht="24.75" customHeight="1">
      <c r="A718" s="36" t="s">
        <v>85</v>
      </c>
      <c r="B718" s="55">
        <v>47869</v>
      </c>
      <c r="C718" s="228"/>
      <c r="D718" s="36"/>
      <c r="E718" s="39">
        <v>180</v>
      </c>
      <c r="F718" s="39" t="s">
        <v>55</v>
      </c>
      <c r="G718" s="36" t="s">
        <v>21</v>
      </c>
      <c r="H718" s="39" t="s">
        <v>87</v>
      </c>
      <c r="I718" s="39">
        <v>85</v>
      </c>
      <c r="J718" s="39"/>
      <c r="K718" s="39"/>
      <c r="L718" s="39">
        <f t="shared" si="836"/>
        <v>85</v>
      </c>
      <c r="M718" s="117">
        <v>46188</v>
      </c>
      <c r="N718" s="117">
        <v>46193</v>
      </c>
      <c r="O718" s="39"/>
      <c r="P718" s="39"/>
      <c r="Q718" s="39"/>
      <c r="R718" s="39">
        <f t="shared" si="786"/>
        <v>0</v>
      </c>
      <c r="S718" s="39" t="s">
        <v>130</v>
      </c>
      <c r="T718" s="39">
        <v>107440</v>
      </c>
      <c r="U718" s="117">
        <v>46208</v>
      </c>
      <c r="V718" s="39"/>
      <c r="W718" s="39"/>
      <c r="X718" s="39"/>
      <c r="Y718" s="39">
        <v>104</v>
      </c>
      <c r="Z718" s="39"/>
      <c r="AA718" s="39"/>
      <c r="AB718" s="119">
        <f t="shared" si="787"/>
        <v>104</v>
      </c>
      <c r="AC718" s="39"/>
      <c r="AD718" s="39"/>
      <c r="AE718" s="39"/>
      <c r="AF718" s="39"/>
      <c r="AG718" s="39"/>
      <c r="AH718" s="39">
        <f t="shared" si="768"/>
        <v>0</v>
      </c>
      <c r="AI718" s="39"/>
      <c r="AJ718" s="39"/>
      <c r="AK718" s="39"/>
      <c r="AL718" s="39"/>
      <c r="AM718" s="39"/>
      <c r="AN718" s="39">
        <f t="shared" si="835"/>
        <v>0</v>
      </c>
      <c r="AO718" s="39"/>
      <c r="AP718" s="39"/>
      <c r="AQ718" s="39"/>
      <c r="AR718" s="39"/>
      <c r="AS718" s="39"/>
      <c r="AT718" s="39">
        <f t="shared" si="813"/>
        <v>0</v>
      </c>
      <c r="AU718" s="39"/>
      <c r="AV718" s="39"/>
      <c r="AW718" s="39"/>
      <c r="AX718" s="39"/>
      <c r="AY718" s="39"/>
      <c r="AZ718" s="39">
        <f t="shared" si="814"/>
        <v>0</v>
      </c>
      <c r="BA718" s="39"/>
      <c r="BB718" s="39"/>
      <c r="BC718" s="39"/>
      <c r="BD718" s="39"/>
      <c r="BE718" s="39"/>
      <c r="BF718" s="39">
        <f t="shared" si="815"/>
        <v>0</v>
      </c>
      <c r="BG718" s="39"/>
      <c r="BH718" s="39"/>
      <c r="BI718" s="39"/>
      <c r="BJ718" s="39"/>
      <c r="BK718" s="39"/>
      <c r="BL718" s="39">
        <f t="shared" si="769"/>
        <v>0</v>
      </c>
      <c r="BM718" s="54" t="str">
        <f t="shared" si="816"/>
        <v/>
      </c>
      <c r="BN718" s="62">
        <v>46198</v>
      </c>
      <c r="BO718" s="117">
        <v>46208</v>
      </c>
      <c r="BP718" s="39"/>
      <c r="BQ718" s="39"/>
      <c r="BR718" s="230"/>
      <c r="BS718" s="230"/>
      <c r="BT718" s="39">
        <v>1588</v>
      </c>
      <c r="BU718" s="39">
        <v>86</v>
      </c>
      <c r="BV718" s="39"/>
      <c r="BW718" s="39"/>
      <c r="BX718" s="39"/>
      <c r="BY718" s="39"/>
      <c r="BZ718" s="39">
        <f t="shared" si="770"/>
        <v>86</v>
      </c>
      <c r="CA718" s="39">
        <f t="shared" si="817"/>
        <v>1</v>
      </c>
      <c r="CB718" s="39">
        <f t="shared" si="818"/>
        <v>0</v>
      </c>
      <c r="CC718" s="39">
        <f t="shared" si="819"/>
        <v>0</v>
      </c>
      <c r="CD718" s="39">
        <f t="shared" si="771"/>
        <v>0</v>
      </c>
      <c r="CE718" s="102">
        <f t="shared" si="820"/>
        <v>0</v>
      </c>
      <c r="CF718" s="36"/>
      <c r="CG718" s="39" t="s">
        <v>235</v>
      </c>
      <c r="CH718" s="39"/>
      <c r="CI718" s="25">
        <v>3</v>
      </c>
      <c r="CJ718" s="6" t="s">
        <v>19</v>
      </c>
    </row>
    <row r="719" spans="1:88" ht="24.75" customHeight="1">
      <c r="A719" s="36" t="s">
        <v>85</v>
      </c>
      <c r="B719" s="55">
        <v>47870</v>
      </c>
      <c r="C719" s="227" t="s">
        <v>1010</v>
      </c>
      <c r="D719" s="36"/>
      <c r="E719" s="39">
        <v>200</v>
      </c>
      <c r="F719" s="39" t="s">
        <v>59</v>
      </c>
      <c r="G719" s="36" t="s">
        <v>307</v>
      </c>
      <c r="H719" s="39" t="s">
        <v>96</v>
      </c>
      <c r="I719" s="39">
        <f>159+35</f>
        <v>194</v>
      </c>
      <c r="J719" s="39"/>
      <c r="K719" s="39"/>
      <c r="L719" s="39">
        <f t="shared" si="836"/>
        <v>194</v>
      </c>
      <c r="M719" s="117">
        <v>46191</v>
      </c>
      <c r="N719" s="117">
        <v>46195</v>
      </c>
      <c r="O719" s="39"/>
      <c r="P719" s="39"/>
      <c r="Q719" s="39"/>
      <c r="R719" s="39">
        <f t="shared" si="786"/>
        <v>0</v>
      </c>
      <c r="S719" s="39" t="s">
        <v>130</v>
      </c>
      <c r="T719" s="39">
        <v>107572</v>
      </c>
      <c r="U719" s="117">
        <v>46212</v>
      </c>
      <c r="V719" s="39"/>
      <c r="W719" s="39"/>
      <c r="X719" s="39"/>
      <c r="Y719" s="39">
        <v>223</v>
      </c>
      <c r="Z719" s="39"/>
      <c r="AA719" s="39"/>
      <c r="AB719" s="119">
        <f t="shared" si="787"/>
        <v>223</v>
      </c>
      <c r="AC719" s="39"/>
      <c r="AD719" s="39"/>
      <c r="AE719" s="39"/>
      <c r="AF719" s="39"/>
      <c r="AG719" s="39"/>
      <c r="AH719" s="39">
        <f t="shared" si="768"/>
        <v>0</v>
      </c>
      <c r="AI719" s="39"/>
      <c r="AJ719" s="39"/>
      <c r="AK719" s="39"/>
      <c r="AL719" s="39"/>
      <c r="AM719" s="39"/>
      <c r="AN719" s="39">
        <f t="shared" si="835"/>
        <v>0</v>
      </c>
      <c r="AO719" s="39"/>
      <c r="AP719" s="39"/>
      <c r="AQ719" s="39"/>
      <c r="AR719" s="39"/>
      <c r="AS719" s="39"/>
      <c r="AT719" s="39">
        <f t="shared" si="813"/>
        <v>0</v>
      </c>
      <c r="AU719" s="39"/>
      <c r="AV719" s="39"/>
      <c r="AW719" s="39"/>
      <c r="AX719" s="39"/>
      <c r="AY719" s="39"/>
      <c r="AZ719" s="39">
        <f t="shared" si="814"/>
        <v>0</v>
      </c>
      <c r="BA719" s="39"/>
      <c r="BB719" s="39"/>
      <c r="BC719" s="39"/>
      <c r="BD719" s="39"/>
      <c r="BE719" s="39"/>
      <c r="BF719" s="39">
        <f t="shared" si="815"/>
        <v>0</v>
      </c>
      <c r="BG719" s="39"/>
      <c r="BH719" s="39"/>
      <c r="BI719" s="39"/>
      <c r="BJ719" s="39"/>
      <c r="BK719" s="39"/>
      <c r="BL719" s="39">
        <f t="shared" si="769"/>
        <v>0</v>
      </c>
      <c r="BM719" s="54" t="str">
        <f t="shared" si="816"/>
        <v/>
      </c>
      <c r="BN719" s="62">
        <v>46198</v>
      </c>
      <c r="BO719" s="117">
        <v>46209</v>
      </c>
      <c r="BP719" s="39"/>
      <c r="BQ719" s="39"/>
      <c r="BR719" s="229">
        <v>46218</v>
      </c>
      <c r="BS719" s="229">
        <v>46225</v>
      </c>
      <c r="BT719" s="39">
        <v>1802</v>
      </c>
      <c r="BU719" s="39">
        <f>188</f>
        <v>188</v>
      </c>
      <c r="BV719" s="39"/>
      <c r="BW719" s="39"/>
      <c r="BX719" s="39"/>
      <c r="BY719" s="39"/>
      <c r="BZ719" s="39">
        <f t="shared" si="770"/>
        <v>188</v>
      </c>
      <c r="CA719" s="39">
        <f t="shared" si="817"/>
        <v>-6</v>
      </c>
      <c r="CB719" s="39">
        <f t="shared" si="818"/>
        <v>0</v>
      </c>
      <c r="CC719" s="39">
        <f t="shared" si="819"/>
        <v>0</v>
      </c>
      <c r="CD719" s="39">
        <v>0</v>
      </c>
      <c r="CE719" s="102">
        <f t="shared" si="820"/>
        <v>0</v>
      </c>
      <c r="CF719" s="36"/>
      <c r="CG719" s="39" t="s">
        <v>235</v>
      </c>
      <c r="CH719" s="39"/>
      <c r="CI719" s="25">
        <v>3</v>
      </c>
    </row>
    <row r="720" spans="1:88" ht="24.75" customHeight="1">
      <c r="A720" s="36" t="s">
        <v>85</v>
      </c>
      <c r="B720" s="55">
        <v>47870</v>
      </c>
      <c r="C720" s="228"/>
      <c r="D720" s="36"/>
      <c r="E720" s="39">
        <v>200</v>
      </c>
      <c r="F720" s="39" t="s">
        <v>59</v>
      </c>
      <c r="G720" s="36" t="s">
        <v>593</v>
      </c>
      <c r="H720" s="39" t="s">
        <v>96</v>
      </c>
      <c r="I720" s="39">
        <f>367+45</f>
        <v>412</v>
      </c>
      <c r="J720" s="39"/>
      <c r="K720" s="39"/>
      <c r="L720" s="39">
        <f>SUM(I720:K720)</f>
        <v>412</v>
      </c>
      <c r="M720" s="117">
        <v>46191</v>
      </c>
      <c r="N720" s="117">
        <v>46195</v>
      </c>
      <c r="O720" s="39"/>
      <c r="P720" s="39"/>
      <c r="Q720" s="39"/>
      <c r="R720" s="39">
        <f t="shared" ref="R720:R724" si="837">SUM(O720:Q720)</f>
        <v>0</v>
      </c>
      <c r="S720" s="39" t="s">
        <v>130</v>
      </c>
      <c r="T720" s="39" t="s">
        <v>2056</v>
      </c>
      <c r="U720" s="117" t="s">
        <v>2057</v>
      </c>
      <c r="V720" s="39"/>
      <c r="W720" s="39"/>
      <c r="X720" s="39"/>
      <c r="Y720" s="39">
        <f>459+19</f>
        <v>478</v>
      </c>
      <c r="Z720" s="39"/>
      <c r="AA720" s="39"/>
      <c r="AB720" s="119">
        <f t="shared" ref="AB720:AB726" si="838">SUM(Y720:AA720)</f>
        <v>478</v>
      </c>
      <c r="AC720" s="39"/>
      <c r="AD720" s="39"/>
      <c r="AE720" s="39"/>
      <c r="AF720" s="39"/>
      <c r="AG720" s="39"/>
      <c r="AH720" s="39">
        <f t="shared" si="768"/>
        <v>0</v>
      </c>
      <c r="AI720" s="39"/>
      <c r="AJ720" s="39"/>
      <c r="AK720" s="39"/>
      <c r="AL720" s="39"/>
      <c r="AM720" s="39"/>
      <c r="AN720" s="39">
        <f t="shared" si="835"/>
        <v>0</v>
      </c>
      <c r="AO720" s="39"/>
      <c r="AP720" s="39"/>
      <c r="AQ720" s="39"/>
      <c r="AR720" s="39"/>
      <c r="AS720" s="39"/>
      <c r="AT720" s="39">
        <f t="shared" si="813"/>
        <v>0</v>
      </c>
      <c r="AU720" s="39"/>
      <c r="AV720" s="39"/>
      <c r="AW720" s="39"/>
      <c r="AX720" s="39"/>
      <c r="AY720" s="39"/>
      <c r="AZ720" s="39">
        <f t="shared" si="814"/>
        <v>0</v>
      </c>
      <c r="BA720" s="39"/>
      <c r="BB720" s="39"/>
      <c r="BC720" s="39"/>
      <c r="BD720" s="39"/>
      <c r="BE720" s="39"/>
      <c r="BF720" s="39">
        <f t="shared" si="815"/>
        <v>0</v>
      </c>
      <c r="BG720" s="39"/>
      <c r="BH720" s="39"/>
      <c r="BI720" s="39"/>
      <c r="BJ720" s="39"/>
      <c r="BK720" s="39"/>
      <c r="BL720" s="39">
        <f t="shared" si="769"/>
        <v>0</v>
      </c>
      <c r="BM720" s="54" t="str">
        <f t="shared" si="816"/>
        <v/>
      </c>
      <c r="BN720" s="62">
        <v>46198</v>
      </c>
      <c r="BO720" s="117">
        <v>46209</v>
      </c>
      <c r="BP720" s="39"/>
      <c r="BQ720" s="39"/>
      <c r="BR720" s="230"/>
      <c r="BS720" s="230"/>
      <c r="BT720" s="39" t="s">
        <v>2098</v>
      </c>
      <c r="BU720" s="39">
        <f>22+300+81+7+8</f>
        <v>418</v>
      </c>
      <c r="BV720" s="39"/>
      <c r="BW720" s="39"/>
      <c r="BX720" s="39"/>
      <c r="BY720" s="39"/>
      <c r="BZ720" s="39">
        <f t="shared" si="770"/>
        <v>418</v>
      </c>
      <c r="CA720" s="39">
        <f>BU720-I720</f>
        <v>6</v>
      </c>
      <c r="CB720" s="39">
        <f>BW720-J720</f>
        <v>0</v>
      </c>
      <c r="CC720" s="39">
        <f>BY720-K720</f>
        <v>0</v>
      </c>
      <c r="CD720" s="39">
        <v>0</v>
      </c>
      <c r="CE720" s="102">
        <f>CD720/L720</f>
        <v>0</v>
      </c>
      <c r="CF720" s="36"/>
      <c r="CG720" s="39" t="s">
        <v>235</v>
      </c>
      <c r="CH720" s="39" t="s">
        <v>543</v>
      </c>
      <c r="CI720" s="25">
        <v>3</v>
      </c>
    </row>
    <row r="721" spans="1:88" ht="24.75" customHeight="1">
      <c r="A721" s="36" t="s">
        <v>85</v>
      </c>
      <c r="B721" s="55">
        <v>47936</v>
      </c>
      <c r="C721" s="227" t="s">
        <v>1059</v>
      </c>
      <c r="D721" s="36"/>
      <c r="E721" s="39">
        <v>180</v>
      </c>
      <c r="F721" s="39" t="s">
        <v>57</v>
      </c>
      <c r="G721" s="36" t="s">
        <v>417</v>
      </c>
      <c r="H721" s="39" t="s">
        <v>87</v>
      </c>
      <c r="I721" s="39">
        <v>873</v>
      </c>
      <c r="J721" s="39"/>
      <c r="K721" s="39"/>
      <c r="L721" s="39">
        <f t="shared" ref="L721:L723" si="839">SUM(I721:K721)</f>
        <v>873</v>
      </c>
      <c r="M721" s="117">
        <v>46193</v>
      </c>
      <c r="N721" s="117">
        <v>46200</v>
      </c>
      <c r="O721" s="39"/>
      <c r="P721" s="39"/>
      <c r="Q721" s="39"/>
      <c r="R721" s="39">
        <f t="shared" si="837"/>
        <v>0</v>
      </c>
      <c r="S721" s="39" t="s">
        <v>130</v>
      </c>
      <c r="T721" s="39">
        <v>107558</v>
      </c>
      <c r="U721" s="117">
        <v>46210</v>
      </c>
      <c r="V721" s="39"/>
      <c r="W721" s="39"/>
      <c r="X721" s="39"/>
      <c r="Y721" s="39">
        <v>1010</v>
      </c>
      <c r="Z721" s="39"/>
      <c r="AA721" s="39"/>
      <c r="AB721" s="119">
        <f t="shared" si="838"/>
        <v>1010</v>
      </c>
      <c r="AC721" s="39"/>
      <c r="AD721" s="39"/>
      <c r="AE721" s="39"/>
      <c r="AF721" s="39"/>
      <c r="AG721" s="39"/>
      <c r="AH721" s="39">
        <f t="shared" si="768"/>
        <v>0</v>
      </c>
      <c r="AI721" s="39"/>
      <c r="AJ721" s="39"/>
      <c r="AK721" s="39"/>
      <c r="AL721" s="39"/>
      <c r="AM721" s="39"/>
      <c r="AN721" s="39">
        <f t="shared" si="835"/>
        <v>0</v>
      </c>
      <c r="AO721" s="39"/>
      <c r="AP721" s="39"/>
      <c r="AQ721" s="39"/>
      <c r="AR721" s="39"/>
      <c r="AS721" s="39"/>
      <c r="AT721" s="39">
        <f t="shared" si="813"/>
        <v>0</v>
      </c>
      <c r="AU721" s="39"/>
      <c r="AV721" s="39"/>
      <c r="AW721" s="39"/>
      <c r="AX721" s="39"/>
      <c r="AY721" s="39"/>
      <c r="AZ721" s="39">
        <f t="shared" si="814"/>
        <v>0</v>
      </c>
      <c r="BA721" s="39"/>
      <c r="BB721" s="39"/>
      <c r="BC721" s="39"/>
      <c r="BD721" s="39"/>
      <c r="BE721" s="39"/>
      <c r="BF721" s="39">
        <f t="shared" si="815"/>
        <v>0</v>
      </c>
      <c r="BG721" s="39"/>
      <c r="BH721" s="39"/>
      <c r="BI721" s="39"/>
      <c r="BJ721" s="39"/>
      <c r="BK721" s="39"/>
      <c r="BL721" s="39">
        <f t="shared" si="769"/>
        <v>0</v>
      </c>
      <c r="BM721" s="54" t="str">
        <f t="shared" si="816"/>
        <v/>
      </c>
      <c r="BN721" s="62">
        <v>46200</v>
      </c>
      <c r="BO721" s="117">
        <v>46211</v>
      </c>
      <c r="BP721" s="39"/>
      <c r="BQ721" s="39"/>
      <c r="BR721" s="229">
        <v>46212</v>
      </c>
      <c r="BS721" s="229">
        <v>46221</v>
      </c>
      <c r="BT721" s="39" t="s">
        <v>1798</v>
      </c>
      <c r="BU721" s="39">
        <f>756+45+79+27</f>
        <v>907</v>
      </c>
      <c r="BV721" s="39"/>
      <c r="BW721" s="39"/>
      <c r="BX721" s="39"/>
      <c r="BY721" s="39"/>
      <c r="BZ721" s="39">
        <f t="shared" si="770"/>
        <v>907</v>
      </c>
      <c r="CA721" s="39">
        <f t="shared" ref="CA721:CA723" si="840">BU721-I721</f>
        <v>34</v>
      </c>
      <c r="CB721" s="39">
        <f t="shared" ref="CB721:CB723" si="841">BW721-J721</f>
        <v>0</v>
      </c>
      <c r="CC721" s="39">
        <f t="shared" ref="CC721:CC723" si="842">BY721-K721</f>
        <v>0</v>
      </c>
      <c r="CD721" s="39">
        <f t="shared" si="771"/>
        <v>0</v>
      </c>
      <c r="CE721" s="102">
        <f t="shared" ref="CE721:CE723" si="843">CD721/L721</f>
        <v>0</v>
      </c>
      <c r="CF721" s="36"/>
      <c r="CG721" s="39" t="s">
        <v>235</v>
      </c>
      <c r="CH721" s="39" t="s">
        <v>1513</v>
      </c>
      <c r="CI721" s="25">
        <v>3</v>
      </c>
    </row>
    <row r="722" spans="1:88" ht="24.75" customHeight="1">
      <c r="A722" s="36" t="s">
        <v>85</v>
      </c>
      <c r="B722" s="55">
        <v>47936</v>
      </c>
      <c r="C722" s="231"/>
      <c r="D722" s="36"/>
      <c r="E722" s="39">
        <v>180</v>
      </c>
      <c r="F722" s="39" t="s">
        <v>57</v>
      </c>
      <c r="G722" s="36" t="s">
        <v>448</v>
      </c>
      <c r="H722" s="39" t="s">
        <v>87</v>
      </c>
      <c r="I722" s="39">
        <v>449</v>
      </c>
      <c r="J722" s="39"/>
      <c r="K722" s="39"/>
      <c r="L722" s="39">
        <f t="shared" si="839"/>
        <v>449</v>
      </c>
      <c r="M722" s="117">
        <v>46193</v>
      </c>
      <c r="N722" s="117">
        <v>46200</v>
      </c>
      <c r="O722" s="39"/>
      <c r="P722" s="39"/>
      <c r="Q722" s="39"/>
      <c r="R722" s="39">
        <f t="shared" si="837"/>
        <v>0</v>
      </c>
      <c r="S722" s="39" t="s">
        <v>130</v>
      </c>
      <c r="T722" s="39">
        <v>107475</v>
      </c>
      <c r="U722" s="117">
        <v>46209</v>
      </c>
      <c r="V722" s="39"/>
      <c r="W722" s="39"/>
      <c r="X722" s="39"/>
      <c r="Y722" s="39">
        <v>518</v>
      </c>
      <c r="Z722" s="39"/>
      <c r="AA722" s="39"/>
      <c r="AB722" s="119">
        <f t="shared" si="838"/>
        <v>518</v>
      </c>
      <c r="AC722" s="39"/>
      <c r="AD722" s="39"/>
      <c r="AE722" s="39"/>
      <c r="AF722" s="39"/>
      <c r="AG722" s="39"/>
      <c r="AH722" s="39">
        <f t="shared" si="768"/>
        <v>0</v>
      </c>
      <c r="AI722" s="39"/>
      <c r="AJ722" s="39"/>
      <c r="AK722" s="39"/>
      <c r="AL722" s="39"/>
      <c r="AM722" s="39"/>
      <c r="AN722" s="39">
        <f t="shared" si="835"/>
        <v>0</v>
      </c>
      <c r="AO722" s="39"/>
      <c r="AP722" s="39"/>
      <c r="AQ722" s="39"/>
      <c r="AR722" s="39"/>
      <c r="AS722" s="39"/>
      <c r="AT722" s="39">
        <f t="shared" si="813"/>
        <v>0</v>
      </c>
      <c r="AU722" s="39"/>
      <c r="AV722" s="39"/>
      <c r="AW722" s="39"/>
      <c r="AX722" s="39"/>
      <c r="AY722" s="39"/>
      <c r="AZ722" s="39">
        <f t="shared" si="814"/>
        <v>0</v>
      </c>
      <c r="BA722" s="39"/>
      <c r="BB722" s="39"/>
      <c r="BC722" s="39"/>
      <c r="BD722" s="39"/>
      <c r="BE722" s="39"/>
      <c r="BF722" s="39">
        <f t="shared" si="815"/>
        <v>0</v>
      </c>
      <c r="BG722" s="39"/>
      <c r="BH722" s="39"/>
      <c r="BI722" s="39"/>
      <c r="BJ722" s="39"/>
      <c r="BK722" s="39"/>
      <c r="BL722" s="39">
        <f t="shared" si="769"/>
        <v>0</v>
      </c>
      <c r="BM722" s="54" t="str">
        <f t="shared" si="816"/>
        <v/>
      </c>
      <c r="BN722" s="62">
        <v>46200</v>
      </c>
      <c r="BO722" s="117">
        <v>46211</v>
      </c>
      <c r="BP722" s="39"/>
      <c r="BQ722" s="39"/>
      <c r="BR722" s="232"/>
      <c r="BS722" s="232"/>
      <c r="BT722" s="39" t="s">
        <v>1507</v>
      </c>
      <c r="BU722" s="39">
        <f>438+22</f>
        <v>460</v>
      </c>
      <c r="BV722" s="39"/>
      <c r="BW722" s="39"/>
      <c r="BX722" s="39"/>
      <c r="BY722" s="39"/>
      <c r="BZ722" s="39">
        <f t="shared" si="770"/>
        <v>460</v>
      </c>
      <c r="CA722" s="39">
        <f t="shared" si="840"/>
        <v>11</v>
      </c>
      <c r="CB722" s="39">
        <f t="shared" si="841"/>
        <v>0</v>
      </c>
      <c r="CC722" s="39">
        <f t="shared" si="842"/>
        <v>0</v>
      </c>
      <c r="CD722" s="39">
        <f t="shared" si="771"/>
        <v>0</v>
      </c>
      <c r="CE722" s="102">
        <f t="shared" si="843"/>
        <v>0</v>
      </c>
      <c r="CF722" s="36"/>
      <c r="CG722" s="39" t="s">
        <v>235</v>
      </c>
      <c r="CH722" s="39" t="s">
        <v>543</v>
      </c>
      <c r="CI722" s="25">
        <v>3</v>
      </c>
      <c r="CJ722" s="6" t="s">
        <v>19</v>
      </c>
    </row>
    <row r="723" spans="1:88" ht="24.75" customHeight="1">
      <c r="A723" s="36" t="s">
        <v>85</v>
      </c>
      <c r="B723" s="55">
        <v>47936</v>
      </c>
      <c r="C723" s="231"/>
      <c r="D723" s="36"/>
      <c r="E723" s="39">
        <v>180</v>
      </c>
      <c r="F723" s="39" t="s">
        <v>57</v>
      </c>
      <c r="G723" s="36" t="s">
        <v>1060</v>
      </c>
      <c r="H723" s="39" t="s">
        <v>87</v>
      </c>
      <c r="I723" s="39">
        <v>476</v>
      </c>
      <c r="J723" s="39"/>
      <c r="K723" s="39"/>
      <c r="L723" s="39">
        <f t="shared" si="839"/>
        <v>476</v>
      </c>
      <c r="M723" s="117">
        <v>46193</v>
      </c>
      <c r="N723" s="117">
        <v>46200</v>
      </c>
      <c r="O723" s="39"/>
      <c r="P723" s="39"/>
      <c r="Q723" s="39"/>
      <c r="R723" s="39">
        <f t="shared" si="837"/>
        <v>0</v>
      </c>
      <c r="S723" s="39" t="s">
        <v>130</v>
      </c>
      <c r="T723" s="39">
        <v>107776</v>
      </c>
      <c r="U723" s="117">
        <v>46217</v>
      </c>
      <c r="V723" s="39"/>
      <c r="W723" s="39"/>
      <c r="X723" s="39"/>
      <c r="Y723" s="39">
        <f>152+393</f>
        <v>545</v>
      </c>
      <c r="Z723" s="39"/>
      <c r="AA723" s="39"/>
      <c r="AB723" s="119">
        <f t="shared" si="838"/>
        <v>545</v>
      </c>
      <c r="AC723" s="39"/>
      <c r="AD723" s="39"/>
      <c r="AE723" s="39"/>
      <c r="AF723" s="39"/>
      <c r="AG723" s="39"/>
      <c r="AH723" s="39">
        <f t="shared" si="768"/>
        <v>0</v>
      </c>
      <c r="AI723" s="39"/>
      <c r="AJ723" s="39"/>
      <c r="AK723" s="39"/>
      <c r="AL723" s="39"/>
      <c r="AM723" s="39"/>
      <c r="AN723" s="39">
        <f t="shared" si="835"/>
        <v>0</v>
      </c>
      <c r="AO723" s="39"/>
      <c r="AP723" s="39"/>
      <c r="AQ723" s="39"/>
      <c r="AR723" s="39"/>
      <c r="AS723" s="39"/>
      <c r="AT723" s="39">
        <f t="shared" si="813"/>
        <v>0</v>
      </c>
      <c r="AU723" s="39"/>
      <c r="AV723" s="39"/>
      <c r="AW723" s="39"/>
      <c r="AX723" s="39"/>
      <c r="AY723" s="39"/>
      <c r="AZ723" s="39">
        <f t="shared" si="814"/>
        <v>0</v>
      </c>
      <c r="BA723" s="39"/>
      <c r="BB723" s="39"/>
      <c r="BC723" s="39"/>
      <c r="BD723" s="39"/>
      <c r="BE723" s="39"/>
      <c r="BF723" s="39">
        <f t="shared" si="815"/>
        <v>0</v>
      </c>
      <c r="BG723" s="39"/>
      <c r="BH723" s="39"/>
      <c r="BI723" s="39"/>
      <c r="BJ723" s="39"/>
      <c r="BK723" s="39"/>
      <c r="BL723" s="39">
        <f t="shared" si="769"/>
        <v>0</v>
      </c>
      <c r="BM723" s="54" t="str">
        <f t="shared" si="816"/>
        <v/>
      </c>
      <c r="BN723" s="62">
        <v>46200</v>
      </c>
      <c r="BO723" s="117">
        <v>46211</v>
      </c>
      <c r="BP723" s="39"/>
      <c r="BQ723" s="39"/>
      <c r="BR723" s="232"/>
      <c r="BS723" s="232"/>
      <c r="BT723" s="39">
        <v>2031</v>
      </c>
      <c r="BU723" s="39">
        <f>334+138</f>
        <v>472</v>
      </c>
      <c r="BV723" s="39"/>
      <c r="BW723" s="39"/>
      <c r="BX723" s="39"/>
      <c r="BY723" s="39"/>
      <c r="BZ723" s="39">
        <f t="shared" si="770"/>
        <v>472</v>
      </c>
      <c r="CA723" s="39">
        <f t="shared" si="840"/>
        <v>-4</v>
      </c>
      <c r="CB723" s="39">
        <f t="shared" si="841"/>
        <v>0</v>
      </c>
      <c r="CC723" s="39">
        <f t="shared" si="842"/>
        <v>0</v>
      </c>
      <c r="CD723" s="39">
        <v>0</v>
      </c>
      <c r="CE723" s="102">
        <f t="shared" si="843"/>
        <v>0</v>
      </c>
      <c r="CF723" s="36"/>
      <c r="CG723" s="39" t="s">
        <v>235</v>
      </c>
      <c r="CH723" s="39"/>
      <c r="CI723" s="25">
        <v>3</v>
      </c>
    </row>
    <row r="724" spans="1:88" ht="24.75" customHeight="1">
      <c r="A724" s="36" t="s">
        <v>85</v>
      </c>
      <c r="B724" s="55">
        <v>47936</v>
      </c>
      <c r="C724" s="228"/>
      <c r="D724" s="36"/>
      <c r="E724" s="39">
        <v>180</v>
      </c>
      <c r="F724" s="39" t="s">
        <v>57</v>
      </c>
      <c r="G724" s="36" t="s">
        <v>41</v>
      </c>
      <c r="H724" s="39" t="s">
        <v>87</v>
      </c>
      <c r="I724" s="39">
        <v>245</v>
      </c>
      <c r="J724" s="39"/>
      <c r="K724" s="39"/>
      <c r="L724" s="39">
        <f>SUM(I724:K724)</f>
        <v>245</v>
      </c>
      <c r="M724" s="117">
        <v>46193</v>
      </c>
      <c r="N724" s="117">
        <v>46200</v>
      </c>
      <c r="O724" s="39"/>
      <c r="P724" s="39"/>
      <c r="Q724" s="39"/>
      <c r="R724" s="39">
        <f t="shared" si="837"/>
        <v>0</v>
      </c>
      <c r="S724" s="39" t="s">
        <v>130</v>
      </c>
      <c r="T724" s="39">
        <v>107632</v>
      </c>
      <c r="U724" s="117">
        <v>46212</v>
      </c>
      <c r="V724" s="39"/>
      <c r="W724" s="39"/>
      <c r="X724" s="39"/>
      <c r="Y724" s="39">
        <v>282</v>
      </c>
      <c r="Z724" s="39"/>
      <c r="AA724" s="39"/>
      <c r="AB724" s="119">
        <f t="shared" si="838"/>
        <v>282</v>
      </c>
      <c r="AC724" s="39"/>
      <c r="AD724" s="39"/>
      <c r="AE724" s="39"/>
      <c r="AF724" s="39"/>
      <c r="AG724" s="39"/>
      <c r="AH724" s="39">
        <f t="shared" si="768"/>
        <v>0</v>
      </c>
      <c r="AI724" s="39"/>
      <c r="AJ724" s="39"/>
      <c r="AK724" s="39"/>
      <c r="AL724" s="39"/>
      <c r="AM724" s="39"/>
      <c r="AN724" s="39">
        <f t="shared" si="835"/>
        <v>0</v>
      </c>
      <c r="AO724" s="39"/>
      <c r="AP724" s="39"/>
      <c r="AQ724" s="39"/>
      <c r="AR724" s="39"/>
      <c r="AS724" s="39"/>
      <c r="AT724" s="39">
        <f t="shared" si="813"/>
        <v>0</v>
      </c>
      <c r="AU724" s="39"/>
      <c r="AV724" s="39"/>
      <c r="AW724" s="39"/>
      <c r="AX724" s="39"/>
      <c r="AY724" s="39"/>
      <c r="AZ724" s="39">
        <f t="shared" si="814"/>
        <v>0</v>
      </c>
      <c r="BA724" s="39"/>
      <c r="BB724" s="39"/>
      <c r="BC724" s="39"/>
      <c r="BD724" s="39"/>
      <c r="BE724" s="39"/>
      <c r="BF724" s="39">
        <f t="shared" si="815"/>
        <v>0</v>
      </c>
      <c r="BG724" s="39"/>
      <c r="BH724" s="39"/>
      <c r="BI724" s="39"/>
      <c r="BJ724" s="39"/>
      <c r="BK724" s="39"/>
      <c r="BL724" s="39">
        <f t="shared" si="769"/>
        <v>0</v>
      </c>
      <c r="BM724" s="54" t="str">
        <f t="shared" si="816"/>
        <v/>
      </c>
      <c r="BN724" s="62">
        <v>46200</v>
      </c>
      <c r="BO724" s="117">
        <v>46211</v>
      </c>
      <c r="BP724" s="39"/>
      <c r="BQ724" s="39"/>
      <c r="BR724" s="230"/>
      <c r="BS724" s="230"/>
      <c r="BT724" s="39">
        <v>1806</v>
      </c>
      <c r="BU724" s="39">
        <f>239</f>
        <v>239</v>
      </c>
      <c r="BV724" s="39"/>
      <c r="BW724" s="39"/>
      <c r="BX724" s="39"/>
      <c r="BY724" s="39"/>
      <c r="BZ724" s="39">
        <f t="shared" si="770"/>
        <v>239</v>
      </c>
      <c r="CA724" s="39">
        <f>BU724-I724</f>
        <v>-6</v>
      </c>
      <c r="CB724" s="39">
        <f>BW724-J724</f>
        <v>0</v>
      </c>
      <c r="CC724" s="39">
        <f>BY724-K724</f>
        <v>0</v>
      </c>
      <c r="CD724" s="39">
        <v>0</v>
      </c>
      <c r="CE724" s="102">
        <f>CD724/L724</f>
        <v>0</v>
      </c>
      <c r="CF724" s="36"/>
      <c r="CG724" s="39" t="s">
        <v>235</v>
      </c>
      <c r="CH724" s="39"/>
      <c r="CI724" s="25">
        <v>3</v>
      </c>
    </row>
    <row r="725" spans="1:88" ht="33.75" customHeight="1">
      <c r="A725" s="36" t="s">
        <v>85</v>
      </c>
      <c r="B725" s="55" t="s">
        <v>796</v>
      </c>
      <c r="C725" s="36" t="s">
        <v>1124</v>
      </c>
      <c r="D725" s="36"/>
      <c r="E725" s="39">
        <v>180</v>
      </c>
      <c r="F725" s="39" t="s">
        <v>58</v>
      </c>
      <c r="G725" s="36" t="s">
        <v>304</v>
      </c>
      <c r="H725" s="36" t="s">
        <v>87</v>
      </c>
      <c r="I725" s="39">
        <v>30</v>
      </c>
      <c r="J725" s="39"/>
      <c r="K725" s="39"/>
      <c r="L725" s="39">
        <f t="shared" ref="L725:L726" si="844">SUM(I725:K725)</f>
        <v>30</v>
      </c>
      <c r="M725" s="117">
        <v>46195</v>
      </c>
      <c r="N725" s="117">
        <v>46197</v>
      </c>
      <c r="O725" s="39"/>
      <c r="P725" s="39"/>
      <c r="Q725" s="39"/>
      <c r="R725" s="39">
        <f t="shared" ref="R725:R726" si="845">SUM(O725:Q725)</f>
        <v>0</v>
      </c>
      <c r="S725" s="39" t="s">
        <v>130</v>
      </c>
      <c r="T725" s="39">
        <v>107245</v>
      </c>
      <c r="U725" s="117">
        <v>46201</v>
      </c>
      <c r="V725" s="39"/>
      <c r="W725" s="39"/>
      <c r="X725" s="39"/>
      <c r="Y725" s="39">
        <v>42</v>
      </c>
      <c r="Z725" s="39"/>
      <c r="AA725" s="39"/>
      <c r="AB725" s="119">
        <f t="shared" si="838"/>
        <v>42</v>
      </c>
      <c r="AC725" s="39"/>
      <c r="AD725" s="39"/>
      <c r="AE725" s="39"/>
      <c r="AF725" s="39"/>
      <c r="AG725" s="39"/>
      <c r="AH725" s="39">
        <f t="shared" si="768"/>
        <v>0</v>
      </c>
      <c r="AI725" s="39"/>
      <c r="AJ725" s="39"/>
      <c r="AK725" s="39"/>
      <c r="AL725" s="39"/>
      <c r="AM725" s="39"/>
      <c r="AN725" s="39">
        <f t="shared" si="835"/>
        <v>0</v>
      </c>
      <c r="AO725" s="39"/>
      <c r="AP725" s="39"/>
      <c r="AQ725" s="39"/>
      <c r="AR725" s="39"/>
      <c r="AS725" s="39"/>
      <c r="AT725" s="39">
        <f t="shared" si="813"/>
        <v>0</v>
      </c>
      <c r="AU725" s="39"/>
      <c r="AV725" s="39"/>
      <c r="AW725" s="39"/>
      <c r="AX725" s="39"/>
      <c r="AY725" s="39"/>
      <c r="AZ725" s="39">
        <f t="shared" si="814"/>
        <v>0</v>
      </c>
      <c r="BA725" s="39"/>
      <c r="BB725" s="39"/>
      <c r="BC725" s="39"/>
      <c r="BD725" s="39"/>
      <c r="BE725" s="39"/>
      <c r="BF725" s="39">
        <f t="shared" si="815"/>
        <v>0</v>
      </c>
      <c r="BG725" s="39"/>
      <c r="BH725" s="39"/>
      <c r="BI725" s="39"/>
      <c r="BJ725" s="39"/>
      <c r="BK725" s="39"/>
      <c r="BL725" s="39">
        <f t="shared" si="769"/>
        <v>0</v>
      </c>
      <c r="BM725" s="54" t="str">
        <f t="shared" si="816"/>
        <v/>
      </c>
      <c r="BN725" s="62">
        <v>46199</v>
      </c>
      <c r="BO725" s="117">
        <v>46203</v>
      </c>
      <c r="BP725" s="39"/>
      <c r="BQ725" s="39"/>
      <c r="BR725" s="50">
        <v>46206</v>
      </c>
      <c r="BS725" s="50">
        <v>46206</v>
      </c>
      <c r="BT725" s="39">
        <v>2010</v>
      </c>
      <c r="BU725" s="39">
        <v>35</v>
      </c>
      <c r="BV725" s="39"/>
      <c r="BW725" s="39"/>
      <c r="BX725" s="39"/>
      <c r="BY725" s="39"/>
      <c r="BZ725" s="39">
        <f t="shared" si="770"/>
        <v>35</v>
      </c>
      <c r="CA725" s="39">
        <f t="shared" ref="CA725:CA726" si="846">BU725-I725</f>
        <v>5</v>
      </c>
      <c r="CB725" s="39">
        <f t="shared" ref="CB725:CB726" si="847">BW725-J725</f>
        <v>0</v>
      </c>
      <c r="CC725" s="39">
        <f t="shared" ref="CC725:CC726" si="848">BY725-K725</f>
        <v>0</v>
      </c>
      <c r="CD725" s="39">
        <f t="shared" si="771"/>
        <v>0</v>
      </c>
      <c r="CE725" s="102">
        <f t="shared" ref="CE725:CE726" si="849">CD725/L725</f>
        <v>0</v>
      </c>
      <c r="CF725" s="36"/>
      <c r="CG725" s="39" t="s">
        <v>235</v>
      </c>
      <c r="CH725" s="39"/>
      <c r="CI725" s="25">
        <v>3</v>
      </c>
    </row>
    <row r="726" spans="1:88" ht="33.75" customHeight="1">
      <c r="A726" s="36" t="s">
        <v>85</v>
      </c>
      <c r="B726" s="55">
        <v>47626</v>
      </c>
      <c r="C726" s="36" t="s">
        <v>1125</v>
      </c>
      <c r="D726" s="36" t="s">
        <v>24</v>
      </c>
      <c r="E726" s="39">
        <v>150</v>
      </c>
      <c r="F726" s="39" t="s">
        <v>55</v>
      </c>
      <c r="G726" s="36" t="s">
        <v>594</v>
      </c>
      <c r="H726" s="36" t="s">
        <v>22</v>
      </c>
      <c r="I726" s="39">
        <v>70</v>
      </c>
      <c r="J726" s="39">
        <v>5</v>
      </c>
      <c r="K726" s="39"/>
      <c r="L726" s="39">
        <f t="shared" si="844"/>
        <v>75</v>
      </c>
      <c r="M726" s="39"/>
      <c r="N726" s="117">
        <v>46196</v>
      </c>
      <c r="O726" s="39"/>
      <c r="P726" s="39"/>
      <c r="Q726" s="39"/>
      <c r="R726" s="39">
        <f t="shared" si="845"/>
        <v>0</v>
      </c>
      <c r="S726" s="39" t="s">
        <v>130</v>
      </c>
      <c r="T726" s="39">
        <v>107289</v>
      </c>
      <c r="U726" s="117">
        <v>46198</v>
      </c>
      <c r="V726" s="39"/>
      <c r="W726" s="39"/>
      <c r="X726" s="39"/>
      <c r="Y726" s="39">
        <v>57</v>
      </c>
      <c r="Z726" s="39">
        <v>4</v>
      </c>
      <c r="AA726" s="39"/>
      <c r="AB726" s="118">
        <f t="shared" si="838"/>
        <v>61</v>
      </c>
      <c r="AC726" s="39"/>
      <c r="AD726" s="39"/>
      <c r="AE726" s="39"/>
      <c r="AF726" s="39"/>
      <c r="AG726" s="39"/>
      <c r="AH726" s="39">
        <f t="shared" si="768"/>
        <v>0</v>
      </c>
      <c r="AI726" s="39"/>
      <c r="AJ726" s="39"/>
      <c r="AK726" s="39"/>
      <c r="AL726" s="39"/>
      <c r="AM726" s="39"/>
      <c r="AN726" s="39">
        <f t="shared" si="835"/>
        <v>0</v>
      </c>
      <c r="AO726" s="39"/>
      <c r="AP726" s="39"/>
      <c r="AQ726" s="39"/>
      <c r="AR726" s="39"/>
      <c r="AS726" s="39"/>
      <c r="AT726" s="39">
        <f t="shared" si="813"/>
        <v>0</v>
      </c>
      <c r="AU726" s="39"/>
      <c r="AV726" s="39"/>
      <c r="AW726" s="39"/>
      <c r="AX726" s="39"/>
      <c r="AY726" s="39"/>
      <c r="AZ726" s="39">
        <f t="shared" si="814"/>
        <v>0</v>
      </c>
      <c r="BA726" s="39"/>
      <c r="BB726" s="39"/>
      <c r="BC726" s="39"/>
      <c r="BD726" s="39"/>
      <c r="BE726" s="39"/>
      <c r="BF726" s="39">
        <f t="shared" si="815"/>
        <v>0</v>
      </c>
      <c r="BG726" s="39"/>
      <c r="BH726" s="39"/>
      <c r="BI726" s="39"/>
      <c r="BJ726" s="39"/>
      <c r="BK726" s="39"/>
      <c r="BL726" s="39">
        <f t="shared" si="769"/>
        <v>0</v>
      </c>
      <c r="BM726" s="54">
        <f t="shared" ca="1" si="816"/>
        <v>85</v>
      </c>
      <c r="BN726" s="63"/>
      <c r="BO726" s="117">
        <v>46198</v>
      </c>
      <c r="BP726" s="39"/>
      <c r="BQ726" s="117"/>
      <c r="BR726" s="50">
        <v>46209</v>
      </c>
      <c r="BS726" s="40"/>
      <c r="BT726" s="39"/>
      <c r="BU726" s="39"/>
      <c r="BV726" s="39">
        <v>1570</v>
      </c>
      <c r="BW726" s="39">
        <f>3</f>
        <v>3</v>
      </c>
      <c r="BX726" s="39"/>
      <c r="BY726" s="39"/>
      <c r="BZ726" s="39">
        <f t="shared" si="770"/>
        <v>3</v>
      </c>
      <c r="CA726" s="39">
        <f t="shared" si="846"/>
        <v>-70</v>
      </c>
      <c r="CB726" s="39">
        <f t="shared" si="847"/>
        <v>-2</v>
      </c>
      <c r="CC726" s="39">
        <f t="shared" si="848"/>
        <v>0</v>
      </c>
      <c r="CD726" s="39">
        <f t="shared" si="771"/>
        <v>-72</v>
      </c>
      <c r="CE726" s="102">
        <f t="shared" si="849"/>
        <v>-0.96</v>
      </c>
      <c r="CF726" s="36"/>
      <c r="CG726" s="39" t="s">
        <v>235</v>
      </c>
      <c r="CH726" s="39"/>
      <c r="CI726" s="25">
        <v>3</v>
      </c>
      <c r="CJ726" s="6" t="s">
        <v>19</v>
      </c>
    </row>
    <row r="727" spans="1:88" ht="24.75" customHeight="1">
      <c r="A727" s="36" t="s">
        <v>85</v>
      </c>
      <c r="B727" s="55"/>
      <c r="C727" s="36"/>
      <c r="D727" s="36"/>
      <c r="E727" s="39"/>
      <c r="F727" s="39"/>
      <c r="G727" s="36"/>
      <c r="H727" s="39"/>
      <c r="I727" s="39"/>
      <c r="J727" s="39"/>
      <c r="K727" s="39"/>
      <c r="L727" s="39">
        <f t="shared" si="785"/>
        <v>0</v>
      </c>
      <c r="M727" s="39"/>
      <c r="N727" s="39"/>
      <c r="O727" s="39"/>
      <c r="P727" s="39"/>
      <c r="Q727" s="39"/>
      <c r="R727" s="39">
        <f t="shared" si="786"/>
        <v>0</v>
      </c>
      <c r="S727" s="39"/>
      <c r="T727" s="39"/>
      <c r="U727" s="39"/>
      <c r="V727" s="39"/>
      <c r="W727" s="39"/>
      <c r="X727" s="39"/>
      <c r="Y727" s="39"/>
      <c r="Z727" s="39"/>
      <c r="AA727" s="39"/>
      <c r="AB727" s="39">
        <f t="shared" si="787"/>
        <v>0</v>
      </c>
      <c r="AC727" s="39"/>
      <c r="AD727" s="39"/>
      <c r="AE727" s="39"/>
      <c r="AF727" s="39"/>
      <c r="AG727" s="39"/>
      <c r="AH727" s="39">
        <f t="shared" si="768"/>
        <v>0</v>
      </c>
      <c r="AI727" s="39"/>
      <c r="AJ727" s="39"/>
      <c r="AK727" s="39"/>
      <c r="AL727" s="39"/>
      <c r="AM727" s="39"/>
      <c r="AN727" s="39">
        <f t="shared" si="835"/>
        <v>0</v>
      </c>
      <c r="AO727" s="39"/>
      <c r="AP727" s="39"/>
      <c r="AQ727" s="39"/>
      <c r="AR727" s="39"/>
      <c r="AS727" s="39"/>
      <c r="AT727" s="39">
        <f t="shared" si="813"/>
        <v>0</v>
      </c>
      <c r="AU727" s="39"/>
      <c r="AV727" s="39"/>
      <c r="AW727" s="39"/>
      <c r="AX727" s="39"/>
      <c r="AY727" s="39"/>
      <c r="AZ727" s="39">
        <f t="shared" si="814"/>
        <v>0</v>
      </c>
      <c r="BA727" s="39"/>
      <c r="BB727" s="39"/>
      <c r="BC727" s="39"/>
      <c r="BD727" s="39"/>
      <c r="BE727" s="39"/>
      <c r="BF727" s="39">
        <f t="shared" si="815"/>
        <v>0</v>
      </c>
      <c r="BG727" s="39"/>
      <c r="BH727" s="39"/>
      <c r="BI727" s="39"/>
      <c r="BJ727" s="39"/>
      <c r="BK727" s="39"/>
      <c r="BL727" s="39">
        <f t="shared" si="769"/>
        <v>0</v>
      </c>
      <c r="BM727" s="54" t="e">
        <f t="shared" si="816"/>
        <v>#DIV/0!</v>
      </c>
      <c r="BN727" s="63"/>
      <c r="BO727" s="39"/>
      <c r="BP727" s="39"/>
      <c r="BQ727" s="39"/>
      <c r="BR727" s="40"/>
      <c r="BS727" s="40"/>
      <c r="BT727" s="39"/>
      <c r="BU727" s="39"/>
      <c r="BV727" s="39"/>
      <c r="BW727" s="39"/>
      <c r="BX727" s="39"/>
      <c r="BY727" s="39"/>
      <c r="BZ727" s="39">
        <f t="shared" si="770"/>
        <v>0</v>
      </c>
      <c r="CA727" s="39">
        <f t="shared" si="817"/>
        <v>0</v>
      </c>
      <c r="CB727" s="39">
        <f t="shared" si="818"/>
        <v>0</v>
      </c>
      <c r="CC727" s="39">
        <f t="shared" si="819"/>
        <v>0</v>
      </c>
      <c r="CD727" s="39">
        <f t="shared" si="771"/>
        <v>0</v>
      </c>
      <c r="CE727" s="47" t="e">
        <f t="shared" si="820"/>
        <v>#DIV/0!</v>
      </c>
      <c r="CF727" s="36"/>
      <c r="CG727" s="39"/>
      <c r="CH727" s="39"/>
      <c r="CI727" s="25">
        <v>3</v>
      </c>
      <c r="CJ727" s="6" t="s">
        <v>19</v>
      </c>
    </row>
    <row r="728" spans="1:88" ht="24.75" customHeight="1">
      <c r="A728" s="36" t="s">
        <v>85</v>
      </c>
      <c r="B728" s="55"/>
      <c r="C728" s="36"/>
      <c r="D728" s="36"/>
      <c r="E728" s="39"/>
      <c r="F728" s="39"/>
      <c r="G728" s="36"/>
      <c r="H728" s="39"/>
      <c r="I728" s="39"/>
      <c r="J728" s="39"/>
      <c r="K728" s="39"/>
      <c r="L728" s="39">
        <f t="shared" si="785"/>
        <v>0</v>
      </c>
      <c r="M728" s="39"/>
      <c r="N728" s="39"/>
      <c r="O728" s="39"/>
      <c r="P728" s="39"/>
      <c r="Q728" s="39"/>
      <c r="R728" s="39">
        <f t="shared" si="786"/>
        <v>0</v>
      </c>
      <c r="S728" s="39"/>
      <c r="T728" s="39"/>
      <c r="U728" s="39"/>
      <c r="V728" s="39"/>
      <c r="W728" s="39"/>
      <c r="X728" s="39"/>
      <c r="Y728" s="39"/>
      <c r="Z728" s="39"/>
      <c r="AA728" s="39"/>
      <c r="AB728" s="39">
        <f t="shared" si="787"/>
        <v>0</v>
      </c>
      <c r="AC728" s="39"/>
      <c r="AD728" s="39"/>
      <c r="AE728" s="39"/>
      <c r="AF728" s="39"/>
      <c r="AG728" s="39"/>
      <c r="AH728" s="39">
        <f t="shared" si="768"/>
        <v>0</v>
      </c>
      <c r="AI728" s="39"/>
      <c r="AJ728" s="39"/>
      <c r="AK728" s="39"/>
      <c r="AL728" s="39"/>
      <c r="AM728" s="39"/>
      <c r="AN728" s="39">
        <f t="shared" si="835"/>
        <v>0</v>
      </c>
      <c r="AO728" s="39"/>
      <c r="AP728" s="39"/>
      <c r="AQ728" s="39"/>
      <c r="AR728" s="39"/>
      <c r="AS728" s="39"/>
      <c r="AT728" s="39">
        <f t="shared" si="813"/>
        <v>0</v>
      </c>
      <c r="AU728" s="39"/>
      <c r="AV728" s="39"/>
      <c r="AW728" s="39"/>
      <c r="AX728" s="39"/>
      <c r="AY728" s="39"/>
      <c r="AZ728" s="39">
        <f t="shared" si="814"/>
        <v>0</v>
      </c>
      <c r="BA728" s="39"/>
      <c r="BB728" s="39"/>
      <c r="BC728" s="39"/>
      <c r="BD728" s="39"/>
      <c r="BE728" s="39"/>
      <c r="BF728" s="39">
        <f t="shared" si="815"/>
        <v>0</v>
      </c>
      <c r="BG728" s="39"/>
      <c r="BH728" s="39"/>
      <c r="BI728" s="39"/>
      <c r="BJ728" s="39"/>
      <c r="BK728" s="39"/>
      <c r="BL728" s="39">
        <f t="shared" si="769"/>
        <v>0</v>
      </c>
      <c r="BM728" s="54" t="e">
        <f t="shared" si="816"/>
        <v>#DIV/0!</v>
      </c>
      <c r="BN728" s="63"/>
      <c r="BO728" s="39"/>
      <c r="BP728" s="39"/>
      <c r="BQ728" s="39"/>
      <c r="BR728" s="40"/>
      <c r="BS728" s="40"/>
      <c r="BT728" s="39"/>
      <c r="BU728" s="39"/>
      <c r="BV728" s="39"/>
      <c r="BW728" s="39"/>
      <c r="BX728" s="39"/>
      <c r="BY728" s="39"/>
      <c r="BZ728" s="39">
        <f t="shared" si="770"/>
        <v>0</v>
      </c>
      <c r="CA728" s="39">
        <f t="shared" si="817"/>
        <v>0</v>
      </c>
      <c r="CB728" s="39">
        <f t="shared" si="818"/>
        <v>0</v>
      </c>
      <c r="CC728" s="39">
        <f t="shared" si="819"/>
        <v>0</v>
      </c>
      <c r="CD728" s="39">
        <f t="shared" si="771"/>
        <v>0</v>
      </c>
      <c r="CE728" s="47" t="e">
        <f t="shared" si="820"/>
        <v>#DIV/0!</v>
      </c>
      <c r="CF728" s="36"/>
      <c r="CG728" s="39"/>
      <c r="CH728" s="39"/>
      <c r="CI728" s="25">
        <v>3</v>
      </c>
    </row>
    <row r="729" spans="1:88" ht="24.75" customHeight="1">
      <c r="A729" s="36" t="s">
        <v>85</v>
      </c>
      <c r="B729" s="55"/>
      <c r="C729" s="36"/>
      <c r="D729" s="36"/>
      <c r="E729" s="39"/>
      <c r="F729" s="39"/>
      <c r="G729" s="36"/>
      <c r="H729" s="39"/>
      <c r="I729" s="39"/>
      <c r="J729" s="39"/>
      <c r="K729" s="39"/>
      <c r="L729" s="39">
        <f>SUM(I729:K729)</f>
        <v>0</v>
      </c>
      <c r="M729" s="39"/>
      <c r="N729" s="39"/>
      <c r="O729" s="39"/>
      <c r="P729" s="39"/>
      <c r="Q729" s="39"/>
      <c r="R729" s="39">
        <f>SUM(O729:Q729)</f>
        <v>0</v>
      </c>
      <c r="S729" s="39"/>
      <c r="T729" s="39"/>
      <c r="U729" s="39"/>
      <c r="V729" s="39"/>
      <c r="W729" s="39"/>
      <c r="X729" s="39"/>
      <c r="Y729" s="39"/>
      <c r="Z729" s="39"/>
      <c r="AA729" s="39"/>
      <c r="AB729" s="39">
        <f>SUM(Y729:AA729)</f>
        <v>0</v>
      </c>
      <c r="AC729" s="39"/>
      <c r="AD729" s="39"/>
      <c r="AE729" s="39"/>
      <c r="AF729" s="39"/>
      <c r="AG729" s="39"/>
      <c r="AH729" s="39">
        <f t="shared" si="768"/>
        <v>0</v>
      </c>
      <c r="AI729" s="39"/>
      <c r="AJ729" s="39"/>
      <c r="AK729" s="39"/>
      <c r="AL729" s="39"/>
      <c r="AM729" s="39"/>
      <c r="AN729" s="39">
        <f>AM729-AK729</f>
        <v>0</v>
      </c>
      <c r="AO729" s="39"/>
      <c r="AP729" s="39"/>
      <c r="AQ729" s="39"/>
      <c r="AR729" s="39"/>
      <c r="AS729" s="39"/>
      <c r="AT729" s="39">
        <f>AS729-AQ729</f>
        <v>0</v>
      </c>
      <c r="AU729" s="39"/>
      <c r="AV729" s="39"/>
      <c r="AW729" s="39"/>
      <c r="AX729" s="39"/>
      <c r="AY729" s="39"/>
      <c r="AZ729" s="39">
        <f>AY729-AW729</f>
        <v>0</v>
      </c>
      <c r="BA729" s="39"/>
      <c r="BB729" s="39"/>
      <c r="BC729" s="39"/>
      <c r="BD729" s="39"/>
      <c r="BE729" s="39"/>
      <c r="BF729" s="39">
        <f>BE729-BC729</f>
        <v>0</v>
      </c>
      <c r="BG729" s="39"/>
      <c r="BH729" s="39"/>
      <c r="BI729" s="39"/>
      <c r="BJ729" s="39"/>
      <c r="BK729" s="39"/>
      <c r="BL729" s="39">
        <f t="shared" si="769"/>
        <v>0</v>
      </c>
      <c r="BM729" s="54" t="e">
        <f>IF((BZ729/L729)&lt;0.9,$CO$1-U729,"")</f>
        <v>#DIV/0!</v>
      </c>
      <c r="BN729" s="63"/>
      <c r="BO729" s="39"/>
      <c r="BP729" s="39"/>
      <c r="BQ729" s="39"/>
      <c r="BR729" s="40"/>
      <c r="BS729" s="40"/>
      <c r="BT729" s="39"/>
      <c r="BU729" s="39"/>
      <c r="BV729" s="39"/>
      <c r="BW729" s="39"/>
      <c r="BX729" s="39"/>
      <c r="BY729" s="39"/>
      <c r="BZ729" s="39">
        <f t="shared" si="770"/>
        <v>0</v>
      </c>
      <c r="CA729" s="39">
        <f>BU729-I729</f>
        <v>0</v>
      </c>
      <c r="CB729" s="39">
        <f>BW729-J729</f>
        <v>0</v>
      </c>
      <c r="CC729" s="39">
        <f>BY729-K729</f>
        <v>0</v>
      </c>
      <c r="CD729" s="39">
        <f t="shared" si="771"/>
        <v>0</v>
      </c>
      <c r="CE729" s="47" t="e">
        <f>CD729/L729</f>
        <v>#DIV/0!</v>
      </c>
      <c r="CF729" s="36"/>
      <c r="CG729" s="39"/>
      <c r="CH729" s="39"/>
      <c r="CI729" s="25">
        <v>3</v>
      </c>
    </row>
    <row r="730" spans="1:88" ht="24.75" customHeight="1">
      <c r="A730" s="36" t="s">
        <v>85</v>
      </c>
      <c r="B730" s="55"/>
      <c r="C730" s="36"/>
      <c r="D730" s="36"/>
      <c r="E730" s="39"/>
      <c r="F730" s="39"/>
      <c r="G730" s="36"/>
      <c r="H730" s="39"/>
      <c r="I730" s="39"/>
      <c r="J730" s="39"/>
      <c r="K730" s="39"/>
      <c r="L730" s="39">
        <f t="shared" si="785"/>
        <v>0</v>
      </c>
      <c r="M730" s="39"/>
      <c r="N730" s="39"/>
      <c r="O730" s="39"/>
      <c r="P730" s="39"/>
      <c r="Q730" s="39"/>
      <c r="R730" s="39">
        <f t="shared" si="786"/>
        <v>0</v>
      </c>
      <c r="S730" s="39"/>
      <c r="T730" s="39"/>
      <c r="U730" s="39"/>
      <c r="V730" s="39"/>
      <c r="W730" s="39"/>
      <c r="X730" s="39"/>
      <c r="Y730" s="39"/>
      <c r="Z730" s="39"/>
      <c r="AA730" s="39"/>
      <c r="AB730" s="39">
        <f t="shared" si="787"/>
        <v>0</v>
      </c>
      <c r="AC730" s="39"/>
      <c r="AD730" s="39"/>
      <c r="AE730" s="39"/>
      <c r="AF730" s="39"/>
      <c r="AG730" s="39"/>
      <c r="AH730" s="39">
        <f t="shared" si="768"/>
        <v>0</v>
      </c>
      <c r="AI730" s="39"/>
      <c r="AJ730" s="39"/>
      <c r="AK730" s="39"/>
      <c r="AL730" s="39"/>
      <c r="AM730" s="39"/>
      <c r="AN730" s="39">
        <f t="shared" ref="AN730:AN859" si="850">AM730-AK730</f>
        <v>0</v>
      </c>
      <c r="AO730" s="39"/>
      <c r="AP730" s="39"/>
      <c r="AQ730" s="39"/>
      <c r="AR730" s="39"/>
      <c r="AS730" s="39"/>
      <c r="AT730" s="39">
        <f t="shared" si="813"/>
        <v>0</v>
      </c>
      <c r="AU730" s="39"/>
      <c r="AV730" s="39"/>
      <c r="AW730" s="39"/>
      <c r="AX730" s="39"/>
      <c r="AY730" s="39"/>
      <c r="AZ730" s="39">
        <f t="shared" si="814"/>
        <v>0</v>
      </c>
      <c r="BA730" s="39"/>
      <c r="BB730" s="39"/>
      <c r="BC730" s="39"/>
      <c r="BD730" s="39"/>
      <c r="BE730" s="39"/>
      <c r="BF730" s="39">
        <f t="shared" si="815"/>
        <v>0</v>
      </c>
      <c r="BG730" s="39"/>
      <c r="BH730" s="39"/>
      <c r="BI730" s="39"/>
      <c r="BJ730" s="39"/>
      <c r="BK730" s="39"/>
      <c r="BL730" s="39">
        <f t="shared" si="769"/>
        <v>0</v>
      </c>
      <c r="BM730" s="54" t="e">
        <f t="shared" si="816"/>
        <v>#DIV/0!</v>
      </c>
      <c r="BN730" s="63"/>
      <c r="BO730" s="39"/>
      <c r="BP730" s="39"/>
      <c r="BQ730" s="39"/>
      <c r="BR730" s="40"/>
      <c r="BS730" s="40"/>
      <c r="BT730" s="39"/>
      <c r="BU730" s="39"/>
      <c r="BV730" s="39"/>
      <c r="BW730" s="39"/>
      <c r="BX730" s="39"/>
      <c r="BY730" s="39"/>
      <c r="BZ730" s="39">
        <f t="shared" si="770"/>
        <v>0</v>
      </c>
      <c r="CA730" s="39">
        <f t="shared" si="817"/>
        <v>0</v>
      </c>
      <c r="CB730" s="39">
        <f t="shared" si="818"/>
        <v>0</v>
      </c>
      <c r="CC730" s="39">
        <f t="shared" si="819"/>
        <v>0</v>
      </c>
      <c r="CD730" s="39">
        <f t="shared" si="771"/>
        <v>0</v>
      </c>
      <c r="CE730" s="47" t="e">
        <f t="shared" si="820"/>
        <v>#DIV/0!</v>
      </c>
      <c r="CF730" s="36"/>
      <c r="CG730" s="39"/>
      <c r="CH730" s="39"/>
      <c r="CI730" s="25">
        <v>3</v>
      </c>
    </row>
    <row r="731" spans="1:88" ht="24.75" customHeight="1">
      <c r="A731" s="36" t="s">
        <v>186</v>
      </c>
      <c r="B731" s="55"/>
      <c r="C731" s="36"/>
      <c r="D731" s="36"/>
      <c r="E731" s="39"/>
      <c r="F731" s="39"/>
      <c r="G731" s="36"/>
      <c r="H731" s="39"/>
      <c r="I731" s="39"/>
      <c r="J731" s="39"/>
      <c r="K731" s="39"/>
      <c r="L731" s="39">
        <f t="shared" si="785"/>
        <v>0</v>
      </c>
      <c r="M731" s="39"/>
      <c r="N731" s="39"/>
      <c r="O731" s="39"/>
      <c r="P731" s="39"/>
      <c r="Q731" s="39"/>
      <c r="R731" s="39">
        <f t="shared" si="786"/>
        <v>0</v>
      </c>
      <c r="S731" s="39"/>
      <c r="T731" s="39"/>
      <c r="U731" s="39"/>
      <c r="V731" s="39"/>
      <c r="W731" s="39"/>
      <c r="X731" s="39"/>
      <c r="Y731" s="39"/>
      <c r="Z731" s="39"/>
      <c r="AA731" s="39"/>
      <c r="AB731" s="39">
        <f t="shared" si="787"/>
        <v>0</v>
      </c>
      <c r="AC731" s="39"/>
      <c r="AD731" s="39"/>
      <c r="AE731" s="39"/>
      <c r="AF731" s="39"/>
      <c r="AG731" s="39"/>
      <c r="AH731" s="39">
        <f t="shared" si="768"/>
        <v>0</v>
      </c>
      <c r="AI731" s="39"/>
      <c r="AJ731" s="39"/>
      <c r="AK731" s="39"/>
      <c r="AL731" s="39"/>
      <c r="AM731" s="39"/>
      <c r="AN731" s="39">
        <f t="shared" si="850"/>
        <v>0</v>
      </c>
      <c r="AO731" s="39"/>
      <c r="AP731" s="39"/>
      <c r="AQ731" s="39"/>
      <c r="AR731" s="39"/>
      <c r="AS731" s="39"/>
      <c r="AT731" s="39">
        <f t="shared" si="813"/>
        <v>0</v>
      </c>
      <c r="AU731" s="39"/>
      <c r="AV731" s="39"/>
      <c r="AW731" s="39"/>
      <c r="AX731" s="39"/>
      <c r="AY731" s="39"/>
      <c r="AZ731" s="39">
        <f t="shared" si="814"/>
        <v>0</v>
      </c>
      <c r="BA731" s="39"/>
      <c r="BB731" s="39"/>
      <c r="BC731" s="39"/>
      <c r="BD731" s="39"/>
      <c r="BE731" s="39"/>
      <c r="BF731" s="39">
        <f t="shared" si="815"/>
        <v>0</v>
      </c>
      <c r="BG731" s="39"/>
      <c r="BH731" s="39"/>
      <c r="BI731" s="39"/>
      <c r="BJ731" s="39"/>
      <c r="BK731" s="39"/>
      <c r="BL731" s="39">
        <f t="shared" si="769"/>
        <v>0</v>
      </c>
      <c r="BM731" s="54" t="e">
        <f t="shared" si="816"/>
        <v>#DIV/0!</v>
      </c>
      <c r="BN731" s="42"/>
      <c r="BO731" s="39"/>
      <c r="BP731" s="39"/>
      <c r="BQ731" s="39"/>
      <c r="BR731" s="40"/>
      <c r="BS731" s="40"/>
      <c r="BT731" s="39"/>
      <c r="BU731" s="39"/>
      <c r="BV731" s="39"/>
      <c r="BW731" s="39"/>
      <c r="BX731" s="39"/>
      <c r="BY731" s="39"/>
      <c r="BZ731" s="39">
        <f t="shared" si="770"/>
        <v>0</v>
      </c>
      <c r="CA731" s="39">
        <f t="shared" si="817"/>
        <v>0</v>
      </c>
      <c r="CB731" s="39">
        <f t="shared" si="818"/>
        <v>0</v>
      </c>
      <c r="CC731" s="39">
        <f t="shared" si="819"/>
        <v>0</v>
      </c>
      <c r="CD731" s="39">
        <f t="shared" si="771"/>
        <v>0</v>
      </c>
      <c r="CE731" s="47" t="e">
        <f t="shared" si="820"/>
        <v>#DIV/0!</v>
      </c>
      <c r="CF731" s="36"/>
      <c r="CG731" s="39"/>
      <c r="CH731" s="39"/>
      <c r="CI731" s="25">
        <v>1</v>
      </c>
    </row>
    <row r="732" spans="1:88" ht="24.75" customHeight="1">
      <c r="A732" s="36" t="s">
        <v>186</v>
      </c>
      <c r="B732" s="55"/>
      <c r="C732" s="36"/>
      <c r="D732" s="36"/>
      <c r="E732" s="39"/>
      <c r="F732" s="39"/>
      <c r="G732" s="36"/>
      <c r="H732" s="39"/>
      <c r="I732" s="39"/>
      <c r="J732" s="39"/>
      <c r="K732" s="39"/>
      <c r="L732" s="39">
        <f t="shared" si="785"/>
        <v>0</v>
      </c>
      <c r="M732" s="39"/>
      <c r="N732" s="39"/>
      <c r="O732" s="39"/>
      <c r="P732" s="39"/>
      <c r="Q732" s="39"/>
      <c r="R732" s="39">
        <f t="shared" si="786"/>
        <v>0</v>
      </c>
      <c r="S732" s="39"/>
      <c r="T732" s="39"/>
      <c r="U732" s="39"/>
      <c r="V732" s="39"/>
      <c r="W732" s="39"/>
      <c r="X732" s="39"/>
      <c r="Y732" s="39"/>
      <c r="Z732" s="39"/>
      <c r="AA732" s="39"/>
      <c r="AB732" s="39">
        <f t="shared" si="787"/>
        <v>0</v>
      </c>
      <c r="AC732" s="39"/>
      <c r="AD732" s="39"/>
      <c r="AE732" s="39"/>
      <c r="AF732" s="39"/>
      <c r="AG732" s="39"/>
      <c r="AH732" s="39">
        <f t="shared" si="768"/>
        <v>0</v>
      </c>
      <c r="AI732" s="39"/>
      <c r="AJ732" s="39"/>
      <c r="AK732" s="39"/>
      <c r="AL732" s="39"/>
      <c r="AM732" s="39"/>
      <c r="AN732" s="39">
        <f t="shared" si="850"/>
        <v>0</v>
      </c>
      <c r="AO732" s="39"/>
      <c r="AP732" s="39"/>
      <c r="AQ732" s="39"/>
      <c r="AR732" s="39"/>
      <c r="AS732" s="39"/>
      <c r="AT732" s="39">
        <f t="shared" si="813"/>
        <v>0</v>
      </c>
      <c r="AU732" s="39"/>
      <c r="AV732" s="39"/>
      <c r="AW732" s="39"/>
      <c r="AX732" s="39"/>
      <c r="AY732" s="39"/>
      <c r="AZ732" s="39">
        <f t="shared" si="814"/>
        <v>0</v>
      </c>
      <c r="BA732" s="39"/>
      <c r="BB732" s="39"/>
      <c r="BC732" s="39"/>
      <c r="BD732" s="39"/>
      <c r="BE732" s="39"/>
      <c r="BF732" s="39">
        <f t="shared" si="815"/>
        <v>0</v>
      </c>
      <c r="BG732" s="39"/>
      <c r="BH732" s="39"/>
      <c r="BI732" s="39"/>
      <c r="BJ732" s="39"/>
      <c r="BK732" s="39"/>
      <c r="BL732" s="39">
        <f t="shared" si="769"/>
        <v>0</v>
      </c>
      <c r="BM732" s="54" t="e">
        <f t="shared" si="816"/>
        <v>#DIV/0!</v>
      </c>
      <c r="BN732" s="42"/>
      <c r="BO732" s="39"/>
      <c r="BP732" s="39"/>
      <c r="BQ732" s="39"/>
      <c r="BR732" s="40"/>
      <c r="BS732" s="40"/>
      <c r="BT732" s="39"/>
      <c r="BU732" s="39"/>
      <c r="BV732" s="39"/>
      <c r="BW732" s="39"/>
      <c r="BX732" s="39"/>
      <c r="BY732" s="39"/>
      <c r="BZ732" s="39">
        <f t="shared" si="770"/>
        <v>0</v>
      </c>
      <c r="CA732" s="39">
        <f t="shared" si="817"/>
        <v>0</v>
      </c>
      <c r="CB732" s="39">
        <f t="shared" si="818"/>
        <v>0</v>
      </c>
      <c r="CC732" s="39">
        <f t="shared" si="819"/>
        <v>0</v>
      </c>
      <c r="CD732" s="39">
        <f t="shared" si="771"/>
        <v>0</v>
      </c>
      <c r="CE732" s="47" t="e">
        <f t="shared" si="820"/>
        <v>#DIV/0!</v>
      </c>
      <c r="CF732" s="36"/>
      <c r="CG732" s="39"/>
      <c r="CH732" s="39"/>
      <c r="CI732" s="25">
        <v>1</v>
      </c>
    </row>
    <row r="733" spans="1:88" ht="24.75" customHeight="1">
      <c r="A733" s="36" t="s">
        <v>186</v>
      </c>
      <c r="B733" s="55"/>
      <c r="C733" s="36"/>
      <c r="D733" s="36"/>
      <c r="E733" s="39"/>
      <c r="F733" s="39"/>
      <c r="G733" s="36"/>
      <c r="H733" s="39"/>
      <c r="I733" s="39"/>
      <c r="J733" s="39"/>
      <c r="K733" s="39"/>
      <c r="L733" s="39">
        <f>SUM(I733:K733)</f>
        <v>0</v>
      </c>
      <c r="M733" s="39"/>
      <c r="N733" s="39"/>
      <c r="O733" s="39"/>
      <c r="P733" s="39"/>
      <c r="Q733" s="39"/>
      <c r="R733" s="39">
        <f>SUM(O733:Q733)</f>
        <v>0</v>
      </c>
      <c r="S733" s="39"/>
      <c r="T733" s="39"/>
      <c r="U733" s="39"/>
      <c r="V733" s="39"/>
      <c r="W733" s="39"/>
      <c r="X733" s="39"/>
      <c r="Y733" s="39"/>
      <c r="Z733" s="39"/>
      <c r="AA733" s="39"/>
      <c r="AB733" s="39">
        <f>SUM(Y733:AA733)</f>
        <v>0</v>
      </c>
      <c r="AC733" s="39"/>
      <c r="AD733" s="39"/>
      <c r="AE733" s="39"/>
      <c r="AF733" s="39"/>
      <c r="AG733" s="39"/>
      <c r="AH733" s="39">
        <f t="shared" si="768"/>
        <v>0</v>
      </c>
      <c r="AI733" s="39"/>
      <c r="AJ733" s="39"/>
      <c r="AK733" s="39"/>
      <c r="AL733" s="39"/>
      <c r="AM733" s="39"/>
      <c r="AN733" s="39">
        <f t="shared" si="850"/>
        <v>0</v>
      </c>
      <c r="AO733" s="39"/>
      <c r="AP733" s="39"/>
      <c r="AQ733" s="39"/>
      <c r="AR733" s="39"/>
      <c r="AS733" s="39"/>
      <c r="AT733" s="39">
        <f t="shared" si="813"/>
        <v>0</v>
      </c>
      <c r="AU733" s="39"/>
      <c r="AV733" s="39"/>
      <c r="AW733" s="39"/>
      <c r="AX733" s="39"/>
      <c r="AY733" s="39"/>
      <c r="AZ733" s="39">
        <f t="shared" si="814"/>
        <v>0</v>
      </c>
      <c r="BA733" s="39"/>
      <c r="BB733" s="39"/>
      <c r="BC733" s="39"/>
      <c r="BD733" s="39"/>
      <c r="BE733" s="39"/>
      <c r="BF733" s="39">
        <f t="shared" si="815"/>
        <v>0</v>
      </c>
      <c r="BG733" s="39"/>
      <c r="BH733" s="39"/>
      <c r="BI733" s="39"/>
      <c r="BJ733" s="39"/>
      <c r="BK733" s="39"/>
      <c r="BL733" s="39">
        <f t="shared" si="769"/>
        <v>0</v>
      </c>
      <c r="BM733" s="54" t="e">
        <f t="shared" si="816"/>
        <v>#DIV/0!</v>
      </c>
      <c r="BN733" s="42"/>
      <c r="BO733" s="39"/>
      <c r="BP733" s="39"/>
      <c r="BQ733" s="39"/>
      <c r="BR733" s="40"/>
      <c r="BS733" s="40"/>
      <c r="BT733" s="39"/>
      <c r="BU733" s="39"/>
      <c r="BV733" s="39"/>
      <c r="BW733" s="39"/>
      <c r="BX733" s="39"/>
      <c r="BY733" s="39"/>
      <c r="BZ733" s="39">
        <f t="shared" si="770"/>
        <v>0</v>
      </c>
      <c r="CA733" s="39">
        <f t="shared" si="817"/>
        <v>0</v>
      </c>
      <c r="CB733" s="39">
        <f t="shared" si="818"/>
        <v>0</v>
      </c>
      <c r="CC733" s="39">
        <f t="shared" si="819"/>
        <v>0</v>
      </c>
      <c r="CD733" s="39">
        <f t="shared" si="771"/>
        <v>0</v>
      </c>
      <c r="CE733" s="47" t="e">
        <f t="shared" si="820"/>
        <v>#DIV/0!</v>
      </c>
      <c r="CF733" s="36"/>
      <c r="CG733" s="39"/>
      <c r="CH733" s="39"/>
      <c r="CI733" s="25">
        <v>1</v>
      </c>
    </row>
    <row r="734" spans="1:88" ht="24.75" customHeight="1">
      <c r="A734" s="36" t="s">
        <v>186</v>
      </c>
      <c r="B734" s="55"/>
      <c r="C734" s="36"/>
      <c r="D734" s="36"/>
      <c r="E734" s="39"/>
      <c r="F734" s="39"/>
      <c r="G734" s="36"/>
      <c r="H734" s="39"/>
      <c r="I734" s="39"/>
      <c r="J734" s="39"/>
      <c r="K734" s="39"/>
      <c r="L734" s="39">
        <f>SUM(I734:K734)</f>
        <v>0</v>
      </c>
      <c r="M734" s="39"/>
      <c r="N734" s="39"/>
      <c r="O734" s="39"/>
      <c r="P734" s="39"/>
      <c r="Q734" s="39"/>
      <c r="R734" s="39">
        <f>SUM(O734:Q734)</f>
        <v>0</v>
      </c>
      <c r="S734" s="39"/>
      <c r="T734" s="39"/>
      <c r="U734" s="39"/>
      <c r="V734" s="39"/>
      <c r="W734" s="39"/>
      <c r="X734" s="39"/>
      <c r="Y734" s="39"/>
      <c r="Z734" s="39"/>
      <c r="AA734" s="39"/>
      <c r="AB734" s="39">
        <f>SUM(Y734:AA734)</f>
        <v>0</v>
      </c>
      <c r="AC734" s="39"/>
      <c r="AD734" s="39"/>
      <c r="AE734" s="39"/>
      <c r="AF734" s="39"/>
      <c r="AG734" s="39"/>
      <c r="AH734" s="39">
        <f t="shared" si="768"/>
        <v>0</v>
      </c>
      <c r="AI734" s="39"/>
      <c r="AJ734" s="39"/>
      <c r="AK734" s="39"/>
      <c r="AL734" s="39"/>
      <c r="AM734" s="39"/>
      <c r="AN734" s="39">
        <f t="shared" si="850"/>
        <v>0</v>
      </c>
      <c r="AO734" s="39"/>
      <c r="AP734" s="39"/>
      <c r="AQ734" s="39"/>
      <c r="AR734" s="39"/>
      <c r="AS734" s="39"/>
      <c r="AT734" s="39">
        <f t="shared" si="813"/>
        <v>0</v>
      </c>
      <c r="AU734" s="39"/>
      <c r="AV734" s="39"/>
      <c r="AW734" s="39"/>
      <c r="AX734" s="39"/>
      <c r="AY734" s="39"/>
      <c r="AZ734" s="39">
        <f t="shared" si="814"/>
        <v>0</v>
      </c>
      <c r="BA734" s="39"/>
      <c r="BB734" s="39"/>
      <c r="BC734" s="39"/>
      <c r="BD734" s="39"/>
      <c r="BE734" s="39"/>
      <c r="BF734" s="39">
        <f t="shared" si="815"/>
        <v>0</v>
      </c>
      <c r="BG734" s="39"/>
      <c r="BH734" s="39"/>
      <c r="BI734" s="39"/>
      <c r="BJ734" s="39"/>
      <c r="BK734" s="39"/>
      <c r="BL734" s="39">
        <f t="shared" si="769"/>
        <v>0</v>
      </c>
      <c r="BM734" s="54" t="e">
        <f t="shared" si="816"/>
        <v>#DIV/0!</v>
      </c>
      <c r="BN734" s="42"/>
      <c r="BO734" s="39"/>
      <c r="BP734" s="39"/>
      <c r="BQ734" s="39"/>
      <c r="BR734" s="40"/>
      <c r="BS734" s="40"/>
      <c r="BT734" s="39"/>
      <c r="BU734" s="39"/>
      <c r="BV734" s="39"/>
      <c r="BW734" s="39"/>
      <c r="BX734" s="39"/>
      <c r="BY734" s="39"/>
      <c r="BZ734" s="39">
        <f t="shared" si="770"/>
        <v>0</v>
      </c>
      <c r="CA734" s="39">
        <f t="shared" si="817"/>
        <v>0</v>
      </c>
      <c r="CB734" s="39">
        <f t="shared" si="818"/>
        <v>0</v>
      </c>
      <c r="CC734" s="39">
        <f t="shared" si="819"/>
        <v>0</v>
      </c>
      <c r="CD734" s="39">
        <f t="shared" si="771"/>
        <v>0</v>
      </c>
      <c r="CE734" s="47" t="e">
        <f t="shared" si="820"/>
        <v>#DIV/0!</v>
      </c>
      <c r="CF734" s="36"/>
      <c r="CG734" s="39"/>
      <c r="CH734" s="39"/>
      <c r="CI734" s="25">
        <v>1</v>
      </c>
    </row>
    <row r="735" spans="1:88" ht="24.75" customHeight="1">
      <c r="A735" s="36" t="s">
        <v>186</v>
      </c>
      <c r="B735" s="55"/>
      <c r="C735" s="36"/>
      <c r="D735" s="36"/>
      <c r="E735" s="39"/>
      <c r="F735" s="39"/>
      <c r="G735" s="36"/>
      <c r="H735" s="39"/>
      <c r="I735" s="39"/>
      <c r="J735" s="39"/>
      <c r="K735" s="39"/>
      <c r="L735" s="39">
        <f>SUM(I735:K735)</f>
        <v>0</v>
      </c>
      <c r="M735" s="39"/>
      <c r="N735" s="39"/>
      <c r="O735" s="39"/>
      <c r="P735" s="39"/>
      <c r="Q735" s="39"/>
      <c r="R735" s="39">
        <f>SUM(O735:Q735)</f>
        <v>0</v>
      </c>
      <c r="S735" s="39"/>
      <c r="T735" s="39"/>
      <c r="U735" s="39"/>
      <c r="V735" s="39"/>
      <c r="W735" s="39"/>
      <c r="X735" s="39"/>
      <c r="Y735" s="39"/>
      <c r="Z735" s="39"/>
      <c r="AA735" s="39"/>
      <c r="AB735" s="39">
        <f>SUM(Y735:AA735)</f>
        <v>0</v>
      </c>
      <c r="AC735" s="39"/>
      <c r="AD735" s="39"/>
      <c r="AE735" s="39"/>
      <c r="AF735" s="39"/>
      <c r="AG735" s="39"/>
      <c r="AH735" s="39">
        <f t="shared" si="768"/>
        <v>0</v>
      </c>
      <c r="AI735" s="39"/>
      <c r="AJ735" s="39"/>
      <c r="AK735" s="39"/>
      <c r="AL735" s="39"/>
      <c r="AM735" s="39"/>
      <c r="AN735" s="39">
        <f t="shared" si="850"/>
        <v>0</v>
      </c>
      <c r="AO735" s="39"/>
      <c r="AP735" s="39"/>
      <c r="AQ735" s="39"/>
      <c r="AR735" s="39"/>
      <c r="AS735" s="39"/>
      <c r="AT735" s="39">
        <f t="shared" si="813"/>
        <v>0</v>
      </c>
      <c r="AU735" s="39"/>
      <c r="AV735" s="39"/>
      <c r="AW735" s="39"/>
      <c r="AX735" s="39"/>
      <c r="AY735" s="39"/>
      <c r="AZ735" s="39">
        <f t="shared" si="814"/>
        <v>0</v>
      </c>
      <c r="BA735" s="39"/>
      <c r="BB735" s="39"/>
      <c r="BC735" s="39"/>
      <c r="BD735" s="39"/>
      <c r="BE735" s="39"/>
      <c r="BF735" s="39">
        <f t="shared" si="815"/>
        <v>0</v>
      </c>
      <c r="BG735" s="39"/>
      <c r="BH735" s="39"/>
      <c r="BI735" s="39"/>
      <c r="BJ735" s="39"/>
      <c r="BK735" s="39"/>
      <c r="BL735" s="39">
        <f t="shared" si="769"/>
        <v>0</v>
      </c>
      <c r="BM735" s="54" t="e">
        <f t="shared" si="816"/>
        <v>#DIV/0!</v>
      </c>
      <c r="BN735" s="42"/>
      <c r="BO735" s="39"/>
      <c r="BP735" s="39"/>
      <c r="BQ735" s="39"/>
      <c r="BR735" s="40"/>
      <c r="BS735" s="40"/>
      <c r="BT735" s="39"/>
      <c r="BU735" s="39"/>
      <c r="BV735" s="39"/>
      <c r="BW735" s="39"/>
      <c r="BX735" s="39"/>
      <c r="BY735" s="39"/>
      <c r="BZ735" s="39">
        <f t="shared" si="770"/>
        <v>0</v>
      </c>
      <c r="CA735" s="39">
        <f t="shared" si="817"/>
        <v>0</v>
      </c>
      <c r="CB735" s="39">
        <f t="shared" si="818"/>
        <v>0</v>
      </c>
      <c r="CC735" s="39">
        <f t="shared" si="819"/>
        <v>0</v>
      </c>
      <c r="CD735" s="39">
        <f t="shared" si="771"/>
        <v>0</v>
      </c>
      <c r="CE735" s="47" t="e">
        <f t="shared" si="820"/>
        <v>#DIV/0!</v>
      </c>
      <c r="CF735" s="36"/>
      <c r="CG735" s="39"/>
      <c r="CH735" s="39"/>
      <c r="CI735" s="25">
        <v>1</v>
      </c>
    </row>
    <row r="736" spans="1:88" ht="24.75" customHeight="1">
      <c r="A736" s="36" t="s">
        <v>186</v>
      </c>
      <c r="B736" s="55"/>
      <c r="C736" s="36"/>
      <c r="D736" s="36"/>
      <c r="E736" s="39"/>
      <c r="F736" s="39"/>
      <c r="G736" s="36"/>
      <c r="H736" s="39"/>
      <c r="I736" s="39"/>
      <c r="J736" s="39"/>
      <c r="K736" s="39"/>
      <c r="L736" s="39">
        <f t="shared" si="785"/>
        <v>0</v>
      </c>
      <c r="M736" s="39"/>
      <c r="N736" s="39"/>
      <c r="O736" s="39"/>
      <c r="P736" s="39"/>
      <c r="Q736" s="39"/>
      <c r="R736" s="39">
        <f t="shared" si="786"/>
        <v>0</v>
      </c>
      <c r="S736" s="39"/>
      <c r="T736" s="39"/>
      <c r="U736" s="39"/>
      <c r="V736" s="39"/>
      <c r="W736" s="39"/>
      <c r="X736" s="39"/>
      <c r="Y736" s="39"/>
      <c r="Z736" s="39"/>
      <c r="AA736" s="39"/>
      <c r="AB736" s="39">
        <f t="shared" si="787"/>
        <v>0</v>
      </c>
      <c r="AC736" s="39"/>
      <c r="AD736" s="39"/>
      <c r="AE736" s="39"/>
      <c r="AF736" s="39"/>
      <c r="AG736" s="39"/>
      <c r="AH736" s="39">
        <f t="shared" si="768"/>
        <v>0</v>
      </c>
      <c r="AI736" s="39"/>
      <c r="AJ736" s="39"/>
      <c r="AK736" s="39"/>
      <c r="AL736" s="39"/>
      <c r="AM736" s="39"/>
      <c r="AN736" s="39">
        <f t="shared" si="850"/>
        <v>0</v>
      </c>
      <c r="AO736" s="39"/>
      <c r="AP736" s="39"/>
      <c r="AQ736" s="39"/>
      <c r="AR736" s="39"/>
      <c r="AS736" s="39"/>
      <c r="AT736" s="39">
        <f t="shared" si="813"/>
        <v>0</v>
      </c>
      <c r="AU736" s="39"/>
      <c r="AV736" s="39"/>
      <c r="AW736" s="39"/>
      <c r="AX736" s="39"/>
      <c r="AY736" s="39"/>
      <c r="AZ736" s="39">
        <f t="shared" si="814"/>
        <v>0</v>
      </c>
      <c r="BA736" s="39"/>
      <c r="BB736" s="39"/>
      <c r="BC736" s="39"/>
      <c r="BD736" s="39"/>
      <c r="BE736" s="39"/>
      <c r="BF736" s="39">
        <f t="shared" si="815"/>
        <v>0</v>
      </c>
      <c r="BG736" s="39"/>
      <c r="BH736" s="39"/>
      <c r="BI736" s="39"/>
      <c r="BJ736" s="39"/>
      <c r="BK736" s="39"/>
      <c r="BL736" s="39">
        <f t="shared" si="769"/>
        <v>0</v>
      </c>
      <c r="BM736" s="54" t="e">
        <f t="shared" si="816"/>
        <v>#DIV/0!</v>
      </c>
      <c r="BN736" s="67"/>
      <c r="BO736" s="39"/>
      <c r="BP736" s="39"/>
      <c r="BQ736" s="39"/>
      <c r="BR736" s="40"/>
      <c r="BS736" s="40"/>
      <c r="BT736" s="39"/>
      <c r="BU736" s="39"/>
      <c r="BV736" s="39"/>
      <c r="BW736" s="39"/>
      <c r="BX736" s="39"/>
      <c r="BY736" s="39"/>
      <c r="BZ736" s="39">
        <f t="shared" si="770"/>
        <v>0</v>
      </c>
      <c r="CA736" s="39">
        <f t="shared" si="817"/>
        <v>0</v>
      </c>
      <c r="CB736" s="39">
        <f t="shared" si="818"/>
        <v>0</v>
      </c>
      <c r="CC736" s="39">
        <f t="shared" si="819"/>
        <v>0</v>
      </c>
      <c r="CD736" s="39">
        <f t="shared" si="771"/>
        <v>0</v>
      </c>
      <c r="CE736" s="47" t="e">
        <f t="shared" si="820"/>
        <v>#DIV/0!</v>
      </c>
      <c r="CF736" s="36"/>
      <c r="CG736" s="39"/>
      <c r="CH736" s="39"/>
      <c r="CI736" s="25">
        <v>2</v>
      </c>
    </row>
    <row r="737" spans="1:87" ht="24.75" customHeight="1">
      <c r="A737" s="36" t="s">
        <v>186</v>
      </c>
      <c r="B737" s="55"/>
      <c r="C737" s="36"/>
      <c r="D737" s="36"/>
      <c r="E737" s="39"/>
      <c r="F737" s="39"/>
      <c r="G737" s="36"/>
      <c r="H737" s="39"/>
      <c r="I737" s="39"/>
      <c r="J737" s="39"/>
      <c r="K737" s="39"/>
      <c r="L737" s="39">
        <f t="shared" si="785"/>
        <v>0</v>
      </c>
      <c r="M737" s="39"/>
      <c r="N737" s="39"/>
      <c r="O737" s="39"/>
      <c r="P737" s="39"/>
      <c r="Q737" s="39"/>
      <c r="R737" s="39">
        <f t="shared" si="786"/>
        <v>0</v>
      </c>
      <c r="S737" s="39"/>
      <c r="T737" s="39"/>
      <c r="U737" s="39"/>
      <c r="V737" s="39"/>
      <c r="W737" s="39"/>
      <c r="X737" s="39"/>
      <c r="Y737" s="39"/>
      <c r="Z737" s="39"/>
      <c r="AA737" s="39"/>
      <c r="AB737" s="39">
        <f t="shared" si="787"/>
        <v>0</v>
      </c>
      <c r="AC737" s="39"/>
      <c r="AD737" s="39"/>
      <c r="AE737" s="39"/>
      <c r="AF737" s="39"/>
      <c r="AG737" s="39"/>
      <c r="AH737" s="39">
        <f t="shared" si="768"/>
        <v>0</v>
      </c>
      <c r="AI737" s="39"/>
      <c r="AJ737" s="39"/>
      <c r="AK737" s="39"/>
      <c r="AL737" s="39"/>
      <c r="AM737" s="39"/>
      <c r="AN737" s="39">
        <f t="shared" si="850"/>
        <v>0</v>
      </c>
      <c r="AO737" s="39"/>
      <c r="AP737" s="39"/>
      <c r="AQ737" s="39"/>
      <c r="AR737" s="39"/>
      <c r="AS737" s="39"/>
      <c r="AT737" s="39">
        <f t="shared" si="813"/>
        <v>0</v>
      </c>
      <c r="AU737" s="39"/>
      <c r="AV737" s="39"/>
      <c r="AW737" s="39"/>
      <c r="AX737" s="39"/>
      <c r="AY737" s="39"/>
      <c r="AZ737" s="39">
        <f t="shared" si="814"/>
        <v>0</v>
      </c>
      <c r="BA737" s="39"/>
      <c r="BB737" s="39"/>
      <c r="BC737" s="39"/>
      <c r="BD737" s="39"/>
      <c r="BE737" s="39"/>
      <c r="BF737" s="39">
        <f t="shared" si="815"/>
        <v>0</v>
      </c>
      <c r="BG737" s="39"/>
      <c r="BH737" s="39"/>
      <c r="BI737" s="39"/>
      <c r="BJ737" s="39"/>
      <c r="BK737" s="39"/>
      <c r="BL737" s="39">
        <f t="shared" si="769"/>
        <v>0</v>
      </c>
      <c r="BM737" s="54" t="e">
        <f t="shared" si="816"/>
        <v>#DIV/0!</v>
      </c>
      <c r="BN737" s="67"/>
      <c r="BO737" s="39"/>
      <c r="BP737" s="39"/>
      <c r="BQ737" s="39"/>
      <c r="BR737" s="40"/>
      <c r="BS737" s="40"/>
      <c r="BT737" s="39"/>
      <c r="BU737" s="39"/>
      <c r="BV737" s="39"/>
      <c r="BW737" s="39"/>
      <c r="BX737" s="39"/>
      <c r="BY737" s="39"/>
      <c r="BZ737" s="39">
        <f t="shared" si="770"/>
        <v>0</v>
      </c>
      <c r="CA737" s="39">
        <f t="shared" si="817"/>
        <v>0</v>
      </c>
      <c r="CB737" s="39">
        <f t="shared" si="818"/>
        <v>0</v>
      </c>
      <c r="CC737" s="39">
        <f t="shared" si="819"/>
        <v>0</v>
      </c>
      <c r="CD737" s="39">
        <f t="shared" si="771"/>
        <v>0</v>
      </c>
      <c r="CE737" s="47" t="e">
        <f t="shared" si="820"/>
        <v>#DIV/0!</v>
      </c>
      <c r="CF737" s="36"/>
      <c r="CG737" s="39"/>
      <c r="CH737" s="39"/>
      <c r="CI737" s="25">
        <v>2</v>
      </c>
    </row>
    <row r="738" spans="1:87" ht="24.75" customHeight="1">
      <c r="A738" s="36" t="s">
        <v>186</v>
      </c>
      <c r="B738" s="55"/>
      <c r="C738" s="36"/>
      <c r="D738" s="36"/>
      <c r="E738" s="39"/>
      <c r="F738" s="39"/>
      <c r="G738" s="36"/>
      <c r="H738" s="39"/>
      <c r="I738" s="39"/>
      <c r="J738" s="39"/>
      <c r="K738" s="39"/>
      <c r="L738" s="39">
        <f>SUM(I738:K738)</f>
        <v>0</v>
      </c>
      <c r="M738" s="39"/>
      <c r="N738" s="39"/>
      <c r="O738" s="39"/>
      <c r="P738" s="39"/>
      <c r="Q738" s="39"/>
      <c r="R738" s="39">
        <f>SUM(O738:Q738)</f>
        <v>0</v>
      </c>
      <c r="S738" s="39"/>
      <c r="T738" s="39"/>
      <c r="U738" s="39"/>
      <c r="V738" s="39"/>
      <c r="W738" s="39"/>
      <c r="X738" s="39"/>
      <c r="Y738" s="39"/>
      <c r="Z738" s="39"/>
      <c r="AA738" s="39"/>
      <c r="AB738" s="39">
        <f>SUM(Y738:AA738)</f>
        <v>0</v>
      </c>
      <c r="AC738" s="39"/>
      <c r="AD738" s="39"/>
      <c r="AE738" s="39"/>
      <c r="AF738" s="39"/>
      <c r="AG738" s="39"/>
      <c r="AH738" s="39">
        <f t="shared" si="768"/>
        <v>0</v>
      </c>
      <c r="AI738" s="39"/>
      <c r="AJ738" s="39"/>
      <c r="AK738" s="39"/>
      <c r="AL738" s="39"/>
      <c r="AM738" s="39"/>
      <c r="AN738" s="39">
        <f t="shared" si="850"/>
        <v>0</v>
      </c>
      <c r="AO738" s="39"/>
      <c r="AP738" s="39"/>
      <c r="AQ738" s="39"/>
      <c r="AR738" s="39"/>
      <c r="AS738" s="39"/>
      <c r="AT738" s="39">
        <f t="shared" si="813"/>
        <v>0</v>
      </c>
      <c r="AU738" s="39"/>
      <c r="AV738" s="39"/>
      <c r="AW738" s="39"/>
      <c r="AX738" s="39"/>
      <c r="AY738" s="39"/>
      <c r="AZ738" s="39">
        <f t="shared" si="814"/>
        <v>0</v>
      </c>
      <c r="BA738" s="39"/>
      <c r="BB738" s="39"/>
      <c r="BC738" s="39"/>
      <c r="BD738" s="39"/>
      <c r="BE738" s="39"/>
      <c r="BF738" s="39">
        <f t="shared" si="815"/>
        <v>0</v>
      </c>
      <c r="BG738" s="39"/>
      <c r="BH738" s="39"/>
      <c r="BI738" s="39"/>
      <c r="BJ738" s="39"/>
      <c r="BK738" s="39"/>
      <c r="BL738" s="39">
        <f t="shared" si="769"/>
        <v>0</v>
      </c>
      <c r="BM738" s="54" t="e">
        <f t="shared" si="816"/>
        <v>#DIV/0!</v>
      </c>
      <c r="BN738" s="67"/>
      <c r="BO738" s="39"/>
      <c r="BP738" s="39"/>
      <c r="BQ738" s="39"/>
      <c r="BR738" s="40"/>
      <c r="BS738" s="40"/>
      <c r="BT738" s="39"/>
      <c r="BU738" s="39"/>
      <c r="BV738" s="39"/>
      <c r="BW738" s="39"/>
      <c r="BX738" s="39"/>
      <c r="BY738" s="39"/>
      <c r="BZ738" s="39">
        <f t="shared" si="770"/>
        <v>0</v>
      </c>
      <c r="CA738" s="39">
        <f t="shared" si="817"/>
        <v>0</v>
      </c>
      <c r="CB738" s="39">
        <f t="shared" si="818"/>
        <v>0</v>
      </c>
      <c r="CC738" s="39">
        <f t="shared" si="819"/>
        <v>0</v>
      </c>
      <c r="CD738" s="39">
        <f t="shared" si="771"/>
        <v>0</v>
      </c>
      <c r="CE738" s="47" t="e">
        <f t="shared" si="820"/>
        <v>#DIV/0!</v>
      </c>
      <c r="CF738" s="36"/>
      <c r="CG738" s="39"/>
      <c r="CH738" s="39"/>
      <c r="CI738" s="25">
        <v>2</v>
      </c>
    </row>
    <row r="739" spans="1:87" ht="24.75" customHeight="1">
      <c r="A739" s="36" t="s">
        <v>186</v>
      </c>
      <c r="B739" s="55"/>
      <c r="C739" s="36"/>
      <c r="D739" s="36"/>
      <c r="E739" s="39"/>
      <c r="F739" s="39"/>
      <c r="G739" s="36"/>
      <c r="H739" s="39"/>
      <c r="I739" s="39"/>
      <c r="J739" s="39"/>
      <c r="K739" s="39"/>
      <c r="L739" s="39">
        <f>SUM(I739:K739)</f>
        <v>0</v>
      </c>
      <c r="M739" s="39"/>
      <c r="N739" s="39"/>
      <c r="O739" s="39"/>
      <c r="P739" s="39"/>
      <c r="Q739" s="39"/>
      <c r="R739" s="39">
        <f>SUM(O739:Q739)</f>
        <v>0</v>
      </c>
      <c r="S739" s="39"/>
      <c r="T739" s="39"/>
      <c r="U739" s="39"/>
      <c r="V739" s="39"/>
      <c r="W739" s="39"/>
      <c r="X739" s="39"/>
      <c r="Y739" s="39"/>
      <c r="Z739" s="39"/>
      <c r="AA739" s="39"/>
      <c r="AB739" s="39">
        <f>SUM(Y739:AA739)</f>
        <v>0</v>
      </c>
      <c r="AC739" s="39"/>
      <c r="AD739" s="39"/>
      <c r="AE739" s="39"/>
      <c r="AF739" s="39"/>
      <c r="AG739" s="39"/>
      <c r="AH739" s="39">
        <f t="shared" si="768"/>
        <v>0</v>
      </c>
      <c r="AI739" s="39"/>
      <c r="AJ739" s="39"/>
      <c r="AK739" s="39"/>
      <c r="AL739" s="39"/>
      <c r="AM739" s="39"/>
      <c r="AN739" s="39">
        <f t="shared" si="850"/>
        <v>0</v>
      </c>
      <c r="AO739" s="39"/>
      <c r="AP739" s="39"/>
      <c r="AQ739" s="39"/>
      <c r="AR739" s="39"/>
      <c r="AS739" s="39"/>
      <c r="AT739" s="39">
        <f t="shared" si="813"/>
        <v>0</v>
      </c>
      <c r="AU739" s="39"/>
      <c r="AV739" s="39"/>
      <c r="AW739" s="39"/>
      <c r="AX739" s="39"/>
      <c r="AY739" s="39"/>
      <c r="AZ739" s="39">
        <f t="shared" si="814"/>
        <v>0</v>
      </c>
      <c r="BA739" s="39"/>
      <c r="BB739" s="39"/>
      <c r="BC739" s="39"/>
      <c r="BD739" s="39"/>
      <c r="BE739" s="39"/>
      <c r="BF739" s="39">
        <f t="shared" si="815"/>
        <v>0</v>
      </c>
      <c r="BG739" s="39"/>
      <c r="BH739" s="39"/>
      <c r="BI739" s="39"/>
      <c r="BJ739" s="39"/>
      <c r="BK739" s="39"/>
      <c r="BL739" s="39">
        <f t="shared" si="769"/>
        <v>0</v>
      </c>
      <c r="BM739" s="54" t="e">
        <f t="shared" si="816"/>
        <v>#DIV/0!</v>
      </c>
      <c r="BN739" s="67"/>
      <c r="BO739" s="39"/>
      <c r="BP739" s="39"/>
      <c r="BQ739" s="39"/>
      <c r="BR739" s="40"/>
      <c r="BS739" s="40"/>
      <c r="BT739" s="39"/>
      <c r="BU739" s="39"/>
      <c r="BV739" s="39"/>
      <c r="BW739" s="39"/>
      <c r="BX739" s="39"/>
      <c r="BY739" s="39"/>
      <c r="BZ739" s="39">
        <f t="shared" si="770"/>
        <v>0</v>
      </c>
      <c r="CA739" s="39">
        <f t="shared" si="817"/>
        <v>0</v>
      </c>
      <c r="CB739" s="39">
        <f t="shared" si="818"/>
        <v>0</v>
      </c>
      <c r="CC739" s="39">
        <f t="shared" si="819"/>
        <v>0</v>
      </c>
      <c r="CD739" s="39">
        <f t="shared" si="771"/>
        <v>0</v>
      </c>
      <c r="CE739" s="47" t="e">
        <f t="shared" si="820"/>
        <v>#DIV/0!</v>
      </c>
      <c r="CF739" s="36"/>
      <c r="CG739" s="39"/>
      <c r="CH739" s="39"/>
      <c r="CI739" s="25">
        <v>2</v>
      </c>
    </row>
    <row r="740" spans="1:87" ht="24.75" customHeight="1">
      <c r="A740" s="36" t="s">
        <v>186</v>
      </c>
      <c r="B740" s="55"/>
      <c r="C740" s="36"/>
      <c r="D740" s="36"/>
      <c r="E740" s="39"/>
      <c r="F740" s="39"/>
      <c r="G740" s="36"/>
      <c r="H740" s="39"/>
      <c r="I740" s="39"/>
      <c r="J740" s="39"/>
      <c r="K740" s="39"/>
      <c r="L740" s="39">
        <f>SUM(I740:K740)</f>
        <v>0</v>
      </c>
      <c r="M740" s="39"/>
      <c r="N740" s="39"/>
      <c r="O740" s="39"/>
      <c r="P740" s="39"/>
      <c r="Q740" s="39"/>
      <c r="R740" s="39">
        <f>SUM(O740:Q740)</f>
        <v>0</v>
      </c>
      <c r="S740" s="39"/>
      <c r="T740" s="39"/>
      <c r="U740" s="39"/>
      <c r="V740" s="39"/>
      <c r="W740" s="39"/>
      <c r="X740" s="39"/>
      <c r="Y740" s="39"/>
      <c r="Z740" s="39"/>
      <c r="AA740" s="39"/>
      <c r="AB740" s="39">
        <f>SUM(Y740:AA740)</f>
        <v>0</v>
      </c>
      <c r="AC740" s="39"/>
      <c r="AD740" s="39"/>
      <c r="AE740" s="39"/>
      <c r="AF740" s="39"/>
      <c r="AG740" s="39"/>
      <c r="AH740" s="39">
        <f t="shared" ref="AH740:AH869" si="851">AG740-AE740</f>
        <v>0</v>
      </c>
      <c r="AI740" s="39"/>
      <c r="AJ740" s="39"/>
      <c r="AK740" s="39"/>
      <c r="AL740" s="39"/>
      <c r="AM740" s="39"/>
      <c r="AN740" s="39">
        <f t="shared" si="850"/>
        <v>0</v>
      </c>
      <c r="AO740" s="39"/>
      <c r="AP740" s="39"/>
      <c r="AQ740" s="39"/>
      <c r="AR740" s="39"/>
      <c r="AS740" s="39"/>
      <c r="AT740" s="39">
        <f t="shared" si="813"/>
        <v>0</v>
      </c>
      <c r="AU740" s="39"/>
      <c r="AV740" s="39"/>
      <c r="AW740" s="39"/>
      <c r="AX740" s="39"/>
      <c r="AY740" s="39"/>
      <c r="AZ740" s="39">
        <f t="shared" si="814"/>
        <v>0</v>
      </c>
      <c r="BA740" s="39"/>
      <c r="BB740" s="39"/>
      <c r="BC740" s="39"/>
      <c r="BD740" s="39"/>
      <c r="BE740" s="39"/>
      <c r="BF740" s="39">
        <f t="shared" si="815"/>
        <v>0</v>
      </c>
      <c r="BG740" s="39"/>
      <c r="BH740" s="39"/>
      <c r="BI740" s="39"/>
      <c r="BJ740" s="39"/>
      <c r="BK740" s="39"/>
      <c r="BL740" s="39">
        <f t="shared" ref="BL740:BL869" si="852">BK740-BI740</f>
        <v>0</v>
      </c>
      <c r="BM740" s="54" t="e">
        <f t="shared" si="816"/>
        <v>#DIV/0!</v>
      </c>
      <c r="BN740" s="67"/>
      <c r="BO740" s="39"/>
      <c r="BP740" s="39"/>
      <c r="BQ740" s="39"/>
      <c r="BR740" s="40"/>
      <c r="BS740" s="40"/>
      <c r="BT740" s="39"/>
      <c r="BU740" s="39"/>
      <c r="BV740" s="39"/>
      <c r="BW740" s="39"/>
      <c r="BX740" s="39"/>
      <c r="BY740" s="39"/>
      <c r="BZ740" s="39">
        <f t="shared" ref="BZ740:BZ869" si="853">BU740+BW740+BY740</f>
        <v>0</v>
      </c>
      <c r="CA740" s="39">
        <f t="shared" si="817"/>
        <v>0</v>
      </c>
      <c r="CB740" s="39">
        <f t="shared" si="818"/>
        <v>0</v>
      </c>
      <c r="CC740" s="39">
        <f t="shared" si="819"/>
        <v>0</v>
      </c>
      <c r="CD740" s="39">
        <f t="shared" ref="CD740:CD869" si="854">SUMIF(CA740:CC740,"&lt;0")</f>
        <v>0</v>
      </c>
      <c r="CE740" s="47" t="e">
        <f t="shared" si="820"/>
        <v>#DIV/0!</v>
      </c>
      <c r="CF740" s="36"/>
      <c r="CG740" s="39"/>
      <c r="CH740" s="39"/>
      <c r="CI740" s="25">
        <v>2</v>
      </c>
    </row>
    <row r="741" spans="1:87" ht="24.75" customHeight="1">
      <c r="A741" s="36" t="s">
        <v>186</v>
      </c>
      <c r="B741" s="55"/>
      <c r="C741" s="36"/>
      <c r="D741" s="36"/>
      <c r="E741" s="39"/>
      <c r="F741" s="39"/>
      <c r="G741" s="36"/>
      <c r="H741" s="39"/>
      <c r="I741" s="39"/>
      <c r="J741" s="39"/>
      <c r="K741" s="39"/>
      <c r="L741" s="39">
        <f t="shared" si="785"/>
        <v>0</v>
      </c>
      <c r="M741" s="39"/>
      <c r="N741" s="39"/>
      <c r="O741" s="39"/>
      <c r="P741" s="39"/>
      <c r="Q741" s="39"/>
      <c r="R741" s="39">
        <f t="shared" si="786"/>
        <v>0</v>
      </c>
      <c r="S741" s="39"/>
      <c r="T741" s="39"/>
      <c r="U741" s="39"/>
      <c r="V741" s="39"/>
      <c r="W741" s="39"/>
      <c r="X741" s="39"/>
      <c r="Y741" s="39"/>
      <c r="Z741" s="39"/>
      <c r="AA741" s="39"/>
      <c r="AB741" s="39">
        <f t="shared" si="787"/>
        <v>0</v>
      </c>
      <c r="AC741" s="39"/>
      <c r="AD741" s="39"/>
      <c r="AE741" s="39"/>
      <c r="AF741" s="39"/>
      <c r="AG741" s="39"/>
      <c r="AH741" s="39">
        <f t="shared" si="851"/>
        <v>0</v>
      </c>
      <c r="AI741" s="39"/>
      <c r="AJ741" s="39"/>
      <c r="AK741" s="39"/>
      <c r="AL741" s="39"/>
      <c r="AM741" s="39"/>
      <c r="AN741" s="39">
        <f t="shared" si="850"/>
        <v>0</v>
      </c>
      <c r="AO741" s="39"/>
      <c r="AP741" s="39"/>
      <c r="AQ741" s="39"/>
      <c r="AR741" s="39"/>
      <c r="AS741" s="39"/>
      <c r="AT741" s="39">
        <f t="shared" si="813"/>
        <v>0</v>
      </c>
      <c r="AU741" s="39"/>
      <c r="AV741" s="39"/>
      <c r="AW741" s="39"/>
      <c r="AX741" s="39"/>
      <c r="AY741" s="39"/>
      <c r="AZ741" s="39">
        <f t="shared" si="814"/>
        <v>0</v>
      </c>
      <c r="BA741" s="39"/>
      <c r="BB741" s="39"/>
      <c r="BC741" s="39"/>
      <c r="BD741" s="39"/>
      <c r="BE741" s="39"/>
      <c r="BF741" s="39">
        <f t="shared" si="815"/>
        <v>0</v>
      </c>
      <c r="BG741" s="39"/>
      <c r="BH741" s="39"/>
      <c r="BI741" s="39"/>
      <c r="BJ741" s="39"/>
      <c r="BK741" s="39"/>
      <c r="BL741" s="39">
        <f t="shared" si="852"/>
        <v>0</v>
      </c>
      <c r="BM741" s="54" t="e">
        <f t="shared" si="816"/>
        <v>#DIV/0!</v>
      </c>
      <c r="BN741" s="63"/>
      <c r="BO741" s="39"/>
      <c r="BP741" s="39"/>
      <c r="BQ741" s="39"/>
      <c r="BR741" s="40"/>
      <c r="BS741" s="40"/>
      <c r="BT741" s="39"/>
      <c r="BU741" s="39"/>
      <c r="BV741" s="39"/>
      <c r="BW741" s="39"/>
      <c r="BX741" s="39"/>
      <c r="BY741" s="39"/>
      <c r="BZ741" s="39">
        <f t="shared" si="853"/>
        <v>0</v>
      </c>
      <c r="CA741" s="39">
        <f t="shared" si="817"/>
        <v>0</v>
      </c>
      <c r="CB741" s="39">
        <f t="shared" si="818"/>
        <v>0</v>
      </c>
      <c r="CC741" s="39">
        <f t="shared" si="819"/>
        <v>0</v>
      </c>
      <c r="CD741" s="39">
        <f t="shared" si="854"/>
        <v>0</v>
      </c>
      <c r="CE741" s="47" t="e">
        <f t="shared" si="820"/>
        <v>#DIV/0!</v>
      </c>
      <c r="CF741" s="36"/>
      <c r="CG741" s="39"/>
      <c r="CH741" s="39"/>
      <c r="CI741" s="25">
        <v>3</v>
      </c>
    </row>
    <row r="742" spans="1:87" ht="24.75" customHeight="1">
      <c r="A742" s="36" t="s">
        <v>186</v>
      </c>
      <c r="B742" s="55"/>
      <c r="C742" s="36"/>
      <c r="D742" s="36"/>
      <c r="E742" s="39"/>
      <c r="F742" s="39"/>
      <c r="G742" s="36"/>
      <c r="H742" s="39"/>
      <c r="I742" s="39"/>
      <c r="J742" s="39"/>
      <c r="K742" s="39"/>
      <c r="L742" s="39">
        <f t="shared" si="785"/>
        <v>0</v>
      </c>
      <c r="M742" s="39"/>
      <c r="N742" s="39"/>
      <c r="O742" s="39"/>
      <c r="P742" s="39"/>
      <c r="Q742" s="39"/>
      <c r="R742" s="39">
        <f t="shared" si="786"/>
        <v>0</v>
      </c>
      <c r="S742" s="39"/>
      <c r="T742" s="39"/>
      <c r="U742" s="39"/>
      <c r="V742" s="39"/>
      <c r="W742" s="39"/>
      <c r="X742" s="39"/>
      <c r="Y742" s="39"/>
      <c r="Z742" s="39"/>
      <c r="AA742" s="39"/>
      <c r="AB742" s="39">
        <f t="shared" si="787"/>
        <v>0</v>
      </c>
      <c r="AC742" s="39"/>
      <c r="AD742" s="39"/>
      <c r="AE742" s="39"/>
      <c r="AF742" s="39"/>
      <c r="AG742" s="39"/>
      <c r="AH742" s="39">
        <f t="shared" si="851"/>
        <v>0</v>
      </c>
      <c r="AI742" s="39"/>
      <c r="AJ742" s="39"/>
      <c r="AK742" s="39"/>
      <c r="AL742" s="39"/>
      <c r="AM742" s="39"/>
      <c r="AN742" s="39">
        <f t="shared" si="850"/>
        <v>0</v>
      </c>
      <c r="AO742" s="39"/>
      <c r="AP742" s="39"/>
      <c r="AQ742" s="39"/>
      <c r="AR742" s="39"/>
      <c r="AS742" s="39"/>
      <c r="AT742" s="39">
        <f t="shared" si="813"/>
        <v>0</v>
      </c>
      <c r="AU742" s="39"/>
      <c r="AV742" s="39"/>
      <c r="AW742" s="39"/>
      <c r="AX742" s="39"/>
      <c r="AY742" s="39"/>
      <c r="AZ742" s="39">
        <f t="shared" si="814"/>
        <v>0</v>
      </c>
      <c r="BA742" s="39"/>
      <c r="BB742" s="39"/>
      <c r="BC742" s="39"/>
      <c r="BD742" s="39"/>
      <c r="BE742" s="39"/>
      <c r="BF742" s="39">
        <f t="shared" si="815"/>
        <v>0</v>
      </c>
      <c r="BG742" s="39"/>
      <c r="BH742" s="39"/>
      <c r="BI742" s="39"/>
      <c r="BJ742" s="39"/>
      <c r="BK742" s="39"/>
      <c r="BL742" s="39">
        <f t="shared" si="852"/>
        <v>0</v>
      </c>
      <c r="BM742" s="54" t="e">
        <f t="shared" si="816"/>
        <v>#DIV/0!</v>
      </c>
      <c r="BN742" s="63"/>
      <c r="BO742" s="39"/>
      <c r="BP742" s="39"/>
      <c r="BQ742" s="39"/>
      <c r="BR742" s="40"/>
      <c r="BS742" s="40"/>
      <c r="BT742" s="39"/>
      <c r="BU742" s="39"/>
      <c r="BV742" s="39"/>
      <c r="BW742" s="39"/>
      <c r="BX742" s="39"/>
      <c r="BY742" s="39"/>
      <c r="BZ742" s="39">
        <f t="shared" si="853"/>
        <v>0</v>
      </c>
      <c r="CA742" s="39">
        <f t="shared" si="817"/>
        <v>0</v>
      </c>
      <c r="CB742" s="39">
        <f t="shared" si="818"/>
        <v>0</v>
      </c>
      <c r="CC742" s="39">
        <f t="shared" si="819"/>
        <v>0</v>
      </c>
      <c r="CD742" s="39">
        <f t="shared" si="854"/>
        <v>0</v>
      </c>
      <c r="CE742" s="47" t="e">
        <f t="shared" si="820"/>
        <v>#DIV/0!</v>
      </c>
      <c r="CF742" s="36"/>
      <c r="CG742" s="39"/>
      <c r="CH742" s="39"/>
      <c r="CI742" s="25">
        <v>3</v>
      </c>
    </row>
    <row r="743" spans="1:87" ht="24.75" customHeight="1">
      <c r="A743" s="36" t="s">
        <v>186</v>
      </c>
      <c r="B743" s="55"/>
      <c r="C743" s="36"/>
      <c r="D743" s="36"/>
      <c r="E743" s="39"/>
      <c r="F743" s="39"/>
      <c r="G743" s="36"/>
      <c r="H743" s="39"/>
      <c r="I743" s="39"/>
      <c r="J743" s="39"/>
      <c r="K743" s="39"/>
      <c r="L743" s="39">
        <f t="shared" ref="L743:L750" si="855">SUM(I743:K743)</f>
        <v>0</v>
      </c>
      <c r="M743" s="39"/>
      <c r="N743" s="39"/>
      <c r="O743" s="39"/>
      <c r="P743" s="39"/>
      <c r="Q743" s="39"/>
      <c r="R743" s="39">
        <f t="shared" si="786"/>
        <v>0</v>
      </c>
      <c r="S743" s="39"/>
      <c r="T743" s="39"/>
      <c r="U743" s="39"/>
      <c r="V743" s="39"/>
      <c r="W743" s="39"/>
      <c r="X743" s="39"/>
      <c r="Y743" s="39"/>
      <c r="Z743" s="39"/>
      <c r="AA743" s="39"/>
      <c r="AB743" s="39">
        <f t="shared" si="787"/>
        <v>0</v>
      </c>
      <c r="AC743" s="39"/>
      <c r="AD743" s="39"/>
      <c r="AE743" s="39"/>
      <c r="AF743" s="39"/>
      <c r="AG743" s="39"/>
      <c r="AH743" s="39">
        <f t="shared" si="851"/>
        <v>0</v>
      </c>
      <c r="AI743" s="39"/>
      <c r="AJ743" s="39"/>
      <c r="AK743" s="39"/>
      <c r="AL743" s="39"/>
      <c r="AM743" s="39"/>
      <c r="AN743" s="39">
        <f t="shared" si="850"/>
        <v>0</v>
      </c>
      <c r="AO743" s="39"/>
      <c r="AP743" s="39"/>
      <c r="AQ743" s="39"/>
      <c r="AR743" s="39"/>
      <c r="AS743" s="39"/>
      <c r="AT743" s="39">
        <f t="shared" si="813"/>
        <v>0</v>
      </c>
      <c r="AU743" s="39"/>
      <c r="AV743" s="39"/>
      <c r="AW743" s="39"/>
      <c r="AX743" s="39"/>
      <c r="AY743" s="39"/>
      <c r="AZ743" s="39">
        <f t="shared" si="814"/>
        <v>0</v>
      </c>
      <c r="BA743" s="39"/>
      <c r="BB743" s="39"/>
      <c r="BC743" s="39"/>
      <c r="BD743" s="39"/>
      <c r="BE743" s="39"/>
      <c r="BF743" s="39">
        <f t="shared" si="815"/>
        <v>0</v>
      </c>
      <c r="BG743" s="39"/>
      <c r="BH743" s="39"/>
      <c r="BI743" s="39"/>
      <c r="BJ743" s="39"/>
      <c r="BK743" s="39"/>
      <c r="BL743" s="39">
        <f t="shared" si="852"/>
        <v>0</v>
      </c>
      <c r="BM743" s="54" t="e">
        <f t="shared" si="816"/>
        <v>#DIV/0!</v>
      </c>
      <c r="BN743" s="63"/>
      <c r="BO743" s="39"/>
      <c r="BP743" s="39"/>
      <c r="BQ743" s="39"/>
      <c r="BR743" s="40"/>
      <c r="BS743" s="40"/>
      <c r="BT743" s="39"/>
      <c r="BU743" s="39"/>
      <c r="BV743" s="39"/>
      <c r="BW743" s="39"/>
      <c r="BX743" s="39"/>
      <c r="BY743" s="39"/>
      <c r="BZ743" s="39">
        <f t="shared" si="853"/>
        <v>0</v>
      </c>
      <c r="CA743" s="39">
        <f t="shared" si="817"/>
        <v>0</v>
      </c>
      <c r="CB743" s="39">
        <f t="shared" si="818"/>
        <v>0</v>
      </c>
      <c r="CC743" s="39">
        <f t="shared" si="819"/>
        <v>0</v>
      </c>
      <c r="CD743" s="39">
        <f t="shared" si="854"/>
        <v>0</v>
      </c>
      <c r="CE743" s="47" t="e">
        <f t="shared" si="820"/>
        <v>#DIV/0!</v>
      </c>
      <c r="CF743" s="36"/>
      <c r="CG743" s="39"/>
      <c r="CH743" s="39"/>
      <c r="CI743" s="25">
        <v>3</v>
      </c>
    </row>
    <row r="744" spans="1:87" ht="24.75" customHeight="1">
      <c r="A744" s="36" t="s">
        <v>186</v>
      </c>
      <c r="B744" s="55"/>
      <c r="C744" s="36"/>
      <c r="D744" s="36"/>
      <c r="E744" s="39"/>
      <c r="F744" s="39"/>
      <c r="G744" s="36"/>
      <c r="H744" s="39"/>
      <c r="I744" s="39"/>
      <c r="J744" s="39"/>
      <c r="K744" s="39"/>
      <c r="L744" s="39">
        <f t="shared" si="855"/>
        <v>0</v>
      </c>
      <c r="M744" s="39"/>
      <c r="N744" s="39"/>
      <c r="O744" s="39"/>
      <c r="P744" s="39"/>
      <c r="Q744" s="39"/>
      <c r="R744" s="39">
        <f t="shared" si="786"/>
        <v>0</v>
      </c>
      <c r="S744" s="39"/>
      <c r="T744" s="39"/>
      <c r="U744" s="39"/>
      <c r="V744" s="39"/>
      <c r="W744" s="39"/>
      <c r="X744" s="39"/>
      <c r="Y744" s="39"/>
      <c r="Z744" s="39"/>
      <c r="AA744" s="39"/>
      <c r="AB744" s="39">
        <f t="shared" si="787"/>
        <v>0</v>
      </c>
      <c r="AC744" s="39"/>
      <c r="AD744" s="39"/>
      <c r="AE744" s="39"/>
      <c r="AF744" s="39"/>
      <c r="AG744" s="39"/>
      <c r="AH744" s="39">
        <f t="shared" si="851"/>
        <v>0</v>
      </c>
      <c r="AI744" s="39"/>
      <c r="AJ744" s="39"/>
      <c r="AK744" s="39"/>
      <c r="AL744" s="39"/>
      <c r="AM744" s="39"/>
      <c r="AN744" s="39">
        <f t="shared" si="850"/>
        <v>0</v>
      </c>
      <c r="AO744" s="39"/>
      <c r="AP744" s="39"/>
      <c r="AQ744" s="39"/>
      <c r="AR744" s="39"/>
      <c r="AS744" s="39"/>
      <c r="AT744" s="39">
        <f t="shared" si="813"/>
        <v>0</v>
      </c>
      <c r="AU744" s="39"/>
      <c r="AV744" s="39"/>
      <c r="AW744" s="39"/>
      <c r="AX744" s="39"/>
      <c r="AY744" s="39"/>
      <c r="AZ744" s="39">
        <f t="shared" si="814"/>
        <v>0</v>
      </c>
      <c r="BA744" s="39"/>
      <c r="BB744" s="39"/>
      <c r="BC744" s="39"/>
      <c r="BD744" s="39"/>
      <c r="BE744" s="39"/>
      <c r="BF744" s="39">
        <f t="shared" si="815"/>
        <v>0</v>
      </c>
      <c r="BG744" s="39"/>
      <c r="BH744" s="39"/>
      <c r="BI744" s="39"/>
      <c r="BJ744" s="39"/>
      <c r="BK744" s="39"/>
      <c r="BL744" s="39">
        <f t="shared" si="852"/>
        <v>0</v>
      </c>
      <c r="BM744" s="54" t="e">
        <f t="shared" si="816"/>
        <v>#DIV/0!</v>
      </c>
      <c r="BN744" s="63"/>
      <c r="BO744" s="39"/>
      <c r="BP744" s="39"/>
      <c r="BQ744" s="39"/>
      <c r="BR744" s="40"/>
      <c r="BS744" s="40"/>
      <c r="BT744" s="39"/>
      <c r="BU744" s="39"/>
      <c r="BV744" s="39"/>
      <c r="BW744" s="39"/>
      <c r="BX744" s="39"/>
      <c r="BY744" s="39"/>
      <c r="BZ744" s="39">
        <f t="shared" si="853"/>
        <v>0</v>
      </c>
      <c r="CA744" s="39">
        <f t="shared" si="817"/>
        <v>0</v>
      </c>
      <c r="CB744" s="39">
        <f t="shared" si="818"/>
        <v>0</v>
      </c>
      <c r="CC744" s="39">
        <f t="shared" si="819"/>
        <v>0</v>
      </c>
      <c r="CD744" s="39">
        <f t="shared" si="854"/>
        <v>0</v>
      </c>
      <c r="CE744" s="47" t="e">
        <f t="shared" si="820"/>
        <v>#DIV/0!</v>
      </c>
      <c r="CF744" s="36"/>
      <c r="CG744" s="39"/>
      <c r="CH744" s="39"/>
      <c r="CI744" s="25">
        <v>3</v>
      </c>
    </row>
    <row r="745" spans="1:87" ht="24.75" customHeight="1">
      <c r="A745" s="36" t="s">
        <v>186</v>
      </c>
      <c r="B745" s="55"/>
      <c r="C745" s="36"/>
      <c r="D745" s="36"/>
      <c r="E745" s="39"/>
      <c r="F745" s="39"/>
      <c r="G745" s="36"/>
      <c r="H745" s="39"/>
      <c r="I745" s="39"/>
      <c r="J745" s="39"/>
      <c r="K745" s="39"/>
      <c r="L745" s="39">
        <f t="shared" si="855"/>
        <v>0</v>
      </c>
      <c r="M745" s="39"/>
      <c r="N745" s="39"/>
      <c r="O745" s="39"/>
      <c r="P745" s="39"/>
      <c r="Q745" s="39"/>
      <c r="R745" s="39">
        <f t="shared" si="786"/>
        <v>0</v>
      </c>
      <c r="S745" s="39"/>
      <c r="T745" s="39"/>
      <c r="U745" s="39"/>
      <c r="V745" s="39"/>
      <c r="W745" s="39"/>
      <c r="X745" s="39"/>
      <c r="Y745" s="39"/>
      <c r="Z745" s="39"/>
      <c r="AA745" s="39"/>
      <c r="AB745" s="39">
        <f t="shared" si="787"/>
        <v>0</v>
      </c>
      <c r="AC745" s="39"/>
      <c r="AD745" s="39"/>
      <c r="AE745" s="39"/>
      <c r="AF745" s="39"/>
      <c r="AG745" s="39"/>
      <c r="AH745" s="39">
        <f t="shared" si="851"/>
        <v>0</v>
      </c>
      <c r="AI745" s="39"/>
      <c r="AJ745" s="39"/>
      <c r="AK745" s="39"/>
      <c r="AL745" s="39"/>
      <c r="AM745" s="39"/>
      <c r="AN745" s="39">
        <f t="shared" si="850"/>
        <v>0</v>
      </c>
      <c r="AO745" s="39"/>
      <c r="AP745" s="39"/>
      <c r="AQ745" s="39"/>
      <c r="AR745" s="39"/>
      <c r="AS745" s="39"/>
      <c r="AT745" s="39">
        <f t="shared" si="813"/>
        <v>0</v>
      </c>
      <c r="AU745" s="39"/>
      <c r="AV745" s="39"/>
      <c r="AW745" s="39"/>
      <c r="AX745" s="39"/>
      <c r="AY745" s="39"/>
      <c r="AZ745" s="39">
        <f t="shared" si="814"/>
        <v>0</v>
      </c>
      <c r="BA745" s="39"/>
      <c r="BB745" s="39"/>
      <c r="BC745" s="39"/>
      <c r="BD745" s="39"/>
      <c r="BE745" s="39"/>
      <c r="BF745" s="39">
        <f t="shared" si="815"/>
        <v>0</v>
      </c>
      <c r="BG745" s="39"/>
      <c r="BH745" s="39"/>
      <c r="BI745" s="39"/>
      <c r="BJ745" s="39"/>
      <c r="BK745" s="39"/>
      <c r="BL745" s="39">
        <f t="shared" si="852"/>
        <v>0</v>
      </c>
      <c r="BM745" s="54" t="e">
        <f t="shared" si="816"/>
        <v>#DIV/0!</v>
      </c>
      <c r="BN745" s="63"/>
      <c r="BO745" s="39"/>
      <c r="BP745" s="39"/>
      <c r="BQ745" s="39"/>
      <c r="BR745" s="40"/>
      <c r="BS745" s="40"/>
      <c r="BT745" s="39"/>
      <c r="BU745" s="39"/>
      <c r="BV745" s="39"/>
      <c r="BW745" s="39"/>
      <c r="BX745" s="39"/>
      <c r="BY745" s="39"/>
      <c r="BZ745" s="39">
        <f t="shared" si="853"/>
        <v>0</v>
      </c>
      <c r="CA745" s="39">
        <f t="shared" si="817"/>
        <v>0</v>
      </c>
      <c r="CB745" s="39">
        <f t="shared" si="818"/>
        <v>0</v>
      </c>
      <c r="CC745" s="39">
        <f t="shared" si="819"/>
        <v>0</v>
      </c>
      <c r="CD745" s="39">
        <f t="shared" si="854"/>
        <v>0</v>
      </c>
      <c r="CE745" s="47" t="e">
        <f t="shared" si="820"/>
        <v>#DIV/0!</v>
      </c>
      <c r="CF745" s="36"/>
      <c r="CG745" s="39"/>
      <c r="CH745" s="39"/>
      <c r="CI745" s="25">
        <v>3</v>
      </c>
    </row>
    <row r="746" spans="1:87" ht="24.75" customHeight="1">
      <c r="A746" s="36" t="s">
        <v>500</v>
      </c>
      <c r="B746" s="55"/>
      <c r="C746" s="36"/>
      <c r="D746" s="36"/>
      <c r="E746" s="39"/>
      <c r="F746" s="39"/>
      <c r="G746" s="36"/>
      <c r="H746" s="39"/>
      <c r="I746" s="39"/>
      <c r="J746" s="39"/>
      <c r="K746" s="39"/>
      <c r="L746" s="39">
        <f t="shared" si="855"/>
        <v>0</v>
      </c>
      <c r="M746" s="39"/>
      <c r="N746" s="39"/>
      <c r="O746" s="39"/>
      <c r="P746" s="39"/>
      <c r="Q746" s="39"/>
      <c r="R746" s="39">
        <f t="shared" si="786"/>
        <v>0</v>
      </c>
      <c r="S746" s="39"/>
      <c r="T746" s="39"/>
      <c r="U746" s="39"/>
      <c r="V746" s="39"/>
      <c r="W746" s="39"/>
      <c r="X746" s="39"/>
      <c r="Y746" s="39"/>
      <c r="Z746" s="39"/>
      <c r="AA746" s="39"/>
      <c r="AB746" s="39">
        <f t="shared" si="787"/>
        <v>0</v>
      </c>
      <c r="AC746" s="39"/>
      <c r="AD746" s="39"/>
      <c r="AE746" s="39"/>
      <c r="AF746" s="39"/>
      <c r="AG746" s="39"/>
      <c r="AH746" s="39">
        <f t="shared" si="851"/>
        <v>0</v>
      </c>
      <c r="AI746" s="39"/>
      <c r="AJ746" s="39"/>
      <c r="AK746" s="39"/>
      <c r="AL746" s="39"/>
      <c r="AM746" s="39"/>
      <c r="AN746" s="39">
        <f t="shared" si="850"/>
        <v>0</v>
      </c>
      <c r="AO746" s="39"/>
      <c r="AP746" s="39"/>
      <c r="AQ746" s="39"/>
      <c r="AR746" s="39"/>
      <c r="AS746" s="39"/>
      <c r="AT746" s="39">
        <f t="shared" si="813"/>
        <v>0</v>
      </c>
      <c r="AU746" s="39"/>
      <c r="AV746" s="39"/>
      <c r="AW746" s="39"/>
      <c r="AX746" s="39"/>
      <c r="AY746" s="39"/>
      <c r="AZ746" s="39">
        <f t="shared" si="814"/>
        <v>0</v>
      </c>
      <c r="BA746" s="39"/>
      <c r="BB746" s="39"/>
      <c r="BC746" s="39"/>
      <c r="BD746" s="39"/>
      <c r="BE746" s="39"/>
      <c r="BF746" s="39">
        <f t="shared" si="815"/>
        <v>0</v>
      </c>
      <c r="BG746" s="39"/>
      <c r="BH746" s="39"/>
      <c r="BI746" s="39"/>
      <c r="BJ746" s="39"/>
      <c r="BK746" s="39"/>
      <c r="BL746" s="39">
        <f t="shared" si="852"/>
        <v>0</v>
      </c>
      <c r="BM746" s="54" t="e">
        <f t="shared" si="816"/>
        <v>#DIV/0!</v>
      </c>
      <c r="BN746" s="42"/>
      <c r="BO746" s="39"/>
      <c r="BP746" s="39"/>
      <c r="BQ746" s="39"/>
      <c r="BR746" s="40"/>
      <c r="BS746" s="40"/>
      <c r="BT746" s="39"/>
      <c r="BU746" s="39"/>
      <c r="BV746" s="39"/>
      <c r="BW746" s="39"/>
      <c r="BX746" s="39"/>
      <c r="BY746" s="39"/>
      <c r="BZ746" s="39">
        <f t="shared" si="853"/>
        <v>0</v>
      </c>
      <c r="CA746" s="39">
        <f t="shared" si="817"/>
        <v>0</v>
      </c>
      <c r="CB746" s="39">
        <f t="shared" si="818"/>
        <v>0</v>
      </c>
      <c r="CC746" s="39">
        <f t="shared" si="819"/>
        <v>0</v>
      </c>
      <c r="CD746" s="39">
        <f t="shared" si="854"/>
        <v>0</v>
      </c>
      <c r="CE746" s="47" t="e">
        <f t="shared" si="820"/>
        <v>#DIV/0!</v>
      </c>
      <c r="CF746" s="36"/>
      <c r="CG746" s="39"/>
      <c r="CH746" s="39"/>
      <c r="CI746" s="25">
        <v>1</v>
      </c>
    </row>
    <row r="747" spans="1:87" ht="24.75" customHeight="1">
      <c r="A747" s="36" t="s">
        <v>500</v>
      </c>
      <c r="B747" s="55"/>
      <c r="C747" s="36"/>
      <c r="D747" s="36"/>
      <c r="E747" s="39"/>
      <c r="F747" s="39"/>
      <c r="G747" s="36"/>
      <c r="H747" s="39"/>
      <c r="I747" s="39"/>
      <c r="J747" s="39"/>
      <c r="K747" s="39"/>
      <c r="L747" s="39">
        <f t="shared" si="855"/>
        <v>0</v>
      </c>
      <c r="M747" s="39"/>
      <c r="N747" s="39"/>
      <c r="O747" s="39"/>
      <c r="P747" s="39"/>
      <c r="Q747" s="39"/>
      <c r="R747" s="39">
        <f t="shared" si="786"/>
        <v>0</v>
      </c>
      <c r="S747" s="39"/>
      <c r="T747" s="39"/>
      <c r="U747" s="39"/>
      <c r="V747" s="39"/>
      <c r="W747" s="39"/>
      <c r="X747" s="39"/>
      <c r="Y747" s="39"/>
      <c r="Z747" s="39"/>
      <c r="AA747" s="39"/>
      <c r="AB747" s="39">
        <f t="shared" si="787"/>
        <v>0</v>
      </c>
      <c r="AC747" s="39"/>
      <c r="AD747" s="39"/>
      <c r="AE747" s="39"/>
      <c r="AF747" s="39"/>
      <c r="AG747" s="39"/>
      <c r="AH747" s="39">
        <f t="shared" si="851"/>
        <v>0</v>
      </c>
      <c r="AI747" s="39"/>
      <c r="AJ747" s="39"/>
      <c r="AK747" s="39"/>
      <c r="AL747" s="39"/>
      <c r="AM747" s="39"/>
      <c r="AN747" s="39">
        <f t="shared" si="850"/>
        <v>0</v>
      </c>
      <c r="AO747" s="39"/>
      <c r="AP747" s="39"/>
      <c r="AQ747" s="39"/>
      <c r="AR747" s="39"/>
      <c r="AS747" s="39"/>
      <c r="AT747" s="39">
        <f t="shared" si="813"/>
        <v>0</v>
      </c>
      <c r="AU747" s="39"/>
      <c r="AV747" s="39"/>
      <c r="AW747" s="39"/>
      <c r="AX747" s="39"/>
      <c r="AY747" s="39"/>
      <c r="AZ747" s="39">
        <f t="shared" si="814"/>
        <v>0</v>
      </c>
      <c r="BA747" s="39"/>
      <c r="BB747" s="39"/>
      <c r="BC747" s="39"/>
      <c r="BD747" s="39"/>
      <c r="BE747" s="39"/>
      <c r="BF747" s="39">
        <f t="shared" si="815"/>
        <v>0</v>
      </c>
      <c r="BG747" s="39"/>
      <c r="BH747" s="39"/>
      <c r="BI747" s="39"/>
      <c r="BJ747" s="39"/>
      <c r="BK747" s="39"/>
      <c r="BL747" s="39">
        <f t="shared" si="852"/>
        <v>0</v>
      </c>
      <c r="BM747" s="54" t="e">
        <f t="shared" si="816"/>
        <v>#DIV/0!</v>
      </c>
      <c r="BN747" s="42"/>
      <c r="BO747" s="39"/>
      <c r="BP747" s="39"/>
      <c r="BQ747" s="39"/>
      <c r="BR747" s="40"/>
      <c r="BS747" s="40"/>
      <c r="BT747" s="39"/>
      <c r="BU747" s="39"/>
      <c r="BV747" s="39"/>
      <c r="BW747" s="39"/>
      <c r="BX747" s="39"/>
      <c r="BY747" s="39"/>
      <c r="BZ747" s="39">
        <f t="shared" si="853"/>
        <v>0</v>
      </c>
      <c r="CA747" s="39">
        <f t="shared" si="817"/>
        <v>0</v>
      </c>
      <c r="CB747" s="39">
        <f t="shared" si="818"/>
        <v>0</v>
      </c>
      <c r="CC747" s="39">
        <f t="shared" si="819"/>
        <v>0</v>
      </c>
      <c r="CD747" s="39">
        <f t="shared" si="854"/>
        <v>0</v>
      </c>
      <c r="CE747" s="47" t="e">
        <f t="shared" si="820"/>
        <v>#DIV/0!</v>
      </c>
      <c r="CF747" s="36"/>
      <c r="CG747" s="39"/>
      <c r="CH747" s="39"/>
      <c r="CI747" s="25">
        <v>1</v>
      </c>
    </row>
    <row r="748" spans="1:87" ht="24.75" customHeight="1">
      <c r="A748" s="36" t="s">
        <v>500</v>
      </c>
      <c r="B748" s="55"/>
      <c r="C748" s="36"/>
      <c r="D748" s="36"/>
      <c r="E748" s="39"/>
      <c r="F748" s="39"/>
      <c r="G748" s="36"/>
      <c r="H748" s="39"/>
      <c r="I748" s="39"/>
      <c r="J748" s="39"/>
      <c r="K748" s="39"/>
      <c r="L748" s="39">
        <f t="shared" si="855"/>
        <v>0</v>
      </c>
      <c r="M748" s="39"/>
      <c r="N748" s="39"/>
      <c r="O748" s="39"/>
      <c r="P748" s="39"/>
      <c r="Q748" s="39"/>
      <c r="R748" s="39">
        <f t="shared" si="786"/>
        <v>0</v>
      </c>
      <c r="S748" s="39"/>
      <c r="T748" s="39"/>
      <c r="U748" s="39"/>
      <c r="V748" s="39"/>
      <c r="W748" s="39"/>
      <c r="X748" s="39"/>
      <c r="Y748" s="39"/>
      <c r="Z748" s="39"/>
      <c r="AA748" s="39"/>
      <c r="AB748" s="39">
        <f t="shared" si="787"/>
        <v>0</v>
      </c>
      <c r="AC748" s="39"/>
      <c r="AD748" s="39"/>
      <c r="AE748" s="39"/>
      <c r="AF748" s="39"/>
      <c r="AG748" s="39"/>
      <c r="AH748" s="39">
        <f t="shared" si="851"/>
        <v>0</v>
      </c>
      <c r="AI748" s="39"/>
      <c r="AJ748" s="39"/>
      <c r="AK748" s="39"/>
      <c r="AL748" s="39"/>
      <c r="AM748" s="39"/>
      <c r="AN748" s="39">
        <f t="shared" si="850"/>
        <v>0</v>
      </c>
      <c r="AO748" s="39"/>
      <c r="AP748" s="39"/>
      <c r="AQ748" s="39"/>
      <c r="AR748" s="39"/>
      <c r="AS748" s="39"/>
      <c r="AT748" s="39">
        <f t="shared" si="813"/>
        <v>0</v>
      </c>
      <c r="AU748" s="39"/>
      <c r="AV748" s="39"/>
      <c r="AW748" s="39"/>
      <c r="AX748" s="39"/>
      <c r="AY748" s="39"/>
      <c r="AZ748" s="39">
        <f t="shared" si="814"/>
        <v>0</v>
      </c>
      <c r="BA748" s="39"/>
      <c r="BB748" s="39"/>
      <c r="BC748" s="39"/>
      <c r="BD748" s="39"/>
      <c r="BE748" s="39"/>
      <c r="BF748" s="39">
        <f t="shared" si="815"/>
        <v>0</v>
      </c>
      <c r="BG748" s="39"/>
      <c r="BH748" s="39"/>
      <c r="BI748" s="39"/>
      <c r="BJ748" s="39"/>
      <c r="BK748" s="39"/>
      <c r="BL748" s="39">
        <f t="shared" si="852"/>
        <v>0</v>
      </c>
      <c r="BM748" s="54" t="e">
        <f t="shared" si="816"/>
        <v>#DIV/0!</v>
      </c>
      <c r="BN748" s="42"/>
      <c r="BO748" s="39"/>
      <c r="BP748" s="39"/>
      <c r="BQ748" s="39"/>
      <c r="BR748" s="40"/>
      <c r="BS748" s="40"/>
      <c r="BT748" s="39"/>
      <c r="BU748" s="39"/>
      <c r="BV748" s="39"/>
      <c r="BW748" s="39"/>
      <c r="BX748" s="39"/>
      <c r="BY748" s="39"/>
      <c r="BZ748" s="39">
        <f t="shared" si="853"/>
        <v>0</v>
      </c>
      <c r="CA748" s="39">
        <f t="shared" si="817"/>
        <v>0</v>
      </c>
      <c r="CB748" s="39">
        <f t="shared" si="818"/>
        <v>0</v>
      </c>
      <c r="CC748" s="39">
        <f t="shared" si="819"/>
        <v>0</v>
      </c>
      <c r="CD748" s="39">
        <f t="shared" si="854"/>
        <v>0</v>
      </c>
      <c r="CE748" s="47" t="e">
        <f t="shared" si="820"/>
        <v>#DIV/0!</v>
      </c>
      <c r="CF748" s="36"/>
      <c r="CG748" s="39"/>
      <c r="CH748" s="39"/>
      <c r="CI748" s="25">
        <v>1</v>
      </c>
    </row>
    <row r="749" spans="1:87" ht="24.75" customHeight="1">
      <c r="A749" s="36" t="s">
        <v>500</v>
      </c>
      <c r="B749" s="55"/>
      <c r="C749" s="36"/>
      <c r="D749" s="36"/>
      <c r="E749" s="39"/>
      <c r="F749" s="39"/>
      <c r="G749" s="36"/>
      <c r="H749" s="39"/>
      <c r="I749" s="39"/>
      <c r="J749" s="39"/>
      <c r="K749" s="39"/>
      <c r="L749" s="39">
        <f t="shared" si="855"/>
        <v>0</v>
      </c>
      <c r="M749" s="39"/>
      <c r="N749" s="39"/>
      <c r="O749" s="39"/>
      <c r="P749" s="39"/>
      <c r="Q749" s="39"/>
      <c r="R749" s="39">
        <f t="shared" si="786"/>
        <v>0</v>
      </c>
      <c r="S749" s="39"/>
      <c r="T749" s="39"/>
      <c r="U749" s="39"/>
      <c r="V749" s="39"/>
      <c r="W749" s="39"/>
      <c r="X749" s="39"/>
      <c r="Y749" s="39"/>
      <c r="Z749" s="39"/>
      <c r="AA749" s="39"/>
      <c r="AB749" s="39">
        <f t="shared" si="787"/>
        <v>0</v>
      </c>
      <c r="AC749" s="39"/>
      <c r="AD749" s="39"/>
      <c r="AE749" s="39"/>
      <c r="AF749" s="39"/>
      <c r="AG749" s="39"/>
      <c r="AH749" s="39">
        <f t="shared" si="851"/>
        <v>0</v>
      </c>
      <c r="AI749" s="39"/>
      <c r="AJ749" s="39"/>
      <c r="AK749" s="39"/>
      <c r="AL749" s="39"/>
      <c r="AM749" s="39"/>
      <c r="AN749" s="39">
        <f t="shared" si="850"/>
        <v>0</v>
      </c>
      <c r="AO749" s="39"/>
      <c r="AP749" s="39"/>
      <c r="AQ749" s="39"/>
      <c r="AR749" s="39"/>
      <c r="AS749" s="39"/>
      <c r="AT749" s="39">
        <f t="shared" si="813"/>
        <v>0</v>
      </c>
      <c r="AU749" s="39"/>
      <c r="AV749" s="39"/>
      <c r="AW749" s="39"/>
      <c r="AX749" s="39"/>
      <c r="AY749" s="39"/>
      <c r="AZ749" s="39">
        <f t="shared" si="814"/>
        <v>0</v>
      </c>
      <c r="BA749" s="39"/>
      <c r="BB749" s="39"/>
      <c r="BC749" s="39"/>
      <c r="BD749" s="39"/>
      <c r="BE749" s="39"/>
      <c r="BF749" s="39">
        <f t="shared" si="815"/>
        <v>0</v>
      </c>
      <c r="BG749" s="39"/>
      <c r="BH749" s="39"/>
      <c r="BI749" s="39"/>
      <c r="BJ749" s="39"/>
      <c r="BK749" s="39"/>
      <c r="BL749" s="39">
        <f t="shared" si="852"/>
        <v>0</v>
      </c>
      <c r="BM749" s="54" t="e">
        <f t="shared" si="816"/>
        <v>#DIV/0!</v>
      </c>
      <c r="BN749" s="42"/>
      <c r="BO749" s="39"/>
      <c r="BP749" s="39"/>
      <c r="BQ749" s="39"/>
      <c r="BR749" s="40"/>
      <c r="BS749" s="40"/>
      <c r="BT749" s="39"/>
      <c r="BU749" s="39"/>
      <c r="BV749" s="39"/>
      <c r="BW749" s="39"/>
      <c r="BX749" s="39"/>
      <c r="BY749" s="39"/>
      <c r="BZ749" s="39">
        <f t="shared" si="853"/>
        <v>0</v>
      </c>
      <c r="CA749" s="39">
        <f t="shared" si="817"/>
        <v>0</v>
      </c>
      <c r="CB749" s="39">
        <f t="shared" si="818"/>
        <v>0</v>
      </c>
      <c r="CC749" s="39">
        <f t="shared" si="819"/>
        <v>0</v>
      </c>
      <c r="CD749" s="39">
        <f t="shared" si="854"/>
        <v>0</v>
      </c>
      <c r="CE749" s="47" t="e">
        <f t="shared" si="820"/>
        <v>#DIV/0!</v>
      </c>
      <c r="CF749" s="36"/>
      <c r="CG749" s="39"/>
      <c r="CH749" s="39"/>
      <c r="CI749" s="25">
        <v>1</v>
      </c>
    </row>
    <row r="750" spans="1:87" ht="24.75" customHeight="1">
      <c r="A750" s="36" t="s">
        <v>500</v>
      </c>
      <c r="B750" s="55"/>
      <c r="C750" s="36"/>
      <c r="D750" s="36"/>
      <c r="E750" s="39"/>
      <c r="F750" s="39"/>
      <c r="G750" s="36"/>
      <c r="H750" s="39"/>
      <c r="I750" s="39"/>
      <c r="J750" s="39"/>
      <c r="K750" s="39"/>
      <c r="L750" s="39">
        <f t="shared" si="855"/>
        <v>0</v>
      </c>
      <c r="M750" s="39"/>
      <c r="N750" s="39"/>
      <c r="O750" s="39"/>
      <c r="P750" s="39"/>
      <c r="Q750" s="39"/>
      <c r="R750" s="39">
        <f t="shared" si="786"/>
        <v>0</v>
      </c>
      <c r="S750" s="39"/>
      <c r="T750" s="39"/>
      <c r="U750" s="39"/>
      <c r="V750" s="39"/>
      <c r="W750" s="39"/>
      <c r="X750" s="39"/>
      <c r="Y750" s="39"/>
      <c r="Z750" s="39"/>
      <c r="AA750" s="39"/>
      <c r="AB750" s="39">
        <f t="shared" si="787"/>
        <v>0</v>
      </c>
      <c r="AC750" s="39"/>
      <c r="AD750" s="39"/>
      <c r="AE750" s="39"/>
      <c r="AF750" s="39"/>
      <c r="AG750" s="39"/>
      <c r="AH750" s="39">
        <f t="shared" si="851"/>
        <v>0</v>
      </c>
      <c r="AI750" s="39"/>
      <c r="AJ750" s="39"/>
      <c r="AK750" s="39"/>
      <c r="AL750" s="39"/>
      <c r="AM750" s="39"/>
      <c r="AN750" s="39">
        <f t="shared" si="850"/>
        <v>0</v>
      </c>
      <c r="AO750" s="39"/>
      <c r="AP750" s="39"/>
      <c r="AQ750" s="39"/>
      <c r="AR750" s="39"/>
      <c r="AS750" s="39"/>
      <c r="AT750" s="39">
        <f t="shared" si="813"/>
        <v>0</v>
      </c>
      <c r="AU750" s="39"/>
      <c r="AV750" s="39"/>
      <c r="AW750" s="39"/>
      <c r="AX750" s="39"/>
      <c r="AY750" s="39"/>
      <c r="AZ750" s="39">
        <f t="shared" si="814"/>
        <v>0</v>
      </c>
      <c r="BA750" s="39"/>
      <c r="BB750" s="39"/>
      <c r="BC750" s="39"/>
      <c r="BD750" s="39"/>
      <c r="BE750" s="39"/>
      <c r="BF750" s="39">
        <f t="shared" si="815"/>
        <v>0</v>
      </c>
      <c r="BG750" s="39"/>
      <c r="BH750" s="39"/>
      <c r="BI750" s="39"/>
      <c r="BJ750" s="39"/>
      <c r="BK750" s="39"/>
      <c r="BL750" s="39">
        <f t="shared" si="852"/>
        <v>0</v>
      </c>
      <c r="BM750" s="54" t="e">
        <f t="shared" si="816"/>
        <v>#DIV/0!</v>
      </c>
      <c r="BN750" s="42"/>
      <c r="BO750" s="39"/>
      <c r="BP750" s="39"/>
      <c r="BQ750" s="39"/>
      <c r="BR750" s="40"/>
      <c r="BS750" s="40"/>
      <c r="BT750" s="39"/>
      <c r="BU750" s="39"/>
      <c r="BV750" s="39"/>
      <c r="BW750" s="39"/>
      <c r="BX750" s="39"/>
      <c r="BY750" s="39"/>
      <c r="BZ750" s="39">
        <f t="shared" si="853"/>
        <v>0</v>
      </c>
      <c r="CA750" s="39">
        <f t="shared" si="817"/>
        <v>0</v>
      </c>
      <c r="CB750" s="39">
        <f t="shared" si="818"/>
        <v>0</v>
      </c>
      <c r="CC750" s="39">
        <f t="shared" si="819"/>
        <v>0</v>
      </c>
      <c r="CD750" s="39">
        <f t="shared" si="854"/>
        <v>0</v>
      </c>
      <c r="CE750" s="47" t="e">
        <f t="shared" si="820"/>
        <v>#DIV/0!</v>
      </c>
      <c r="CF750" s="36"/>
      <c r="CG750" s="39"/>
      <c r="CH750" s="39"/>
      <c r="CI750" s="25">
        <v>1</v>
      </c>
    </row>
    <row r="751" spans="1:87" ht="31.5" customHeight="1">
      <c r="A751" s="36" t="s">
        <v>500</v>
      </c>
      <c r="B751" s="55">
        <v>47722</v>
      </c>
      <c r="C751" s="36" t="s">
        <v>773</v>
      </c>
      <c r="D751" s="36"/>
      <c r="E751" s="39">
        <v>340</v>
      </c>
      <c r="F751" s="39" t="s">
        <v>59</v>
      </c>
      <c r="G751" s="36" t="s">
        <v>553</v>
      </c>
      <c r="H751" s="36" t="s">
        <v>774</v>
      </c>
      <c r="I751" s="39">
        <v>202</v>
      </c>
      <c r="J751" s="39">
        <v>13</v>
      </c>
      <c r="K751" s="39">
        <v>15</v>
      </c>
      <c r="L751" s="39">
        <f>SUM(I751:K751)</f>
        <v>230</v>
      </c>
      <c r="M751" s="117">
        <v>46181</v>
      </c>
      <c r="N751" s="117">
        <v>46186</v>
      </c>
      <c r="O751" s="39"/>
      <c r="P751" s="39"/>
      <c r="Q751" s="39"/>
      <c r="R751" s="39">
        <f>SUM(O751:Q751)</f>
        <v>0</v>
      </c>
      <c r="S751" s="39" t="s">
        <v>130</v>
      </c>
      <c r="T751" s="39">
        <v>107762</v>
      </c>
      <c r="U751" s="117">
        <v>46218</v>
      </c>
      <c r="V751" s="39"/>
      <c r="W751" s="39"/>
      <c r="X751" s="39"/>
      <c r="Y751" s="39">
        <v>227</v>
      </c>
      <c r="Z751" s="39">
        <v>16</v>
      </c>
      <c r="AA751" s="39">
        <v>18</v>
      </c>
      <c r="AB751" s="119">
        <f>SUM(Y751:AA751)</f>
        <v>261</v>
      </c>
      <c r="AC751" s="39"/>
      <c r="AD751" s="39"/>
      <c r="AE751" s="39"/>
      <c r="AF751" s="39"/>
      <c r="AG751" s="39"/>
      <c r="AH751" s="39">
        <f>AG751-AE751</f>
        <v>0</v>
      </c>
      <c r="AI751" s="39"/>
      <c r="AJ751" s="39"/>
      <c r="AK751" s="39"/>
      <c r="AL751" s="39"/>
      <c r="AM751" s="39"/>
      <c r="AN751" s="39">
        <f t="shared" si="850"/>
        <v>0</v>
      </c>
      <c r="AO751" s="39"/>
      <c r="AP751" s="39"/>
      <c r="AQ751" s="39"/>
      <c r="AR751" s="39"/>
      <c r="AS751" s="39"/>
      <c r="AT751" s="39">
        <f t="shared" si="813"/>
        <v>0</v>
      </c>
      <c r="AU751" s="39"/>
      <c r="AV751" s="39"/>
      <c r="AW751" s="39"/>
      <c r="AX751" s="39"/>
      <c r="AY751" s="39"/>
      <c r="AZ751" s="39">
        <f t="shared" si="814"/>
        <v>0</v>
      </c>
      <c r="BA751" s="39"/>
      <c r="BB751" s="39"/>
      <c r="BC751" s="39"/>
      <c r="BD751" s="39"/>
      <c r="BE751" s="39"/>
      <c r="BF751" s="39">
        <f t="shared" si="815"/>
        <v>0</v>
      </c>
      <c r="BG751" s="39"/>
      <c r="BH751" s="39"/>
      <c r="BI751" s="39"/>
      <c r="BJ751" s="39"/>
      <c r="BK751" s="39"/>
      <c r="BL751" s="39">
        <f>BK751-BI751</f>
        <v>0</v>
      </c>
      <c r="BM751" s="54" t="str">
        <f t="shared" si="816"/>
        <v/>
      </c>
      <c r="BN751" s="66">
        <v>46190</v>
      </c>
      <c r="BO751" s="117">
        <v>46202</v>
      </c>
      <c r="BP751" s="39"/>
      <c r="BQ751" s="39"/>
      <c r="BR751" s="50">
        <v>46225</v>
      </c>
      <c r="BS751" s="50">
        <v>46228</v>
      </c>
      <c r="BT751" s="39">
        <v>2049</v>
      </c>
      <c r="BU751" s="39">
        <v>205</v>
      </c>
      <c r="BV751" s="39" t="s">
        <v>2145</v>
      </c>
      <c r="BW751" s="39">
        <v>14</v>
      </c>
      <c r="BX751" s="39">
        <v>2049</v>
      </c>
      <c r="BY751" s="39">
        <v>16</v>
      </c>
      <c r="BZ751" s="39">
        <f>BU751+BW751+BY751</f>
        <v>235</v>
      </c>
      <c r="CA751" s="39">
        <f t="shared" si="817"/>
        <v>3</v>
      </c>
      <c r="CB751" s="39">
        <f t="shared" si="818"/>
        <v>1</v>
      </c>
      <c r="CC751" s="39">
        <f t="shared" si="819"/>
        <v>1</v>
      </c>
      <c r="CD751" s="39">
        <f>SUMIF(CA751:CC751,"&lt;0")</f>
        <v>0</v>
      </c>
      <c r="CE751" s="102">
        <f t="shared" si="820"/>
        <v>0</v>
      </c>
      <c r="CF751" s="36"/>
      <c r="CG751" s="39" t="s">
        <v>235</v>
      </c>
      <c r="CH751" s="39" t="s">
        <v>973</v>
      </c>
      <c r="CI751" s="25">
        <v>2</v>
      </c>
    </row>
    <row r="752" spans="1:87" ht="24.75" customHeight="1">
      <c r="A752" s="36" t="s">
        <v>500</v>
      </c>
      <c r="B752" s="55">
        <v>47726</v>
      </c>
      <c r="C752" s="227" t="s">
        <v>775</v>
      </c>
      <c r="D752" s="36" t="s">
        <v>45</v>
      </c>
      <c r="E752" s="39">
        <v>340</v>
      </c>
      <c r="F752" s="39" t="s">
        <v>65</v>
      </c>
      <c r="G752" s="36" t="s">
        <v>345</v>
      </c>
      <c r="H752" s="39" t="s">
        <v>196</v>
      </c>
      <c r="I752" s="39">
        <v>209</v>
      </c>
      <c r="J752" s="39">
        <v>51</v>
      </c>
      <c r="K752" s="39">
        <v>7</v>
      </c>
      <c r="L752" s="39">
        <f t="shared" ref="L752:L753" si="856">SUM(I752:K752)</f>
        <v>267</v>
      </c>
      <c r="M752" s="117">
        <v>46179</v>
      </c>
      <c r="N752" s="117">
        <v>46186</v>
      </c>
      <c r="O752" s="39"/>
      <c r="P752" s="39"/>
      <c r="Q752" s="39"/>
      <c r="R752" s="39">
        <f t="shared" ref="R752:R753" si="857">SUM(O752:Q752)</f>
        <v>0</v>
      </c>
      <c r="S752" s="39" t="s">
        <v>130</v>
      </c>
      <c r="T752" s="39">
        <v>107744</v>
      </c>
      <c r="U752" s="117">
        <v>46220</v>
      </c>
      <c r="V752" s="39"/>
      <c r="W752" s="39"/>
      <c r="X752" s="39"/>
      <c r="Y752" s="39">
        <v>250</v>
      </c>
      <c r="Z752" s="39">
        <v>64</v>
      </c>
      <c r="AA752" s="39">
        <v>10</v>
      </c>
      <c r="AB752" s="119">
        <f t="shared" ref="AB752:AB753" si="858">SUM(Y752:AA752)</f>
        <v>324</v>
      </c>
      <c r="AC752" s="39"/>
      <c r="AD752" s="39"/>
      <c r="AE752" s="39"/>
      <c r="AF752" s="39"/>
      <c r="AG752" s="39"/>
      <c r="AH752" s="39">
        <f t="shared" ref="AH752:AH753" si="859">AG752-AE752</f>
        <v>0</v>
      </c>
      <c r="AI752" s="39"/>
      <c r="AJ752" s="39"/>
      <c r="AK752" s="39"/>
      <c r="AL752" s="39"/>
      <c r="AM752" s="39"/>
      <c r="AN752" s="39">
        <f t="shared" si="850"/>
        <v>0</v>
      </c>
      <c r="AO752" s="39" t="s">
        <v>280</v>
      </c>
      <c r="AP752" s="117">
        <v>46223</v>
      </c>
      <c r="AQ752" s="39">
        <v>232</v>
      </c>
      <c r="AR752" s="117" t="s">
        <v>1963</v>
      </c>
      <c r="AS752" s="39">
        <f>28+202</f>
        <v>230</v>
      </c>
      <c r="AT752" s="39">
        <f t="shared" si="813"/>
        <v>-2</v>
      </c>
      <c r="AU752" s="39" t="s">
        <v>273</v>
      </c>
      <c r="AV752" s="117" t="s">
        <v>1963</v>
      </c>
      <c r="AW752" s="39">
        <f>28+202</f>
        <v>230</v>
      </c>
      <c r="AX752" s="117" t="s">
        <v>1974</v>
      </c>
      <c r="AY752" s="39">
        <f>27+199</f>
        <v>226</v>
      </c>
      <c r="AZ752" s="39">
        <f t="shared" si="814"/>
        <v>-4</v>
      </c>
      <c r="BA752" s="39"/>
      <c r="BB752" s="39"/>
      <c r="BC752" s="39"/>
      <c r="BD752" s="39"/>
      <c r="BE752" s="39"/>
      <c r="BF752" s="39">
        <f t="shared" si="815"/>
        <v>0</v>
      </c>
      <c r="BG752" s="39"/>
      <c r="BH752" s="39"/>
      <c r="BI752" s="39"/>
      <c r="BJ752" s="39"/>
      <c r="BK752" s="39"/>
      <c r="BL752" s="39">
        <f t="shared" ref="BL752:BL753" si="860">BK752-BI752</f>
        <v>0</v>
      </c>
      <c r="BM752" s="54" t="str">
        <f t="shared" si="816"/>
        <v/>
      </c>
      <c r="BN752" s="66">
        <v>46188</v>
      </c>
      <c r="BO752" s="117">
        <v>46203</v>
      </c>
      <c r="BP752" s="39"/>
      <c r="BQ752" s="39"/>
      <c r="BR752" s="229">
        <v>46232</v>
      </c>
      <c r="BS752" s="229">
        <v>46246</v>
      </c>
      <c r="BT752" s="39" t="s">
        <v>2135</v>
      </c>
      <c r="BU752" s="39">
        <f>27+156+30</f>
        <v>213</v>
      </c>
      <c r="BV752" s="39">
        <v>1950</v>
      </c>
      <c r="BW752" s="39">
        <v>57</v>
      </c>
      <c r="BX752" s="39">
        <v>1950</v>
      </c>
      <c r="BY752" s="39">
        <v>8</v>
      </c>
      <c r="BZ752" s="39">
        <f t="shared" ref="BZ752:BZ753" si="861">BU752+BW752+BY752</f>
        <v>278</v>
      </c>
      <c r="CA752" s="39">
        <f t="shared" si="817"/>
        <v>4</v>
      </c>
      <c r="CB752" s="39">
        <f t="shared" si="818"/>
        <v>6</v>
      </c>
      <c r="CC752" s="39">
        <f t="shared" si="819"/>
        <v>1</v>
      </c>
      <c r="CD752" s="39">
        <f t="shared" ref="CD752:CD753" si="862">SUMIF(CA752:CC752,"&lt;0")</f>
        <v>0</v>
      </c>
      <c r="CE752" s="102">
        <f t="shared" si="820"/>
        <v>0</v>
      </c>
      <c r="CF752" s="36"/>
      <c r="CG752" s="39" t="s">
        <v>235</v>
      </c>
      <c r="CH752" s="39"/>
      <c r="CI752" s="25">
        <v>2</v>
      </c>
    </row>
    <row r="753" spans="1:87" ht="24.75" customHeight="1">
      <c r="A753" s="36" t="s">
        <v>500</v>
      </c>
      <c r="B753" s="55">
        <v>47726</v>
      </c>
      <c r="C753" s="228"/>
      <c r="D753" s="36" t="s">
        <v>45</v>
      </c>
      <c r="E753" s="39">
        <v>340</v>
      </c>
      <c r="F753" s="39" t="s">
        <v>65</v>
      </c>
      <c r="G753" s="36" t="s">
        <v>41</v>
      </c>
      <c r="H753" s="36" t="s">
        <v>475</v>
      </c>
      <c r="I753" s="39">
        <v>209</v>
      </c>
      <c r="J753" s="39">
        <v>51</v>
      </c>
      <c r="K753" s="39">
        <v>7</v>
      </c>
      <c r="L753" s="39">
        <f t="shared" si="856"/>
        <v>267</v>
      </c>
      <c r="M753" s="117">
        <v>46179</v>
      </c>
      <c r="N753" s="117">
        <v>46186</v>
      </c>
      <c r="O753" s="39"/>
      <c r="P753" s="39"/>
      <c r="Q753" s="39"/>
      <c r="R753" s="39">
        <f t="shared" si="857"/>
        <v>0</v>
      </c>
      <c r="S753" s="39" t="s">
        <v>130</v>
      </c>
      <c r="T753" s="39">
        <v>107821</v>
      </c>
      <c r="U753" s="117">
        <v>46221</v>
      </c>
      <c r="V753" s="39"/>
      <c r="W753" s="39"/>
      <c r="X753" s="39"/>
      <c r="Y753" s="39">
        <v>243</v>
      </c>
      <c r="Z753" s="39">
        <v>62</v>
      </c>
      <c r="AA753" s="39">
        <v>10</v>
      </c>
      <c r="AB753" s="119">
        <f t="shared" si="858"/>
        <v>315</v>
      </c>
      <c r="AC753" s="39"/>
      <c r="AD753" s="39"/>
      <c r="AE753" s="39"/>
      <c r="AF753" s="39"/>
      <c r="AG753" s="39"/>
      <c r="AH753" s="39">
        <f t="shared" si="859"/>
        <v>0</v>
      </c>
      <c r="AI753" s="39"/>
      <c r="AJ753" s="39"/>
      <c r="AK753" s="39"/>
      <c r="AL753" s="39"/>
      <c r="AM753" s="39"/>
      <c r="AN753" s="39">
        <f t="shared" si="850"/>
        <v>0</v>
      </c>
      <c r="AO753" s="39" t="s">
        <v>280</v>
      </c>
      <c r="AP753" s="117">
        <v>46238</v>
      </c>
      <c r="AQ753" s="39">
        <v>216</v>
      </c>
      <c r="AR753" s="117">
        <v>46241</v>
      </c>
      <c r="AS753" s="39">
        <f>29+185</f>
        <v>214</v>
      </c>
      <c r="AT753" s="39">
        <f t="shared" si="813"/>
        <v>-2</v>
      </c>
      <c r="AU753" s="39" t="s">
        <v>273</v>
      </c>
      <c r="AV753" s="117" t="s">
        <v>2142</v>
      </c>
      <c r="AW753" s="39">
        <f>29+185</f>
        <v>214</v>
      </c>
      <c r="AX753" s="117" t="s">
        <v>2178</v>
      </c>
      <c r="AY753" s="39">
        <f>28+181</f>
        <v>209</v>
      </c>
      <c r="AZ753" s="39">
        <f t="shared" si="814"/>
        <v>-5</v>
      </c>
      <c r="BA753" s="39"/>
      <c r="BB753" s="39"/>
      <c r="BC753" s="39"/>
      <c r="BD753" s="39"/>
      <c r="BE753" s="39"/>
      <c r="BF753" s="39">
        <f t="shared" si="815"/>
        <v>0</v>
      </c>
      <c r="BG753" s="39"/>
      <c r="BH753" s="39"/>
      <c r="BI753" s="39"/>
      <c r="BJ753" s="39"/>
      <c r="BK753" s="39"/>
      <c r="BL753" s="39">
        <f t="shared" si="860"/>
        <v>0</v>
      </c>
      <c r="BM753" s="54" t="str">
        <f t="shared" si="816"/>
        <v/>
      </c>
      <c r="BN753" s="66">
        <v>46188</v>
      </c>
      <c r="BO753" s="117">
        <v>46203</v>
      </c>
      <c r="BP753" s="39"/>
      <c r="BQ753" s="39"/>
      <c r="BR753" s="230"/>
      <c r="BS753" s="230"/>
      <c r="BT753" s="39" t="s">
        <v>2219</v>
      </c>
      <c r="BU753" s="39">
        <f>27+172</f>
        <v>199</v>
      </c>
      <c r="BV753" s="39">
        <v>620</v>
      </c>
      <c r="BW753" s="39">
        <v>55</v>
      </c>
      <c r="BX753" s="39">
        <v>620</v>
      </c>
      <c r="BY753" s="39">
        <v>8</v>
      </c>
      <c r="BZ753" s="39">
        <f t="shared" si="861"/>
        <v>262</v>
      </c>
      <c r="CA753" s="39">
        <f t="shared" si="817"/>
        <v>-10</v>
      </c>
      <c r="CB753" s="39">
        <f t="shared" si="818"/>
        <v>4</v>
      </c>
      <c r="CC753" s="39">
        <f t="shared" si="819"/>
        <v>1</v>
      </c>
      <c r="CD753" s="39">
        <f t="shared" si="862"/>
        <v>-10</v>
      </c>
      <c r="CE753" s="102">
        <f t="shared" si="820"/>
        <v>-3.7453183520599252E-2</v>
      </c>
      <c r="CF753" s="36"/>
      <c r="CG753" s="39" t="s">
        <v>235</v>
      </c>
      <c r="CH753" s="39"/>
      <c r="CI753" s="25">
        <v>2</v>
      </c>
    </row>
    <row r="754" spans="1:87" ht="24.75" customHeight="1">
      <c r="A754" s="36" t="s">
        <v>500</v>
      </c>
      <c r="B754" s="55"/>
      <c r="C754" s="36"/>
      <c r="D754" s="36"/>
      <c r="E754" s="39"/>
      <c r="F754" s="39"/>
      <c r="G754" s="36"/>
      <c r="H754" s="39"/>
      <c r="I754" s="39"/>
      <c r="J754" s="39"/>
      <c r="K754" s="39"/>
      <c r="L754" s="39">
        <f t="shared" ref="L754:L760" si="863">SUM(I754:K754)</f>
        <v>0</v>
      </c>
      <c r="M754" s="39"/>
      <c r="N754" s="39"/>
      <c r="O754" s="39"/>
      <c r="P754" s="39"/>
      <c r="Q754" s="39"/>
      <c r="R754" s="39">
        <f t="shared" si="786"/>
        <v>0</v>
      </c>
      <c r="S754" s="39"/>
      <c r="T754" s="39"/>
      <c r="U754" s="39"/>
      <c r="V754" s="39"/>
      <c r="W754" s="39"/>
      <c r="X754" s="39"/>
      <c r="Y754" s="39"/>
      <c r="Z754" s="39"/>
      <c r="AA754" s="39"/>
      <c r="AB754" s="39">
        <f t="shared" si="787"/>
        <v>0</v>
      </c>
      <c r="AC754" s="39"/>
      <c r="AD754" s="39"/>
      <c r="AE754" s="39"/>
      <c r="AF754" s="39"/>
      <c r="AG754" s="39"/>
      <c r="AH754" s="39">
        <f t="shared" si="851"/>
        <v>0</v>
      </c>
      <c r="AI754" s="39"/>
      <c r="AJ754" s="39"/>
      <c r="AK754" s="39"/>
      <c r="AL754" s="39"/>
      <c r="AM754" s="39"/>
      <c r="AN754" s="39">
        <f t="shared" si="850"/>
        <v>0</v>
      </c>
      <c r="AO754" s="39"/>
      <c r="AP754" s="39"/>
      <c r="AQ754" s="39"/>
      <c r="AR754" s="39"/>
      <c r="AS754" s="39"/>
      <c r="AT754" s="39">
        <f t="shared" si="813"/>
        <v>0</v>
      </c>
      <c r="AU754" s="39"/>
      <c r="AV754" s="39"/>
      <c r="AW754" s="39"/>
      <c r="AX754" s="39"/>
      <c r="AY754" s="39"/>
      <c r="AZ754" s="39">
        <f t="shared" si="814"/>
        <v>0</v>
      </c>
      <c r="BA754" s="39"/>
      <c r="BB754" s="39"/>
      <c r="BC754" s="39"/>
      <c r="BD754" s="39"/>
      <c r="BE754" s="39"/>
      <c r="BF754" s="39">
        <f t="shared" si="815"/>
        <v>0</v>
      </c>
      <c r="BG754" s="39"/>
      <c r="BH754" s="39"/>
      <c r="BI754" s="39"/>
      <c r="BJ754" s="39"/>
      <c r="BK754" s="39"/>
      <c r="BL754" s="39">
        <f t="shared" si="852"/>
        <v>0</v>
      </c>
      <c r="BM754" s="54" t="e">
        <f t="shared" si="816"/>
        <v>#DIV/0!</v>
      </c>
      <c r="BN754" s="67"/>
      <c r="BO754" s="39"/>
      <c r="BP754" s="39"/>
      <c r="BQ754" s="39"/>
      <c r="BR754" s="40"/>
      <c r="BS754" s="40"/>
      <c r="BT754" s="39"/>
      <c r="BU754" s="39"/>
      <c r="BV754" s="39"/>
      <c r="BW754" s="39"/>
      <c r="BX754" s="39"/>
      <c r="BY754" s="39"/>
      <c r="BZ754" s="39">
        <f t="shared" si="853"/>
        <v>0</v>
      </c>
      <c r="CA754" s="39">
        <f t="shared" si="817"/>
        <v>0</v>
      </c>
      <c r="CB754" s="39">
        <f t="shared" si="818"/>
        <v>0</v>
      </c>
      <c r="CC754" s="39">
        <f t="shared" si="819"/>
        <v>0</v>
      </c>
      <c r="CD754" s="39">
        <f t="shared" si="854"/>
        <v>0</v>
      </c>
      <c r="CE754" s="47" t="e">
        <f t="shared" si="820"/>
        <v>#DIV/0!</v>
      </c>
      <c r="CF754" s="36"/>
      <c r="CG754" s="39"/>
      <c r="CH754" s="39"/>
      <c r="CI754" s="25">
        <v>2</v>
      </c>
    </row>
    <row r="755" spans="1:87" ht="24.75" customHeight="1">
      <c r="A755" s="36" t="s">
        <v>500</v>
      </c>
      <c r="B755" s="55"/>
      <c r="C755" s="36"/>
      <c r="D755" s="36"/>
      <c r="E755" s="39"/>
      <c r="F755" s="39"/>
      <c r="G755" s="36"/>
      <c r="H755" s="39"/>
      <c r="I755" s="39"/>
      <c r="J755" s="39"/>
      <c r="K755" s="39"/>
      <c r="L755" s="39">
        <f t="shared" si="863"/>
        <v>0</v>
      </c>
      <c r="M755" s="39"/>
      <c r="N755" s="39"/>
      <c r="O755" s="39"/>
      <c r="P755" s="39"/>
      <c r="Q755" s="39"/>
      <c r="R755" s="39">
        <f t="shared" si="786"/>
        <v>0</v>
      </c>
      <c r="S755" s="39"/>
      <c r="T755" s="39"/>
      <c r="U755" s="39"/>
      <c r="V755" s="39"/>
      <c r="W755" s="39"/>
      <c r="X755" s="39"/>
      <c r="Y755" s="39"/>
      <c r="Z755" s="39"/>
      <c r="AA755" s="39"/>
      <c r="AB755" s="39">
        <f t="shared" si="787"/>
        <v>0</v>
      </c>
      <c r="AC755" s="39"/>
      <c r="AD755" s="39"/>
      <c r="AE755" s="39"/>
      <c r="AF755" s="39"/>
      <c r="AG755" s="39"/>
      <c r="AH755" s="39">
        <f t="shared" si="851"/>
        <v>0</v>
      </c>
      <c r="AI755" s="39"/>
      <c r="AJ755" s="39"/>
      <c r="AK755" s="39"/>
      <c r="AL755" s="39"/>
      <c r="AM755" s="39"/>
      <c r="AN755" s="39">
        <f t="shared" si="850"/>
        <v>0</v>
      </c>
      <c r="AO755" s="39"/>
      <c r="AP755" s="39"/>
      <c r="AQ755" s="39"/>
      <c r="AR755" s="39"/>
      <c r="AS755" s="39"/>
      <c r="AT755" s="39">
        <f t="shared" si="813"/>
        <v>0</v>
      </c>
      <c r="AU755" s="39"/>
      <c r="AV755" s="39"/>
      <c r="AW755" s="39"/>
      <c r="AX755" s="39"/>
      <c r="AY755" s="39"/>
      <c r="AZ755" s="39">
        <f t="shared" si="814"/>
        <v>0</v>
      </c>
      <c r="BA755" s="39"/>
      <c r="BB755" s="39"/>
      <c r="BC755" s="39"/>
      <c r="BD755" s="39"/>
      <c r="BE755" s="39"/>
      <c r="BF755" s="39">
        <f t="shared" si="815"/>
        <v>0</v>
      </c>
      <c r="BG755" s="39"/>
      <c r="BH755" s="39"/>
      <c r="BI755" s="39"/>
      <c r="BJ755" s="39"/>
      <c r="BK755" s="39"/>
      <c r="BL755" s="39">
        <f t="shared" si="852"/>
        <v>0</v>
      </c>
      <c r="BM755" s="54" t="e">
        <f t="shared" si="816"/>
        <v>#DIV/0!</v>
      </c>
      <c r="BN755" s="67"/>
      <c r="BO755" s="39"/>
      <c r="BP755" s="39"/>
      <c r="BQ755" s="39"/>
      <c r="BR755" s="40"/>
      <c r="BS755" s="40"/>
      <c r="BT755" s="39"/>
      <c r="BU755" s="39"/>
      <c r="BV755" s="39"/>
      <c r="BW755" s="39"/>
      <c r="BX755" s="39"/>
      <c r="BY755" s="39"/>
      <c r="BZ755" s="39">
        <f t="shared" si="853"/>
        <v>0</v>
      </c>
      <c r="CA755" s="39">
        <f t="shared" si="817"/>
        <v>0</v>
      </c>
      <c r="CB755" s="39">
        <f t="shared" si="818"/>
        <v>0</v>
      </c>
      <c r="CC755" s="39">
        <f t="shared" si="819"/>
        <v>0</v>
      </c>
      <c r="CD755" s="39">
        <f t="shared" si="854"/>
        <v>0</v>
      </c>
      <c r="CE755" s="47" t="e">
        <f t="shared" si="820"/>
        <v>#DIV/0!</v>
      </c>
      <c r="CF755" s="36"/>
      <c r="CG755" s="39"/>
      <c r="CH755" s="39"/>
      <c r="CI755" s="25">
        <v>2</v>
      </c>
    </row>
    <row r="756" spans="1:87" ht="24.75" customHeight="1">
      <c r="A756" s="36" t="s">
        <v>500</v>
      </c>
      <c r="B756" s="55"/>
      <c r="C756" s="36"/>
      <c r="D756" s="36"/>
      <c r="E756" s="39"/>
      <c r="F756" s="39"/>
      <c r="G756" s="36"/>
      <c r="H756" s="39"/>
      <c r="I756" s="39"/>
      <c r="J756" s="39"/>
      <c r="K756" s="39"/>
      <c r="L756" s="39">
        <f>SUM(I756:K756)</f>
        <v>0</v>
      </c>
      <c r="M756" s="39"/>
      <c r="N756" s="39"/>
      <c r="O756" s="39"/>
      <c r="P756" s="39"/>
      <c r="Q756" s="39"/>
      <c r="R756" s="39">
        <f>SUM(O756:Q756)</f>
        <v>0</v>
      </c>
      <c r="S756" s="39"/>
      <c r="T756" s="39"/>
      <c r="U756" s="39"/>
      <c r="V756" s="39"/>
      <c r="W756" s="39"/>
      <c r="X756" s="39"/>
      <c r="Y756" s="39"/>
      <c r="Z756" s="39"/>
      <c r="AA756" s="39"/>
      <c r="AB756" s="39">
        <f>SUM(Y756:AA756)</f>
        <v>0</v>
      </c>
      <c r="AC756" s="39"/>
      <c r="AD756" s="39"/>
      <c r="AE756" s="39"/>
      <c r="AF756" s="39"/>
      <c r="AG756" s="39"/>
      <c r="AH756" s="39">
        <f>AG756-AE756</f>
        <v>0</v>
      </c>
      <c r="AI756" s="39"/>
      <c r="AJ756" s="39"/>
      <c r="AK756" s="39"/>
      <c r="AL756" s="39"/>
      <c r="AM756" s="39"/>
      <c r="AN756" s="39">
        <f t="shared" si="850"/>
        <v>0</v>
      </c>
      <c r="AO756" s="39"/>
      <c r="AP756" s="39"/>
      <c r="AQ756" s="39"/>
      <c r="AR756" s="39"/>
      <c r="AS756" s="39"/>
      <c r="AT756" s="39">
        <f t="shared" si="813"/>
        <v>0</v>
      </c>
      <c r="AU756" s="39"/>
      <c r="AV756" s="39"/>
      <c r="AW756" s="39"/>
      <c r="AX756" s="39"/>
      <c r="AY756" s="39"/>
      <c r="AZ756" s="39">
        <f t="shared" si="814"/>
        <v>0</v>
      </c>
      <c r="BA756" s="39"/>
      <c r="BB756" s="39"/>
      <c r="BC756" s="39"/>
      <c r="BD756" s="39"/>
      <c r="BE756" s="39"/>
      <c r="BF756" s="39">
        <f t="shared" si="815"/>
        <v>0</v>
      </c>
      <c r="BG756" s="39"/>
      <c r="BH756" s="39"/>
      <c r="BI756" s="39"/>
      <c r="BJ756" s="39"/>
      <c r="BK756" s="39"/>
      <c r="BL756" s="39">
        <f>BK756-BI756</f>
        <v>0</v>
      </c>
      <c r="BM756" s="54" t="e">
        <f t="shared" si="816"/>
        <v>#DIV/0!</v>
      </c>
      <c r="BN756" s="67"/>
      <c r="BO756" s="39"/>
      <c r="BP756" s="39"/>
      <c r="BQ756" s="39"/>
      <c r="BR756" s="40"/>
      <c r="BS756" s="40"/>
      <c r="BT756" s="39"/>
      <c r="BU756" s="39"/>
      <c r="BV756" s="39"/>
      <c r="BW756" s="39"/>
      <c r="BX756" s="39"/>
      <c r="BY756" s="39"/>
      <c r="BZ756" s="39">
        <f>BU756+BW756+BY756</f>
        <v>0</v>
      </c>
      <c r="CA756" s="39">
        <f t="shared" si="817"/>
        <v>0</v>
      </c>
      <c r="CB756" s="39">
        <f t="shared" si="818"/>
        <v>0</v>
      </c>
      <c r="CC756" s="39">
        <f t="shared" si="819"/>
        <v>0</v>
      </c>
      <c r="CD756" s="39">
        <f>SUMIF(CA756:CC756,"&lt;0")</f>
        <v>0</v>
      </c>
      <c r="CE756" s="47" t="e">
        <f t="shared" si="820"/>
        <v>#DIV/0!</v>
      </c>
      <c r="CF756" s="36"/>
      <c r="CG756" s="39"/>
      <c r="CH756" s="39"/>
      <c r="CI756" s="25">
        <v>2</v>
      </c>
    </row>
    <row r="757" spans="1:87" ht="24.75" customHeight="1">
      <c r="A757" s="36" t="s">
        <v>500</v>
      </c>
      <c r="B757" s="55"/>
      <c r="C757" s="36"/>
      <c r="D757" s="36"/>
      <c r="E757" s="39"/>
      <c r="F757" s="39"/>
      <c r="G757" s="36"/>
      <c r="H757" s="39"/>
      <c r="I757" s="39"/>
      <c r="J757" s="39"/>
      <c r="K757" s="39"/>
      <c r="L757" s="39">
        <f>SUM(I757:K757)</f>
        <v>0</v>
      </c>
      <c r="M757" s="39"/>
      <c r="N757" s="39"/>
      <c r="O757" s="39"/>
      <c r="P757" s="39"/>
      <c r="Q757" s="39"/>
      <c r="R757" s="39">
        <f>SUM(O757:Q757)</f>
        <v>0</v>
      </c>
      <c r="S757" s="39"/>
      <c r="T757" s="39"/>
      <c r="U757" s="39"/>
      <c r="V757" s="39"/>
      <c r="W757" s="39"/>
      <c r="X757" s="39"/>
      <c r="Y757" s="39"/>
      <c r="Z757" s="39"/>
      <c r="AA757" s="39"/>
      <c r="AB757" s="39">
        <f>SUM(Y757:AA757)</f>
        <v>0</v>
      </c>
      <c r="AC757" s="39"/>
      <c r="AD757" s="39"/>
      <c r="AE757" s="39"/>
      <c r="AF757" s="39"/>
      <c r="AG757" s="39"/>
      <c r="AH757" s="39">
        <f>AG757-AE757</f>
        <v>0</v>
      </c>
      <c r="AI757" s="39"/>
      <c r="AJ757" s="39"/>
      <c r="AK757" s="39"/>
      <c r="AL757" s="39"/>
      <c r="AM757" s="39"/>
      <c r="AN757" s="39">
        <f t="shared" si="850"/>
        <v>0</v>
      </c>
      <c r="AO757" s="39"/>
      <c r="AP757" s="39"/>
      <c r="AQ757" s="39"/>
      <c r="AR757" s="39"/>
      <c r="AS757" s="39"/>
      <c r="AT757" s="39">
        <f t="shared" si="813"/>
        <v>0</v>
      </c>
      <c r="AU757" s="39"/>
      <c r="AV757" s="39"/>
      <c r="AW757" s="39"/>
      <c r="AX757" s="39"/>
      <c r="AY757" s="39"/>
      <c r="AZ757" s="39">
        <f t="shared" si="814"/>
        <v>0</v>
      </c>
      <c r="BA757" s="39"/>
      <c r="BB757" s="39"/>
      <c r="BC757" s="39"/>
      <c r="BD757" s="39"/>
      <c r="BE757" s="39"/>
      <c r="BF757" s="39">
        <f t="shared" si="815"/>
        <v>0</v>
      </c>
      <c r="BG757" s="39"/>
      <c r="BH757" s="39"/>
      <c r="BI757" s="39"/>
      <c r="BJ757" s="39"/>
      <c r="BK757" s="39"/>
      <c r="BL757" s="39">
        <f>BK757-BI757</f>
        <v>0</v>
      </c>
      <c r="BM757" s="54" t="e">
        <f t="shared" si="816"/>
        <v>#DIV/0!</v>
      </c>
      <c r="BN757" s="67"/>
      <c r="BO757" s="39"/>
      <c r="BP757" s="39"/>
      <c r="BQ757" s="39"/>
      <c r="BR757" s="40"/>
      <c r="BS757" s="40"/>
      <c r="BT757" s="39"/>
      <c r="BU757" s="39"/>
      <c r="BV757" s="39"/>
      <c r="BW757" s="39"/>
      <c r="BX757" s="39"/>
      <c r="BY757" s="39"/>
      <c r="BZ757" s="39">
        <f>BU757+BW757+BY757</f>
        <v>0</v>
      </c>
      <c r="CA757" s="39">
        <f t="shared" si="817"/>
        <v>0</v>
      </c>
      <c r="CB757" s="39">
        <f t="shared" si="818"/>
        <v>0</v>
      </c>
      <c r="CC757" s="39">
        <f t="shared" si="819"/>
        <v>0</v>
      </c>
      <c r="CD757" s="39">
        <f>SUMIF(CA757:CC757,"&lt;0")</f>
        <v>0</v>
      </c>
      <c r="CE757" s="47" t="e">
        <f t="shared" si="820"/>
        <v>#DIV/0!</v>
      </c>
      <c r="CF757" s="36"/>
      <c r="CG757" s="39"/>
      <c r="CH757" s="39"/>
      <c r="CI757" s="25">
        <v>2</v>
      </c>
    </row>
    <row r="758" spans="1:87" ht="24.75" customHeight="1">
      <c r="A758" s="36" t="s">
        <v>500</v>
      </c>
      <c r="B758" s="55"/>
      <c r="C758" s="36"/>
      <c r="D758" s="36"/>
      <c r="E758" s="39"/>
      <c r="F758" s="39"/>
      <c r="G758" s="36"/>
      <c r="H758" s="39"/>
      <c r="I758" s="39"/>
      <c r="J758" s="39"/>
      <c r="K758" s="39"/>
      <c r="L758" s="39">
        <f>SUM(I758:K758)</f>
        <v>0</v>
      </c>
      <c r="M758" s="39"/>
      <c r="N758" s="39"/>
      <c r="O758" s="39"/>
      <c r="P758" s="39"/>
      <c r="Q758" s="39"/>
      <c r="R758" s="39">
        <f>SUM(O758:Q758)</f>
        <v>0</v>
      </c>
      <c r="S758" s="39"/>
      <c r="T758" s="39"/>
      <c r="U758" s="39"/>
      <c r="V758" s="39"/>
      <c r="W758" s="39"/>
      <c r="X758" s="39"/>
      <c r="Y758" s="39"/>
      <c r="Z758" s="39"/>
      <c r="AA758" s="39"/>
      <c r="AB758" s="39">
        <f>SUM(Y758:AA758)</f>
        <v>0</v>
      </c>
      <c r="AC758" s="39"/>
      <c r="AD758" s="39"/>
      <c r="AE758" s="39"/>
      <c r="AF758" s="39"/>
      <c r="AG758" s="39"/>
      <c r="AH758" s="39">
        <f>AG758-AE758</f>
        <v>0</v>
      </c>
      <c r="AI758" s="39"/>
      <c r="AJ758" s="39"/>
      <c r="AK758" s="39"/>
      <c r="AL758" s="39"/>
      <c r="AM758" s="39"/>
      <c r="AN758" s="39">
        <f t="shared" si="850"/>
        <v>0</v>
      </c>
      <c r="AO758" s="39"/>
      <c r="AP758" s="39"/>
      <c r="AQ758" s="39"/>
      <c r="AR758" s="39"/>
      <c r="AS758" s="39"/>
      <c r="AT758" s="39">
        <f t="shared" si="813"/>
        <v>0</v>
      </c>
      <c r="AU758" s="39"/>
      <c r="AV758" s="39"/>
      <c r="AW758" s="39"/>
      <c r="AX758" s="39"/>
      <c r="AY758" s="39"/>
      <c r="AZ758" s="39">
        <f t="shared" si="814"/>
        <v>0</v>
      </c>
      <c r="BA758" s="39"/>
      <c r="BB758" s="39"/>
      <c r="BC758" s="39"/>
      <c r="BD758" s="39"/>
      <c r="BE758" s="39"/>
      <c r="BF758" s="39">
        <f t="shared" si="815"/>
        <v>0</v>
      </c>
      <c r="BG758" s="39"/>
      <c r="BH758" s="39"/>
      <c r="BI758" s="39"/>
      <c r="BJ758" s="39"/>
      <c r="BK758" s="39"/>
      <c r="BL758" s="39">
        <f>BK758-BI758</f>
        <v>0</v>
      </c>
      <c r="BM758" s="54" t="e">
        <f t="shared" si="816"/>
        <v>#DIV/0!</v>
      </c>
      <c r="BN758" s="67"/>
      <c r="BO758" s="39"/>
      <c r="BP758" s="39"/>
      <c r="BQ758" s="39"/>
      <c r="BR758" s="40"/>
      <c r="BS758" s="40"/>
      <c r="BT758" s="39"/>
      <c r="BU758" s="39"/>
      <c r="BV758" s="39"/>
      <c r="BW758" s="39"/>
      <c r="BX758" s="39"/>
      <c r="BY758" s="39"/>
      <c r="BZ758" s="39">
        <f>BU758+BW758+BY758</f>
        <v>0</v>
      </c>
      <c r="CA758" s="39">
        <f t="shared" si="817"/>
        <v>0</v>
      </c>
      <c r="CB758" s="39">
        <f t="shared" si="818"/>
        <v>0</v>
      </c>
      <c r="CC758" s="39">
        <f t="shared" si="819"/>
        <v>0</v>
      </c>
      <c r="CD758" s="39">
        <f>SUMIF(CA758:CC758,"&lt;0")</f>
        <v>0</v>
      </c>
      <c r="CE758" s="47" t="e">
        <f t="shared" si="820"/>
        <v>#DIV/0!</v>
      </c>
      <c r="CF758" s="36"/>
      <c r="CG758" s="39"/>
      <c r="CH758" s="39"/>
      <c r="CI758" s="25">
        <v>2</v>
      </c>
    </row>
    <row r="759" spans="1:87" ht="24.75" customHeight="1">
      <c r="A759" s="36" t="s">
        <v>500</v>
      </c>
      <c r="B759" s="55"/>
      <c r="C759" s="36"/>
      <c r="D759" s="36"/>
      <c r="E759" s="39"/>
      <c r="F759" s="39"/>
      <c r="G759" s="36"/>
      <c r="H759" s="39"/>
      <c r="I759" s="39"/>
      <c r="J759" s="39"/>
      <c r="K759" s="39"/>
      <c r="L759" s="39">
        <f t="shared" si="863"/>
        <v>0</v>
      </c>
      <c r="M759" s="39"/>
      <c r="N759" s="39"/>
      <c r="O759" s="39"/>
      <c r="P759" s="39"/>
      <c r="Q759" s="39"/>
      <c r="R759" s="39">
        <f t="shared" si="786"/>
        <v>0</v>
      </c>
      <c r="S759" s="39"/>
      <c r="T759" s="39"/>
      <c r="U759" s="39"/>
      <c r="V759" s="39"/>
      <c r="W759" s="39"/>
      <c r="X759" s="39"/>
      <c r="Y759" s="39"/>
      <c r="Z759" s="39"/>
      <c r="AA759" s="39"/>
      <c r="AB759" s="39">
        <f t="shared" si="787"/>
        <v>0</v>
      </c>
      <c r="AC759" s="39"/>
      <c r="AD759" s="39"/>
      <c r="AE759" s="39"/>
      <c r="AF759" s="39"/>
      <c r="AG759" s="39"/>
      <c r="AH759" s="39">
        <f t="shared" si="851"/>
        <v>0</v>
      </c>
      <c r="AI759" s="39"/>
      <c r="AJ759" s="39"/>
      <c r="AK759" s="39"/>
      <c r="AL759" s="39"/>
      <c r="AM759" s="39"/>
      <c r="AN759" s="39">
        <f t="shared" si="850"/>
        <v>0</v>
      </c>
      <c r="AO759" s="39"/>
      <c r="AP759" s="39"/>
      <c r="AQ759" s="39"/>
      <c r="AR759" s="39"/>
      <c r="AS759" s="39"/>
      <c r="AT759" s="39">
        <f t="shared" si="813"/>
        <v>0</v>
      </c>
      <c r="AU759" s="39"/>
      <c r="AV759" s="39"/>
      <c r="AW759" s="39"/>
      <c r="AX759" s="39"/>
      <c r="AY759" s="39"/>
      <c r="AZ759" s="39">
        <f t="shared" si="814"/>
        <v>0</v>
      </c>
      <c r="BA759" s="39"/>
      <c r="BB759" s="39"/>
      <c r="BC759" s="39"/>
      <c r="BD759" s="39"/>
      <c r="BE759" s="39"/>
      <c r="BF759" s="39">
        <f t="shared" si="815"/>
        <v>0</v>
      </c>
      <c r="BG759" s="39"/>
      <c r="BH759" s="39"/>
      <c r="BI759" s="39"/>
      <c r="BJ759" s="39"/>
      <c r="BK759" s="39"/>
      <c r="BL759" s="39">
        <f t="shared" si="852"/>
        <v>0</v>
      </c>
      <c r="BM759" s="54" t="e">
        <f t="shared" si="816"/>
        <v>#DIV/0!</v>
      </c>
      <c r="BN759" s="63"/>
      <c r="BO759" s="39"/>
      <c r="BP759" s="39"/>
      <c r="BQ759" s="39"/>
      <c r="BR759" s="40"/>
      <c r="BS759" s="40"/>
      <c r="BT759" s="39"/>
      <c r="BU759" s="39"/>
      <c r="BV759" s="39"/>
      <c r="BW759" s="39"/>
      <c r="BX759" s="39"/>
      <c r="BY759" s="39"/>
      <c r="BZ759" s="39">
        <f t="shared" si="853"/>
        <v>0</v>
      </c>
      <c r="CA759" s="39">
        <f t="shared" si="817"/>
        <v>0</v>
      </c>
      <c r="CB759" s="39">
        <f t="shared" si="818"/>
        <v>0</v>
      </c>
      <c r="CC759" s="39">
        <f t="shared" si="819"/>
        <v>0</v>
      </c>
      <c r="CD759" s="39">
        <f t="shared" si="854"/>
        <v>0</v>
      </c>
      <c r="CE759" s="47" t="e">
        <f t="shared" si="820"/>
        <v>#DIV/0!</v>
      </c>
      <c r="CF759" s="36"/>
      <c r="CG759" s="39"/>
      <c r="CH759" s="39"/>
      <c r="CI759" s="25">
        <v>3</v>
      </c>
    </row>
    <row r="760" spans="1:87" ht="24.75" customHeight="1">
      <c r="A760" s="36" t="s">
        <v>500</v>
      </c>
      <c r="B760" s="55"/>
      <c r="C760" s="36"/>
      <c r="D760" s="36"/>
      <c r="E760" s="39"/>
      <c r="F760" s="39"/>
      <c r="G760" s="36"/>
      <c r="H760" s="39"/>
      <c r="I760" s="39"/>
      <c r="J760" s="39"/>
      <c r="K760" s="39"/>
      <c r="L760" s="39">
        <f t="shared" si="863"/>
        <v>0</v>
      </c>
      <c r="M760" s="39"/>
      <c r="N760" s="39"/>
      <c r="O760" s="39"/>
      <c r="P760" s="39"/>
      <c r="Q760" s="39"/>
      <c r="R760" s="39">
        <f t="shared" si="786"/>
        <v>0</v>
      </c>
      <c r="S760" s="39"/>
      <c r="T760" s="39"/>
      <c r="U760" s="39"/>
      <c r="V760" s="39"/>
      <c r="W760" s="39"/>
      <c r="X760" s="39"/>
      <c r="Y760" s="39"/>
      <c r="Z760" s="39"/>
      <c r="AA760" s="39"/>
      <c r="AB760" s="39">
        <f t="shared" si="787"/>
        <v>0</v>
      </c>
      <c r="AC760" s="39"/>
      <c r="AD760" s="39"/>
      <c r="AE760" s="39"/>
      <c r="AF760" s="39"/>
      <c r="AG760" s="39"/>
      <c r="AH760" s="39">
        <f t="shared" si="851"/>
        <v>0</v>
      </c>
      <c r="AI760" s="39"/>
      <c r="AJ760" s="39"/>
      <c r="AK760" s="39"/>
      <c r="AL760" s="39"/>
      <c r="AM760" s="39"/>
      <c r="AN760" s="39">
        <f t="shared" si="850"/>
        <v>0</v>
      </c>
      <c r="AO760" s="39"/>
      <c r="AP760" s="39"/>
      <c r="AQ760" s="39"/>
      <c r="AR760" s="39"/>
      <c r="AS760" s="39"/>
      <c r="AT760" s="39">
        <f t="shared" si="813"/>
        <v>0</v>
      </c>
      <c r="AU760" s="39"/>
      <c r="AV760" s="39"/>
      <c r="AW760" s="39"/>
      <c r="AX760" s="39"/>
      <c r="AY760" s="39"/>
      <c r="AZ760" s="39">
        <f t="shared" si="814"/>
        <v>0</v>
      </c>
      <c r="BA760" s="39"/>
      <c r="BB760" s="39"/>
      <c r="BC760" s="39"/>
      <c r="BD760" s="39"/>
      <c r="BE760" s="39"/>
      <c r="BF760" s="39">
        <f t="shared" si="815"/>
        <v>0</v>
      </c>
      <c r="BG760" s="39"/>
      <c r="BH760" s="39"/>
      <c r="BI760" s="39"/>
      <c r="BJ760" s="39"/>
      <c r="BK760" s="39"/>
      <c r="BL760" s="39">
        <f t="shared" si="852"/>
        <v>0</v>
      </c>
      <c r="BM760" s="54" t="e">
        <f t="shared" si="816"/>
        <v>#DIV/0!</v>
      </c>
      <c r="BN760" s="63"/>
      <c r="BO760" s="39"/>
      <c r="BP760" s="39"/>
      <c r="BQ760" s="39"/>
      <c r="BR760" s="40"/>
      <c r="BS760" s="40"/>
      <c r="BT760" s="39"/>
      <c r="BU760" s="39"/>
      <c r="BV760" s="39"/>
      <c r="BW760" s="39"/>
      <c r="BX760" s="39"/>
      <c r="BY760" s="39"/>
      <c r="BZ760" s="39">
        <f t="shared" si="853"/>
        <v>0</v>
      </c>
      <c r="CA760" s="39">
        <f t="shared" si="817"/>
        <v>0</v>
      </c>
      <c r="CB760" s="39">
        <f t="shared" si="818"/>
        <v>0</v>
      </c>
      <c r="CC760" s="39">
        <f t="shared" si="819"/>
        <v>0</v>
      </c>
      <c r="CD760" s="39">
        <f t="shared" si="854"/>
        <v>0</v>
      </c>
      <c r="CE760" s="47" t="e">
        <f t="shared" si="820"/>
        <v>#DIV/0!</v>
      </c>
      <c r="CF760" s="36"/>
      <c r="CG760" s="39"/>
      <c r="CH760" s="39"/>
      <c r="CI760" s="25">
        <v>3</v>
      </c>
    </row>
    <row r="761" spans="1:87" ht="24.75" customHeight="1">
      <c r="A761" s="36" t="s">
        <v>500</v>
      </c>
      <c r="B761" s="55"/>
      <c r="C761" s="36"/>
      <c r="D761" s="36"/>
      <c r="E761" s="39"/>
      <c r="F761" s="39"/>
      <c r="G761" s="36"/>
      <c r="H761" s="39"/>
      <c r="I761" s="39"/>
      <c r="J761" s="39"/>
      <c r="K761" s="39"/>
      <c r="L761" s="39">
        <f t="shared" ref="L761:L887" si="864">SUM(I761:K761)</f>
        <v>0</v>
      </c>
      <c r="M761" s="39"/>
      <c r="N761" s="39"/>
      <c r="O761" s="39"/>
      <c r="P761" s="39"/>
      <c r="Q761" s="39"/>
      <c r="R761" s="39">
        <f t="shared" ref="R761:R887" si="865">SUM(O761:Q761)</f>
        <v>0</v>
      </c>
      <c r="S761" s="39"/>
      <c r="T761" s="39"/>
      <c r="U761" s="39"/>
      <c r="V761" s="39"/>
      <c r="W761" s="39"/>
      <c r="X761" s="39"/>
      <c r="Y761" s="39"/>
      <c r="Z761" s="39"/>
      <c r="AA761" s="39"/>
      <c r="AB761" s="39">
        <f t="shared" ref="AB761:AB887" si="866">SUM(Y761:AA761)</f>
        <v>0</v>
      </c>
      <c r="AC761" s="39"/>
      <c r="AD761" s="39"/>
      <c r="AE761" s="39"/>
      <c r="AF761" s="39"/>
      <c r="AG761" s="39"/>
      <c r="AH761" s="39">
        <f>AG761-AE761</f>
        <v>0</v>
      </c>
      <c r="AI761" s="39"/>
      <c r="AJ761" s="39"/>
      <c r="AK761" s="39"/>
      <c r="AL761" s="39"/>
      <c r="AM761" s="39"/>
      <c r="AN761" s="39">
        <f t="shared" si="850"/>
        <v>0</v>
      </c>
      <c r="AO761" s="39"/>
      <c r="AP761" s="39"/>
      <c r="AQ761" s="39"/>
      <c r="AR761" s="39"/>
      <c r="AS761" s="39"/>
      <c r="AT761" s="39">
        <f t="shared" si="813"/>
        <v>0</v>
      </c>
      <c r="AU761" s="39"/>
      <c r="AV761" s="39"/>
      <c r="AW761" s="39"/>
      <c r="AX761" s="39"/>
      <c r="AY761" s="39"/>
      <c r="AZ761" s="39">
        <f t="shared" si="814"/>
        <v>0</v>
      </c>
      <c r="BA761" s="39"/>
      <c r="BB761" s="39"/>
      <c r="BC761" s="39"/>
      <c r="BD761" s="39"/>
      <c r="BE761" s="39"/>
      <c r="BF761" s="39">
        <f t="shared" si="815"/>
        <v>0</v>
      </c>
      <c r="BG761" s="39"/>
      <c r="BH761" s="39"/>
      <c r="BI761" s="39"/>
      <c r="BJ761" s="39"/>
      <c r="BK761" s="39"/>
      <c r="BL761" s="39">
        <f>BK761-BI761</f>
        <v>0</v>
      </c>
      <c r="BM761" s="54" t="e">
        <f t="shared" si="816"/>
        <v>#DIV/0!</v>
      </c>
      <c r="BN761" s="63"/>
      <c r="BO761" s="39"/>
      <c r="BP761" s="39"/>
      <c r="BQ761" s="39"/>
      <c r="BR761" s="40"/>
      <c r="BS761" s="40"/>
      <c r="BT761" s="39"/>
      <c r="BU761" s="39"/>
      <c r="BV761" s="39"/>
      <c r="BW761" s="39"/>
      <c r="BX761" s="39"/>
      <c r="BY761" s="39"/>
      <c r="BZ761" s="39">
        <f>BU761+BW761+BY761</f>
        <v>0</v>
      </c>
      <c r="CA761" s="39">
        <f t="shared" si="817"/>
        <v>0</v>
      </c>
      <c r="CB761" s="39">
        <f t="shared" si="818"/>
        <v>0</v>
      </c>
      <c r="CC761" s="39">
        <f t="shared" si="819"/>
        <v>0</v>
      </c>
      <c r="CD761" s="39">
        <f>SUMIF(CA761:CC761,"&lt;0")</f>
        <v>0</v>
      </c>
      <c r="CE761" s="47" t="e">
        <f t="shared" si="820"/>
        <v>#DIV/0!</v>
      </c>
      <c r="CF761" s="36"/>
      <c r="CG761" s="39"/>
      <c r="CH761" s="39"/>
      <c r="CI761" s="25">
        <v>3</v>
      </c>
    </row>
    <row r="762" spans="1:87" ht="24.75" customHeight="1">
      <c r="A762" s="36" t="s">
        <v>500</v>
      </c>
      <c r="B762" s="55"/>
      <c r="C762" s="36"/>
      <c r="D762" s="36"/>
      <c r="E762" s="39"/>
      <c r="F762" s="39"/>
      <c r="G762" s="36"/>
      <c r="H762" s="39"/>
      <c r="I762" s="39"/>
      <c r="J762" s="39"/>
      <c r="K762" s="39"/>
      <c r="L762" s="39">
        <f t="shared" si="864"/>
        <v>0</v>
      </c>
      <c r="M762" s="39"/>
      <c r="N762" s="39"/>
      <c r="O762" s="39"/>
      <c r="P762" s="39"/>
      <c r="Q762" s="39"/>
      <c r="R762" s="39">
        <f t="shared" si="865"/>
        <v>0</v>
      </c>
      <c r="S762" s="39"/>
      <c r="T762" s="39"/>
      <c r="U762" s="39"/>
      <c r="V762" s="39"/>
      <c r="W762" s="39"/>
      <c r="X762" s="39"/>
      <c r="Y762" s="39"/>
      <c r="Z762" s="39"/>
      <c r="AA762" s="39"/>
      <c r="AB762" s="39">
        <f t="shared" si="866"/>
        <v>0</v>
      </c>
      <c r="AC762" s="39"/>
      <c r="AD762" s="39"/>
      <c r="AE762" s="39"/>
      <c r="AF762" s="39"/>
      <c r="AG762" s="39"/>
      <c r="AH762" s="39">
        <f>AG762-AE762</f>
        <v>0</v>
      </c>
      <c r="AI762" s="39"/>
      <c r="AJ762" s="39"/>
      <c r="AK762" s="39"/>
      <c r="AL762" s="39"/>
      <c r="AM762" s="39"/>
      <c r="AN762" s="39">
        <f t="shared" si="850"/>
        <v>0</v>
      </c>
      <c r="AO762" s="39"/>
      <c r="AP762" s="39"/>
      <c r="AQ762" s="39"/>
      <c r="AR762" s="39"/>
      <c r="AS762" s="39"/>
      <c r="AT762" s="39">
        <f t="shared" si="813"/>
        <v>0</v>
      </c>
      <c r="AU762" s="39"/>
      <c r="AV762" s="39"/>
      <c r="AW762" s="39"/>
      <c r="AX762" s="39"/>
      <c r="AY762" s="39"/>
      <c r="AZ762" s="39">
        <f t="shared" si="814"/>
        <v>0</v>
      </c>
      <c r="BA762" s="39"/>
      <c r="BB762" s="39"/>
      <c r="BC762" s="39"/>
      <c r="BD762" s="39"/>
      <c r="BE762" s="39"/>
      <c r="BF762" s="39">
        <f t="shared" si="815"/>
        <v>0</v>
      </c>
      <c r="BG762" s="39"/>
      <c r="BH762" s="39"/>
      <c r="BI762" s="39"/>
      <c r="BJ762" s="39"/>
      <c r="BK762" s="39"/>
      <c r="BL762" s="39">
        <f>BK762-BI762</f>
        <v>0</v>
      </c>
      <c r="BM762" s="54" t="e">
        <f t="shared" si="816"/>
        <v>#DIV/0!</v>
      </c>
      <c r="BN762" s="63"/>
      <c r="BO762" s="39"/>
      <c r="BP762" s="39"/>
      <c r="BQ762" s="39"/>
      <c r="BR762" s="40"/>
      <c r="BS762" s="40"/>
      <c r="BT762" s="39"/>
      <c r="BU762" s="39"/>
      <c r="BV762" s="39"/>
      <c r="BW762" s="39"/>
      <c r="BX762" s="39"/>
      <c r="BY762" s="39"/>
      <c r="BZ762" s="39">
        <f>BU762+BW762+BY762</f>
        <v>0</v>
      </c>
      <c r="CA762" s="39">
        <f t="shared" si="817"/>
        <v>0</v>
      </c>
      <c r="CB762" s="39">
        <f t="shared" si="818"/>
        <v>0</v>
      </c>
      <c r="CC762" s="39">
        <f t="shared" si="819"/>
        <v>0</v>
      </c>
      <c r="CD762" s="39">
        <f>SUMIF(CA762:CC762,"&lt;0")</f>
        <v>0</v>
      </c>
      <c r="CE762" s="47" t="e">
        <f t="shared" si="820"/>
        <v>#DIV/0!</v>
      </c>
      <c r="CF762" s="36"/>
      <c r="CG762" s="39"/>
      <c r="CH762" s="39"/>
      <c r="CI762" s="25">
        <v>3</v>
      </c>
    </row>
    <row r="763" spans="1:87" ht="24.75" customHeight="1">
      <c r="A763" s="36" t="s">
        <v>500</v>
      </c>
      <c r="B763" s="55"/>
      <c r="C763" s="36"/>
      <c r="D763" s="36"/>
      <c r="E763" s="39"/>
      <c r="F763" s="39"/>
      <c r="G763" s="36"/>
      <c r="H763" s="39"/>
      <c r="I763" s="39"/>
      <c r="J763" s="39"/>
      <c r="K763" s="39"/>
      <c r="L763" s="39">
        <f t="shared" si="864"/>
        <v>0</v>
      </c>
      <c r="M763" s="39"/>
      <c r="N763" s="39"/>
      <c r="O763" s="39"/>
      <c r="P763" s="39"/>
      <c r="Q763" s="39"/>
      <c r="R763" s="39">
        <f t="shared" si="865"/>
        <v>0</v>
      </c>
      <c r="S763" s="39"/>
      <c r="T763" s="39"/>
      <c r="U763" s="39"/>
      <c r="V763" s="39"/>
      <c r="W763" s="39"/>
      <c r="X763" s="39"/>
      <c r="Y763" s="39"/>
      <c r="Z763" s="39"/>
      <c r="AA763" s="39"/>
      <c r="AB763" s="39">
        <f t="shared" si="866"/>
        <v>0</v>
      </c>
      <c r="AC763" s="39"/>
      <c r="AD763" s="39"/>
      <c r="AE763" s="39"/>
      <c r="AF763" s="39"/>
      <c r="AG763" s="39"/>
      <c r="AH763" s="39">
        <f>AG763-AE763</f>
        <v>0</v>
      </c>
      <c r="AI763" s="39"/>
      <c r="AJ763" s="39"/>
      <c r="AK763" s="39"/>
      <c r="AL763" s="39"/>
      <c r="AM763" s="39"/>
      <c r="AN763" s="39">
        <f t="shared" si="850"/>
        <v>0</v>
      </c>
      <c r="AO763" s="39"/>
      <c r="AP763" s="39"/>
      <c r="AQ763" s="39"/>
      <c r="AR763" s="39"/>
      <c r="AS763" s="39"/>
      <c r="AT763" s="39">
        <f t="shared" si="813"/>
        <v>0</v>
      </c>
      <c r="AU763" s="39"/>
      <c r="AV763" s="39"/>
      <c r="AW763" s="39"/>
      <c r="AX763" s="39"/>
      <c r="AY763" s="39"/>
      <c r="AZ763" s="39">
        <f t="shared" si="814"/>
        <v>0</v>
      </c>
      <c r="BA763" s="39"/>
      <c r="BB763" s="39"/>
      <c r="BC763" s="39"/>
      <c r="BD763" s="39"/>
      <c r="BE763" s="39"/>
      <c r="BF763" s="39">
        <f t="shared" si="815"/>
        <v>0</v>
      </c>
      <c r="BG763" s="39"/>
      <c r="BH763" s="39"/>
      <c r="BI763" s="39"/>
      <c r="BJ763" s="39"/>
      <c r="BK763" s="39"/>
      <c r="BL763" s="39">
        <f>BK763-BI763</f>
        <v>0</v>
      </c>
      <c r="BM763" s="54" t="e">
        <f t="shared" si="816"/>
        <v>#DIV/0!</v>
      </c>
      <c r="BN763" s="63"/>
      <c r="BO763" s="39"/>
      <c r="BP763" s="39"/>
      <c r="BQ763" s="39"/>
      <c r="BR763" s="40"/>
      <c r="BS763" s="40"/>
      <c r="BT763" s="39"/>
      <c r="BU763" s="39"/>
      <c r="BV763" s="39"/>
      <c r="BW763" s="39"/>
      <c r="BX763" s="39"/>
      <c r="BY763" s="39"/>
      <c r="BZ763" s="39">
        <f>BU763+BW763+BY763</f>
        <v>0</v>
      </c>
      <c r="CA763" s="39">
        <f t="shared" si="817"/>
        <v>0</v>
      </c>
      <c r="CB763" s="39">
        <f t="shared" si="818"/>
        <v>0</v>
      </c>
      <c r="CC763" s="39">
        <f t="shared" si="819"/>
        <v>0</v>
      </c>
      <c r="CD763" s="39">
        <f>SUMIF(CA763:CC763,"&lt;0")</f>
        <v>0</v>
      </c>
      <c r="CE763" s="47" t="e">
        <f t="shared" si="820"/>
        <v>#DIV/0!</v>
      </c>
      <c r="CF763" s="36"/>
      <c r="CG763" s="39"/>
      <c r="CH763" s="39"/>
      <c r="CI763" s="25">
        <v>3</v>
      </c>
    </row>
    <row r="764" spans="1:87" ht="24.75" customHeight="1">
      <c r="A764" s="36" t="s">
        <v>215</v>
      </c>
      <c r="B764" s="55"/>
      <c r="C764" s="36"/>
      <c r="D764" s="36"/>
      <c r="E764" s="39"/>
      <c r="F764" s="39"/>
      <c r="G764" s="36"/>
      <c r="H764" s="39"/>
      <c r="I764" s="39"/>
      <c r="J764" s="39"/>
      <c r="K764" s="39"/>
      <c r="L764" s="39">
        <f t="shared" si="864"/>
        <v>0</v>
      </c>
      <c r="M764" s="39"/>
      <c r="N764" s="39"/>
      <c r="O764" s="39"/>
      <c r="P764" s="39"/>
      <c r="Q764" s="39"/>
      <c r="R764" s="39">
        <f t="shared" si="865"/>
        <v>0</v>
      </c>
      <c r="S764" s="39"/>
      <c r="T764" s="39"/>
      <c r="U764" s="39"/>
      <c r="V764" s="39"/>
      <c r="W764" s="39"/>
      <c r="X764" s="39"/>
      <c r="Y764" s="39"/>
      <c r="Z764" s="39"/>
      <c r="AA764" s="39"/>
      <c r="AB764" s="39">
        <f t="shared" si="866"/>
        <v>0</v>
      </c>
      <c r="AC764" s="39"/>
      <c r="AD764" s="39"/>
      <c r="AE764" s="39"/>
      <c r="AF764" s="39"/>
      <c r="AG764" s="39"/>
      <c r="AH764" s="39">
        <f t="shared" si="851"/>
        <v>0</v>
      </c>
      <c r="AI764" s="39"/>
      <c r="AJ764" s="39"/>
      <c r="AK764" s="39"/>
      <c r="AL764" s="39"/>
      <c r="AM764" s="39"/>
      <c r="AN764" s="39">
        <f t="shared" si="850"/>
        <v>0</v>
      </c>
      <c r="AO764" s="39"/>
      <c r="AP764" s="39"/>
      <c r="AQ764" s="39"/>
      <c r="AR764" s="39"/>
      <c r="AS764" s="39"/>
      <c r="AT764" s="39">
        <f t="shared" si="813"/>
        <v>0</v>
      </c>
      <c r="AU764" s="39"/>
      <c r="AV764" s="39"/>
      <c r="AW764" s="39"/>
      <c r="AX764" s="39"/>
      <c r="AY764" s="39"/>
      <c r="AZ764" s="39">
        <f t="shared" si="814"/>
        <v>0</v>
      </c>
      <c r="BA764" s="39"/>
      <c r="BB764" s="39"/>
      <c r="BC764" s="39"/>
      <c r="BD764" s="39"/>
      <c r="BE764" s="39"/>
      <c r="BF764" s="39">
        <f t="shared" si="815"/>
        <v>0</v>
      </c>
      <c r="BG764" s="39"/>
      <c r="BH764" s="39"/>
      <c r="BI764" s="39"/>
      <c r="BJ764" s="39"/>
      <c r="BK764" s="39"/>
      <c r="BL764" s="39">
        <f t="shared" si="852"/>
        <v>0</v>
      </c>
      <c r="BM764" s="54" t="e">
        <f t="shared" si="816"/>
        <v>#DIV/0!</v>
      </c>
      <c r="BN764" s="42"/>
      <c r="BO764" s="39"/>
      <c r="BP764" s="39"/>
      <c r="BQ764" s="39"/>
      <c r="BR764" s="40"/>
      <c r="BS764" s="40"/>
      <c r="BT764" s="39"/>
      <c r="BU764" s="39"/>
      <c r="BV764" s="39"/>
      <c r="BW764" s="39"/>
      <c r="BX764" s="39"/>
      <c r="BY764" s="39"/>
      <c r="BZ764" s="39">
        <f t="shared" si="853"/>
        <v>0</v>
      </c>
      <c r="CA764" s="39">
        <f t="shared" si="817"/>
        <v>0</v>
      </c>
      <c r="CB764" s="39">
        <f t="shared" si="818"/>
        <v>0</v>
      </c>
      <c r="CC764" s="39">
        <f t="shared" si="819"/>
        <v>0</v>
      </c>
      <c r="CD764" s="39">
        <f t="shared" si="854"/>
        <v>0</v>
      </c>
      <c r="CE764" s="47" t="e">
        <f t="shared" si="820"/>
        <v>#DIV/0!</v>
      </c>
      <c r="CF764" s="36"/>
      <c r="CG764" s="39"/>
      <c r="CH764" s="39"/>
      <c r="CI764" s="25">
        <v>1</v>
      </c>
    </row>
    <row r="765" spans="1:87" ht="24.75" customHeight="1">
      <c r="A765" s="36" t="s">
        <v>215</v>
      </c>
      <c r="B765" s="55"/>
      <c r="C765" s="36"/>
      <c r="D765" s="36"/>
      <c r="E765" s="39"/>
      <c r="F765" s="39"/>
      <c r="G765" s="36"/>
      <c r="H765" s="39"/>
      <c r="I765" s="39"/>
      <c r="J765" s="39"/>
      <c r="K765" s="39"/>
      <c r="L765" s="39">
        <f t="shared" si="864"/>
        <v>0</v>
      </c>
      <c r="M765" s="39"/>
      <c r="N765" s="39"/>
      <c r="O765" s="39"/>
      <c r="P765" s="39"/>
      <c r="Q765" s="39"/>
      <c r="R765" s="39">
        <f t="shared" si="865"/>
        <v>0</v>
      </c>
      <c r="S765" s="39"/>
      <c r="T765" s="39"/>
      <c r="U765" s="39"/>
      <c r="V765" s="39"/>
      <c r="W765" s="39"/>
      <c r="X765" s="39"/>
      <c r="Y765" s="39"/>
      <c r="Z765" s="39"/>
      <c r="AA765" s="39"/>
      <c r="AB765" s="39">
        <f t="shared" si="866"/>
        <v>0</v>
      </c>
      <c r="AC765" s="39"/>
      <c r="AD765" s="39"/>
      <c r="AE765" s="39"/>
      <c r="AF765" s="39"/>
      <c r="AG765" s="39"/>
      <c r="AH765" s="39">
        <f t="shared" si="851"/>
        <v>0</v>
      </c>
      <c r="AI765" s="39"/>
      <c r="AJ765" s="39"/>
      <c r="AK765" s="39"/>
      <c r="AL765" s="39"/>
      <c r="AM765" s="39"/>
      <c r="AN765" s="39">
        <f t="shared" si="850"/>
        <v>0</v>
      </c>
      <c r="AO765" s="39"/>
      <c r="AP765" s="39"/>
      <c r="AQ765" s="39"/>
      <c r="AR765" s="39"/>
      <c r="AS765" s="39"/>
      <c r="AT765" s="39">
        <f t="shared" si="813"/>
        <v>0</v>
      </c>
      <c r="AU765" s="39"/>
      <c r="AV765" s="39"/>
      <c r="AW765" s="39"/>
      <c r="AX765" s="39"/>
      <c r="AY765" s="39"/>
      <c r="AZ765" s="39">
        <f t="shared" si="814"/>
        <v>0</v>
      </c>
      <c r="BA765" s="39"/>
      <c r="BB765" s="39"/>
      <c r="BC765" s="39"/>
      <c r="BD765" s="39"/>
      <c r="BE765" s="39"/>
      <c r="BF765" s="39">
        <f t="shared" si="815"/>
        <v>0</v>
      </c>
      <c r="BG765" s="39"/>
      <c r="BH765" s="39"/>
      <c r="BI765" s="39"/>
      <c r="BJ765" s="39"/>
      <c r="BK765" s="39"/>
      <c r="BL765" s="39">
        <f t="shared" si="852"/>
        <v>0</v>
      </c>
      <c r="BM765" s="54" t="e">
        <f t="shared" si="816"/>
        <v>#DIV/0!</v>
      </c>
      <c r="BN765" s="42"/>
      <c r="BO765" s="39"/>
      <c r="BP765" s="39"/>
      <c r="BQ765" s="39"/>
      <c r="BR765" s="40"/>
      <c r="BS765" s="40"/>
      <c r="BT765" s="39"/>
      <c r="BU765" s="39"/>
      <c r="BV765" s="39"/>
      <c r="BW765" s="39"/>
      <c r="BX765" s="39"/>
      <c r="BY765" s="39"/>
      <c r="BZ765" s="39">
        <f t="shared" si="853"/>
        <v>0</v>
      </c>
      <c r="CA765" s="39">
        <f t="shared" si="817"/>
        <v>0</v>
      </c>
      <c r="CB765" s="39">
        <f t="shared" si="818"/>
        <v>0</v>
      </c>
      <c r="CC765" s="39">
        <f t="shared" si="819"/>
        <v>0</v>
      </c>
      <c r="CD765" s="39">
        <f t="shared" si="854"/>
        <v>0</v>
      </c>
      <c r="CE765" s="47" t="e">
        <f t="shared" si="820"/>
        <v>#DIV/0!</v>
      </c>
      <c r="CF765" s="36"/>
      <c r="CG765" s="39"/>
      <c r="CH765" s="39"/>
      <c r="CI765" s="25">
        <v>1</v>
      </c>
    </row>
    <row r="766" spans="1:87" ht="24.75" customHeight="1">
      <c r="A766" s="36" t="s">
        <v>215</v>
      </c>
      <c r="B766" s="55"/>
      <c r="C766" s="36"/>
      <c r="D766" s="36"/>
      <c r="E766" s="39"/>
      <c r="F766" s="39"/>
      <c r="G766" s="36"/>
      <c r="H766" s="39"/>
      <c r="I766" s="39"/>
      <c r="J766" s="39"/>
      <c r="K766" s="39"/>
      <c r="L766" s="39">
        <f t="shared" si="864"/>
        <v>0</v>
      </c>
      <c r="M766" s="39"/>
      <c r="N766" s="39"/>
      <c r="O766" s="39"/>
      <c r="P766" s="39"/>
      <c r="Q766" s="39"/>
      <c r="R766" s="39">
        <f t="shared" si="865"/>
        <v>0</v>
      </c>
      <c r="S766" s="39"/>
      <c r="T766" s="39"/>
      <c r="U766" s="39"/>
      <c r="V766" s="39"/>
      <c r="W766" s="39"/>
      <c r="X766" s="39"/>
      <c r="Y766" s="39"/>
      <c r="Z766" s="39"/>
      <c r="AA766" s="39"/>
      <c r="AB766" s="39">
        <f t="shared" si="866"/>
        <v>0</v>
      </c>
      <c r="AC766" s="39"/>
      <c r="AD766" s="39"/>
      <c r="AE766" s="39"/>
      <c r="AF766" s="39"/>
      <c r="AG766" s="39"/>
      <c r="AH766" s="39">
        <f t="shared" si="851"/>
        <v>0</v>
      </c>
      <c r="AI766" s="39"/>
      <c r="AJ766" s="39"/>
      <c r="AK766" s="39"/>
      <c r="AL766" s="39"/>
      <c r="AM766" s="39"/>
      <c r="AN766" s="39">
        <f t="shared" si="850"/>
        <v>0</v>
      </c>
      <c r="AO766" s="39"/>
      <c r="AP766" s="39"/>
      <c r="AQ766" s="39"/>
      <c r="AR766" s="39"/>
      <c r="AS766" s="39"/>
      <c r="AT766" s="39">
        <f t="shared" si="813"/>
        <v>0</v>
      </c>
      <c r="AU766" s="39"/>
      <c r="AV766" s="39"/>
      <c r="AW766" s="39"/>
      <c r="AX766" s="39"/>
      <c r="AY766" s="39"/>
      <c r="AZ766" s="39">
        <f t="shared" si="814"/>
        <v>0</v>
      </c>
      <c r="BA766" s="39"/>
      <c r="BB766" s="39"/>
      <c r="BC766" s="39"/>
      <c r="BD766" s="39"/>
      <c r="BE766" s="39"/>
      <c r="BF766" s="39">
        <f t="shared" si="815"/>
        <v>0</v>
      </c>
      <c r="BG766" s="39"/>
      <c r="BH766" s="39"/>
      <c r="BI766" s="39"/>
      <c r="BJ766" s="39"/>
      <c r="BK766" s="39"/>
      <c r="BL766" s="39">
        <f t="shared" si="852"/>
        <v>0</v>
      </c>
      <c r="BM766" s="54" t="e">
        <f t="shared" si="816"/>
        <v>#DIV/0!</v>
      </c>
      <c r="BN766" s="42"/>
      <c r="BO766" s="39"/>
      <c r="BP766" s="39"/>
      <c r="BQ766" s="39"/>
      <c r="BR766" s="40"/>
      <c r="BS766" s="40"/>
      <c r="BT766" s="39"/>
      <c r="BU766" s="39"/>
      <c r="BV766" s="39"/>
      <c r="BW766" s="39"/>
      <c r="BX766" s="39"/>
      <c r="BY766" s="39"/>
      <c r="BZ766" s="39">
        <f t="shared" si="853"/>
        <v>0</v>
      </c>
      <c r="CA766" s="39">
        <f t="shared" si="817"/>
        <v>0</v>
      </c>
      <c r="CB766" s="39">
        <f t="shared" si="818"/>
        <v>0</v>
      </c>
      <c r="CC766" s="39">
        <f t="shared" si="819"/>
        <v>0</v>
      </c>
      <c r="CD766" s="39">
        <f t="shared" si="854"/>
        <v>0</v>
      </c>
      <c r="CE766" s="47" t="e">
        <f t="shared" si="820"/>
        <v>#DIV/0!</v>
      </c>
      <c r="CF766" s="36"/>
      <c r="CG766" s="39"/>
      <c r="CH766" s="39"/>
      <c r="CI766" s="25">
        <v>1</v>
      </c>
    </row>
    <row r="767" spans="1:87" ht="24.75" customHeight="1">
      <c r="A767" s="36" t="s">
        <v>215</v>
      </c>
      <c r="B767" s="55"/>
      <c r="C767" s="36"/>
      <c r="D767" s="36"/>
      <c r="E767" s="39"/>
      <c r="F767" s="39"/>
      <c r="G767" s="36"/>
      <c r="H767" s="39"/>
      <c r="I767" s="39"/>
      <c r="J767" s="39"/>
      <c r="K767" s="39"/>
      <c r="L767" s="39">
        <f t="shared" si="864"/>
        <v>0</v>
      </c>
      <c r="M767" s="39"/>
      <c r="N767" s="39"/>
      <c r="O767" s="39"/>
      <c r="P767" s="39"/>
      <c r="Q767" s="39"/>
      <c r="R767" s="39">
        <f t="shared" si="865"/>
        <v>0</v>
      </c>
      <c r="S767" s="39"/>
      <c r="T767" s="39"/>
      <c r="U767" s="39"/>
      <c r="V767" s="39"/>
      <c r="W767" s="39"/>
      <c r="X767" s="39"/>
      <c r="Y767" s="39"/>
      <c r="Z767" s="39"/>
      <c r="AA767" s="39"/>
      <c r="AB767" s="39">
        <f t="shared" si="866"/>
        <v>0</v>
      </c>
      <c r="AC767" s="39"/>
      <c r="AD767" s="39"/>
      <c r="AE767" s="39"/>
      <c r="AF767" s="39"/>
      <c r="AG767" s="39"/>
      <c r="AH767" s="39">
        <f t="shared" si="851"/>
        <v>0</v>
      </c>
      <c r="AI767" s="39"/>
      <c r="AJ767" s="39"/>
      <c r="AK767" s="39"/>
      <c r="AL767" s="39"/>
      <c r="AM767" s="39"/>
      <c r="AN767" s="39">
        <f t="shared" si="850"/>
        <v>0</v>
      </c>
      <c r="AO767" s="39"/>
      <c r="AP767" s="39"/>
      <c r="AQ767" s="39"/>
      <c r="AR767" s="39"/>
      <c r="AS767" s="39"/>
      <c r="AT767" s="39">
        <f t="shared" si="813"/>
        <v>0</v>
      </c>
      <c r="AU767" s="39"/>
      <c r="AV767" s="39"/>
      <c r="AW767" s="39"/>
      <c r="AX767" s="39"/>
      <c r="AY767" s="39"/>
      <c r="AZ767" s="39">
        <f t="shared" si="814"/>
        <v>0</v>
      </c>
      <c r="BA767" s="39"/>
      <c r="BB767" s="39"/>
      <c r="BC767" s="39"/>
      <c r="BD767" s="39"/>
      <c r="BE767" s="39"/>
      <c r="BF767" s="39">
        <f t="shared" si="815"/>
        <v>0</v>
      </c>
      <c r="BG767" s="39"/>
      <c r="BH767" s="39"/>
      <c r="BI767" s="39"/>
      <c r="BJ767" s="39"/>
      <c r="BK767" s="39"/>
      <c r="BL767" s="39">
        <f t="shared" si="852"/>
        <v>0</v>
      </c>
      <c r="BM767" s="54" t="e">
        <f t="shared" si="816"/>
        <v>#DIV/0!</v>
      </c>
      <c r="BN767" s="42"/>
      <c r="BO767" s="39"/>
      <c r="BP767" s="39"/>
      <c r="BQ767" s="39"/>
      <c r="BR767" s="40"/>
      <c r="BS767" s="40"/>
      <c r="BT767" s="39"/>
      <c r="BU767" s="39"/>
      <c r="BV767" s="39"/>
      <c r="BW767" s="39"/>
      <c r="BX767" s="39"/>
      <c r="BY767" s="39"/>
      <c r="BZ767" s="39">
        <f t="shared" si="853"/>
        <v>0</v>
      </c>
      <c r="CA767" s="39">
        <f t="shared" si="817"/>
        <v>0</v>
      </c>
      <c r="CB767" s="39">
        <f t="shared" si="818"/>
        <v>0</v>
      </c>
      <c r="CC767" s="39">
        <f t="shared" si="819"/>
        <v>0</v>
      </c>
      <c r="CD767" s="39">
        <f t="shared" si="854"/>
        <v>0</v>
      </c>
      <c r="CE767" s="47" t="e">
        <f t="shared" si="820"/>
        <v>#DIV/0!</v>
      </c>
      <c r="CF767" s="36"/>
      <c r="CG767" s="39"/>
      <c r="CH767" s="39"/>
      <c r="CI767" s="25">
        <v>1</v>
      </c>
    </row>
    <row r="768" spans="1:87" ht="24.75" customHeight="1">
      <c r="A768" s="36" t="s">
        <v>215</v>
      </c>
      <c r="B768" s="55"/>
      <c r="C768" s="36"/>
      <c r="D768" s="36"/>
      <c r="E768" s="39"/>
      <c r="F768" s="39"/>
      <c r="G768" s="36"/>
      <c r="H768" s="39"/>
      <c r="I768" s="39"/>
      <c r="J768" s="39"/>
      <c r="K768" s="39"/>
      <c r="L768" s="39">
        <f t="shared" si="864"/>
        <v>0</v>
      </c>
      <c r="M768" s="39"/>
      <c r="N768" s="39"/>
      <c r="O768" s="39"/>
      <c r="P768" s="39"/>
      <c r="Q768" s="39"/>
      <c r="R768" s="39">
        <f t="shared" si="865"/>
        <v>0</v>
      </c>
      <c r="S768" s="39"/>
      <c r="T768" s="39"/>
      <c r="U768" s="39"/>
      <c r="V768" s="39"/>
      <c r="W768" s="39"/>
      <c r="X768" s="39"/>
      <c r="Y768" s="39"/>
      <c r="Z768" s="39"/>
      <c r="AA768" s="39"/>
      <c r="AB768" s="39">
        <f t="shared" si="866"/>
        <v>0</v>
      </c>
      <c r="AC768" s="39"/>
      <c r="AD768" s="39"/>
      <c r="AE768" s="39"/>
      <c r="AF768" s="39"/>
      <c r="AG768" s="39"/>
      <c r="AH768" s="39">
        <f t="shared" si="851"/>
        <v>0</v>
      </c>
      <c r="AI768" s="39"/>
      <c r="AJ768" s="39"/>
      <c r="AK768" s="39"/>
      <c r="AL768" s="39"/>
      <c r="AM768" s="39"/>
      <c r="AN768" s="39">
        <f t="shared" si="850"/>
        <v>0</v>
      </c>
      <c r="AO768" s="39"/>
      <c r="AP768" s="39"/>
      <c r="AQ768" s="39"/>
      <c r="AR768" s="39"/>
      <c r="AS768" s="39"/>
      <c r="AT768" s="39">
        <f t="shared" si="813"/>
        <v>0</v>
      </c>
      <c r="AU768" s="39"/>
      <c r="AV768" s="39"/>
      <c r="AW768" s="39"/>
      <c r="AX768" s="39"/>
      <c r="AY768" s="39"/>
      <c r="AZ768" s="39">
        <f t="shared" si="814"/>
        <v>0</v>
      </c>
      <c r="BA768" s="39"/>
      <c r="BB768" s="39"/>
      <c r="BC768" s="39"/>
      <c r="BD768" s="39"/>
      <c r="BE768" s="39"/>
      <c r="BF768" s="39">
        <f t="shared" si="815"/>
        <v>0</v>
      </c>
      <c r="BG768" s="39"/>
      <c r="BH768" s="39"/>
      <c r="BI768" s="39"/>
      <c r="BJ768" s="39"/>
      <c r="BK768" s="39"/>
      <c r="BL768" s="39">
        <f t="shared" si="852"/>
        <v>0</v>
      </c>
      <c r="BM768" s="54" t="e">
        <f t="shared" si="816"/>
        <v>#DIV/0!</v>
      </c>
      <c r="BN768" s="42"/>
      <c r="BO768" s="39"/>
      <c r="BP768" s="39"/>
      <c r="BQ768" s="39"/>
      <c r="BR768" s="40"/>
      <c r="BS768" s="40"/>
      <c r="BT768" s="39"/>
      <c r="BU768" s="39"/>
      <c r="BV768" s="39"/>
      <c r="BW768" s="39"/>
      <c r="BX768" s="39"/>
      <c r="BY768" s="39"/>
      <c r="BZ768" s="39">
        <f t="shared" si="853"/>
        <v>0</v>
      </c>
      <c r="CA768" s="39">
        <f t="shared" si="817"/>
        <v>0</v>
      </c>
      <c r="CB768" s="39">
        <f t="shared" si="818"/>
        <v>0</v>
      </c>
      <c r="CC768" s="39">
        <f t="shared" si="819"/>
        <v>0</v>
      </c>
      <c r="CD768" s="39">
        <f t="shared" si="854"/>
        <v>0</v>
      </c>
      <c r="CE768" s="47" t="e">
        <f t="shared" si="820"/>
        <v>#DIV/0!</v>
      </c>
      <c r="CF768" s="36"/>
      <c r="CG768" s="39"/>
      <c r="CH768" s="39"/>
      <c r="CI768" s="25">
        <v>1</v>
      </c>
    </row>
    <row r="769" spans="1:87" ht="24.75" customHeight="1">
      <c r="A769" s="36" t="s">
        <v>215</v>
      </c>
      <c r="B769" s="55"/>
      <c r="C769" s="36"/>
      <c r="D769" s="36"/>
      <c r="E769" s="39"/>
      <c r="F769" s="39"/>
      <c r="G769" s="36"/>
      <c r="H769" s="39"/>
      <c r="I769" s="39"/>
      <c r="J769" s="39"/>
      <c r="K769" s="39"/>
      <c r="L769" s="39">
        <f t="shared" si="864"/>
        <v>0</v>
      </c>
      <c r="M769" s="39"/>
      <c r="N769" s="39"/>
      <c r="O769" s="39"/>
      <c r="P769" s="39"/>
      <c r="Q769" s="39"/>
      <c r="R769" s="39">
        <f t="shared" si="865"/>
        <v>0</v>
      </c>
      <c r="S769" s="39"/>
      <c r="T769" s="39"/>
      <c r="U769" s="39"/>
      <c r="V769" s="39"/>
      <c r="W769" s="39"/>
      <c r="X769" s="39"/>
      <c r="Y769" s="39"/>
      <c r="Z769" s="39"/>
      <c r="AA769" s="39"/>
      <c r="AB769" s="39">
        <f t="shared" si="866"/>
        <v>0</v>
      </c>
      <c r="AC769" s="39"/>
      <c r="AD769" s="39"/>
      <c r="AE769" s="39"/>
      <c r="AF769" s="39"/>
      <c r="AG769" s="39"/>
      <c r="AH769" s="39">
        <f t="shared" si="851"/>
        <v>0</v>
      </c>
      <c r="AI769" s="39"/>
      <c r="AJ769" s="39"/>
      <c r="AK769" s="39"/>
      <c r="AL769" s="39"/>
      <c r="AM769" s="39"/>
      <c r="AN769" s="39">
        <f t="shared" si="850"/>
        <v>0</v>
      </c>
      <c r="AO769" s="39"/>
      <c r="AP769" s="39"/>
      <c r="AQ769" s="39"/>
      <c r="AR769" s="39"/>
      <c r="AS769" s="39"/>
      <c r="AT769" s="39">
        <f t="shared" si="813"/>
        <v>0</v>
      </c>
      <c r="AU769" s="39"/>
      <c r="AV769" s="39"/>
      <c r="AW769" s="39"/>
      <c r="AX769" s="39"/>
      <c r="AY769" s="39"/>
      <c r="AZ769" s="39">
        <f t="shared" si="814"/>
        <v>0</v>
      </c>
      <c r="BA769" s="39"/>
      <c r="BB769" s="39"/>
      <c r="BC769" s="39"/>
      <c r="BD769" s="39"/>
      <c r="BE769" s="39"/>
      <c r="BF769" s="39">
        <f t="shared" si="815"/>
        <v>0</v>
      </c>
      <c r="BG769" s="39"/>
      <c r="BH769" s="39"/>
      <c r="BI769" s="39"/>
      <c r="BJ769" s="39"/>
      <c r="BK769" s="39"/>
      <c r="BL769" s="39">
        <f t="shared" si="852"/>
        <v>0</v>
      </c>
      <c r="BM769" s="54" t="e">
        <f t="shared" si="816"/>
        <v>#DIV/0!</v>
      </c>
      <c r="BN769" s="67"/>
      <c r="BO769" s="39"/>
      <c r="BP769" s="39"/>
      <c r="BQ769" s="39"/>
      <c r="BR769" s="40"/>
      <c r="BS769" s="40"/>
      <c r="BT769" s="39"/>
      <c r="BU769" s="39"/>
      <c r="BV769" s="39"/>
      <c r="BW769" s="39"/>
      <c r="BX769" s="39"/>
      <c r="BY769" s="39"/>
      <c r="BZ769" s="39">
        <f t="shared" si="853"/>
        <v>0</v>
      </c>
      <c r="CA769" s="39">
        <f t="shared" si="817"/>
        <v>0</v>
      </c>
      <c r="CB769" s="39">
        <f t="shared" si="818"/>
        <v>0</v>
      </c>
      <c r="CC769" s="39">
        <f t="shared" si="819"/>
        <v>0</v>
      </c>
      <c r="CD769" s="39">
        <f t="shared" si="854"/>
        <v>0</v>
      </c>
      <c r="CE769" s="47" t="e">
        <f t="shared" si="820"/>
        <v>#DIV/0!</v>
      </c>
      <c r="CF769" s="36"/>
      <c r="CG769" s="39"/>
      <c r="CH769" s="39"/>
      <c r="CI769" s="25">
        <v>2</v>
      </c>
    </row>
    <row r="770" spans="1:87" ht="24.75" customHeight="1">
      <c r="A770" s="36" t="s">
        <v>215</v>
      </c>
      <c r="B770" s="55"/>
      <c r="C770" s="36"/>
      <c r="D770" s="36"/>
      <c r="E770" s="39"/>
      <c r="F770" s="39"/>
      <c r="G770" s="36"/>
      <c r="H770" s="39"/>
      <c r="I770" s="39"/>
      <c r="J770" s="39"/>
      <c r="K770" s="39"/>
      <c r="L770" s="39">
        <f t="shared" si="864"/>
        <v>0</v>
      </c>
      <c r="M770" s="39"/>
      <c r="N770" s="39"/>
      <c r="O770" s="39"/>
      <c r="P770" s="39"/>
      <c r="Q770" s="39"/>
      <c r="R770" s="39">
        <f t="shared" si="865"/>
        <v>0</v>
      </c>
      <c r="S770" s="39"/>
      <c r="T770" s="39"/>
      <c r="U770" s="39"/>
      <c r="V770" s="39"/>
      <c r="W770" s="39"/>
      <c r="X770" s="39"/>
      <c r="Y770" s="39"/>
      <c r="Z770" s="39"/>
      <c r="AA770" s="39"/>
      <c r="AB770" s="39">
        <f t="shared" si="866"/>
        <v>0</v>
      </c>
      <c r="AC770" s="39"/>
      <c r="AD770" s="39"/>
      <c r="AE770" s="39"/>
      <c r="AF770" s="39"/>
      <c r="AG770" s="39"/>
      <c r="AH770" s="39">
        <f t="shared" si="851"/>
        <v>0</v>
      </c>
      <c r="AI770" s="39"/>
      <c r="AJ770" s="39"/>
      <c r="AK770" s="39"/>
      <c r="AL770" s="39"/>
      <c r="AM770" s="39"/>
      <c r="AN770" s="39">
        <f t="shared" si="850"/>
        <v>0</v>
      </c>
      <c r="AO770" s="39"/>
      <c r="AP770" s="39"/>
      <c r="AQ770" s="39"/>
      <c r="AR770" s="39"/>
      <c r="AS770" s="39"/>
      <c r="AT770" s="39">
        <f t="shared" si="813"/>
        <v>0</v>
      </c>
      <c r="AU770" s="39"/>
      <c r="AV770" s="39"/>
      <c r="AW770" s="39"/>
      <c r="AX770" s="39"/>
      <c r="AY770" s="39"/>
      <c r="AZ770" s="39">
        <f t="shared" si="814"/>
        <v>0</v>
      </c>
      <c r="BA770" s="39"/>
      <c r="BB770" s="39"/>
      <c r="BC770" s="39"/>
      <c r="BD770" s="39"/>
      <c r="BE770" s="39"/>
      <c r="BF770" s="39">
        <f t="shared" si="815"/>
        <v>0</v>
      </c>
      <c r="BG770" s="39"/>
      <c r="BH770" s="39"/>
      <c r="BI770" s="39"/>
      <c r="BJ770" s="39"/>
      <c r="BK770" s="39"/>
      <c r="BL770" s="39">
        <f t="shared" si="852"/>
        <v>0</v>
      </c>
      <c r="BM770" s="54" t="e">
        <f t="shared" si="816"/>
        <v>#DIV/0!</v>
      </c>
      <c r="BN770" s="67"/>
      <c r="BO770" s="39"/>
      <c r="BP770" s="39"/>
      <c r="BQ770" s="39"/>
      <c r="BR770" s="40"/>
      <c r="BS770" s="40"/>
      <c r="BT770" s="39"/>
      <c r="BU770" s="39"/>
      <c r="BV770" s="39"/>
      <c r="BW770" s="39"/>
      <c r="BX770" s="39"/>
      <c r="BY770" s="39"/>
      <c r="BZ770" s="39">
        <f t="shared" si="853"/>
        <v>0</v>
      </c>
      <c r="CA770" s="39">
        <f t="shared" si="817"/>
        <v>0</v>
      </c>
      <c r="CB770" s="39">
        <f t="shared" si="818"/>
        <v>0</v>
      </c>
      <c r="CC770" s="39">
        <f t="shared" si="819"/>
        <v>0</v>
      </c>
      <c r="CD770" s="39">
        <f t="shared" si="854"/>
        <v>0</v>
      </c>
      <c r="CE770" s="47" t="e">
        <f t="shared" si="820"/>
        <v>#DIV/0!</v>
      </c>
      <c r="CF770" s="36"/>
      <c r="CG770" s="39"/>
      <c r="CH770" s="39"/>
      <c r="CI770" s="25">
        <v>2</v>
      </c>
    </row>
    <row r="771" spans="1:87" ht="24.75" customHeight="1">
      <c r="A771" s="36" t="s">
        <v>215</v>
      </c>
      <c r="B771" s="55"/>
      <c r="C771" s="36"/>
      <c r="D771" s="36"/>
      <c r="E771" s="39"/>
      <c r="F771" s="39"/>
      <c r="G771" s="36"/>
      <c r="H771" s="39"/>
      <c r="I771" s="39"/>
      <c r="J771" s="39"/>
      <c r="K771" s="39"/>
      <c r="L771" s="39">
        <f t="shared" si="864"/>
        <v>0</v>
      </c>
      <c r="M771" s="39"/>
      <c r="N771" s="39"/>
      <c r="O771" s="39"/>
      <c r="P771" s="39"/>
      <c r="Q771" s="39"/>
      <c r="R771" s="39">
        <f t="shared" si="865"/>
        <v>0</v>
      </c>
      <c r="S771" s="39"/>
      <c r="T771" s="39"/>
      <c r="U771" s="39"/>
      <c r="V771" s="39"/>
      <c r="W771" s="39"/>
      <c r="X771" s="39"/>
      <c r="Y771" s="39"/>
      <c r="Z771" s="39"/>
      <c r="AA771" s="39"/>
      <c r="AB771" s="39">
        <f t="shared" si="866"/>
        <v>0</v>
      </c>
      <c r="AC771" s="39"/>
      <c r="AD771" s="39"/>
      <c r="AE771" s="39"/>
      <c r="AF771" s="39"/>
      <c r="AG771" s="39"/>
      <c r="AH771" s="39">
        <f t="shared" si="851"/>
        <v>0</v>
      </c>
      <c r="AI771" s="39"/>
      <c r="AJ771" s="39"/>
      <c r="AK771" s="39"/>
      <c r="AL771" s="39"/>
      <c r="AM771" s="39"/>
      <c r="AN771" s="39">
        <f t="shared" si="850"/>
        <v>0</v>
      </c>
      <c r="AO771" s="39"/>
      <c r="AP771" s="39"/>
      <c r="AQ771" s="39"/>
      <c r="AR771" s="39"/>
      <c r="AS771" s="39"/>
      <c r="AT771" s="39">
        <f t="shared" si="813"/>
        <v>0</v>
      </c>
      <c r="AU771" s="39"/>
      <c r="AV771" s="39"/>
      <c r="AW771" s="39"/>
      <c r="AX771" s="39"/>
      <c r="AY771" s="39"/>
      <c r="AZ771" s="39">
        <f t="shared" si="814"/>
        <v>0</v>
      </c>
      <c r="BA771" s="39"/>
      <c r="BB771" s="39"/>
      <c r="BC771" s="39"/>
      <c r="BD771" s="39"/>
      <c r="BE771" s="39"/>
      <c r="BF771" s="39">
        <f t="shared" si="815"/>
        <v>0</v>
      </c>
      <c r="BG771" s="39"/>
      <c r="BH771" s="39"/>
      <c r="BI771" s="39"/>
      <c r="BJ771" s="39"/>
      <c r="BK771" s="39"/>
      <c r="BL771" s="39">
        <f t="shared" si="852"/>
        <v>0</v>
      </c>
      <c r="BM771" s="54" t="e">
        <f t="shared" si="816"/>
        <v>#DIV/0!</v>
      </c>
      <c r="BN771" s="67"/>
      <c r="BO771" s="39"/>
      <c r="BP771" s="39"/>
      <c r="BQ771" s="39"/>
      <c r="BR771" s="40"/>
      <c r="BS771" s="40"/>
      <c r="BT771" s="39"/>
      <c r="BU771" s="39"/>
      <c r="BV771" s="39"/>
      <c r="BW771" s="39"/>
      <c r="BX771" s="39"/>
      <c r="BY771" s="39"/>
      <c r="BZ771" s="39">
        <f t="shared" si="853"/>
        <v>0</v>
      </c>
      <c r="CA771" s="39">
        <f t="shared" si="817"/>
        <v>0</v>
      </c>
      <c r="CB771" s="39">
        <f t="shared" si="818"/>
        <v>0</v>
      </c>
      <c r="CC771" s="39">
        <f t="shared" si="819"/>
        <v>0</v>
      </c>
      <c r="CD771" s="39">
        <f t="shared" si="854"/>
        <v>0</v>
      </c>
      <c r="CE771" s="47" t="e">
        <f t="shared" si="820"/>
        <v>#DIV/0!</v>
      </c>
      <c r="CF771" s="36"/>
      <c r="CG771" s="39"/>
      <c r="CH771" s="39"/>
      <c r="CI771" s="25">
        <v>2</v>
      </c>
    </row>
    <row r="772" spans="1:87" ht="24.75" customHeight="1">
      <c r="A772" s="36" t="s">
        <v>215</v>
      </c>
      <c r="B772" s="55"/>
      <c r="C772" s="36"/>
      <c r="D772" s="36"/>
      <c r="E772" s="39"/>
      <c r="F772" s="39"/>
      <c r="G772" s="36"/>
      <c r="H772" s="39"/>
      <c r="I772" s="39"/>
      <c r="J772" s="39"/>
      <c r="K772" s="39"/>
      <c r="L772" s="39">
        <f t="shared" si="864"/>
        <v>0</v>
      </c>
      <c r="M772" s="39"/>
      <c r="N772" s="39"/>
      <c r="O772" s="39"/>
      <c r="P772" s="39"/>
      <c r="Q772" s="39"/>
      <c r="R772" s="39">
        <f t="shared" si="865"/>
        <v>0</v>
      </c>
      <c r="S772" s="39"/>
      <c r="T772" s="39"/>
      <c r="U772" s="39"/>
      <c r="V772" s="39"/>
      <c r="W772" s="39"/>
      <c r="X772" s="39"/>
      <c r="Y772" s="39"/>
      <c r="Z772" s="39"/>
      <c r="AA772" s="39"/>
      <c r="AB772" s="39">
        <f t="shared" si="866"/>
        <v>0</v>
      </c>
      <c r="AC772" s="39"/>
      <c r="AD772" s="39"/>
      <c r="AE772" s="39"/>
      <c r="AF772" s="39"/>
      <c r="AG772" s="39"/>
      <c r="AH772" s="39">
        <f t="shared" si="851"/>
        <v>0</v>
      </c>
      <c r="AI772" s="39"/>
      <c r="AJ772" s="39"/>
      <c r="AK772" s="39"/>
      <c r="AL772" s="39"/>
      <c r="AM772" s="39"/>
      <c r="AN772" s="39">
        <f t="shared" si="850"/>
        <v>0</v>
      </c>
      <c r="AO772" s="39"/>
      <c r="AP772" s="39"/>
      <c r="AQ772" s="39"/>
      <c r="AR772" s="39"/>
      <c r="AS772" s="39"/>
      <c r="AT772" s="39">
        <f t="shared" si="813"/>
        <v>0</v>
      </c>
      <c r="AU772" s="39"/>
      <c r="AV772" s="39"/>
      <c r="AW772" s="39"/>
      <c r="AX772" s="39"/>
      <c r="AY772" s="39"/>
      <c r="AZ772" s="39">
        <f t="shared" si="814"/>
        <v>0</v>
      </c>
      <c r="BA772" s="39"/>
      <c r="BB772" s="39"/>
      <c r="BC772" s="39"/>
      <c r="BD772" s="39"/>
      <c r="BE772" s="39"/>
      <c r="BF772" s="39">
        <f t="shared" si="815"/>
        <v>0</v>
      </c>
      <c r="BG772" s="39"/>
      <c r="BH772" s="39"/>
      <c r="BI772" s="39"/>
      <c r="BJ772" s="39"/>
      <c r="BK772" s="39"/>
      <c r="BL772" s="39">
        <f t="shared" si="852"/>
        <v>0</v>
      </c>
      <c r="BM772" s="54" t="e">
        <f t="shared" si="816"/>
        <v>#DIV/0!</v>
      </c>
      <c r="BN772" s="67"/>
      <c r="BO772" s="39"/>
      <c r="BP772" s="39"/>
      <c r="BQ772" s="39"/>
      <c r="BR772" s="40"/>
      <c r="BS772" s="40"/>
      <c r="BT772" s="39"/>
      <c r="BU772" s="39"/>
      <c r="BV772" s="39"/>
      <c r="BW772" s="39"/>
      <c r="BX772" s="39"/>
      <c r="BY772" s="39"/>
      <c r="BZ772" s="39">
        <f t="shared" si="853"/>
        <v>0</v>
      </c>
      <c r="CA772" s="39">
        <f t="shared" si="817"/>
        <v>0</v>
      </c>
      <c r="CB772" s="39">
        <f t="shared" si="818"/>
        <v>0</v>
      </c>
      <c r="CC772" s="39">
        <f t="shared" si="819"/>
        <v>0</v>
      </c>
      <c r="CD772" s="39">
        <f t="shared" si="854"/>
        <v>0</v>
      </c>
      <c r="CE772" s="47" t="e">
        <f t="shared" si="820"/>
        <v>#DIV/0!</v>
      </c>
      <c r="CF772" s="36"/>
      <c r="CG772" s="39"/>
      <c r="CH772" s="39"/>
      <c r="CI772" s="25">
        <v>2</v>
      </c>
    </row>
    <row r="773" spans="1:87" ht="24.75" customHeight="1">
      <c r="A773" s="36" t="s">
        <v>215</v>
      </c>
      <c r="B773" s="55"/>
      <c r="C773" s="36"/>
      <c r="D773" s="36"/>
      <c r="E773" s="39"/>
      <c r="F773" s="39"/>
      <c r="G773" s="36"/>
      <c r="H773" s="39"/>
      <c r="I773" s="39"/>
      <c r="J773" s="39"/>
      <c r="K773" s="39"/>
      <c r="L773" s="39">
        <f t="shared" si="864"/>
        <v>0</v>
      </c>
      <c r="M773" s="39"/>
      <c r="N773" s="39"/>
      <c r="O773" s="39"/>
      <c r="P773" s="39"/>
      <c r="Q773" s="39"/>
      <c r="R773" s="39">
        <f t="shared" si="865"/>
        <v>0</v>
      </c>
      <c r="S773" s="39"/>
      <c r="T773" s="39"/>
      <c r="U773" s="39"/>
      <c r="V773" s="39"/>
      <c r="W773" s="39"/>
      <c r="X773" s="39"/>
      <c r="Y773" s="39"/>
      <c r="Z773" s="39"/>
      <c r="AA773" s="39"/>
      <c r="AB773" s="39">
        <f t="shared" si="866"/>
        <v>0</v>
      </c>
      <c r="AC773" s="39"/>
      <c r="AD773" s="39"/>
      <c r="AE773" s="39"/>
      <c r="AF773" s="39"/>
      <c r="AG773" s="39"/>
      <c r="AH773" s="39">
        <f t="shared" si="851"/>
        <v>0</v>
      </c>
      <c r="AI773" s="39"/>
      <c r="AJ773" s="39"/>
      <c r="AK773" s="39"/>
      <c r="AL773" s="39"/>
      <c r="AM773" s="39"/>
      <c r="AN773" s="39">
        <f t="shared" si="850"/>
        <v>0</v>
      </c>
      <c r="AO773" s="39"/>
      <c r="AP773" s="39"/>
      <c r="AQ773" s="39"/>
      <c r="AR773" s="39"/>
      <c r="AS773" s="39"/>
      <c r="AT773" s="39">
        <f t="shared" si="813"/>
        <v>0</v>
      </c>
      <c r="AU773" s="39"/>
      <c r="AV773" s="39"/>
      <c r="AW773" s="39"/>
      <c r="AX773" s="39"/>
      <c r="AY773" s="39"/>
      <c r="AZ773" s="39">
        <f t="shared" si="814"/>
        <v>0</v>
      </c>
      <c r="BA773" s="39"/>
      <c r="BB773" s="39"/>
      <c r="BC773" s="39"/>
      <c r="BD773" s="39"/>
      <c r="BE773" s="39"/>
      <c r="BF773" s="39">
        <f t="shared" si="815"/>
        <v>0</v>
      </c>
      <c r="BG773" s="39"/>
      <c r="BH773" s="39"/>
      <c r="BI773" s="39"/>
      <c r="BJ773" s="39"/>
      <c r="BK773" s="39"/>
      <c r="BL773" s="39">
        <f t="shared" si="852"/>
        <v>0</v>
      </c>
      <c r="BM773" s="54" t="e">
        <f t="shared" si="816"/>
        <v>#DIV/0!</v>
      </c>
      <c r="BN773" s="67"/>
      <c r="BO773" s="39"/>
      <c r="BP773" s="39"/>
      <c r="BQ773" s="39"/>
      <c r="BR773" s="40"/>
      <c r="BS773" s="40"/>
      <c r="BT773" s="39"/>
      <c r="BU773" s="39"/>
      <c r="BV773" s="39"/>
      <c r="BW773" s="39"/>
      <c r="BX773" s="39"/>
      <c r="BY773" s="39"/>
      <c r="BZ773" s="39">
        <f t="shared" si="853"/>
        <v>0</v>
      </c>
      <c r="CA773" s="39">
        <f t="shared" si="817"/>
        <v>0</v>
      </c>
      <c r="CB773" s="39">
        <f t="shared" si="818"/>
        <v>0</v>
      </c>
      <c r="CC773" s="39">
        <f t="shared" si="819"/>
        <v>0</v>
      </c>
      <c r="CD773" s="39">
        <f t="shared" si="854"/>
        <v>0</v>
      </c>
      <c r="CE773" s="47" t="e">
        <f t="shared" si="820"/>
        <v>#DIV/0!</v>
      </c>
      <c r="CF773" s="36"/>
      <c r="CG773" s="39"/>
      <c r="CH773" s="39"/>
      <c r="CI773" s="25">
        <v>2</v>
      </c>
    </row>
    <row r="774" spans="1:87" ht="24.75" customHeight="1">
      <c r="A774" s="36" t="s">
        <v>215</v>
      </c>
      <c r="B774" s="55"/>
      <c r="C774" s="36"/>
      <c r="D774" s="36"/>
      <c r="E774" s="39"/>
      <c r="F774" s="39"/>
      <c r="G774" s="36"/>
      <c r="H774" s="39"/>
      <c r="I774" s="39"/>
      <c r="J774" s="39"/>
      <c r="K774" s="39"/>
      <c r="L774" s="39">
        <f t="shared" si="864"/>
        <v>0</v>
      </c>
      <c r="M774" s="39"/>
      <c r="N774" s="39"/>
      <c r="O774" s="39"/>
      <c r="P774" s="39"/>
      <c r="Q774" s="39"/>
      <c r="R774" s="39">
        <f t="shared" si="865"/>
        <v>0</v>
      </c>
      <c r="S774" s="39"/>
      <c r="T774" s="39"/>
      <c r="U774" s="39"/>
      <c r="V774" s="39"/>
      <c r="W774" s="39"/>
      <c r="X774" s="39"/>
      <c r="Y774" s="39"/>
      <c r="Z774" s="39"/>
      <c r="AA774" s="39"/>
      <c r="AB774" s="39">
        <f t="shared" si="866"/>
        <v>0</v>
      </c>
      <c r="AC774" s="39"/>
      <c r="AD774" s="39"/>
      <c r="AE774" s="39"/>
      <c r="AF774" s="39"/>
      <c r="AG774" s="39"/>
      <c r="AH774" s="39">
        <f t="shared" si="851"/>
        <v>0</v>
      </c>
      <c r="AI774" s="39"/>
      <c r="AJ774" s="39"/>
      <c r="AK774" s="39"/>
      <c r="AL774" s="39"/>
      <c r="AM774" s="39"/>
      <c r="AN774" s="39">
        <f t="shared" si="850"/>
        <v>0</v>
      </c>
      <c r="AO774" s="39"/>
      <c r="AP774" s="39"/>
      <c r="AQ774" s="39"/>
      <c r="AR774" s="39"/>
      <c r="AS774" s="39"/>
      <c r="AT774" s="39">
        <f t="shared" si="813"/>
        <v>0</v>
      </c>
      <c r="AU774" s="39"/>
      <c r="AV774" s="39"/>
      <c r="AW774" s="39"/>
      <c r="AX774" s="39"/>
      <c r="AY774" s="39"/>
      <c r="AZ774" s="39">
        <f t="shared" si="814"/>
        <v>0</v>
      </c>
      <c r="BA774" s="39"/>
      <c r="BB774" s="39"/>
      <c r="BC774" s="39"/>
      <c r="BD774" s="39"/>
      <c r="BE774" s="39"/>
      <c r="BF774" s="39">
        <f t="shared" si="815"/>
        <v>0</v>
      </c>
      <c r="BG774" s="39"/>
      <c r="BH774" s="39"/>
      <c r="BI774" s="39"/>
      <c r="BJ774" s="39"/>
      <c r="BK774" s="39"/>
      <c r="BL774" s="39">
        <f t="shared" si="852"/>
        <v>0</v>
      </c>
      <c r="BM774" s="54" t="e">
        <f t="shared" si="816"/>
        <v>#DIV/0!</v>
      </c>
      <c r="BN774" s="63"/>
      <c r="BO774" s="39"/>
      <c r="BP774" s="39"/>
      <c r="BQ774" s="39"/>
      <c r="BR774" s="40"/>
      <c r="BS774" s="40"/>
      <c r="BT774" s="39"/>
      <c r="BU774" s="39"/>
      <c r="BV774" s="39"/>
      <c r="BW774" s="39"/>
      <c r="BX774" s="39"/>
      <c r="BY774" s="39"/>
      <c r="BZ774" s="39">
        <f t="shared" si="853"/>
        <v>0</v>
      </c>
      <c r="CA774" s="39">
        <f t="shared" si="817"/>
        <v>0</v>
      </c>
      <c r="CB774" s="39">
        <f t="shared" si="818"/>
        <v>0</v>
      </c>
      <c r="CC774" s="39">
        <f t="shared" si="819"/>
        <v>0</v>
      </c>
      <c r="CD774" s="39">
        <f t="shared" si="854"/>
        <v>0</v>
      </c>
      <c r="CE774" s="47" t="e">
        <f t="shared" si="820"/>
        <v>#DIV/0!</v>
      </c>
      <c r="CF774" s="36"/>
      <c r="CG774" s="39"/>
      <c r="CH774" s="39"/>
      <c r="CI774" s="25">
        <v>3</v>
      </c>
    </row>
    <row r="775" spans="1:87" ht="24.75" customHeight="1">
      <c r="A775" s="36" t="s">
        <v>215</v>
      </c>
      <c r="B775" s="55"/>
      <c r="C775" s="36"/>
      <c r="D775" s="36"/>
      <c r="E775" s="39"/>
      <c r="F775" s="39"/>
      <c r="G775" s="36"/>
      <c r="H775" s="39"/>
      <c r="I775" s="39"/>
      <c r="J775" s="39"/>
      <c r="K775" s="39"/>
      <c r="L775" s="39">
        <f t="shared" si="864"/>
        <v>0</v>
      </c>
      <c r="M775" s="39"/>
      <c r="N775" s="39"/>
      <c r="O775" s="39"/>
      <c r="P775" s="39"/>
      <c r="Q775" s="39"/>
      <c r="R775" s="39">
        <f t="shared" si="865"/>
        <v>0</v>
      </c>
      <c r="S775" s="39"/>
      <c r="T775" s="39"/>
      <c r="U775" s="39"/>
      <c r="V775" s="39"/>
      <c r="W775" s="39"/>
      <c r="X775" s="39"/>
      <c r="Y775" s="39"/>
      <c r="Z775" s="39"/>
      <c r="AA775" s="39"/>
      <c r="AB775" s="39">
        <f t="shared" si="866"/>
        <v>0</v>
      </c>
      <c r="AC775" s="39"/>
      <c r="AD775" s="39"/>
      <c r="AE775" s="39"/>
      <c r="AF775" s="39"/>
      <c r="AG775" s="39"/>
      <c r="AH775" s="39">
        <f t="shared" si="851"/>
        <v>0</v>
      </c>
      <c r="AI775" s="39"/>
      <c r="AJ775" s="39"/>
      <c r="AK775" s="39"/>
      <c r="AL775" s="39"/>
      <c r="AM775" s="39"/>
      <c r="AN775" s="39">
        <f t="shared" si="850"/>
        <v>0</v>
      </c>
      <c r="AO775" s="39"/>
      <c r="AP775" s="39"/>
      <c r="AQ775" s="39"/>
      <c r="AR775" s="39"/>
      <c r="AS775" s="39"/>
      <c r="AT775" s="39">
        <f t="shared" si="813"/>
        <v>0</v>
      </c>
      <c r="AU775" s="39"/>
      <c r="AV775" s="39"/>
      <c r="AW775" s="39"/>
      <c r="AX775" s="39"/>
      <c r="AY775" s="39"/>
      <c r="AZ775" s="39">
        <f t="shared" si="814"/>
        <v>0</v>
      </c>
      <c r="BA775" s="39"/>
      <c r="BB775" s="39"/>
      <c r="BC775" s="39"/>
      <c r="BD775" s="39"/>
      <c r="BE775" s="39"/>
      <c r="BF775" s="39">
        <f t="shared" si="815"/>
        <v>0</v>
      </c>
      <c r="BG775" s="39"/>
      <c r="BH775" s="39"/>
      <c r="BI775" s="39"/>
      <c r="BJ775" s="39"/>
      <c r="BK775" s="39"/>
      <c r="BL775" s="39">
        <f t="shared" si="852"/>
        <v>0</v>
      </c>
      <c r="BM775" s="54" t="e">
        <f t="shared" si="816"/>
        <v>#DIV/0!</v>
      </c>
      <c r="BN775" s="63"/>
      <c r="BO775" s="39"/>
      <c r="BP775" s="39"/>
      <c r="BQ775" s="39"/>
      <c r="BR775" s="40"/>
      <c r="BS775" s="40"/>
      <c r="BT775" s="39"/>
      <c r="BU775" s="39"/>
      <c r="BV775" s="39"/>
      <c r="BW775" s="39"/>
      <c r="BX775" s="39"/>
      <c r="BY775" s="39"/>
      <c r="BZ775" s="39">
        <f t="shared" si="853"/>
        <v>0</v>
      </c>
      <c r="CA775" s="39">
        <f t="shared" si="817"/>
        <v>0</v>
      </c>
      <c r="CB775" s="39">
        <f t="shared" si="818"/>
        <v>0</v>
      </c>
      <c r="CC775" s="39">
        <f t="shared" si="819"/>
        <v>0</v>
      </c>
      <c r="CD775" s="39">
        <f t="shared" si="854"/>
        <v>0</v>
      </c>
      <c r="CE775" s="47" t="e">
        <f t="shared" si="820"/>
        <v>#DIV/0!</v>
      </c>
      <c r="CF775" s="36"/>
      <c r="CG775" s="39"/>
      <c r="CH775" s="39"/>
      <c r="CI775" s="25">
        <v>3</v>
      </c>
    </row>
    <row r="776" spans="1:87" ht="24.75" customHeight="1">
      <c r="A776" s="36" t="s">
        <v>215</v>
      </c>
      <c r="B776" s="55"/>
      <c r="C776" s="36"/>
      <c r="D776" s="36"/>
      <c r="E776" s="39"/>
      <c r="F776" s="39"/>
      <c r="G776" s="36"/>
      <c r="H776" s="39"/>
      <c r="I776" s="39"/>
      <c r="J776" s="39"/>
      <c r="K776" s="39"/>
      <c r="L776" s="39">
        <f t="shared" si="864"/>
        <v>0</v>
      </c>
      <c r="M776" s="39"/>
      <c r="N776" s="39"/>
      <c r="O776" s="39"/>
      <c r="P776" s="39"/>
      <c r="Q776" s="39"/>
      <c r="R776" s="39">
        <f t="shared" si="865"/>
        <v>0</v>
      </c>
      <c r="S776" s="39"/>
      <c r="T776" s="39"/>
      <c r="U776" s="39"/>
      <c r="V776" s="39"/>
      <c r="W776" s="39"/>
      <c r="X776" s="39"/>
      <c r="Y776" s="39"/>
      <c r="Z776" s="39"/>
      <c r="AA776" s="39"/>
      <c r="AB776" s="39">
        <f t="shared" si="866"/>
        <v>0</v>
      </c>
      <c r="AC776" s="39"/>
      <c r="AD776" s="39"/>
      <c r="AE776" s="39"/>
      <c r="AF776" s="39"/>
      <c r="AG776" s="39"/>
      <c r="AH776" s="39">
        <f t="shared" si="851"/>
        <v>0</v>
      </c>
      <c r="AI776" s="39"/>
      <c r="AJ776" s="39"/>
      <c r="AK776" s="39"/>
      <c r="AL776" s="39"/>
      <c r="AM776" s="39"/>
      <c r="AN776" s="39">
        <f t="shared" si="850"/>
        <v>0</v>
      </c>
      <c r="AO776" s="39"/>
      <c r="AP776" s="39"/>
      <c r="AQ776" s="39"/>
      <c r="AR776" s="39"/>
      <c r="AS776" s="39"/>
      <c r="AT776" s="39">
        <f t="shared" si="813"/>
        <v>0</v>
      </c>
      <c r="AU776" s="39"/>
      <c r="AV776" s="39"/>
      <c r="AW776" s="39"/>
      <c r="AX776" s="39"/>
      <c r="AY776" s="39"/>
      <c r="AZ776" s="39">
        <f t="shared" si="814"/>
        <v>0</v>
      </c>
      <c r="BA776" s="39"/>
      <c r="BB776" s="39"/>
      <c r="BC776" s="39"/>
      <c r="BD776" s="39"/>
      <c r="BE776" s="39"/>
      <c r="BF776" s="39">
        <f t="shared" si="815"/>
        <v>0</v>
      </c>
      <c r="BG776" s="39"/>
      <c r="BH776" s="39"/>
      <c r="BI776" s="39"/>
      <c r="BJ776" s="39"/>
      <c r="BK776" s="39"/>
      <c r="BL776" s="39">
        <f t="shared" si="852"/>
        <v>0</v>
      </c>
      <c r="BM776" s="54" t="e">
        <f t="shared" si="816"/>
        <v>#DIV/0!</v>
      </c>
      <c r="BN776" s="63"/>
      <c r="BO776" s="39"/>
      <c r="BP776" s="39"/>
      <c r="BQ776" s="39"/>
      <c r="BR776" s="40"/>
      <c r="BS776" s="40"/>
      <c r="BT776" s="39"/>
      <c r="BU776" s="39"/>
      <c r="BV776" s="39"/>
      <c r="BW776" s="39"/>
      <c r="BX776" s="39"/>
      <c r="BY776" s="39"/>
      <c r="BZ776" s="39">
        <f t="shared" si="853"/>
        <v>0</v>
      </c>
      <c r="CA776" s="39">
        <f t="shared" si="817"/>
        <v>0</v>
      </c>
      <c r="CB776" s="39">
        <f t="shared" si="818"/>
        <v>0</v>
      </c>
      <c r="CC776" s="39">
        <f t="shared" si="819"/>
        <v>0</v>
      </c>
      <c r="CD776" s="39">
        <f t="shared" si="854"/>
        <v>0</v>
      </c>
      <c r="CE776" s="47" t="e">
        <f t="shared" si="820"/>
        <v>#DIV/0!</v>
      </c>
      <c r="CF776" s="36"/>
      <c r="CG776" s="39"/>
      <c r="CH776" s="39"/>
      <c r="CI776" s="25">
        <v>3</v>
      </c>
    </row>
    <row r="777" spans="1:87" ht="24.75" customHeight="1">
      <c r="A777" s="36" t="s">
        <v>215</v>
      </c>
      <c r="B777" s="55"/>
      <c r="C777" s="36"/>
      <c r="D777" s="36"/>
      <c r="E777" s="39"/>
      <c r="F777" s="39"/>
      <c r="G777" s="36"/>
      <c r="H777" s="39"/>
      <c r="I777" s="39"/>
      <c r="J777" s="39"/>
      <c r="K777" s="39"/>
      <c r="L777" s="39">
        <f t="shared" si="864"/>
        <v>0</v>
      </c>
      <c r="M777" s="39"/>
      <c r="N777" s="39"/>
      <c r="O777" s="39"/>
      <c r="P777" s="39"/>
      <c r="Q777" s="39"/>
      <c r="R777" s="39">
        <f t="shared" si="865"/>
        <v>0</v>
      </c>
      <c r="S777" s="39"/>
      <c r="T777" s="39"/>
      <c r="U777" s="39"/>
      <c r="V777" s="39"/>
      <c r="W777" s="39"/>
      <c r="X777" s="39"/>
      <c r="Y777" s="39"/>
      <c r="Z777" s="39"/>
      <c r="AA777" s="39"/>
      <c r="AB777" s="39">
        <f t="shared" si="866"/>
        <v>0</v>
      </c>
      <c r="AC777" s="39"/>
      <c r="AD777" s="39"/>
      <c r="AE777" s="39"/>
      <c r="AF777" s="39"/>
      <c r="AG777" s="39"/>
      <c r="AH777" s="39">
        <f t="shared" si="851"/>
        <v>0</v>
      </c>
      <c r="AI777" s="39"/>
      <c r="AJ777" s="39"/>
      <c r="AK777" s="39"/>
      <c r="AL777" s="39"/>
      <c r="AM777" s="39"/>
      <c r="AN777" s="39">
        <f t="shared" si="850"/>
        <v>0</v>
      </c>
      <c r="AO777" s="39"/>
      <c r="AP777" s="39"/>
      <c r="AQ777" s="39"/>
      <c r="AR777" s="39"/>
      <c r="AS777" s="39"/>
      <c r="AT777" s="39">
        <f t="shared" si="813"/>
        <v>0</v>
      </c>
      <c r="AU777" s="39"/>
      <c r="AV777" s="39"/>
      <c r="AW777" s="39"/>
      <c r="AX777" s="39"/>
      <c r="AY777" s="39"/>
      <c r="AZ777" s="39">
        <f t="shared" si="814"/>
        <v>0</v>
      </c>
      <c r="BA777" s="39"/>
      <c r="BB777" s="39"/>
      <c r="BC777" s="39"/>
      <c r="BD777" s="39"/>
      <c r="BE777" s="39"/>
      <c r="BF777" s="39">
        <f t="shared" si="815"/>
        <v>0</v>
      </c>
      <c r="BG777" s="39"/>
      <c r="BH777" s="39"/>
      <c r="BI777" s="39"/>
      <c r="BJ777" s="39"/>
      <c r="BK777" s="39"/>
      <c r="BL777" s="39">
        <f t="shared" si="852"/>
        <v>0</v>
      </c>
      <c r="BM777" s="54" t="e">
        <f t="shared" si="816"/>
        <v>#DIV/0!</v>
      </c>
      <c r="BN777" s="63"/>
      <c r="BO777" s="39"/>
      <c r="BP777" s="39"/>
      <c r="BQ777" s="39"/>
      <c r="BR777" s="40"/>
      <c r="BS777" s="40"/>
      <c r="BT777" s="39"/>
      <c r="BU777" s="39"/>
      <c r="BV777" s="39"/>
      <c r="BW777" s="39"/>
      <c r="BX777" s="39"/>
      <c r="BY777" s="39"/>
      <c r="BZ777" s="39">
        <f t="shared" si="853"/>
        <v>0</v>
      </c>
      <c r="CA777" s="39">
        <f t="shared" si="817"/>
        <v>0</v>
      </c>
      <c r="CB777" s="39">
        <f t="shared" si="818"/>
        <v>0</v>
      </c>
      <c r="CC777" s="39">
        <f t="shared" si="819"/>
        <v>0</v>
      </c>
      <c r="CD777" s="39">
        <f t="shared" si="854"/>
        <v>0</v>
      </c>
      <c r="CE777" s="47" t="e">
        <f t="shared" si="820"/>
        <v>#DIV/0!</v>
      </c>
      <c r="CF777" s="36"/>
      <c r="CG777" s="39"/>
      <c r="CH777" s="39"/>
      <c r="CI777" s="25">
        <v>3</v>
      </c>
    </row>
    <row r="778" spans="1:87" ht="24.75" customHeight="1">
      <c r="A778" s="36" t="s">
        <v>215</v>
      </c>
      <c r="B778" s="55"/>
      <c r="C778" s="36"/>
      <c r="D778" s="36"/>
      <c r="E778" s="39"/>
      <c r="F778" s="39"/>
      <c r="G778" s="36"/>
      <c r="H778" s="39"/>
      <c r="I778" s="39"/>
      <c r="J778" s="39"/>
      <c r="K778" s="39"/>
      <c r="L778" s="39">
        <f t="shared" si="864"/>
        <v>0</v>
      </c>
      <c r="M778" s="39"/>
      <c r="N778" s="39"/>
      <c r="O778" s="39"/>
      <c r="P778" s="39"/>
      <c r="Q778" s="39"/>
      <c r="R778" s="39">
        <f t="shared" si="865"/>
        <v>0</v>
      </c>
      <c r="S778" s="39"/>
      <c r="T778" s="39"/>
      <c r="U778" s="39"/>
      <c r="V778" s="39"/>
      <c r="W778" s="39"/>
      <c r="X778" s="39"/>
      <c r="Y778" s="39"/>
      <c r="Z778" s="39"/>
      <c r="AA778" s="39"/>
      <c r="AB778" s="39">
        <f t="shared" si="866"/>
        <v>0</v>
      </c>
      <c r="AC778" s="39"/>
      <c r="AD778" s="39"/>
      <c r="AE778" s="39"/>
      <c r="AF778" s="39"/>
      <c r="AG778" s="39"/>
      <c r="AH778" s="39">
        <f t="shared" si="851"/>
        <v>0</v>
      </c>
      <c r="AI778" s="39"/>
      <c r="AJ778" s="39"/>
      <c r="AK778" s="39"/>
      <c r="AL778" s="39"/>
      <c r="AM778" s="39"/>
      <c r="AN778" s="39">
        <f t="shared" si="850"/>
        <v>0</v>
      </c>
      <c r="AO778" s="39"/>
      <c r="AP778" s="39"/>
      <c r="AQ778" s="39"/>
      <c r="AR778" s="39"/>
      <c r="AS778" s="39"/>
      <c r="AT778" s="39">
        <f t="shared" si="813"/>
        <v>0</v>
      </c>
      <c r="AU778" s="39"/>
      <c r="AV778" s="39"/>
      <c r="AW778" s="39"/>
      <c r="AX778" s="39"/>
      <c r="AY778" s="39"/>
      <c r="AZ778" s="39">
        <f t="shared" si="814"/>
        <v>0</v>
      </c>
      <c r="BA778" s="39"/>
      <c r="BB778" s="39"/>
      <c r="BC778" s="39"/>
      <c r="BD778" s="39"/>
      <c r="BE778" s="39"/>
      <c r="BF778" s="39">
        <f t="shared" si="815"/>
        <v>0</v>
      </c>
      <c r="BG778" s="39"/>
      <c r="BH778" s="39"/>
      <c r="BI778" s="39"/>
      <c r="BJ778" s="39"/>
      <c r="BK778" s="39"/>
      <c r="BL778" s="39">
        <f t="shared" si="852"/>
        <v>0</v>
      </c>
      <c r="BM778" s="54" t="e">
        <f t="shared" si="816"/>
        <v>#DIV/0!</v>
      </c>
      <c r="BN778" s="63"/>
      <c r="BO778" s="39"/>
      <c r="BP778" s="39"/>
      <c r="BQ778" s="39"/>
      <c r="BR778" s="40"/>
      <c r="BS778" s="40"/>
      <c r="BT778" s="39"/>
      <c r="BU778" s="39"/>
      <c r="BV778" s="39"/>
      <c r="BW778" s="39"/>
      <c r="BX778" s="39"/>
      <c r="BY778" s="39"/>
      <c r="BZ778" s="39">
        <f t="shared" si="853"/>
        <v>0</v>
      </c>
      <c r="CA778" s="39">
        <f t="shared" si="817"/>
        <v>0</v>
      </c>
      <c r="CB778" s="39">
        <f t="shared" si="818"/>
        <v>0</v>
      </c>
      <c r="CC778" s="39">
        <f t="shared" si="819"/>
        <v>0</v>
      </c>
      <c r="CD778" s="39">
        <f t="shared" si="854"/>
        <v>0</v>
      </c>
      <c r="CE778" s="47" t="e">
        <f t="shared" si="820"/>
        <v>#DIV/0!</v>
      </c>
      <c r="CF778" s="36"/>
      <c r="CG778" s="39"/>
      <c r="CH778" s="39"/>
      <c r="CI778" s="25">
        <v>3</v>
      </c>
    </row>
    <row r="779" spans="1:87" ht="24.75" customHeight="1">
      <c r="A779" s="36" t="s">
        <v>303</v>
      </c>
      <c r="B779" s="55">
        <v>47717</v>
      </c>
      <c r="C779" s="227" t="s">
        <v>986</v>
      </c>
      <c r="D779" s="36"/>
      <c r="E779" s="39">
        <v>340</v>
      </c>
      <c r="F779" s="39" t="s">
        <v>63</v>
      </c>
      <c r="G779" s="36" t="s">
        <v>41</v>
      </c>
      <c r="H779" s="36" t="s">
        <v>212</v>
      </c>
      <c r="I779" s="39">
        <f>410+63</f>
        <v>473</v>
      </c>
      <c r="J779" s="39">
        <f>32+5</f>
        <v>37</v>
      </c>
      <c r="K779" s="39"/>
      <c r="L779" s="39">
        <f t="shared" ref="L779:L784" si="867">SUM(I779:K779)</f>
        <v>510</v>
      </c>
      <c r="M779" s="117">
        <v>46157</v>
      </c>
      <c r="N779" s="117">
        <v>46167</v>
      </c>
      <c r="O779" s="39"/>
      <c r="P779" s="39"/>
      <c r="Q779" s="39"/>
      <c r="R779" s="39">
        <f t="shared" ref="R779:R785" si="868">SUM(O779:Q779)</f>
        <v>0</v>
      </c>
      <c r="S779" s="39" t="s">
        <v>130</v>
      </c>
      <c r="T779" s="39" t="s">
        <v>2127</v>
      </c>
      <c r="U779" s="117" t="s">
        <v>2128</v>
      </c>
      <c r="V779" s="39"/>
      <c r="W779" s="39"/>
      <c r="X779" s="39"/>
      <c r="Y779" s="39">
        <f>460+80+177+25</f>
        <v>742</v>
      </c>
      <c r="Z779" s="39">
        <f>46+5+2</f>
        <v>53</v>
      </c>
      <c r="AA779" s="39"/>
      <c r="AB779" s="119">
        <f t="shared" si="866"/>
        <v>795</v>
      </c>
      <c r="AC779" s="39"/>
      <c r="AD779" s="39"/>
      <c r="AE779" s="39"/>
      <c r="AF779" s="39"/>
      <c r="AG779" s="39"/>
      <c r="AH779" s="39">
        <f t="shared" si="851"/>
        <v>0</v>
      </c>
      <c r="AI779" s="39" t="s">
        <v>163</v>
      </c>
      <c r="AJ779" s="117" t="s">
        <v>1946</v>
      </c>
      <c r="AK779" s="39">
        <f>23+456+42</f>
        <v>521</v>
      </c>
      <c r="AL779" s="117" t="s">
        <v>1953</v>
      </c>
      <c r="AM779" s="39">
        <f>23+452+42</f>
        <v>517</v>
      </c>
      <c r="AN779" s="39">
        <f t="shared" si="850"/>
        <v>-4</v>
      </c>
      <c r="AO779" s="39"/>
      <c r="AP779" s="39"/>
      <c r="AQ779" s="39"/>
      <c r="AR779" s="39"/>
      <c r="AS779" s="39"/>
      <c r="AT779" s="39">
        <f t="shared" si="813"/>
        <v>0</v>
      </c>
      <c r="AU779" s="39"/>
      <c r="AV779" s="39"/>
      <c r="AW779" s="39"/>
      <c r="AX779" s="39"/>
      <c r="AY779" s="39"/>
      <c r="AZ779" s="39">
        <f t="shared" si="814"/>
        <v>0</v>
      </c>
      <c r="BA779" s="39"/>
      <c r="BB779" s="39"/>
      <c r="BC779" s="39"/>
      <c r="BD779" s="39"/>
      <c r="BE779" s="39"/>
      <c r="BF779" s="39">
        <f t="shared" si="815"/>
        <v>0</v>
      </c>
      <c r="BG779" s="39"/>
      <c r="BH779" s="39"/>
      <c r="BI779" s="39"/>
      <c r="BJ779" s="39"/>
      <c r="BK779" s="39"/>
      <c r="BL779" s="39">
        <f t="shared" si="852"/>
        <v>0</v>
      </c>
      <c r="BM779" s="54" t="str">
        <f t="shared" si="816"/>
        <v/>
      </c>
      <c r="BN779" s="56">
        <v>46182</v>
      </c>
      <c r="BO779" s="117">
        <v>46196</v>
      </c>
      <c r="BP779" s="39"/>
      <c r="BQ779" s="39"/>
      <c r="BR779" s="229">
        <v>46207</v>
      </c>
      <c r="BS779" s="229">
        <v>46232</v>
      </c>
      <c r="BT779" s="39" t="s">
        <v>2116</v>
      </c>
      <c r="BU779" s="39">
        <f>26+426+152+22</f>
        <v>626</v>
      </c>
      <c r="BV779" s="39" t="s">
        <v>2117</v>
      </c>
      <c r="BW779" s="39">
        <f>40+5+2</f>
        <v>47</v>
      </c>
      <c r="BX779" s="39"/>
      <c r="BY779" s="39"/>
      <c r="BZ779" s="39">
        <f t="shared" si="853"/>
        <v>673</v>
      </c>
      <c r="CA779" s="39">
        <f t="shared" si="817"/>
        <v>153</v>
      </c>
      <c r="CB779" s="39">
        <f t="shared" si="818"/>
        <v>10</v>
      </c>
      <c r="CC779" s="39">
        <f t="shared" si="819"/>
        <v>0</v>
      </c>
      <c r="CD779" s="39">
        <f t="shared" si="854"/>
        <v>0</v>
      </c>
      <c r="CE779" s="102">
        <f t="shared" si="820"/>
        <v>0</v>
      </c>
      <c r="CF779" s="36"/>
      <c r="CG779" s="39" t="s">
        <v>235</v>
      </c>
      <c r="CH779" s="39"/>
      <c r="CI779" s="25">
        <v>1</v>
      </c>
    </row>
    <row r="780" spans="1:87" ht="24.75" customHeight="1">
      <c r="A780" s="36" t="s">
        <v>303</v>
      </c>
      <c r="B780" s="55">
        <v>47717</v>
      </c>
      <c r="C780" s="231"/>
      <c r="D780" s="36"/>
      <c r="E780" s="39">
        <v>340</v>
      </c>
      <c r="F780" s="39" t="s">
        <v>63</v>
      </c>
      <c r="G780" s="36" t="s">
        <v>23</v>
      </c>
      <c r="H780" s="36" t="s">
        <v>212</v>
      </c>
      <c r="I780" s="39">
        <v>410</v>
      </c>
      <c r="J780" s="39">
        <v>32</v>
      </c>
      <c r="K780" s="39"/>
      <c r="L780" s="39">
        <f t="shared" si="867"/>
        <v>442</v>
      </c>
      <c r="M780" s="117">
        <v>46157</v>
      </c>
      <c r="N780" s="117">
        <v>46167</v>
      </c>
      <c r="O780" s="39"/>
      <c r="P780" s="39"/>
      <c r="Q780" s="39"/>
      <c r="R780" s="39">
        <f t="shared" si="868"/>
        <v>0</v>
      </c>
      <c r="S780" s="39" t="s">
        <v>130</v>
      </c>
      <c r="T780" s="39" t="s">
        <v>2129</v>
      </c>
      <c r="U780" s="117" t="s">
        <v>2130</v>
      </c>
      <c r="V780" s="39"/>
      <c r="W780" s="39"/>
      <c r="X780" s="39"/>
      <c r="Y780" s="39">
        <f>442+101</f>
        <v>543</v>
      </c>
      <c r="Z780" s="39">
        <f>38+8</f>
        <v>46</v>
      </c>
      <c r="AA780" s="39"/>
      <c r="AB780" s="119">
        <f t="shared" si="866"/>
        <v>589</v>
      </c>
      <c r="AC780" s="39"/>
      <c r="AD780" s="39"/>
      <c r="AE780" s="39"/>
      <c r="AF780" s="39"/>
      <c r="AG780" s="39"/>
      <c r="AH780" s="39">
        <f t="shared" si="851"/>
        <v>0</v>
      </c>
      <c r="AI780" s="39"/>
      <c r="AJ780" s="39"/>
      <c r="AK780" s="39"/>
      <c r="AL780" s="39"/>
      <c r="AM780" s="39"/>
      <c r="AN780" s="39">
        <f t="shared" si="850"/>
        <v>0</v>
      </c>
      <c r="AO780" s="39"/>
      <c r="AP780" s="39"/>
      <c r="AQ780" s="39"/>
      <c r="AR780" s="39"/>
      <c r="AS780" s="39"/>
      <c r="AT780" s="39">
        <f t="shared" si="813"/>
        <v>0</v>
      </c>
      <c r="AU780" s="39"/>
      <c r="AV780" s="39"/>
      <c r="AW780" s="39"/>
      <c r="AX780" s="39"/>
      <c r="AY780" s="39"/>
      <c r="AZ780" s="39">
        <f t="shared" si="814"/>
        <v>0</v>
      </c>
      <c r="BA780" s="39"/>
      <c r="BB780" s="39"/>
      <c r="BC780" s="39"/>
      <c r="BD780" s="39"/>
      <c r="BE780" s="39"/>
      <c r="BF780" s="39">
        <f t="shared" si="815"/>
        <v>0</v>
      </c>
      <c r="BG780" s="39"/>
      <c r="BH780" s="39"/>
      <c r="BI780" s="39"/>
      <c r="BJ780" s="39"/>
      <c r="BK780" s="39"/>
      <c r="BL780" s="39">
        <f t="shared" si="852"/>
        <v>0</v>
      </c>
      <c r="BM780" s="54" t="str">
        <f t="shared" si="816"/>
        <v/>
      </c>
      <c r="BN780" s="56">
        <v>46182</v>
      </c>
      <c r="BO780" s="117">
        <v>46196</v>
      </c>
      <c r="BP780" s="39"/>
      <c r="BQ780" s="39"/>
      <c r="BR780" s="232"/>
      <c r="BS780" s="232"/>
      <c r="BT780" s="39" t="s">
        <v>2113</v>
      </c>
      <c r="BU780" s="39">
        <f>398+92</f>
        <v>490</v>
      </c>
      <c r="BV780" s="39" t="s">
        <v>2113</v>
      </c>
      <c r="BW780" s="39">
        <f>34+7</f>
        <v>41</v>
      </c>
      <c r="BX780" s="39"/>
      <c r="BY780" s="39"/>
      <c r="BZ780" s="39">
        <f t="shared" si="853"/>
        <v>531</v>
      </c>
      <c r="CA780" s="39">
        <f t="shared" si="817"/>
        <v>80</v>
      </c>
      <c r="CB780" s="39">
        <f t="shared" si="818"/>
        <v>9</v>
      </c>
      <c r="CC780" s="39">
        <f t="shared" si="819"/>
        <v>0</v>
      </c>
      <c r="CD780" s="39">
        <v>0</v>
      </c>
      <c r="CE780" s="102">
        <f t="shared" si="820"/>
        <v>0</v>
      </c>
      <c r="CF780" s="36"/>
      <c r="CG780" s="39" t="s">
        <v>235</v>
      </c>
      <c r="CH780" s="39"/>
      <c r="CI780" s="25">
        <v>1</v>
      </c>
    </row>
    <row r="781" spans="1:87" ht="24.75" customHeight="1">
      <c r="A781" s="36" t="s">
        <v>303</v>
      </c>
      <c r="B781" s="55">
        <v>47717</v>
      </c>
      <c r="C781" s="231"/>
      <c r="D781" s="36"/>
      <c r="E781" s="39">
        <v>340</v>
      </c>
      <c r="F781" s="39" t="s">
        <v>63</v>
      </c>
      <c r="G781" s="36" t="s">
        <v>311</v>
      </c>
      <c r="H781" s="36" t="s">
        <v>212</v>
      </c>
      <c r="I781" s="39">
        <v>278</v>
      </c>
      <c r="J781" s="39">
        <v>23</v>
      </c>
      <c r="K781" s="39"/>
      <c r="L781" s="39">
        <f t="shared" si="867"/>
        <v>301</v>
      </c>
      <c r="M781" s="117">
        <v>46157</v>
      </c>
      <c r="N781" s="117">
        <v>46167</v>
      </c>
      <c r="O781" s="39"/>
      <c r="P781" s="39"/>
      <c r="Q781" s="39"/>
      <c r="R781" s="39">
        <f t="shared" si="868"/>
        <v>0</v>
      </c>
      <c r="S781" s="39" t="s">
        <v>130</v>
      </c>
      <c r="T781" s="39" t="s">
        <v>2125</v>
      </c>
      <c r="U781" s="117" t="s">
        <v>2126</v>
      </c>
      <c r="V781" s="39"/>
      <c r="W781" s="39"/>
      <c r="X781" s="39"/>
      <c r="Y781" s="39">
        <f>315+30</f>
        <v>345</v>
      </c>
      <c r="Z781" s="39">
        <f>27+3</f>
        <v>30</v>
      </c>
      <c r="AA781" s="39"/>
      <c r="AB781" s="119">
        <f t="shared" si="866"/>
        <v>375</v>
      </c>
      <c r="AC781" s="39"/>
      <c r="AD781" s="39"/>
      <c r="AE781" s="39"/>
      <c r="AF781" s="39"/>
      <c r="AG781" s="39"/>
      <c r="AH781" s="39">
        <f t="shared" si="851"/>
        <v>0</v>
      </c>
      <c r="AI781" s="39"/>
      <c r="AJ781" s="39"/>
      <c r="AK781" s="39"/>
      <c r="AL781" s="39"/>
      <c r="AM781" s="39"/>
      <c r="AN781" s="39">
        <f t="shared" si="850"/>
        <v>0</v>
      </c>
      <c r="AO781" s="39"/>
      <c r="AP781" s="39"/>
      <c r="AQ781" s="39"/>
      <c r="AR781" s="39"/>
      <c r="AS781" s="39"/>
      <c r="AT781" s="39">
        <f t="shared" si="813"/>
        <v>0</v>
      </c>
      <c r="AU781" s="39"/>
      <c r="AV781" s="39"/>
      <c r="AW781" s="39"/>
      <c r="AX781" s="39"/>
      <c r="AY781" s="39"/>
      <c r="AZ781" s="39">
        <f t="shared" si="814"/>
        <v>0</v>
      </c>
      <c r="BA781" s="39"/>
      <c r="BB781" s="39"/>
      <c r="BC781" s="39"/>
      <c r="BD781" s="39"/>
      <c r="BE781" s="39"/>
      <c r="BF781" s="39">
        <f t="shared" si="815"/>
        <v>0</v>
      </c>
      <c r="BG781" s="39"/>
      <c r="BH781" s="39"/>
      <c r="BI781" s="39"/>
      <c r="BJ781" s="39"/>
      <c r="BK781" s="39"/>
      <c r="BL781" s="39">
        <f t="shared" si="852"/>
        <v>0</v>
      </c>
      <c r="BM781" s="54" t="str">
        <f t="shared" si="816"/>
        <v/>
      </c>
      <c r="BN781" s="56">
        <v>46182</v>
      </c>
      <c r="BO781" s="117">
        <v>46196</v>
      </c>
      <c r="BP781" s="39"/>
      <c r="BQ781" s="39"/>
      <c r="BR781" s="232"/>
      <c r="BS781" s="232"/>
      <c r="BT781" s="39" t="s">
        <v>2109</v>
      </c>
      <c r="BU781" s="39">
        <f>268+24</f>
        <v>292</v>
      </c>
      <c r="BV781" s="39" t="s">
        <v>2109</v>
      </c>
      <c r="BW781" s="39">
        <f>24+2</f>
        <v>26</v>
      </c>
      <c r="BX781" s="39"/>
      <c r="BY781" s="39"/>
      <c r="BZ781" s="39">
        <f t="shared" si="853"/>
        <v>318</v>
      </c>
      <c r="CA781" s="39">
        <f t="shared" si="817"/>
        <v>14</v>
      </c>
      <c r="CB781" s="39">
        <f t="shared" si="818"/>
        <v>3</v>
      </c>
      <c r="CC781" s="39">
        <f t="shared" si="819"/>
        <v>0</v>
      </c>
      <c r="CD781" s="39">
        <f t="shared" si="854"/>
        <v>0</v>
      </c>
      <c r="CE781" s="102">
        <f t="shared" si="820"/>
        <v>0</v>
      </c>
      <c r="CF781" s="36"/>
      <c r="CG781" s="39" t="s">
        <v>235</v>
      </c>
      <c r="CH781" s="39"/>
      <c r="CI781" s="25">
        <v>1</v>
      </c>
    </row>
    <row r="782" spans="1:87" ht="24.75" customHeight="1">
      <c r="A782" s="36" t="s">
        <v>303</v>
      </c>
      <c r="B782" s="55">
        <v>47717</v>
      </c>
      <c r="C782" s="231"/>
      <c r="D782" s="36"/>
      <c r="E782" s="39">
        <v>340</v>
      </c>
      <c r="F782" s="39" t="s">
        <v>63</v>
      </c>
      <c r="G782" s="36" t="s">
        <v>314</v>
      </c>
      <c r="H782" s="36" t="s">
        <v>212</v>
      </c>
      <c r="I782" s="39">
        <v>278</v>
      </c>
      <c r="J782" s="39">
        <v>23</v>
      </c>
      <c r="K782" s="39"/>
      <c r="L782" s="39">
        <f t="shared" si="867"/>
        <v>301</v>
      </c>
      <c r="M782" s="117">
        <v>46157</v>
      </c>
      <c r="N782" s="117">
        <v>46167</v>
      </c>
      <c r="O782" s="39"/>
      <c r="P782" s="39"/>
      <c r="Q782" s="39"/>
      <c r="R782" s="39">
        <f t="shared" si="868"/>
        <v>0</v>
      </c>
      <c r="S782" s="39" t="s">
        <v>130</v>
      </c>
      <c r="T782" s="39" t="s">
        <v>2123</v>
      </c>
      <c r="U782" s="117" t="s">
        <v>2124</v>
      </c>
      <c r="V782" s="39"/>
      <c r="W782" s="39"/>
      <c r="X782" s="39"/>
      <c r="Y782" s="39">
        <f>311+40</f>
        <v>351</v>
      </c>
      <c r="Z782" s="39">
        <f>27+4</f>
        <v>31</v>
      </c>
      <c r="AA782" s="39"/>
      <c r="AB782" s="119">
        <f t="shared" si="866"/>
        <v>382</v>
      </c>
      <c r="AC782" s="39"/>
      <c r="AD782" s="39"/>
      <c r="AE782" s="39"/>
      <c r="AF782" s="39"/>
      <c r="AG782" s="39"/>
      <c r="AH782" s="39">
        <f t="shared" si="851"/>
        <v>0</v>
      </c>
      <c r="AI782" s="39"/>
      <c r="AJ782" s="39"/>
      <c r="AK782" s="39"/>
      <c r="AL782" s="39"/>
      <c r="AM782" s="39"/>
      <c r="AN782" s="39">
        <f t="shared" si="850"/>
        <v>0</v>
      </c>
      <c r="AO782" s="39"/>
      <c r="AP782" s="39"/>
      <c r="AQ782" s="39"/>
      <c r="AR782" s="39"/>
      <c r="AS782" s="39"/>
      <c r="AT782" s="39">
        <f t="shared" si="813"/>
        <v>0</v>
      </c>
      <c r="AU782" s="39"/>
      <c r="AV782" s="39"/>
      <c r="AW782" s="39"/>
      <c r="AX782" s="39"/>
      <c r="AY782" s="39"/>
      <c r="AZ782" s="39">
        <f t="shared" si="814"/>
        <v>0</v>
      </c>
      <c r="BA782" s="39"/>
      <c r="BB782" s="39"/>
      <c r="BC782" s="39"/>
      <c r="BD782" s="39"/>
      <c r="BE782" s="39"/>
      <c r="BF782" s="39">
        <f t="shared" si="815"/>
        <v>0</v>
      </c>
      <c r="BG782" s="39"/>
      <c r="BH782" s="39"/>
      <c r="BI782" s="39"/>
      <c r="BJ782" s="39"/>
      <c r="BK782" s="39"/>
      <c r="BL782" s="39">
        <f t="shared" si="852"/>
        <v>0</v>
      </c>
      <c r="BM782" s="54" t="str">
        <f t="shared" si="816"/>
        <v/>
      </c>
      <c r="BN782" s="56">
        <v>46182</v>
      </c>
      <c r="BO782" s="117">
        <v>46196</v>
      </c>
      <c r="BP782" s="39"/>
      <c r="BQ782" s="39"/>
      <c r="BR782" s="232"/>
      <c r="BS782" s="232"/>
      <c r="BT782" s="39" t="s">
        <v>2107</v>
      </c>
      <c r="BU782" s="39">
        <f>264+35</f>
        <v>299</v>
      </c>
      <c r="BV782" s="39" t="s">
        <v>2107</v>
      </c>
      <c r="BW782" s="39">
        <f>24+3</f>
        <v>27</v>
      </c>
      <c r="BX782" s="39"/>
      <c r="BY782" s="39"/>
      <c r="BZ782" s="39">
        <f t="shared" si="853"/>
        <v>326</v>
      </c>
      <c r="CA782" s="39">
        <f t="shared" si="817"/>
        <v>21</v>
      </c>
      <c r="CB782" s="39">
        <f t="shared" si="818"/>
        <v>4</v>
      </c>
      <c r="CC782" s="39">
        <f t="shared" si="819"/>
        <v>0</v>
      </c>
      <c r="CD782" s="39">
        <f t="shared" si="854"/>
        <v>0</v>
      </c>
      <c r="CE782" s="102">
        <f t="shared" si="820"/>
        <v>0</v>
      </c>
      <c r="CF782" s="36"/>
      <c r="CG782" s="39" t="s">
        <v>235</v>
      </c>
      <c r="CH782" s="39"/>
      <c r="CI782" s="25">
        <v>1</v>
      </c>
    </row>
    <row r="783" spans="1:87" ht="24.75" customHeight="1">
      <c r="A783" s="36" t="s">
        <v>303</v>
      </c>
      <c r="B783" s="55">
        <v>47717</v>
      </c>
      <c r="C783" s="231"/>
      <c r="D783" s="36"/>
      <c r="E783" s="39">
        <v>340</v>
      </c>
      <c r="F783" s="39" t="s">
        <v>63</v>
      </c>
      <c r="G783" s="36" t="s">
        <v>731</v>
      </c>
      <c r="H783" s="36" t="s">
        <v>212</v>
      </c>
      <c r="I783" s="39">
        <v>278</v>
      </c>
      <c r="J783" s="39">
        <v>23</v>
      </c>
      <c r="K783" s="39"/>
      <c r="L783" s="39">
        <f t="shared" si="867"/>
        <v>301</v>
      </c>
      <c r="M783" s="117">
        <v>46157</v>
      </c>
      <c r="N783" s="117">
        <v>46167</v>
      </c>
      <c r="O783" s="39"/>
      <c r="P783" s="39"/>
      <c r="Q783" s="39"/>
      <c r="R783" s="39">
        <f t="shared" si="868"/>
        <v>0</v>
      </c>
      <c r="S783" s="39" t="s">
        <v>130</v>
      </c>
      <c r="T783" s="39">
        <v>107316</v>
      </c>
      <c r="U783" s="117">
        <v>46200</v>
      </c>
      <c r="V783" s="39"/>
      <c r="W783" s="39"/>
      <c r="X783" s="39"/>
      <c r="Y783" s="39">
        <v>315</v>
      </c>
      <c r="Z783" s="39">
        <v>29</v>
      </c>
      <c r="AA783" s="39"/>
      <c r="AB783" s="119">
        <f t="shared" si="866"/>
        <v>344</v>
      </c>
      <c r="AC783" s="39"/>
      <c r="AD783" s="39"/>
      <c r="AE783" s="39"/>
      <c r="AF783" s="39"/>
      <c r="AG783" s="39"/>
      <c r="AH783" s="39">
        <f t="shared" si="851"/>
        <v>0</v>
      </c>
      <c r="AI783" s="39"/>
      <c r="AJ783" s="39"/>
      <c r="AK783" s="39"/>
      <c r="AL783" s="39"/>
      <c r="AM783" s="39"/>
      <c r="AN783" s="39">
        <f t="shared" si="850"/>
        <v>0</v>
      </c>
      <c r="AO783" s="39"/>
      <c r="AP783" s="39"/>
      <c r="AQ783" s="39"/>
      <c r="AR783" s="39"/>
      <c r="AS783" s="39"/>
      <c r="AT783" s="39">
        <f t="shared" si="813"/>
        <v>0</v>
      </c>
      <c r="AU783" s="39"/>
      <c r="AV783" s="39"/>
      <c r="AW783" s="39"/>
      <c r="AX783" s="39"/>
      <c r="AY783" s="39"/>
      <c r="AZ783" s="39">
        <f t="shared" si="814"/>
        <v>0</v>
      </c>
      <c r="BA783" s="39"/>
      <c r="BB783" s="39"/>
      <c r="BC783" s="39"/>
      <c r="BD783" s="39"/>
      <c r="BE783" s="39"/>
      <c r="BF783" s="39">
        <f t="shared" si="815"/>
        <v>0</v>
      </c>
      <c r="BG783" s="39"/>
      <c r="BH783" s="39"/>
      <c r="BI783" s="39"/>
      <c r="BJ783" s="39"/>
      <c r="BK783" s="39"/>
      <c r="BL783" s="39">
        <f t="shared" si="852"/>
        <v>0</v>
      </c>
      <c r="BM783" s="54" t="str">
        <f t="shared" si="816"/>
        <v/>
      </c>
      <c r="BN783" s="56">
        <v>46182</v>
      </c>
      <c r="BO783" s="117">
        <v>46196</v>
      </c>
      <c r="BP783" s="39"/>
      <c r="BQ783" s="39"/>
      <c r="BR783" s="232"/>
      <c r="BS783" s="232"/>
      <c r="BT783" s="39" t="s">
        <v>1718</v>
      </c>
      <c r="BU783" s="39">
        <f>258+20</f>
        <v>278</v>
      </c>
      <c r="BV783" s="39">
        <v>2016</v>
      </c>
      <c r="BW783" s="39">
        <v>24</v>
      </c>
      <c r="BX783" s="39"/>
      <c r="BY783" s="39"/>
      <c r="BZ783" s="39">
        <f t="shared" si="853"/>
        <v>302</v>
      </c>
      <c r="CA783" s="39">
        <f t="shared" si="817"/>
        <v>0</v>
      </c>
      <c r="CB783" s="39">
        <f t="shared" si="818"/>
        <v>1</v>
      </c>
      <c r="CC783" s="39">
        <f t="shared" si="819"/>
        <v>0</v>
      </c>
      <c r="CD783" s="39">
        <f t="shared" si="854"/>
        <v>0</v>
      </c>
      <c r="CE783" s="102">
        <f t="shared" si="820"/>
        <v>0</v>
      </c>
      <c r="CF783" s="36"/>
      <c r="CG783" s="39" t="s">
        <v>235</v>
      </c>
      <c r="CH783" s="39" t="s">
        <v>764</v>
      </c>
      <c r="CI783" s="25">
        <v>1</v>
      </c>
    </row>
    <row r="784" spans="1:87" ht="24.75" customHeight="1">
      <c r="A784" s="36" t="s">
        <v>303</v>
      </c>
      <c r="B784" s="55">
        <v>47717</v>
      </c>
      <c r="C784" s="231"/>
      <c r="D784" s="36"/>
      <c r="E784" s="39"/>
      <c r="F784" s="39"/>
      <c r="G784" s="36" t="s">
        <v>329</v>
      </c>
      <c r="H784" s="36">
        <f>5600+6600</f>
        <v>12200</v>
      </c>
      <c r="I784" s="39" t="s">
        <v>90</v>
      </c>
      <c r="J784" s="39"/>
      <c r="K784" s="39"/>
      <c r="L784" s="39">
        <f t="shared" si="867"/>
        <v>0</v>
      </c>
      <c r="M784" s="117">
        <v>46157</v>
      </c>
      <c r="N784" s="117">
        <v>46167</v>
      </c>
      <c r="O784" s="39"/>
      <c r="P784" s="39"/>
      <c r="Q784" s="39"/>
      <c r="R784" s="39">
        <f t="shared" si="868"/>
        <v>0</v>
      </c>
      <c r="S784" s="39" t="s">
        <v>130</v>
      </c>
      <c r="T784" s="39" t="s">
        <v>2001</v>
      </c>
      <c r="U784" s="117" t="s">
        <v>2002</v>
      </c>
      <c r="V784" s="39"/>
      <c r="W784" s="39"/>
      <c r="X784" s="39"/>
      <c r="Y784" s="39">
        <f>2+4+3+3+5+65+109</f>
        <v>191</v>
      </c>
      <c r="Z784" s="39"/>
      <c r="AA784" s="39"/>
      <c r="AB784" s="39">
        <f t="shared" si="866"/>
        <v>191</v>
      </c>
      <c r="AC784" s="39"/>
      <c r="AD784" s="39"/>
      <c r="AE784" s="39"/>
      <c r="AF784" s="39"/>
      <c r="AG784" s="39"/>
      <c r="AH784" s="39">
        <f t="shared" si="851"/>
        <v>0</v>
      </c>
      <c r="AI784" s="39"/>
      <c r="AJ784" s="39"/>
      <c r="AK784" s="39"/>
      <c r="AL784" s="39"/>
      <c r="AM784" s="39"/>
      <c r="AN784" s="39">
        <f t="shared" si="850"/>
        <v>0</v>
      </c>
      <c r="AO784" s="39"/>
      <c r="AP784" s="39"/>
      <c r="AQ784" s="39"/>
      <c r="AR784" s="39"/>
      <c r="AS784" s="39"/>
      <c r="AT784" s="39">
        <f t="shared" si="813"/>
        <v>0</v>
      </c>
      <c r="AU784" s="39"/>
      <c r="AV784" s="39"/>
      <c r="AW784" s="39"/>
      <c r="AX784" s="39"/>
      <c r="AY784" s="39"/>
      <c r="AZ784" s="39">
        <f t="shared" si="814"/>
        <v>0</v>
      </c>
      <c r="BA784" s="39"/>
      <c r="BB784" s="39"/>
      <c r="BC784" s="39"/>
      <c r="BD784" s="39"/>
      <c r="BE784" s="39"/>
      <c r="BF784" s="39">
        <f t="shared" si="815"/>
        <v>0</v>
      </c>
      <c r="BG784" s="39"/>
      <c r="BH784" s="39"/>
      <c r="BI784" s="39"/>
      <c r="BJ784" s="39"/>
      <c r="BK784" s="39"/>
      <c r="BL784" s="39">
        <f t="shared" si="852"/>
        <v>0</v>
      </c>
      <c r="BM784" s="54" t="e">
        <f t="shared" si="816"/>
        <v>#DIV/0!</v>
      </c>
      <c r="BN784" s="56">
        <v>46182</v>
      </c>
      <c r="BO784" s="117">
        <v>46196</v>
      </c>
      <c r="BP784" s="39"/>
      <c r="BQ784" s="39"/>
      <c r="BR784" s="232"/>
      <c r="BS784" s="232"/>
      <c r="BT784" s="39" t="s">
        <v>2042</v>
      </c>
      <c r="BU784" s="39"/>
      <c r="BV784" s="39"/>
      <c r="BW784" s="39"/>
      <c r="BX784" s="39"/>
      <c r="BY784" s="39"/>
      <c r="BZ784" s="39">
        <f t="shared" si="853"/>
        <v>0</v>
      </c>
      <c r="CA784" s="39" t="e">
        <f t="shared" si="817"/>
        <v>#VALUE!</v>
      </c>
      <c r="CB784" s="39">
        <f t="shared" si="818"/>
        <v>0</v>
      </c>
      <c r="CC784" s="39">
        <f t="shared" si="819"/>
        <v>0</v>
      </c>
      <c r="CD784" s="39">
        <f t="shared" si="854"/>
        <v>0</v>
      </c>
      <c r="CE784" s="102" t="e">
        <f t="shared" si="820"/>
        <v>#DIV/0!</v>
      </c>
      <c r="CF784" s="36"/>
      <c r="CG784" s="39" t="s">
        <v>235</v>
      </c>
      <c r="CH784" s="39"/>
      <c r="CI784" s="25">
        <v>1</v>
      </c>
    </row>
    <row r="785" spans="1:87" ht="24.75" customHeight="1">
      <c r="A785" s="36" t="s">
        <v>303</v>
      </c>
      <c r="B785" s="55">
        <v>47717</v>
      </c>
      <c r="C785" s="228"/>
      <c r="D785" s="36"/>
      <c r="E785" s="39"/>
      <c r="F785" s="39"/>
      <c r="G785" s="36" t="s">
        <v>315</v>
      </c>
      <c r="H785" s="36">
        <f>1300+1200+1000+1000+1000</f>
        <v>5500</v>
      </c>
      <c r="I785" s="39" t="s">
        <v>90</v>
      </c>
      <c r="J785" s="39"/>
      <c r="K785" s="39"/>
      <c r="L785" s="39">
        <f t="shared" ref="L785" si="869">SUM(I785:K785)</f>
        <v>0</v>
      </c>
      <c r="M785" s="117">
        <v>46157</v>
      </c>
      <c r="N785" s="117">
        <v>46167</v>
      </c>
      <c r="O785" s="39"/>
      <c r="P785" s="39"/>
      <c r="Q785" s="39"/>
      <c r="R785" s="39">
        <f t="shared" si="868"/>
        <v>0</v>
      </c>
      <c r="S785" s="39" t="s">
        <v>130</v>
      </c>
      <c r="T785" s="39">
        <v>108131</v>
      </c>
      <c r="U785" s="117">
        <v>46230</v>
      </c>
      <c r="V785" s="39"/>
      <c r="W785" s="39"/>
      <c r="X785" s="39"/>
      <c r="Y785" s="39">
        <v>42</v>
      </c>
      <c r="Z785" s="39"/>
      <c r="AA785" s="39"/>
      <c r="AB785" s="39">
        <f t="shared" si="866"/>
        <v>42</v>
      </c>
      <c r="AC785" s="39"/>
      <c r="AD785" s="39"/>
      <c r="AE785" s="39"/>
      <c r="AF785" s="39"/>
      <c r="AG785" s="39"/>
      <c r="AH785" s="39">
        <f t="shared" si="851"/>
        <v>0</v>
      </c>
      <c r="AI785" s="39"/>
      <c r="AJ785" s="39"/>
      <c r="AK785" s="39"/>
      <c r="AL785" s="39"/>
      <c r="AM785" s="39"/>
      <c r="AN785" s="39">
        <f t="shared" si="850"/>
        <v>0</v>
      </c>
      <c r="AO785" s="39"/>
      <c r="AP785" s="39"/>
      <c r="AQ785" s="39"/>
      <c r="AR785" s="39"/>
      <c r="AS785" s="39"/>
      <c r="AT785" s="39">
        <f t="shared" si="813"/>
        <v>0</v>
      </c>
      <c r="AU785" s="39"/>
      <c r="AV785" s="39"/>
      <c r="AW785" s="39"/>
      <c r="AX785" s="39"/>
      <c r="AY785" s="39"/>
      <c r="AZ785" s="39">
        <f t="shared" si="814"/>
        <v>0</v>
      </c>
      <c r="BA785" s="39"/>
      <c r="BB785" s="39"/>
      <c r="BC785" s="39"/>
      <c r="BD785" s="39"/>
      <c r="BE785" s="39"/>
      <c r="BF785" s="39">
        <f t="shared" si="815"/>
        <v>0</v>
      </c>
      <c r="BG785" s="39"/>
      <c r="BH785" s="39"/>
      <c r="BI785" s="39"/>
      <c r="BJ785" s="39"/>
      <c r="BK785" s="39"/>
      <c r="BL785" s="39">
        <f t="shared" si="852"/>
        <v>0</v>
      </c>
      <c r="BM785" s="54" t="e">
        <f t="shared" si="816"/>
        <v>#DIV/0!</v>
      </c>
      <c r="BN785" s="56">
        <v>46182</v>
      </c>
      <c r="BO785" s="117">
        <v>46196</v>
      </c>
      <c r="BP785" s="39"/>
      <c r="BQ785" s="39"/>
      <c r="BR785" s="230"/>
      <c r="BS785" s="230"/>
      <c r="BT785" s="39" t="s">
        <v>1971</v>
      </c>
      <c r="BU785" s="39"/>
      <c r="BV785" s="39"/>
      <c r="BW785" s="39"/>
      <c r="BX785" s="39"/>
      <c r="BY785" s="39"/>
      <c r="BZ785" s="39">
        <f t="shared" si="853"/>
        <v>0</v>
      </c>
      <c r="CA785" s="39" t="e">
        <f t="shared" si="817"/>
        <v>#VALUE!</v>
      </c>
      <c r="CB785" s="39">
        <f t="shared" si="818"/>
        <v>0</v>
      </c>
      <c r="CC785" s="39">
        <f t="shared" si="819"/>
        <v>0</v>
      </c>
      <c r="CD785" s="39">
        <f t="shared" si="854"/>
        <v>0</v>
      </c>
      <c r="CE785" s="102" t="e">
        <f t="shared" si="820"/>
        <v>#DIV/0!</v>
      </c>
      <c r="CF785" s="36"/>
      <c r="CG785" s="39" t="s">
        <v>235</v>
      </c>
      <c r="CH785" s="39"/>
      <c r="CI785" s="25">
        <v>1</v>
      </c>
    </row>
    <row r="786" spans="1:87" ht="24.75" customHeight="1">
      <c r="A786" s="36" t="s">
        <v>303</v>
      </c>
      <c r="B786" s="55">
        <v>47720</v>
      </c>
      <c r="C786" s="227" t="s">
        <v>1358</v>
      </c>
      <c r="D786" s="36" t="s">
        <v>45</v>
      </c>
      <c r="E786" s="39">
        <v>340</v>
      </c>
      <c r="F786" s="39" t="s">
        <v>65</v>
      </c>
      <c r="G786" s="36" t="s">
        <v>23</v>
      </c>
      <c r="H786" s="36" t="s">
        <v>475</v>
      </c>
      <c r="I786" s="39">
        <v>265</v>
      </c>
      <c r="J786" s="39">
        <v>23</v>
      </c>
      <c r="K786" s="39"/>
      <c r="L786" s="39">
        <f t="shared" ref="L786:L802" si="870">SUM(I786:K786)</f>
        <v>288</v>
      </c>
      <c r="M786" s="117">
        <v>46162</v>
      </c>
      <c r="N786" s="117">
        <v>46181</v>
      </c>
      <c r="O786" s="39"/>
      <c r="P786" s="39"/>
      <c r="Q786" s="39"/>
      <c r="R786" s="39">
        <f t="shared" ref="R786:R802" si="871">SUM(O786:Q786)</f>
        <v>0</v>
      </c>
      <c r="S786" s="39" t="s">
        <v>130</v>
      </c>
      <c r="T786" s="39">
        <v>107071</v>
      </c>
      <c r="U786" s="117">
        <v>46194</v>
      </c>
      <c r="V786" s="39"/>
      <c r="W786" s="39"/>
      <c r="X786" s="39"/>
      <c r="Y786" s="39">
        <f>295</f>
        <v>295</v>
      </c>
      <c r="Z786" s="39">
        <v>27</v>
      </c>
      <c r="AA786" s="39"/>
      <c r="AB786" s="119">
        <f t="shared" ref="AB786:AB802" si="872">SUM(Y786:AA786)</f>
        <v>322</v>
      </c>
      <c r="AC786" s="39"/>
      <c r="AD786" s="39"/>
      <c r="AE786" s="39"/>
      <c r="AF786" s="39"/>
      <c r="AG786" s="39"/>
      <c r="AH786" s="39">
        <f t="shared" si="851"/>
        <v>0</v>
      </c>
      <c r="AI786" s="39"/>
      <c r="AJ786" s="39"/>
      <c r="AK786" s="39"/>
      <c r="AL786" s="39"/>
      <c r="AM786" s="39"/>
      <c r="AN786" s="39">
        <f t="shared" si="850"/>
        <v>0</v>
      </c>
      <c r="AO786" s="39" t="s">
        <v>280</v>
      </c>
      <c r="AP786" s="117">
        <v>46195</v>
      </c>
      <c r="AQ786" s="39">
        <v>280</v>
      </c>
      <c r="AR786" s="117" t="s">
        <v>1243</v>
      </c>
      <c r="AS786" s="39">
        <f>20+258</f>
        <v>278</v>
      </c>
      <c r="AT786" s="39">
        <f t="shared" si="813"/>
        <v>-2</v>
      </c>
      <c r="AU786" s="39" t="s">
        <v>257</v>
      </c>
      <c r="AV786" s="117" t="s">
        <v>1243</v>
      </c>
      <c r="AW786" s="39">
        <f>20+258</f>
        <v>278</v>
      </c>
      <c r="AX786" s="117" t="s">
        <v>1252</v>
      </c>
      <c r="AY786" s="39">
        <f>20+252</f>
        <v>272</v>
      </c>
      <c r="AZ786" s="39">
        <f t="shared" si="814"/>
        <v>-6</v>
      </c>
      <c r="BA786" s="39"/>
      <c r="BB786" s="39"/>
      <c r="BC786" s="39"/>
      <c r="BD786" s="39"/>
      <c r="BE786" s="39"/>
      <c r="BF786" s="39">
        <f t="shared" si="815"/>
        <v>0</v>
      </c>
      <c r="BG786" s="39"/>
      <c r="BH786" s="39"/>
      <c r="BI786" s="39"/>
      <c r="BJ786" s="39"/>
      <c r="BK786" s="39"/>
      <c r="BL786" s="39">
        <f t="shared" si="852"/>
        <v>0</v>
      </c>
      <c r="BM786" s="54" t="str">
        <f t="shared" si="816"/>
        <v/>
      </c>
      <c r="BN786" s="56">
        <v>46183</v>
      </c>
      <c r="BO786" s="117">
        <v>46197</v>
      </c>
      <c r="BP786" s="39"/>
      <c r="BQ786" s="39"/>
      <c r="BR786" s="229">
        <v>46202</v>
      </c>
      <c r="BS786" s="229">
        <v>46228</v>
      </c>
      <c r="BT786" s="39" t="s">
        <v>1420</v>
      </c>
      <c r="BU786" s="39">
        <f>19+242+21</f>
        <v>282</v>
      </c>
      <c r="BV786" s="39">
        <v>1571</v>
      </c>
      <c r="BW786" s="39">
        <v>30</v>
      </c>
      <c r="BX786" s="39"/>
      <c r="BY786" s="39"/>
      <c r="BZ786" s="39">
        <f t="shared" si="853"/>
        <v>312</v>
      </c>
      <c r="CA786" s="39">
        <f t="shared" si="817"/>
        <v>17</v>
      </c>
      <c r="CB786" s="39">
        <f t="shared" si="818"/>
        <v>7</v>
      </c>
      <c r="CC786" s="39">
        <f t="shared" si="819"/>
        <v>0</v>
      </c>
      <c r="CD786" s="39">
        <v>0</v>
      </c>
      <c r="CE786" s="102">
        <f t="shared" si="820"/>
        <v>0</v>
      </c>
      <c r="CF786" s="36"/>
      <c r="CG786" s="39" t="s">
        <v>235</v>
      </c>
      <c r="CH786" s="39" t="s">
        <v>543</v>
      </c>
      <c r="CI786" s="25">
        <v>1</v>
      </c>
    </row>
    <row r="787" spans="1:87" ht="24.75" customHeight="1">
      <c r="A787" s="36" t="s">
        <v>303</v>
      </c>
      <c r="B787" s="55">
        <v>47720</v>
      </c>
      <c r="C787" s="231"/>
      <c r="D787" s="36" t="s">
        <v>45</v>
      </c>
      <c r="E787" s="39">
        <v>340</v>
      </c>
      <c r="F787" s="39" t="s">
        <v>65</v>
      </c>
      <c r="G787" s="36" t="s">
        <v>41</v>
      </c>
      <c r="H787" s="36" t="s">
        <v>475</v>
      </c>
      <c r="I787" s="39">
        <v>265</v>
      </c>
      <c r="J787" s="39">
        <v>23</v>
      </c>
      <c r="K787" s="39"/>
      <c r="L787" s="39">
        <f t="shared" si="870"/>
        <v>288</v>
      </c>
      <c r="M787" s="117">
        <v>46162</v>
      </c>
      <c r="N787" s="117">
        <v>46181</v>
      </c>
      <c r="O787" s="39"/>
      <c r="P787" s="39"/>
      <c r="Q787" s="39"/>
      <c r="R787" s="39">
        <f t="shared" si="871"/>
        <v>0</v>
      </c>
      <c r="S787" s="39" t="s">
        <v>130</v>
      </c>
      <c r="T787" s="39">
        <v>107108</v>
      </c>
      <c r="U787" s="117">
        <v>46196</v>
      </c>
      <c r="V787" s="39"/>
      <c r="W787" s="39"/>
      <c r="X787" s="39"/>
      <c r="Y787" s="39">
        <v>306</v>
      </c>
      <c r="Z787" s="39">
        <v>28</v>
      </c>
      <c r="AA787" s="39"/>
      <c r="AB787" s="119">
        <f t="shared" si="872"/>
        <v>334</v>
      </c>
      <c r="AC787" s="39"/>
      <c r="AD787" s="39"/>
      <c r="AE787" s="39"/>
      <c r="AF787" s="39"/>
      <c r="AG787" s="39"/>
      <c r="AH787" s="39">
        <f t="shared" si="851"/>
        <v>0</v>
      </c>
      <c r="AI787" s="39"/>
      <c r="AJ787" s="39"/>
      <c r="AK787" s="39"/>
      <c r="AL787" s="39"/>
      <c r="AM787" s="39"/>
      <c r="AN787" s="39">
        <f t="shared" si="850"/>
        <v>0</v>
      </c>
      <c r="AO787" s="39" t="s">
        <v>280</v>
      </c>
      <c r="AP787" s="117">
        <v>46198</v>
      </c>
      <c r="AQ787" s="39">
        <v>280</v>
      </c>
      <c r="AR787" s="117" t="s">
        <v>1273</v>
      </c>
      <c r="AS787" s="39">
        <f>15+264</f>
        <v>279</v>
      </c>
      <c r="AT787" s="39">
        <f t="shared" si="813"/>
        <v>-1</v>
      </c>
      <c r="AU787" s="39" t="s">
        <v>274</v>
      </c>
      <c r="AV787" s="117" t="s">
        <v>1273</v>
      </c>
      <c r="AW787" s="39">
        <f>15+264</f>
        <v>279</v>
      </c>
      <c r="AX787" s="117" t="s">
        <v>1303</v>
      </c>
      <c r="AY787" s="39">
        <f>14+260</f>
        <v>274</v>
      </c>
      <c r="AZ787" s="39">
        <f t="shared" si="814"/>
        <v>-5</v>
      </c>
      <c r="BA787" s="39"/>
      <c r="BB787" s="39"/>
      <c r="BC787" s="39"/>
      <c r="BD787" s="39"/>
      <c r="BE787" s="39"/>
      <c r="BF787" s="39">
        <f t="shared" si="815"/>
        <v>0</v>
      </c>
      <c r="BG787" s="39"/>
      <c r="BH787" s="39"/>
      <c r="BI787" s="39"/>
      <c r="BJ787" s="39"/>
      <c r="BK787" s="39"/>
      <c r="BL787" s="39">
        <f t="shared" si="852"/>
        <v>0</v>
      </c>
      <c r="BM787" s="54" t="str">
        <f t="shared" si="816"/>
        <v/>
      </c>
      <c r="BN787" s="56">
        <v>46183</v>
      </c>
      <c r="BO787" s="117">
        <v>46197</v>
      </c>
      <c r="BP787" s="39"/>
      <c r="BQ787" s="39"/>
      <c r="BR787" s="232"/>
      <c r="BS787" s="232"/>
      <c r="BT787" s="39" t="s">
        <v>1832</v>
      </c>
      <c r="BU787" s="39">
        <f>11+247+29</f>
        <v>287</v>
      </c>
      <c r="BV787" s="39">
        <v>1575</v>
      </c>
      <c r="BW787" s="39">
        <v>33</v>
      </c>
      <c r="BX787" s="39"/>
      <c r="BY787" s="39"/>
      <c r="BZ787" s="39">
        <f t="shared" si="853"/>
        <v>320</v>
      </c>
      <c r="CA787" s="39">
        <f t="shared" si="817"/>
        <v>22</v>
      </c>
      <c r="CB787" s="39">
        <f t="shared" si="818"/>
        <v>10</v>
      </c>
      <c r="CC787" s="39">
        <f t="shared" si="819"/>
        <v>0</v>
      </c>
      <c r="CD787" s="39">
        <v>0</v>
      </c>
      <c r="CE787" s="102">
        <f t="shared" si="820"/>
        <v>0</v>
      </c>
      <c r="CF787" s="36"/>
      <c r="CG787" s="39" t="s">
        <v>235</v>
      </c>
      <c r="CH787" s="39" t="s">
        <v>543</v>
      </c>
      <c r="CI787" s="25">
        <v>1</v>
      </c>
    </row>
    <row r="788" spans="1:87" ht="24.75" customHeight="1">
      <c r="A788" s="36" t="s">
        <v>303</v>
      </c>
      <c r="B788" s="55">
        <v>47720</v>
      </c>
      <c r="C788" s="231"/>
      <c r="D788" s="36" t="s">
        <v>45</v>
      </c>
      <c r="E788" s="39">
        <v>340</v>
      </c>
      <c r="F788" s="39" t="s">
        <v>65</v>
      </c>
      <c r="G788" s="36" t="s">
        <v>470</v>
      </c>
      <c r="H788" s="36" t="s">
        <v>475</v>
      </c>
      <c r="I788" s="39">
        <v>265</v>
      </c>
      <c r="J788" s="39">
        <v>23</v>
      </c>
      <c r="K788" s="39"/>
      <c r="L788" s="39">
        <f t="shared" ref="L788:L789" si="873">SUM(I788:K788)</f>
        <v>288</v>
      </c>
      <c r="M788" s="117">
        <v>46162</v>
      </c>
      <c r="N788" s="117">
        <v>46181</v>
      </c>
      <c r="O788" s="39"/>
      <c r="P788" s="39"/>
      <c r="Q788" s="39"/>
      <c r="R788" s="39">
        <f t="shared" ref="R788:R789" si="874">SUM(O788:Q788)</f>
        <v>0</v>
      </c>
      <c r="S788" s="39" t="s">
        <v>130</v>
      </c>
      <c r="T788" s="39">
        <v>107444</v>
      </c>
      <c r="U788" s="117">
        <v>46211</v>
      </c>
      <c r="V788" s="39"/>
      <c r="W788" s="39"/>
      <c r="X788" s="39"/>
      <c r="Y788" s="39">
        <v>326</v>
      </c>
      <c r="Z788" s="39">
        <v>27</v>
      </c>
      <c r="AA788" s="39"/>
      <c r="AB788" s="119">
        <f t="shared" ref="AB788:AB789" si="875">SUM(Y788:AA788)</f>
        <v>353</v>
      </c>
      <c r="AC788" s="39"/>
      <c r="AD788" s="39"/>
      <c r="AE788" s="39"/>
      <c r="AF788" s="39"/>
      <c r="AG788" s="39"/>
      <c r="AH788" s="39">
        <f t="shared" ref="AH788:AH789" si="876">AG788-AE788</f>
        <v>0</v>
      </c>
      <c r="AI788" s="39"/>
      <c r="AJ788" s="39"/>
      <c r="AK788" s="39"/>
      <c r="AL788" s="39"/>
      <c r="AM788" s="39"/>
      <c r="AN788" s="39">
        <f t="shared" ref="AN788:AN789" si="877">AM788-AK788</f>
        <v>0</v>
      </c>
      <c r="AO788" s="39" t="s">
        <v>280</v>
      </c>
      <c r="AP788" s="117">
        <v>46212</v>
      </c>
      <c r="AQ788" s="39">
        <v>314</v>
      </c>
      <c r="AR788" s="117" t="s">
        <v>1713</v>
      </c>
      <c r="AS788" s="39">
        <f>30+279</f>
        <v>309</v>
      </c>
      <c r="AT788" s="39">
        <f t="shared" ref="AT788:AT789" si="878">AS788-AQ788</f>
        <v>-5</v>
      </c>
      <c r="AU788" s="39" t="s">
        <v>273</v>
      </c>
      <c r="AV788" s="117" t="s">
        <v>1713</v>
      </c>
      <c r="AW788" s="39">
        <f>30+279</f>
        <v>309</v>
      </c>
      <c r="AX788" s="117">
        <v>46215</v>
      </c>
      <c r="AY788" s="39">
        <f>30</f>
        <v>30</v>
      </c>
      <c r="AZ788" s="39">
        <f t="shared" ref="AZ788:AZ789" si="879">AY788-AW788</f>
        <v>-279</v>
      </c>
      <c r="BA788" s="39"/>
      <c r="BB788" s="39"/>
      <c r="BC788" s="39"/>
      <c r="BD788" s="39"/>
      <c r="BE788" s="39"/>
      <c r="BF788" s="39">
        <f t="shared" ref="BF788:BF789" si="880">BE788-BC788</f>
        <v>0</v>
      </c>
      <c r="BG788" s="39"/>
      <c r="BH788" s="39"/>
      <c r="BI788" s="39"/>
      <c r="BJ788" s="39"/>
      <c r="BK788" s="39"/>
      <c r="BL788" s="39">
        <f t="shared" ref="BL788:BL789" si="881">BK788-BI788</f>
        <v>0</v>
      </c>
      <c r="BM788" s="54" t="str">
        <f t="shared" ref="BM788:BM789" si="882">IF((BZ788/L788)&lt;0.9,$CO$1-U788,"")</f>
        <v/>
      </c>
      <c r="BN788" s="56">
        <v>46183</v>
      </c>
      <c r="BO788" s="117">
        <v>46197</v>
      </c>
      <c r="BP788" s="39"/>
      <c r="BQ788" s="39"/>
      <c r="BR788" s="232"/>
      <c r="BS788" s="232"/>
      <c r="BT788" s="39" t="s">
        <v>1883</v>
      </c>
      <c r="BU788" s="39">
        <f>251+20</f>
        <v>271</v>
      </c>
      <c r="BV788" s="39">
        <v>1841</v>
      </c>
      <c r="BW788" s="39">
        <v>25</v>
      </c>
      <c r="BX788" s="39"/>
      <c r="BY788" s="39"/>
      <c r="BZ788" s="39">
        <f t="shared" ref="BZ788:BZ789" si="883">BU788+BW788+BY788</f>
        <v>296</v>
      </c>
      <c r="CA788" s="39">
        <f t="shared" ref="CA788:CA789" si="884">BU788-I788</f>
        <v>6</v>
      </c>
      <c r="CB788" s="39">
        <f t="shared" ref="CB788:CB789" si="885">BW788-J788</f>
        <v>2</v>
      </c>
      <c r="CC788" s="39">
        <f t="shared" ref="CC788:CC789" si="886">BY788-K788</f>
        <v>0</v>
      </c>
      <c r="CD788" s="39">
        <f t="shared" ref="CD788:CD789" si="887">SUMIF(CA788:CC788,"&lt;0")</f>
        <v>0</v>
      </c>
      <c r="CE788" s="102">
        <f t="shared" ref="CE788:CE789" si="888">CD788/L788</f>
        <v>0</v>
      </c>
      <c r="CF788" s="36"/>
      <c r="CG788" s="39" t="s">
        <v>235</v>
      </c>
      <c r="CH788" s="39" t="s">
        <v>543</v>
      </c>
      <c r="CI788" s="25">
        <v>1</v>
      </c>
    </row>
    <row r="789" spans="1:87" ht="24.75" customHeight="1">
      <c r="A789" s="36" t="s">
        <v>303</v>
      </c>
      <c r="B789" s="55">
        <v>47720</v>
      </c>
      <c r="C789" s="231"/>
      <c r="D789" s="36"/>
      <c r="E789" s="39"/>
      <c r="F789" s="39"/>
      <c r="G789" s="36" t="s">
        <v>329</v>
      </c>
      <c r="H789" s="36">
        <f>2300+2500</f>
        <v>4800</v>
      </c>
      <c r="I789" s="39" t="s">
        <v>90</v>
      </c>
      <c r="J789" s="39"/>
      <c r="K789" s="39"/>
      <c r="L789" s="39">
        <f t="shared" si="873"/>
        <v>0</v>
      </c>
      <c r="M789" s="117">
        <v>46162</v>
      </c>
      <c r="N789" s="117">
        <v>46181</v>
      </c>
      <c r="O789" s="39"/>
      <c r="P789" s="39"/>
      <c r="Q789" s="39"/>
      <c r="R789" s="39">
        <f t="shared" si="874"/>
        <v>0</v>
      </c>
      <c r="S789" s="39" t="s">
        <v>130</v>
      </c>
      <c r="T789" s="39">
        <v>107444</v>
      </c>
      <c r="U789" s="117">
        <v>46211</v>
      </c>
      <c r="V789" s="39"/>
      <c r="W789" s="39"/>
      <c r="X789" s="39"/>
      <c r="Y789" s="39">
        <f>4</f>
        <v>4</v>
      </c>
      <c r="Z789" s="39"/>
      <c r="AA789" s="39"/>
      <c r="AB789" s="39">
        <f t="shared" si="875"/>
        <v>4</v>
      </c>
      <c r="AC789" s="39"/>
      <c r="AD789" s="39"/>
      <c r="AE789" s="39"/>
      <c r="AF789" s="39"/>
      <c r="AG789" s="39"/>
      <c r="AH789" s="39">
        <f t="shared" si="876"/>
        <v>0</v>
      </c>
      <c r="AI789" s="39"/>
      <c r="AJ789" s="39"/>
      <c r="AK789" s="39"/>
      <c r="AL789" s="39"/>
      <c r="AM789" s="39"/>
      <c r="AN789" s="39">
        <f t="shared" si="877"/>
        <v>0</v>
      </c>
      <c r="AO789" s="39"/>
      <c r="AP789" s="39"/>
      <c r="AQ789" s="39"/>
      <c r="AR789" s="39"/>
      <c r="AS789" s="39"/>
      <c r="AT789" s="39">
        <f t="shared" si="878"/>
        <v>0</v>
      </c>
      <c r="AU789" s="39"/>
      <c r="AV789" s="39"/>
      <c r="AW789" s="39"/>
      <c r="AX789" s="39"/>
      <c r="AY789" s="39"/>
      <c r="AZ789" s="39">
        <f t="shared" si="879"/>
        <v>0</v>
      </c>
      <c r="BA789" s="39"/>
      <c r="BB789" s="39"/>
      <c r="BC789" s="39"/>
      <c r="BD789" s="39"/>
      <c r="BE789" s="39"/>
      <c r="BF789" s="39">
        <f t="shared" si="880"/>
        <v>0</v>
      </c>
      <c r="BG789" s="39"/>
      <c r="BH789" s="39"/>
      <c r="BI789" s="39"/>
      <c r="BJ789" s="39"/>
      <c r="BK789" s="39"/>
      <c r="BL789" s="39">
        <f t="shared" si="881"/>
        <v>0</v>
      </c>
      <c r="BM789" s="54" t="e">
        <f t="shared" si="882"/>
        <v>#DIV/0!</v>
      </c>
      <c r="BN789" s="56">
        <v>46183</v>
      </c>
      <c r="BO789" s="117">
        <v>46197</v>
      </c>
      <c r="BP789" s="39"/>
      <c r="BQ789" s="39"/>
      <c r="BR789" s="232"/>
      <c r="BS789" s="232"/>
      <c r="BT789" s="39"/>
      <c r="BU789" s="39"/>
      <c r="BV789" s="39"/>
      <c r="BW789" s="39"/>
      <c r="BX789" s="39"/>
      <c r="BY789" s="39"/>
      <c r="BZ789" s="39">
        <f t="shared" si="883"/>
        <v>0</v>
      </c>
      <c r="CA789" s="39" t="e">
        <f t="shared" si="884"/>
        <v>#VALUE!</v>
      </c>
      <c r="CB789" s="39">
        <f t="shared" si="885"/>
        <v>0</v>
      </c>
      <c r="CC789" s="39">
        <f t="shared" si="886"/>
        <v>0</v>
      </c>
      <c r="CD789" s="39">
        <f t="shared" si="887"/>
        <v>0</v>
      </c>
      <c r="CE789" s="102" t="e">
        <f t="shared" si="888"/>
        <v>#DIV/0!</v>
      </c>
      <c r="CF789" s="36"/>
      <c r="CG789" s="39" t="s">
        <v>235</v>
      </c>
      <c r="CH789" s="39"/>
      <c r="CI789" s="25">
        <v>1</v>
      </c>
    </row>
    <row r="790" spans="1:87" ht="24.75" customHeight="1">
      <c r="A790" s="36" t="s">
        <v>303</v>
      </c>
      <c r="B790" s="55">
        <v>47720</v>
      </c>
      <c r="C790" s="228"/>
      <c r="D790" s="36"/>
      <c r="E790" s="39"/>
      <c r="F790" s="39"/>
      <c r="G790" s="36" t="s">
        <v>315</v>
      </c>
      <c r="H790" s="36">
        <f>600+600+600</f>
        <v>1800</v>
      </c>
      <c r="I790" s="39" t="s">
        <v>90</v>
      </c>
      <c r="J790" s="39"/>
      <c r="K790" s="39"/>
      <c r="L790" s="39">
        <f t="shared" si="870"/>
        <v>0</v>
      </c>
      <c r="M790" s="117">
        <v>46162</v>
      </c>
      <c r="N790" s="117">
        <v>46181</v>
      </c>
      <c r="O790" s="39"/>
      <c r="P790" s="39"/>
      <c r="Q790" s="39"/>
      <c r="R790" s="39">
        <f t="shared" si="871"/>
        <v>0</v>
      </c>
      <c r="S790" s="39" t="s">
        <v>130</v>
      </c>
      <c r="T790" s="39">
        <v>108230</v>
      </c>
      <c r="U790" s="117">
        <v>46234</v>
      </c>
      <c r="V790" s="39"/>
      <c r="W790" s="39"/>
      <c r="X790" s="39"/>
      <c r="Y790" s="39">
        <v>2</v>
      </c>
      <c r="Z790" s="39"/>
      <c r="AA790" s="39"/>
      <c r="AB790" s="39">
        <f t="shared" si="872"/>
        <v>2</v>
      </c>
      <c r="AC790" s="39"/>
      <c r="AD790" s="39"/>
      <c r="AE790" s="39"/>
      <c r="AF790" s="39"/>
      <c r="AG790" s="39"/>
      <c r="AH790" s="39">
        <f t="shared" si="851"/>
        <v>0</v>
      </c>
      <c r="AI790" s="39"/>
      <c r="AJ790" s="39"/>
      <c r="AK790" s="39"/>
      <c r="AL790" s="39"/>
      <c r="AM790" s="39"/>
      <c r="AN790" s="39">
        <f t="shared" si="850"/>
        <v>0</v>
      </c>
      <c r="AO790" s="39"/>
      <c r="AP790" s="39"/>
      <c r="AQ790" s="39"/>
      <c r="AR790" s="39"/>
      <c r="AS790" s="39"/>
      <c r="AT790" s="39">
        <f t="shared" si="813"/>
        <v>0</v>
      </c>
      <c r="AU790" s="39"/>
      <c r="AV790" s="39"/>
      <c r="AW790" s="39"/>
      <c r="AX790" s="39"/>
      <c r="AY790" s="39"/>
      <c r="AZ790" s="39">
        <f t="shared" si="814"/>
        <v>0</v>
      </c>
      <c r="BA790" s="39"/>
      <c r="BB790" s="39"/>
      <c r="BC790" s="39"/>
      <c r="BD790" s="39"/>
      <c r="BE790" s="39"/>
      <c r="BF790" s="39">
        <f t="shared" si="815"/>
        <v>0</v>
      </c>
      <c r="BG790" s="39"/>
      <c r="BH790" s="39"/>
      <c r="BI790" s="39"/>
      <c r="BJ790" s="39"/>
      <c r="BK790" s="39"/>
      <c r="BL790" s="39">
        <f t="shared" si="852"/>
        <v>0</v>
      </c>
      <c r="BM790" s="54" t="e">
        <f t="shared" si="816"/>
        <v>#DIV/0!</v>
      </c>
      <c r="BN790" s="56">
        <v>46183</v>
      </c>
      <c r="BO790" s="117">
        <v>46197</v>
      </c>
      <c r="BP790" s="39"/>
      <c r="BQ790" s="39"/>
      <c r="BR790" s="230"/>
      <c r="BS790" s="230"/>
      <c r="BT790" s="39" t="s">
        <v>2140</v>
      </c>
      <c r="BU790" s="39"/>
      <c r="BV790" s="39"/>
      <c r="BW790" s="39"/>
      <c r="BX790" s="39"/>
      <c r="BY790" s="39"/>
      <c r="BZ790" s="39">
        <f t="shared" si="853"/>
        <v>0</v>
      </c>
      <c r="CA790" s="39" t="e">
        <f t="shared" si="817"/>
        <v>#VALUE!</v>
      </c>
      <c r="CB790" s="39">
        <f t="shared" si="818"/>
        <v>0</v>
      </c>
      <c r="CC790" s="39">
        <f t="shared" si="819"/>
        <v>0</v>
      </c>
      <c r="CD790" s="39">
        <f t="shared" si="854"/>
        <v>0</v>
      </c>
      <c r="CE790" s="102" t="e">
        <f t="shared" si="820"/>
        <v>#DIV/0!</v>
      </c>
      <c r="CF790" s="36"/>
      <c r="CG790" s="39" t="s">
        <v>235</v>
      </c>
      <c r="CH790" s="39"/>
      <c r="CI790" s="25">
        <v>1</v>
      </c>
    </row>
    <row r="791" spans="1:87" ht="24.75" customHeight="1">
      <c r="A791" s="36" t="s">
        <v>303</v>
      </c>
      <c r="B791" s="55">
        <v>47721</v>
      </c>
      <c r="C791" s="227" t="s">
        <v>780</v>
      </c>
      <c r="D791" s="36"/>
      <c r="E791" s="39">
        <v>340</v>
      </c>
      <c r="F791" s="39" t="s">
        <v>59</v>
      </c>
      <c r="G791" s="36" t="s">
        <v>23</v>
      </c>
      <c r="H791" s="36" t="s">
        <v>774</v>
      </c>
      <c r="I791" s="39">
        <v>486</v>
      </c>
      <c r="J791" s="39"/>
      <c r="K791" s="39">
        <v>24</v>
      </c>
      <c r="L791" s="39">
        <f t="shared" si="870"/>
        <v>510</v>
      </c>
      <c r="M791" s="117">
        <v>46164</v>
      </c>
      <c r="N791" s="117">
        <v>46183</v>
      </c>
      <c r="O791" s="39"/>
      <c r="P791" s="39"/>
      <c r="Q791" s="39"/>
      <c r="R791" s="39">
        <f t="shared" si="871"/>
        <v>0</v>
      </c>
      <c r="S791" s="39" t="s">
        <v>130</v>
      </c>
      <c r="T791" s="39">
        <v>107402</v>
      </c>
      <c r="U791" s="117">
        <v>46205</v>
      </c>
      <c r="V791" s="39"/>
      <c r="W791" s="39"/>
      <c r="X791" s="39"/>
      <c r="Y791" s="39">
        <v>531</v>
      </c>
      <c r="Z791" s="39"/>
      <c r="AA791" s="39">
        <v>28</v>
      </c>
      <c r="AB791" s="119">
        <f t="shared" si="872"/>
        <v>559</v>
      </c>
      <c r="AC791" s="39"/>
      <c r="AD791" s="39"/>
      <c r="AE791" s="39"/>
      <c r="AF791" s="39"/>
      <c r="AG791" s="39"/>
      <c r="AH791" s="39">
        <f t="shared" si="851"/>
        <v>0</v>
      </c>
      <c r="AI791" s="39"/>
      <c r="AJ791" s="39"/>
      <c r="AK791" s="39"/>
      <c r="AL791" s="39"/>
      <c r="AM791" s="39"/>
      <c r="AN791" s="39">
        <f t="shared" si="850"/>
        <v>0</v>
      </c>
      <c r="AO791" s="39"/>
      <c r="AP791" s="39"/>
      <c r="AQ791" s="39"/>
      <c r="AR791" s="39"/>
      <c r="AS791" s="39"/>
      <c r="AT791" s="39">
        <f t="shared" si="813"/>
        <v>0</v>
      </c>
      <c r="AU791" s="39"/>
      <c r="AV791" s="39"/>
      <c r="AW791" s="39"/>
      <c r="AX791" s="39"/>
      <c r="AY791" s="39"/>
      <c r="AZ791" s="39">
        <f t="shared" si="814"/>
        <v>0</v>
      </c>
      <c r="BA791" s="39"/>
      <c r="BB791" s="39"/>
      <c r="BC791" s="39"/>
      <c r="BD791" s="39"/>
      <c r="BE791" s="39"/>
      <c r="BF791" s="39">
        <f t="shared" si="815"/>
        <v>0</v>
      </c>
      <c r="BG791" s="39"/>
      <c r="BH791" s="39"/>
      <c r="BI791" s="39"/>
      <c r="BJ791" s="39"/>
      <c r="BK791" s="39"/>
      <c r="BL791" s="39">
        <f t="shared" si="852"/>
        <v>0</v>
      </c>
      <c r="BM791" s="54" t="str">
        <f t="shared" si="816"/>
        <v/>
      </c>
      <c r="BN791" s="56">
        <v>46183</v>
      </c>
      <c r="BO791" s="117">
        <v>46198</v>
      </c>
      <c r="BP791" s="39"/>
      <c r="BQ791" s="39"/>
      <c r="BR791" s="229">
        <v>46200</v>
      </c>
      <c r="BS791" s="229">
        <v>46224</v>
      </c>
      <c r="BT791" s="39">
        <v>2045</v>
      </c>
      <c r="BU791" s="39">
        <f>482</f>
        <v>482</v>
      </c>
      <c r="BV791" s="39"/>
      <c r="BW791" s="39"/>
      <c r="BX791" s="39">
        <v>2045</v>
      </c>
      <c r="BY791" s="39">
        <v>25</v>
      </c>
      <c r="BZ791" s="39">
        <f t="shared" si="853"/>
        <v>507</v>
      </c>
      <c r="CA791" s="39">
        <f t="shared" si="817"/>
        <v>-4</v>
      </c>
      <c r="CB791" s="39">
        <f t="shared" si="818"/>
        <v>0</v>
      </c>
      <c r="CC791" s="39">
        <f t="shared" si="819"/>
        <v>1</v>
      </c>
      <c r="CD791" s="39">
        <v>0</v>
      </c>
      <c r="CE791" s="102">
        <f t="shared" si="820"/>
        <v>0</v>
      </c>
      <c r="CF791" s="36"/>
      <c r="CG791" s="39" t="s">
        <v>235</v>
      </c>
      <c r="CH791" s="39"/>
      <c r="CI791" s="25">
        <v>1</v>
      </c>
    </row>
    <row r="792" spans="1:87" ht="24.75" customHeight="1">
      <c r="A792" s="36" t="s">
        <v>303</v>
      </c>
      <c r="B792" s="55">
        <v>47721</v>
      </c>
      <c r="C792" s="231"/>
      <c r="D792" s="36"/>
      <c r="E792" s="39">
        <v>340</v>
      </c>
      <c r="F792" s="39" t="s">
        <v>59</v>
      </c>
      <c r="G792" s="36" t="s">
        <v>547</v>
      </c>
      <c r="H792" s="36" t="s">
        <v>774</v>
      </c>
      <c r="I792" s="39">
        <v>328</v>
      </c>
      <c r="J792" s="39"/>
      <c r="K792" s="39">
        <v>17</v>
      </c>
      <c r="L792" s="39">
        <f t="shared" si="870"/>
        <v>345</v>
      </c>
      <c r="M792" s="117">
        <v>46164</v>
      </c>
      <c r="N792" s="117">
        <v>46183</v>
      </c>
      <c r="O792" s="39"/>
      <c r="P792" s="39"/>
      <c r="Q792" s="39"/>
      <c r="R792" s="39">
        <f t="shared" si="871"/>
        <v>0</v>
      </c>
      <c r="S792" s="39" t="s">
        <v>130</v>
      </c>
      <c r="T792" s="39">
        <v>107381</v>
      </c>
      <c r="U792" s="117">
        <v>46208</v>
      </c>
      <c r="V792" s="39"/>
      <c r="W792" s="39"/>
      <c r="X792" s="39"/>
      <c r="Y792" s="39">
        <v>365</v>
      </c>
      <c r="Z792" s="39"/>
      <c r="AA792" s="39">
        <v>21</v>
      </c>
      <c r="AB792" s="119">
        <f t="shared" si="872"/>
        <v>386</v>
      </c>
      <c r="AC792" s="39"/>
      <c r="AD792" s="39"/>
      <c r="AE792" s="39"/>
      <c r="AF792" s="39"/>
      <c r="AG792" s="39"/>
      <c r="AH792" s="39">
        <f t="shared" si="851"/>
        <v>0</v>
      </c>
      <c r="AI792" s="39"/>
      <c r="AJ792" s="39"/>
      <c r="AK792" s="39"/>
      <c r="AL792" s="39"/>
      <c r="AM792" s="39"/>
      <c r="AN792" s="39">
        <f t="shared" si="850"/>
        <v>0</v>
      </c>
      <c r="AO792" s="39"/>
      <c r="AP792" s="39"/>
      <c r="AQ792" s="39"/>
      <c r="AR792" s="39"/>
      <c r="AS792" s="39"/>
      <c r="AT792" s="39">
        <f t="shared" si="813"/>
        <v>0</v>
      </c>
      <c r="AU792" s="39"/>
      <c r="AV792" s="39"/>
      <c r="AW792" s="39"/>
      <c r="AX792" s="39"/>
      <c r="AY792" s="39"/>
      <c r="AZ792" s="39">
        <f t="shared" si="814"/>
        <v>0</v>
      </c>
      <c r="BA792" s="39"/>
      <c r="BB792" s="39"/>
      <c r="BC792" s="39"/>
      <c r="BD792" s="39"/>
      <c r="BE792" s="39"/>
      <c r="BF792" s="39">
        <f t="shared" si="815"/>
        <v>0</v>
      </c>
      <c r="BG792" s="39"/>
      <c r="BH792" s="39"/>
      <c r="BI792" s="39"/>
      <c r="BJ792" s="39"/>
      <c r="BK792" s="39"/>
      <c r="BL792" s="39">
        <f t="shared" si="852"/>
        <v>0</v>
      </c>
      <c r="BM792" s="54" t="str">
        <f t="shared" si="816"/>
        <v/>
      </c>
      <c r="BN792" s="56">
        <v>46183</v>
      </c>
      <c r="BO792" s="117">
        <v>46198</v>
      </c>
      <c r="BP792" s="39"/>
      <c r="BQ792" s="39"/>
      <c r="BR792" s="232"/>
      <c r="BS792" s="232"/>
      <c r="BT792" s="39" t="s">
        <v>1697</v>
      </c>
      <c r="BU792" s="39">
        <f>233+91</f>
        <v>324</v>
      </c>
      <c r="BV792" s="39"/>
      <c r="BW792" s="39"/>
      <c r="BX792" s="39">
        <v>1806</v>
      </c>
      <c r="BY792" s="39">
        <v>19</v>
      </c>
      <c r="BZ792" s="39">
        <f t="shared" si="853"/>
        <v>343</v>
      </c>
      <c r="CA792" s="39">
        <f t="shared" si="817"/>
        <v>-4</v>
      </c>
      <c r="CB792" s="39">
        <f t="shared" si="818"/>
        <v>0</v>
      </c>
      <c r="CC792" s="39">
        <f t="shared" si="819"/>
        <v>2</v>
      </c>
      <c r="CD792" s="39">
        <v>0</v>
      </c>
      <c r="CE792" s="102">
        <f t="shared" si="820"/>
        <v>0</v>
      </c>
      <c r="CF792" s="36"/>
      <c r="CG792" s="39" t="s">
        <v>235</v>
      </c>
      <c r="CH792" s="39" t="s">
        <v>1065</v>
      </c>
      <c r="CI792" s="25">
        <v>1</v>
      </c>
    </row>
    <row r="793" spans="1:87" ht="24.75" customHeight="1">
      <c r="A793" s="36" t="s">
        <v>303</v>
      </c>
      <c r="B793" s="55">
        <v>47721</v>
      </c>
      <c r="C793" s="228"/>
      <c r="D793" s="36"/>
      <c r="E793" s="39">
        <v>340</v>
      </c>
      <c r="F793" s="39" t="s">
        <v>59</v>
      </c>
      <c r="G793" s="36" t="s">
        <v>345</v>
      </c>
      <c r="H793" s="36" t="s">
        <v>781</v>
      </c>
      <c r="I793" s="39">
        <v>407</v>
      </c>
      <c r="J793" s="39"/>
      <c r="K793" s="39">
        <v>20</v>
      </c>
      <c r="L793" s="39">
        <f t="shared" si="870"/>
        <v>427</v>
      </c>
      <c r="M793" s="117">
        <v>46164</v>
      </c>
      <c r="N793" s="117">
        <v>46183</v>
      </c>
      <c r="O793" s="39"/>
      <c r="P793" s="39"/>
      <c r="Q793" s="39"/>
      <c r="R793" s="39">
        <f t="shared" si="871"/>
        <v>0</v>
      </c>
      <c r="S793" s="39" t="s">
        <v>130</v>
      </c>
      <c r="T793" s="39">
        <v>107107</v>
      </c>
      <c r="U793" s="117">
        <v>46195</v>
      </c>
      <c r="V793" s="39"/>
      <c r="W793" s="39"/>
      <c r="X793" s="39"/>
      <c r="Y793" s="39">
        <v>463</v>
      </c>
      <c r="Z793" s="39"/>
      <c r="AA793" s="39">
        <v>34</v>
      </c>
      <c r="AB793" s="119">
        <f t="shared" si="872"/>
        <v>497</v>
      </c>
      <c r="AC793" s="39"/>
      <c r="AD793" s="39"/>
      <c r="AE793" s="39"/>
      <c r="AF793" s="39"/>
      <c r="AG793" s="39"/>
      <c r="AH793" s="39">
        <f t="shared" si="851"/>
        <v>0</v>
      </c>
      <c r="AI793" s="39"/>
      <c r="AJ793" s="39"/>
      <c r="AK793" s="39"/>
      <c r="AL793" s="39"/>
      <c r="AM793" s="39"/>
      <c r="AN793" s="39">
        <f t="shared" si="850"/>
        <v>0</v>
      </c>
      <c r="AO793" s="39"/>
      <c r="AP793" s="39"/>
      <c r="AQ793" s="39"/>
      <c r="AR793" s="39"/>
      <c r="AS793" s="39"/>
      <c r="AT793" s="39">
        <f t="shared" si="813"/>
        <v>0</v>
      </c>
      <c r="AU793" s="39"/>
      <c r="AV793" s="39"/>
      <c r="AW793" s="39"/>
      <c r="AX793" s="39"/>
      <c r="AY793" s="39"/>
      <c r="AZ793" s="39">
        <f t="shared" si="814"/>
        <v>0</v>
      </c>
      <c r="BA793" s="39"/>
      <c r="BB793" s="39"/>
      <c r="BC793" s="39"/>
      <c r="BD793" s="39"/>
      <c r="BE793" s="39"/>
      <c r="BF793" s="39">
        <f t="shared" si="815"/>
        <v>0</v>
      </c>
      <c r="BG793" s="39"/>
      <c r="BH793" s="39"/>
      <c r="BI793" s="39"/>
      <c r="BJ793" s="39"/>
      <c r="BK793" s="39"/>
      <c r="BL793" s="39">
        <f t="shared" si="852"/>
        <v>0</v>
      </c>
      <c r="BM793" s="54" t="str">
        <f t="shared" si="816"/>
        <v/>
      </c>
      <c r="BN793" s="56">
        <v>46183</v>
      </c>
      <c r="BO793" s="117">
        <v>46198</v>
      </c>
      <c r="BP793" s="39"/>
      <c r="BQ793" s="39"/>
      <c r="BR793" s="230"/>
      <c r="BS793" s="230"/>
      <c r="BT793" s="39" t="s">
        <v>1319</v>
      </c>
      <c r="BU793" s="39">
        <f>390+27</f>
        <v>417</v>
      </c>
      <c r="BV793" s="39"/>
      <c r="BW793" s="39"/>
      <c r="BX793" s="39">
        <v>2139</v>
      </c>
      <c r="BY793" s="39">
        <v>30</v>
      </c>
      <c r="BZ793" s="39">
        <f t="shared" si="853"/>
        <v>447</v>
      </c>
      <c r="CA793" s="39">
        <f t="shared" si="817"/>
        <v>10</v>
      </c>
      <c r="CB793" s="39">
        <f t="shared" si="818"/>
        <v>0</v>
      </c>
      <c r="CC793" s="39">
        <f t="shared" si="819"/>
        <v>10</v>
      </c>
      <c r="CD793" s="39">
        <f t="shared" si="854"/>
        <v>0</v>
      </c>
      <c r="CE793" s="102">
        <f t="shared" si="820"/>
        <v>0</v>
      </c>
      <c r="CF793" s="36"/>
      <c r="CG793" s="39" t="s">
        <v>235</v>
      </c>
      <c r="CH793" s="39" t="s">
        <v>543</v>
      </c>
      <c r="CI793" s="25">
        <v>1</v>
      </c>
    </row>
    <row r="794" spans="1:87" ht="24.75" customHeight="1">
      <c r="A794" s="36" t="s">
        <v>303</v>
      </c>
      <c r="B794" s="55">
        <v>47725</v>
      </c>
      <c r="C794" s="227" t="s">
        <v>782</v>
      </c>
      <c r="D794" s="36"/>
      <c r="E794" s="39">
        <v>350</v>
      </c>
      <c r="F794" s="39" t="s">
        <v>65</v>
      </c>
      <c r="G794" s="36" t="s">
        <v>23</v>
      </c>
      <c r="H794" s="36" t="s">
        <v>774</v>
      </c>
      <c r="I794" s="39">
        <v>357</v>
      </c>
      <c r="J794" s="39">
        <v>99</v>
      </c>
      <c r="K794" s="39">
        <v>9</v>
      </c>
      <c r="L794" s="39">
        <f t="shared" si="870"/>
        <v>465</v>
      </c>
      <c r="M794" s="117">
        <v>46157</v>
      </c>
      <c r="N794" s="117">
        <v>46181</v>
      </c>
      <c r="O794" s="39"/>
      <c r="P794" s="39"/>
      <c r="Q794" s="39"/>
      <c r="R794" s="39">
        <f t="shared" si="871"/>
        <v>0</v>
      </c>
      <c r="S794" s="39" t="s">
        <v>130</v>
      </c>
      <c r="T794" s="39">
        <v>107405</v>
      </c>
      <c r="U794" s="117">
        <v>46205</v>
      </c>
      <c r="V794" s="39"/>
      <c r="W794" s="39"/>
      <c r="X794" s="39"/>
      <c r="Y794" s="39">
        <v>389</v>
      </c>
      <c r="Z794" s="39">
        <v>114</v>
      </c>
      <c r="AA794" s="39">
        <v>12</v>
      </c>
      <c r="AB794" s="119">
        <f t="shared" si="872"/>
        <v>515</v>
      </c>
      <c r="AC794" s="39"/>
      <c r="AD794" s="39"/>
      <c r="AE794" s="39"/>
      <c r="AF794" s="39"/>
      <c r="AG794" s="39"/>
      <c r="AH794" s="39">
        <f t="shared" si="851"/>
        <v>0</v>
      </c>
      <c r="AI794" s="39"/>
      <c r="AJ794" s="39"/>
      <c r="AK794" s="39"/>
      <c r="AL794" s="39"/>
      <c r="AM794" s="39"/>
      <c r="AN794" s="39">
        <f t="shared" si="850"/>
        <v>0</v>
      </c>
      <c r="AO794" s="39"/>
      <c r="AP794" s="39"/>
      <c r="AQ794" s="39"/>
      <c r="AR794" s="39"/>
      <c r="AS794" s="39"/>
      <c r="AT794" s="39">
        <f t="shared" si="813"/>
        <v>0</v>
      </c>
      <c r="AU794" s="39"/>
      <c r="AV794" s="39"/>
      <c r="AW794" s="39"/>
      <c r="AX794" s="39"/>
      <c r="AY794" s="39"/>
      <c r="AZ794" s="39">
        <f t="shared" si="814"/>
        <v>0</v>
      </c>
      <c r="BA794" s="39"/>
      <c r="BB794" s="39"/>
      <c r="BC794" s="39"/>
      <c r="BD794" s="39"/>
      <c r="BE794" s="39"/>
      <c r="BF794" s="39">
        <f t="shared" si="815"/>
        <v>0</v>
      </c>
      <c r="BG794" s="39"/>
      <c r="BH794" s="39"/>
      <c r="BI794" s="39"/>
      <c r="BJ794" s="39"/>
      <c r="BK794" s="39"/>
      <c r="BL794" s="39">
        <f t="shared" si="852"/>
        <v>0</v>
      </c>
      <c r="BM794" s="54" t="str">
        <f t="shared" si="816"/>
        <v/>
      </c>
      <c r="BN794" s="56">
        <v>46183</v>
      </c>
      <c r="BO794" s="117">
        <v>46198</v>
      </c>
      <c r="BP794" s="39"/>
      <c r="BQ794" s="39"/>
      <c r="BR794" s="229">
        <v>46218</v>
      </c>
      <c r="BS794" s="243"/>
      <c r="BT794" s="39">
        <v>2045</v>
      </c>
      <c r="BU794" s="39">
        <v>365</v>
      </c>
      <c r="BV794" s="39">
        <v>1914</v>
      </c>
      <c r="BW794" s="39">
        <v>108</v>
      </c>
      <c r="BX794" s="39">
        <v>2045</v>
      </c>
      <c r="BY794" s="39">
        <v>13</v>
      </c>
      <c r="BZ794" s="39">
        <f t="shared" si="853"/>
        <v>486</v>
      </c>
      <c r="CA794" s="39">
        <f t="shared" si="817"/>
        <v>8</v>
      </c>
      <c r="CB794" s="39">
        <f t="shared" si="818"/>
        <v>9</v>
      </c>
      <c r="CC794" s="39">
        <f t="shared" si="819"/>
        <v>4</v>
      </c>
      <c r="CD794" s="39">
        <f t="shared" si="854"/>
        <v>0</v>
      </c>
      <c r="CE794" s="102">
        <f t="shared" si="820"/>
        <v>0</v>
      </c>
      <c r="CF794" s="36"/>
      <c r="CG794" s="39" t="s">
        <v>235</v>
      </c>
      <c r="CH794" s="39" t="s">
        <v>973</v>
      </c>
      <c r="CI794" s="25">
        <v>1</v>
      </c>
    </row>
    <row r="795" spans="1:87" ht="24.75" customHeight="1">
      <c r="A795" s="36" t="s">
        <v>303</v>
      </c>
      <c r="B795" s="55">
        <v>47725</v>
      </c>
      <c r="C795" s="231"/>
      <c r="D795" s="36"/>
      <c r="E795" s="39">
        <v>350</v>
      </c>
      <c r="F795" s="39" t="s">
        <v>65</v>
      </c>
      <c r="G795" s="36" t="s">
        <v>41</v>
      </c>
      <c r="H795" s="36" t="s">
        <v>774</v>
      </c>
      <c r="I795" s="39">
        <v>357</v>
      </c>
      <c r="J795" s="39">
        <v>99</v>
      </c>
      <c r="K795" s="39">
        <v>9</v>
      </c>
      <c r="L795" s="39">
        <f t="shared" si="870"/>
        <v>465</v>
      </c>
      <c r="M795" s="117">
        <v>46157</v>
      </c>
      <c r="N795" s="117">
        <v>46181</v>
      </c>
      <c r="O795" s="39"/>
      <c r="P795" s="39"/>
      <c r="Q795" s="39"/>
      <c r="R795" s="39">
        <f t="shared" si="871"/>
        <v>0</v>
      </c>
      <c r="S795" s="39" t="s">
        <v>130</v>
      </c>
      <c r="T795" s="39">
        <v>107344</v>
      </c>
      <c r="U795" s="117">
        <v>46204</v>
      </c>
      <c r="V795" s="39"/>
      <c r="W795" s="39"/>
      <c r="X795" s="39"/>
      <c r="Y795" s="39">
        <v>401</v>
      </c>
      <c r="Z795" s="39">
        <v>116</v>
      </c>
      <c r="AA795" s="39">
        <v>12</v>
      </c>
      <c r="AB795" s="119">
        <f t="shared" si="872"/>
        <v>529</v>
      </c>
      <c r="AC795" s="39"/>
      <c r="AD795" s="39"/>
      <c r="AE795" s="39"/>
      <c r="AF795" s="39"/>
      <c r="AG795" s="39"/>
      <c r="AH795" s="39">
        <f t="shared" si="851"/>
        <v>0</v>
      </c>
      <c r="AI795" s="39"/>
      <c r="AJ795" s="39"/>
      <c r="AK795" s="39"/>
      <c r="AL795" s="39"/>
      <c r="AM795" s="39"/>
      <c r="AN795" s="39">
        <f t="shared" si="850"/>
        <v>0</v>
      </c>
      <c r="AO795" s="39"/>
      <c r="AP795" s="39"/>
      <c r="AQ795" s="39"/>
      <c r="AR795" s="39"/>
      <c r="AS795" s="39"/>
      <c r="AT795" s="39">
        <f t="shared" si="813"/>
        <v>0</v>
      </c>
      <c r="AU795" s="39"/>
      <c r="AV795" s="39"/>
      <c r="AW795" s="39"/>
      <c r="AX795" s="39"/>
      <c r="AY795" s="39"/>
      <c r="AZ795" s="39">
        <f t="shared" si="814"/>
        <v>0</v>
      </c>
      <c r="BA795" s="39"/>
      <c r="BB795" s="39"/>
      <c r="BC795" s="39"/>
      <c r="BD795" s="39"/>
      <c r="BE795" s="39"/>
      <c r="BF795" s="39">
        <f t="shared" si="815"/>
        <v>0</v>
      </c>
      <c r="BG795" s="39"/>
      <c r="BH795" s="39"/>
      <c r="BI795" s="39"/>
      <c r="BJ795" s="39"/>
      <c r="BK795" s="39"/>
      <c r="BL795" s="39">
        <f t="shared" si="852"/>
        <v>0</v>
      </c>
      <c r="BM795" s="54" t="str">
        <f t="shared" si="816"/>
        <v/>
      </c>
      <c r="BN795" s="56">
        <v>46183</v>
      </c>
      <c r="BO795" s="117">
        <v>46198</v>
      </c>
      <c r="BP795" s="39"/>
      <c r="BQ795" s="39"/>
      <c r="BR795" s="232"/>
      <c r="BS795" s="232"/>
      <c r="BT795" s="39">
        <v>1810</v>
      </c>
      <c r="BU795" s="39">
        <v>363</v>
      </c>
      <c r="BV795" s="39">
        <v>1845</v>
      </c>
      <c r="BW795" s="39">
        <v>104</v>
      </c>
      <c r="BX795" s="39">
        <v>608</v>
      </c>
      <c r="BY795" s="39">
        <v>11</v>
      </c>
      <c r="BZ795" s="39">
        <f t="shared" si="853"/>
        <v>478</v>
      </c>
      <c r="CA795" s="39">
        <f t="shared" si="817"/>
        <v>6</v>
      </c>
      <c r="CB795" s="39">
        <f t="shared" si="818"/>
        <v>5</v>
      </c>
      <c r="CC795" s="39">
        <f t="shared" si="819"/>
        <v>2</v>
      </c>
      <c r="CD795" s="39">
        <f t="shared" si="854"/>
        <v>0</v>
      </c>
      <c r="CE795" s="102">
        <f t="shared" si="820"/>
        <v>0</v>
      </c>
      <c r="CF795" s="36"/>
      <c r="CG795" s="39" t="s">
        <v>235</v>
      </c>
      <c r="CH795" s="39" t="s">
        <v>1668</v>
      </c>
      <c r="CI795" s="25">
        <v>1</v>
      </c>
    </row>
    <row r="796" spans="1:87" ht="24.75" customHeight="1">
      <c r="A796" s="36" t="s">
        <v>303</v>
      </c>
      <c r="B796" s="55">
        <v>47725</v>
      </c>
      <c r="C796" s="231"/>
      <c r="D796" s="36"/>
      <c r="E796" s="39">
        <v>350</v>
      </c>
      <c r="F796" s="39" t="s">
        <v>65</v>
      </c>
      <c r="G796" s="36" t="s">
        <v>463</v>
      </c>
      <c r="H796" s="36" t="s">
        <v>774</v>
      </c>
      <c r="I796" s="39">
        <v>299</v>
      </c>
      <c r="J796" s="39">
        <v>83</v>
      </c>
      <c r="K796" s="39">
        <v>8</v>
      </c>
      <c r="L796" s="39">
        <f t="shared" si="870"/>
        <v>390</v>
      </c>
      <c r="M796" s="117">
        <v>46157</v>
      </c>
      <c r="N796" s="117">
        <v>46181</v>
      </c>
      <c r="O796" s="39"/>
      <c r="P796" s="39"/>
      <c r="Q796" s="39"/>
      <c r="R796" s="39">
        <f t="shared" si="871"/>
        <v>0</v>
      </c>
      <c r="S796" s="39" t="s">
        <v>130</v>
      </c>
      <c r="T796" s="39">
        <v>107352</v>
      </c>
      <c r="U796" s="117">
        <v>46221</v>
      </c>
      <c r="V796" s="39"/>
      <c r="W796" s="39"/>
      <c r="X796" s="39"/>
      <c r="Y796" s="39">
        <v>335</v>
      </c>
      <c r="Z796" s="39">
        <v>98</v>
      </c>
      <c r="AA796" s="39">
        <v>11</v>
      </c>
      <c r="AB796" s="119">
        <f t="shared" si="872"/>
        <v>444</v>
      </c>
      <c r="AC796" s="39"/>
      <c r="AD796" s="39"/>
      <c r="AE796" s="39"/>
      <c r="AF796" s="39"/>
      <c r="AG796" s="39"/>
      <c r="AH796" s="39">
        <f t="shared" si="851"/>
        <v>0</v>
      </c>
      <c r="AI796" s="39"/>
      <c r="AJ796" s="39"/>
      <c r="AK796" s="39"/>
      <c r="AL796" s="39"/>
      <c r="AM796" s="39"/>
      <c r="AN796" s="39">
        <f t="shared" si="850"/>
        <v>0</v>
      </c>
      <c r="AO796" s="39"/>
      <c r="AP796" s="39"/>
      <c r="AQ796" s="39"/>
      <c r="AR796" s="39"/>
      <c r="AS796" s="39"/>
      <c r="AT796" s="39">
        <f t="shared" si="813"/>
        <v>0</v>
      </c>
      <c r="AU796" s="39"/>
      <c r="AV796" s="39"/>
      <c r="AW796" s="39"/>
      <c r="AX796" s="39"/>
      <c r="AY796" s="39"/>
      <c r="AZ796" s="39">
        <f t="shared" si="814"/>
        <v>0</v>
      </c>
      <c r="BA796" s="39"/>
      <c r="BB796" s="39"/>
      <c r="BC796" s="39"/>
      <c r="BD796" s="39"/>
      <c r="BE796" s="39"/>
      <c r="BF796" s="39">
        <f t="shared" si="815"/>
        <v>0</v>
      </c>
      <c r="BG796" s="39"/>
      <c r="BH796" s="39"/>
      <c r="BI796" s="39"/>
      <c r="BJ796" s="39"/>
      <c r="BK796" s="39"/>
      <c r="BL796" s="39">
        <f t="shared" si="852"/>
        <v>0</v>
      </c>
      <c r="BM796" s="54">
        <f t="shared" ca="1" si="816"/>
        <v>62</v>
      </c>
      <c r="BN796" s="56">
        <v>46183</v>
      </c>
      <c r="BO796" s="117">
        <v>46198</v>
      </c>
      <c r="BP796" s="39"/>
      <c r="BQ796" s="39"/>
      <c r="BR796" s="232"/>
      <c r="BS796" s="232"/>
      <c r="BT796" s="39" t="s">
        <v>1888</v>
      </c>
      <c r="BU796" s="39">
        <f>241+54</f>
        <v>295</v>
      </c>
      <c r="BV796" s="39"/>
      <c r="BW796" s="39"/>
      <c r="BX796" s="39">
        <v>1832</v>
      </c>
      <c r="BY796" s="39">
        <v>10</v>
      </c>
      <c r="BZ796" s="39">
        <f t="shared" si="853"/>
        <v>305</v>
      </c>
      <c r="CA796" s="39">
        <f t="shared" si="817"/>
        <v>-4</v>
      </c>
      <c r="CB796" s="39">
        <f t="shared" si="818"/>
        <v>-83</v>
      </c>
      <c r="CC796" s="39">
        <f t="shared" si="819"/>
        <v>2</v>
      </c>
      <c r="CD796" s="39">
        <f t="shared" si="854"/>
        <v>-87</v>
      </c>
      <c r="CE796" s="102">
        <f t="shared" si="820"/>
        <v>-0.22307692307692309</v>
      </c>
      <c r="CF796" s="36"/>
      <c r="CG796" s="39" t="s">
        <v>235</v>
      </c>
      <c r="CH796" s="39" t="s">
        <v>1873</v>
      </c>
      <c r="CI796" s="25">
        <v>1</v>
      </c>
    </row>
    <row r="797" spans="1:87" ht="24.75" customHeight="1">
      <c r="A797" s="36" t="s">
        <v>303</v>
      </c>
      <c r="B797" s="55">
        <v>47725</v>
      </c>
      <c r="C797" s="228"/>
      <c r="D797" s="36"/>
      <c r="E797" s="39">
        <v>350</v>
      </c>
      <c r="F797" s="39" t="s">
        <v>65</v>
      </c>
      <c r="G797" s="36" t="s">
        <v>345</v>
      </c>
      <c r="H797" s="36" t="s">
        <v>781</v>
      </c>
      <c r="I797" s="39">
        <v>299</v>
      </c>
      <c r="J797" s="39">
        <v>83</v>
      </c>
      <c r="K797" s="39">
        <v>8</v>
      </c>
      <c r="L797" s="39">
        <f t="shared" si="870"/>
        <v>390</v>
      </c>
      <c r="M797" s="117">
        <v>46157</v>
      </c>
      <c r="N797" s="117">
        <v>46181</v>
      </c>
      <c r="O797" s="39"/>
      <c r="P797" s="39"/>
      <c r="Q797" s="39"/>
      <c r="R797" s="39">
        <f t="shared" si="871"/>
        <v>0</v>
      </c>
      <c r="S797" s="39" t="s">
        <v>130</v>
      </c>
      <c r="T797" s="39">
        <v>107442</v>
      </c>
      <c r="U797" s="117">
        <v>46207</v>
      </c>
      <c r="V797" s="39"/>
      <c r="W797" s="39"/>
      <c r="X797" s="39"/>
      <c r="Y797" s="39">
        <v>350</v>
      </c>
      <c r="Z797" s="39">
        <v>101</v>
      </c>
      <c r="AA797" s="39"/>
      <c r="AB797" s="119">
        <f t="shared" si="872"/>
        <v>451</v>
      </c>
      <c r="AC797" s="39"/>
      <c r="AD797" s="39"/>
      <c r="AE797" s="39"/>
      <c r="AF797" s="39"/>
      <c r="AG797" s="39"/>
      <c r="AH797" s="39">
        <f t="shared" si="851"/>
        <v>0</v>
      </c>
      <c r="AI797" s="39"/>
      <c r="AJ797" s="39"/>
      <c r="AK797" s="39"/>
      <c r="AL797" s="39"/>
      <c r="AM797" s="39"/>
      <c r="AN797" s="39">
        <f t="shared" si="850"/>
        <v>0</v>
      </c>
      <c r="AO797" s="39"/>
      <c r="AP797" s="39"/>
      <c r="AQ797" s="39"/>
      <c r="AR797" s="39"/>
      <c r="AS797" s="39"/>
      <c r="AT797" s="39">
        <f t="shared" si="813"/>
        <v>0</v>
      </c>
      <c r="AU797" s="39"/>
      <c r="AV797" s="39"/>
      <c r="AW797" s="39"/>
      <c r="AX797" s="39"/>
      <c r="AY797" s="39"/>
      <c r="AZ797" s="39">
        <f t="shared" si="814"/>
        <v>0</v>
      </c>
      <c r="BA797" s="39"/>
      <c r="BB797" s="39"/>
      <c r="BC797" s="39"/>
      <c r="BD797" s="39"/>
      <c r="BE797" s="39"/>
      <c r="BF797" s="39">
        <f t="shared" si="815"/>
        <v>0</v>
      </c>
      <c r="BG797" s="39"/>
      <c r="BH797" s="39"/>
      <c r="BI797" s="39"/>
      <c r="BJ797" s="39"/>
      <c r="BK797" s="39"/>
      <c r="BL797" s="39">
        <f t="shared" si="852"/>
        <v>0</v>
      </c>
      <c r="BM797" s="54" t="str">
        <f t="shared" si="816"/>
        <v/>
      </c>
      <c r="BN797" s="56">
        <v>46183</v>
      </c>
      <c r="BO797" s="117">
        <v>46198</v>
      </c>
      <c r="BP797" s="39"/>
      <c r="BQ797" s="39"/>
      <c r="BR797" s="230"/>
      <c r="BS797" s="230"/>
      <c r="BT797" s="39" t="s">
        <v>1695</v>
      </c>
      <c r="BU797" s="39">
        <f>247+56</f>
        <v>303</v>
      </c>
      <c r="BV797" s="39">
        <v>1845</v>
      </c>
      <c r="BW797" s="39">
        <v>91</v>
      </c>
      <c r="BX797" s="39"/>
      <c r="BY797" s="39"/>
      <c r="BZ797" s="39">
        <f t="shared" si="853"/>
        <v>394</v>
      </c>
      <c r="CA797" s="39">
        <f t="shared" si="817"/>
        <v>4</v>
      </c>
      <c r="CB797" s="39">
        <f t="shared" si="818"/>
        <v>8</v>
      </c>
      <c r="CC797" s="39">
        <f t="shared" si="819"/>
        <v>-8</v>
      </c>
      <c r="CD797" s="39">
        <v>0</v>
      </c>
      <c r="CE797" s="102">
        <f t="shared" si="820"/>
        <v>0</v>
      </c>
      <c r="CF797" s="36"/>
      <c r="CG797" s="39" t="s">
        <v>235</v>
      </c>
      <c r="CH797" s="39" t="s">
        <v>1629</v>
      </c>
      <c r="CI797" s="25">
        <v>1</v>
      </c>
    </row>
    <row r="798" spans="1:87" ht="24.75" customHeight="1">
      <c r="A798" s="36" t="s">
        <v>303</v>
      </c>
      <c r="B798" s="55">
        <v>47740</v>
      </c>
      <c r="C798" s="227" t="s">
        <v>783</v>
      </c>
      <c r="D798" s="36"/>
      <c r="E798" s="39">
        <v>180</v>
      </c>
      <c r="F798" s="39" t="s">
        <v>55</v>
      </c>
      <c r="G798" s="36" t="s">
        <v>21</v>
      </c>
      <c r="H798" s="36" t="s">
        <v>87</v>
      </c>
      <c r="I798" s="39">
        <v>248</v>
      </c>
      <c r="J798" s="39">
        <v>14</v>
      </c>
      <c r="K798" s="39"/>
      <c r="L798" s="39">
        <f t="shared" si="870"/>
        <v>262</v>
      </c>
      <c r="M798" s="117">
        <v>46162</v>
      </c>
      <c r="N798" s="117">
        <v>46167</v>
      </c>
      <c r="O798" s="39"/>
      <c r="P798" s="39"/>
      <c r="Q798" s="39"/>
      <c r="R798" s="39">
        <f t="shared" si="871"/>
        <v>0</v>
      </c>
      <c r="S798" s="39" t="s">
        <v>130</v>
      </c>
      <c r="T798" s="39">
        <v>107683</v>
      </c>
      <c r="U798" s="117">
        <v>46215</v>
      </c>
      <c r="V798" s="39"/>
      <c r="W798" s="39"/>
      <c r="X798" s="39"/>
      <c r="Y798" s="39">
        <v>290</v>
      </c>
      <c r="Z798" s="39">
        <v>18</v>
      </c>
      <c r="AA798" s="39"/>
      <c r="AB798" s="119">
        <f t="shared" si="872"/>
        <v>308</v>
      </c>
      <c r="AC798" s="39"/>
      <c r="AD798" s="39"/>
      <c r="AE798" s="39"/>
      <c r="AF798" s="39"/>
      <c r="AG798" s="39"/>
      <c r="AH798" s="39">
        <f t="shared" si="851"/>
        <v>0</v>
      </c>
      <c r="AI798" s="39"/>
      <c r="AJ798" s="39"/>
      <c r="AK798" s="39"/>
      <c r="AL798" s="39"/>
      <c r="AM798" s="39"/>
      <c r="AN798" s="39">
        <f t="shared" si="850"/>
        <v>0</v>
      </c>
      <c r="AO798" s="39"/>
      <c r="AP798" s="39"/>
      <c r="AQ798" s="39"/>
      <c r="AR798" s="39"/>
      <c r="AS798" s="39"/>
      <c r="AT798" s="39">
        <f t="shared" si="813"/>
        <v>0</v>
      </c>
      <c r="AU798" s="39"/>
      <c r="AV798" s="39"/>
      <c r="AW798" s="39"/>
      <c r="AX798" s="39"/>
      <c r="AY798" s="39"/>
      <c r="AZ798" s="39">
        <f t="shared" si="814"/>
        <v>0</v>
      </c>
      <c r="BA798" s="39"/>
      <c r="BB798" s="39"/>
      <c r="BC798" s="39"/>
      <c r="BD798" s="39"/>
      <c r="BE798" s="39"/>
      <c r="BF798" s="39">
        <f t="shared" si="815"/>
        <v>0</v>
      </c>
      <c r="BG798" s="39"/>
      <c r="BH798" s="39"/>
      <c r="BI798" s="39"/>
      <c r="BJ798" s="39"/>
      <c r="BK798" s="39"/>
      <c r="BL798" s="39">
        <f t="shared" si="852"/>
        <v>0</v>
      </c>
      <c r="BM798" s="54" t="str">
        <f t="shared" si="816"/>
        <v/>
      </c>
      <c r="BN798" s="56">
        <v>46183</v>
      </c>
      <c r="BO798" s="117">
        <v>46195</v>
      </c>
      <c r="BP798" s="39"/>
      <c r="BQ798" s="39"/>
      <c r="BR798" s="229">
        <v>46216</v>
      </c>
      <c r="BS798" s="229">
        <v>46233</v>
      </c>
      <c r="BT798" s="39">
        <v>1803</v>
      </c>
      <c r="BU798" s="39">
        <f>244</f>
        <v>244</v>
      </c>
      <c r="BV798" s="39">
        <v>2050</v>
      </c>
      <c r="BW798" s="39">
        <f>11+3</f>
        <v>14</v>
      </c>
      <c r="BX798" s="39"/>
      <c r="BY798" s="39"/>
      <c r="BZ798" s="39">
        <f t="shared" si="853"/>
        <v>258</v>
      </c>
      <c r="CA798" s="39">
        <f t="shared" si="817"/>
        <v>-4</v>
      </c>
      <c r="CB798" s="39">
        <f t="shared" si="818"/>
        <v>0</v>
      </c>
      <c r="CC798" s="39">
        <f t="shared" si="819"/>
        <v>0</v>
      </c>
      <c r="CD798" s="39">
        <v>0</v>
      </c>
      <c r="CE798" s="102">
        <f t="shared" si="820"/>
        <v>0</v>
      </c>
      <c r="CF798" s="36"/>
      <c r="CG798" s="39" t="s">
        <v>235</v>
      </c>
      <c r="CH798" s="39" t="s">
        <v>973</v>
      </c>
      <c r="CI798" s="25">
        <v>1</v>
      </c>
    </row>
    <row r="799" spans="1:87" ht="24.75" customHeight="1">
      <c r="A799" s="36" t="s">
        <v>303</v>
      </c>
      <c r="B799" s="55">
        <v>47740</v>
      </c>
      <c r="C799" s="231"/>
      <c r="D799" s="36"/>
      <c r="E799" s="39">
        <v>180</v>
      </c>
      <c r="F799" s="39" t="s">
        <v>55</v>
      </c>
      <c r="G799" s="36" t="s">
        <v>23</v>
      </c>
      <c r="H799" s="36" t="s">
        <v>87</v>
      </c>
      <c r="I799" s="39">
        <v>200</v>
      </c>
      <c r="J799" s="39">
        <v>12</v>
      </c>
      <c r="K799" s="39"/>
      <c r="L799" s="39">
        <f t="shared" si="870"/>
        <v>212</v>
      </c>
      <c r="M799" s="117">
        <v>46162</v>
      </c>
      <c r="N799" s="117">
        <v>46167</v>
      </c>
      <c r="O799" s="39"/>
      <c r="P799" s="39"/>
      <c r="Q799" s="39"/>
      <c r="R799" s="39">
        <f t="shared" si="871"/>
        <v>0</v>
      </c>
      <c r="S799" s="39" t="s">
        <v>130</v>
      </c>
      <c r="T799" s="39">
        <v>107729</v>
      </c>
      <c r="U799" s="117">
        <v>46215</v>
      </c>
      <c r="V799" s="39"/>
      <c r="W799" s="39"/>
      <c r="X799" s="39"/>
      <c r="Y799" s="39">
        <v>227</v>
      </c>
      <c r="Z799" s="39">
        <v>15</v>
      </c>
      <c r="AA799" s="39"/>
      <c r="AB799" s="119">
        <f t="shared" si="872"/>
        <v>242</v>
      </c>
      <c r="AC799" s="39"/>
      <c r="AD799" s="39"/>
      <c r="AE799" s="39"/>
      <c r="AF799" s="39"/>
      <c r="AG799" s="39"/>
      <c r="AH799" s="39">
        <f t="shared" si="851"/>
        <v>0</v>
      </c>
      <c r="AI799" s="39"/>
      <c r="AJ799" s="39"/>
      <c r="AK799" s="39"/>
      <c r="AL799" s="39"/>
      <c r="AM799" s="39"/>
      <c r="AN799" s="39">
        <f t="shared" si="850"/>
        <v>0</v>
      </c>
      <c r="AO799" s="39"/>
      <c r="AP799" s="39"/>
      <c r="AQ799" s="39"/>
      <c r="AR799" s="39"/>
      <c r="AS799" s="39"/>
      <c r="AT799" s="39">
        <f t="shared" si="813"/>
        <v>0</v>
      </c>
      <c r="AU799" s="39"/>
      <c r="AV799" s="39"/>
      <c r="AW799" s="39"/>
      <c r="AX799" s="39"/>
      <c r="AY799" s="39"/>
      <c r="AZ799" s="39">
        <f t="shared" si="814"/>
        <v>0</v>
      </c>
      <c r="BA799" s="39"/>
      <c r="BB799" s="39"/>
      <c r="BC799" s="39"/>
      <c r="BD799" s="39"/>
      <c r="BE799" s="39"/>
      <c r="BF799" s="39">
        <f t="shared" si="815"/>
        <v>0</v>
      </c>
      <c r="BG799" s="39"/>
      <c r="BH799" s="39"/>
      <c r="BI799" s="39"/>
      <c r="BJ799" s="39"/>
      <c r="BK799" s="39"/>
      <c r="BL799" s="39">
        <f t="shared" si="852"/>
        <v>0</v>
      </c>
      <c r="BM799" s="54" t="str">
        <f t="shared" si="816"/>
        <v/>
      </c>
      <c r="BN799" s="56">
        <v>46183</v>
      </c>
      <c r="BO799" s="117">
        <v>46195</v>
      </c>
      <c r="BP799" s="39"/>
      <c r="BQ799" s="39"/>
      <c r="BR799" s="232"/>
      <c r="BS799" s="232"/>
      <c r="BT799" s="39" t="s">
        <v>2105</v>
      </c>
      <c r="BU799" s="39">
        <f>192+28</f>
        <v>220</v>
      </c>
      <c r="BV799" s="39" t="s">
        <v>2106</v>
      </c>
      <c r="BW799" s="39">
        <f>14+2</f>
        <v>16</v>
      </c>
      <c r="BX799" s="39"/>
      <c r="BY799" s="39"/>
      <c r="BZ799" s="39">
        <f t="shared" si="853"/>
        <v>236</v>
      </c>
      <c r="CA799" s="39">
        <f t="shared" si="817"/>
        <v>20</v>
      </c>
      <c r="CB799" s="39">
        <f t="shared" si="818"/>
        <v>4</v>
      </c>
      <c r="CC799" s="39">
        <f t="shared" si="819"/>
        <v>0</v>
      </c>
      <c r="CD799" s="39">
        <f t="shared" si="854"/>
        <v>0</v>
      </c>
      <c r="CE799" s="102">
        <f t="shared" si="820"/>
        <v>0</v>
      </c>
      <c r="CF799" s="36"/>
      <c r="CG799" s="39" t="s">
        <v>235</v>
      </c>
      <c r="CH799" s="39" t="s">
        <v>973</v>
      </c>
      <c r="CI799" s="25">
        <v>1</v>
      </c>
    </row>
    <row r="800" spans="1:87" ht="24.75" customHeight="1">
      <c r="A800" s="36" t="s">
        <v>303</v>
      </c>
      <c r="B800" s="55">
        <v>47740</v>
      </c>
      <c r="C800" s="231"/>
      <c r="D800" s="36"/>
      <c r="E800" s="39">
        <v>180</v>
      </c>
      <c r="F800" s="39" t="s">
        <v>55</v>
      </c>
      <c r="G800" s="36" t="s">
        <v>41</v>
      </c>
      <c r="H800" s="36" t="s">
        <v>87</v>
      </c>
      <c r="I800" s="39">
        <v>200</v>
      </c>
      <c r="J800" s="39">
        <v>12</v>
      </c>
      <c r="K800" s="39"/>
      <c r="L800" s="39">
        <f t="shared" si="870"/>
        <v>212</v>
      </c>
      <c r="M800" s="117">
        <v>46162</v>
      </c>
      <c r="N800" s="117">
        <v>46167</v>
      </c>
      <c r="O800" s="39"/>
      <c r="P800" s="39"/>
      <c r="Q800" s="39"/>
      <c r="R800" s="39">
        <f t="shared" si="871"/>
        <v>0</v>
      </c>
      <c r="S800" s="39" t="s">
        <v>130</v>
      </c>
      <c r="T800" s="39">
        <v>107530</v>
      </c>
      <c r="U800" s="117">
        <v>46209</v>
      </c>
      <c r="V800" s="39"/>
      <c r="W800" s="39"/>
      <c r="X800" s="39"/>
      <c r="Y800" s="39">
        <v>234</v>
      </c>
      <c r="Z800" s="39">
        <v>15</v>
      </c>
      <c r="AA800" s="39"/>
      <c r="AB800" s="119">
        <f t="shared" si="872"/>
        <v>249</v>
      </c>
      <c r="AC800" s="39"/>
      <c r="AD800" s="39"/>
      <c r="AE800" s="39"/>
      <c r="AF800" s="39"/>
      <c r="AG800" s="39"/>
      <c r="AH800" s="39">
        <f t="shared" si="851"/>
        <v>0</v>
      </c>
      <c r="AI800" s="39"/>
      <c r="AJ800" s="39"/>
      <c r="AK800" s="39"/>
      <c r="AL800" s="39"/>
      <c r="AM800" s="39"/>
      <c r="AN800" s="39">
        <f t="shared" si="850"/>
        <v>0</v>
      </c>
      <c r="AO800" s="39"/>
      <c r="AP800" s="39"/>
      <c r="AQ800" s="39"/>
      <c r="AR800" s="39"/>
      <c r="AS800" s="39"/>
      <c r="AT800" s="39">
        <f t="shared" si="813"/>
        <v>0</v>
      </c>
      <c r="AU800" s="39"/>
      <c r="AV800" s="39"/>
      <c r="AW800" s="39"/>
      <c r="AX800" s="39"/>
      <c r="AY800" s="39"/>
      <c r="AZ800" s="39">
        <f t="shared" si="814"/>
        <v>0</v>
      </c>
      <c r="BA800" s="39"/>
      <c r="BB800" s="39"/>
      <c r="BC800" s="39"/>
      <c r="BD800" s="39"/>
      <c r="BE800" s="39"/>
      <c r="BF800" s="39">
        <f t="shared" si="815"/>
        <v>0</v>
      </c>
      <c r="BG800" s="39"/>
      <c r="BH800" s="39"/>
      <c r="BI800" s="39"/>
      <c r="BJ800" s="39"/>
      <c r="BK800" s="39"/>
      <c r="BL800" s="39">
        <f t="shared" si="852"/>
        <v>0</v>
      </c>
      <c r="BM800" s="54" t="str">
        <f t="shared" si="816"/>
        <v/>
      </c>
      <c r="BN800" s="56">
        <v>46183</v>
      </c>
      <c r="BO800" s="117">
        <v>46195</v>
      </c>
      <c r="BP800" s="39"/>
      <c r="BQ800" s="39"/>
      <c r="BR800" s="232"/>
      <c r="BS800" s="232"/>
      <c r="BT800" s="39" t="s">
        <v>2111</v>
      </c>
      <c r="BU800" s="39">
        <f>192+17</f>
        <v>209</v>
      </c>
      <c r="BV800" s="39" t="s">
        <v>2112</v>
      </c>
      <c r="BW800" s="39">
        <f>11+2</f>
        <v>13</v>
      </c>
      <c r="BX800" s="39"/>
      <c r="BY800" s="39"/>
      <c r="BZ800" s="39">
        <f t="shared" si="853"/>
        <v>222</v>
      </c>
      <c r="CA800" s="39">
        <f t="shared" si="817"/>
        <v>9</v>
      </c>
      <c r="CB800" s="39">
        <f t="shared" si="818"/>
        <v>1</v>
      </c>
      <c r="CC800" s="39">
        <f t="shared" si="819"/>
        <v>0</v>
      </c>
      <c r="CD800" s="39">
        <f t="shared" si="854"/>
        <v>0</v>
      </c>
      <c r="CE800" s="102">
        <f t="shared" si="820"/>
        <v>0</v>
      </c>
      <c r="CF800" s="36"/>
      <c r="CG800" s="39" t="s">
        <v>235</v>
      </c>
      <c r="CH800" s="39" t="s">
        <v>1579</v>
      </c>
      <c r="CI800" s="25">
        <v>1</v>
      </c>
    </row>
    <row r="801" spans="1:87" ht="24.75" customHeight="1">
      <c r="A801" s="36" t="s">
        <v>303</v>
      </c>
      <c r="B801" s="55">
        <v>47740</v>
      </c>
      <c r="C801" s="231"/>
      <c r="D801" s="36"/>
      <c r="E801" s="39">
        <v>180</v>
      </c>
      <c r="F801" s="39" t="s">
        <v>55</v>
      </c>
      <c r="G801" s="36" t="s">
        <v>784</v>
      </c>
      <c r="H801" s="36" t="s">
        <v>87</v>
      </c>
      <c r="I801" s="39">
        <v>151</v>
      </c>
      <c r="J801" s="39">
        <v>10</v>
      </c>
      <c r="K801" s="39"/>
      <c r="L801" s="39">
        <f t="shared" si="870"/>
        <v>161</v>
      </c>
      <c r="M801" s="117">
        <v>46162</v>
      </c>
      <c r="N801" s="117">
        <v>46167</v>
      </c>
      <c r="O801" s="39"/>
      <c r="P801" s="39"/>
      <c r="Q801" s="39"/>
      <c r="R801" s="39">
        <f t="shared" si="871"/>
        <v>0</v>
      </c>
      <c r="S801" s="39" t="s">
        <v>130</v>
      </c>
      <c r="T801" s="39">
        <v>107431</v>
      </c>
      <c r="U801" s="117">
        <v>46208</v>
      </c>
      <c r="V801" s="39"/>
      <c r="W801" s="39"/>
      <c r="X801" s="39"/>
      <c r="Y801" s="39">
        <v>187</v>
      </c>
      <c r="Z801" s="39">
        <v>12</v>
      </c>
      <c r="AA801" s="39"/>
      <c r="AB801" s="119">
        <f t="shared" si="872"/>
        <v>199</v>
      </c>
      <c r="AC801" s="39"/>
      <c r="AD801" s="39"/>
      <c r="AE801" s="39"/>
      <c r="AF801" s="39"/>
      <c r="AG801" s="39"/>
      <c r="AH801" s="39">
        <f t="shared" si="851"/>
        <v>0</v>
      </c>
      <c r="AI801" s="39"/>
      <c r="AJ801" s="39"/>
      <c r="AK801" s="39"/>
      <c r="AL801" s="39"/>
      <c r="AM801" s="39"/>
      <c r="AN801" s="39">
        <f t="shared" si="850"/>
        <v>0</v>
      </c>
      <c r="AO801" s="39"/>
      <c r="AP801" s="39"/>
      <c r="AQ801" s="39"/>
      <c r="AR801" s="39"/>
      <c r="AS801" s="39"/>
      <c r="AT801" s="39">
        <f t="shared" si="813"/>
        <v>0</v>
      </c>
      <c r="AU801" s="39"/>
      <c r="AV801" s="39"/>
      <c r="AW801" s="39"/>
      <c r="AX801" s="39"/>
      <c r="AY801" s="39"/>
      <c r="AZ801" s="39">
        <f t="shared" si="814"/>
        <v>0</v>
      </c>
      <c r="BA801" s="39"/>
      <c r="BB801" s="39"/>
      <c r="BC801" s="39"/>
      <c r="BD801" s="39"/>
      <c r="BE801" s="39"/>
      <c r="BF801" s="39">
        <f t="shared" si="815"/>
        <v>0</v>
      </c>
      <c r="BG801" s="39"/>
      <c r="BH801" s="39"/>
      <c r="BI801" s="39"/>
      <c r="BJ801" s="39"/>
      <c r="BK801" s="39"/>
      <c r="BL801" s="39">
        <f t="shared" si="852"/>
        <v>0</v>
      </c>
      <c r="BM801" s="54" t="str">
        <f t="shared" si="816"/>
        <v/>
      </c>
      <c r="BN801" s="56">
        <v>46183</v>
      </c>
      <c r="BO801" s="117">
        <v>46195</v>
      </c>
      <c r="BP801" s="39"/>
      <c r="BQ801" s="39"/>
      <c r="BR801" s="232"/>
      <c r="BS801" s="232"/>
      <c r="BT801" s="39" t="s">
        <v>2110</v>
      </c>
      <c r="BU801" s="39">
        <f>151+13</f>
        <v>164</v>
      </c>
      <c r="BV801" s="39" t="s">
        <v>2110</v>
      </c>
      <c r="BW801" s="39">
        <f>8+2</f>
        <v>10</v>
      </c>
      <c r="BX801" s="39"/>
      <c r="BY801" s="39"/>
      <c r="BZ801" s="39">
        <f t="shared" si="853"/>
        <v>174</v>
      </c>
      <c r="CA801" s="39">
        <f t="shared" si="817"/>
        <v>13</v>
      </c>
      <c r="CB801" s="39">
        <f t="shared" si="818"/>
        <v>0</v>
      </c>
      <c r="CC801" s="39">
        <f t="shared" si="819"/>
        <v>0</v>
      </c>
      <c r="CD801" s="39">
        <v>0</v>
      </c>
      <c r="CE801" s="102">
        <f t="shared" si="820"/>
        <v>0</v>
      </c>
      <c r="CF801" s="36"/>
      <c r="CG801" s="39" t="s">
        <v>235</v>
      </c>
      <c r="CH801" s="39"/>
      <c r="CI801" s="25">
        <v>1</v>
      </c>
    </row>
    <row r="802" spans="1:87" ht="24.75" customHeight="1">
      <c r="A802" s="36" t="s">
        <v>303</v>
      </c>
      <c r="B802" s="55">
        <v>47740</v>
      </c>
      <c r="C802" s="228"/>
      <c r="D802" s="36"/>
      <c r="E802" s="39">
        <v>180</v>
      </c>
      <c r="F802" s="39" t="s">
        <v>55</v>
      </c>
      <c r="G802" s="36" t="s">
        <v>785</v>
      </c>
      <c r="H802" s="36" t="s">
        <v>87</v>
      </c>
      <c r="I802" s="39">
        <v>151</v>
      </c>
      <c r="J802" s="39">
        <v>10</v>
      </c>
      <c r="K802" s="39"/>
      <c r="L802" s="39">
        <f t="shared" si="870"/>
        <v>161</v>
      </c>
      <c r="M802" s="117">
        <v>46162</v>
      </c>
      <c r="N802" s="117">
        <v>46167</v>
      </c>
      <c r="O802" s="39"/>
      <c r="P802" s="39"/>
      <c r="Q802" s="39"/>
      <c r="R802" s="39">
        <f t="shared" si="871"/>
        <v>0</v>
      </c>
      <c r="S802" s="39" t="s">
        <v>130</v>
      </c>
      <c r="T802" s="39">
        <v>107433</v>
      </c>
      <c r="U802" s="117">
        <v>46209</v>
      </c>
      <c r="V802" s="39"/>
      <c r="W802" s="39"/>
      <c r="X802" s="39"/>
      <c r="Y802" s="39">
        <v>188</v>
      </c>
      <c r="Z802" s="39">
        <v>12</v>
      </c>
      <c r="AA802" s="39"/>
      <c r="AB802" s="119">
        <f t="shared" si="872"/>
        <v>200</v>
      </c>
      <c r="AC802" s="39"/>
      <c r="AD802" s="39"/>
      <c r="AE802" s="39"/>
      <c r="AF802" s="39"/>
      <c r="AG802" s="39"/>
      <c r="AH802" s="39">
        <f t="shared" si="851"/>
        <v>0</v>
      </c>
      <c r="AI802" s="39"/>
      <c r="AJ802" s="39"/>
      <c r="AK802" s="39"/>
      <c r="AL802" s="39"/>
      <c r="AM802" s="39"/>
      <c r="AN802" s="39">
        <f t="shared" si="850"/>
        <v>0</v>
      </c>
      <c r="AO802" s="39"/>
      <c r="AP802" s="39"/>
      <c r="AQ802" s="39"/>
      <c r="AR802" s="39"/>
      <c r="AS802" s="39"/>
      <c r="AT802" s="39">
        <f t="shared" si="813"/>
        <v>0</v>
      </c>
      <c r="AU802" s="39"/>
      <c r="AV802" s="39"/>
      <c r="AW802" s="39"/>
      <c r="AX802" s="39"/>
      <c r="AY802" s="39"/>
      <c r="AZ802" s="39">
        <f t="shared" si="814"/>
        <v>0</v>
      </c>
      <c r="BA802" s="39"/>
      <c r="BB802" s="39"/>
      <c r="BC802" s="39"/>
      <c r="BD802" s="39"/>
      <c r="BE802" s="39"/>
      <c r="BF802" s="39">
        <f t="shared" si="815"/>
        <v>0</v>
      </c>
      <c r="BG802" s="39"/>
      <c r="BH802" s="39"/>
      <c r="BI802" s="39"/>
      <c r="BJ802" s="39"/>
      <c r="BK802" s="39"/>
      <c r="BL802" s="39">
        <f t="shared" si="852"/>
        <v>0</v>
      </c>
      <c r="BM802" s="54" t="str">
        <f t="shared" si="816"/>
        <v/>
      </c>
      <c r="BN802" s="56">
        <v>46183</v>
      </c>
      <c r="BO802" s="117">
        <v>46195</v>
      </c>
      <c r="BP802" s="39"/>
      <c r="BQ802" s="39"/>
      <c r="BR802" s="230"/>
      <c r="BS802" s="230"/>
      <c r="BT802" s="39" t="s">
        <v>2103</v>
      </c>
      <c r="BU802" s="39">
        <f>143+20+14</f>
        <v>177</v>
      </c>
      <c r="BV802" s="39" t="s">
        <v>2104</v>
      </c>
      <c r="BW802" s="39">
        <f>10+3</f>
        <v>13</v>
      </c>
      <c r="BX802" s="39"/>
      <c r="BY802" s="39"/>
      <c r="BZ802" s="39">
        <f t="shared" si="853"/>
        <v>190</v>
      </c>
      <c r="CA802" s="39">
        <f t="shared" si="817"/>
        <v>26</v>
      </c>
      <c r="CB802" s="39">
        <f t="shared" si="818"/>
        <v>3</v>
      </c>
      <c r="CC802" s="39">
        <f t="shared" si="819"/>
        <v>0</v>
      </c>
      <c r="CD802" s="39">
        <f t="shared" si="854"/>
        <v>0</v>
      </c>
      <c r="CE802" s="102">
        <f t="shared" si="820"/>
        <v>0</v>
      </c>
      <c r="CF802" s="36"/>
      <c r="CG802" s="39" t="s">
        <v>235</v>
      </c>
      <c r="CH802" s="39" t="s">
        <v>543</v>
      </c>
      <c r="CI802" s="25">
        <v>1</v>
      </c>
    </row>
    <row r="803" spans="1:87" ht="24.75" customHeight="1">
      <c r="A803" s="36" t="s">
        <v>303</v>
      </c>
      <c r="B803" s="55"/>
      <c r="C803" s="36"/>
      <c r="D803" s="36"/>
      <c r="E803" s="39"/>
      <c r="F803" s="39"/>
      <c r="G803" s="36"/>
      <c r="H803" s="39"/>
      <c r="I803" s="39"/>
      <c r="J803" s="39"/>
      <c r="K803" s="39"/>
      <c r="L803" s="39">
        <f t="shared" si="864"/>
        <v>0</v>
      </c>
      <c r="M803" s="39"/>
      <c r="N803" s="39"/>
      <c r="O803" s="39"/>
      <c r="P803" s="39"/>
      <c r="Q803" s="39"/>
      <c r="R803" s="39">
        <f t="shared" si="865"/>
        <v>0</v>
      </c>
      <c r="S803" s="39"/>
      <c r="T803" s="39"/>
      <c r="U803" s="39"/>
      <c r="V803" s="39"/>
      <c r="W803" s="39"/>
      <c r="X803" s="39"/>
      <c r="Y803" s="39"/>
      <c r="Z803" s="39"/>
      <c r="AA803" s="39"/>
      <c r="AB803" s="39">
        <f t="shared" si="866"/>
        <v>0</v>
      </c>
      <c r="AC803" s="39"/>
      <c r="AD803" s="39"/>
      <c r="AE803" s="39"/>
      <c r="AF803" s="39"/>
      <c r="AG803" s="39"/>
      <c r="AH803" s="39">
        <f t="shared" si="851"/>
        <v>0</v>
      </c>
      <c r="AI803" s="39"/>
      <c r="AJ803" s="39"/>
      <c r="AK803" s="39"/>
      <c r="AL803" s="39"/>
      <c r="AM803" s="39"/>
      <c r="AN803" s="39">
        <f t="shared" si="850"/>
        <v>0</v>
      </c>
      <c r="AO803" s="39"/>
      <c r="AP803" s="39"/>
      <c r="AQ803" s="39"/>
      <c r="AR803" s="39"/>
      <c r="AS803" s="39"/>
      <c r="AT803" s="39">
        <f t="shared" si="813"/>
        <v>0</v>
      </c>
      <c r="AU803" s="39"/>
      <c r="AV803" s="39"/>
      <c r="AW803" s="39"/>
      <c r="AX803" s="39"/>
      <c r="AY803" s="39"/>
      <c r="AZ803" s="39">
        <f t="shared" si="814"/>
        <v>0</v>
      </c>
      <c r="BA803" s="39"/>
      <c r="BB803" s="39"/>
      <c r="BC803" s="39"/>
      <c r="BD803" s="39"/>
      <c r="BE803" s="39"/>
      <c r="BF803" s="39">
        <f t="shared" si="815"/>
        <v>0</v>
      </c>
      <c r="BG803" s="39"/>
      <c r="BH803" s="39"/>
      <c r="BI803" s="39"/>
      <c r="BJ803" s="39"/>
      <c r="BK803" s="39"/>
      <c r="BL803" s="39">
        <f t="shared" si="852"/>
        <v>0</v>
      </c>
      <c r="BM803" s="54" t="e">
        <f t="shared" si="816"/>
        <v>#DIV/0!</v>
      </c>
      <c r="BN803" s="42"/>
      <c r="BO803" s="39"/>
      <c r="BP803" s="39"/>
      <c r="BQ803" s="39"/>
      <c r="BR803" s="40"/>
      <c r="BS803" s="40"/>
      <c r="BT803" s="39"/>
      <c r="BU803" s="39"/>
      <c r="BV803" s="39"/>
      <c r="BW803" s="39"/>
      <c r="BX803" s="39"/>
      <c r="BY803" s="39"/>
      <c r="BZ803" s="39">
        <f t="shared" si="853"/>
        <v>0</v>
      </c>
      <c r="CA803" s="39">
        <f t="shared" si="817"/>
        <v>0</v>
      </c>
      <c r="CB803" s="39">
        <f t="shared" si="818"/>
        <v>0</v>
      </c>
      <c r="CC803" s="39">
        <f t="shared" si="819"/>
        <v>0</v>
      </c>
      <c r="CD803" s="39">
        <f t="shared" si="854"/>
        <v>0</v>
      </c>
      <c r="CE803" s="47" t="e">
        <f t="shared" si="820"/>
        <v>#DIV/0!</v>
      </c>
      <c r="CF803" s="36"/>
      <c r="CG803" s="39"/>
      <c r="CH803" s="39"/>
      <c r="CI803" s="25">
        <v>1</v>
      </c>
    </row>
    <row r="804" spans="1:87" ht="24.75" customHeight="1">
      <c r="A804" s="36" t="s">
        <v>303</v>
      </c>
      <c r="B804" s="55"/>
      <c r="C804" s="36"/>
      <c r="D804" s="36"/>
      <c r="E804" s="39"/>
      <c r="F804" s="39"/>
      <c r="G804" s="36"/>
      <c r="H804" s="39"/>
      <c r="I804" s="39"/>
      <c r="J804" s="39"/>
      <c r="K804" s="39"/>
      <c r="L804" s="39">
        <f t="shared" si="864"/>
        <v>0</v>
      </c>
      <c r="M804" s="39"/>
      <c r="N804" s="39"/>
      <c r="O804" s="39"/>
      <c r="P804" s="39"/>
      <c r="Q804" s="39"/>
      <c r="R804" s="39">
        <f t="shared" si="865"/>
        <v>0</v>
      </c>
      <c r="S804" s="39"/>
      <c r="T804" s="39"/>
      <c r="U804" s="39"/>
      <c r="V804" s="39"/>
      <c r="W804" s="39"/>
      <c r="X804" s="39"/>
      <c r="Y804" s="39"/>
      <c r="Z804" s="39"/>
      <c r="AA804" s="39"/>
      <c r="AB804" s="39">
        <f t="shared" si="866"/>
        <v>0</v>
      </c>
      <c r="AC804" s="39"/>
      <c r="AD804" s="39"/>
      <c r="AE804" s="39"/>
      <c r="AF804" s="39"/>
      <c r="AG804" s="39"/>
      <c r="AH804" s="39">
        <f t="shared" si="851"/>
        <v>0</v>
      </c>
      <c r="AI804" s="39"/>
      <c r="AJ804" s="39"/>
      <c r="AK804" s="39"/>
      <c r="AL804" s="39"/>
      <c r="AM804" s="39"/>
      <c r="AN804" s="39">
        <f t="shared" si="850"/>
        <v>0</v>
      </c>
      <c r="AO804" s="39"/>
      <c r="AP804" s="39"/>
      <c r="AQ804" s="39"/>
      <c r="AR804" s="39"/>
      <c r="AS804" s="39"/>
      <c r="AT804" s="39">
        <f t="shared" si="813"/>
        <v>0</v>
      </c>
      <c r="AU804" s="39"/>
      <c r="AV804" s="39"/>
      <c r="AW804" s="39"/>
      <c r="AX804" s="39"/>
      <c r="AY804" s="39"/>
      <c r="AZ804" s="39">
        <f t="shared" si="814"/>
        <v>0</v>
      </c>
      <c r="BA804" s="39"/>
      <c r="BB804" s="39"/>
      <c r="BC804" s="39"/>
      <c r="BD804" s="39"/>
      <c r="BE804" s="39"/>
      <c r="BF804" s="39">
        <f t="shared" si="815"/>
        <v>0</v>
      </c>
      <c r="BG804" s="39"/>
      <c r="BH804" s="39"/>
      <c r="BI804" s="39"/>
      <c r="BJ804" s="39"/>
      <c r="BK804" s="39"/>
      <c r="BL804" s="39">
        <f t="shared" si="852"/>
        <v>0</v>
      </c>
      <c r="BM804" s="54" t="e">
        <f t="shared" si="816"/>
        <v>#DIV/0!</v>
      </c>
      <c r="BN804" s="42"/>
      <c r="BO804" s="39"/>
      <c r="BP804" s="39"/>
      <c r="BQ804" s="39"/>
      <c r="BR804" s="40"/>
      <c r="BS804" s="40"/>
      <c r="BT804" s="39"/>
      <c r="BU804" s="39"/>
      <c r="BV804" s="39"/>
      <c r="BW804" s="39"/>
      <c r="BX804" s="39"/>
      <c r="BY804" s="39"/>
      <c r="BZ804" s="39">
        <f t="shared" si="853"/>
        <v>0</v>
      </c>
      <c r="CA804" s="39">
        <f t="shared" si="817"/>
        <v>0</v>
      </c>
      <c r="CB804" s="39">
        <f t="shared" si="818"/>
        <v>0</v>
      </c>
      <c r="CC804" s="39">
        <f t="shared" si="819"/>
        <v>0</v>
      </c>
      <c r="CD804" s="39">
        <f t="shared" si="854"/>
        <v>0</v>
      </c>
      <c r="CE804" s="47" t="e">
        <f t="shared" si="820"/>
        <v>#DIV/0!</v>
      </c>
      <c r="CF804" s="36"/>
      <c r="CG804" s="39"/>
      <c r="CH804" s="39"/>
      <c r="CI804" s="25">
        <v>1</v>
      </c>
    </row>
    <row r="805" spans="1:87" ht="24.75" customHeight="1">
      <c r="A805" s="36" t="s">
        <v>303</v>
      </c>
      <c r="B805" s="55"/>
      <c r="C805" s="36"/>
      <c r="D805" s="36"/>
      <c r="E805" s="39"/>
      <c r="F805" s="39"/>
      <c r="G805" s="36"/>
      <c r="H805" s="39"/>
      <c r="I805" s="39"/>
      <c r="J805" s="39"/>
      <c r="K805" s="39"/>
      <c r="L805" s="39">
        <f t="shared" si="864"/>
        <v>0</v>
      </c>
      <c r="M805" s="39"/>
      <c r="N805" s="39"/>
      <c r="O805" s="39"/>
      <c r="P805" s="39"/>
      <c r="Q805" s="39"/>
      <c r="R805" s="39">
        <f t="shared" si="865"/>
        <v>0</v>
      </c>
      <c r="S805" s="39"/>
      <c r="T805" s="39"/>
      <c r="U805" s="39"/>
      <c r="V805" s="39"/>
      <c r="W805" s="39"/>
      <c r="X805" s="39"/>
      <c r="Y805" s="39"/>
      <c r="Z805" s="39"/>
      <c r="AA805" s="39"/>
      <c r="AB805" s="39">
        <f t="shared" si="866"/>
        <v>0</v>
      </c>
      <c r="AC805" s="39"/>
      <c r="AD805" s="39"/>
      <c r="AE805" s="39"/>
      <c r="AF805" s="39"/>
      <c r="AG805" s="39"/>
      <c r="AH805" s="39">
        <f t="shared" si="851"/>
        <v>0</v>
      </c>
      <c r="AI805" s="39"/>
      <c r="AJ805" s="39"/>
      <c r="AK805" s="39"/>
      <c r="AL805" s="39"/>
      <c r="AM805" s="39"/>
      <c r="AN805" s="39">
        <f t="shared" si="850"/>
        <v>0</v>
      </c>
      <c r="AO805" s="39"/>
      <c r="AP805" s="39"/>
      <c r="AQ805" s="39"/>
      <c r="AR805" s="39"/>
      <c r="AS805" s="39"/>
      <c r="AT805" s="39">
        <f t="shared" si="813"/>
        <v>0</v>
      </c>
      <c r="AU805" s="39"/>
      <c r="AV805" s="39"/>
      <c r="AW805" s="39"/>
      <c r="AX805" s="39"/>
      <c r="AY805" s="39"/>
      <c r="AZ805" s="39">
        <f t="shared" si="814"/>
        <v>0</v>
      </c>
      <c r="BA805" s="39"/>
      <c r="BB805" s="39"/>
      <c r="BC805" s="39"/>
      <c r="BD805" s="39"/>
      <c r="BE805" s="39"/>
      <c r="BF805" s="39">
        <f t="shared" si="815"/>
        <v>0</v>
      </c>
      <c r="BG805" s="39"/>
      <c r="BH805" s="39"/>
      <c r="BI805" s="39"/>
      <c r="BJ805" s="39"/>
      <c r="BK805" s="39"/>
      <c r="BL805" s="39">
        <f t="shared" si="852"/>
        <v>0</v>
      </c>
      <c r="BM805" s="54" t="e">
        <f t="shared" si="816"/>
        <v>#DIV/0!</v>
      </c>
      <c r="BN805" s="42"/>
      <c r="BO805" s="39"/>
      <c r="BP805" s="39"/>
      <c r="BQ805" s="39"/>
      <c r="BR805" s="40"/>
      <c r="BS805" s="40"/>
      <c r="BT805" s="39"/>
      <c r="BU805" s="39"/>
      <c r="BV805" s="39"/>
      <c r="BW805" s="39"/>
      <c r="BX805" s="39"/>
      <c r="BY805" s="39"/>
      <c r="BZ805" s="39">
        <f t="shared" si="853"/>
        <v>0</v>
      </c>
      <c r="CA805" s="39">
        <f t="shared" si="817"/>
        <v>0</v>
      </c>
      <c r="CB805" s="39">
        <f t="shared" si="818"/>
        <v>0</v>
      </c>
      <c r="CC805" s="39">
        <f t="shared" si="819"/>
        <v>0</v>
      </c>
      <c r="CD805" s="39">
        <f t="shared" si="854"/>
        <v>0</v>
      </c>
      <c r="CE805" s="47" t="e">
        <f t="shared" si="820"/>
        <v>#DIV/0!</v>
      </c>
      <c r="CF805" s="36"/>
      <c r="CG805" s="39"/>
      <c r="CH805" s="39"/>
      <c r="CI805" s="25">
        <v>1</v>
      </c>
    </row>
    <row r="806" spans="1:87" ht="24.75" customHeight="1">
      <c r="A806" s="36" t="s">
        <v>303</v>
      </c>
      <c r="B806" s="55"/>
      <c r="C806" s="36"/>
      <c r="D806" s="36"/>
      <c r="E806" s="39"/>
      <c r="F806" s="39"/>
      <c r="G806" s="36"/>
      <c r="H806" s="39"/>
      <c r="I806" s="39"/>
      <c r="J806" s="39"/>
      <c r="K806" s="39"/>
      <c r="L806" s="39">
        <f t="shared" si="864"/>
        <v>0</v>
      </c>
      <c r="M806" s="39"/>
      <c r="N806" s="39"/>
      <c r="O806" s="39"/>
      <c r="P806" s="39"/>
      <c r="Q806" s="39"/>
      <c r="R806" s="39">
        <f t="shared" si="865"/>
        <v>0</v>
      </c>
      <c r="S806" s="39"/>
      <c r="T806" s="39"/>
      <c r="U806" s="39"/>
      <c r="V806" s="39"/>
      <c r="W806" s="39"/>
      <c r="X806" s="39"/>
      <c r="Y806" s="39"/>
      <c r="Z806" s="39"/>
      <c r="AA806" s="39"/>
      <c r="AB806" s="39">
        <f t="shared" si="866"/>
        <v>0</v>
      </c>
      <c r="AC806" s="39"/>
      <c r="AD806" s="39"/>
      <c r="AE806" s="39"/>
      <c r="AF806" s="39"/>
      <c r="AG806" s="39"/>
      <c r="AH806" s="39">
        <f t="shared" si="851"/>
        <v>0</v>
      </c>
      <c r="AI806" s="39"/>
      <c r="AJ806" s="39"/>
      <c r="AK806" s="39"/>
      <c r="AL806" s="39"/>
      <c r="AM806" s="39"/>
      <c r="AN806" s="39">
        <f t="shared" si="850"/>
        <v>0</v>
      </c>
      <c r="AO806" s="39"/>
      <c r="AP806" s="39"/>
      <c r="AQ806" s="39"/>
      <c r="AR806" s="39"/>
      <c r="AS806" s="39"/>
      <c r="AT806" s="39">
        <f t="shared" si="813"/>
        <v>0</v>
      </c>
      <c r="AU806" s="39"/>
      <c r="AV806" s="39"/>
      <c r="AW806" s="39"/>
      <c r="AX806" s="39"/>
      <c r="AY806" s="39"/>
      <c r="AZ806" s="39">
        <f t="shared" si="814"/>
        <v>0</v>
      </c>
      <c r="BA806" s="39"/>
      <c r="BB806" s="39"/>
      <c r="BC806" s="39"/>
      <c r="BD806" s="39"/>
      <c r="BE806" s="39"/>
      <c r="BF806" s="39">
        <f t="shared" si="815"/>
        <v>0</v>
      </c>
      <c r="BG806" s="39"/>
      <c r="BH806" s="39"/>
      <c r="BI806" s="39"/>
      <c r="BJ806" s="39"/>
      <c r="BK806" s="39"/>
      <c r="BL806" s="39">
        <f t="shared" si="852"/>
        <v>0</v>
      </c>
      <c r="BM806" s="54" t="e">
        <f t="shared" si="816"/>
        <v>#DIV/0!</v>
      </c>
      <c r="BN806" s="42"/>
      <c r="BO806" s="39"/>
      <c r="BP806" s="39"/>
      <c r="BQ806" s="39"/>
      <c r="BR806" s="40"/>
      <c r="BS806" s="40"/>
      <c r="BT806" s="39"/>
      <c r="BU806" s="39"/>
      <c r="BV806" s="39"/>
      <c r="BW806" s="39"/>
      <c r="BX806" s="39"/>
      <c r="BY806" s="39"/>
      <c r="BZ806" s="39">
        <f t="shared" si="853"/>
        <v>0</v>
      </c>
      <c r="CA806" s="39">
        <f t="shared" si="817"/>
        <v>0</v>
      </c>
      <c r="CB806" s="39">
        <f t="shared" si="818"/>
        <v>0</v>
      </c>
      <c r="CC806" s="39">
        <f t="shared" si="819"/>
        <v>0</v>
      </c>
      <c r="CD806" s="39">
        <f t="shared" si="854"/>
        <v>0</v>
      </c>
      <c r="CE806" s="47" t="e">
        <f t="shared" si="820"/>
        <v>#DIV/0!</v>
      </c>
      <c r="CF806" s="36"/>
      <c r="CG806" s="39"/>
      <c r="CH806" s="39"/>
      <c r="CI806" s="25">
        <v>1</v>
      </c>
    </row>
    <row r="807" spans="1:87" ht="24.75" customHeight="1">
      <c r="A807" s="36" t="s">
        <v>303</v>
      </c>
      <c r="B807" s="55"/>
      <c r="C807" s="36"/>
      <c r="D807" s="36"/>
      <c r="E807" s="39"/>
      <c r="F807" s="39"/>
      <c r="G807" s="36"/>
      <c r="H807" s="39"/>
      <c r="I807" s="39"/>
      <c r="J807" s="39"/>
      <c r="K807" s="39"/>
      <c r="L807" s="39">
        <f t="shared" si="864"/>
        <v>0</v>
      </c>
      <c r="M807" s="39"/>
      <c r="N807" s="39"/>
      <c r="O807" s="39"/>
      <c r="P807" s="39"/>
      <c r="Q807" s="39"/>
      <c r="R807" s="39">
        <f t="shared" si="865"/>
        <v>0</v>
      </c>
      <c r="S807" s="39"/>
      <c r="T807" s="39"/>
      <c r="U807" s="39"/>
      <c r="V807" s="39"/>
      <c r="W807" s="39"/>
      <c r="X807" s="39"/>
      <c r="Y807" s="39"/>
      <c r="Z807" s="39"/>
      <c r="AA807" s="39"/>
      <c r="AB807" s="39">
        <f t="shared" si="866"/>
        <v>0</v>
      </c>
      <c r="AC807" s="39"/>
      <c r="AD807" s="39"/>
      <c r="AE807" s="39"/>
      <c r="AF807" s="39"/>
      <c r="AG807" s="39"/>
      <c r="AH807" s="39">
        <f t="shared" si="851"/>
        <v>0</v>
      </c>
      <c r="AI807" s="39"/>
      <c r="AJ807" s="39"/>
      <c r="AK807" s="39"/>
      <c r="AL807" s="39"/>
      <c r="AM807" s="39"/>
      <c r="AN807" s="39">
        <f t="shared" si="850"/>
        <v>0</v>
      </c>
      <c r="AO807" s="39"/>
      <c r="AP807" s="39"/>
      <c r="AQ807" s="39"/>
      <c r="AR807" s="39"/>
      <c r="AS807" s="39"/>
      <c r="AT807" s="39">
        <f t="shared" si="813"/>
        <v>0</v>
      </c>
      <c r="AU807" s="39"/>
      <c r="AV807" s="39"/>
      <c r="AW807" s="39"/>
      <c r="AX807" s="39"/>
      <c r="AY807" s="39"/>
      <c r="AZ807" s="39">
        <f t="shared" si="814"/>
        <v>0</v>
      </c>
      <c r="BA807" s="39"/>
      <c r="BB807" s="39"/>
      <c r="BC807" s="39"/>
      <c r="BD807" s="39"/>
      <c r="BE807" s="39"/>
      <c r="BF807" s="39">
        <f t="shared" si="815"/>
        <v>0</v>
      </c>
      <c r="BG807" s="39"/>
      <c r="BH807" s="39"/>
      <c r="BI807" s="39"/>
      <c r="BJ807" s="39"/>
      <c r="BK807" s="39"/>
      <c r="BL807" s="39">
        <f t="shared" si="852"/>
        <v>0</v>
      </c>
      <c r="BM807" s="54" t="e">
        <f t="shared" si="816"/>
        <v>#DIV/0!</v>
      </c>
      <c r="BN807" s="42"/>
      <c r="BO807" s="39"/>
      <c r="BP807" s="39"/>
      <c r="BQ807" s="39"/>
      <c r="BR807" s="40"/>
      <c r="BS807" s="40"/>
      <c r="BT807" s="39"/>
      <c r="BU807" s="39"/>
      <c r="BV807" s="39"/>
      <c r="BW807" s="39"/>
      <c r="BX807" s="39"/>
      <c r="BY807" s="39"/>
      <c r="BZ807" s="39">
        <f t="shared" si="853"/>
        <v>0</v>
      </c>
      <c r="CA807" s="39">
        <f t="shared" si="817"/>
        <v>0</v>
      </c>
      <c r="CB807" s="39">
        <f t="shared" si="818"/>
        <v>0</v>
      </c>
      <c r="CC807" s="39">
        <f t="shared" si="819"/>
        <v>0</v>
      </c>
      <c r="CD807" s="39">
        <f t="shared" si="854"/>
        <v>0</v>
      </c>
      <c r="CE807" s="47" t="e">
        <f t="shared" si="820"/>
        <v>#DIV/0!</v>
      </c>
      <c r="CF807" s="36"/>
      <c r="CG807" s="39"/>
      <c r="CH807" s="39"/>
      <c r="CI807" s="25">
        <v>1</v>
      </c>
    </row>
    <row r="808" spans="1:87" ht="24.75" customHeight="1">
      <c r="A808" s="36" t="s">
        <v>303</v>
      </c>
      <c r="B808" s="55">
        <v>47719</v>
      </c>
      <c r="C808" s="227" t="s">
        <v>1037</v>
      </c>
      <c r="D808" s="36"/>
      <c r="E808" s="39">
        <v>340</v>
      </c>
      <c r="F808" s="39" t="s">
        <v>59</v>
      </c>
      <c r="G808" s="36" t="s">
        <v>345</v>
      </c>
      <c r="H808" s="36" t="s">
        <v>781</v>
      </c>
      <c r="I808" s="39">
        <v>281</v>
      </c>
      <c r="J808" s="39">
        <v>23</v>
      </c>
      <c r="K808" s="39"/>
      <c r="L808" s="39">
        <f t="shared" si="864"/>
        <v>304</v>
      </c>
      <c r="M808" s="117">
        <v>46167</v>
      </c>
      <c r="N808" s="117">
        <v>46183</v>
      </c>
      <c r="O808" s="39"/>
      <c r="P808" s="39"/>
      <c r="Q808" s="39"/>
      <c r="R808" s="39">
        <f t="shared" ref="R808:R810" si="889">SUM(O808:Q808)</f>
        <v>0</v>
      </c>
      <c r="S808" s="39" t="s">
        <v>130</v>
      </c>
      <c r="T808" s="39">
        <v>107106</v>
      </c>
      <c r="U808" s="117">
        <v>46195</v>
      </c>
      <c r="V808" s="39"/>
      <c r="W808" s="39"/>
      <c r="X808" s="39"/>
      <c r="Y808" s="39">
        <v>323</v>
      </c>
      <c r="Z808" s="39">
        <v>29</v>
      </c>
      <c r="AA808" s="39"/>
      <c r="AB808" s="119">
        <f t="shared" si="866"/>
        <v>352</v>
      </c>
      <c r="AC808" s="39"/>
      <c r="AD808" s="39"/>
      <c r="AE808" s="39"/>
      <c r="AF808" s="39"/>
      <c r="AG808" s="39"/>
      <c r="AH808" s="39">
        <f t="shared" si="851"/>
        <v>0</v>
      </c>
      <c r="AI808" s="39"/>
      <c r="AJ808" s="39"/>
      <c r="AK808" s="39"/>
      <c r="AL808" s="39"/>
      <c r="AM808" s="39"/>
      <c r="AN808" s="39">
        <f t="shared" si="850"/>
        <v>0</v>
      </c>
      <c r="AO808" s="39"/>
      <c r="AP808" s="39"/>
      <c r="AQ808" s="39"/>
      <c r="AR808" s="39"/>
      <c r="AS808" s="39"/>
      <c r="AT808" s="39">
        <f t="shared" si="813"/>
        <v>0</v>
      </c>
      <c r="AU808" s="39"/>
      <c r="AV808" s="39"/>
      <c r="AW808" s="39"/>
      <c r="AX808" s="39"/>
      <c r="AY808" s="39"/>
      <c r="AZ808" s="39">
        <f t="shared" si="814"/>
        <v>0</v>
      </c>
      <c r="BA808" s="39"/>
      <c r="BB808" s="39"/>
      <c r="BC808" s="39"/>
      <c r="BD808" s="39"/>
      <c r="BE808" s="39"/>
      <c r="BF808" s="39">
        <f t="shared" si="815"/>
        <v>0</v>
      </c>
      <c r="BG808" s="39"/>
      <c r="BH808" s="39"/>
      <c r="BI808" s="39"/>
      <c r="BJ808" s="39"/>
      <c r="BK808" s="39"/>
      <c r="BL808" s="39">
        <f t="shared" si="852"/>
        <v>0</v>
      </c>
      <c r="BM808" s="54" t="str">
        <f t="shared" si="816"/>
        <v/>
      </c>
      <c r="BN808" s="66">
        <v>46187</v>
      </c>
      <c r="BO808" s="117">
        <v>46197</v>
      </c>
      <c r="BP808" s="39"/>
      <c r="BQ808" s="39"/>
      <c r="BR808" s="229">
        <v>46200</v>
      </c>
      <c r="BS808" s="229">
        <v>46211</v>
      </c>
      <c r="BT808" s="39" t="s">
        <v>1454</v>
      </c>
      <c r="BU808" s="39">
        <f>242+16+28</f>
        <v>286</v>
      </c>
      <c r="BV808" s="39">
        <v>1568</v>
      </c>
      <c r="BW808" s="39">
        <v>24</v>
      </c>
      <c r="BX808" s="39"/>
      <c r="BY808" s="39"/>
      <c r="BZ808" s="39">
        <f t="shared" si="853"/>
        <v>310</v>
      </c>
      <c r="CA808" s="39">
        <f t="shared" si="817"/>
        <v>5</v>
      </c>
      <c r="CB808" s="39">
        <f t="shared" si="818"/>
        <v>1</v>
      </c>
      <c r="CC808" s="39">
        <f t="shared" si="819"/>
        <v>0</v>
      </c>
      <c r="CD808" s="39">
        <f t="shared" si="854"/>
        <v>0</v>
      </c>
      <c r="CE808" s="102">
        <f t="shared" si="820"/>
        <v>0</v>
      </c>
      <c r="CF808" s="36"/>
      <c r="CG808" s="39" t="s">
        <v>235</v>
      </c>
      <c r="CH808" s="39" t="s">
        <v>543</v>
      </c>
      <c r="CI808" s="25">
        <v>2</v>
      </c>
    </row>
    <row r="809" spans="1:87" ht="24.75" customHeight="1">
      <c r="A809" s="36" t="s">
        <v>303</v>
      </c>
      <c r="B809" s="55">
        <v>47719</v>
      </c>
      <c r="C809" s="231"/>
      <c r="D809" s="36"/>
      <c r="E809" s="39"/>
      <c r="F809" s="39"/>
      <c r="G809" s="36" t="s">
        <v>1036</v>
      </c>
      <c r="H809" s="36">
        <f>1000+1000</f>
        <v>2000</v>
      </c>
      <c r="I809" s="39" t="s">
        <v>90</v>
      </c>
      <c r="J809" s="39"/>
      <c r="K809" s="39"/>
      <c r="L809" s="39">
        <f t="shared" si="864"/>
        <v>0</v>
      </c>
      <c r="M809" s="117">
        <v>46167</v>
      </c>
      <c r="N809" s="117">
        <v>46183</v>
      </c>
      <c r="O809" s="39"/>
      <c r="P809" s="39"/>
      <c r="Q809" s="39"/>
      <c r="R809" s="39">
        <f t="shared" si="889"/>
        <v>0</v>
      </c>
      <c r="S809" s="39" t="s">
        <v>130</v>
      </c>
      <c r="T809" s="39" t="s">
        <v>2027</v>
      </c>
      <c r="U809" s="117" t="s">
        <v>2028</v>
      </c>
      <c r="V809" s="39"/>
      <c r="W809" s="39"/>
      <c r="X809" s="39"/>
      <c r="Y809" s="39">
        <f>2+32+26</f>
        <v>60</v>
      </c>
      <c r="Z809" s="39"/>
      <c r="AA809" s="39"/>
      <c r="AB809" s="39">
        <f t="shared" si="866"/>
        <v>60</v>
      </c>
      <c r="AC809" s="39"/>
      <c r="AD809" s="39"/>
      <c r="AE809" s="39"/>
      <c r="AF809" s="39"/>
      <c r="AG809" s="39"/>
      <c r="AH809" s="39">
        <f t="shared" si="851"/>
        <v>0</v>
      </c>
      <c r="AI809" s="39"/>
      <c r="AJ809" s="39"/>
      <c r="AK809" s="39"/>
      <c r="AL809" s="39"/>
      <c r="AM809" s="39"/>
      <c r="AN809" s="39">
        <f t="shared" si="850"/>
        <v>0</v>
      </c>
      <c r="AO809" s="39"/>
      <c r="AP809" s="39"/>
      <c r="AQ809" s="39"/>
      <c r="AR809" s="39"/>
      <c r="AS809" s="39"/>
      <c r="AT809" s="39">
        <f t="shared" si="813"/>
        <v>0</v>
      </c>
      <c r="AU809" s="39"/>
      <c r="AV809" s="39"/>
      <c r="AW809" s="39"/>
      <c r="AX809" s="39"/>
      <c r="AY809" s="39"/>
      <c r="AZ809" s="39">
        <f t="shared" si="814"/>
        <v>0</v>
      </c>
      <c r="BA809" s="39"/>
      <c r="BB809" s="39"/>
      <c r="BC809" s="39"/>
      <c r="BD809" s="39"/>
      <c r="BE809" s="39"/>
      <c r="BF809" s="39">
        <f t="shared" si="815"/>
        <v>0</v>
      </c>
      <c r="BG809" s="39"/>
      <c r="BH809" s="39"/>
      <c r="BI809" s="39"/>
      <c r="BJ809" s="39"/>
      <c r="BK809" s="39"/>
      <c r="BL809" s="39">
        <f t="shared" si="852"/>
        <v>0</v>
      </c>
      <c r="BM809" s="54" t="e">
        <f t="shared" si="816"/>
        <v>#DIV/0!</v>
      </c>
      <c r="BN809" s="66">
        <v>46187</v>
      </c>
      <c r="BO809" s="117">
        <v>46197</v>
      </c>
      <c r="BP809" s="39"/>
      <c r="BQ809" s="39"/>
      <c r="BR809" s="232"/>
      <c r="BS809" s="232"/>
      <c r="BT809" s="39" t="s">
        <v>2043</v>
      </c>
      <c r="BU809" s="39"/>
      <c r="BV809" s="39"/>
      <c r="BW809" s="39"/>
      <c r="BX809" s="39"/>
      <c r="BY809" s="39"/>
      <c r="BZ809" s="39">
        <f t="shared" si="853"/>
        <v>0</v>
      </c>
      <c r="CA809" s="39" t="e">
        <f t="shared" si="817"/>
        <v>#VALUE!</v>
      </c>
      <c r="CB809" s="39">
        <f t="shared" si="818"/>
        <v>0</v>
      </c>
      <c r="CC809" s="39">
        <f t="shared" si="819"/>
        <v>0</v>
      </c>
      <c r="CD809" s="39">
        <f t="shared" si="854"/>
        <v>0</v>
      </c>
      <c r="CE809" s="102" t="e">
        <f t="shared" si="820"/>
        <v>#DIV/0!</v>
      </c>
      <c r="CF809" s="36"/>
      <c r="CG809" s="39" t="s">
        <v>235</v>
      </c>
      <c r="CH809" s="39"/>
      <c r="CI809" s="25">
        <v>2</v>
      </c>
    </row>
    <row r="810" spans="1:87" ht="24.75" customHeight="1">
      <c r="A810" s="36" t="s">
        <v>303</v>
      </c>
      <c r="B810" s="55">
        <v>47719</v>
      </c>
      <c r="C810" s="228"/>
      <c r="D810" s="36"/>
      <c r="E810" s="39"/>
      <c r="F810" s="39"/>
      <c r="G810" s="36" t="s">
        <v>315</v>
      </c>
      <c r="H810" s="36">
        <v>500</v>
      </c>
      <c r="I810" s="39" t="s">
        <v>90</v>
      </c>
      <c r="J810" s="39"/>
      <c r="K810" s="39"/>
      <c r="L810" s="39">
        <f t="shared" si="864"/>
        <v>0</v>
      </c>
      <c r="M810" s="117">
        <v>46167</v>
      </c>
      <c r="N810" s="117">
        <v>46183</v>
      </c>
      <c r="O810" s="39"/>
      <c r="P810" s="39"/>
      <c r="Q810" s="39"/>
      <c r="R810" s="39">
        <f t="shared" si="889"/>
        <v>0</v>
      </c>
      <c r="S810" s="39" t="s">
        <v>130</v>
      </c>
      <c r="T810" s="39"/>
      <c r="U810" s="39"/>
      <c r="V810" s="39"/>
      <c r="W810" s="39"/>
      <c r="X810" s="39"/>
      <c r="Y810" s="39"/>
      <c r="Z810" s="39"/>
      <c r="AA810" s="39"/>
      <c r="AB810" s="39">
        <f t="shared" si="866"/>
        <v>0</v>
      </c>
      <c r="AC810" s="39"/>
      <c r="AD810" s="39"/>
      <c r="AE810" s="39"/>
      <c r="AF810" s="39"/>
      <c r="AG810" s="39"/>
      <c r="AH810" s="39">
        <f t="shared" si="851"/>
        <v>0</v>
      </c>
      <c r="AI810" s="39"/>
      <c r="AJ810" s="39"/>
      <c r="AK810" s="39"/>
      <c r="AL810" s="39"/>
      <c r="AM810" s="39"/>
      <c r="AN810" s="39">
        <f t="shared" si="850"/>
        <v>0</v>
      </c>
      <c r="AO810" s="39"/>
      <c r="AP810" s="39"/>
      <c r="AQ810" s="39"/>
      <c r="AR810" s="39"/>
      <c r="AS810" s="39"/>
      <c r="AT810" s="39">
        <f t="shared" si="813"/>
        <v>0</v>
      </c>
      <c r="AU810" s="39"/>
      <c r="AV810" s="39"/>
      <c r="AW810" s="39"/>
      <c r="AX810" s="39"/>
      <c r="AY810" s="39"/>
      <c r="AZ810" s="39">
        <f t="shared" si="814"/>
        <v>0</v>
      </c>
      <c r="BA810" s="39"/>
      <c r="BB810" s="39"/>
      <c r="BC810" s="39"/>
      <c r="BD810" s="39"/>
      <c r="BE810" s="39"/>
      <c r="BF810" s="39">
        <f t="shared" si="815"/>
        <v>0</v>
      </c>
      <c r="BG810" s="39"/>
      <c r="BH810" s="39"/>
      <c r="BI810" s="39"/>
      <c r="BJ810" s="39"/>
      <c r="BK810" s="39"/>
      <c r="BL810" s="39">
        <f t="shared" si="852"/>
        <v>0</v>
      </c>
      <c r="BM810" s="54" t="e">
        <f t="shared" si="816"/>
        <v>#DIV/0!</v>
      </c>
      <c r="BN810" s="66">
        <v>46187</v>
      </c>
      <c r="BO810" s="117">
        <v>46197</v>
      </c>
      <c r="BP810" s="39"/>
      <c r="BQ810" s="39"/>
      <c r="BR810" s="230"/>
      <c r="BS810" s="230"/>
      <c r="BT810" s="39" t="s">
        <v>1970</v>
      </c>
      <c r="BU810" s="39"/>
      <c r="BV810" s="39"/>
      <c r="BW810" s="39"/>
      <c r="BX810" s="39"/>
      <c r="BY810" s="39"/>
      <c r="BZ810" s="39">
        <f t="shared" si="853"/>
        <v>0</v>
      </c>
      <c r="CA810" s="39" t="e">
        <f t="shared" si="817"/>
        <v>#VALUE!</v>
      </c>
      <c r="CB810" s="39">
        <f t="shared" si="818"/>
        <v>0</v>
      </c>
      <c r="CC810" s="39">
        <f t="shared" si="819"/>
        <v>0</v>
      </c>
      <c r="CD810" s="39">
        <f t="shared" si="854"/>
        <v>0</v>
      </c>
      <c r="CE810" s="102" t="e">
        <f t="shared" si="820"/>
        <v>#DIV/0!</v>
      </c>
      <c r="CF810" s="36"/>
      <c r="CG810" s="39" t="s">
        <v>235</v>
      </c>
      <c r="CH810" s="39"/>
      <c r="CI810" s="25">
        <v>2</v>
      </c>
    </row>
    <row r="811" spans="1:87" ht="24.75" customHeight="1">
      <c r="A811" s="36" t="s">
        <v>303</v>
      </c>
      <c r="B811" s="55">
        <v>47724</v>
      </c>
      <c r="C811" s="227" t="s">
        <v>786</v>
      </c>
      <c r="D811" s="36" t="s">
        <v>45</v>
      </c>
      <c r="E811" s="39">
        <v>340</v>
      </c>
      <c r="F811" s="39" t="s">
        <v>65</v>
      </c>
      <c r="G811" s="36" t="s">
        <v>23</v>
      </c>
      <c r="H811" s="36" t="s">
        <v>475</v>
      </c>
      <c r="I811" s="39">
        <v>302</v>
      </c>
      <c r="J811" s="39">
        <v>85</v>
      </c>
      <c r="K811" s="39">
        <v>8</v>
      </c>
      <c r="L811" s="39">
        <f t="shared" si="864"/>
        <v>395</v>
      </c>
      <c r="M811" s="117">
        <v>46159</v>
      </c>
      <c r="N811" s="117">
        <v>46181</v>
      </c>
      <c r="O811" s="39"/>
      <c r="P811" s="39"/>
      <c r="Q811" s="39"/>
      <c r="R811" s="39">
        <f t="shared" ref="R811:R818" si="890">SUM(O811:Q811)</f>
        <v>0</v>
      </c>
      <c r="S811" s="39" t="s">
        <v>130</v>
      </c>
      <c r="T811" s="39">
        <v>107072</v>
      </c>
      <c r="U811" s="117">
        <v>46194</v>
      </c>
      <c r="V811" s="39"/>
      <c r="W811" s="39"/>
      <c r="X811" s="39"/>
      <c r="Y811" s="39">
        <v>370</v>
      </c>
      <c r="Z811" s="39">
        <v>89</v>
      </c>
      <c r="AA811" s="39">
        <v>11</v>
      </c>
      <c r="AB811" s="119">
        <f t="shared" si="866"/>
        <v>470</v>
      </c>
      <c r="AC811" s="39"/>
      <c r="AD811" s="39"/>
      <c r="AE811" s="39"/>
      <c r="AF811" s="39"/>
      <c r="AG811" s="39"/>
      <c r="AH811" s="39">
        <f t="shared" si="851"/>
        <v>0</v>
      </c>
      <c r="AI811" s="39"/>
      <c r="AJ811" s="39"/>
      <c r="AK811" s="39"/>
      <c r="AL811" s="39"/>
      <c r="AM811" s="39"/>
      <c r="AN811" s="39">
        <f t="shared" si="850"/>
        <v>0</v>
      </c>
      <c r="AO811" s="39" t="s">
        <v>280</v>
      </c>
      <c r="AP811" s="117">
        <v>46195</v>
      </c>
      <c r="AQ811" s="39">
        <v>355</v>
      </c>
      <c r="AR811" s="117" t="s">
        <v>1243</v>
      </c>
      <c r="AS811" s="39">
        <f>27+329</f>
        <v>356</v>
      </c>
      <c r="AT811" s="39">
        <f t="shared" si="813"/>
        <v>1</v>
      </c>
      <c r="AU811" s="39" t="s">
        <v>257</v>
      </c>
      <c r="AV811" s="117" t="s">
        <v>1243</v>
      </c>
      <c r="AW811" s="39">
        <f>27+329</f>
        <v>356</v>
      </c>
      <c r="AX811" s="117" t="s">
        <v>1252</v>
      </c>
      <c r="AY811" s="39">
        <f>26+324</f>
        <v>350</v>
      </c>
      <c r="AZ811" s="39">
        <f t="shared" si="814"/>
        <v>-6</v>
      </c>
      <c r="BA811" s="39"/>
      <c r="BB811" s="39"/>
      <c r="BC811" s="39"/>
      <c r="BD811" s="39"/>
      <c r="BE811" s="39"/>
      <c r="BF811" s="39">
        <f t="shared" si="815"/>
        <v>0</v>
      </c>
      <c r="BG811" s="39"/>
      <c r="BH811" s="39"/>
      <c r="BI811" s="39"/>
      <c r="BJ811" s="39"/>
      <c r="BK811" s="39"/>
      <c r="BL811" s="39">
        <f t="shared" si="852"/>
        <v>0</v>
      </c>
      <c r="BM811" s="54" t="str">
        <f t="shared" si="816"/>
        <v/>
      </c>
      <c r="BN811" s="66">
        <v>46185</v>
      </c>
      <c r="BO811" s="117">
        <v>46200</v>
      </c>
      <c r="BP811" s="39"/>
      <c r="BQ811" s="39"/>
      <c r="BR811" s="229">
        <v>46202</v>
      </c>
      <c r="BS811" s="229">
        <v>46231</v>
      </c>
      <c r="BT811" s="39" t="s">
        <v>1420</v>
      </c>
      <c r="BU811" s="39">
        <f>19+273-48+58</f>
        <v>302</v>
      </c>
      <c r="BV811" s="39">
        <v>1571</v>
      </c>
      <c r="BW811" s="39">
        <v>88</v>
      </c>
      <c r="BX811" s="39">
        <v>1571</v>
      </c>
      <c r="BY811" s="39">
        <v>12</v>
      </c>
      <c r="BZ811" s="39">
        <f t="shared" si="853"/>
        <v>402</v>
      </c>
      <c r="CA811" s="39">
        <f t="shared" si="817"/>
        <v>0</v>
      </c>
      <c r="CB811" s="39">
        <f t="shared" si="818"/>
        <v>3</v>
      </c>
      <c r="CC811" s="39">
        <f t="shared" si="819"/>
        <v>4</v>
      </c>
      <c r="CD811" s="39">
        <f t="shared" si="854"/>
        <v>0</v>
      </c>
      <c r="CE811" s="102">
        <f t="shared" si="820"/>
        <v>0</v>
      </c>
      <c r="CF811" s="36"/>
      <c r="CG811" s="39" t="s">
        <v>235</v>
      </c>
      <c r="CH811" s="39" t="s">
        <v>2004</v>
      </c>
      <c r="CI811" s="25">
        <v>2</v>
      </c>
    </row>
    <row r="812" spans="1:87" ht="24.75" customHeight="1">
      <c r="A812" s="36" t="s">
        <v>303</v>
      </c>
      <c r="B812" s="55">
        <v>47724</v>
      </c>
      <c r="C812" s="231"/>
      <c r="D812" s="36" t="s">
        <v>45</v>
      </c>
      <c r="E812" s="39">
        <v>340</v>
      </c>
      <c r="F812" s="39" t="s">
        <v>65</v>
      </c>
      <c r="G812" s="36" t="s">
        <v>41</v>
      </c>
      <c r="H812" s="36" t="s">
        <v>475</v>
      </c>
      <c r="I812" s="39">
        <v>473</v>
      </c>
      <c r="J812" s="39">
        <v>133</v>
      </c>
      <c r="K812" s="39">
        <v>10</v>
      </c>
      <c r="L812" s="39">
        <f t="shared" si="864"/>
        <v>616</v>
      </c>
      <c r="M812" s="117">
        <v>46159</v>
      </c>
      <c r="N812" s="117">
        <v>46181</v>
      </c>
      <c r="O812" s="39"/>
      <c r="P812" s="39"/>
      <c r="Q812" s="39"/>
      <c r="R812" s="39">
        <f t="shared" si="890"/>
        <v>0</v>
      </c>
      <c r="S812" s="39" t="s">
        <v>130</v>
      </c>
      <c r="T812" s="39">
        <v>107109</v>
      </c>
      <c r="U812" s="117">
        <v>46196</v>
      </c>
      <c r="V812" s="39"/>
      <c r="W812" s="39"/>
      <c r="X812" s="39"/>
      <c r="Y812" s="39">
        <v>551</v>
      </c>
      <c r="Z812" s="39">
        <v>156</v>
      </c>
      <c r="AA812" s="39">
        <v>13</v>
      </c>
      <c r="AB812" s="119">
        <f t="shared" si="866"/>
        <v>720</v>
      </c>
      <c r="AC812" s="39"/>
      <c r="AD812" s="39"/>
      <c r="AE812" s="39"/>
      <c r="AF812" s="39"/>
      <c r="AG812" s="39"/>
      <c r="AH812" s="39">
        <f t="shared" si="851"/>
        <v>0</v>
      </c>
      <c r="AI812" s="39"/>
      <c r="AJ812" s="39"/>
      <c r="AK812" s="39"/>
      <c r="AL812" s="39"/>
      <c r="AM812" s="39"/>
      <c r="AN812" s="39">
        <f t="shared" si="850"/>
        <v>0</v>
      </c>
      <c r="AO812" s="39" t="s">
        <v>280</v>
      </c>
      <c r="AP812" s="117">
        <v>46198</v>
      </c>
      <c r="AQ812" s="39">
        <v>527</v>
      </c>
      <c r="AR812" s="117" t="s">
        <v>1273</v>
      </c>
      <c r="AS812" s="39">
        <f>15+522</f>
        <v>537</v>
      </c>
      <c r="AT812" s="39">
        <f t="shared" si="813"/>
        <v>10</v>
      </c>
      <c r="AU812" s="39" t="s">
        <v>274</v>
      </c>
      <c r="AV812" s="117" t="s">
        <v>1273</v>
      </c>
      <c r="AW812" s="39">
        <f>15+522</f>
        <v>537</v>
      </c>
      <c r="AX812" s="117" t="s">
        <v>1303</v>
      </c>
      <c r="AY812" s="39">
        <f>15+518</f>
        <v>533</v>
      </c>
      <c r="AZ812" s="39">
        <f t="shared" si="814"/>
        <v>-4</v>
      </c>
      <c r="BA812" s="39"/>
      <c r="BB812" s="39"/>
      <c r="BC812" s="39"/>
      <c r="BD812" s="39"/>
      <c r="BE812" s="39"/>
      <c r="BF812" s="39">
        <f t="shared" si="815"/>
        <v>0</v>
      </c>
      <c r="BG812" s="39"/>
      <c r="BH812" s="39"/>
      <c r="BI812" s="39"/>
      <c r="BJ812" s="39"/>
      <c r="BK812" s="39"/>
      <c r="BL812" s="39">
        <f t="shared" si="852"/>
        <v>0</v>
      </c>
      <c r="BM812" s="54" t="str">
        <f t="shared" si="816"/>
        <v/>
      </c>
      <c r="BN812" s="66">
        <v>46185</v>
      </c>
      <c r="BO812" s="117">
        <v>46200</v>
      </c>
      <c r="BP812" s="39"/>
      <c r="BQ812" s="39"/>
      <c r="BR812" s="232"/>
      <c r="BS812" s="232"/>
      <c r="BT812" s="39" t="s">
        <v>1824</v>
      </c>
      <c r="BU812" s="39">
        <f>10+414+57</f>
        <v>481</v>
      </c>
      <c r="BV812" s="39">
        <v>1571</v>
      </c>
      <c r="BW812" s="39">
        <v>138</v>
      </c>
      <c r="BX812" s="39">
        <v>1571</v>
      </c>
      <c r="BY812" s="39">
        <v>12</v>
      </c>
      <c r="BZ812" s="39">
        <f t="shared" si="853"/>
        <v>631</v>
      </c>
      <c r="CA812" s="39">
        <f t="shared" si="817"/>
        <v>8</v>
      </c>
      <c r="CB812" s="39">
        <f t="shared" si="818"/>
        <v>5</v>
      </c>
      <c r="CC812" s="39">
        <f t="shared" si="819"/>
        <v>2</v>
      </c>
      <c r="CD812" s="39">
        <f t="shared" si="854"/>
        <v>0</v>
      </c>
      <c r="CE812" s="102">
        <f t="shared" si="820"/>
        <v>0</v>
      </c>
      <c r="CF812" s="36"/>
      <c r="CG812" s="39" t="s">
        <v>235</v>
      </c>
      <c r="CH812" s="39" t="s">
        <v>561</v>
      </c>
      <c r="CI812" s="25">
        <v>2</v>
      </c>
    </row>
    <row r="813" spans="1:87" ht="24.75" customHeight="1">
      <c r="A813" s="36" t="s">
        <v>303</v>
      </c>
      <c r="B813" s="55">
        <v>47724</v>
      </c>
      <c r="C813" s="231"/>
      <c r="D813" s="36" t="s">
        <v>45</v>
      </c>
      <c r="E813" s="39">
        <v>340</v>
      </c>
      <c r="F813" s="39" t="s">
        <v>65</v>
      </c>
      <c r="G813" s="36" t="s">
        <v>314</v>
      </c>
      <c r="H813" s="36" t="s">
        <v>475</v>
      </c>
      <c r="I813" s="39">
        <v>357</v>
      </c>
      <c r="J813" s="39">
        <v>100</v>
      </c>
      <c r="K813" s="39">
        <v>8</v>
      </c>
      <c r="L813" s="39">
        <f t="shared" si="864"/>
        <v>465</v>
      </c>
      <c r="M813" s="117">
        <v>46159</v>
      </c>
      <c r="N813" s="117">
        <v>46181</v>
      </c>
      <c r="O813" s="39"/>
      <c r="P813" s="39"/>
      <c r="Q813" s="39"/>
      <c r="R813" s="39">
        <f t="shared" si="890"/>
        <v>0</v>
      </c>
      <c r="S813" s="39" t="s">
        <v>130</v>
      </c>
      <c r="T813" s="39">
        <v>107092</v>
      </c>
      <c r="U813" s="117">
        <v>46194</v>
      </c>
      <c r="V813" s="39"/>
      <c r="W813" s="39"/>
      <c r="X813" s="39"/>
      <c r="Y813" s="39">
        <v>424</v>
      </c>
      <c r="Z813" s="39">
        <v>122</v>
      </c>
      <c r="AA813" s="39">
        <v>12</v>
      </c>
      <c r="AB813" s="119">
        <f t="shared" si="866"/>
        <v>558</v>
      </c>
      <c r="AC813" s="39"/>
      <c r="AD813" s="39"/>
      <c r="AE813" s="39"/>
      <c r="AF813" s="39"/>
      <c r="AG813" s="39"/>
      <c r="AH813" s="39">
        <f t="shared" si="851"/>
        <v>0</v>
      </c>
      <c r="AI813" s="39"/>
      <c r="AJ813" s="39"/>
      <c r="AK813" s="39"/>
      <c r="AL813" s="39"/>
      <c r="AM813" s="39"/>
      <c r="AN813" s="39">
        <f t="shared" si="850"/>
        <v>0</v>
      </c>
      <c r="AO813" s="39" t="s">
        <v>280</v>
      </c>
      <c r="AP813" s="117">
        <v>46195</v>
      </c>
      <c r="AQ813" s="39">
        <v>397</v>
      </c>
      <c r="AR813" s="117" t="s">
        <v>1287</v>
      </c>
      <c r="AS813" s="39">
        <f>29+366</f>
        <v>395</v>
      </c>
      <c r="AT813" s="39">
        <f t="shared" si="813"/>
        <v>-2</v>
      </c>
      <c r="AU813" s="39" t="s">
        <v>274</v>
      </c>
      <c r="AV813" s="117" t="s">
        <v>1287</v>
      </c>
      <c r="AW813" s="39">
        <f>29+366</f>
        <v>395</v>
      </c>
      <c r="AX813" s="117" t="s">
        <v>1353</v>
      </c>
      <c r="AY813" s="39">
        <f>28+364</f>
        <v>392</v>
      </c>
      <c r="AZ813" s="39">
        <f t="shared" si="814"/>
        <v>-3</v>
      </c>
      <c r="BA813" s="39"/>
      <c r="BB813" s="39"/>
      <c r="BC813" s="39"/>
      <c r="BD813" s="39"/>
      <c r="BE813" s="39"/>
      <c r="BF813" s="39">
        <f t="shared" si="815"/>
        <v>0</v>
      </c>
      <c r="BG813" s="39"/>
      <c r="BH813" s="39"/>
      <c r="BI813" s="39"/>
      <c r="BJ813" s="39"/>
      <c r="BK813" s="39"/>
      <c r="BL813" s="39">
        <f t="shared" si="852"/>
        <v>0</v>
      </c>
      <c r="BM813" s="54" t="str">
        <f t="shared" si="816"/>
        <v/>
      </c>
      <c r="BN813" s="66">
        <v>46185</v>
      </c>
      <c r="BO813" s="117">
        <v>46200</v>
      </c>
      <c r="BP813" s="39"/>
      <c r="BQ813" s="39"/>
      <c r="BR813" s="232"/>
      <c r="BS813" s="232"/>
      <c r="BT813" s="39" t="s">
        <v>1401</v>
      </c>
      <c r="BU813" s="39">
        <f>22+351</f>
        <v>373</v>
      </c>
      <c r="BV813" s="39" t="s">
        <v>1950</v>
      </c>
      <c r="BW813" s="39">
        <f>71+43</f>
        <v>114</v>
      </c>
      <c r="BX813" s="39">
        <v>2024</v>
      </c>
      <c r="BY813" s="39">
        <v>10</v>
      </c>
      <c r="BZ813" s="39">
        <f t="shared" si="853"/>
        <v>497</v>
      </c>
      <c r="CA813" s="39">
        <f t="shared" si="817"/>
        <v>16</v>
      </c>
      <c r="CB813" s="39">
        <f t="shared" si="818"/>
        <v>14</v>
      </c>
      <c r="CC813" s="39">
        <f t="shared" si="819"/>
        <v>2</v>
      </c>
      <c r="CD813" s="39">
        <f t="shared" si="854"/>
        <v>0</v>
      </c>
      <c r="CE813" s="102">
        <f t="shared" si="820"/>
        <v>0</v>
      </c>
      <c r="CF813" s="36"/>
      <c r="CG813" s="39" t="s">
        <v>235</v>
      </c>
      <c r="CH813" s="39" t="s">
        <v>1604</v>
      </c>
      <c r="CI813" s="25">
        <v>2</v>
      </c>
    </row>
    <row r="814" spans="1:87" ht="24.75" customHeight="1">
      <c r="A814" s="36" t="s">
        <v>303</v>
      </c>
      <c r="B814" s="55">
        <v>47724</v>
      </c>
      <c r="C814" s="228"/>
      <c r="D814" s="36" t="s">
        <v>45</v>
      </c>
      <c r="E814" s="39">
        <v>340</v>
      </c>
      <c r="F814" s="39" t="s">
        <v>65</v>
      </c>
      <c r="G814" s="36" t="s">
        <v>787</v>
      </c>
      <c r="H814" s="36" t="s">
        <v>196</v>
      </c>
      <c r="I814" s="39">
        <v>302</v>
      </c>
      <c r="J814" s="39">
        <v>85</v>
      </c>
      <c r="K814" s="39">
        <v>8</v>
      </c>
      <c r="L814" s="39">
        <f t="shared" si="864"/>
        <v>395</v>
      </c>
      <c r="M814" s="117">
        <v>46159</v>
      </c>
      <c r="N814" s="117">
        <v>46181</v>
      </c>
      <c r="O814" s="39"/>
      <c r="P814" s="39"/>
      <c r="Q814" s="39"/>
      <c r="R814" s="39">
        <f t="shared" si="890"/>
        <v>0</v>
      </c>
      <c r="S814" s="39" t="s">
        <v>130</v>
      </c>
      <c r="T814" s="39">
        <v>107177</v>
      </c>
      <c r="U814" s="117">
        <v>46197</v>
      </c>
      <c r="V814" s="39"/>
      <c r="W814" s="39"/>
      <c r="X814" s="39"/>
      <c r="Y814" s="39">
        <v>354</v>
      </c>
      <c r="Z814" s="39">
        <v>108</v>
      </c>
      <c r="AA814" s="39">
        <v>11</v>
      </c>
      <c r="AB814" s="119">
        <f t="shared" si="866"/>
        <v>473</v>
      </c>
      <c r="AC814" s="39"/>
      <c r="AD814" s="39"/>
      <c r="AE814" s="39"/>
      <c r="AF814" s="39"/>
      <c r="AG814" s="39"/>
      <c r="AH814" s="39">
        <f t="shared" si="851"/>
        <v>0</v>
      </c>
      <c r="AI814" s="39"/>
      <c r="AJ814" s="39"/>
      <c r="AK814" s="39"/>
      <c r="AL814" s="39"/>
      <c r="AM814" s="39"/>
      <c r="AN814" s="39">
        <f t="shared" si="850"/>
        <v>0</v>
      </c>
      <c r="AO814" s="39" t="s">
        <v>280</v>
      </c>
      <c r="AP814" s="117">
        <v>46202</v>
      </c>
      <c r="AQ814" s="39">
        <v>330</v>
      </c>
      <c r="AR814" s="117" t="s">
        <v>1589</v>
      </c>
      <c r="AS814" s="39">
        <f>28+299</f>
        <v>327</v>
      </c>
      <c r="AT814" s="39">
        <f t="shared" si="813"/>
        <v>-3</v>
      </c>
      <c r="AU814" s="39" t="s">
        <v>273</v>
      </c>
      <c r="AV814" s="117" t="s">
        <v>1589</v>
      </c>
      <c r="AW814" s="39">
        <f>28+299</f>
        <v>327</v>
      </c>
      <c r="AX814" s="117" t="s">
        <v>1590</v>
      </c>
      <c r="AY814" s="39">
        <f>28+294</f>
        <v>322</v>
      </c>
      <c r="AZ814" s="39">
        <f t="shared" si="814"/>
        <v>-5</v>
      </c>
      <c r="BA814" s="39"/>
      <c r="BB814" s="39"/>
      <c r="BC814" s="39"/>
      <c r="BD814" s="39"/>
      <c r="BE814" s="39"/>
      <c r="BF814" s="39">
        <f t="shared" si="815"/>
        <v>0</v>
      </c>
      <c r="BG814" s="39" t="s">
        <v>28</v>
      </c>
      <c r="BH814" s="117">
        <v>46198</v>
      </c>
      <c r="BI814" s="39">
        <f>340+100+10</f>
        <v>450</v>
      </c>
      <c r="BJ814" s="117">
        <v>46200</v>
      </c>
      <c r="BK814" s="39">
        <f>329+98+10</f>
        <v>437</v>
      </c>
      <c r="BL814" s="39">
        <f t="shared" si="852"/>
        <v>-13</v>
      </c>
      <c r="BM814" s="54" t="str">
        <f t="shared" si="816"/>
        <v/>
      </c>
      <c r="BN814" s="66">
        <v>46185</v>
      </c>
      <c r="BO814" s="117">
        <v>46200</v>
      </c>
      <c r="BP814" s="39"/>
      <c r="BQ814" s="39"/>
      <c r="BR814" s="230"/>
      <c r="BS814" s="230"/>
      <c r="BT814" s="39" t="s">
        <v>1857</v>
      </c>
      <c r="BU814" s="39">
        <f>21+264+21</f>
        <v>306</v>
      </c>
      <c r="BV814" s="39">
        <v>1908</v>
      </c>
      <c r="BW814" s="39">
        <v>92</v>
      </c>
      <c r="BX814" s="39">
        <v>1908</v>
      </c>
      <c r="BY814" s="39">
        <v>9</v>
      </c>
      <c r="BZ814" s="39">
        <f t="shared" si="853"/>
        <v>407</v>
      </c>
      <c r="CA814" s="39">
        <f t="shared" si="817"/>
        <v>4</v>
      </c>
      <c r="CB814" s="39">
        <f t="shared" si="818"/>
        <v>7</v>
      </c>
      <c r="CC814" s="39">
        <f t="shared" si="819"/>
        <v>1</v>
      </c>
      <c r="CD814" s="39">
        <f t="shared" si="854"/>
        <v>0</v>
      </c>
      <c r="CE814" s="102">
        <f t="shared" si="820"/>
        <v>0</v>
      </c>
      <c r="CF814" s="36"/>
      <c r="CG814" s="39" t="s">
        <v>235</v>
      </c>
      <c r="CH814" s="39"/>
      <c r="CI814" s="25">
        <v>2</v>
      </c>
    </row>
    <row r="815" spans="1:87" ht="24.75" customHeight="1">
      <c r="A815" s="36" t="s">
        <v>303</v>
      </c>
      <c r="B815" s="55">
        <v>47783</v>
      </c>
      <c r="C815" s="227">
        <v>68684</v>
      </c>
      <c r="D815" s="36"/>
      <c r="E815" s="39">
        <v>340</v>
      </c>
      <c r="F815" s="39" t="s">
        <v>63</v>
      </c>
      <c r="G815" s="36" t="s">
        <v>23</v>
      </c>
      <c r="H815" s="36" t="s">
        <v>212</v>
      </c>
      <c r="I815" s="39">
        <v>216</v>
      </c>
      <c r="J815" s="39">
        <v>25</v>
      </c>
      <c r="K815" s="39"/>
      <c r="L815" s="39">
        <f t="shared" si="864"/>
        <v>241</v>
      </c>
      <c r="M815" s="117">
        <v>46182</v>
      </c>
      <c r="N815" s="117">
        <v>46188</v>
      </c>
      <c r="O815" s="39"/>
      <c r="P815" s="39"/>
      <c r="Q815" s="39"/>
      <c r="R815" s="39">
        <f t="shared" si="890"/>
        <v>0</v>
      </c>
      <c r="S815" s="39" t="s">
        <v>130</v>
      </c>
      <c r="T815" s="39" t="s">
        <v>2131</v>
      </c>
      <c r="U815" s="117" t="s">
        <v>2130</v>
      </c>
      <c r="V815" s="39"/>
      <c r="W815" s="39"/>
      <c r="X815" s="39"/>
      <c r="Y815" s="39">
        <f>234+45</f>
        <v>279</v>
      </c>
      <c r="Z815" s="39">
        <f>30+2</f>
        <v>32</v>
      </c>
      <c r="AA815" s="39"/>
      <c r="AB815" s="119">
        <f t="shared" si="866"/>
        <v>311</v>
      </c>
      <c r="AC815" s="39"/>
      <c r="AD815" s="39"/>
      <c r="AE815" s="39"/>
      <c r="AF815" s="39"/>
      <c r="AG815" s="39"/>
      <c r="AH815" s="39">
        <f t="shared" si="851"/>
        <v>0</v>
      </c>
      <c r="AI815" s="39"/>
      <c r="AJ815" s="39"/>
      <c r="AK815" s="39"/>
      <c r="AL815" s="39"/>
      <c r="AM815" s="39"/>
      <c r="AN815" s="39">
        <f t="shared" si="850"/>
        <v>0</v>
      </c>
      <c r="AO815" s="39"/>
      <c r="AP815" s="39"/>
      <c r="AQ815" s="39"/>
      <c r="AR815" s="39"/>
      <c r="AS815" s="39"/>
      <c r="AT815" s="39">
        <f t="shared" si="813"/>
        <v>0</v>
      </c>
      <c r="AU815" s="39"/>
      <c r="AV815" s="39"/>
      <c r="AW815" s="39"/>
      <c r="AX815" s="39"/>
      <c r="AY815" s="39"/>
      <c r="AZ815" s="39">
        <f t="shared" si="814"/>
        <v>0</v>
      </c>
      <c r="BA815" s="39"/>
      <c r="BB815" s="39"/>
      <c r="BC815" s="39"/>
      <c r="BD815" s="39"/>
      <c r="BE815" s="39"/>
      <c r="BF815" s="39">
        <f t="shared" si="815"/>
        <v>0</v>
      </c>
      <c r="BG815" s="39"/>
      <c r="BH815" s="39"/>
      <c r="BI815" s="39"/>
      <c r="BJ815" s="39"/>
      <c r="BK815" s="39"/>
      <c r="BL815" s="39">
        <f t="shared" si="852"/>
        <v>0</v>
      </c>
      <c r="BM815" s="54" t="str">
        <f t="shared" si="816"/>
        <v/>
      </c>
      <c r="BN815" s="66">
        <v>46191</v>
      </c>
      <c r="BO815" s="117">
        <v>46203</v>
      </c>
      <c r="BP815" s="39"/>
      <c r="BQ815" s="39"/>
      <c r="BR815" s="229">
        <v>46219</v>
      </c>
      <c r="BS815" s="229">
        <v>46235</v>
      </c>
      <c r="BT815" s="39" t="s">
        <v>2114</v>
      </c>
      <c r="BU815" s="39">
        <f>198+41</f>
        <v>239</v>
      </c>
      <c r="BV815" s="39" t="s">
        <v>2115</v>
      </c>
      <c r="BW815" s="39">
        <f>23+2</f>
        <v>25</v>
      </c>
      <c r="BX815" s="39"/>
      <c r="BY815" s="39"/>
      <c r="BZ815" s="39">
        <f t="shared" si="853"/>
        <v>264</v>
      </c>
      <c r="CA815" s="39">
        <f t="shared" si="817"/>
        <v>23</v>
      </c>
      <c r="CB815" s="39">
        <f t="shared" si="818"/>
        <v>0</v>
      </c>
      <c r="CC815" s="39">
        <f t="shared" si="819"/>
        <v>0</v>
      </c>
      <c r="CD815" s="39">
        <f t="shared" si="854"/>
        <v>0</v>
      </c>
      <c r="CE815" s="102">
        <f t="shared" si="820"/>
        <v>0</v>
      </c>
      <c r="CF815" s="36"/>
      <c r="CG815" s="39" t="s">
        <v>235</v>
      </c>
      <c r="CH815" s="39"/>
      <c r="CI815" s="25">
        <v>2</v>
      </c>
    </row>
    <row r="816" spans="1:87" ht="24.75" customHeight="1">
      <c r="A816" s="36" t="s">
        <v>303</v>
      </c>
      <c r="B816" s="55">
        <v>47783</v>
      </c>
      <c r="C816" s="231"/>
      <c r="D816" s="36"/>
      <c r="E816" s="39">
        <v>340</v>
      </c>
      <c r="F816" s="39" t="s">
        <v>63</v>
      </c>
      <c r="G816" s="36" t="s">
        <v>731</v>
      </c>
      <c r="H816" s="36" t="s">
        <v>212</v>
      </c>
      <c r="I816" s="39">
        <v>78</v>
      </c>
      <c r="J816" s="39"/>
      <c r="K816" s="39"/>
      <c r="L816" s="39">
        <f t="shared" si="864"/>
        <v>78</v>
      </c>
      <c r="M816" s="117">
        <v>46182</v>
      </c>
      <c r="N816" s="117">
        <v>46188</v>
      </c>
      <c r="O816" s="39"/>
      <c r="P816" s="39"/>
      <c r="Q816" s="39"/>
      <c r="R816" s="39">
        <f t="shared" si="890"/>
        <v>0</v>
      </c>
      <c r="S816" s="39" t="s">
        <v>130</v>
      </c>
      <c r="T816" s="39">
        <v>107318</v>
      </c>
      <c r="U816" s="117">
        <v>46200</v>
      </c>
      <c r="V816" s="39"/>
      <c r="W816" s="39"/>
      <c r="X816" s="39"/>
      <c r="Y816" s="39">
        <v>96</v>
      </c>
      <c r="Z816" s="39"/>
      <c r="AA816" s="39"/>
      <c r="AB816" s="119">
        <f t="shared" si="866"/>
        <v>96</v>
      </c>
      <c r="AC816" s="39"/>
      <c r="AD816" s="39"/>
      <c r="AE816" s="39"/>
      <c r="AF816" s="39"/>
      <c r="AG816" s="39"/>
      <c r="AH816" s="39">
        <f t="shared" si="851"/>
        <v>0</v>
      </c>
      <c r="AI816" s="39"/>
      <c r="AJ816" s="39"/>
      <c r="AK816" s="39"/>
      <c r="AL816" s="39"/>
      <c r="AM816" s="39"/>
      <c r="AN816" s="39">
        <f t="shared" si="850"/>
        <v>0</v>
      </c>
      <c r="AO816" s="39"/>
      <c r="AP816" s="39"/>
      <c r="AQ816" s="39"/>
      <c r="AR816" s="39"/>
      <c r="AS816" s="39"/>
      <c r="AT816" s="39">
        <f t="shared" si="813"/>
        <v>0</v>
      </c>
      <c r="AU816" s="39"/>
      <c r="AV816" s="39"/>
      <c r="AW816" s="39"/>
      <c r="AX816" s="39"/>
      <c r="AY816" s="39"/>
      <c r="AZ816" s="39">
        <f t="shared" si="814"/>
        <v>0</v>
      </c>
      <c r="BA816" s="39"/>
      <c r="BB816" s="39"/>
      <c r="BC816" s="39"/>
      <c r="BD816" s="39"/>
      <c r="BE816" s="39"/>
      <c r="BF816" s="39">
        <f t="shared" si="815"/>
        <v>0</v>
      </c>
      <c r="BG816" s="39"/>
      <c r="BH816" s="39"/>
      <c r="BI816" s="39"/>
      <c r="BJ816" s="39"/>
      <c r="BK816" s="39"/>
      <c r="BL816" s="39">
        <f t="shared" si="852"/>
        <v>0</v>
      </c>
      <c r="BM816" s="54" t="str">
        <f t="shared" si="816"/>
        <v/>
      </c>
      <c r="BN816" s="66">
        <v>46191</v>
      </c>
      <c r="BO816" s="117">
        <v>46203</v>
      </c>
      <c r="BP816" s="39"/>
      <c r="BQ816" s="39"/>
      <c r="BR816" s="232"/>
      <c r="BS816" s="232"/>
      <c r="BT816" s="39">
        <v>1811</v>
      </c>
      <c r="BU816" s="39">
        <f>75</f>
        <v>75</v>
      </c>
      <c r="BV816" s="39"/>
      <c r="BW816" s="39"/>
      <c r="BX816" s="39"/>
      <c r="BY816" s="39"/>
      <c r="BZ816" s="39">
        <f t="shared" si="853"/>
        <v>75</v>
      </c>
      <c r="CA816" s="39">
        <f t="shared" si="817"/>
        <v>-3</v>
      </c>
      <c r="CB816" s="39">
        <f t="shared" si="818"/>
        <v>0</v>
      </c>
      <c r="CC816" s="39">
        <f t="shared" si="819"/>
        <v>0</v>
      </c>
      <c r="CD816" s="39">
        <f t="shared" si="854"/>
        <v>-3</v>
      </c>
      <c r="CE816" s="102">
        <f t="shared" si="820"/>
        <v>-3.8461538461538464E-2</v>
      </c>
      <c r="CF816" s="36"/>
      <c r="CG816" s="39" t="s">
        <v>235</v>
      </c>
      <c r="CH816" s="39"/>
      <c r="CI816" s="25">
        <v>2</v>
      </c>
    </row>
    <row r="817" spans="1:87" ht="24.75" customHeight="1">
      <c r="A817" s="36" t="s">
        <v>303</v>
      </c>
      <c r="B817" s="55">
        <v>47783</v>
      </c>
      <c r="C817" s="231"/>
      <c r="D817" s="36"/>
      <c r="E817" s="39"/>
      <c r="F817" s="39"/>
      <c r="G817" s="36" t="s">
        <v>329</v>
      </c>
      <c r="H817" s="36">
        <f>1000+1000</f>
        <v>2000</v>
      </c>
      <c r="I817" s="39" t="s">
        <v>90</v>
      </c>
      <c r="J817" s="39"/>
      <c r="K817" s="39"/>
      <c r="L817" s="39">
        <f t="shared" si="864"/>
        <v>0</v>
      </c>
      <c r="M817" s="117">
        <v>46182</v>
      </c>
      <c r="N817" s="117">
        <v>46188</v>
      </c>
      <c r="O817" s="39"/>
      <c r="P817" s="39"/>
      <c r="Q817" s="39"/>
      <c r="R817" s="39">
        <f t="shared" si="890"/>
        <v>0</v>
      </c>
      <c r="S817" s="39" t="s">
        <v>130</v>
      </c>
      <c r="T817" s="39" t="s">
        <v>2029</v>
      </c>
      <c r="U817" s="117" t="s">
        <v>2030</v>
      </c>
      <c r="V817" s="39"/>
      <c r="W817" s="39"/>
      <c r="X817" s="39"/>
      <c r="Y817" s="39">
        <f>6+84+26</f>
        <v>116</v>
      </c>
      <c r="Z817" s="39"/>
      <c r="AA817" s="39"/>
      <c r="AB817" s="39">
        <f t="shared" si="866"/>
        <v>116</v>
      </c>
      <c r="AC817" s="39"/>
      <c r="AD817" s="39"/>
      <c r="AE817" s="39"/>
      <c r="AF817" s="39"/>
      <c r="AG817" s="39"/>
      <c r="AH817" s="39">
        <f t="shared" si="851"/>
        <v>0</v>
      </c>
      <c r="AI817" s="39"/>
      <c r="AJ817" s="39"/>
      <c r="AK817" s="39"/>
      <c r="AL817" s="39"/>
      <c r="AM817" s="39"/>
      <c r="AN817" s="39">
        <f t="shared" si="850"/>
        <v>0</v>
      </c>
      <c r="AO817" s="39"/>
      <c r="AP817" s="39"/>
      <c r="AQ817" s="39"/>
      <c r="AR817" s="39"/>
      <c r="AS817" s="39"/>
      <c r="AT817" s="39">
        <f t="shared" si="813"/>
        <v>0</v>
      </c>
      <c r="AU817" s="39"/>
      <c r="AV817" s="39"/>
      <c r="AW817" s="39"/>
      <c r="AX817" s="39"/>
      <c r="AY817" s="39"/>
      <c r="AZ817" s="39">
        <f t="shared" si="814"/>
        <v>0</v>
      </c>
      <c r="BA817" s="39"/>
      <c r="BB817" s="39"/>
      <c r="BC817" s="39"/>
      <c r="BD817" s="39"/>
      <c r="BE817" s="39"/>
      <c r="BF817" s="39">
        <f t="shared" si="815"/>
        <v>0</v>
      </c>
      <c r="BG817" s="39"/>
      <c r="BH817" s="39"/>
      <c r="BI817" s="39"/>
      <c r="BJ817" s="39"/>
      <c r="BK817" s="39"/>
      <c r="BL817" s="39">
        <f t="shared" si="852"/>
        <v>0</v>
      </c>
      <c r="BM817" s="54" t="e">
        <f t="shared" si="816"/>
        <v>#DIV/0!</v>
      </c>
      <c r="BN817" s="66">
        <v>46191</v>
      </c>
      <c r="BO817" s="117">
        <v>46203</v>
      </c>
      <c r="BP817" s="39"/>
      <c r="BQ817" s="39"/>
      <c r="BR817" s="232"/>
      <c r="BS817" s="232"/>
      <c r="BT817" s="39" t="s">
        <v>2043</v>
      </c>
      <c r="BU817" s="39"/>
      <c r="BV817" s="39"/>
      <c r="BW817" s="39"/>
      <c r="BX817" s="39"/>
      <c r="BY817" s="39"/>
      <c r="BZ817" s="39">
        <f t="shared" si="853"/>
        <v>0</v>
      </c>
      <c r="CA817" s="39" t="e">
        <f t="shared" si="817"/>
        <v>#VALUE!</v>
      </c>
      <c r="CB817" s="39">
        <f t="shared" si="818"/>
        <v>0</v>
      </c>
      <c r="CC817" s="39">
        <f t="shared" si="819"/>
        <v>0</v>
      </c>
      <c r="CD817" s="39">
        <f t="shared" si="854"/>
        <v>0</v>
      </c>
      <c r="CE817" s="102" t="e">
        <f t="shared" si="820"/>
        <v>#DIV/0!</v>
      </c>
      <c r="CF817" s="36"/>
      <c r="CG817" s="39" t="s">
        <v>235</v>
      </c>
      <c r="CH817" s="39"/>
      <c r="CI817" s="25">
        <v>2</v>
      </c>
    </row>
    <row r="818" spans="1:87" ht="24.75" customHeight="1">
      <c r="A818" s="36" t="s">
        <v>303</v>
      </c>
      <c r="B818" s="55">
        <v>47783</v>
      </c>
      <c r="C818" s="228"/>
      <c r="D818" s="36"/>
      <c r="E818" s="39"/>
      <c r="F818" s="39"/>
      <c r="G818" s="36" t="s">
        <v>921</v>
      </c>
      <c r="H818" s="36">
        <v>500</v>
      </c>
      <c r="I818" s="39" t="s">
        <v>90</v>
      </c>
      <c r="J818" s="39"/>
      <c r="K818" s="39"/>
      <c r="L818" s="39">
        <f t="shared" si="864"/>
        <v>0</v>
      </c>
      <c r="M818" s="117">
        <v>46182</v>
      </c>
      <c r="N818" s="117">
        <v>46188</v>
      </c>
      <c r="O818" s="39"/>
      <c r="P818" s="39"/>
      <c r="Q818" s="39"/>
      <c r="R818" s="39">
        <f t="shared" si="890"/>
        <v>0</v>
      </c>
      <c r="S818" s="39" t="s">
        <v>130</v>
      </c>
      <c r="T818" s="39">
        <v>108009</v>
      </c>
      <c r="U818" s="117">
        <v>46226</v>
      </c>
      <c r="V818" s="39"/>
      <c r="W818" s="39"/>
      <c r="X818" s="39"/>
      <c r="Y818" s="39">
        <f>2+1</f>
        <v>3</v>
      </c>
      <c r="Z818" s="39"/>
      <c r="AA818" s="39"/>
      <c r="AB818" s="39">
        <f t="shared" si="866"/>
        <v>3</v>
      </c>
      <c r="AC818" s="39"/>
      <c r="AD818" s="39"/>
      <c r="AE818" s="39"/>
      <c r="AF818" s="39"/>
      <c r="AG818" s="39"/>
      <c r="AH818" s="39">
        <f t="shared" si="851"/>
        <v>0</v>
      </c>
      <c r="AI818" s="39"/>
      <c r="AJ818" s="39"/>
      <c r="AK818" s="39"/>
      <c r="AL818" s="39"/>
      <c r="AM818" s="39"/>
      <c r="AN818" s="39">
        <f t="shared" si="850"/>
        <v>0</v>
      </c>
      <c r="AO818" s="39"/>
      <c r="AP818" s="39"/>
      <c r="AQ818" s="39"/>
      <c r="AR818" s="39"/>
      <c r="AS818" s="39"/>
      <c r="AT818" s="39">
        <f t="shared" si="813"/>
        <v>0</v>
      </c>
      <c r="AU818" s="39"/>
      <c r="AV818" s="39"/>
      <c r="AW818" s="39"/>
      <c r="AX818" s="39"/>
      <c r="AY818" s="39"/>
      <c r="AZ818" s="39">
        <f t="shared" si="814"/>
        <v>0</v>
      </c>
      <c r="BA818" s="39"/>
      <c r="BB818" s="39"/>
      <c r="BC818" s="39"/>
      <c r="BD818" s="39"/>
      <c r="BE818" s="39"/>
      <c r="BF818" s="39">
        <f t="shared" si="815"/>
        <v>0</v>
      </c>
      <c r="BG818" s="39"/>
      <c r="BH818" s="39"/>
      <c r="BI818" s="39"/>
      <c r="BJ818" s="39"/>
      <c r="BK818" s="39"/>
      <c r="BL818" s="39">
        <f t="shared" si="852"/>
        <v>0</v>
      </c>
      <c r="BM818" s="54" t="e">
        <f t="shared" si="816"/>
        <v>#DIV/0!</v>
      </c>
      <c r="BN818" s="66">
        <v>46191</v>
      </c>
      <c r="BO818" s="117">
        <v>46203</v>
      </c>
      <c r="BP818" s="39"/>
      <c r="BQ818" s="39"/>
      <c r="BR818" s="230"/>
      <c r="BS818" s="230"/>
      <c r="BT818" s="39" t="s">
        <v>1972</v>
      </c>
      <c r="BU818" s="39"/>
      <c r="BV818" s="39"/>
      <c r="BW818" s="39"/>
      <c r="BX818" s="39"/>
      <c r="BY818" s="39"/>
      <c r="BZ818" s="39">
        <f t="shared" si="853"/>
        <v>0</v>
      </c>
      <c r="CA818" s="39" t="e">
        <f t="shared" si="817"/>
        <v>#VALUE!</v>
      </c>
      <c r="CB818" s="39">
        <f t="shared" si="818"/>
        <v>0</v>
      </c>
      <c r="CC818" s="39">
        <f t="shared" si="819"/>
        <v>0</v>
      </c>
      <c r="CD818" s="39">
        <f t="shared" si="854"/>
        <v>0</v>
      </c>
      <c r="CE818" s="102" t="e">
        <f t="shared" si="820"/>
        <v>#DIV/0!</v>
      </c>
      <c r="CF818" s="36"/>
      <c r="CG818" s="39" t="s">
        <v>235</v>
      </c>
      <c r="CH818" s="39"/>
      <c r="CI818" s="25">
        <v>2</v>
      </c>
    </row>
    <row r="819" spans="1:87" ht="24.75" customHeight="1">
      <c r="A819" s="36" t="s">
        <v>303</v>
      </c>
      <c r="B819" s="55"/>
      <c r="C819" s="36"/>
      <c r="D819" s="36"/>
      <c r="E819" s="39"/>
      <c r="F819" s="39"/>
      <c r="G819" s="36"/>
      <c r="H819" s="39"/>
      <c r="I819" s="39"/>
      <c r="J819" s="39"/>
      <c r="K819" s="39"/>
      <c r="L819" s="39">
        <f t="shared" si="864"/>
        <v>0</v>
      </c>
      <c r="M819" s="39"/>
      <c r="N819" s="39"/>
      <c r="O819" s="39"/>
      <c r="P819" s="39"/>
      <c r="Q819" s="39"/>
      <c r="R819" s="39">
        <f t="shared" si="865"/>
        <v>0</v>
      </c>
      <c r="S819" s="39"/>
      <c r="T819" s="39"/>
      <c r="U819" s="39"/>
      <c r="V819" s="39"/>
      <c r="W819" s="39"/>
      <c r="X819" s="39"/>
      <c r="Y819" s="39"/>
      <c r="Z819" s="39"/>
      <c r="AA819" s="39"/>
      <c r="AB819" s="39">
        <f t="shared" si="866"/>
        <v>0</v>
      </c>
      <c r="AC819" s="39"/>
      <c r="AD819" s="39"/>
      <c r="AE819" s="39"/>
      <c r="AF819" s="39"/>
      <c r="AG819" s="39"/>
      <c r="AH819" s="39">
        <f t="shared" si="851"/>
        <v>0</v>
      </c>
      <c r="AI819" s="39"/>
      <c r="AJ819" s="39"/>
      <c r="AK819" s="39"/>
      <c r="AL819" s="39"/>
      <c r="AM819" s="39"/>
      <c r="AN819" s="39">
        <f t="shared" si="850"/>
        <v>0</v>
      </c>
      <c r="AO819" s="39"/>
      <c r="AP819" s="39"/>
      <c r="AQ819" s="39"/>
      <c r="AR819" s="39"/>
      <c r="AS819" s="39"/>
      <c r="AT819" s="39">
        <f t="shared" si="813"/>
        <v>0</v>
      </c>
      <c r="AU819" s="39"/>
      <c r="AV819" s="39"/>
      <c r="AW819" s="39"/>
      <c r="AX819" s="39"/>
      <c r="AY819" s="39"/>
      <c r="AZ819" s="39">
        <f t="shared" si="814"/>
        <v>0</v>
      </c>
      <c r="BA819" s="39"/>
      <c r="BB819" s="39"/>
      <c r="BC819" s="39"/>
      <c r="BD819" s="39"/>
      <c r="BE819" s="39"/>
      <c r="BF819" s="39">
        <f t="shared" si="815"/>
        <v>0</v>
      </c>
      <c r="BG819" s="39"/>
      <c r="BH819" s="39"/>
      <c r="BI819" s="39"/>
      <c r="BJ819" s="39"/>
      <c r="BK819" s="39"/>
      <c r="BL819" s="39">
        <f t="shared" si="852"/>
        <v>0</v>
      </c>
      <c r="BM819" s="54" t="e">
        <f t="shared" si="816"/>
        <v>#DIV/0!</v>
      </c>
      <c r="BN819" s="67"/>
      <c r="BO819" s="39"/>
      <c r="BP819" s="39"/>
      <c r="BQ819" s="39"/>
      <c r="BR819" s="40"/>
      <c r="BS819" s="40"/>
      <c r="BT819" s="39"/>
      <c r="BU819" s="39"/>
      <c r="BV819" s="39"/>
      <c r="BW819" s="39"/>
      <c r="BX819" s="39"/>
      <c r="BY819" s="39"/>
      <c r="BZ819" s="39">
        <f t="shared" si="853"/>
        <v>0</v>
      </c>
      <c r="CA819" s="39">
        <f t="shared" si="817"/>
        <v>0</v>
      </c>
      <c r="CB819" s="39">
        <f t="shared" si="818"/>
        <v>0</v>
      </c>
      <c r="CC819" s="39">
        <f t="shared" si="819"/>
        <v>0</v>
      </c>
      <c r="CD819" s="39">
        <f t="shared" si="854"/>
        <v>0</v>
      </c>
      <c r="CE819" s="47" t="e">
        <f t="shared" si="820"/>
        <v>#DIV/0!</v>
      </c>
      <c r="CF819" s="36"/>
      <c r="CG819" s="39"/>
      <c r="CH819" s="39"/>
      <c r="CI819" s="25">
        <v>2</v>
      </c>
    </row>
    <row r="820" spans="1:87" ht="24.75" customHeight="1">
      <c r="A820" s="36" t="s">
        <v>303</v>
      </c>
      <c r="B820" s="55"/>
      <c r="C820" s="36"/>
      <c r="D820" s="36"/>
      <c r="E820" s="39"/>
      <c r="F820" s="39"/>
      <c r="G820" s="36"/>
      <c r="H820" s="39"/>
      <c r="I820" s="39"/>
      <c r="J820" s="39"/>
      <c r="K820" s="39"/>
      <c r="L820" s="39">
        <f t="shared" si="864"/>
        <v>0</v>
      </c>
      <c r="M820" s="39"/>
      <c r="N820" s="39"/>
      <c r="O820" s="39"/>
      <c r="P820" s="39"/>
      <c r="Q820" s="39"/>
      <c r="R820" s="39">
        <f t="shared" si="865"/>
        <v>0</v>
      </c>
      <c r="S820" s="39"/>
      <c r="T820" s="39"/>
      <c r="U820" s="39"/>
      <c r="V820" s="39"/>
      <c r="W820" s="39"/>
      <c r="X820" s="39"/>
      <c r="Y820" s="39"/>
      <c r="Z820" s="39"/>
      <c r="AA820" s="39"/>
      <c r="AB820" s="39">
        <f t="shared" si="866"/>
        <v>0</v>
      </c>
      <c r="AC820" s="39"/>
      <c r="AD820" s="39"/>
      <c r="AE820" s="39"/>
      <c r="AF820" s="39"/>
      <c r="AG820" s="39"/>
      <c r="AH820" s="39">
        <f t="shared" si="851"/>
        <v>0</v>
      </c>
      <c r="AI820" s="39"/>
      <c r="AJ820" s="39"/>
      <c r="AK820" s="39"/>
      <c r="AL820" s="39"/>
      <c r="AM820" s="39"/>
      <c r="AN820" s="39">
        <f t="shared" si="850"/>
        <v>0</v>
      </c>
      <c r="AO820" s="39"/>
      <c r="AP820" s="39"/>
      <c r="AQ820" s="39"/>
      <c r="AR820" s="39"/>
      <c r="AS820" s="39"/>
      <c r="AT820" s="39">
        <f t="shared" si="813"/>
        <v>0</v>
      </c>
      <c r="AU820" s="39"/>
      <c r="AV820" s="39"/>
      <c r="AW820" s="39"/>
      <c r="AX820" s="39"/>
      <c r="AY820" s="39"/>
      <c r="AZ820" s="39">
        <f t="shared" si="814"/>
        <v>0</v>
      </c>
      <c r="BA820" s="39"/>
      <c r="BB820" s="39"/>
      <c r="BC820" s="39"/>
      <c r="BD820" s="39"/>
      <c r="BE820" s="39"/>
      <c r="BF820" s="39">
        <f t="shared" si="815"/>
        <v>0</v>
      </c>
      <c r="BG820" s="39"/>
      <c r="BH820" s="39"/>
      <c r="BI820" s="39"/>
      <c r="BJ820" s="39"/>
      <c r="BK820" s="39"/>
      <c r="BL820" s="39">
        <f t="shared" si="852"/>
        <v>0</v>
      </c>
      <c r="BM820" s="54" t="e">
        <f t="shared" si="816"/>
        <v>#DIV/0!</v>
      </c>
      <c r="BN820" s="67"/>
      <c r="BO820" s="39"/>
      <c r="BP820" s="39"/>
      <c r="BQ820" s="39"/>
      <c r="BR820" s="40"/>
      <c r="BS820" s="40"/>
      <c r="BT820" s="39"/>
      <c r="BU820" s="39"/>
      <c r="BV820" s="39"/>
      <c r="BW820" s="39"/>
      <c r="BX820" s="39"/>
      <c r="BY820" s="39"/>
      <c r="BZ820" s="39">
        <f t="shared" si="853"/>
        <v>0</v>
      </c>
      <c r="CA820" s="39">
        <f t="shared" si="817"/>
        <v>0</v>
      </c>
      <c r="CB820" s="39">
        <f t="shared" si="818"/>
        <v>0</v>
      </c>
      <c r="CC820" s="39">
        <f t="shared" si="819"/>
        <v>0</v>
      </c>
      <c r="CD820" s="39">
        <f t="shared" si="854"/>
        <v>0</v>
      </c>
      <c r="CE820" s="47" t="e">
        <f t="shared" si="820"/>
        <v>#DIV/0!</v>
      </c>
      <c r="CF820" s="36"/>
      <c r="CG820" s="39"/>
      <c r="CH820" s="39"/>
      <c r="CI820" s="25">
        <v>2</v>
      </c>
    </row>
    <row r="821" spans="1:87" ht="24.75" customHeight="1">
      <c r="A821" s="36" t="s">
        <v>303</v>
      </c>
      <c r="B821" s="55"/>
      <c r="C821" s="36"/>
      <c r="D821" s="36"/>
      <c r="E821" s="39"/>
      <c r="F821" s="39"/>
      <c r="G821" s="36"/>
      <c r="H821" s="39"/>
      <c r="I821" s="39"/>
      <c r="J821" s="39"/>
      <c r="K821" s="39"/>
      <c r="L821" s="39">
        <f t="shared" si="864"/>
        <v>0</v>
      </c>
      <c r="M821" s="39"/>
      <c r="N821" s="39"/>
      <c r="O821" s="39"/>
      <c r="P821" s="39"/>
      <c r="Q821" s="39"/>
      <c r="R821" s="39">
        <f t="shared" si="865"/>
        <v>0</v>
      </c>
      <c r="S821" s="39"/>
      <c r="T821" s="39"/>
      <c r="U821" s="39"/>
      <c r="V821" s="39"/>
      <c r="W821" s="39"/>
      <c r="X821" s="39"/>
      <c r="Y821" s="39"/>
      <c r="Z821" s="39"/>
      <c r="AA821" s="39"/>
      <c r="AB821" s="39">
        <f t="shared" si="866"/>
        <v>0</v>
      </c>
      <c r="AC821" s="39"/>
      <c r="AD821" s="39"/>
      <c r="AE821" s="39"/>
      <c r="AF821" s="39"/>
      <c r="AG821" s="39"/>
      <c r="AH821" s="39">
        <f t="shared" si="851"/>
        <v>0</v>
      </c>
      <c r="AI821" s="39"/>
      <c r="AJ821" s="39"/>
      <c r="AK821" s="39"/>
      <c r="AL821" s="39"/>
      <c r="AM821" s="39"/>
      <c r="AN821" s="39">
        <f t="shared" si="850"/>
        <v>0</v>
      </c>
      <c r="AO821" s="39"/>
      <c r="AP821" s="39"/>
      <c r="AQ821" s="39"/>
      <c r="AR821" s="39"/>
      <c r="AS821" s="39"/>
      <c r="AT821" s="39">
        <f t="shared" ref="AT821:AT1016" si="891">AS821-AQ821</f>
        <v>0</v>
      </c>
      <c r="AU821" s="39"/>
      <c r="AV821" s="39"/>
      <c r="AW821" s="39"/>
      <c r="AX821" s="39"/>
      <c r="AY821" s="39"/>
      <c r="AZ821" s="39">
        <f t="shared" ref="AZ821:AZ1016" si="892">AY821-AW821</f>
        <v>0</v>
      </c>
      <c r="BA821" s="39"/>
      <c r="BB821" s="39"/>
      <c r="BC821" s="39"/>
      <c r="BD821" s="39"/>
      <c r="BE821" s="39"/>
      <c r="BF821" s="39">
        <f t="shared" ref="BF821:BF1016" si="893">BE821-BC821</f>
        <v>0</v>
      </c>
      <c r="BG821" s="39"/>
      <c r="BH821" s="39"/>
      <c r="BI821" s="39"/>
      <c r="BJ821" s="39"/>
      <c r="BK821" s="39"/>
      <c r="BL821" s="39">
        <f t="shared" si="852"/>
        <v>0</v>
      </c>
      <c r="BM821" s="54" t="e">
        <f t="shared" ref="BM821:BM1016" si="894">IF((BZ821/L821)&lt;0.9,$CO$1-U821,"")</f>
        <v>#DIV/0!</v>
      </c>
      <c r="BN821" s="67"/>
      <c r="BO821" s="39"/>
      <c r="BP821" s="39"/>
      <c r="BQ821" s="39"/>
      <c r="BR821" s="40"/>
      <c r="BS821" s="40"/>
      <c r="BT821" s="39"/>
      <c r="BU821" s="39"/>
      <c r="BV821" s="39"/>
      <c r="BW821" s="39"/>
      <c r="BX821" s="39"/>
      <c r="BY821" s="39"/>
      <c r="BZ821" s="39">
        <f t="shared" si="853"/>
        <v>0</v>
      </c>
      <c r="CA821" s="39">
        <f t="shared" ref="CA821:CA1016" si="895">BU821-I821</f>
        <v>0</v>
      </c>
      <c r="CB821" s="39">
        <f t="shared" ref="CB821:CB1016" si="896">BW821-J821</f>
        <v>0</v>
      </c>
      <c r="CC821" s="39">
        <f t="shared" ref="CC821:CC1016" si="897">BY821-K821</f>
        <v>0</v>
      </c>
      <c r="CD821" s="39">
        <f t="shared" si="854"/>
        <v>0</v>
      </c>
      <c r="CE821" s="47" t="e">
        <f t="shared" ref="CE821:CE1016" si="898">CD821/L821</f>
        <v>#DIV/0!</v>
      </c>
      <c r="CF821" s="36"/>
      <c r="CG821" s="39"/>
      <c r="CH821" s="39"/>
      <c r="CI821" s="25">
        <v>2</v>
      </c>
    </row>
    <row r="822" spans="1:87" ht="24.75" customHeight="1">
      <c r="A822" s="36" t="s">
        <v>303</v>
      </c>
      <c r="B822" s="55"/>
      <c r="C822" s="36"/>
      <c r="D822" s="36"/>
      <c r="E822" s="39"/>
      <c r="F822" s="39"/>
      <c r="G822" s="36"/>
      <c r="H822" s="39"/>
      <c r="I822" s="39"/>
      <c r="J822" s="39"/>
      <c r="K822" s="39"/>
      <c r="L822" s="39">
        <f t="shared" si="864"/>
        <v>0</v>
      </c>
      <c r="M822" s="39"/>
      <c r="N822" s="39"/>
      <c r="O822" s="39"/>
      <c r="P822" s="39"/>
      <c r="Q822" s="39"/>
      <c r="R822" s="39">
        <f t="shared" si="865"/>
        <v>0</v>
      </c>
      <c r="S822" s="39"/>
      <c r="T822" s="39"/>
      <c r="U822" s="39"/>
      <c r="V822" s="39"/>
      <c r="W822" s="39"/>
      <c r="X822" s="39"/>
      <c r="Y822" s="39"/>
      <c r="Z822" s="39"/>
      <c r="AA822" s="39"/>
      <c r="AB822" s="39">
        <f t="shared" si="866"/>
        <v>0</v>
      </c>
      <c r="AC822" s="39"/>
      <c r="AD822" s="39"/>
      <c r="AE822" s="39"/>
      <c r="AF822" s="39"/>
      <c r="AG822" s="39"/>
      <c r="AH822" s="39">
        <f t="shared" si="851"/>
        <v>0</v>
      </c>
      <c r="AI822" s="39"/>
      <c r="AJ822" s="39"/>
      <c r="AK822" s="39"/>
      <c r="AL822" s="39"/>
      <c r="AM822" s="39"/>
      <c r="AN822" s="39">
        <f t="shared" si="850"/>
        <v>0</v>
      </c>
      <c r="AO822" s="39"/>
      <c r="AP822" s="39"/>
      <c r="AQ822" s="39"/>
      <c r="AR822" s="39"/>
      <c r="AS822" s="39"/>
      <c r="AT822" s="39">
        <f t="shared" si="891"/>
        <v>0</v>
      </c>
      <c r="AU822" s="39"/>
      <c r="AV822" s="39"/>
      <c r="AW822" s="39"/>
      <c r="AX822" s="39"/>
      <c r="AY822" s="39"/>
      <c r="AZ822" s="39">
        <f t="shared" si="892"/>
        <v>0</v>
      </c>
      <c r="BA822" s="39"/>
      <c r="BB822" s="39"/>
      <c r="BC822" s="39"/>
      <c r="BD822" s="39"/>
      <c r="BE822" s="39"/>
      <c r="BF822" s="39">
        <f t="shared" si="893"/>
        <v>0</v>
      </c>
      <c r="BG822" s="39"/>
      <c r="BH822" s="39"/>
      <c r="BI822" s="39"/>
      <c r="BJ822" s="39"/>
      <c r="BK822" s="39"/>
      <c r="BL822" s="39">
        <f t="shared" si="852"/>
        <v>0</v>
      </c>
      <c r="BM822" s="54" t="e">
        <f t="shared" si="894"/>
        <v>#DIV/0!</v>
      </c>
      <c r="BN822" s="67"/>
      <c r="BO822" s="39"/>
      <c r="BP822" s="39"/>
      <c r="BQ822" s="39"/>
      <c r="BR822" s="40"/>
      <c r="BS822" s="40"/>
      <c r="BT822" s="39"/>
      <c r="BU822" s="39"/>
      <c r="BV822" s="39"/>
      <c r="BW822" s="39"/>
      <c r="BX822" s="39"/>
      <c r="BY822" s="39"/>
      <c r="BZ822" s="39">
        <f t="shared" si="853"/>
        <v>0</v>
      </c>
      <c r="CA822" s="39">
        <f t="shared" si="895"/>
        <v>0</v>
      </c>
      <c r="CB822" s="39">
        <f t="shared" si="896"/>
        <v>0</v>
      </c>
      <c r="CC822" s="39">
        <f t="shared" si="897"/>
        <v>0</v>
      </c>
      <c r="CD822" s="39">
        <f t="shared" si="854"/>
        <v>0</v>
      </c>
      <c r="CE822" s="47" t="e">
        <f t="shared" si="898"/>
        <v>#DIV/0!</v>
      </c>
      <c r="CF822" s="36"/>
      <c r="CG822" s="39"/>
      <c r="CH822" s="39"/>
      <c r="CI822" s="25">
        <v>2</v>
      </c>
    </row>
    <row r="823" spans="1:87" ht="24.75" customHeight="1">
      <c r="A823" s="36" t="s">
        <v>303</v>
      </c>
      <c r="B823" s="55"/>
      <c r="C823" s="36"/>
      <c r="D823" s="36"/>
      <c r="E823" s="39"/>
      <c r="F823" s="39"/>
      <c r="G823" s="36"/>
      <c r="H823" s="39"/>
      <c r="I823" s="39"/>
      <c r="J823" s="39"/>
      <c r="K823" s="39"/>
      <c r="L823" s="39">
        <f t="shared" si="864"/>
        <v>0</v>
      </c>
      <c r="M823" s="39"/>
      <c r="N823" s="39"/>
      <c r="O823" s="39"/>
      <c r="P823" s="39"/>
      <c r="Q823" s="39"/>
      <c r="R823" s="39">
        <f t="shared" si="865"/>
        <v>0</v>
      </c>
      <c r="S823" s="39"/>
      <c r="T823" s="39"/>
      <c r="U823" s="39"/>
      <c r="V823" s="39"/>
      <c r="W823" s="39"/>
      <c r="X823" s="39"/>
      <c r="Y823" s="39"/>
      <c r="Z823" s="39"/>
      <c r="AA823" s="39"/>
      <c r="AB823" s="39">
        <f t="shared" si="866"/>
        <v>0</v>
      </c>
      <c r="AC823" s="39"/>
      <c r="AD823" s="39"/>
      <c r="AE823" s="39"/>
      <c r="AF823" s="39"/>
      <c r="AG823" s="39"/>
      <c r="AH823" s="39">
        <f t="shared" si="851"/>
        <v>0</v>
      </c>
      <c r="AI823" s="39"/>
      <c r="AJ823" s="39"/>
      <c r="AK823" s="39"/>
      <c r="AL823" s="39"/>
      <c r="AM823" s="39"/>
      <c r="AN823" s="39">
        <f t="shared" si="850"/>
        <v>0</v>
      </c>
      <c r="AO823" s="39"/>
      <c r="AP823" s="39"/>
      <c r="AQ823" s="39"/>
      <c r="AR823" s="39"/>
      <c r="AS823" s="39"/>
      <c r="AT823" s="39">
        <f t="shared" si="891"/>
        <v>0</v>
      </c>
      <c r="AU823" s="39"/>
      <c r="AV823" s="39"/>
      <c r="AW823" s="39"/>
      <c r="AX823" s="39"/>
      <c r="AY823" s="39"/>
      <c r="AZ823" s="39">
        <f t="shared" si="892"/>
        <v>0</v>
      </c>
      <c r="BA823" s="39"/>
      <c r="BB823" s="39"/>
      <c r="BC823" s="39"/>
      <c r="BD823" s="39"/>
      <c r="BE823" s="39"/>
      <c r="BF823" s="39">
        <f t="shared" si="893"/>
        <v>0</v>
      </c>
      <c r="BG823" s="39"/>
      <c r="BH823" s="39"/>
      <c r="BI823" s="39"/>
      <c r="BJ823" s="39"/>
      <c r="BK823" s="39"/>
      <c r="BL823" s="39">
        <f t="shared" si="852"/>
        <v>0</v>
      </c>
      <c r="BM823" s="54" t="e">
        <f t="shared" si="894"/>
        <v>#DIV/0!</v>
      </c>
      <c r="BN823" s="67"/>
      <c r="BO823" s="39"/>
      <c r="BP823" s="39"/>
      <c r="BQ823" s="39"/>
      <c r="BR823" s="40"/>
      <c r="BS823" s="40"/>
      <c r="BT823" s="39"/>
      <c r="BU823" s="39"/>
      <c r="BV823" s="39"/>
      <c r="BW823" s="39"/>
      <c r="BX823" s="39"/>
      <c r="BY823" s="39"/>
      <c r="BZ823" s="39">
        <f t="shared" si="853"/>
        <v>0</v>
      </c>
      <c r="CA823" s="39">
        <f t="shared" si="895"/>
        <v>0</v>
      </c>
      <c r="CB823" s="39">
        <f t="shared" si="896"/>
        <v>0</v>
      </c>
      <c r="CC823" s="39">
        <f t="shared" si="897"/>
        <v>0</v>
      </c>
      <c r="CD823" s="39">
        <f t="shared" si="854"/>
        <v>0</v>
      </c>
      <c r="CE823" s="47" t="e">
        <f t="shared" si="898"/>
        <v>#DIV/0!</v>
      </c>
      <c r="CF823" s="36"/>
      <c r="CG823" s="39"/>
      <c r="CH823" s="39"/>
      <c r="CI823" s="25">
        <v>2</v>
      </c>
    </row>
    <row r="824" spans="1:87" ht="24.75" customHeight="1">
      <c r="A824" s="36" t="s">
        <v>303</v>
      </c>
      <c r="B824" s="55" t="s">
        <v>1017</v>
      </c>
      <c r="C824" s="227" t="s">
        <v>1258</v>
      </c>
      <c r="D824" s="36"/>
      <c r="E824" s="39">
        <v>180</v>
      </c>
      <c r="F824" s="39" t="s">
        <v>55</v>
      </c>
      <c r="G824" s="36" t="s">
        <v>21</v>
      </c>
      <c r="H824" s="39" t="s">
        <v>22</v>
      </c>
      <c r="I824" s="39">
        <f>265+66</f>
        <v>331</v>
      </c>
      <c r="J824" s="39">
        <f>17+4</f>
        <v>21</v>
      </c>
      <c r="K824" s="39"/>
      <c r="L824" s="39">
        <f t="shared" ref="L824:L827" si="899">SUM(I824:K824)</f>
        <v>352</v>
      </c>
      <c r="M824" s="117">
        <v>46190</v>
      </c>
      <c r="N824" s="117">
        <v>46200</v>
      </c>
      <c r="O824" s="39"/>
      <c r="P824" s="39"/>
      <c r="Q824" s="39"/>
      <c r="R824" s="39">
        <f t="shared" ref="R824" si="900">SUM(O824:Q824)</f>
        <v>0</v>
      </c>
      <c r="S824" s="39" t="s">
        <v>130</v>
      </c>
      <c r="T824" s="39" t="s">
        <v>1660</v>
      </c>
      <c r="U824" s="117" t="s">
        <v>1641</v>
      </c>
      <c r="V824" s="39"/>
      <c r="W824" s="39"/>
      <c r="X824" s="39"/>
      <c r="Y824" s="39">
        <v>372</v>
      </c>
      <c r="Z824" s="39">
        <v>29</v>
      </c>
      <c r="AA824" s="39"/>
      <c r="AB824" s="119">
        <f t="shared" ref="AB824" si="901">SUM(Y824:AA824)</f>
        <v>401</v>
      </c>
      <c r="AC824" s="39"/>
      <c r="AD824" s="39"/>
      <c r="AE824" s="39"/>
      <c r="AF824" s="39"/>
      <c r="AG824" s="39"/>
      <c r="AH824" s="39">
        <f t="shared" si="851"/>
        <v>0</v>
      </c>
      <c r="AI824" s="39"/>
      <c r="AJ824" s="39"/>
      <c r="AK824" s="39"/>
      <c r="AL824" s="39"/>
      <c r="AM824" s="39"/>
      <c r="AN824" s="39">
        <f t="shared" si="850"/>
        <v>0</v>
      </c>
      <c r="AO824" s="39"/>
      <c r="AP824" s="39"/>
      <c r="AQ824" s="39"/>
      <c r="AR824" s="39"/>
      <c r="AS824" s="39"/>
      <c r="AT824" s="39">
        <f t="shared" si="891"/>
        <v>0</v>
      </c>
      <c r="AU824" s="39"/>
      <c r="AV824" s="39"/>
      <c r="AW824" s="39"/>
      <c r="AX824" s="39"/>
      <c r="AY824" s="39"/>
      <c r="AZ824" s="39">
        <f t="shared" si="892"/>
        <v>0</v>
      </c>
      <c r="BA824" s="39"/>
      <c r="BB824" s="39"/>
      <c r="BC824" s="39"/>
      <c r="BD824" s="39"/>
      <c r="BE824" s="39"/>
      <c r="BF824" s="39">
        <f t="shared" si="893"/>
        <v>0</v>
      </c>
      <c r="BG824" s="39"/>
      <c r="BH824" s="39"/>
      <c r="BI824" s="39"/>
      <c r="BJ824" s="39"/>
      <c r="BK824" s="39"/>
      <c r="BL824" s="39">
        <f t="shared" si="852"/>
        <v>0</v>
      </c>
      <c r="BM824" s="54" t="str">
        <f t="shared" si="894"/>
        <v/>
      </c>
      <c r="BN824" s="62">
        <v>46198</v>
      </c>
      <c r="BO824" s="117">
        <v>46213</v>
      </c>
      <c r="BP824" s="39"/>
      <c r="BQ824" s="39"/>
      <c r="BR824" s="229">
        <v>46203</v>
      </c>
      <c r="BS824" s="229">
        <v>46233</v>
      </c>
      <c r="BT824" s="39">
        <v>1806</v>
      </c>
      <c r="BU824" s="39">
        <v>340</v>
      </c>
      <c r="BV824" s="39">
        <v>1901</v>
      </c>
      <c r="BW824" s="39">
        <v>25</v>
      </c>
      <c r="BX824" s="39"/>
      <c r="BY824" s="39"/>
      <c r="BZ824" s="39">
        <f t="shared" si="853"/>
        <v>365</v>
      </c>
      <c r="CA824" s="39">
        <f t="shared" si="895"/>
        <v>9</v>
      </c>
      <c r="CB824" s="39">
        <f t="shared" si="896"/>
        <v>4</v>
      </c>
      <c r="CC824" s="39">
        <f t="shared" si="897"/>
        <v>0</v>
      </c>
      <c r="CD824" s="39">
        <f t="shared" si="854"/>
        <v>0</v>
      </c>
      <c r="CE824" s="102">
        <f t="shared" si="898"/>
        <v>0</v>
      </c>
      <c r="CF824" s="36"/>
      <c r="CG824" s="39" t="s">
        <v>235</v>
      </c>
      <c r="CH824" s="39"/>
      <c r="CI824" s="25">
        <v>3</v>
      </c>
    </row>
    <row r="825" spans="1:87" ht="24.75" customHeight="1">
      <c r="A825" s="36" t="s">
        <v>303</v>
      </c>
      <c r="B825" s="55" t="s">
        <v>1017</v>
      </c>
      <c r="C825" s="231"/>
      <c r="D825" s="36"/>
      <c r="E825" s="39">
        <v>180</v>
      </c>
      <c r="F825" s="39" t="s">
        <v>55</v>
      </c>
      <c r="G825" s="36" t="s">
        <v>23</v>
      </c>
      <c r="H825" s="39" t="s">
        <v>22</v>
      </c>
      <c r="I825" s="39">
        <f>331-129</f>
        <v>202</v>
      </c>
      <c r="J825" s="39">
        <f>21-7</f>
        <v>14</v>
      </c>
      <c r="K825" s="39"/>
      <c r="L825" s="39">
        <f t="shared" si="899"/>
        <v>216</v>
      </c>
      <c r="M825" s="117">
        <v>46190</v>
      </c>
      <c r="N825" s="117">
        <v>46200</v>
      </c>
      <c r="O825" s="39"/>
      <c r="P825" s="39"/>
      <c r="Q825" s="39"/>
      <c r="R825" s="39">
        <f t="shared" ref="R825:R837" si="902">SUM(O825:Q825)</f>
        <v>0</v>
      </c>
      <c r="S825" s="39" t="s">
        <v>130</v>
      </c>
      <c r="T825" s="39">
        <v>107496</v>
      </c>
      <c r="U825" s="117">
        <v>46207</v>
      </c>
      <c r="V825" s="39"/>
      <c r="W825" s="39"/>
      <c r="X825" s="39"/>
      <c r="Y825" s="39">
        <v>218</v>
      </c>
      <c r="Z825" s="39">
        <v>16</v>
      </c>
      <c r="AA825" s="39"/>
      <c r="AB825" s="119">
        <f t="shared" ref="AB825:AB837" si="903">SUM(Y825:AA825)</f>
        <v>234</v>
      </c>
      <c r="AC825" s="39"/>
      <c r="AD825" s="39"/>
      <c r="AE825" s="39"/>
      <c r="AF825" s="39"/>
      <c r="AG825" s="39"/>
      <c r="AH825" s="39">
        <f t="shared" si="851"/>
        <v>0</v>
      </c>
      <c r="AI825" s="39"/>
      <c r="AJ825" s="39"/>
      <c r="AK825" s="39"/>
      <c r="AL825" s="39"/>
      <c r="AM825" s="39"/>
      <c r="AN825" s="39">
        <f t="shared" si="850"/>
        <v>0</v>
      </c>
      <c r="AO825" s="39"/>
      <c r="AP825" s="39"/>
      <c r="AQ825" s="39"/>
      <c r="AR825" s="39"/>
      <c r="AS825" s="39"/>
      <c r="AT825" s="39">
        <f t="shared" si="891"/>
        <v>0</v>
      </c>
      <c r="AU825" s="39"/>
      <c r="AV825" s="39"/>
      <c r="AW825" s="39"/>
      <c r="AX825" s="39"/>
      <c r="AY825" s="39"/>
      <c r="AZ825" s="39">
        <f t="shared" si="892"/>
        <v>0</v>
      </c>
      <c r="BA825" s="39"/>
      <c r="BB825" s="39"/>
      <c r="BC825" s="39"/>
      <c r="BD825" s="39"/>
      <c r="BE825" s="39"/>
      <c r="BF825" s="39">
        <f t="shared" si="893"/>
        <v>0</v>
      </c>
      <c r="BG825" s="39"/>
      <c r="BH825" s="39"/>
      <c r="BI825" s="39"/>
      <c r="BJ825" s="39"/>
      <c r="BK825" s="39"/>
      <c r="BL825" s="39">
        <f t="shared" si="852"/>
        <v>0</v>
      </c>
      <c r="BM825" s="54" t="str">
        <f t="shared" si="894"/>
        <v/>
      </c>
      <c r="BN825" s="62">
        <v>46198</v>
      </c>
      <c r="BO825" s="117">
        <v>46213</v>
      </c>
      <c r="BP825" s="39"/>
      <c r="BQ825" s="39"/>
      <c r="BR825" s="232"/>
      <c r="BS825" s="232"/>
      <c r="BT825" s="39">
        <v>1600</v>
      </c>
      <c r="BU825" s="39">
        <v>210</v>
      </c>
      <c r="BV825" s="39">
        <v>1844</v>
      </c>
      <c r="BW825" s="39">
        <v>14</v>
      </c>
      <c r="BX825" s="39"/>
      <c r="BY825" s="39"/>
      <c r="BZ825" s="39">
        <f t="shared" si="853"/>
        <v>224</v>
      </c>
      <c r="CA825" s="39">
        <f t="shared" si="895"/>
        <v>8</v>
      </c>
      <c r="CB825" s="39">
        <f t="shared" si="896"/>
        <v>0</v>
      </c>
      <c r="CC825" s="39">
        <f t="shared" si="897"/>
        <v>0</v>
      </c>
      <c r="CD825" s="39">
        <f t="shared" si="854"/>
        <v>0</v>
      </c>
      <c r="CE825" s="102">
        <f t="shared" si="898"/>
        <v>0</v>
      </c>
      <c r="CF825" s="36"/>
      <c r="CG825" s="39" t="s">
        <v>235</v>
      </c>
      <c r="CH825" s="39" t="s">
        <v>567</v>
      </c>
      <c r="CI825" s="25">
        <v>3</v>
      </c>
    </row>
    <row r="826" spans="1:87" ht="24.75" customHeight="1">
      <c r="A826" s="36" t="s">
        <v>303</v>
      </c>
      <c r="B826" s="55" t="s">
        <v>1017</v>
      </c>
      <c r="C826" s="231"/>
      <c r="D826" s="36"/>
      <c r="E826" s="39">
        <v>180</v>
      </c>
      <c r="F826" s="39" t="s">
        <v>55</v>
      </c>
      <c r="G826" s="36" t="s">
        <v>41</v>
      </c>
      <c r="H826" s="39" t="s">
        <v>22</v>
      </c>
      <c r="I826" s="39">
        <f>265-63</f>
        <v>202</v>
      </c>
      <c r="J826" s="39">
        <f>18-3</f>
        <v>15</v>
      </c>
      <c r="K826" s="39"/>
      <c r="L826" s="39">
        <f t="shared" si="899"/>
        <v>217</v>
      </c>
      <c r="M826" s="117">
        <v>46190</v>
      </c>
      <c r="N826" s="117">
        <v>46200</v>
      </c>
      <c r="O826" s="39"/>
      <c r="P826" s="39"/>
      <c r="Q826" s="39"/>
      <c r="R826" s="39">
        <f t="shared" si="902"/>
        <v>0</v>
      </c>
      <c r="S826" s="39" t="s">
        <v>130</v>
      </c>
      <c r="T826" s="39">
        <v>107419</v>
      </c>
      <c r="U826" s="117">
        <v>46205</v>
      </c>
      <c r="V826" s="39"/>
      <c r="W826" s="39"/>
      <c r="X826" s="39"/>
      <c r="Y826" s="39">
        <v>226</v>
      </c>
      <c r="Z826" s="39">
        <v>19</v>
      </c>
      <c r="AA826" s="39"/>
      <c r="AB826" s="119">
        <f t="shared" si="903"/>
        <v>245</v>
      </c>
      <c r="AC826" s="39"/>
      <c r="AD826" s="39"/>
      <c r="AE826" s="39"/>
      <c r="AF826" s="39"/>
      <c r="AG826" s="39"/>
      <c r="AH826" s="39">
        <f t="shared" si="851"/>
        <v>0</v>
      </c>
      <c r="AI826" s="39"/>
      <c r="AJ826" s="39"/>
      <c r="AK826" s="39"/>
      <c r="AL826" s="39"/>
      <c r="AM826" s="39"/>
      <c r="AN826" s="39">
        <f t="shared" si="850"/>
        <v>0</v>
      </c>
      <c r="AO826" s="39"/>
      <c r="AP826" s="39"/>
      <c r="AQ826" s="39"/>
      <c r="AR826" s="39"/>
      <c r="AS826" s="39"/>
      <c r="AT826" s="39">
        <f t="shared" si="891"/>
        <v>0</v>
      </c>
      <c r="AU826" s="39"/>
      <c r="AV826" s="39"/>
      <c r="AW826" s="39"/>
      <c r="AX826" s="39"/>
      <c r="AY826" s="39"/>
      <c r="AZ826" s="39">
        <f t="shared" si="892"/>
        <v>0</v>
      </c>
      <c r="BA826" s="39"/>
      <c r="BB826" s="39"/>
      <c r="BC826" s="39"/>
      <c r="BD826" s="39"/>
      <c r="BE826" s="39"/>
      <c r="BF826" s="39">
        <f t="shared" si="893"/>
        <v>0</v>
      </c>
      <c r="BG826" s="39"/>
      <c r="BH826" s="39"/>
      <c r="BI826" s="39"/>
      <c r="BJ826" s="39"/>
      <c r="BK826" s="39"/>
      <c r="BL826" s="39">
        <f t="shared" si="852"/>
        <v>0</v>
      </c>
      <c r="BM826" s="54" t="str">
        <f t="shared" si="894"/>
        <v/>
      </c>
      <c r="BN826" s="62">
        <v>46198</v>
      </c>
      <c r="BO826" s="117">
        <v>46213</v>
      </c>
      <c r="BP826" s="39"/>
      <c r="BQ826" s="39"/>
      <c r="BR826" s="232"/>
      <c r="BS826" s="232"/>
      <c r="BT826" s="39">
        <v>1577</v>
      </c>
      <c r="BU826" s="39">
        <f>196</f>
        <v>196</v>
      </c>
      <c r="BV826" s="39">
        <v>1582</v>
      </c>
      <c r="BW826" s="39">
        <v>17</v>
      </c>
      <c r="BX826" s="39"/>
      <c r="BY826" s="39"/>
      <c r="BZ826" s="39">
        <f t="shared" si="853"/>
        <v>213</v>
      </c>
      <c r="CA826" s="39">
        <f t="shared" si="895"/>
        <v>-6</v>
      </c>
      <c r="CB826" s="39">
        <f t="shared" si="896"/>
        <v>2</v>
      </c>
      <c r="CC826" s="39">
        <f t="shared" si="897"/>
        <v>0</v>
      </c>
      <c r="CD826" s="39">
        <v>0</v>
      </c>
      <c r="CE826" s="102">
        <f t="shared" si="898"/>
        <v>0</v>
      </c>
      <c r="CF826" s="36"/>
      <c r="CG826" s="39" t="s">
        <v>235</v>
      </c>
      <c r="CH826" s="39" t="s">
        <v>973</v>
      </c>
      <c r="CI826" s="25">
        <v>3</v>
      </c>
    </row>
    <row r="827" spans="1:87" ht="24.75" customHeight="1">
      <c r="A827" s="36" t="s">
        <v>303</v>
      </c>
      <c r="B827" s="55" t="s">
        <v>1017</v>
      </c>
      <c r="C827" s="231"/>
      <c r="D827" s="36"/>
      <c r="E827" s="39">
        <v>180</v>
      </c>
      <c r="F827" s="39" t="s">
        <v>55</v>
      </c>
      <c r="G827" s="36" t="s">
        <v>311</v>
      </c>
      <c r="H827" s="39" t="s">
        <v>22</v>
      </c>
      <c r="I827" s="39">
        <f>656-487</f>
        <v>169</v>
      </c>
      <c r="J827" s="39">
        <f>38-26</f>
        <v>12</v>
      </c>
      <c r="K827" s="39"/>
      <c r="L827" s="39">
        <f t="shared" si="899"/>
        <v>181</v>
      </c>
      <c r="M827" s="117">
        <v>46190</v>
      </c>
      <c r="N827" s="117">
        <v>46200</v>
      </c>
      <c r="O827" s="39"/>
      <c r="P827" s="39"/>
      <c r="Q827" s="39"/>
      <c r="R827" s="39">
        <f t="shared" si="902"/>
        <v>0</v>
      </c>
      <c r="S827" s="39" t="s">
        <v>130</v>
      </c>
      <c r="T827" s="39">
        <v>107389</v>
      </c>
      <c r="U827" s="117">
        <v>46204</v>
      </c>
      <c r="V827" s="39"/>
      <c r="W827" s="39"/>
      <c r="X827" s="39"/>
      <c r="Y827" s="39">
        <v>200</v>
      </c>
      <c r="Z827" s="39">
        <v>15</v>
      </c>
      <c r="AA827" s="39"/>
      <c r="AB827" s="119">
        <f t="shared" si="903"/>
        <v>215</v>
      </c>
      <c r="AC827" s="39"/>
      <c r="AD827" s="39"/>
      <c r="AE827" s="39"/>
      <c r="AF827" s="39"/>
      <c r="AG827" s="39"/>
      <c r="AH827" s="39">
        <f t="shared" si="851"/>
        <v>0</v>
      </c>
      <c r="AI827" s="39"/>
      <c r="AJ827" s="39"/>
      <c r="AK827" s="39"/>
      <c r="AL827" s="39"/>
      <c r="AM827" s="39"/>
      <c r="AN827" s="39">
        <f t="shared" si="850"/>
        <v>0</v>
      </c>
      <c r="AO827" s="39"/>
      <c r="AP827" s="39"/>
      <c r="AQ827" s="39"/>
      <c r="AR827" s="39"/>
      <c r="AS827" s="39"/>
      <c r="AT827" s="39">
        <f t="shared" si="891"/>
        <v>0</v>
      </c>
      <c r="AU827" s="39"/>
      <c r="AV827" s="39"/>
      <c r="AW827" s="39"/>
      <c r="AX827" s="39"/>
      <c r="AY827" s="39"/>
      <c r="AZ827" s="39">
        <f t="shared" si="892"/>
        <v>0</v>
      </c>
      <c r="BA827" s="39"/>
      <c r="BB827" s="39"/>
      <c r="BC827" s="39"/>
      <c r="BD827" s="39"/>
      <c r="BE827" s="39"/>
      <c r="BF827" s="39">
        <f t="shared" si="893"/>
        <v>0</v>
      </c>
      <c r="BG827" s="39"/>
      <c r="BH827" s="39"/>
      <c r="BI827" s="39"/>
      <c r="BJ827" s="39"/>
      <c r="BK827" s="39"/>
      <c r="BL827" s="39">
        <f t="shared" si="852"/>
        <v>0</v>
      </c>
      <c r="BM827" s="54" t="str">
        <f t="shared" si="894"/>
        <v/>
      </c>
      <c r="BN827" s="62">
        <v>46198</v>
      </c>
      <c r="BO827" s="117">
        <v>46213</v>
      </c>
      <c r="BP827" s="39"/>
      <c r="BQ827" s="39"/>
      <c r="BR827" s="232"/>
      <c r="BS827" s="232"/>
      <c r="BT827" s="39">
        <v>1569</v>
      </c>
      <c r="BU827" s="39">
        <v>172</v>
      </c>
      <c r="BV827" s="39">
        <v>1569</v>
      </c>
      <c r="BW827" s="39">
        <v>13</v>
      </c>
      <c r="BX827" s="39"/>
      <c r="BY827" s="39"/>
      <c r="BZ827" s="39">
        <f t="shared" si="853"/>
        <v>185</v>
      </c>
      <c r="CA827" s="39">
        <f t="shared" si="895"/>
        <v>3</v>
      </c>
      <c r="CB827" s="39">
        <f t="shared" si="896"/>
        <v>1</v>
      </c>
      <c r="CC827" s="39">
        <f t="shared" si="897"/>
        <v>0</v>
      </c>
      <c r="CD827" s="39">
        <f t="shared" si="854"/>
        <v>0</v>
      </c>
      <c r="CE827" s="102">
        <f t="shared" si="898"/>
        <v>0</v>
      </c>
      <c r="CF827" s="36"/>
      <c r="CG827" s="39" t="s">
        <v>235</v>
      </c>
      <c r="CH827" s="39"/>
      <c r="CI827" s="25">
        <v>3</v>
      </c>
    </row>
    <row r="828" spans="1:87" ht="24.75" customHeight="1">
      <c r="A828" s="36" t="s">
        <v>303</v>
      </c>
      <c r="B828" s="55" t="s">
        <v>1017</v>
      </c>
      <c r="C828" s="231"/>
      <c r="D828" s="36"/>
      <c r="E828" s="39">
        <v>180</v>
      </c>
      <c r="F828" s="39" t="s">
        <v>55</v>
      </c>
      <c r="G828" s="36" t="s">
        <v>343</v>
      </c>
      <c r="H828" s="39" t="s">
        <v>22</v>
      </c>
      <c r="I828" s="39">
        <f>331+325</f>
        <v>656</v>
      </c>
      <c r="J828" s="39">
        <f>22+17</f>
        <v>39</v>
      </c>
      <c r="K828" s="39"/>
      <c r="L828" s="39">
        <f t="shared" ref="L828" si="904">SUM(I828:K828)</f>
        <v>695</v>
      </c>
      <c r="M828" s="117">
        <v>46190</v>
      </c>
      <c r="N828" s="117">
        <v>46200</v>
      </c>
      <c r="O828" s="39"/>
      <c r="P828" s="39"/>
      <c r="Q828" s="39"/>
      <c r="R828" s="39">
        <f t="shared" si="902"/>
        <v>0</v>
      </c>
      <c r="S828" s="39" t="s">
        <v>130</v>
      </c>
      <c r="T828" s="39">
        <v>107588</v>
      </c>
      <c r="U828" s="117">
        <v>46210</v>
      </c>
      <c r="V828" s="39"/>
      <c r="W828" s="39"/>
      <c r="X828" s="39"/>
      <c r="Y828" s="39">
        <f>374+190+170</f>
        <v>734</v>
      </c>
      <c r="Z828" s="39">
        <v>46</v>
      </c>
      <c r="AA828" s="39"/>
      <c r="AB828" s="119">
        <f t="shared" si="903"/>
        <v>780</v>
      </c>
      <c r="AC828" s="39"/>
      <c r="AD828" s="39"/>
      <c r="AE828" s="39"/>
      <c r="AF828" s="39"/>
      <c r="AG828" s="39"/>
      <c r="AH828" s="39">
        <f t="shared" si="851"/>
        <v>0</v>
      </c>
      <c r="AI828" s="39"/>
      <c r="AJ828" s="39"/>
      <c r="AK828" s="39"/>
      <c r="AL828" s="39"/>
      <c r="AM828" s="39"/>
      <c r="AN828" s="39">
        <f t="shared" si="850"/>
        <v>0</v>
      </c>
      <c r="AO828" s="39"/>
      <c r="AP828" s="39"/>
      <c r="AQ828" s="39"/>
      <c r="AR828" s="39"/>
      <c r="AS828" s="39"/>
      <c r="AT828" s="39">
        <f t="shared" si="891"/>
        <v>0</v>
      </c>
      <c r="AU828" s="39"/>
      <c r="AV828" s="39"/>
      <c r="AW828" s="39"/>
      <c r="AX828" s="39"/>
      <c r="AY828" s="39"/>
      <c r="AZ828" s="39">
        <f t="shared" si="892"/>
        <v>0</v>
      </c>
      <c r="BA828" s="39"/>
      <c r="BB828" s="39"/>
      <c r="BC828" s="39"/>
      <c r="BD828" s="39"/>
      <c r="BE828" s="39"/>
      <c r="BF828" s="39">
        <f t="shared" si="893"/>
        <v>0</v>
      </c>
      <c r="BG828" s="39"/>
      <c r="BH828" s="39"/>
      <c r="BI828" s="39"/>
      <c r="BJ828" s="39"/>
      <c r="BK828" s="39"/>
      <c r="BL828" s="39">
        <f t="shared" si="852"/>
        <v>0</v>
      </c>
      <c r="BM828" s="54" t="str">
        <f t="shared" si="894"/>
        <v/>
      </c>
      <c r="BN828" s="62">
        <v>46198</v>
      </c>
      <c r="BO828" s="117">
        <v>46213</v>
      </c>
      <c r="BP828" s="39"/>
      <c r="BQ828" s="39"/>
      <c r="BR828" s="232"/>
      <c r="BS828" s="232"/>
      <c r="BT828" s="39" t="s">
        <v>1576</v>
      </c>
      <c r="BU828" s="39">
        <f>600+33+17</f>
        <v>650</v>
      </c>
      <c r="BV828" s="39">
        <v>1599</v>
      </c>
      <c r="BW828" s="39">
        <v>41</v>
      </c>
      <c r="BX828" s="39"/>
      <c r="BY828" s="39"/>
      <c r="BZ828" s="39">
        <f t="shared" si="853"/>
        <v>691</v>
      </c>
      <c r="CA828" s="39">
        <f t="shared" si="895"/>
        <v>-6</v>
      </c>
      <c r="CB828" s="39">
        <f t="shared" si="896"/>
        <v>2</v>
      </c>
      <c r="CC828" s="39">
        <f t="shared" si="897"/>
        <v>0</v>
      </c>
      <c r="CD828" s="39">
        <v>0</v>
      </c>
      <c r="CE828" s="102">
        <f t="shared" si="898"/>
        <v>0</v>
      </c>
      <c r="CF828" s="36"/>
      <c r="CG828" s="39" t="s">
        <v>235</v>
      </c>
      <c r="CH828" s="39"/>
      <c r="CI828" s="25">
        <v>3</v>
      </c>
    </row>
    <row r="829" spans="1:87" ht="24.75" customHeight="1">
      <c r="A829" s="36" t="s">
        <v>303</v>
      </c>
      <c r="B829" s="55" t="s">
        <v>1017</v>
      </c>
      <c r="C829" s="231"/>
      <c r="D829" s="36"/>
      <c r="E829" s="39">
        <v>180</v>
      </c>
      <c r="F829" s="39" t="s">
        <v>55</v>
      </c>
      <c r="G829" s="36" t="s">
        <v>518</v>
      </c>
      <c r="H829" s="39" t="s">
        <v>22</v>
      </c>
      <c r="I829" s="39">
        <v>493</v>
      </c>
      <c r="J829" s="39">
        <v>29</v>
      </c>
      <c r="K829" s="39"/>
      <c r="L829" s="39">
        <f t="shared" ref="L829:L835" si="905">SUM(I829:K829)</f>
        <v>522</v>
      </c>
      <c r="M829" s="117">
        <v>46190</v>
      </c>
      <c r="N829" s="117">
        <v>46200</v>
      </c>
      <c r="O829" s="39"/>
      <c r="P829" s="39"/>
      <c r="Q829" s="39"/>
      <c r="R829" s="39">
        <f t="shared" si="902"/>
        <v>0</v>
      </c>
      <c r="S829" s="39" t="s">
        <v>130</v>
      </c>
      <c r="T829" s="39">
        <v>107366</v>
      </c>
      <c r="U829" s="117">
        <v>46204</v>
      </c>
      <c r="V829" s="39"/>
      <c r="W829" s="39"/>
      <c r="X829" s="39"/>
      <c r="Y829" s="39">
        <v>552</v>
      </c>
      <c r="Z829" s="39">
        <v>35</v>
      </c>
      <c r="AA829" s="39"/>
      <c r="AB829" s="119">
        <f t="shared" si="903"/>
        <v>587</v>
      </c>
      <c r="AC829" s="39"/>
      <c r="AD829" s="39"/>
      <c r="AE829" s="39"/>
      <c r="AF829" s="39"/>
      <c r="AG829" s="39"/>
      <c r="AH829" s="39">
        <f t="shared" si="851"/>
        <v>0</v>
      </c>
      <c r="AI829" s="39"/>
      <c r="AJ829" s="39"/>
      <c r="AK829" s="39"/>
      <c r="AL829" s="39"/>
      <c r="AM829" s="39"/>
      <c r="AN829" s="39">
        <f t="shared" si="850"/>
        <v>0</v>
      </c>
      <c r="AO829" s="39"/>
      <c r="AP829" s="39"/>
      <c r="AQ829" s="39"/>
      <c r="AR829" s="39"/>
      <c r="AS829" s="39"/>
      <c r="AT829" s="39">
        <f t="shared" si="891"/>
        <v>0</v>
      </c>
      <c r="AU829" s="39"/>
      <c r="AV829" s="39"/>
      <c r="AW829" s="39"/>
      <c r="AX829" s="39"/>
      <c r="AY829" s="39"/>
      <c r="AZ829" s="39">
        <f t="shared" si="892"/>
        <v>0</v>
      </c>
      <c r="BA829" s="39"/>
      <c r="BB829" s="39"/>
      <c r="BC829" s="39"/>
      <c r="BD829" s="39"/>
      <c r="BE829" s="39"/>
      <c r="BF829" s="39">
        <f t="shared" si="893"/>
        <v>0</v>
      </c>
      <c r="BG829" s="39"/>
      <c r="BH829" s="39"/>
      <c r="BI829" s="39"/>
      <c r="BJ829" s="39"/>
      <c r="BK829" s="39"/>
      <c r="BL829" s="39">
        <f t="shared" si="852"/>
        <v>0</v>
      </c>
      <c r="BM829" s="54" t="str">
        <f t="shared" si="894"/>
        <v/>
      </c>
      <c r="BN829" s="62">
        <v>46198</v>
      </c>
      <c r="BO829" s="117">
        <v>46213</v>
      </c>
      <c r="BP829" s="39"/>
      <c r="BQ829" s="39"/>
      <c r="BR829" s="232"/>
      <c r="BS829" s="232"/>
      <c r="BT829" s="39">
        <v>1572</v>
      </c>
      <c r="BU829" s="39">
        <v>490</v>
      </c>
      <c r="BV829" s="39">
        <v>1572</v>
      </c>
      <c r="BW829" s="39">
        <v>30</v>
      </c>
      <c r="BX829" s="39"/>
      <c r="BY829" s="39"/>
      <c r="BZ829" s="39">
        <f t="shared" si="853"/>
        <v>520</v>
      </c>
      <c r="CA829" s="39">
        <f t="shared" si="895"/>
        <v>-3</v>
      </c>
      <c r="CB829" s="39">
        <f t="shared" si="896"/>
        <v>1</v>
      </c>
      <c r="CC829" s="39">
        <f t="shared" si="897"/>
        <v>0</v>
      </c>
      <c r="CD829" s="39">
        <v>0</v>
      </c>
      <c r="CE829" s="102">
        <f t="shared" si="898"/>
        <v>0</v>
      </c>
      <c r="CF829" s="36"/>
      <c r="CG829" s="39" t="s">
        <v>235</v>
      </c>
      <c r="CH829" s="39"/>
      <c r="CI829" s="25">
        <v>3</v>
      </c>
    </row>
    <row r="830" spans="1:87" ht="24.75" customHeight="1">
      <c r="A830" s="36" t="s">
        <v>303</v>
      </c>
      <c r="B830" s="55" t="s">
        <v>1017</v>
      </c>
      <c r="C830" s="231"/>
      <c r="D830" s="36"/>
      <c r="E830" s="39">
        <v>180</v>
      </c>
      <c r="F830" s="39" t="s">
        <v>55</v>
      </c>
      <c r="G830" s="36" t="s">
        <v>327</v>
      </c>
      <c r="H830" s="39" t="s">
        <v>22</v>
      </c>
      <c r="I830" s="39">
        <f>493-162</f>
        <v>331</v>
      </c>
      <c r="J830" s="39">
        <f>29-8</f>
        <v>21</v>
      </c>
      <c r="K830" s="39"/>
      <c r="L830" s="39">
        <f t="shared" si="905"/>
        <v>352</v>
      </c>
      <c r="M830" s="117">
        <v>46190</v>
      </c>
      <c r="N830" s="117">
        <v>46200</v>
      </c>
      <c r="O830" s="39"/>
      <c r="P830" s="39"/>
      <c r="Q830" s="39"/>
      <c r="R830" s="39">
        <f t="shared" si="902"/>
        <v>0</v>
      </c>
      <c r="S830" s="39" t="s">
        <v>130</v>
      </c>
      <c r="T830" s="39">
        <v>107537</v>
      </c>
      <c r="U830" s="117">
        <v>46211</v>
      </c>
      <c r="V830" s="39"/>
      <c r="W830" s="39"/>
      <c r="X830" s="39"/>
      <c r="Y830" s="39">
        <v>371</v>
      </c>
      <c r="Z830" s="39">
        <v>25</v>
      </c>
      <c r="AA830" s="39"/>
      <c r="AB830" s="119">
        <f t="shared" si="903"/>
        <v>396</v>
      </c>
      <c r="AC830" s="39"/>
      <c r="AD830" s="39"/>
      <c r="AE830" s="39"/>
      <c r="AF830" s="39"/>
      <c r="AG830" s="39"/>
      <c r="AH830" s="39">
        <f t="shared" si="851"/>
        <v>0</v>
      </c>
      <c r="AI830" s="39"/>
      <c r="AJ830" s="39"/>
      <c r="AK830" s="39"/>
      <c r="AL830" s="39"/>
      <c r="AM830" s="39"/>
      <c r="AN830" s="39">
        <f t="shared" si="850"/>
        <v>0</v>
      </c>
      <c r="AO830" s="39"/>
      <c r="AP830" s="39"/>
      <c r="AQ830" s="39"/>
      <c r="AR830" s="39"/>
      <c r="AS830" s="39"/>
      <c r="AT830" s="39">
        <f t="shared" si="891"/>
        <v>0</v>
      </c>
      <c r="AU830" s="39"/>
      <c r="AV830" s="39"/>
      <c r="AW830" s="39"/>
      <c r="AX830" s="39"/>
      <c r="AY830" s="39"/>
      <c r="AZ830" s="39">
        <f t="shared" si="892"/>
        <v>0</v>
      </c>
      <c r="BA830" s="39"/>
      <c r="BB830" s="39"/>
      <c r="BC830" s="39"/>
      <c r="BD830" s="39"/>
      <c r="BE830" s="39"/>
      <c r="BF830" s="39">
        <f t="shared" si="893"/>
        <v>0</v>
      </c>
      <c r="BG830" s="39"/>
      <c r="BH830" s="39"/>
      <c r="BI830" s="39"/>
      <c r="BJ830" s="39"/>
      <c r="BK830" s="39"/>
      <c r="BL830" s="39">
        <f t="shared" si="852"/>
        <v>0</v>
      </c>
      <c r="BM830" s="54" t="str">
        <f t="shared" si="894"/>
        <v/>
      </c>
      <c r="BN830" s="62">
        <v>46198</v>
      </c>
      <c r="BO830" s="117">
        <v>46213</v>
      </c>
      <c r="BP830" s="39"/>
      <c r="BQ830" s="39"/>
      <c r="BR830" s="232"/>
      <c r="BS830" s="232"/>
      <c r="BT830" s="39">
        <v>2045</v>
      </c>
      <c r="BU830" s="39">
        <f>326</f>
        <v>326</v>
      </c>
      <c r="BV830" s="39">
        <v>2048</v>
      </c>
      <c r="BW830" s="39">
        <v>22</v>
      </c>
      <c r="BX830" s="39"/>
      <c r="BY830" s="39"/>
      <c r="BZ830" s="39">
        <f t="shared" si="853"/>
        <v>348</v>
      </c>
      <c r="CA830" s="39">
        <f t="shared" si="895"/>
        <v>-5</v>
      </c>
      <c r="CB830" s="39">
        <f t="shared" si="896"/>
        <v>1</v>
      </c>
      <c r="CC830" s="39">
        <f t="shared" si="897"/>
        <v>0</v>
      </c>
      <c r="CD830" s="39">
        <v>0</v>
      </c>
      <c r="CE830" s="102">
        <f t="shared" si="898"/>
        <v>0</v>
      </c>
      <c r="CF830" s="36"/>
      <c r="CG830" s="39" t="s">
        <v>235</v>
      </c>
      <c r="CH830" s="39" t="s">
        <v>1831</v>
      </c>
      <c r="CI830" s="25">
        <v>3</v>
      </c>
    </row>
    <row r="831" spans="1:87" ht="24.75" customHeight="1">
      <c r="A831" s="36" t="s">
        <v>303</v>
      </c>
      <c r="B831" s="55" t="s">
        <v>1017</v>
      </c>
      <c r="C831" s="231"/>
      <c r="D831" s="36"/>
      <c r="E831" s="39">
        <v>180</v>
      </c>
      <c r="F831" s="39" t="s">
        <v>55</v>
      </c>
      <c r="G831" s="36" t="s">
        <v>302</v>
      </c>
      <c r="H831" s="39" t="s">
        <v>22</v>
      </c>
      <c r="I831" s="39">
        <f>331+162</f>
        <v>493</v>
      </c>
      <c r="J831" s="39">
        <f>22+8</f>
        <v>30</v>
      </c>
      <c r="K831" s="39"/>
      <c r="L831" s="39">
        <f t="shared" si="905"/>
        <v>523</v>
      </c>
      <c r="M831" s="117">
        <v>46190</v>
      </c>
      <c r="N831" s="117">
        <v>46200</v>
      </c>
      <c r="O831" s="39"/>
      <c r="P831" s="39"/>
      <c r="Q831" s="39"/>
      <c r="R831" s="39">
        <f t="shared" si="902"/>
        <v>0</v>
      </c>
      <c r="S831" s="39" t="s">
        <v>130</v>
      </c>
      <c r="T831" s="39" t="s">
        <v>2023</v>
      </c>
      <c r="U831" s="117" t="s">
        <v>2022</v>
      </c>
      <c r="V831" s="39"/>
      <c r="W831" s="39"/>
      <c r="X831" s="39"/>
      <c r="Y831" s="39">
        <f>370+180+28</f>
        <v>578</v>
      </c>
      <c r="Z831" s="39">
        <f>26+11+3</f>
        <v>40</v>
      </c>
      <c r="AA831" s="39"/>
      <c r="AB831" s="119">
        <f t="shared" si="903"/>
        <v>618</v>
      </c>
      <c r="AC831" s="39"/>
      <c r="AD831" s="39"/>
      <c r="AE831" s="39"/>
      <c r="AF831" s="39"/>
      <c r="AG831" s="39"/>
      <c r="AH831" s="39">
        <f t="shared" si="851"/>
        <v>0</v>
      </c>
      <c r="AI831" s="39"/>
      <c r="AJ831" s="39"/>
      <c r="AK831" s="39"/>
      <c r="AL831" s="39"/>
      <c r="AM831" s="39"/>
      <c r="AN831" s="39">
        <f t="shared" si="850"/>
        <v>0</v>
      </c>
      <c r="AO831" s="39"/>
      <c r="AP831" s="39"/>
      <c r="AQ831" s="39"/>
      <c r="AR831" s="39"/>
      <c r="AS831" s="39"/>
      <c r="AT831" s="39">
        <f t="shared" si="891"/>
        <v>0</v>
      </c>
      <c r="AU831" s="39"/>
      <c r="AV831" s="39"/>
      <c r="AW831" s="39"/>
      <c r="AX831" s="39"/>
      <c r="AY831" s="39"/>
      <c r="AZ831" s="39">
        <f t="shared" si="892"/>
        <v>0</v>
      </c>
      <c r="BA831" s="39"/>
      <c r="BB831" s="39"/>
      <c r="BC831" s="39"/>
      <c r="BD831" s="39"/>
      <c r="BE831" s="39"/>
      <c r="BF831" s="39">
        <f t="shared" si="893"/>
        <v>0</v>
      </c>
      <c r="BG831" s="39"/>
      <c r="BH831" s="39"/>
      <c r="BI831" s="39"/>
      <c r="BJ831" s="39"/>
      <c r="BK831" s="39"/>
      <c r="BL831" s="39">
        <f t="shared" si="852"/>
        <v>0</v>
      </c>
      <c r="BM831" s="54" t="str">
        <f t="shared" si="894"/>
        <v/>
      </c>
      <c r="BN831" s="62">
        <v>46198</v>
      </c>
      <c r="BO831" s="117">
        <v>46213</v>
      </c>
      <c r="BP831" s="39"/>
      <c r="BQ831" s="39"/>
      <c r="BR831" s="232"/>
      <c r="BS831" s="232"/>
      <c r="BT831" s="39" t="s">
        <v>2039</v>
      </c>
      <c r="BU831" s="39">
        <f>162+333+22</f>
        <v>517</v>
      </c>
      <c r="BV831" s="39" t="s">
        <v>2039</v>
      </c>
      <c r="BW831" s="39">
        <f>15+22+2</f>
        <v>39</v>
      </c>
      <c r="BX831" s="39"/>
      <c r="BY831" s="39"/>
      <c r="BZ831" s="39">
        <f t="shared" si="853"/>
        <v>556</v>
      </c>
      <c r="CA831" s="39">
        <f t="shared" si="895"/>
        <v>24</v>
      </c>
      <c r="CB831" s="39">
        <f t="shared" si="896"/>
        <v>9</v>
      </c>
      <c r="CC831" s="39">
        <f t="shared" si="897"/>
        <v>0</v>
      </c>
      <c r="CD831" s="39">
        <f t="shared" si="854"/>
        <v>0</v>
      </c>
      <c r="CE831" s="102">
        <f t="shared" si="898"/>
        <v>0</v>
      </c>
      <c r="CF831" s="36"/>
      <c r="CG831" s="39" t="s">
        <v>235</v>
      </c>
      <c r="CH831" s="39"/>
      <c r="CI831" s="25">
        <v>3</v>
      </c>
    </row>
    <row r="832" spans="1:87" ht="24.75" customHeight="1">
      <c r="A832" s="36" t="s">
        <v>303</v>
      </c>
      <c r="B832" s="55" t="s">
        <v>1017</v>
      </c>
      <c r="C832" s="231"/>
      <c r="D832" s="36"/>
      <c r="E832" s="39">
        <v>180</v>
      </c>
      <c r="F832" s="39" t="s">
        <v>55</v>
      </c>
      <c r="G832" s="36" t="s">
        <v>314</v>
      </c>
      <c r="H832" s="39" t="s">
        <v>22</v>
      </c>
      <c r="I832" s="39">
        <f>656-163</f>
        <v>493</v>
      </c>
      <c r="J832" s="39">
        <f>38-9</f>
        <v>29</v>
      </c>
      <c r="K832" s="39"/>
      <c r="L832" s="39">
        <f t="shared" si="905"/>
        <v>522</v>
      </c>
      <c r="M832" s="117">
        <v>46190</v>
      </c>
      <c r="N832" s="117">
        <v>46200</v>
      </c>
      <c r="O832" s="39"/>
      <c r="P832" s="39"/>
      <c r="Q832" s="39"/>
      <c r="R832" s="39">
        <f t="shared" si="902"/>
        <v>0</v>
      </c>
      <c r="S832" s="39" t="s">
        <v>130</v>
      </c>
      <c r="T832" s="39" t="s">
        <v>2024</v>
      </c>
      <c r="U832" s="117" t="s">
        <v>2022</v>
      </c>
      <c r="V832" s="39"/>
      <c r="W832" s="39"/>
      <c r="X832" s="39"/>
      <c r="Y832" s="39">
        <f>552+24</f>
        <v>576</v>
      </c>
      <c r="Z832" s="39">
        <f>34+3</f>
        <v>37</v>
      </c>
      <c r="AA832" s="39"/>
      <c r="AB832" s="119">
        <f t="shared" si="903"/>
        <v>613</v>
      </c>
      <c r="AC832" s="39"/>
      <c r="AD832" s="39"/>
      <c r="AE832" s="39"/>
      <c r="AF832" s="39"/>
      <c r="AG832" s="39"/>
      <c r="AH832" s="39">
        <f t="shared" si="851"/>
        <v>0</v>
      </c>
      <c r="AI832" s="39"/>
      <c r="AJ832" s="39"/>
      <c r="AK832" s="39"/>
      <c r="AL832" s="39"/>
      <c r="AM832" s="39"/>
      <c r="AN832" s="39">
        <f t="shared" si="850"/>
        <v>0</v>
      </c>
      <c r="AO832" s="39"/>
      <c r="AP832" s="39"/>
      <c r="AQ832" s="39"/>
      <c r="AR832" s="39"/>
      <c r="AS832" s="39"/>
      <c r="AT832" s="39">
        <f t="shared" si="891"/>
        <v>0</v>
      </c>
      <c r="AU832" s="39"/>
      <c r="AV832" s="39"/>
      <c r="AW832" s="39"/>
      <c r="AX832" s="39"/>
      <c r="AY832" s="39"/>
      <c r="AZ832" s="39">
        <f t="shared" si="892"/>
        <v>0</v>
      </c>
      <c r="BA832" s="39"/>
      <c r="BB832" s="39"/>
      <c r="BC832" s="39"/>
      <c r="BD832" s="39"/>
      <c r="BE832" s="39"/>
      <c r="BF832" s="39">
        <f t="shared" si="893"/>
        <v>0</v>
      </c>
      <c r="BG832" s="39"/>
      <c r="BH832" s="39"/>
      <c r="BI832" s="39"/>
      <c r="BJ832" s="39"/>
      <c r="BK832" s="39"/>
      <c r="BL832" s="39">
        <f t="shared" si="852"/>
        <v>0</v>
      </c>
      <c r="BM832" s="54" t="str">
        <f t="shared" si="894"/>
        <v/>
      </c>
      <c r="BN832" s="62">
        <v>46198</v>
      </c>
      <c r="BO832" s="117">
        <v>46213</v>
      </c>
      <c r="BP832" s="39"/>
      <c r="BQ832" s="39"/>
      <c r="BR832" s="232"/>
      <c r="BS832" s="232"/>
      <c r="BT832" s="39" t="s">
        <v>2038</v>
      </c>
      <c r="BU832" s="39">
        <f>489+21</f>
        <v>510</v>
      </c>
      <c r="BV832" s="39" t="s">
        <v>2038</v>
      </c>
      <c r="BW832" s="39">
        <f>29+3</f>
        <v>32</v>
      </c>
      <c r="BX832" s="39"/>
      <c r="BY832" s="39"/>
      <c r="BZ832" s="39">
        <f t="shared" si="853"/>
        <v>542</v>
      </c>
      <c r="CA832" s="39">
        <f t="shared" si="895"/>
        <v>17</v>
      </c>
      <c r="CB832" s="39">
        <f t="shared" si="896"/>
        <v>3</v>
      </c>
      <c r="CC832" s="39">
        <f t="shared" si="897"/>
        <v>0</v>
      </c>
      <c r="CD832" s="39">
        <v>0</v>
      </c>
      <c r="CE832" s="102">
        <f t="shared" si="898"/>
        <v>0</v>
      </c>
      <c r="CF832" s="36"/>
      <c r="CG832" s="39" t="s">
        <v>235</v>
      </c>
      <c r="CH832" s="39"/>
      <c r="CI832" s="25">
        <v>3</v>
      </c>
    </row>
    <row r="833" spans="1:87" ht="24.75" customHeight="1">
      <c r="A833" s="36" t="s">
        <v>303</v>
      </c>
      <c r="B833" s="55" t="s">
        <v>1017</v>
      </c>
      <c r="C833" s="231"/>
      <c r="D833" s="36"/>
      <c r="E833" s="39">
        <v>180</v>
      </c>
      <c r="F833" s="39" t="s">
        <v>55</v>
      </c>
      <c r="G833" s="36" t="s">
        <v>922</v>
      </c>
      <c r="H833" s="39" t="s">
        <v>22</v>
      </c>
      <c r="I833" s="39">
        <f>331-162</f>
        <v>169</v>
      </c>
      <c r="J833" s="39">
        <f>22-9</f>
        <v>13</v>
      </c>
      <c r="K833" s="39"/>
      <c r="L833" s="39">
        <f t="shared" si="905"/>
        <v>182</v>
      </c>
      <c r="M833" s="117">
        <v>46190</v>
      </c>
      <c r="N833" s="117">
        <v>46200</v>
      </c>
      <c r="O833" s="39"/>
      <c r="P833" s="39"/>
      <c r="Q833" s="39"/>
      <c r="R833" s="39">
        <f t="shared" si="902"/>
        <v>0</v>
      </c>
      <c r="S833" s="39" t="s">
        <v>130</v>
      </c>
      <c r="T833" s="39">
        <v>107594</v>
      </c>
      <c r="U833" s="117">
        <v>46216</v>
      </c>
      <c r="V833" s="39"/>
      <c r="W833" s="39"/>
      <c r="X833" s="39"/>
      <c r="Y833" s="39">
        <v>205</v>
      </c>
      <c r="Z833" s="39">
        <v>15</v>
      </c>
      <c r="AA833" s="39"/>
      <c r="AB833" s="119">
        <f t="shared" si="903"/>
        <v>220</v>
      </c>
      <c r="AC833" s="39"/>
      <c r="AD833" s="39"/>
      <c r="AE833" s="39"/>
      <c r="AF833" s="39"/>
      <c r="AG833" s="39"/>
      <c r="AH833" s="39">
        <f t="shared" si="851"/>
        <v>0</v>
      </c>
      <c r="AI833" s="39"/>
      <c r="AJ833" s="39"/>
      <c r="AK833" s="39"/>
      <c r="AL833" s="39"/>
      <c r="AM833" s="39"/>
      <c r="AN833" s="39">
        <f t="shared" si="850"/>
        <v>0</v>
      </c>
      <c r="AO833" s="39"/>
      <c r="AP833" s="39"/>
      <c r="AQ833" s="39"/>
      <c r="AR833" s="39"/>
      <c r="AS833" s="39"/>
      <c r="AT833" s="39">
        <f t="shared" si="891"/>
        <v>0</v>
      </c>
      <c r="AU833" s="39"/>
      <c r="AV833" s="39"/>
      <c r="AW833" s="39"/>
      <c r="AX833" s="39"/>
      <c r="AY833" s="39"/>
      <c r="AZ833" s="39">
        <f t="shared" si="892"/>
        <v>0</v>
      </c>
      <c r="BA833" s="39"/>
      <c r="BB833" s="39"/>
      <c r="BC833" s="39"/>
      <c r="BD833" s="39"/>
      <c r="BE833" s="39"/>
      <c r="BF833" s="39">
        <f t="shared" si="893"/>
        <v>0</v>
      </c>
      <c r="BG833" s="39"/>
      <c r="BH833" s="39"/>
      <c r="BI833" s="39"/>
      <c r="BJ833" s="39"/>
      <c r="BK833" s="39"/>
      <c r="BL833" s="39">
        <f t="shared" si="852"/>
        <v>0</v>
      </c>
      <c r="BM833" s="54" t="str">
        <f t="shared" si="894"/>
        <v/>
      </c>
      <c r="BN833" s="62">
        <v>46198</v>
      </c>
      <c r="BO833" s="117">
        <v>46213</v>
      </c>
      <c r="BP833" s="39"/>
      <c r="BQ833" s="39"/>
      <c r="BR833" s="232"/>
      <c r="BS833" s="232"/>
      <c r="BT833" s="39">
        <v>2047</v>
      </c>
      <c r="BU833" s="39">
        <v>177</v>
      </c>
      <c r="BV833" s="39">
        <v>2047</v>
      </c>
      <c r="BW833" s="39">
        <f>10</f>
        <v>10</v>
      </c>
      <c r="BX833" s="39"/>
      <c r="BY833" s="39"/>
      <c r="BZ833" s="39">
        <f t="shared" si="853"/>
        <v>187</v>
      </c>
      <c r="CA833" s="39">
        <f t="shared" si="895"/>
        <v>8</v>
      </c>
      <c r="CB833" s="39">
        <f t="shared" si="896"/>
        <v>-3</v>
      </c>
      <c r="CC833" s="39">
        <f t="shared" si="897"/>
        <v>0</v>
      </c>
      <c r="CD833" s="39">
        <v>0</v>
      </c>
      <c r="CE833" s="102">
        <f t="shared" si="898"/>
        <v>0</v>
      </c>
      <c r="CF833" s="36"/>
      <c r="CG833" s="39" t="s">
        <v>235</v>
      </c>
      <c r="CH833" s="39"/>
      <c r="CI833" s="25">
        <v>3</v>
      </c>
    </row>
    <row r="834" spans="1:87" ht="24.75" customHeight="1">
      <c r="A834" s="36" t="s">
        <v>303</v>
      </c>
      <c r="B834" s="55" t="s">
        <v>1017</v>
      </c>
      <c r="C834" s="231"/>
      <c r="D834" s="36"/>
      <c r="E834" s="39">
        <v>180</v>
      </c>
      <c r="F834" s="39" t="s">
        <v>55</v>
      </c>
      <c r="G834" s="36" t="s">
        <v>463</v>
      </c>
      <c r="H834" s="39" t="s">
        <v>22</v>
      </c>
      <c r="I834" s="39">
        <f>331-162</f>
        <v>169</v>
      </c>
      <c r="J834" s="39">
        <f>22-9</f>
        <v>13</v>
      </c>
      <c r="K834" s="39"/>
      <c r="L834" s="39">
        <f t="shared" si="905"/>
        <v>182</v>
      </c>
      <c r="M834" s="117">
        <v>46190</v>
      </c>
      <c r="N834" s="117">
        <v>46200</v>
      </c>
      <c r="O834" s="39"/>
      <c r="P834" s="39"/>
      <c r="Q834" s="39"/>
      <c r="R834" s="39">
        <f t="shared" si="902"/>
        <v>0</v>
      </c>
      <c r="S834" s="39" t="s">
        <v>130</v>
      </c>
      <c r="T834" s="39">
        <v>107451</v>
      </c>
      <c r="U834" s="117">
        <v>46207</v>
      </c>
      <c r="V834" s="39"/>
      <c r="W834" s="39"/>
      <c r="X834" s="39"/>
      <c r="Y834" s="39">
        <v>202</v>
      </c>
      <c r="Z834" s="39">
        <v>15</v>
      </c>
      <c r="AA834" s="39"/>
      <c r="AB834" s="119">
        <f t="shared" si="903"/>
        <v>217</v>
      </c>
      <c r="AC834" s="39"/>
      <c r="AD834" s="39"/>
      <c r="AE834" s="39"/>
      <c r="AF834" s="39"/>
      <c r="AG834" s="39"/>
      <c r="AH834" s="39">
        <f t="shared" si="851"/>
        <v>0</v>
      </c>
      <c r="AI834" s="39"/>
      <c r="AJ834" s="39"/>
      <c r="AK834" s="39"/>
      <c r="AL834" s="39"/>
      <c r="AM834" s="39"/>
      <c r="AN834" s="39">
        <f t="shared" si="850"/>
        <v>0</v>
      </c>
      <c r="AO834" s="39"/>
      <c r="AP834" s="39"/>
      <c r="AQ834" s="39"/>
      <c r="AR834" s="39"/>
      <c r="AS834" s="39"/>
      <c r="AT834" s="39">
        <f t="shared" si="891"/>
        <v>0</v>
      </c>
      <c r="AU834" s="39"/>
      <c r="AV834" s="39"/>
      <c r="AW834" s="39"/>
      <c r="AX834" s="39"/>
      <c r="AY834" s="39"/>
      <c r="AZ834" s="39">
        <f t="shared" si="892"/>
        <v>0</v>
      </c>
      <c r="BA834" s="39"/>
      <c r="BB834" s="39"/>
      <c r="BC834" s="39"/>
      <c r="BD834" s="39"/>
      <c r="BE834" s="39"/>
      <c r="BF834" s="39">
        <f t="shared" si="893"/>
        <v>0</v>
      </c>
      <c r="BG834" s="39"/>
      <c r="BH834" s="39"/>
      <c r="BI834" s="39"/>
      <c r="BJ834" s="39"/>
      <c r="BK834" s="39"/>
      <c r="BL834" s="39">
        <f t="shared" si="852"/>
        <v>0</v>
      </c>
      <c r="BM834" s="54" t="str">
        <f t="shared" si="894"/>
        <v/>
      </c>
      <c r="BN834" s="62">
        <v>46198</v>
      </c>
      <c r="BO834" s="117">
        <v>46213</v>
      </c>
      <c r="BP834" s="39"/>
      <c r="BQ834" s="39"/>
      <c r="BR834" s="232"/>
      <c r="BS834" s="232"/>
      <c r="BT834" s="39" t="s">
        <v>1966</v>
      </c>
      <c r="BU834" s="39">
        <f>155+9</f>
        <v>164</v>
      </c>
      <c r="BV834" s="39">
        <v>1806</v>
      </c>
      <c r="BW834" s="39">
        <v>13</v>
      </c>
      <c r="BX834" s="39"/>
      <c r="BY834" s="39"/>
      <c r="BZ834" s="39">
        <f t="shared" si="853"/>
        <v>177</v>
      </c>
      <c r="CA834" s="39">
        <f t="shared" si="895"/>
        <v>-5</v>
      </c>
      <c r="CB834" s="39">
        <f t="shared" si="896"/>
        <v>0</v>
      </c>
      <c r="CC834" s="39">
        <f t="shared" si="897"/>
        <v>0</v>
      </c>
      <c r="CD834" s="39">
        <f t="shared" si="854"/>
        <v>-5</v>
      </c>
      <c r="CE834" s="102">
        <f t="shared" si="898"/>
        <v>-2.7472527472527472E-2</v>
      </c>
      <c r="CF834" s="36"/>
      <c r="CG834" s="39" t="s">
        <v>235</v>
      </c>
      <c r="CH834" s="39" t="s">
        <v>764</v>
      </c>
      <c r="CI834" s="25">
        <v>3</v>
      </c>
    </row>
    <row r="835" spans="1:87" ht="24.75" customHeight="1">
      <c r="A835" s="36" t="s">
        <v>303</v>
      </c>
      <c r="B835" s="55" t="s">
        <v>1017</v>
      </c>
      <c r="C835" s="231"/>
      <c r="D835" s="36"/>
      <c r="E835" s="39">
        <v>180</v>
      </c>
      <c r="F835" s="39" t="s">
        <v>55</v>
      </c>
      <c r="G835" s="36" t="s">
        <v>731</v>
      </c>
      <c r="H835" s="39" t="s">
        <v>22</v>
      </c>
      <c r="I835" s="39">
        <f>265-96</f>
        <v>169</v>
      </c>
      <c r="J835" s="39">
        <f>18-5</f>
        <v>13</v>
      </c>
      <c r="K835" s="39"/>
      <c r="L835" s="39">
        <f t="shared" si="905"/>
        <v>182</v>
      </c>
      <c r="M835" s="117">
        <v>46190</v>
      </c>
      <c r="N835" s="117">
        <v>46200</v>
      </c>
      <c r="O835" s="39"/>
      <c r="P835" s="39"/>
      <c r="Q835" s="39"/>
      <c r="R835" s="39">
        <f t="shared" si="902"/>
        <v>0</v>
      </c>
      <c r="S835" s="39" t="s">
        <v>130</v>
      </c>
      <c r="T835" s="39">
        <v>107745</v>
      </c>
      <c r="U835" s="117">
        <v>46219</v>
      </c>
      <c r="V835" s="39"/>
      <c r="W835" s="39"/>
      <c r="X835" s="39"/>
      <c r="Y835" s="39">
        <v>204</v>
      </c>
      <c r="Z835" s="39">
        <v>16</v>
      </c>
      <c r="AA835" s="39"/>
      <c r="AB835" s="119">
        <f t="shared" si="903"/>
        <v>220</v>
      </c>
      <c r="AC835" s="39"/>
      <c r="AD835" s="39"/>
      <c r="AE835" s="39"/>
      <c r="AF835" s="39"/>
      <c r="AG835" s="39"/>
      <c r="AH835" s="39">
        <f t="shared" si="851"/>
        <v>0</v>
      </c>
      <c r="AI835" s="39"/>
      <c r="AJ835" s="39"/>
      <c r="AK835" s="39"/>
      <c r="AL835" s="39"/>
      <c r="AM835" s="39"/>
      <c r="AN835" s="39">
        <f t="shared" si="850"/>
        <v>0</v>
      </c>
      <c r="AO835" s="39"/>
      <c r="AP835" s="39"/>
      <c r="AQ835" s="39"/>
      <c r="AR835" s="39"/>
      <c r="AS835" s="39"/>
      <c r="AT835" s="39">
        <f t="shared" si="891"/>
        <v>0</v>
      </c>
      <c r="AU835" s="39"/>
      <c r="AV835" s="39"/>
      <c r="AW835" s="39"/>
      <c r="AX835" s="39"/>
      <c r="AY835" s="39"/>
      <c r="AZ835" s="39">
        <f t="shared" si="892"/>
        <v>0</v>
      </c>
      <c r="BA835" s="39"/>
      <c r="BB835" s="39"/>
      <c r="BC835" s="39"/>
      <c r="BD835" s="39"/>
      <c r="BE835" s="39"/>
      <c r="BF835" s="39">
        <f t="shared" si="893"/>
        <v>0</v>
      </c>
      <c r="BG835" s="39"/>
      <c r="BH835" s="39"/>
      <c r="BI835" s="39"/>
      <c r="BJ835" s="39"/>
      <c r="BK835" s="39"/>
      <c r="BL835" s="39">
        <f t="shared" si="852"/>
        <v>0</v>
      </c>
      <c r="BM835" s="54" t="str">
        <f t="shared" si="894"/>
        <v/>
      </c>
      <c r="BN835" s="62">
        <v>46198</v>
      </c>
      <c r="BO835" s="117">
        <v>46213</v>
      </c>
      <c r="BP835" s="39"/>
      <c r="BQ835" s="39"/>
      <c r="BR835" s="232"/>
      <c r="BS835" s="232"/>
      <c r="BT835" s="39">
        <v>1837</v>
      </c>
      <c r="BU835" s="39">
        <v>177</v>
      </c>
      <c r="BV835" s="39">
        <v>1907</v>
      </c>
      <c r="BW835" s="39">
        <f>11</f>
        <v>11</v>
      </c>
      <c r="BX835" s="39"/>
      <c r="BY835" s="39"/>
      <c r="BZ835" s="39">
        <f t="shared" si="853"/>
        <v>188</v>
      </c>
      <c r="CA835" s="39">
        <f t="shared" si="895"/>
        <v>8</v>
      </c>
      <c r="CB835" s="39">
        <f t="shared" si="896"/>
        <v>-2</v>
      </c>
      <c r="CC835" s="39">
        <f t="shared" si="897"/>
        <v>0</v>
      </c>
      <c r="CD835" s="39">
        <v>0</v>
      </c>
      <c r="CE835" s="102">
        <f t="shared" si="898"/>
        <v>0</v>
      </c>
      <c r="CF835" s="36"/>
      <c r="CG835" s="39" t="s">
        <v>235</v>
      </c>
      <c r="CH835" s="39" t="s">
        <v>973</v>
      </c>
      <c r="CI835" s="25">
        <v>3</v>
      </c>
    </row>
    <row r="836" spans="1:87" ht="24.75" customHeight="1">
      <c r="A836" s="36" t="s">
        <v>303</v>
      </c>
      <c r="B836" s="55" t="s">
        <v>1017</v>
      </c>
      <c r="C836" s="231"/>
      <c r="D836" s="36"/>
      <c r="E836" s="39">
        <v>180</v>
      </c>
      <c r="F836" s="39" t="s">
        <v>55</v>
      </c>
      <c r="G836" s="36" t="s">
        <v>344</v>
      </c>
      <c r="H836" s="39" t="s">
        <v>22</v>
      </c>
      <c r="I836" s="39">
        <f>265-96</f>
        <v>169</v>
      </c>
      <c r="J836" s="39">
        <f>18-5</f>
        <v>13</v>
      </c>
      <c r="K836" s="39"/>
      <c r="L836" s="39">
        <f t="shared" ref="L836:L837" si="906">SUM(I836:K836)</f>
        <v>182</v>
      </c>
      <c r="M836" s="117">
        <v>46190</v>
      </c>
      <c r="N836" s="117">
        <v>46200</v>
      </c>
      <c r="O836" s="39"/>
      <c r="P836" s="39"/>
      <c r="Q836" s="39"/>
      <c r="R836" s="39">
        <f t="shared" si="902"/>
        <v>0</v>
      </c>
      <c r="S836" s="39" t="s">
        <v>130</v>
      </c>
      <c r="T836" s="39">
        <v>108101</v>
      </c>
      <c r="U836" s="117">
        <v>46229</v>
      </c>
      <c r="V836" s="39"/>
      <c r="W836" s="39"/>
      <c r="X836" s="39"/>
      <c r="Y836" s="39">
        <v>202</v>
      </c>
      <c r="Z836" s="39">
        <v>16</v>
      </c>
      <c r="AA836" s="39"/>
      <c r="AB836" s="119">
        <f t="shared" si="903"/>
        <v>218</v>
      </c>
      <c r="AC836" s="39"/>
      <c r="AD836" s="39"/>
      <c r="AE836" s="39"/>
      <c r="AF836" s="39"/>
      <c r="AG836" s="39"/>
      <c r="AH836" s="39">
        <f t="shared" si="851"/>
        <v>0</v>
      </c>
      <c r="AI836" s="39"/>
      <c r="AJ836" s="39"/>
      <c r="AK836" s="39"/>
      <c r="AL836" s="39"/>
      <c r="AM836" s="39"/>
      <c r="AN836" s="39">
        <f t="shared" si="850"/>
        <v>0</v>
      </c>
      <c r="AO836" s="39"/>
      <c r="AP836" s="39"/>
      <c r="AQ836" s="39"/>
      <c r="AR836" s="39"/>
      <c r="AS836" s="39"/>
      <c r="AT836" s="39">
        <f t="shared" si="891"/>
        <v>0</v>
      </c>
      <c r="AU836" s="39"/>
      <c r="AV836" s="39"/>
      <c r="AW836" s="39"/>
      <c r="AX836" s="39"/>
      <c r="AY836" s="39"/>
      <c r="AZ836" s="39">
        <f t="shared" si="892"/>
        <v>0</v>
      </c>
      <c r="BA836" s="39"/>
      <c r="BB836" s="39"/>
      <c r="BC836" s="39"/>
      <c r="BD836" s="39"/>
      <c r="BE836" s="39"/>
      <c r="BF836" s="39">
        <f t="shared" si="893"/>
        <v>0</v>
      </c>
      <c r="BG836" s="39" t="s">
        <v>28</v>
      </c>
      <c r="BH836" s="117">
        <v>46230</v>
      </c>
      <c r="BI836" s="39">
        <f>192+15</f>
        <v>207</v>
      </c>
      <c r="BJ836" s="117">
        <v>46231</v>
      </c>
      <c r="BK836" s="39">
        <f>183+15</f>
        <v>198</v>
      </c>
      <c r="BL836" s="39">
        <f t="shared" si="852"/>
        <v>-9</v>
      </c>
      <c r="BM836" s="54" t="str">
        <f t="shared" si="894"/>
        <v/>
      </c>
      <c r="BN836" s="62">
        <v>46198</v>
      </c>
      <c r="BO836" s="117">
        <v>46213</v>
      </c>
      <c r="BP836" s="39"/>
      <c r="BQ836" s="39"/>
      <c r="BR836" s="232"/>
      <c r="BS836" s="232"/>
      <c r="BT836" s="39">
        <v>1922</v>
      </c>
      <c r="BU836" s="39">
        <v>189</v>
      </c>
      <c r="BV836" s="39">
        <v>1922</v>
      </c>
      <c r="BW836" s="39">
        <v>15</v>
      </c>
      <c r="BX836" s="39"/>
      <c r="BY836" s="39"/>
      <c r="BZ836" s="39">
        <f t="shared" si="853"/>
        <v>204</v>
      </c>
      <c r="CA836" s="39">
        <f t="shared" si="895"/>
        <v>20</v>
      </c>
      <c r="CB836" s="39">
        <f t="shared" si="896"/>
        <v>2</v>
      </c>
      <c r="CC836" s="39">
        <f t="shared" si="897"/>
        <v>0</v>
      </c>
      <c r="CD836" s="39">
        <f t="shared" si="854"/>
        <v>0</v>
      </c>
      <c r="CE836" s="102">
        <f t="shared" si="898"/>
        <v>0</v>
      </c>
      <c r="CF836" s="36"/>
      <c r="CG836" s="39" t="s">
        <v>235</v>
      </c>
      <c r="CH836" s="39"/>
      <c r="CI836" s="25">
        <v>3</v>
      </c>
    </row>
    <row r="837" spans="1:87" ht="24.75" customHeight="1">
      <c r="A837" s="36" t="s">
        <v>303</v>
      </c>
      <c r="B837" s="55" t="s">
        <v>1017</v>
      </c>
      <c r="C837" s="228"/>
      <c r="D837" s="36"/>
      <c r="E837" s="39">
        <v>180</v>
      </c>
      <c r="F837" s="39" t="s">
        <v>55</v>
      </c>
      <c r="G837" s="36" t="s">
        <v>345</v>
      </c>
      <c r="H837" s="39" t="s">
        <v>22</v>
      </c>
      <c r="I837" s="39">
        <f>265-96</f>
        <v>169</v>
      </c>
      <c r="J837" s="39">
        <f>18-5</f>
        <v>13</v>
      </c>
      <c r="K837" s="39"/>
      <c r="L837" s="39">
        <f t="shared" si="906"/>
        <v>182</v>
      </c>
      <c r="M837" s="117">
        <v>46190</v>
      </c>
      <c r="N837" s="117">
        <v>46200</v>
      </c>
      <c r="O837" s="39"/>
      <c r="P837" s="39"/>
      <c r="Q837" s="39"/>
      <c r="R837" s="39">
        <f t="shared" si="902"/>
        <v>0</v>
      </c>
      <c r="S837" s="39" t="s">
        <v>130</v>
      </c>
      <c r="T837" s="39">
        <v>107345</v>
      </c>
      <c r="U837" s="117">
        <v>46201</v>
      </c>
      <c r="V837" s="39"/>
      <c r="W837" s="39"/>
      <c r="X837" s="39"/>
      <c r="Y837" s="39">
        <v>300</v>
      </c>
      <c r="Z837" s="39">
        <v>22</v>
      </c>
      <c r="AA837" s="39"/>
      <c r="AB837" s="119">
        <f t="shared" si="903"/>
        <v>322</v>
      </c>
      <c r="AC837" s="39"/>
      <c r="AD837" s="39"/>
      <c r="AE837" s="39"/>
      <c r="AF837" s="39"/>
      <c r="AG837" s="39"/>
      <c r="AH837" s="39">
        <f t="shared" si="851"/>
        <v>0</v>
      </c>
      <c r="AI837" s="39"/>
      <c r="AJ837" s="39"/>
      <c r="AK837" s="39"/>
      <c r="AL837" s="39"/>
      <c r="AM837" s="39"/>
      <c r="AN837" s="39">
        <f t="shared" si="850"/>
        <v>0</v>
      </c>
      <c r="AO837" s="39"/>
      <c r="AP837" s="39"/>
      <c r="AQ837" s="39"/>
      <c r="AR837" s="39"/>
      <c r="AS837" s="39"/>
      <c r="AT837" s="39">
        <f t="shared" si="891"/>
        <v>0</v>
      </c>
      <c r="AU837" s="39"/>
      <c r="AV837" s="39"/>
      <c r="AW837" s="39"/>
      <c r="AX837" s="39"/>
      <c r="AY837" s="39"/>
      <c r="AZ837" s="39">
        <f t="shared" si="892"/>
        <v>0</v>
      </c>
      <c r="BA837" s="39"/>
      <c r="BB837" s="39"/>
      <c r="BC837" s="39"/>
      <c r="BD837" s="39"/>
      <c r="BE837" s="39"/>
      <c r="BF837" s="39">
        <f t="shared" si="893"/>
        <v>0</v>
      </c>
      <c r="BG837" s="39"/>
      <c r="BH837" s="39"/>
      <c r="BI837" s="39"/>
      <c r="BJ837" s="39"/>
      <c r="BK837" s="39"/>
      <c r="BL837" s="39">
        <f t="shared" si="852"/>
        <v>0</v>
      </c>
      <c r="BM837" s="54" t="str">
        <f t="shared" si="894"/>
        <v/>
      </c>
      <c r="BN837" s="62">
        <v>46198</v>
      </c>
      <c r="BO837" s="117">
        <v>46213</v>
      </c>
      <c r="BP837" s="39"/>
      <c r="BQ837" s="39"/>
      <c r="BR837" s="230"/>
      <c r="BS837" s="230"/>
      <c r="BT837" s="39" t="s">
        <v>1292</v>
      </c>
      <c r="BU837" s="39">
        <f>258+16-83</f>
        <v>191</v>
      </c>
      <c r="BV837" s="39">
        <v>2002</v>
      </c>
      <c r="BW837" s="39">
        <f>20-6</f>
        <v>14</v>
      </c>
      <c r="BX837" s="39"/>
      <c r="BY837" s="39"/>
      <c r="BZ837" s="39">
        <f t="shared" si="853"/>
        <v>205</v>
      </c>
      <c r="CA837" s="39">
        <f t="shared" si="895"/>
        <v>22</v>
      </c>
      <c r="CB837" s="39">
        <f t="shared" si="896"/>
        <v>1</v>
      </c>
      <c r="CC837" s="39">
        <f t="shared" si="897"/>
        <v>0</v>
      </c>
      <c r="CD837" s="39">
        <f t="shared" si="854"/>
        <v>0</v>
      </c>
      <c r="CE837" s="102">
        <f t="shared" si="898"/>
        <v>0</v>
      </c>
      <c r="CF837" s="36"/>
      <c r="CG837" s="39" t="s">
        <v>235</v>
      </c>
      <c r="CH837" s="39" t="s">
        <v>2451</v>
      </c>
      <c r="CI837" s="25">
        <v>3</v>
      </c>
    </row>
    <row r="838" spans="1:87" ht="24.75" customHeight="1">
      <c r="A838" s="36" t="s">
        <v>303</v>
      </c>
      <c r="B838" s="55">
        <v>47935</v>
      </c>
      <c r="C838" s="227" t="s">
        <v>1259</v>
      </c>
      <c r="D838" s="36"/>
      <c r="E838" s="39">
        <v>180</v>
      </c>
      <c r="F838" s="39" t="s">
        <v>62</v>
      </c>
      <c r="G838" s="36" t="s">
        <v>21</v>
      </c>
      <c r="H838" s="39" t="s">
        <v>22</v>
      </c>
      <c r="I838" s="39">
        <f>271-63</f>
        <v>208</v>
      </c>
      <c r="J838" s="39">
        <f>13-3</f>
        <v>10</v>
      </c>
      <c r="K838" s="39"/>
      <c r="L838" s="39">
        <f t="shared" ref="L838:L839" si="907">SUM(I838:K838)</f>
        <v>218</v>
      </c>
      <c r="M838" s="117">
        <v>46192</v>
      </c>
      <c r="N838" s="117">
        <v>46198</v>
      </c>
      <c r="O838" s="39"/>
      <c r="P838" s="39"/>
      <c r="Q838" s="39"/>
      <c r="R838" s="39">
        <f t="shared" ref="R838" si="908">SUM(O838:Q838)</f>
        <v>0</v>
      </c>
      <c r="S838" s="39" t="s">
        <v>130</v>
      </c>
      <c r="T838" s="39" t="s">
        <v>1659</v>
      </c>
      <c r="U838" s="117" t="s">
        <v>1658</v>
      </c>
      <c r="V838" s="39"/>
      <c r="W838" s="39"/>
      <c r="X838" s="39"/>
      <c r="Y838" s="39">
        <v>305</v>
      </c>
      <c r="Z838" s="39">
        <v>15</v>
      </c>
      <c r="AA838" s="39"/>
      <c r="AB838" s="119">
        <f t="shared" ref="AB838:AB846" si="909">SUM(Y838:AA838)</f>
        <v>320</v>
      </c>
      <c r="AC838" s="39"/>
      <c r="AD838" s="39"/>
      <c r="AE838" s="39"/>
      <c r="AF838" s="39"/>
      <c r="AG838" s="39"/>
      <c r="AH838" s="39">
        <f t="shared" si="851"/>
        <v>0</v>
      </c>
      <c r="AI838" s="39"/>
      <c r="AJ838" s="39"/>
      <c r="AK838" s="39"/>
      <c r="AL838" s="39"/>
      <c r="AM838" s="39"/>
      <c r="AN838" s="39">
        <f t="shared" si="850"/>
        <v>0</v>
      </c>
      <c r="AO838" s="39"/>
      <c r="AP838" s="39"/>
      <c r="AQ838" s="39"/>
      <c r="AR838" s="39"/>
      <c r="AS838" s="39"/>
      <c r="AT838" s="39">
        <f t="shared" si="891"/>
        <v>0</v>
      </c>
      <c r="AU838" s="39"/>
      <c r="AV838" s="39"/>
      <c r="AW838" s="39"/>
      <c r="AX838" s="39"/>
      <c r="AY838" s="39"/>
      <c r="AZ838" s="39">
        <f t="shared" si="892"/>
        <v>0</v>
      </c>
      <c r="BA838" s="39"/>
      <c r="BB838" s="39"/>
      <c r="BC838" s="39"/>
      <c r="BD838" s="39"/>
      <c r="BE838" s="39"/>
      <c r="BF838" s="39">
        <f t="shared" si="893"/>
        <v>0</v>
      </c>
      <c r="BG838" s="39"/>
      <c r="BH838" s="39"/>
      <c r="BI838" s="39"/>
      <c r="BJ838" s="39"/>
      <c r="BK838" s="39"/>
      <c r="BL838" s="39">
        <f t="shared" si="852"/>
        <v>0</v>
      </c>
      <c r="BM838" s="54" t="str">
        <f t="shared" si="894"/>
        <v/>
      </c>
      <c r="BN838" s="62">
        <v>46200</v>
      </c>
      <c r="BO838" s="117">
        <v>46213</v>
      </c>
      <c r="BP838" s="39"/>
      <c r="BQ838" s="39"/>
      <c r="BR838" s="229">
        <v>46209</v>
      </c>
      <c r="BS838" s="229">
        <v>46230</v>
      </c>
      <c r="BT838" s="39">
        <v>1574</v>
      </c>
      <c r="BU838" s="39">
        <v>277</v>
      </c>
      <c r="BV838" s="39">
        <v>1901</v>
      </c>
      <c r="BW838" s="39">
        <v>15</v>
      </c>
      <c r="BX838" s="39"/>
      <c r="BY838" s="39"/>
      <c r="BZ838" s="39">
        <f t="shared" si="853"/>
        <v>292</v>
      </c>
      <c r="CA838" s="39">
        <f t="shared" si="895"/>
        <v>69</v>
      </c>
      <c r="CB838" s="39">
        <f t="shared" si="896"/>
        <v>5</v>
      </c>
      <c r="CC838" s="39">
        <f t="shared" si="897"/>
        <v>0</v>
      </c>
      <c r="CD838" s="39">
        <f t="shared" si="854"/>
        <v>0</v>
      </c>
      <c r="CE838" s="102">
        <f t="shared" si="898"/>
        <v>0</v>
      </c>
      <c r="CF838" s="36"/>
      <c r="CG838" s="39" t="s">
        <v>235</v>
      </c>
      <c r="CH838" s="39"/>
      <c r="CI838" s="25">
        <v>3</v>
      </c>
    </row>
    <row r="839" spans="1:87" ht="24.75" customHeight="1">
      <c r="A839" s="36" t="s">
        <v>303</v>
      </c>
      <c r="B839" s="55">
        <v>47935</v>
      </c>
      <c r="C839" s="231"/>
      <c r="D839" s="36"/>
      <c r="E839" s="39">
        <v>180</v>
      </c>
      <c r="F839" s="39" t="s">
        <v>62</v>
      </c>
      <c r="G839" s="36" t="s">
        <v>23</v>
      </c>
      <c r="H839" s="39" t="s">
        <v>22</v>
      </c>
      <c r="I839" s="39">
        <f>205-95</f>
        <v>110</v>
      </c>
      <c r="J839" s="39">
        <f>11-3</f>
        <v>8</v>
      </c>
      <c r="K839" s="39"/>
      <c r="L839" s="39">
        <f t="shared" si="907"/>
        <v>118</v>
      </c>
      <c r="M839" s="117">
        <v>46192</v>
      </c>
      <c r="N839" s="117">
        <v>46198</v>
      </c>
      <c r="O839" s="39"/>
      <c r="P839" s="39"/>
      <c r="Q839" s="39"/>
      <c r="R839" s="39">
        <f t="shared" ref="R839:R846" si="910">SUM(O839:Q839)</f>
        <v>0</v>
      </c>
      <c r="S839" s="39" t="s">
        <v>130</v>
      </c>
      <c r="T839" s="39">
        <v>107498</v>
      </c>
      <c r="U839" s="117">
        <v>46207</v>
      </c>
      <c r="V839" s="39"/>
      <c r="W839" s="39"/>
      <c r="X839" s="39"/>
      <c r="Y839" s="39">
        <v>130</v>
      </c>
      <c r="Z839" s="39">
        <v>10</v>
      </c>
      <c r="AA839" s="39"/>
      <c r="AB839" s="119">
        <f t="shared" si="909"/>
        <v>140</v>
      </c>
      <c r="AC839" s="39"/>
      <c r="AD839" s="39"/>
      <c r="AE839" s="39"/>
      <c r="AF839" s="39"/>
      <c r="AG839" s="39"/>
      <c r="AH839" s="39">
        <f t="shared" si="851"/>
        <v>0</v>
      </c>
      <c r="AI839" s="39"/>
      <c r="AJ839" s="39"/>
      <c r="AK839" s="39"/>
      <c r="AL839" s="39"/>
      <c r="AM839" s="39"/>
      <c r="AN839" s="39">
        <f t="shared" si="850"/>
        <v>0</v>
      </c>
      <c r="AO839" s="39"/>
      <c r="AP839" s="39"/>
      <c r="AQ839" s="39"/>
      <c r="AR839" s="39"/>
      <c r="AS839" s="39"/>
      <c r="AT839" s="39">
        <f t="shared" si="891"/>
        <v>0</v>
      </c>
      <c r="AU839" s="39"/>
      <c r="AV839" s="39"/>
      <c r="AW839" s="39"/>
      <c r="AX839" s="39"/>
      <c r="AY839" s="39"/>
      <c r="AZ839" s="39">
        <f t="shared" si="892"/>
        <v>0</v>
      </c>
      <c r="BA839" s="39"/>
      <c r="BB839" s="39"/>
      <c r="BC839" s="39"/>
      <c r="BD839" s="39"/>
      <c r="BE839" s="39"/>
      <c r="BF839" s="39">
        <f t="shared" si="893"/>
        <v>0</v>
      </c>
      <c r="BG839" s="39"/>
      <c r="BH839" s="39"/>
      <c r="BI839" s="39"/>
      <c r="BJ839" s="39"/>
      <c r="BK839" s="39"/>
      <c r="BL839" s="39">
        <f t="shared" si="852"/>
        <v>0</v>
      </c>
      <c r="BM839" s="54" t="str">
        <f t="shared" si="894"/>
        <v/>
      </c>
      <c r="BN839" s="62">
        <v>46200</v>
      </c>
      <c r="BO839" s="117">
        <v>46213</v>
      </c>
      <c r="BP839" s="39"/>
      <c r="BQ839" s="39"/>
      <c r="BR839" s="232"/>
      <c r="BS839" s="232"/>
      <c r="BT839" s="39">
        <v>1600</v>
      </c>
      <c r="BU839" s="39">
        <v>118</v>
      </c>
      <c r="BV839" s="39">
        <v>1600</v>
      </c>
      <c r="BW839" s="39">
        <v>12</v>
      </c>
      <c r="BX839" s="39"/>
      <c r="BY839" s="39"/>
      <c r="BZ839" s="39">
        <f t="shared" si="853"/>
        <v>130</v>
      </c>
      <c r="CA839" s="39">
        <f t="shared" si="895"/>
        <v>8</v>
      </c>
      <c r="CB839" s="39">
        <f t="shared" si="896"/>
        <v>4</v>
      </c>
      <c r="CC839" s="39">
        <f t="shared" si="897"/>
        <v>0</v>
      </c>
      <c r="CD839" s="39">
        <f t="shared" si="854"/>
        <v>0</v>
      </c>
      <c r="CE839" s="102">
        <f t="shared" si="898"/>
        <v>0</v>
      </c>
      <c r="CF839" s="36"/>
      <c r="CG839" s="39" t="s">
        <v>235</v>
      </c>
      <c r="CH839" s="39"/>
      <c r="CI839" s="25">
        <v>3</v>
      </c>
    </row>
    <row r="840" spans="1:87" ht="24.75" customHeight="1">
      <c r="A840" s="36" t="s">
        <v>303</v>
      </c>
      <c r="B840" s="55">
        <v>47935</v>
      </c>
      <c r="C840" s="231"/>
      <c r="D840" s="36"/>
      <c r="E840" s="39">
        <v>180</v>
      </c>
      <c r="F840" s="39" t="s">
        <v>62</v>
      </c>
      <c r="G840" s="36" t="s">
        <v>41</v>
      </c>
      <c r="H840" s="39" t="s">
        <v>22</v>
      </c>
      <c r="I840" s="39">
        <f>205-95</f>
        <v>110</v>
      </c>
      <c r="J840" s="39">
        <f>11-3</f>
        <v>8</v>
      </c>
      <c r="K840" s="39"/>
      <c r="L840" s="39">
        <f t="shared" ref="L840:L841" si="911">SUM(I840:K840)</f>
        <v>118</v>
      </c>
      <c r="M840" s="117">
        <v>46192</v>
      </c>
      <c r="N840" s="117">
        <v>46198</v>
      </c>
      <c r="O840" s="39"/>
      <c r="P840" s="39"/>
      <c r="Q840" s="39"/>
      <c r="R840" s="39">
        <f t="shared" si="910"/>
        <v>0</v>
      </c>
      <c r="S840" s="39" t="s">
        <v>130</v>
      </c>
      <c r="T840" s="39">
        <v>107423</v>
      </c>
      <c r="U840" s="117">
        <v>46205</v>
      </c>
      <c r="V840" s="39"/>
      <c r="W840" s="39"/>
      <c r="X840" s="39"/>
      <c r="Y840" s="39">
        <v>129</v>
      </c>
      <c r="Z840" s="39">
        <v>9</v>
      </c>
      <c r="AA840" s="39"/>
      <c r="AB840" s="119">
        <f t="shared" si="909"/>
        <v>138</v>
      </c>
      <c r="AC840" s="39"/>
      <c r="AD840" s="39"/>
      <c r="AE840" s="39"/>
      <c r="AF840" s="39"/>
      <c r="AG840" s="39"/>
      <c r="AH840" s="39">
        <f t="shared" si="851"/>
        <v>0</v>
      </c>
      <c r="AI840" s="39"/>
      <c r="AJ840" s="39"/>
      <c r="AK840" s="39"/>
      <c r="AL840" s="39"/>
      <c r="AM840" s="39"/>
      <c r="AN840" s="39">
        <f t="shared" si="850"/>
        <v>0</v>
      </c>
      <c r="AO840" s="39"/>
      <c r="AP840" s="39"/>
      <c r="AQ840" s="39"/>
      <c r="AR840" s="39"/>
      <c r="AS840" s="39"/>
      <c r="AT840" s="39">
        <f t="shared" si="891"/>
        <v>0</v>
      </c>
      <c r="AU840" s="39"/>
      <c r="AV840" s="39"/>
      <c r="AW840" s="39"/>
      <c r="AX840" s="39"/>
      <c r="AY840" s="39"/>
      <c r="AZ840" s="39">
        <f t="shared" si="892"/>
        <v>0</v>
      </c>
      <c r="BA840" s="39"/>
      <c r="BB840" s="39"/>
      <c r="BC840" s="39"/>
      <c r="BD840" s="39"/>
      <c r="BE840" s="39"/>
      <c r="BF840" s="39">
        <f t="shared" si="893"/>
        <v>0</v>
      </c>
      <c r="BG840" s="39"/>
      <c r="BH840" s="39"/>
      <c r="BI840" s="39"/>
      <c r="BJ840" s="39"/>
      <c r="BK840" s="39"/>
      <c r="BL840" s="39">
        <f t="shared" si="852"/>
        <v>0</v>
      </c>
      <c r="BM840" s="54" t="str">
        <f t="shared" si="894"/>
        <v/>
      </c>
      <c r="BN840" s="62">
        <v>46200</v>
      </c>
      <c r="BO840" s="117">
        <v>46213</v>
      </c>
      <c r="BP840" s="39"/>
      <c r="BQ840" s="39"/>
      <c r="BR840" s="232"/>
      <c r="BS840" s="232"/>
      <c r="BT840" s="39">
        <v>1580</v>
      </c>
      <c r="BU840" s="39">
        <v>115</v>
      </c>
      <c r="BV840" s="39">
        <v>1582</v>
      </c>
      <c r="BW840" s="39">
        <v>9</v>
      </c>
      <c r="BX840" s="39"/>
      <c r="BY840" s="39"/>
      <c r="BZ840" s="39">
        <f t="shared" si="853"/>
        <v>124</v>
      </c>
      <c r="CA840" s="39">
        <f t="shared" si="895"/>
        <v>5</v>
      </c>
      <c r="CB840" s="39">
        <f t="shared" si="896"/>
        <v>1</v>
      </c>
      <c r="CC840" s="39">
        <f t="shared" si="897"/>
        <v>0</v>
      </c>
      <c r="CD840" s="39">
        <f t="shared" si="854"/>
        <v>0</v>
      </c>
      <c r="CE840" s="102">
        <f t="shared" si="898"/>
        <v>0</v>
      </c>
      <c r="CF840" s="36"/>
      <c r="CG840" s="39" t="s">
        <v>235</v>
      </c>
      <c r="CH840" s="39" t="s">
        <v>973</v>
      </c>
      <c r="CI840" s="25">
        <v>3</v>
      </c>
    </row>
    <row r="841" spans="1:87" ht="24.75" customHeight="1">
      <c r="A841" s="36" t="s">
        <v>303</v>
      </c>
      <c r="B841" s="55">
        <v>47935</v>
      </c>
      <c r="C841" s="231"/>
      <c r="D841" s="36"/>
      <c r="E841" s="39">
        <v>180</v>
      </c>
      <c r="F841" s="39" t="s">
        <v>62</v>
      </c>
      <c r="G841" s="36" t="s">
        <v>922</v>
      </c>
      <c r="H841" s="39" t="s">
        <v>22</v>
      </c>
      <c r="I841" s="39">
        <f>138-28</f>
        <v>110</v>
      </c>
      <c r="J841" s="39">
        <f>9-1</f>
        <v>8</v>
      </c>
      <c r="K841" s="39"/>
      <c r="L841" s="39">
        <f t="shared" si="911"/>
        <v>118</v>
      </c>
      <c r="M841" s="117">
        <v>46192</v>
      </c>
      <c r="N841" s="117">
        <v>46198</v>
      </c>
      <c r="O841" s="39"/>
      <c r="P841" s="39"/>
      <c r="Q841" s="39"/>
      <c r="R841" s="39">
        <f t="shared" si="910"/>
        <v>0</v>
      </c>
      <c r="S841" s="39" t="s">
        <v>130</v>
      </c>
      <c r="T841" s="39">
        <v>107595</v>
      </c>
      <c r="U841" s="117">
        <v>46216</v>
      </c>
      <c r="V841" s="39"/>
      <c r="W841" s="39"/>
      <c r="X841" s="39"/>
      <c r="Y841" s="39">
        <v>136</v>
      </c>
      <c r="Z841" s="39">
        <v>10</v>
      </c>
      <c r="AA841" s="39"/>
      <c r="AB841" s="119">
        <f t="shared" si="909"/>
        <v>146</v>
      </c>
      <c r="AC841" s="39"/>
      <c r="AD841" s="39"/>
      <c r="AE841" s="39"/>
      <c r="AF841" s="39"/>
      <c r="AG841" s="39"/>
      <c r="AH841" s="39">
        <f t="shared" si="851"/>
        <v>0</v>
      </c>
      <c r="AI841" s="39"/>
      <c r="AJ841" s="39"/>
      <c r="AK841" s="39"/>
      <c r="AL841" s="39"/>
      <c r="AM841" s="39"/>
      <c r="AN841" s="39">
        <f t="shared" si="850"/>
        <v>0</v>
      </c>
      <c r="AO841" s="39"/>
      <c r="AP841" s="39"/>
      <c r="AQ841" s="39"/>
      <c r="AR841" s="39"/>
      <c r="AS841" s="39"/>
      <c r="AT841" s="39">
        <f t="shared" si="891"/>
        <v>0</v>
      </c>
      <c r="AU841" s="39"/>
      <c r="AV841" s="39"/>
      <c r="AW841" s="39"/>
      <c r="AX841" s="39"/>
      <c r="AY841" s="39"/>
      <c r="AZ841" s="39">
        <f t="shared" si="892"/>
        <v>0</v>
      </c>
      <c r="BA841" s="39"/>
      <c r="BB841" s="39"/>
      <c r="BC841" s="39"/>
      <c r="BD841" s="39"/>
      <c r="BE841" s="39"/>
      <c r="BF841" s="39">
        <f t="shared" si="893"/>
        <v>0</v>
      </c>
      <c r="BG841" s="39"/>
      <c r="BH841" s="39"/>
      <c r="BI841" s="39"/>
      <c r="BJ841" s="39"/>
      <c r="BK841" s="39"/>
      <c r="BL841" s="39">
        <f t="shared" si="852"/>
        <v>0</v>
      </c>
      <c r="BM841" s="54" t="str">
        <f t="shared" si="894"/>
        <v/>
      </c>
      <c r="BN841" s="62">
        <v>46200</v>
      </c>
      <c r="BO841" s="117">
        <v>46213</v>
      </c>
      <c r="BP841" s="39"/>
      <c r="BQ841" s="39"/>
      <c r="BR841" s="232"/>
      <c r="BS841" s="232"/>
      <c r="BT841" s="39" t="s">
        <v>2102</v>
      </c>
      <c r="BU841" s="39">
        <f>116+16</f>
        <v>132</v>
      </c>
      <c r="BV841" s="39" t="s">
        <v>2102</v>
      </c>
      <c r="BW841" s="39">
        <f>8+1</f>
        <v>9</v>
      </c>
      <c r="BX841" s="39"/>
      <c r="BY841" s="39"/>
      <c r="BZ841" s="39">
        <f t="shared" si="853"/>
        <v>141</v>
      </c>
      <c r="CA841" s="39">
        <f t="shared" si="895"/>
        <v>22</v>
      </c>
      <c r="CB841" s="39">
        <f t="shared" si="896"/>
        <v>1</v>
      </c>
      <c r="CC841" s="39">
        <f t="shared" si="897"/>
        <v>0</v>
      </c>
      <c r="CD841" s="39">
        <f t="shared" si="854"/>
        <v>0</v>
      </c>
      <c r="CE841" s="102">
        <f t="shared" si="898"/>
        <v>0</v>
      </c>
      <c r="CF841" s="36"/>
      <c r="CG841" s="39" t="s">
        <v>235</v>
      </c>
      <c r="CH841" s="39"/>
      <c r="CI841" s="25">
        <v>3</v>
      </c>
    </row>
    <row r="842" spans="1:87" ht="24.75" customHeight="1">
      <c r="A842" s="36" t="s">
        <v>303</v>
      </c>
      <c r="B842" s="55">
        <v>47935</v>
      </c>
      <c r="C842" s="231"/>
      <c r="D842" s="36"/>
      <c r="E842" s="39">
        <v>180</v>
      </c>
      <c r="F842" s="39" t="s">
        <v>62</v>
      </c>
      <c r="G842" s="36" t="s">
        <v>1038</v>
      </c>
      <c r="H842" s="39" t="s">
        <v>22</v>
      </c>
      <c r="I842" s="39">
        <f>138-28</f>
        <v>110</v>
      </c>
      <c r="J842" s="39">
        <f>9-1</f>
        <v>8</v>
      </c>
      <c r="K842" s="39"/>
      <c r="L842" s="39">
        <f t="shared" ref="L842" si="912">SUM(I842:K842)</f>
        <v>118</v>
      </c>
      <c r="M842" s="117">
        <v>46192</v>
      </c>
      <c r="N842" s="117">
        <v>46198</v>
      </c>
      <c r="O842" s="39"/>
      <c r="P842" s="39"/>
      <c r="Q842" s="39"/>
      <c r="R842" s="39">
        <f t="shared" si="910"/>
        <v>0</v>
      </c>
      <c r="S842" s="39" t="s">
        <v>130</v>
      </c>
      <c r="T842" s="39">
        <v>107584</v>
      </c>
      <c r="U842" s="117">
        <v>46220</v>
      </c>
      <c r="V842" s="39"/>
      <c r="W842" s="39"/>
      <c r="X842" s="39"/>
      <c r="Y842" s="39">
        <v>137</v>
      </c>
      <c r="Z842" s="39">
        <v>10</v>
      </c>
      <c r="AA842" s="39"/>
      <c r="AB842" s="119">
        <f t="shared" si="909"/>
        <v>147</v>
      </c>
      <c r="AC842" s="39"/>
      <c r="AD842" s="39"/>
      <c r="AE842" s="39"/>
      <c r="AF842" s="39"/>
      <c r="AG842" s="39"/>
      <c r="AH842" s="39">
        <f t="shared" si="851"/>
        <v>0</v>
      </c>
      <c r="AI842" s="39"/>
      <c r="AJ842" s="39"/>
      <c r="AK842" s="39"/>
      <c r="AL842" s="39"/>
      <c r="AM842" s="39"/>
      <c r="AN842" s="39">
        <f t="shared" si="850"/>
        <v>0</v>
      </c>
      <c r="AO842" s="39"/>
      <c r="AP842" s="39"/>
      <c r="AQ842" s="39"/>
      <c r="AR842" s="39"/>
      <c r="AS842" s="39"/>
      <c r="AT842" s="39">
        <f t="shared" si="891"/>
        <v>0</v>
      </c>
      <c r="AU842" s="39"/>
      <c r="AV842" s="39"/>
      <c r="AW842" s="39"/>
      <c r="AX842" s="39"/>
      <c r="AY842" s="39"/>
      <c r="AZ842" s="39">
        <f t="shared" si="892"/>
        <v>0</v>
      </c>
      <c r="BA842" s="39"/>
      <c r="BB842" s="39"/>
      <c r="BC842" s="39"/>
      <c r="BD842" s="39"/>
      <c r="BE842" s="39"/>
      <c r="BF842" s="39">
        <f t="shared" si="893"/>
        <v>0</v>
      </c>
      <c r="BG842" s="39"/>
      <c r="BH842" s="39"/>
      <c r="BI842" s="39"/>
      <c r="BJ842" s="39"/>
      <c r="BK842" s="39"/>
      <c r="BL842" s="39">
        <f t="shared" si="852"/>
        <v>0</v>
      </c>
      <c r="BM842" s="54" t="str">
        <f t="shared" si="894"/>
        <v/>
      </c>
      <c r="BN842" s="62">
        <v>46200</v>
      </c>
      <c r="BO842" s="117">
        <v>46213</v>
      </c>
      <c r="BP842" s="39"/>
      <c r="BQ842" s="39"/>
      <c r="BR842" s="232"/>
      <c r="BS842" s="232"/>
      <c r="BT842" s="39">
        <v>2048</v>
      </c>
      <c r="BU842" s="39">
        <v>129</v>
      </c>
      <c r="BV842" s="39">
        <v>2048</v>
      </c>
      <c r="BW842" s="39">
        <v>9</v>
      </c>
      <c r="BX842" s="39"/>
      <c r="BY842" s="39"/>
      <c r="BZ842" s="39">
        <f t="shared" si="853"/>
        <v>138</v>
      </c>
      <c r="CA842" s="39">
        <f t="shared" si="895"/>
        <v>19</v>
      </c>
      <c r="CB842" s="39">
        <f t="shared" si="896"/>
        <v>1</v>
      </c>
      <c r="CC842" s="39">
        <f t="shared" si="897"/>
        <v>0</v>
      </c>
      <c r="CD842" s="39">
        <f t="shared" si="854"/>
        <v>0</v>
      </c>
      <c r="CE842" s="102">
        <f t="shared" si="898"/>
        <v>0</v>
      </c>
      <c r="CF842" s="36"/>
      <c r="CG842" s="39" t="s">
        <v>235</v>
      </c>
      <c r="CH842" s="39"/>
      <c r="CI842" s="25">
        <v>3</v>
      </c>
    </row>
    <row r="843" spans="1:87" ht="24.75" customHeight="1">
      <c r="A843" s="36" t="s">
        <v>303</v>
      </c>
      <c r="B843" s="55">
        <v>47935</v>
      </c>
      <c r="C843" s="231"/>
      <c r="D843" s="36"/>
      <c r="E843" s="39">
        <v>180</v>
      </c>
      <c r="F843" s="39" t="s">
        <v>62</v>
      </c>
      <c r="G843" s="36" t="s">
        <v>463</v>
      </c>
      <c r="H843" s="39" t="s">
        <v>22</v>
      </c>
      <c r="I843" s="39">
        <f>171-61</f>
        <v>110</v>
      </c>
      <c r="J843" s="39">
        <f>10-2</f>
        <v>8</v>
      </c>
      <c r="K843" s="39"/>
      <c r="L843" s="39">
        <f t="shared" ref="L843:L852" si="913">SUM(I843:K843)</f>
        <v>118</v>
      </c>
      <c r="M843" s="117">
        <v>46192</v>
      </c>
      <c r="N843" s="117">
        <v>46198</v>
      </c>
      <c r="O843" s="39"/>
      <c r="P843" s="39"/>
      <c r="Q843" s="39"/>
      <c r="R843" s="39">
        <f t="shared" si="910"/>
        <v>0</v>
      </c>
      <c r="S843" s="39" t="s">
        <v>130</v>
      </c>
      <c r="T843" s="39">
        <v>107454</v>
      </c>
      <c r="U843" s="117">
        <v>46207</v>
      </c>
      <c r="V843" s="39"/>
      <c r="W843" s="39"/>
      <c r="X843" s="39"/>
      <c r="Y843" s="39">
        <v>135</v>
      </c>
      <c r="Z843" s="39">
        <v>10</v>
      </c>
      <c r="AA843" s="39"/>
      <c r="AB843" s="119">
        <f t="shared" si="909"/>
        <v>145</v>
      </c>
      <c r="AC843" s="39"/>
      <c r="AD843" s="39"/>
      <c r="AE843" s="39"/>
      <c r="AF843" s="39"/>
      <c r="AG843" s="39"/>
      <c r="AH843" s="39">
        <f t="shared" si="851"/>
        <v>0</v>
      </c>
      <c r="AI843" s="39"/>
      <c r="AJ843" s="39"/>
      <c r="AK843" s="39"/>
      <c r="AL843" s="39"/>
      <c r="AM843" s="39"/>
      <c r="AN843" s="39">
        <f t="shared" si="850"/>
        <v>0</v>
      </c>
      <c r="AO843" s="39"/>
      <c r="AP843" s="39"/>
      <c r="AQ843" s="39"/>
      <c r="AR843" s="39"/>
      <c r="AS843" s="39"/>
      <c r="AT843" s="39">
        <f t="shared" si="891"/>
        <v>0</v>
      </c>
      <c r="AU843" s="39"/>
      <c r="AV843" s="39"/>
      <c r="AW843" s="39"/>
      <c r="AX843" s="39"/>
      <c r="AY843" s="39"/>
      <c r="AZ843" s="39">
        <f t="shared" si="892"/>
        <v>0</v>
      </c>
      <c r="BA843" s="39"/>
      <c r="BB843" s="39"/>
      <c r="BC843" s="39"/>
      <c r="BD843" s="39"/>
      <c r="BE843" s="39"/>
      <c r="BF843" s="39">
        <f t="shared" si="893"/>
        <v>0</v>
      </c>
      <c r="BG843" s="39"/>
      <c r="BH843" s="39"/>
      <c r="BI843" s="39"/>
      <c r="BJ843" s="39"/>
      <c r="BK843" s="39"/>
      <c r="BL843" s="39">
        <f t="shared" si="852"/>
        <v>0</v>
      </c>
      <c r="BM843" s="54" t="str">
        <f t="shared" si="894"/>
        <v/>
      </c>
      <c r="BN843" s="62">
        <v>46200</v>
      </c>
      <c r="BO843" s="117">
        <v>46213</v>
      </c>
      <c r="BP843" s="39"/>
      <c r="BQ843" s="39"/>
      <c r="BR843" s="232"/>
      <c r="BS843" s="232"/>
      <c r="BT843" s="39">
        <v>1806</v>
      </c>
      <c r="BU843" s="39">
        <f>108</f>
        <v>108</v>
      </c>
      <c r="BV843" s="39">
        <v>1806</v>
      </c>
      <c r="BW843" s="39">
        <v>8</v>
      </c>
      <c r="BX843" s="39"/>
      <c r="BY843" s="39"/>
      <c r="BZ843" s="39">
        <f t="shared" si="853"/>
        <v>116</v>
      </c>
      <c r="CA843" s="39">
        <f t="shared" si="895"/>
        <v>-2</v>
      </c>
      <c r="CB843" s="39">
        <f t="shared" si="896"/>
        <v>0</v>
      </c>
      <c r="CC843" s="39">
        <f t="shared" si="897"/>
        <v>0</v>
      </c>
      <c r="CD843" s="39">
        <v>0</v>
      </c>
      <c r="CE843" s="102">
        <f t="shared" si="898"/>
        <v>0</v>
      </c>
      <c r="CF843" s="36"/>
      <c r="CG843" s="39" t="s">
        <v>235</v>
      </c>
      <c r="CH843" s="39"/>
      <c r="CI843" s="25">
        <v>3</v>
      </c>
    </row>
    <row r="844" spans="1:87" ht="24.75" customHeight="1">
      <c r="A844" s="36" t="s">
        <v>303</v>
      </c>
      <c r="B844" s="55">
        <v>47935</v>
      </c>
      <c r="C844" s="231"/>
      <c r="D844" s="36"/>
      <c r="E844" s="39">
        <v>180</v>
      </c>
      <c r="F844" s="39" t="s">
        <v>62</v>
      </c>
      <c r="G844" s="36" t="s">
        <v>302</v>
      </c>
      <c r="H844" s="39" t="s">
        <v>22</v>
      </c>
      <c r="I844" s="39">
        <f>171-61</f>
        <v>110</v>
      </c>
      <c r="J844" s="39">
        <f>10-2</f>
        <v>8</v>
      </c>
      <c r="K844" s="39"/>
      <c r="L844" s="39">
        <f t="shared" si="913"/>
        <v>118</v>
      </c>
      <c r="M844" s="117">
        <v>46192</v>
      </c>
      <c r="N844" s="117">
        <v>46198</v>
      </c>
      <c r="O844" s="39"/>
      <c r="P844" s="39"/>
      <c r="Q844" s="39"/>
      <c r="R844" s="39">
        <f t="shared" si="910"/>
        <v>0</v>
      </c>
      <c r="S844" s="39" t="s">
        <v>130</v>
      </c>
      <c r="T844" s="39">
        <v>107417</v>
      </c>
      <c r="U844" s="117">
        <v>46205</v>
      </c>
      <c r="V844" s="39"/>
      <c r="W844" s="39"/>
      <c r="X844" s="39"/>
      <c r="Y844" s="39">
        <v>129</v>
      </c>
      <c r="Z844" s="39">
        <v>9</v>
      </c>
      <c r="AA844" s="39"/>
      <c r="AB844" s="119">
        <f t="shared" si="909"/>
        <v>138</v>
      </c>
      <c r="AC844" s="39"/>
      <c r="AD844" s="39"/>
      <c r="AE844" s="39"/>
      <c r="AF844" s="39"/>
      <c r="AG844" s="39"/>
      <c r="AH844" s="39">
        <f t="shared" si="851"/>
        <v>0</v>
      </c>
      <c r="AI844" s="39"/>
      <c r="AJ844" s="39"/>
      <c r="AK844" s="39"/>
      <c r="AL844" s="39"/>
      <c r="AM844" s="39"/>
      <c r="AN844" s="39">
        <f t="shared" si="850"/>
        <v>0</v>
      </c>
      <c r="AO844" s="39"/>
      <c r="AP844" s="39"/>
      <c r="AQ844" s="39"/>
      <c r="AR844" s="39"/>
      <c r="AS844" s="39"/>
      <c r="AT844" s="39">
        <f t="shared" si="891"/>
        <v>0</v>
      </c>
      <c r="AU844" s="39"/>
      <c r="AV844" s="39"/>
      <c r="AW844" s="39"/>
      <c r="AX844" s="39"/>
      <c r="AY844" s="39"/>
      <c r="AZ844" s="39">
        <f t="shared" si="892"/>
        <v>0</v>
      </c>
      <c r="BA844" s="39"/>
      <c r="BB844" s="39"/>
      <c r="BC844" s="39"/>
      <c r="BD844" s="39"/>
      <c r="BE844" s="39"/>
      <c r="BF844" s="39">
        <f t="shared" si="893"/>
        <v>0</v>
      </c>
      <c r="BG844" s="39"/>
      <c r="BH844" s="39"/>
      <c r="BI844" s="39"/>
      <c r="BJ844" s="39"/>
      <c r="BK844" s="39"/>
      <c r="BL844" s="39">
        <f t="shared" si="852"/>
        <v>0</v>
      </c>
      <c r="BM844" s="54" t="str">
        <f t="shared" si="894"/>
        <v/>
      </c>
      <c r="BN844" s="62">
        <v>46200</v>
      </c>
      <c r="BO844" s="117">
        <v>46213</v>
      </c>
      <c r="BP844" s="39"/>
      <c r="BQ844" s="39"/>
      <c r="BR844" s="232"/>
      <c r="BS844" s="232"/>
      <c r="BT844" s="39">
        <v>1600</v>
      </c>
      <c r="BU844" s="39">
        <v>117</v>
      </c>
      <c r="BV844" s="39">
        <v>1600</v>
      </c>
      <c r="BW844" s="39">
        <v>8</v>
      </c>
      <c r="BX844" s="39"/>
      <c r="BY844" s="39"/>
      <c r="BZ844" s="39">
        <f t="shared" si="853"/>
        <v>125</v>
      </c>
      <c r="CA844" s="39">
        <f t="shared" si="895"/>
        <v>7</v>
      </c>
      <c r="CB844" s="39">
        <f t="shared" si="896"/>
        <v>0</v>
      </c>
      <c r="CC844" s="39">
        <f t="shared" si="897"/>
        <v>0</v>
      </c>
      <c r="CD844" s="39">
        <f t="shared" si="854"/>
        <v>0</v>
      </c>
      <c r="CE844" s="102">
        <f t="shared" si="898"/>
        <v>0</v>
      </c>
      <c r="CF844" s="36"/>
      <c r="CG844" s="39" t="s">
        <v>235</v>
      </c>
      <c r="CH844" s="39"/>
      <c r="CI844" s="25">
        <v>3</v>
      </c>
    </row>
    <row r="845" spans="1:87" ht="24.75" customHeight="1">
      <c r="A845" s="36" t="s">
        <v>303</v>
      </c>
      <c r="B845" s="55">
        <v>47935</v>
      </c>
      <c r="C845" s="228"/>
      <c r="D845" s="36"/>
      <c r="E845" s="39">
        <v>180</v>
      </c>
      <c r="F845" s="39" t="s">
        <v>62</v>
      </c>
      <c r="G845" s="36" t="s">
        <v>1039</v>
      </c>
      <c r="H845" s="39" t="s">
        <v>22</v>
      </c>
      <c r="I845" s="39">
        <f>171-61</f>
        <v>110</v>
      </c>
      <c r="J845" s="39">
        <f>10-2</f>
        <v>8</v>
      </c>
      <c r="K845" s="39"/>
      <c r="L845" s="39">
        <f t="shared" si="913"/>
        <v>118</v>
      </c>
      <c r="M845" s="117">
        <v>46192</v>
      </c>
      <c r="N845" s="117">
        <v>46198</v>
      </c>
      <c r="O845" s="39"/>
      <c r="P845" s="39"/>
      <c r="Q845" s="39"/>
      <c r="R845" s="39">
        <f t="shared" si="910"/>
        <v>0</v>
      </c>
      <c r="S845" s="39" t="s">
        <v>130</v>
      </c>
      <c r="T845" s="39">
        <v>107367</v>
      </c>
      <c r="U845" s="117">
        <v>46204</v>
      </c>
      <c r="V845" s="39"/>
      <c r="W845" s="39"/>
      <c r="X845" s="39"/>
      <c r="Y845" s="39">
        <v>137</v>
      </c>
      <c r="Z845" s="39">
        <v>13</v>
      </c>
      <c r="AA845" s="39"/>
      <c r="AB845" s="119">
        <f t="shared" si="909"/>
        <v>150</v>
      </c>
      <c r="AC845" s="39"/>
      <c r="AD845" s="39"/>
      <c r="AE845" s="39"/>
      <c r="AF845" s="39"/>
      <c r="AG845" s="39"/>
      <c r="AH845" s="39">
        <f t="shared" si="851"/>
        <v>0</v>
      </c>
      <c r="AI845" s="39"/>
      <c r="AJ845" s="39"/>
      <c r="AK845" s="39"/>
      <c r="AL845" s="39"/>
      <c r="AM845" s="39"/>
      <c r="AN845" s="39">
        <f t="shared" si="850"/>
        <v>0</v>
      </c>
      <c r="AO845" s="39"/>
      <c r="AP845" s="39"/>
      <c r="AQ845" s="39"/>
      <c r="AR845" s="39"/>
      <c r="AS845" s="39"/>
      <c r="AT845" s="39">
        <f t="shared" si="891"/>
        <v>0</v>
      </c>
      <c r="AU845" s="39"/>
      <c r="AV845" s="39"/>
      <c r="AW845" s="39"/>
      <c r="AX845" s="39"/>
      <c r="AY845" s="39"/>
      <c r="AZ845" s="39">
        <f t="shared" si="892"/>
        <v>0</v>
      </c>
      <c r="BA845" s="39"/>
      <c r="BB845" s="39"/>
      <c r="BC845" s="39"/>
      <c r="BD845" s="39"/>
      <c r="BE845" s="39"/>
      <c r="BF845" s="39">
        <f t="shared" si="893"/>
        <v>0</v>
      </c>
      <c r="BG845" s="39"/>
      <c r="BH845" s="39"/>
      <c r="BI845" s="39"/>
      <c r="BJ845" s="39"/>
      <c r="BK845" s="39"/>
      <c r="BL845" s="39">
        <f t="shared" si="852"/>
        <v>0</v>
      </c>
      <c r="BM845" s="54" t="str">
        <f t="shared" si="894"/>
        <v/>
      </c>
      <c r="BN845" s="62">
        <v>46200</v>
      </c>
      <c r="BO845" s="117">
        <v>46213</v>
      </c>
      <c r="BP845" s="39"/>
      <c r="BQ845" s="39"/>
      <c r="BR845" s="230"/>
      <c r="BS845" s="230"/>
      <c r="BT845" s="39">
        <v>1573</v>
      </c>
      <c r="BU845" s="39">
        <v>122</v>
      </c>
      <c r="BV845" s="39">
        <v>1573</v>
      </c>
      <c r="BW845" s="39">
        <v>11</v>
      </c>
      <c r="BX845" s="39"/>
      <c r="BY845" s="39"/>
      <c r="BZ845" s="39">
        <f t="shared" si="853"/>
        <v>133</v>
      </c>
      <c r="CA845" s="39">
        <f t="shared" si="895"/>
        <v>12</v>
      </c>
      <c r="CB845" s="39">
        <f t="shared" si="896"/>
        <v>3</v>
      </c>
      <c r="CC845" s="39">
        <f t="shared" si="897"/>
        <v>0</v>
      </c>
      <c r="CD845" s="39">
        <f t="shared" si="854"/>
        <v>0</v>
      </c>
      <c r="CE845" s="102">
        <f t="shared" si="898"/>
        <v>0</v>
      </c>
      <c r="CF845" s="36"/>
      <c r="CG845" s="39" t="s">
        <v>235</v>
      </c>
      <c r="CH845" s="39"/>
      <c r="CI845" s="25">
        <v>3</v>
      </c>
    </row>
    <row r="846" spans="1:87" ht="24.75" customHeight="1">
      <c r="A846" s="36" t="s">
        <v>303</v>
      </c>
      <c r="B846" s="55">
        <v>47934</v>
      </c>
      <c r="C846" s="227" t="s">
        <v>1275</v>
      </c>
      <c r="D846" s="36"/>
      <c r="E846" s="39">
        <v>180</v>
      </c>
      <c r="F846" s="39" t="s">
        <v>54</v>
      </c>
      <c r="G846" s="36" t="s">
        <v>21</v>
      </c>
      <c r="H846" s="39" t="s">
        <v>22</v>
      </c>
      <c r="I846" s="39">
        <f>191-72</f>
        <v>119</v>
      </c>
      <c r="J846" s="39"/>
      <c r="K846" s="39"/>
      <c r="L846" s="39">
        <f t="shared" si="913"/>
        <v>119</v>
      </c>
      <c r="M846" s="117">
        <v>46193</v>
      </c>
      <c r="N846" s="117">
        <v>46199</v>
      </c>
      <c r="O846" s="39"/>
      <c r="P846" s="39"/>
      <c r="Q846" s="39"/>
      <c r="R846" s="39">
        <f t="shared" si="910"/>
        <v>0</v>
      </c>
      <c r="S846" s="39" t="s">
        <v>130</v>
      </c>
      <c r="T846" s="39">
        <v>107314</v>
      </c>
      <c r="U846" s="117">
        <v>46200</v>
      </c>
      <c r="V846" s="39"/>
      <c r="W846" s="39"/>
      <c r="X846" s="39"/>
      <c r="Y846" s="39">
        <v>227</v>
      </c>
      <c r="Z846" s="39"/>
      <c r="AA846" s="39"/>
      <c r="AB846" s="119">
        <f t="shared" si="909"/>
        <v>227</v>
      </c>
      <c r="AC846" s="39"/>
      <c r="AD846" s="39"/>
      <c r="AE846" s="39"/>
      <c r="AF846" s="39"/>
      <c r="AG846" s="39"/>
      <c r="AH846" s="39">
        <f t="shared" si="851"/>
        <v>0</v>
      </c>
      <c r="AI846" s="39"/>
      <c r="AJ846" s="39"/>
      <c r="AK846" s="39"/>
      <c r="AL846" s="39"/>
      <c r="AM846" s="39"/>
      <c r="AN846" s="39">
        <f t="shared" si="850"/>
        <v>0</v>
      </c>
      <c r="AO846" s="39"/>
      <c r="AP846" s="39"/>
      <c r="AQ846" s="39"/>
      <c r="AR846" s="39"/>
      <c r="AS846" s="39"/>
      <c r="AT846" s="39">
        <f t="shared" si="891"/>
        <v>0</v>
      </c>
      <c r="AU846" s="39"/>
      <c r="AV846" s="39"/>
      <c r="AW846" s="39"/>
      <c r="AX846" s="39"/>
      <c r="AY846" s="39"/>
      <c r="AZ846" s="39">
        <f t="shared" si="892"/>
        <v>0</v>
      </c>
      <c r="BA846" s="39"/>
      <c r="BB846" s="39"/>
      <c r="BC846" s="39"/>
      <c r="BD846" s="39"/>
      <c r="BE846" s="39"/>
      <c r="BF846" s="39">
        <f t="shared" si="893"/>
        <v>0</v>
      </c>
      <c r="BG846" s="39"/>
      <c r="BH846" s="39"/>
      <c r="BI846" s="39"/>
      <c r="BJ846" s="39"/>
      <c r="BK846" s="39"/>
      <c r="BL846" s="39">
        <f t="shared" si="852"/>
        <v>0</v>
      </c>
      <c r="BM846" s="54" t="str">
        <f t="shared" si="894"/>
        <v/>
      </c>
      <c r="BN846" s="62">
        <v>46202</v>
      </c>
      <c r="BO846" s="117">
        <v>46215</v>
      </c>
      <c r="BP846" s="39"/>
      <c r="BQ846" s="39"/>
      <c r="BR846" s="229">
        <v>46203</v>
      </c>
      <c r="BS846" s="229">
        <v>46249</v>
      </c>
      <c r="BT846" s="39">
        <v>1574</v>
      </c>
      <c r="BU846" s="39">
        <v>200</v>
      </c>
      <c r="BV846" s="39"/>
      <c r="BW846" s="39"/>
      <c r="BX846" s="39"/>
      <c r="BY846" s="39"/>
      <c r="BZ846" s="39">
        <f t="shared" si="853"/>
        <v>200</v>
      </c>
      <c r="CA846" s="39">
        <f t="shared" si="895"/>
        <v>81</v>
      </c>
      <c r="CB846" s="39">
        <f t="shared" si="896"/>
        <v>0</v>
      </c>
      <c r="CC846" s="39">
        <f t="shared" si="897"/>
        <v>0</v>
      </c>
      <c r="CD846" s="39">
        <f t="shared" si="854"/>
        <v>0</v>
      </c>
      <c r="CE846" s="102">
        <f t="shared" si="898"/>
        <v>0</v>
      </c>
      <c r="CF846" s="36"/>
      <c r="CG846" s="39" t="s">
        <v>235</v>
      </c>
      <c r="CH846" s="39"/>
      <c r="CI846" s="25">
        <v>3</v>
      </c>
    </row>
    <row r="847" spans="1:87" ht="24.75" customHeight="1">
      <c r="A847" s="36" t="s">
        <v>303</v>
      </c>
      <c r="B847" s="55">
        <v>47934</v>
      </c>
      <c r="C847" s="231"/>
      <c r="D847" s="36"/>
      <c r="E847" s="39">
        <v>180</v>
      </c>
      <c r="F847" s="39" t="s">
        <v>54</v>
      </c>
      <c r="G847" s="36" t="s">
        <v>23</v>
      </c>
      <c r="H847" s="39" t="s">
        <v>22</v>
      </c>
      <c r="I847" s="39">
        <f>191-72</f>
        <v>119</v>
      </c>
      <c r="J847" s="39"/>
      <c r="K847" s="39"/>
      <c r="L847" s="39">
        <f t="shared" ref="L847:L851" si="914">SUM(I847:K847)</f>
        <v>119</v>
      </c>
      <c r="M847" s="117">
        <v>46193</v>
      </c>
      <c r="N847" s="117">
        <v>46199</v>
      </c>
      <c r="O847" s="39"/>
      <c r="P847" s="39"/>
      <c r="Q847" s="39"/>
      <c r="R847" s="39">
        <f t="shared" ref="R847:R852" si="915">SUM(O847:Q847)</f>
        <v>0</v>
      </c>
      <c r="S847" s="39" t="s">
        <v>130</v>
      </c>
      <c r="T847" s="39" t="s">
        <v>2573</v>
      </c>
      <c r="U847" s="117" t="s">
        <v>2574</v>
      </c>
      <c r="V847" s="39"/>
      <c r="W847" s="39"/>
      <c r="X847" s="39"/>
      <c r="Y847" s="39">
        <f>140+22</f>
        <v>162</v>
      </c>
      <c r="Z847" s="39"/>
      <c r="AA847" s="39"/>
      <c r="AB847" s="119">
        <f t="shared" ref="AB847:AB852" si="916">SUM(Y847:AA847)</f>
        <v>162</v>
      </c>
      <c r="AC847" s="39"/>
      <c r="AD847" s="39"/>
      <c r="AE847" s="39"/>
      <c r="AF847" s="39"/>
      <c r="AG847" s="39"/>
      <c r="AH847" s="39">
        <f t="shared" si="851"/>
        <v>0</v>
      </c>
      <c r="AI847" s="39"/>
      <c r="AJ847" s="39"/>
      <c r="AK847" s="39"/>
      <c r="AL847" s="39"/>
      <c r="AM847" s="39"/>
      <c r="AN847" s="39">
        <f t="shared" si="850"/>
        <v>0</v>
      </c>
      <c r="AO847" s="39"/>
      <c r="AP847" s="39"/>
      <c r="AQ847" s="39"/>
      <c r="AR847" s="39"/>
      <c r="AS847" s="39"/>
      <c r="AT847" s="39">
        <f t="shared" si="891"/>
        <v>0</v>
      </c>
      <c r="AU847" s="39"/>
      <c r="AV847" s="39"/>
      <c r="AW847" s="39"/>
      <c r="AX847" s="39"/>
      <c r="AY847" s="39"/>
      <c r="AZ847" s="39">
        <f t="shared" si="892"/>
        <v>0</v>
      </c>
      <c r="BA847" s="39"/>
      <c r="BB847" s="39"/>
      <c r="BC847" s="39"/>
      <c r="BD847" s="39"/>
      <c r="BE847" s="39"/>
      <c r="BF847" s="39">
        <f t="shared" si="893"/>
        <v>0</v>
      </c>
      <c r="BG847" s="39"/>
      <c r="BH847" s="39"/>
      <c r="BI847" s="39"/>
      <c r="BJ847" s="39"/>
      <c r="BK847" s="39"/>
      <c r="BL847" s="39">
        <f t="shared" si="852"/>
        <v>0</v>
      </c>
      <c r="BM847" s="54" t="str">
        <f t="shared" si="894"/>
        <v/>
      </c>
      <c r="BN847" s="62">
        <v>46202</v>
      </c>
      <c r="BO847" s="117">
        <v>46215</v>
      </c>
      <c r="BP847" s="39"/>
      <c r="BQ847" s="39"/>
      <c r="BR847" s="232"/>
      <c r="BS847" s="232"/>
      <c r="BT847" s="39">
        <v>1600</v>
      </c>
      <c r="BU847" s="39">
        <v>129</v>
      </c>
      <c r="BV847" s="39"/>
      <c r="BW847" s="39"/>
      <c r="BX847" s="39"/>
      <c r="BY847" s="39"/>
      <c r="BZ847" s="39">
        <f t="shared" si="853"/>
        <v>129</v>
      </c>
      <c r="CA847" s="39">
        <f t="shared" si="895"/>
        <v>10</v>
      </c>
      <c r="CB847" s="39">
        <f t="shared" si="896"/>
        <v>0</v>
      </c>
      <c r="CC847" s="39">
        <f t="shared" si="897"/>
        <v>0</v>
      </c>
      <c r="CD847" s="39">
        <f t="shared" si="854"/>
        <v>0</v>
      </c>
      <c r="CE847" s="102">
        <f t="shared" si="898"/>
        <v>0</v>
      </c>
      <c r="CF847" s="36"/>
      <c r="CG847" s="39" t="s">
        <v>235</v>
      </c>
      <c r="CH847" s="39"/>
      <c r="CI847" s="25">
        <v>3</v>
      </c>
    </row>
    <row r="848" spans="1:87" ht="24.75" customHeight="1">
      <c r="A848" s="36" t="s">
        <v>303</v>
      </c>
      <c r="B848" s="55">
        <v>47934</v>
      </c>
      <c r="C848" s="231"/>
      <c r="D848" s="36"/>
      <c r="E848" s="39">
        <v>180</v>
      </c>
      <c r="F848" s="39" t="s">
        <v>54</v>
      </c>
      <c r="G848" s="36" t="s">
        <v>41</v>
      </c>
      <c r="H848" s="39" t="s">
        <v>22</v>
      </c>
      <c r="I848" s="39">
        <f>119+74</f>
        <v>193</v>
      </c>
      <c r="J848" s="39"/>
      <c r="K848" s="39"/>
      <c r="L848" s="39">
        <f t="shared" si="914"/>
        <v>193</v>
      </c>
      <c r="M848" s="117">
        <v>46193</v>
      </c>
      <c r="N848" s="117">
        <v>46199</v>
      </c>
      <c r="O848" s="39"/>
      <c r="P848" s="39"/>
      <c r="Q848" s="39"/>
      <c r="R848" s="39">
        <f t="shared" si="915"/>
        <v>0</v>
      </c>
      <c r="S848" s="39" t="s">
        <v>130</v>
      </c>
      <c r="T848" s="39" t="s">
        <v>2693</v>
      </c>
      <c r="U848" s="117" t="s">
        <v>2694</v>
      </c>
      <c r="V848" s="39"/>
      <c r="W848" s="39"/>
      <c r="X848" s="39"/>
      <c r="Y848" s="39">
        <f>145+86+37</f>
        <v>268</v>
      </c>
      <c r="Z848" s="39"/>
      <c r="AA848" s="39"/>
      <c r="AB848" s="119">
        <f t="shared" si="916"/>
        <v>268</v>
      </c>
      <c r="AC848" s="39"/>
      <c r="AD848" s="39"/>
      <c r="AE848" s="39"/>
      <c r="AF848" s="39"/>
      <c r="AG848" s="39"/>
      <c r="AH848" s="39">
        <f t="shared" si="851"/>
        <v>0</v>
      </c>
      <c r="AI848" s="39"/>
      <c r="AJ848" s="39"/>
      <c r="AK848" s="39"/>
      <c r="AL848" s="39"/>
      <c r="AM848" s="39"/>
      <c r="AN848" s="39">
        <f t="shared" si="850"/>
        <v>0</v>
      </c>
      <c r="AO848" s="39"/>
      <c r="AP848" s="39"/>
      <c r="AQ848" s="39"/>
      <c r="AR848" s="39"/>
      <c r="AS848" s="39"/>
      <c r="AT848" s="39">
        <f t="shared" si="891"/>
        <v>0</v>
      </c>
      <c r="AU848" s="39"/>
      <c r="AV848" s="39"/>
      <c r="AW848" s="39"/>
      <c r="AX848" s="39"/>
      <c r="AY848" s="39"/>
      <c r="AZ848" s="39">
        <f t="shared" si="892"/>
        <v>0</v>
      </c>
      <c r="BA848" s="39"/>
      <c r="BB848" s="39"/>
      <c r="BC848" s="39"/>
      <c r="BD848" s="39"/>
      <c r="BE848" s="39"/>
      <c r="BF848" s="39">
        <f t="shared" si="893"/>
        <v>0</v>
      </c>
      <c r="BG848" s="39"/>
      <c r="BH848" s="39"/>
      <c r="BI848" s="39"/>
      <c r="BJ848" s="39"/>
      <c r="BK848" s="39"/>
      <c r="BL848" s="39">
        <f t="shared" si="852"/>
        <v>0</v>
      </c>
      <c r="BM848" s="54" t="str">
        <f t="shared" si="894"/>
        <v/>
      </c>
      <c r="BN848" s="62">
        <v>46202</v>
      </c>
      <c r="BO848" s="117">
        <v>46215</v>
      </c>
      <c r="BP848" s="39"/>
      <c r="BQ848" s="39"/>
      <c r="BR848" s="232"/>
      <c r="BS848" s="232"/>
      <c r="BT848" s="39" t="s">
        <v>2312</v>
      </c>
      <c r="BU848" s="39">
        <f>129+75</f>
        <v>204</v>
      </c>
      <c r="BV848" s="39"/>
      <c r="BW848" s="39"/>
      <c r="BX848" s="39"/>
      <c r="BY848" s="39"/>
      <c r="BZ848" s="39">
        <f t="shared" si="853"/>
        <v>204</v>
      </c>
      <c r="CA848" s="39">
        <f t="shared" si="895"/>
        <v>11</v>
      </c>
      <c r="CB848" s="39">
        <f t="shared" si="896"/>
        <v>0</v>
      </c>
      <c r="CC848" s="39">
        <f t="shared" si="897"/>
        <v>0</v>
      </c>
      <c r="CD848" s="39">
        <f t="shared" si="854"/>
        <v>0</v>
      </c>
      <c r="CE848" s="102">
        <f t="shared" si="898"/>
        <v>0</v>
      </c>
      <c r="CF848" s="36"/>
      <c r="CG848" s="39" t="s">
        <v>235</v>
      </c>
      <c r="CH848" s="39"/>
      <c r="CI848" s="25">
        <v>3</v>
      </c>
    </row>
    <row r="849" spans="1:87" ht="24.75" customHeight="1">
      <c r="A849" s="36" t="s">
        <v>303</v>
      </c>
      <c r="B849" s="55">
        <v>47934</v>
      </c>
      <c r="C849" s="231"/>
      <c r="D849" s="36"/>
      <c r="E849" s="39">
        <v>180</v>
      </c>
      <c r="F849" s="39" t="s">
        <v>54</v>
      </c>
      <c r="G849" s="36" t="s">
        <v>553</v>
      </c>
      <c r="H849" s="39" t="s">
        <v>22</v>
      </c>
      <c r="I849" s="39">
        <v>119</v>
      </c>
      <c r="J849" s="39"/>
      <c r="K849" s="39"/>
      <c r="L849" s="39">
        <f t="shared" si="914"/>
        <v>119</v>
      </c>
      <c r="M849" s="117">
        <v>46193</v>
      </c>
      <c r="N849" s="117">
        <v>46199</v>
      </c>
      <c r="O849" s="39"/>
      <c r="P849" s="39"/>
      <c r="Q849" s="39"/>
      <c r="R849" s="39">
        <f t="shared" si="915"/>
        <v>0</v>
      </c>
      <c r="S849" s="39" t="s">
        <v>130</v>
      </c>
      <c r="T849" s="39">
        <v>107567</v>
      </c>
      <c r="U849" s="117">
        <v>46210</v>
      </c>
      <c r="V849" s="39"/>
      <c r="W849" s="39"/>
      <c r="X849" s="39"/>
      <c r="Y849" s="39">
        <v>146</v>
      </c>
      <c r="Z849" s="39"/>
      <c r="AA849" s="39"/>
      <c r="AB849" s="119">
        <f t="shared" si="916"/>
        <v>146</v>
      </c>
      <c r="AC849" s="39"/>
      <c r="AD849" s="39"/>
      <c r="AE849" s="39"/>
      <c r="AF849" s="39"/>
      <c r="AG849" s="39"/>
      <c r="AH849" s="39">
        <f t="shared" si="851"/>
        <v>0</v>
      </c>
      <c r="AI849" s="39"/>
      <c r="AJ849" s="39"/>
      <c r="AK849" s="39"/>
      <c r="AL849" s="39"/>
      <c r="AM849" s="39"/>
      <c r="AN849" s="39">
        <f t="shared" si="850"/>
        <v>0</v>
      </c>
      <c r="AO849" s="39"/>
      <c r="AP849" s="39"/>
      <c r="AQ849" s="39"/>
      <c r="AR849" s="39"/>
      <c r="AS849" s="39"/>
      <c r="AT849" s="39">
        <f t="shared" si="891"/>
        <v>0</v>
      </c>
      <c r="AU849" s="39"/>
      <c r="AV849" s="39"/>
      <c r="AW849" s="39"/>
      <c r="AX849" s="39"/>
      <c r="AY849" s="39"/>
      <c r="AZ849" s="39">
        <f t="shared" si="892"/>
        <v>0</v>
      </c>
      <c r="BA849" s="39"/>
      <c r="BB849" s="39"/>
      <c r="BC849" s="39"/>
      <c r="BD849" s="39"/>
      <c r="BE849" s="39"/>
      <c r="BF849" s="39">
        <f t="shared" si="893"/>
        <v>0</v>
      </c>
      <c r="BG849" s="39"/>
      <c r="BH849" s="39"/>
      <c r="BI849" s="39"/>
      <c r="BJ849" s="39"/>
      <c r="BK849" s="39"/>
      <c r="BL849" s="39">
        <f t="shared" si="852"/>
        <v>0</v>
      </c>
      <c r="BM849" s="54" t="str">
        <f t="shared" si="894"/>
        <v/>
      </c>
      <c r="BN849" s="62">
        <v>46202</v>
      </c>
      <c r="BO849" s="117">
        <v>46215</v>
      </c>
      <c r="BP849" s="39"/>
      <c r="BQ849" s="39"/>
      <c r="BR849" s="232"/>
      <c r="BS849" s="232"/>
      <c r="BT849" s="39">
        <v>1846</v>
      </c>
      <c r="BU849" s="39">
        <v>122</v>
      </c>
      <c r="BV849" s="39"/>
      <c r="BW849" s="39"/>
      <c r="BX849" s="39"/>
      <c r="BY849" s="39"/>
      <c r="BZ849" s="39">
        <f t="shared" si="853"/>
        <v>122</v>
      </c>
      <c r="CA849" s="39">
        <f t="shared" si="895"/>
        <v>3</v>
      </c>
      <c r="CB849" s="39">
        <f t="shared" si="896"/>
        <v>0</v>
      </c>
      <c r="CC849" s="39">
        <f t="shared" si="897"/>
        <v>0</v>
      </c>
      <c r="CD849" s="39">
        <f t="shared" si="854"/>
        <v>0</v>
      </c>
      <c r="CE849" s="102">
        <f t="shared" si="898"/>
        <v>0</v>
      </c>
      <c r="CF849" s="36"/>
      <c r="CG849" s="39" t="s">
        <v>235</v>
      </c>
      <c r="CH849" s="39"/>
      <c r="CI849" s="25">
        <v>3</v>
      </c>
    </row>
    <row r="850" spans="1:87" ht="24.75" customHeight="1">
      <c r="A850" s="36" t="s">
        <v>303</v>
      </c>
      <c r="B850" s="55">
        <v>47934</v>
      </c>
      <c r="C850" s="231"/>
      <c r="D850" s="36"/>
      <c r="E850" s="39">
        <v>180</v>
      </c>
      <c r="F850" s="39" t="s">
        <v>54</v>
      </c>
      <c r="G850" s="36" t="s">
        <v>1038</v>
      </c>
      <c r="H850" s="39" t="s">
        <v>22</v>
      </c>
      <c r="I850" s="39">
        <f>191-72</f>
        <v>119</v>
      </c>
      <c r="J850" s="39"/>
      <c r="K850" s="39"/>
      <c r="L850" s="39">
        <f t="shared" si="914"/>
        <v>119</v>
      </c>
      <c r="M850" s="117">
        <v>46193</v>
      </c>
      <c r="N850" s="117">
        <v>46199</v>
      </c>
      <c r="O850" s="39"/>
      <c r="P850" s="39"/>
      <c r="Q850" s="39"/>
      <c r="R850" s="39">
        <f t="shared" si="915"/>
        <v>0</v>
      </c>
      <c r="S850" s="39" t="s">
        <v>130</v>
      </c>
      <c r="T850" s="39">
        <v>107583</v>
      </c>
      <c r="U850" s="117">
        <v>46220</v>
      </c>
      <c r="V850" s="39"/>
      <c r="W850" s="39"/>
      <c r="X850" s="39"/>
      <c r="Y850" s="39">
        <v>144</v>
      </c>
      <c r="Z850" s="39"/>
      <c r="AA850" s="39"/>
      <c r="AB850" s="119">
        <f t="shared" si="916"/>
        <v>144</v>
      </c>
      <c r="AC850" s="39"/>
      <c r="AD850" s="39"/>
      <c r="AE850" s="39"/>
      <c r="AF850" s="39"/>
      <c r="AG850" s="39"/>
      <c r="AH850" s="39">
        <f t="shared" si="851"/>
        <v>0</v>
      </c>
      <c r="AI850" s="39"/>
      <c r="AJ850" s="39"/>
      <c r="AK850" s="39"/>
      <c r="AL850" s="39"/>
      <c r="AM850" s="39"/>
      <c r="AN850" s="39">
        <f t="shared" si="850"/>
        <v>0</v>
      </c>
      <c r="AO850" s="39"/>
      <c r="AP850" s="39"/>
      <c r="AQ850" s="39"/>
      <c r="AR850" s="39"/>
      <c r="AS850" s="39"/>
      <c r="AT850" s="39">
        <f t="shared" si="891"/>
        <v>0</v>
      </c>
      <c r="AU850" s="39"/>
      <c r="AV850" s="39"/>
      <c r="AW850" s="39"/>
      <c r="AX850" s="39"/>
      <c r="AY850" s="39"/>
      <c r="AZ850" s="39">
        <f t="shared" si="892"/>
        <v>0</v>
      </c>
      <c r="BA850" s="39"/>
      <c r="BB850" s="39"/>
      <c r="BC850" s="39"/>
      <c r="BD850" s="39"/>
      <c r="BE850" s="39"/>
      <c r="BF850" s="39">
        <f t="shared" si="893"/>
        <v>0</v>
      </c>
      <c r="BG850" s="39"/>
      <c r="BH850" s="39"/>
      <c r="BI850" s="39"/>
      <c r="BJ850" s="39"/>
      <c r="BK850" s="39"/>
      <c r="BL850" s="39">
        <f t="shared" si="852"/>
        <v>0</v>
      </c>
      <c r="BM850" s="54" t="str">
        <f t="shared" si="894"/>
        <v/>
      </c>
      <c r="BN850" s="62">
        <v>46202</v>
      </c>
      <c r="BO850" s="117">
        <v>46215</v>
      </c>
      <c r="BP850" s="39"/>
      <c r="BQ850" s="39"/>
      <c r="BR850" s="232"/>
      <c r="BS850" s="232"/>
      <c r="BT850" s="39">
        <v>2050</v>
      </c>
      <c r="BU850" s="39">
        <v>123</v>
      </c>
      <c r="BV850" s="39"/>
      <c r="BW850" s="39"/>
      <c r="BX850" s="39"/>
      <c r="BY850" s="39"/>
      <c r="BZ850" s="39">
        <f t="shared" si="853"/>
        <v>123</v>
      </c>
      <c r="CA850" s="39">
        <f t="shared" si="895"/>
        <v>4</v>
      </c>
      <c r="CB850" s="39">
        <f t="shared" si="896"/>
        <v>0</v>
      </c>
      <c r="CC850" s="39">
        <f t="shared" si="897"/>
        <v>0</v>
      </c>
      <c r="CD850" s="39">
        <f t="shared" si="854"/>
        <v>0</v>
      </c>
      <c r="CE850" s="102">
        <f t="shared" si="898"/>
        <v>0</v>
      </c>
      <c r="CF850" s="36"/>
      <c r="CG850" s="39" t="s">
        <v>235</v>
      </c>
      <c r="CH850" s="39"/>
      <c r="CI850" s="25">
        <v>3</v>
      </c>
    </row>
    <row r="851" spans="1:87" ht="24.75" customHeight="1">
      <c r="A851" s="36" t="s">
        <v>303</v>
      </c>
      <c r="B851" s="55">
        <v>47934</v>
      </c>
      <c r="C851" s="231"/>
      <c r="D851" s="36"/>
      <c r="E851" s="39">
        <v>180</v>
      </c>
      <c r="F851" s="39" t="s">
        <v>54</v>
      </c>
      <c r="G851" s="36" t="s">
        <v>463</v>
      </c>
      <c r="H851" s="39" t="s">
        <v>22</v>
      </c>
      <c r="I851" s="39">
        <v>119</v>
      </c>
      <c r="J851" s="39"/>
      <c r="K851" s="39"/>
      <c r="L851" s="39">
        <f t="shared" si="914"/>
        <v>119</v>
      </c>
      <c r="M851" s="117">
        <v>46193</v>
      </c>
      <c r="N851" s="117">
        <v>46199</v>
      </c>
      <c r="O851" s="39"/>
      <c r="P851" s="39"/>
      <c r="Q851" s="39"/>
      <c r="R851" s="39">
        <f t="shared" si="915"/>
        <v>0</v>
      </c>
      <c r="S851" s="39" t="s">
        <v>130</v>
      </c>
      <c r="T851" s="39">
        <v>107453</v>
      </c>
      <c r="U851" s="117">
        <v>46207</v>
      </c>
      <c r="V851" s="39"/>
      <c r="W851" s="39"/>
      <c r="X851" s="39"/>
      <c r="Y851" s="39">
        <v>147</v>
      </c>
      <c r="Z851" s="39"/>
      <c r="AA851" s="39"/>
      <c r="AB851" s="119">
        <f t="shared" si="916"/>
        <v>147</v>
      </c>
      <c r="AC851" s="39"/>
      <c r="AD851" s="39"/>
      <c r="AE851" s="39"/>
      <c r="AF851" s="39"/>
      <c r="AG851" s="39"/>
      <c r="AH851" s="39">
        <f t="shared" si="851"/>
        <v>0</v>
      </c>
      <c r="AI851" s="39"/>
      <c r="AJ851" s="39"/>
      <c r="AK851" s="39"/>
      <c r="AL851" s="39"/>
      <c r="AM851" s="39"/>
      <c r="AN851" s="39">
        <f t="shared" si="850"/>
        <v>0</v>
      </c>
      <c r="AO851" s="39"/>
      <c r="AP851" s="39"/>
      <c r="AQ851" s="39"/>
      <c r="AR851" s="39"/>
      <c r="AS851" s="39"/>
      <c r="AT851" s="39">
        <f t="shared" si="891"/>
        <v>0</v>
      </c>
      <c r="AU851" s="39"/>
      <c r="AV851" s="39"/>
      <c r="AW851" s="39"/>
      <c r="AX851" s="39"/>
      <c r="AY851" s="39"/>
      <c r="AZ851" s="39">
        <f t="shared" si="892"/>
        <v>0</v>
      </c>
      <c r="BA851" s="39"/>
      <c r="BB851" s="39"/>
      <c r="BC851" s="39"/>
      <c r="BD851" s="39"/>
      <c r="BE851" s="39"/>
      <c r="BF851" s="39">
        <f t="shared" si="893"/>
        <v>0</v>
      </c>
      <c r="BG851" s="39"/>
      <c r="BH851" s="39"/>
      <c r="BI851" s="39"/>
      <c r="BJ851" s="39"/>
      <c r="BK851" s="39"/>
      <c r="BL851" s="39">
        <f t="shared" si="852"/>
        <v>0</v>
      </c>
      <c r="BM851" s="54" t="str">
        <f t="shared" si="894"/>
        <v/>
      </c>
      <c r="BN851" s="62">
        <v>46202</v>
      </c>
      <c r="BO851" s="117">
        <v>46215</v>
      </c>
      <c r="BP851" s="39"/>
      <c r="BQ851" s="39"/>
      <c r="BR851" s="232"/>
      <c r="BS851" s="232"/>
      <c r="BT851" s="39" t="s">
        <v>1825</v>
      </c>
      <c r="BU851" s="39">
        <f>85+46</f>
        <v>131</v>
      </c>
      <c r="BV851" s="39"/>
      <c r="BW851" s="39"/>
      <c r="BX851" s="39"/>
      <c r="BY851" s="39"/>
      <c r="BZ851" s="39">
        <f t="shared" si="853"/>
        <v>131</v>
      </c>
      <c r="CA851" s="39">
        <f t="shared" si="895"/>
        <v>12</v>
      </c>
      <c r="CB851" s="39">
        <f t="shared" si="896"/>
        <v>0</v>
      </c>
      <c r="CC851" s="39">
        <f t="shared" si="897"/>
        <v>0</v>
      </c>
      <c r="CD851" s="39">
        <f t="shared" si="854"/>
        <v>0</v>
      </c>
      <c r="CE851" s="102">
        <f t="shared" si="898"/>
        <v>0</v>
      </c>
      <c r="CF851" s="36"/>
      <c r="CG851" s="39" t="s">
        <v>235</v>
      </c>
      <c r="CH851" s="39" t="s">
        <v>1630</v>
      </c>
      <c r="CI851" s="25">
        <v>3</v>
      </c>
    </row>
    <row r="852" spans="1:87" ht="24.75" customHeight="1">
      <c r="A852" s="36" t="s">
        <v>303</v>
      </c>
      <c r="B852" s="55">
        <v>47934</v>
      </c>
      <c r="C852" s="228"/>
      <c r="D852" s="36"/>
      <c r="E852" s="39">
        <v>180</v>
      </c>
      <c r="F852" s="39" t="s">
        <v>54</v>
      </c>
      <c r="G852" s="36" t="s">
        <v>345</v>
      </c>
      <c r="H852" s="39" t="s">
        <v>22</v>
      </c>
      <c r="I852" s="39">
        <v>119</v>
      </c>
      <c r="J852" s="39"/>
      <c r="K852" s="39"/>
      <c r="L852" s="39">
        <f t="shared" si="913"/>
        <v>119</v>
      </c>
      <c r="M852" s="117">
        <v>46193</v>
      </c>
      <c r="N852" s="117">
        <v>46199</v>
      </c>
      <c r="O852" s="39"/>
      <c r="P852" s="39"/>
      <c r="Q852" s="39"/>
      <c r="R852" s="39">
        <f t="shared" si="915"/>
        <v>0</v>
      </c>
      <c r="S852" s="39" t="s">
        <v>130</v>
      </c>
      <c r="T852" s="39">
        <v>107347</v>
      </c>
      <c r="U852" s="117">
        <v>46201</v>
      </c>
      <c r="V852" s="39"/>
      <c r="W852" s="39"/>
      <c r="X852" s="39"/>
      <c r="Y852" s="39">
        <v>147</v>
      </c>
      <c r="Z852" s="39"/>
      <c r="AA852" s="39"/>
      <c r="AB852" s="119">
        <f t="shared" si="916"/>
        <v>147</v>
      </c>
      <c r="AC852" s="39"/>
      <c r="AD852" s="39"/>
      <c r="AE852" s="39"/>
      <c r="AF852" s="39"/>
      <c r="AG852" s="39"/>
      <c r="AH852" s="39">
        <f t="shared" si="851"/>
        <v>0</v>
      </c>
      <c r="AI852" s="39"/>
      <c r="AJ852" s="39"/>
      <c r="AK852" s="39"/>
      <c r="AL852" s="39"/>
      <c r="AM852" s="39"/>
      <c r="AN852" s="39">
        <f t="shared" si="850"/>
        <v>0</v>
      </c>
      <c r="AO852" s="39"/>
      <c r="AP852" s="39"/>
      <c r="AQ852" s="39"/>
      <c r="AR852" s="39"/>
      <c r="AS852" s="39"/>
      <c r="AT852" s="39">
        <f t="shared" si="891"/>
        <v>0</v>
      </c>
      <c r="AU852" s="39"/>
      <c r="AV852" s="39"/>
      <c r="AW852" s="39"/>
      <c r="AX852" s="39"/>
      <c r="AY852" s="39"/>
      <c r="AZ852" s="39">
        <f t="shared" si="892"/>
        <v>0</v>
      </c>
      <c r="BA852" s="39"/>
      <c r="BB852" s="39"/>
      <c r="BC852" s="39"/>
      <c r="BD852" s="39"/>
      <c r="BE852" s="39"/>
      <c r="BF852" s="39">
        <f t="shared" si="893"/>
        <v>0</v>
      </c>
      <c r="BG852" s="39"/>
      <c r="BH852" s="39"/>
      <c r="BI852" s="39"/>
      <c r="BJ852" s="39"/>
      <c r="BK852" s="39"/>
      <c r="BL852" s="39">
        <f t="shared" si="852"/>
        <v>0</v>
      </c>
      <c r="BM852" s="54" t="str">
        <f t="shared" si="894"/>
        <v/>
      </c>
      <c r="BN852" s="62">
        <v>46202</v>
      </c>
      <c r="BO852" s="117">
        <v>46215</v>
      </c>
      <c r="BP852" s="39"/>
      <c r="BQ852" s="39"/>
      <c r="BR852" s="230"/>
      <c r="BS852" s="230"/>
      <c r="BT852" s="39">
        <v>2147</v>
      </c>
      <c r="BU852" s="39">
        <v>130</v>
      </c>
      <c r="BV852" s="39"/>
      <c r="BW852" s="39"/>
      <c r="BX852" s="39"/>
      <c r="BY852" s="39"/>
      <c r="BZ852" s="39">
        <f t="shared" si="853"/>
        <v>130</v>
      </c>
      <c r="CA852" s="39">
        <f t="shared" si="895"/>
        <v>11</v>
      </c>
      <c r="CB852" s="39">
        <f t="shared" si="896"/>
        <v>0</v>
      </c>
      <c r="CC852" s="39">
        <f t="shared" si="897"/>
        <v>0</v>
      </c>
      <c r="CD852" s="39">
        <f t="shared" si="854"/>
        <v>0</v>
      </c>
      <c r="CE852" s="102">
        <f t="shared" si="898"/>
        <v>0</v>
      </c>
      <c r="CF852" s="36"/>
      <c r="CG852" s="39" t="s">
        <v>235</v>
      </c>
      <c r="CH852" s="39"/>
      <c r="CI852" s="25">
        <v>3</v>
      </c>
    </row>
    <row r="853" spans="1:87" ht="24.75" customHeight="1">
      <c r="A853" s="36" t="s">
        <v>303</v>
      </c>
      <c r="B853" s="55"/>
      <c r="C853" s="36"/>
      <c r="D853" s="36"/>
      <c r="E853" s="39"/>
      <c r="F853" s="39"/>
      <c r="G853" s="36"/>
      <c r="H853" s="39"/>
      <c r="I853" s="39"/>
      <c r="J853" s="39"/>
      <c r="K853" s="39"/>
      <c r="L853" s="39">
        <f t="shared" si="864"/>
        <v>0</v>
      </c>
      <c r="M853" s="39"/>
      <c r="N853" s="39"/>
      <c r="O853" s="39"/>
      <c r="P853" s="39"/>
      <c r="Q853" s="39"/>
      <c r="R853" s="39">
        <f t="shared" si="865"/>
        <v>0</v>
      </c>
      <c r="S853" s="39"/>
      <c r="T853" s="39"/>
      <c r="U853" s="39"/>
      <c r="V853" s="39"/>
      <c r="W853" s="39"/>
      <c r="X853" s="39"/>
      <c r="Y853" s="39"/>
      <c r="Z853" s="39"/>
      <c r="AA853" s="39"/>
      <c r="AB853" s="39">
        <f t="shared" si="866"/>
        <v>0</v>
      </c>
      <c r="AC853" s="39"/>
      <c r="AD853" s="39"/>
      <c r="AE853" s="39"/>
      <c r="AF853" s="39"/>
      <c r="AG853" s="39"/>
      <c r="AH853" s="39">
        <f t="shared" si="851"/>
        <v>0</v>
      </c>
      <c r="AI853" s="39"/>
      <c r="AJ853" s="39"/>
      <c r="AK853" s="39"/>
      <c r="AL853" s="39"/>
      <c r="AM853" s="39"/>
      <c r="AN853" s="39">
        <f t="shared" si="850"/>
        <v>0</v>
      </c>
      <c r="AO853" s="39"/>
      <c r="AP853" s="39"/>
      <c r="AQ853" s="39"/>
      <c r="AR853" s="39"/>
      <c r="AS853" s="39"/>
      <c r="AT853" s="39">
        <f t="shared" si="891"/>
        <v>0</v>
      </c>
      <c r="AU853" s="39"/>
      <c r="AV853" s="39"/>
      <c r="AW853" s="39"/>
      <c r="AX853" s="39"/>
      <c r="AY853" s="39"/>
      <c r="AZ853" s="39">
        <f t="shared" si="892"/>
        <v>0</v>
      </c>
      <c r="BA853" s="39"/>
      <c r="BB853" s="39"/>
      <c r="BC853" s="39"/>
      <c r="BD853" s="39"/>
      <c r="BE853" s="39"/>
      <c r="BF853" s="39">
        <f t="shared" si="893"/>
        <v>0</v>
      </c>
      <c r="BG853" s="39"/>
      <c r="BH853" s="39"/>
      <c r="BI853" s="39"/>
      <c r="BJ853" s="39"/>
      <c r="BK853" s="39"/>
      <c r="BL853" s="39">
        <f t="shared" si="852"/>
        <v>0</v>
      </c>
      <c r="BM853" s="54" t="e">
        <f t="shared" si="894"/>
        <v>#DIV/0!</v>
      </c>
      <c r="BN853" s="63"/>
      <c r="BO853" s="39"/>
      <c r="BP853" s="39"/>
      <c r="BQ853" s="39"/>
      <c r="BR853" s="40"/>
      <c r="BS853" s="40"/>
      <c r="BT853" s="39"/>
      <c r="BU853" s="39"/>
      <c r="BV853" s="39"/>
      <c r="BW853" s="39"/>
      <c r="BX853" s="39"/>
      <c r="BY853" s="39"/>
      <c r="BZ853" s="39">
        <f t="shared" si="853"/>
        <v>0</v>
      </c>
      <c r="CA853" s="39">
        <f t="shared" si="895"/>
        <v>0</v>
      </c>
      <c r="CB853" s="39">
        <f t="shared" si="896"/>
        <v>0</v>
      </c>
      <c r="CC853" s="39">
        <f t="shared" si="897"/>
        <v>0</v>
      </c>
      <c r="CD853" s="39">
        <f t="shared" si="854"/>
        <v>0</v>
      </c>
      <c r="CE853" s="47" t="e">
        <f t="shared" si="898"/>
        <v>#DIV/0!</v>
      </c>
      <c r="CF853" s="36"/>
      <c r="CG853" s="39"/>
      <c r="CH853" s="39"/>
      <c r="CI853" s="25">
        <v>3</v>
      </c>
    </row>
    <row r="854" spans="1:87" ht="24.75" customHeight="1">
      <c r="A854" s="36" t="s">
        <v>303</v>
      </c>
      <c r="B854" s="55"/>
      <c r="C854" s="36"/>
      <c r="D854" s="36"/>
      <c r="E854" s="39"/>
      <c r="F854" s="39"/>
      <c r="G854" s="36"/>
      <c r="H854" s="39"/>
      <c r="I854" s="39"/>
      <c r="J854" s="39"/>
      <c r="K854" s="39"/>
      <c r="L854" s="39">
        <f t="shared" si="864"/>
        <v>0</v>
      </c>
      <c r="M854" s="39"/>
      <c r="N854" s="39"/>
      <c r="O854" s="39"/>
      <c r="P854" s="39"/>
      <c r="Q854" s="39"/>
      <c r="R854" s="39">
        <f t="shared" si="865"/>
        <v>0</v>
      </c>
      <c r="S854" s="39"/>
      <c r="T854" s="39"/>
      <c r="U854" s="39"/>
      <c r="V854" s="39"/>
      <c r="W854" s="39"/>
      <c r="X854" s="39"/>
      <c r="Y854" s="39"/>
      <c r="Z854" s="39"/>
      <c r="AA854" s="39"/>
      <c r="AB854" s="39">
        <f t="shared" si="866"/>
        <v>0</v>
      </c>
      <c r="AC854" s="39"/>
      <c r="AD854" s="39"/>
      <c r="AE854" s="39"/>
      <c r="AF854" s="39"/>
      <c r="AG854" s="39"/>
      <c r="AH854" s="39">
        <f t="shared" si="851"/>
        <v>0</v>
      </c>
      <c r="AI854" s="39"/>
      <c r="AJ854" s="39"/>
      <c r="AK854" s="39"/>
      <c r="AL854" s="39"/>
      <c r="AM854" s="39"/>
      <c r="AN854" s="39">
        <f t="shared" si="850"/>
        <v>0</v>
      </c>
      <c r="AO854" s="39"/>
      <c r="AP854" s="39"/>
      <c r="AQ854" s="39"/>
      <c r="AR854" s="39"/>
      <c r="AS854" s="39"/>
      <c r="AT854" s="39">
        <f t="shared" si="891"/>
        <v>0</v>
      </c>
      <c r="AU854" s="39"/>
      <c r="AV854" s="39"/>
      <c r="AW854" s="39"/>
      <c r="AX854" s="39"/>
      <c r="AY854" s="39"/>
      <c r="AZ854" s="39">
        <f t="shared" si="892"/>
        <v>0</v>
      </c>
      <c r="BA854" s="39"/>
      <c r="BB854" s="39"/>
      <c r="BC854" s="39"/>
      <c r="BD854" s="39"/>
      <c r="BE854" s="39"/>
      <c r="BF854" s="39">
        <f t="shared" si="893"/>
        <v>0</v>
      </c>
      <c r="BG854" s="39"/>
      <c r="BH854" s="39"/>
      <c r="BI854" s="39"/>
      <c r="BJ854" s="39"/>
      <c r="BK854" s="39"/>
      <c r="BL854" s="39">
        <f t="shared" si="852"/>
        <v>0</v>
      </c>
      <c r="BM854" s="54" t="e">
        <f t="shared" si="894"/>
        <v>#DIV/0!</v>
      </c>
      <c r="BN854" s="63"/>
      <c r="BO854" s="39"/>
      <c r="BP854" s="39"/>
      <c r="BQ854" s="39"/>
      <c r="BR854" s="40"/>
      <c r="BS854" s="40"/>
      <c r="BT854" s="39"/>
      <c r="BU854" s="39"/>
      <c r="BV854" s="39"/>
      <c r="BW854" s="39"/>
      <c r="BX854" s="39"/>
      <c r="BY854" s="39"/>
      <c r="BZ854" s="39">
        <f t="shared" si="853"/>
        <v>0</v>
      </c>
      <c r="CA854" s="39">
        <f t="shared" si="895"/>
        <v>0</v>
      </c>
      <c r="CB854" s="39">
        <f t="shared" si="896"/>
        <v>0</v>
      </c>
      <c r="CC854" s="39">
        <f t="shared" si="897"/>
        <v>0</v>
      </c>
      <c r="CD854" s="39">
        <f t="shared" si="854"/>
        <v>0</v>
      </c>
      <c r="CE854" s="47" t="e">
        <f t="shared" si="898"/>
        <v>#DIV/0!</v>
      </c>
      <c r="CF854" s="36"/>
      <c r="CG854" s="39"/>
      <c r="CH854" s="39"/>
      <c r="CI854" s="25">
        <v>3</v>
      </c>
    </row>
    <row r="855" spans="1:87" ht="24.75" customHeight="1">
      <c r="A855" s="36" t="s">
        <v>303</v>
      </c>
      <c r="B855" s="55"/>
      <c r="C855" s="36"/>
      <c r="D855" s="36"/>
      <c r="E855" s="39"/>
      <c r="F855" s="39"/>
      <c r="G855" s="36"/>
      <c r="H855" s="39"/>
      <c r="I855" s="39"/>
      <c r="J855" s="39"/>
      <c r="K855" s="39"/>
      <c r="L855" s="39">
        <f t="shared" si="864"/>
        <v>0</v>
      </c>
      <c r="M855" s="39"/>
      <c r="N855" s="39"/>
      <c r="O855" s="39"/>
      <c r="P855" s="39"/>
      <c r="Q855" s="39"/>
      <c r="R855" s="39">
        <f t="shared" si="865"/>
        <v>0</v>
      </c>
      <c r="S855" s="39"/>
      <c r="T855" s="39"/>
      <c r="U855" s="39"/>
      <c r="V855" s="39"/>
      <c r="W855" s="39"/>
      <c r="X855" s="39"/>
      <c r="Y855" s="39"/>
      <c r="Z855" s="39"/>
      <c r="AA855" s="39"/>
      <c r="AB855" s="39">
        <f t="shared" si="866"/>
        <v>0</v>
      </c>
      <c r="AC855" s="39"/>
      <c r="AD855" s="39"/>
      <c r="AE855" s="39"/>
      <c r="AF855" s="39"/>
      <c r="AG855" s="39"/>
      <c r="AH855" s="39">
        <f t="shared" si="851"/>
        <v>0</v>
      </c>
      <c r="AI855" s="39"/>
      <c r="AJ855" s="39"/>
      <c r="AK855" s="39"/>
      <c r="AL855" s="39"/>
      <c r="AM855" s="39"/>
      <c r="AN855" s="39">
        <f t="shared" si="850"/>
        <v>0</v>
      </c>
      <c r="AO855" s="39"/>
      <c r="AP855" s="39"/>
      <c r="AQ855" s="39"/>
      <c r="AR855" s="39"/>
      <c r="AS855" s="39"/>
      <c r="AT855" s="39">
        <f t="shared" si="891"/>
        <v>0</v>
      </c>
      <c r="AU855" s="39"/>
      <c r="AV855" s="39"/>
      <c r="AW855" s="39"/>
      <c r="AX855" s="39"/>
      <c r="AY855" s="39"/>
      <c r="AZ855" s="39">
        <f t="shared" si="892"/>
        <v>0</v>
      </c>
      <c r="BA855" s="39"/>
      <c r="BB855" s="39"/>
      <c r="BC855" s="39"/>
      <c r="BD855" s="39"/>
      <c r="BE855" s="39"/>
      <c r="BF855" s="39">
        <f t="shared" si="893"/>
        <v>0</v>
      </c>
      <c r="BG855" s="39"/>
      <c r="BH855" s="39"/>
      <c r="BI855" s="39"/>
      <c r="BJ855" s="39"/>
      <c r="BK855" s="39"/>
      <c r="BL855" s="39">
        <f t="shared" si="852"/>
        <v>0</v>
      </c>
      <c r="BM855" s="54" t="e">
        <f t="shared" si="894"/>
        <v>#DIV/0!</v>
      </c>
      <c r="BN855" s="63"/>
      <c r="BO855" s="39"/>
      <c r="BP855" s="39"/>
      <c r="BQ855" s="39"/>
      <c r="BR855" s="40"/>
      <c r="BS855" s="40"/>
      <c r="BT855" s="39"/>
      <c r="BU855" s="39"/>
      <c r="BV855" s="39"/>
      <c r="BW855" s="39"/>
      <c r="BX855" s="39"/>
      <c r="BY855" s="39"/>
      <c r="BZ855" s="39">
        <f t="shared" si="853"/>
        <v>0</v>
      </c>
      <c r="CA855" s="39">
        <f t="shared" si="895"/>
        <v>0</v>
      </c>
      <c r="CB855" s="39">
        <f t="shared" si="896"/>
        <v>0</v>
      </c>
      <c r="CC855" s="39">
        <f t="shared" si="897"/>
        <v>0</v>
      </c>
      <c r="CD855" s="39">
        <f t="shared" si="854"/>
        <v>0</v>
      </c>
      <c r="CE855" s="47" t="e">
        <f t="shared" si="898"/>
        <v>#DIV/0!</v>
      </c>
      <c r="CF855" s="36"/>
      <c r="CG855" s="39"/>
      <c r="CH855" s="39"/>
      <c r="CI855" s="25">
        <v>3</v>
      </c>
    </row>
    <row r="856" spans="1:87" ht="24.75" customHeight="1">
      <c r="A856" s="36" t="s">
        <v>303</v>
      </c>
      <c r="B856" s="55"/>
      <c r="C856" s="36"/>
      <c r="D856" s="36"/>
      <c r="E856" s="39"/>
      <c r="F856" s="39"/>
      <c r="G856" s="36"/>
      <c r="H856" s="39"/>
      <c r="I856" s="39"/>
      <c r="J856" s="39"/>
      <c r="K856" s="39"/>
      <c r="L856" s="39">
        <f t="shared" si="864"/>
        <v>0</v>
      </c>
      <c r="M856" s="39"/>
      <c r="N856" s="39"/>
      <c r="O856" s="39"/>
      <c r="P856" s="39"/>
      <c r="Q856" s="39"/>
      <c r="R856" s="39">
        <f t="shared" si="865"/>
        <v>0</v>
      </c>
      <c r="S856" s="39"/>
      <c r="T856" s="39"/>
      <c r="U856" s="39"/>
      <c r="V856" s="39"/>
      <c r="W856" s="39"/>
      <c r="X856" s="39"/>
      <c r="Y856" s="39"/>
      <c r="Z856" s="39"/>
      <c r="AA856" s="39"/>
      <c r="AB856" s="39">
        <f t="shared" si="866"/>
        <v>0</v>
      </c>
      <c r="AC856" s="39"/>
      <c r="AD856" s="39"/>
      <c r="AE856" s="39"/>
      <c r="AF856" s="39"/>
      <c r="AG856" s="39"/>
      <c r="AH856" s="39">
        <f t="shared" si="851"/>
        <v>0</v>
      </c>
      <c r="AI856" s="39"/>
      <c r="AJ856" s="39"/>
      <c r="AK856" s="39"/>
      <c r="AL856" s="39"/>
      <c r="AM856" s="39"/>
      <c r="AN856" s="39">
        <f t="shared" si="850"/>
        <v>0</v>
      </c>
      <c r="AO856" s="39"/>
      <c r="AP856" s="39"/>
      <c r="AQ856" s="39"/>
      <c r="AR856" s="39"/>
      <c r="AS856" s="39"/>
      <c r="AT856" s="39">
        <f t="shared" si="891"/>
        <v>0</v>
      </c>
      <c r="AU856" s="39"/>
      <c r="AV856" s="39"/>
      <c r="AW856" s="39"/>
      <c r="AX856" s="39"/>
      <c r="AY856" s="39"/>
      <c r="AZ856" s="39">
        <f t="shared" si="892"/>
        <v>0</v>
      </c>
      <c r="BA856" s="39"/>
      <c r="BB856" s="39"/>
      <c r="BC856" s="39"/>
      <c r="BD856" s="39"/>
      <c r="BE856" s="39"/>
      <c r="BF856" s="39">
        <f t="shared" si="893"/>
        <v>0</v>
      </c>
      <c r="BG856" s="39"/>
      <c r="BH856" s="39"/>
      <c r="BI856" s="39"/>
      <c r="BJ856" s="39"/>
      <c r="BK856" s="39"/>
      <c r="BL856" s="39">
        <f t="shared" si="852"/>
        <v>0</v>
      </c>
      <c r="BM856" s="54" t="e">
        <f t="shared" si="894"/>
        <v>#DIV/0!</v>
      </c>
      <c r="BN856" s="63"/>
      <c r="BO856" s="39"/>
      <c r="BP856" s="39"/>
      <c r="BQ856" s="39"/>
      <c r="BR856" s="40"/>
      <c r="BS856" s="40"/>
      <c r="BT856" s="39"/>
      <c r="BU856" s="39"/>
      <c r="BV856" s="39"/>
      <c r="BW856" s="39"/>
      <c r="BX856" s="39"/>
      <c r="BY856" s="39"/>
      <c r="BZ856" s="39">
        <f t="shared" si="853"/>
        <v>0</v>
      </c>
      <c r="CA856" s="39">
        <f t="shared" si="895"/>
        <v>0</v>
      </c>
      <c r="CB856" s="39">
        <f t="shared" si="896"/>
        <v>0</v>
      </c>
      <c r="CC856" s="39">
        <f t="shared" si="897"/>
        <v>0</v>
      </c>
      <c r="CD856" s="39">
        <f t="shared" si="854"/>
        <v>0</v>
      </c>
      <c r="CE856" s="47" t="e">
        <f t="shared" si="898"/>
        <v>#DIV/0!</v>
      </c>
      <c r="CF856" s="36"/>
      <c r="CG856" s="39"/>
      <c r="CH856" s="39"/>
      <c r="CI856" s="25">
        <v>3</v>
      </c>
    </row>
    <row r="857" spans="1:87" ht="24.75" customHeight="1">
      <c r="A857" s="36" t="s">
        <v>299</v>
      </c>
      <c r="B857" s="55"/>
      <c r="C857" s="36"/>
      <c r="D857" s="36"/>
      <c r="E857" s="39"/>
      <c r="F857" s="39"/>
      <c r="G857" s="36"/>
      <c r="H857" s="39"/>
      <c r="I857" s="39"/>
      <c r="J857" s="39"/>
      <c r="K857" s="39"/>
      <c r="L857" s="39">
        <f t="shared" si="864"/>
        <v>0</v>
      </c>
      <c r="M857" s="39"/>
      <c r="N857" s="39"/>
      <c r="O857" s="39"/>
      <c r="P857" s="39"/>
      <c r="Q857" s="39"/>
      <c r="R857" s="39">
        <f t="shared" si="865"/>
        <v>0</v>
      </c>
      <c r="S857" s="39"/>
      <c r="T857" s="39"/>
      <c r="U857" s="39"/>
      <c r="V857" s="39"/>
      <c r="W857" s="39"/>
      <c r="X857" s="39"/>
      <c r="Y857" s="39"/>
      <c r="Z857" s="39"/>
      <c r="AA857" s="39"/>
      <c r="AB857" s="39">
        <f t="shared" si="866"/>
        <v>0</v>
      </c>
      <c r="AC857" s="39"/>
      <c r="AD857" s="39"/>
      <c r="AE857" s="39"/>
      <c r="AF857" s="39"/>
      <c r="AG857" s="39"/>
      <c r="AH857" s="39">
        <f t="shared" si="851"/>
        <v>0</v>
      </c>
      <c r="AI857" s="39"/>
      <c r="AJ857" s="39"/>
      <c r="AK857" s="39"/>
      <c r="AL857" s="39"/>
      <c r="AM857" s="39"/>
      <c r="AN857" s="39">
        <f t="shared" si="850"/>
        <v>0</v>
      </c>
      <c r="AO857" s="39"/>
      <c r="AP857" s="39"/>
      <c r="AQ857" s="39"/>
      <c r="AR857" s="39"/>
      <c r="AS857" s="39"/>
      <c r="AT857" s="39">
        <f t="shared" si="891"/>
        <v>0</v>
      </c>
      <c r="AU857" s="39"/>
      <c r="AV857" s="39"/>
      <c r="AW857" s="39"/>
      <c r="AX857" s="39"/>
      <c r="AY857" s="39"/>
      <c r="AZ857" s="39">
        <f t="shared" si="892"/>
        <v>0</v>
      </c>
      <c r="BA857" s="39"/>
      <c r="BB857" s="39"/>
      <c r="BC857" s="39"/>
      <c r="BD857" s="39"/>
      <c r="BE857" s="39"/>
      <c r="BF857" s="39">
        <f t="shared" si="893"/>
        <v>0</v>
      </c>
      <c r="BG857" s="39"/>
      <c r="BH857" s="39"/>
      <c r="BI857" s="39"/>
      <c r="BJ857" s="39"/>
      <c r="BK857" s="39"/>
      <c r="BL857" s="39">
        <f t="shared" si="852"/>
        <v>0</v>
      </c>
      <c r="BM857" s="54" t="e">
        <f t="shared" si="894"/>
        <v>#DIV/0!</v>
      </c>
      <c r="BN857" s="42"/>
      <c r="BO857" s="39"/>
      <c r="BP857" s="39"/>
      <c r="BQ857" s="39"/>
      <c r="BR857" s="40"/>
      <c r="BS857" s="40"/>
      <c r="BT857" s="39"/>
      <c r="BU857" s="39"/>
      <c r="BV857" s="39"/>
      <c r="BW857" s="39"/>
      <c r="BX857" s="39"/>
      <c r="BY857" s="39"/>
      <c r="BZ857" s="39">
        <f t="shared" si="853"/>
        <v>0</v>
      </c>
      <c r="CA857" s="39">
        <f t="shared" si="895"/>
        <v>0</v>
      </c>
      <c r="CB857" s="39">
        <f t="shared" si="896"/>
        <v>0</v>
      </c>
      <c r="CC857" s="39">
        <f t="shared" si="897"/>
        <v>0</v>
      </c>
      <c r="CD857" s="39">
        <f t="shared" si="854"/>
        <v>0</v>
      </c>
      <c r="CE857" s="47" t="e">
        <f t="shared" si="898"/>
        <v>#DIV/0!</v>
      </c>
      <c r="CF857" s="36"/>
      <c r="CG857" s="39"/>
      <c r="CH857" s="39"/>
      <c r="CI857" s="25">
        <v>1</v>
      </c>
    </row>
    <row r="858" spans="1:87" ht="24.75" customHeight="1">
      <c r="A858" s="36" t="s">
        <v>299</v>
      </c>
      <c r="B858" s="55"/>
      <c r="C858" s="36"/>
      <c r="D858" s="36"/>
      <c r="E858" s="39"/>
      <c r="F858" s="39"/>
      <c r="G858" s="36"/>
      <c r="H858" s="39"/>
      <c r="I858" s="39"/>
      <c r="J858" s="39"/>
      <c r="K858" s="39"/>
      <c r="L858" s="39">
        <f t="shared" si="864"/>
        <v>0</v>
      </c>
      <c r="M858" s="39"/>
      <c r="N858" s="39"/>
      <c r="O858" s="39"/>
      <c r="P858" s="39"/>
      <c r="Q858" s="39"/>
      <c r="R858" s="39">
        <f t="shared" si="865"/>
        <v>0</v>
      </c>
      <c r="S858" s="39"/>
      <c r="T858" s="39"/>
      <c r="U858" s="39"/>
      <c r="V858" s="39"/>
      <c r="W858" s="39"/>
      <c r="X858" s="39"/>
      <c r="Y858" s="39"/>
      <c r="Z858" s="39"/>
      <c r="AA858" s="39"/>
      <c r="AB858" s="39">
        <f t="shared" si="866"/>
        <v>0</v>
      </c>
      <c r="AC858" s="39"/>
      <c r="AD858" s="39"/>
      <c r="AE858" s="39"/>
      <c r="AF858" s="39"/>
      <c r="AG858" s="39"/>
      <c r="AH858" s="39">
        <f t="shared" si="851"/>
        <v>0</v>
      </c>
      <c r="AI858" s="39"/>
      <c r="AJ858" s="39"/>
      <c r="AK858" s="39"/>
      <c r="AL858" s="39"/>
      <c r="AM858" s="39"/>
      <c r="AN858" s="39">
        <f t="shared" si="850"/>
        <v>0</v>
      </c>
      <c r="AO858" s="39"/>
      <c r="AP858" s="39"/>
      <c r="AQ858" s="39"/>
      <c r="AR858" s="39"/>
      <c r="AS858" s="39"/>
      <c r="AT858" s="39">
        <f t="shared" si="891"/>
        <v>0</v>
      </c>
      <c r="AU858" s="39"/>
      <c r="AV858" s="39"/>
      <c r="AW858" s="39"/>
      <c r="AX858" s="39"/>
      <c r="AY858" s="39"/>
      <c r="AZ858" s="39">
        <f t="shared" si="892"/>
        <v>0</v>
      </c>
      <c r="BA858" s="39"/>
      <c r="BB858" s="39"/>
      <c r="BC858" s="39"/>
      <c r="BD858" s="39"/>
      <c r="BE858" s="39"/>
      <c r="BF858" s="39">
        <f t="shared" si="893"/>
        <v>0</v>
      </c>
      <c r="BG858" s="39"/>
      <c r="BH858" s="39"/>
      <c r="BI858" s="39"/>
      <c r="BJ858" s="39"/>
      <c r="BK858" s="39"/>
      <c r="BL858" s="39">
        <f t="shared" si="852"/>
        <v>0</v>
      </c>
      <c r="BM858" s="54" t="e">
        <f t="shared" si="894"/>
        <v>#DIV/0!</v>
      </c>
      <c r="BN858" s="42"/>
      <c r="BO858" s="39"/>
      <c r="BP858" s="39"/>
      <c r="BQ858" s="39"/>
      <c r="BR858" s="40"/>
      <c r="BS858" s="40"/>
      <c r="BT858" s="39"/>
      <c r="BU858" s="39"/>
      <c r="BV858" s="39"/>
      <c r="BW858" s="39"/>
      <c r="BX858" s="39"/>
      <c r="BY858" s="39"/>
      <c r="BZ858" s="39">
        <f t="shared" si="853"/>
        <v>0</v>
      </c>
      <c r="CA858" s="39">
        <f t="shared" si="895"/>
        <v>0</v>
      </c>
      <c r="CB858" s="39">
        <f t="shared" si="896"/>
        <v>0</v>
      </c>
      <c r="CC858" s="39">
        <f t="shared" si="897"/>
        <v>0</v>
      </c>
      <c r="CD858" s="39">
        <f t="shared" si="854"/>
        <v>0</v>
      </c>
      <c r="CE858" s="47" t="e">
        <f t="shared" si="898"/>
        <v>#DIV/0!</v>
      </c>
      <c r="CF858" s="36"/>
      <c r="CG858" s="39"/>
      <c r="CH858" s="39"/>
      <c r="CI858" s="25">
        <v>1</v>
      </c>
    </row>
    <row r="859" spans="1:87" ht="24.75" customHeight="1">
      <c r="A859" s="36" t="s">
        <v>299</v>
      </c>
      <c r="B859" s="55"/>
      <c r="C859" s="36"/>
      <c r="D859" s="36"/>
      <c r="E859" s="39"/>
      <c r="F859" s="39"/>
      <c r="G859" s="36"/>
      <c r="H859" s="39"/>
      <c r="I859" s="39"/>
      <c r="J859" s="39"/>
      <c r="K859" s="39"/>
      <c r="L859" s="39">
        <f t="shared" si="864"/>
        <v>0</v>
      </c>
      <c r="M859" s="39"/>
      <c r="N859" s="39"/>
      <c r="O859" s="39"/>
      <c r="P859" s="39"/>
      <c r="Q859" s="39"/>
      <c r="R859" s="39">
        <f t="shared" si="865"/>
        <v>0</v>
      </c>
      <c r="S859" s="39"/>
      <c r="T859" s="39"/>
      <c r="U859" s="39"/>
      <c r="V859" s="39"/>
      <c r="W859" s="39"/>
      <c r="X859" s="39"/>
      <c r="Y859" s="39"/>
      <c r="Z859" s="39"/>
      <c r="AA859" s="39"/>
      <c r="AB859" s="39">
        <f t="shared" si="866"/>
        <v>0</v>
      </c>
      <c r="AC859" s="39"/>
      <c r="AD859" s="39"/>
      <c r="AE859" s="39"/>
      <c r="AF859" s="39"/>
      <c r="AG859" s="39"/>
      <c r="AH859" s="39">
        <f t="shared" si="851"/>
        <v>0</v>
      </c>
      <c r="AI859" s="39"/>
      <c r="AJ859" s="39"/>
      <c r="AK859" s="39"/>
      <c r="AL859" s="39"/>
      <c r="AM859" s="39"/>
      <c r="AN859" s="39">
        <f t="shared" si="850"/>
        <v>0</v>
      </c>
      <c r="AO859" s="39"/>
      <c r="AP859" s="39"/>
      <c r="AQ859" s="39"/>
      <c r="AR859" s="39"/>
      <c r="AS859" s="39"/>
      <c r="AT859" s="39">
        <f t="shared" si="891"/>
        <v>0</v>
      </c>
      <c r="AU859" s="39"/>
      <c r="AV859" s="39"/>
      <c r="AW859" s="39"/>
      <c r="AX859" s="39"/>
      <c r="AY859" s="39"/>
      <c r="AZ859" s="39">
        <f t="shared" si="892"/>
        <v>0</v>
      </c>
      <c r="BA859" s="39"/>
      <c r="BB859" s="39"/>
      <c r="BC859" s="39"/>
      <c r="BD859" s="39"/>
      <c r="BE859" s="39"/>
      <c r="BF859" s="39">
        <f t="shared" si="893"/>
        <v>0</v>
      </c>
      <c r="BG859" s="39"/>
      <c r="BH859" s="39"/>
      <c r="BI859" s="39"/>
      <c r="BJ859" s="39"/>
      <c r="BK859" s="39"/>
      <c r="BL859" s="39">
        <f t="shared" si="852"/>
        <v>0</v>
      </c>
      <c r="BM859" s="54" t="e">
        <f t="shared" si="894"/>
        <v>#DIV/0!</v>
      </c>
      <c r="BN859" s="42"/>
      <c r="BO859" s="39"/>
      <c r="BP859" s="39"/>
      <c r="BQ859" s="39"/>
      <c r="BR859" s="40"/>
      <c r="BS859" s="40"/>
      <c r="BT859" s="39"/>
      <c r="BU859" s="39"/>
      <c r="BV859" s="39"/>
      <c r="BW859" s="39"/>
      <c r="BX859" s="39"/>
      <c r="BY859" s="39"/>
      <c r="BZ859" s="39">
        <f t="shared" si="853"/>
        <v>0</v>
      </c>
      <c r="CA859" s="39">
        <f t="shared" si="895"/>
        <v>0</v>
      </c>
      <c r="CB859" s="39">
        <f t="shared" si="896"/>
        <v>0</v>
      </c>
      <c r="CC859" s="39">
        <f t="shared" si="897"/>
        <v>0</v>
      </c>
      <c r="CD859" s="39">
        <f t="shared" si="854"/>
        <v>0</v>
      </c>
      <c r="CE859" s="47" t="e">
        <f t="shared" si="898"/>
        <v>#DIV/0!</v>
      </c>
      <c r="CF859" s="36"/>
      <c r="CG859" s="39"/>
      <c r="CH859" s="39"/>
      <c r="CI859" s="25">
        <v>1</v>
      </c>
    </row>
    <row r="860" spans="1:87" ht="24.75" customHeight="1">
      <c r="A860" s="36" t="s">
        <v>299</v>
      </c>
      <c r="B860" s="55"/>
      <c r="C860" s="36"/>
      <c r="D860" s="36"/>
      <c r="E860" s="39"/>
      <c r="F860" s="39"/>
      <c r="G860" s="36"/>
      <c r="H860" s="39"/>
      <c r="I860" s="39"/>
      <c r="J860" s="39"/>
      <c r="K860" s="39"/>
      <c r="L860" s="39">
        <f t="shared" si="864"/>
        <v>0</v>
      </c>
      <c r="M860" s="39"/>
      <c r="N860" s="39"/>
      <c r="O860" s="39"/>
      <c r="P860" s="39"/>
      <c r="Q860" s="39"/>
      <c r="R860" s="39">
        <f t="shared" si="865"/>
        <v>0</v>
      </c>
      <c r="S860" s="39"/>
      <c r="T860" s="39"/>
      <c r="U860" s="39"/>
      <c r="V860" s="39"/>
      <c r="W860" s="39"/>
      <c r="X860" s="39"/>
      <c r="Y860" s="39"/>
      <c r="Z860" s="39"/>
      <c r="AA860" s="39"/>
      <c r="AB860" s="39">
        <f t="shared" si="866"/>
        <v>0</v>
      </c>
      <c r="AC860" s="39"/>
      <c r="AD860" s="39"/>
      <c r="AE860" s="39"/>
      <c r="AF860" s="39"/>
      <c r="AG860" s="39"/>
      <c r="AH860" s="39">
        <f t="shared" si="851"/>
        <v>0</v>
      </c>
      <c r="AI860" s="39"/>
      <c r="AJ860" s="39"/>
      <c r="AK860" s="39"/>
      <c r="AL860" s="39"/>
      <c r="AM860" s="39"/>
      <c r="AN860" s="39">
        <f t="shared" ref="AN860:AN1076" si="917">AM860-AK860</f>
        <v>0</v>
      </c>
      <c r="AO860" s="39"/>
      <c r="AP860" s="39"/>
      <c r="AQ860" s="39"/>
      <c r="AR860" s="39"/>
      <c r="AS860" s="39"/>
      <c r="AT860" s="39">
        <f t="shared" si="891"/>
        <v>0</v>
      </c>
      <c r="AU860" s="39"/>
      <c r="AV860" s="39"/>
      <c r="AW860" s="39"/>
      <c r="AX860" s="39"/>
      <c r="AY860" s="39"/>
      <c r="AZ860" s="39">
        <f t="shared" si="892"/>
        <v>0</v>
      </c>
      <c r="BA860" s="39"/>
      <c r="BB860" s="39"/>
      <c r="BC860" s="39"/>
      <c r="BD860" s="39"/>
      <c r="BE860" s="39"/>
      <c r="BF860" s="39">
        <f t="shared" si="893"/>
        <v>0</v>
      </c>
      <c r="BG860" s="39"/>
      <c r="BH860" s="39"/>
      <c r="BI860" s="39"/>
      <c r="BJ860" s="39"/>
      <c r="BK860" s="39"/>
      <c r="BL860" s="39">
        <f t="shared" si="852"/>
        <v>0</v>
      </c>
      <c r="BM860" s="54" t="e">
        <f t="shared" si="894"/>
        <v>#DIV/0!</v>
      </c>
      <c r="BN860" s="42"/>
      <c r="BO860" s="39"/>
      <c r="BP860" s="39"/>
      <c r="BQ860" s="39"/>
      <c r="BR860" s="40"/>
      <c r="BS860" s="40"/>
      <c r="BT860" s="39"/>
      <c r="BU860" s="39"/>
      <c r="BV860" s="39"/>
      <c r="BW860" s="39"/>
      <c r="BX860" s="39"/>
      <c r="BY860" s="39"/>
      <c r="BZ860" s="39">
        <f t="shared" si="853"/>
        <v>0</v>
      </c>
      <c r="CA860" s="39">
        <f t="shared" si="895"/>
        <v>0</v>
      </c>
      <c r="CB860" s="39">
        <f t="shared" si="896"/>
        <v>0</v>
      </c>
      <c r="CC860" s="39">
        <f t="shared" si="897"/>
        <v>0</v>
      </c>
      <c r="CD860" s="39">
        <f t="shared" si="854"/>
        <v>0</v>
      </c>
      <c r="CE860" s="47" t="e">
        <f t="shared" si="898"/>
        <v>#DIV/0!</v>
      </c>
      <c r="CF860" s="36"/>
      <c r="CG860" s="39"/>
      <c r="CH860" s="39"/>
      <c r="CI860" s="25">
        <v>1</v>
      </c>
    </row>
    <row r="861" spans="1:87" ht="24.75" customHeight="1">
      <c r="A861" s="36" t="s">
        <v>299</v>
      </c>
      <c r="B861" s="55"/>
      <c r="C861" s="36"/>
      <c r="D861" s="36"/>
      <c r="E861" s="39"/>
      <c r="F861" s="39"/>
      <c r="G861" s="36"/>
      <c r="H861" s="39"/>
      <c r="I861" s="39"/>
      <c r="J861" s="39"/>
      <c r="K861" s="39"/>
      <c r="L861" s="39">
        <f t="shared" si="864"/>
        <v>0</v>
      </c>
      <c r="M861" s="39"/>
      <c r="N861" s="39"/>
      <c r="O861" s="39"/>
      <c r="P861" s="39"/>
      <c r="Q861" s="39"/>
      <c r="R861" s="39">
        <f t="shared" si="865"/>
        <v>0</v>
      </c>
      <c r="S861" s="39"/>
      <c r="T861" s="39"/>
      <c r="U861" s="39"/>
      <c r="V861" s="39"/>
      <c r="W861" s="39"/>
      <c r="X861" s="39"/>
      <c r="Y861" s="39"/>
      <c r="Z861" s="39"/>
      <c r="AA861" s="39"/>
      <c r="AB861" s="39">
        <f t="shared" si="866"/>
        <v>0</v>
      </c>
      <c r="AC861" s="39"/>
      <c r="AD861" s="39"/>
      <c r="AE861" s="39"/>
      <c r="AF861" s="39"/>
      <c r="AG861" s="39"/>
      <c r="AH861" s="39">
        <f t="shared" si="851"/>
        <v>0</v>
      </c>
      <c r="AI861" s="39"/>
      <c r="AJ861" s="39"/>
      <c r="AK861" s="39"/>
      <c r="AL861" s="39"/>
      <c r="AM861" s="39"/>
      <c r="AN861" s="39">
        <f t="shared" si="917"/>
        <v>0</v>
      </c>
      <c r="AO861" s="39"/>
      <c r="AP861" s="39"/>
      <c r="AQ861" s="39"/>
      <c r="AR861" s="39"/>
      <c r="AS861" s="39"/>
      <c r="AT861" s="39">
        <f t="shared" si="891"/>
        <v>0</v>
      </c>
      <c r="AU861" s="39"/>
      <c r="AV861" s="39"/>
      <c r="AW861" s="39"/>
      <c r="AX861" s="39"/>
      <c r="AY861" s="39"/>
      <c r="AZ861" s="39">
        <f t="shared" si="892"/>
        <v>0</v>
      </c>
      <c r="BA861" s="39"/>
      <c r="BB861" s="39"/>
      <c r="BC861" s="39"/>
      <c r="BD861" s="39"/>
      <c r="BE861" s="39"/>
      <c r="BF861" s="39">
        <f t="shared" si="893"/>
        <v>0</v>
      </c>
      <c r="BG861" s="39"/>
      <c r="BH861" s="39"/>
      <c r="BI861" s="39"/>
      <c r="BJ861" s="39"/>
      <c r="BK861" s="39"/>
      <c r="BL861" s="39">
        <f t="shared" si="852"/>
        <v>0</v>
      </c>
      <c r="BM861" s="54" t="e">
        <f t="shared" si="894"/>
        <v>#DIV/0!</v>
      </c>
      <c r="BN861" s="42"/>
      <c r="BO861" s="39"/>
      <c r="BP861" s="39"/>
      <c r="BQ861" s="39"/>
      <c r="BR861" s="40"/>
      <c r="BS861" s="40"/>
      <c r="BT861" s="39"/>
      <c r="BU861" s="39"/>
      <c r="BV861" s="39"/>
      <c r="BW861" s="39"/>
      <c r="BX861" s="39"/>
      <c r="BY861" s="39"/>
      <c r="BZ861" s="39">
        <f t="shared" si="853"/>
        <v>0</v>
      </c>
      <c r="CA861" s="39">
        <f t="shared" si="895"/>
        <v>0</v>
      </c>
      <c r="CB861" s="39">
        <f t="shared" si="896"/>
        <v>0</v>
      </c>
      <c r="CC861" s="39">
        <f t="shared" si="897"/>
        <v>0</v>
      </c>
      <c r="CD861" s="39">
        <f t="shared" si="854"/>
        <v>0</v>
      </c>
      <c r="CE861" s="47" t="e">
        <f t="shared" si="898"/>
        <v>#DIV/0!</v>
      </c>
      <c r="CF861" s="36"/>
      <c r="CG861" s="39"/>
      <c r="CH861" s="39"/>
      <c r="CI861" s="25">
        <v>1</v>
      </c>
    </row>
    <row r="862" spans="1:87" ht="24.75" customHeight="1">
      <c r="A862" s="36" t="s">
        <v>299</v>
      </c>
      <c r="B862" s="55"/>
      <c r="C862" s="36"/>
      <c r="D862" s="36"/>
      <c r="E862" s="39"/>
      <c r="F862" s="39"/>
      <c r="G862" s="36"/>
      <c r="H862" s="39"/>
      <c r="I862" s="39"/>
      <c r="J862" s="39"/>
      <c r="K862" s="39"/>
      <c r="L862" s="39">
        <f t="shared" si="864"/>
        <v>0</v>
      </c>
      <c r="M862" s="39"/>
      <c r="N862" s="39"/>
      <c r="O862" s="39"/>
      <c r="P862" s="39"/>
      <c r="Q862" s="39"/>
      <c r="R862" s="39">
        <f t="shared" si="865"/>
        <v>0</v>
      </c>
      <c r="S862" s="39"/>
      <c r="T862" s="39"/>
      <c r="U862" s="39"/>
      <c r="V862" s="39"/>
      <c r="W862" s="39"/>
      <c r="X862" s="39"/>
      <c r="Y862" s="39"/>
      <c r="Z862" s="39"/>
      <c r="AA862" s="39"/>
      <c r="AB862" s="39">
        <f t="shared" si="866"/>
        <v>0</v>
      </c>
      <c r="AC862" s="39"/>
      <c r="AD862" s="39"/>
      <c r="AE862" s="39"/>
      <c r="AF862" s="39"/>
      <c r="AG862" s="39"/>
      <c r="AH862" s="39">
        <f t="shared" si="851"/>
        <v>0</v>
      </c>
      <c r="AI862" s="39"/>
      <c r="AJ862" s="39"/>
      <c r="AK862" s="39"/>
      <c r="AL862" s="39"/>
      <c r="AM862" s="39"/>
      <c r="AN862" s="39">
        <f t="shared" si="917"/>
        <v>0</v>
      </c>
      <c r="AO862" s="39"/>
      <c r="AP862" s="39"/>
      <c r="AQ862" s="39"/>
      <c r="AR862" s="39"/>
      <c r="AS862" s="39"/>
      <c r="AT862" s="39">
        <f t="shared" si="891"/>
        <v>0</v>
      </c>
      <c r="AU862" s="39"/>
      <c r="AV862" s="39"/>
      <c r="AW862" s="39"/>
      <c r="AX862" s="39"/>
      <c r="AY862" s="39"/>
      <c r="AZ862" s="39">
        <f t="shared" si="892"/>
        <v>0</v>
      </c>
      <c r="BA862" s="39"/>
      <c r="BB862" s="39"/>
      <c r="BC862" s="39"/>
      <c r="BD862" s="39"/>
      <c r="BE862" s="39"/>
      <c r="BF862" s="39">
        <f t="shared" si="893"/>
        <v>0</v>
      </c>
      <c r="BG862" s="39"/>
      <c r="BH862" s="39"/>
      <c r="BI862" s="39"/>
      <c r="BJ862" s="39"/>
      <c r="BK862" s="39"/>
      <c r="BL862" s="39">
        <f t="shared" si="852"/>
        <v>0</v>
      </c>
      <c r="BM862" s="54" t="e">
        <f t="shared" si="894"/>
        <v>#DIV/0!</v>
      </c>
      <c r="BN862" s="67"/>
      <c r="BO862" s="39"/>
      <c r="BP862" s="39"/>
      <c r="BQ862" s="39"/>
      <c r="BR862" s="40"/>
      <c r="BS862" s="40"/>
      <c r="BT862" s="39"/>
      <c r="BU862" s="39"/>
      <c r="BV862" s="39"/>
      <c r="BW862" s="39"/>
      <c r="BX862" s="39"/>
      <c r="BY862" s="39"/>
      <c r="BZ862" s="39">
        <f t="shared" si="853"/>
        <v>0</v>
      </c>
      <c r="CA862" s="39">
        <f t="shared" si="895"/>
        <v>0</v>
      </c>
      <c r="CB862" s="39">
        <f t="shared" si="896"/>
        <v>0</v>
      </c>
      <c r="CC862" s="39">
        <f t="shared" si="897"/>
        <v>0</v>
      </c>
      <c r="CD862" s="39">
        <f t="shared" si="854"/>
        <v>0</v>
      </c>
      <c r="CE862" s="47" t="e">
        <f t="shared" si="898"/>
        <v>#DIV/0!</v>
      </c>
      <c r="CF862" s="36"/>
      <c r="CG862" s="39"/>
      <c r="CH862" s="39"/>
      <c r="CI862" s="25">
        <v>2</v>
      </c>
    </row>
    <row r="863" spans="1:87" ht="24.75" customHeight="1">
      <c r="A863" s="36" t="s">
        <v>299</v>
      </c>
      <c r="B863" s="55"/>
      <c r="C863" s="36"/>
      <c r="D863" s="36"/>
      <c r="E863" s="39"/>
      <c r="F863" s="39"/>
      <c r="G863" s="36"/>
      <c r="H863" s="39"/>
      <c r="I863" s="39"/>
      <c r="J863" s="39"/>
      <c r="K863" s="39"/>
      <c r="L863" s="39">
        <f t="shared" si="864"/>
        <v>0</v>
      </c>
      <c r="M863" s="39"/>
      <c r="N863" s="39"/>
      <c r="O863" s="39"/>
      <c r="P863" s="39"/>
      <c r="Q863" s="39"/>
      <c r="R863" s="39">
        <f t="shared" si="865"/>
        <v>0</v>
      </c>
      <c r="S863" s="39"/>
      <c r="T863" s="39"/>
      <c r="U863" s="39"/>
      <c r="V863" s="39"/>
      <c r="W863" s="39"/>
      <c r="X863" s="39"/>
      <c r="Y863" s="39"/>
      <c r="Z863" s="39"/>
      <c r="AA863" s="39"/>
      <c r="AB863" s="39">
        <f t="shared" si="866"/>
        <v>0</v>
      </c>
      <c r="AC863" s="39"/>
      <c r="AD863" s="39"/>
      <c r="AE863" s="39"/>
      <c r="AF863" s="39"/>
      <c r="AG863" s="39"/>
      <c r="AH863" s="39">
        <f t="shared" si="851"/>
        <v>0</v>
      </c>
      <c r="AI863" s="39"/>
      <c r="AJ863" s="39"/>
      <c r="AK863" s="39"/>
      <c r="AL863" s="39"/>
      <c r="AM863" s="39"/>
      <c r="AN863" s="39">
        <f t="shared" si="917"/>
        <v>0</v>
      </c>
      <c r="AO863" s="39"/>
      <c r="AP863" s="39"/>
      <c r="AQ863" s="39"/>
      <c r="AR863" s="39"/>
      <c r="AS863" s="39"/>
      <c r="AT863" s="39">
        <f t="shared" si="891"/>
        <v>0</v>
      </c>
      <c r="AU863" s="39"/>
      <c r="AV863" s="39"/>
      <c r="AW863" s="39"/>
      <c r="AX863" s="39"/>
      <c r="AY863" s="39"/>
      <c r="AZ863" s="39">
        <f t="shared" si="892"/>
        <v>0</v>
      </c>
      <c r="BA863" s="39"/>
      <c r="BB863" s="39"/>
      <c r="BC863" s="39"/>
      <c r="BD863" s="39"/>
      <c r="BE863" s="39"/>
      <c r="BF863" s="39">
        <f t="shared" si="893"/>
        <v>0</v>
      </c>
      <c r="BG863" s="39"/>
      <c r="BH863" s="39"/>
      <c r="BI863" s="39"/>
      <c r="BJ863" s="39"/>
      <c r="BK863" s="39"/>
      <c r="BL863" s="39">
        <f t="shared" si="852"/>
        <v>0</v>
      </c>
      <c r="BM863" s="54" t="e">
        <f t="shared" si="894"/>
        <v>#DIV/0!</v>
      </c>
      <c r="BN863" s="67"/>
      <c r="BO863" s="39"/>
      <c r="BP863" s="39"/>
      <c r="BQ863" s="39"/>
      <c r="BR863" s="40"/>
      <c r="BS863" s="40"/>
      <c r="BT863" s="39"/>
      <c r="BU863" s="39"/>
      <c r="BV863" s="39"/>
      <c r="BW863" s="39"/>
      <c r="BX863" s="39"/>
      <c r="BY863" s="39"/>
      <c r="BZ863" s="39">
        <f t="shared" si="853"/>
        <v>0</v>
      </c>
      <c r="CA863" s="39">
        <f t="shared" si="895"/>
        <v>0</v>
      </c>
      <c r="CB863" s="39">
        <f t="shared" si="896"/>
        <v>0</v>
      </c>
      <c r="CC863" s="39">
        <f t="shared" si="897"/>
        <v>0</v>
      </c>
      <c r="CD863" s="39">
        <f t="shared" si="854"/>
        <v>0</v>
      </c>
      <c r="CE863" s="47" t="e">
        <f t="shared" si="898"/>
        <v>#DIV/0!</v>
      </c>
      <c r="CF863" s="36"/>
      <c r="CG863" s="39"/>
      <c r="CH863" s="39"/>
      <c r="CI863" s="25">
        <v>2</v>
      </c>
    </row>
    <row r="864" spans="1:87" ht="24.75" customHeight="1">
      <c r="A864" s="36" t="s">
        <v>299</v>
      </c>
      <c r="B864" s="55"/>
      <c r="C864" s="36"/>
      <c r="D864" s="36"/>
      <c r="E864" s="39"/>
      <c r="F864" s="39"/>
      <c r="G864" s="36"/>
      <c r="H864" s="39"/>
      <c r="I864" s="39"/>
      <c r="J864" s="39"/>
      <c r="K864" s="39"/>
      <c r="L864" s="39">
        <f t="shared" si="864"/>
        <v>0</v>
      </c>
      <c r="M864" s="39"/>
      <c r="N864" s="39"/>
      <c r="O864" s="39"/>
      <c r="P864" s="39"/>
      <c r="Q864" s="39"/>
      <c r="R864" s="39">
        <f t="shared" si="865"/>
        <v>0</v>
      </c>
      <c r="S864" s="39"/>
      <c r="T864" s="39"/>
      <c r="U864" s="39"/>
      <c r="V864" s="39"/>
      <c r="W864" s="39"/>
      <c r="X864" s="39"/>
      <c r="Y864" s="39"/>
      <c r="Z864" s="39"/>
      <c r="AA864" s="39"/>
      <c r="AB864" s="39">
        <f t="shared" si="866"/>
        <v>0</v>
      </c>
      <c r="AC864" s="39"/>
      <c r="AD864" s="39"/>
      <c r="AE864" s="39"/>
      <c r="AF864" s="39"/>
      <c r="AG864" s="39"/>
      <c r="AH864" s="39">
        <f t="shared" si="851"/>
        <v>0</v>
      </c>
      <c r="AI864" s="39"/>
      <c r="AJ864" s="39"/>
      <c r="AK864" s="39"/>
      <c r="AL864" s="39"/>
      <c r="AM864" s="39"/>
      <c r="AN864" s="39">
        <f t="shared" si="917"/>
        <v>0</v>
      </c>
      <c r="AO864" s="39"/>
      <c r="AP864" s="39"/>
      <c r="AQ864" s="39"/>
      <c r="AR864" s="39"/>
      <c r="AS864" s="39"/>
      <c r="AT864" s="39">
        <f t="shared" si="891"/>
        <v>0</v>
      </c>
      <c r="AU864" s="39"/>
      <c r="AV864" s="39"/>
      <c r="AW864" s="39"/>
      <c r="AX864" s="39"/>
      <c r="AY864" s="39"/>
      <c r="AZ864" s="39">
        <f t="shared" si="892"/>
        <v>0</v>
      </c>
      <c r="BA864" s="39"/>
      <c r="BB864" s="39"/>
      <c r="BC864" s="39"/>
      <c r="BD864" s="39"/>
      <c r="BE864" s="39"/>
      <c r="BF864" s="39">
        <f t="shared" si="893"/>
        <v>0</v>
      </c>
      <c r="BG864" s="39"/>
      <c r="BH864" s="39"/>
      <c r="BI864" s="39"/>
      <c r="BJ864" s="39"/>
      <c r="BK864" s="39"/>
      <c r="BL864" s="39">
        <f t="shared" si="852"/>
        <v>0</v>
      </c>
      <c r="BM864" s="54" t="e">
        <f t="shared" si="894"/>
        <v>#DIV/0!</v>
      </c>
      <c r="BN864" s="67"/>
      <c r="BO864" s="39"/>
      <c r="BP864" s="39"/>
      <c r="BQ864" s="39"/>
      <c r="BR864" s="40"/>
      <c r="BS864" s="40"/>
      <c r="BT864" s="39"/>
      <c r="BU864" s="39"/>
      <c r="BV864" s="39"/>
      <c r="BW864" s="39"/>
      <c r="BX864" s="39"/>
      <c r="BY864" s="39"/>
      <c r="BZ864" s="39">
        <f t="shared" si="853"/>
        <v>0</v>
      </c>
      <c r="CA864" s="39">
        <f t="shared" si="895"/>
        <v>0</v>
      </c>
      <c r="CB864" s="39">
        <f t="shared" si="896"/>
        <v>0</v>
      </c>
      <c r="CC864" s="39">
        <f t="shared" si="897"/>
        <v>0</v>
      </c>
      <c r="CD864" s="39">
        <f t="shared" si="854"/>
        <v>0</v>
      </c>
      <c r="CE864" s="47" t="e">
        <f t="shared" si="898"/>
        <v>#DIV/0!</v>
      </c>
      <c r="CF864" s="36"/>
      <c r="CG864" s="39"/>
      <c r="CH864" s="39"/>
      <c r="CI864" s="25">
        <v>2</v>
      </c>
    </row>
    <row r="865" spans="1:88" ht="24.75" customHeight="1">
      <c r="A865" s="36" t="s">
        <v>299</v>
      </c>
      <c r="B865" s="55"/>
      <c r="C865" s="36"/>
      <c r="D865" s="36"/>
      <c r="E865" s="39"/>
      <c r="F865" s="39"/>
      <c r="G865" s="36"/>
      <c r="H865" s="39"/>
      <c r="I865" s="39"/>
      <c r="J865" s="39"/>
      <c r="K865" s="39"/>
      <c r="L865" s="39">
        <f t="shared" si="864"/>
        <v>0</v>
      </c>
      <c r="M865" s="39"/>
      <c r="N865" s="39"/>
      <c r="O865" s="39"/>
      <c r="P865" s="39"/>
      <c r="Q865" s="39"/>
      <c r="R865" s="39">
        <f t="shared" si="865"/>
        <v>0</v>
      </c>
      <c r="S865" s="39"/>
      <c r="T865" s="39"/>
      <c r="U865" s="39"/>
      <c r="V865" s="39"/>
      <c r="W865" s="39"/>
      <c r="X865" s="39"/>
      <c r="Y865" s="39"/>
      <c r="Z865" s="39"/>
      <c r="AA865" s="39"/>
      <c r="AB865" s="39">
        <f t="shared" si="866"/>
        <v>0</v>
      </c>
      <c r="AC865" s="39"/>
      <c r="AD865" s="39"/>
      <c r="AE865" s="39"/>
      <c r="AF865" s="39"/>
      <c r="AG865" s="39"/>
      <c r="AH865" s="39">
        <f t="shared" si="851"/>
        <v>0</v>
      </c>
      <c r="AI865" s="39"/>
      <c r="AJ865" s="39"/>
      <c r="AK865" s="39"/>
      <c r="AL865" s="39"/>
      <c r="AM865" s="39"/>
      <c r="AN865" s="39">
        <f t="shared" si="917"/>
        <v>0</v>
      </c>
      <c r="AO865" s="39"/>
      <c r="AP865" s="39"/>
      <c r="AQ865" s="39"/>
      <c r="AR865" s="39"/>
      <c r="AS865" s="39"/>
      <c r="AT865" s="39">
        <f t="shared" si="891"/>
        <v>0</v>
      </c>
      <c r="AU865" s="39"/>
      <c r="AV865" s="39"/>
      <c r="AW865" s="39"/>
      <c r="AX865" s="39"/>
      <c r="AY865" s="39"/>
      <c r="AZ865" s="39">
        <f t="shared" si="892"/>
        <v>0</v>
      </c>
      <c r="BA865" s="39"/>
      <c r="BB865" s="39"/>
      <c r="BC865" s="39"/>
      <c r="BD865" s="39"/>
      <c r="BE865" s="39"/>
      <c r="BF865" s="39">
        <f t="shared" si="893"/>
        <v>0</v>
      </c>
      <c r="BG865" s="39"/>
      <c r="BH865" s="39"/>
      <c r="BI865" s="39"/>
      <c r="BJ865" s="39"/>
      <c r="BK865" s="39"/>
      <c r="BL865" s="39">
        <f t="shared" si="852"/>
        <v>0</v>
      </c>
      <c r="BM865" s="54" t="e">
        <f t="shared" si="894"/>
        <v>#DIV/0!</v>
      </c>
      <c r="BN865" s="67"/>
      <c r="BO865" s="39"/>
      <c r="BP865" s="39"/>
      <c r="BQ865" s="39"/>
      <c r="BR865" s="40"/>
      <c r="BS865" s="40"/>
      <c r="BT865" s="39"/>
      <c r="BU865" s="39"/>
      <c r="BV865" s="39"/>
      <c r="BW865" s="39"/>
      <c r="BX865" s="39"/>
      <c r="BY865" s="39"/>
      <c r="BZ865" s="39">
        <f t="shared" si="853"/>
        <v>0</v>
      </c>
      <c r="CA865" s="39">
        <f t="shared" si="895"/>
        <v>0</v>
      </c>
      <c r="CB865" s="39">
        <f t="shared" si="896"/>
        <v>0</v>
      </c>
      <c r="CC865" s="39">
        <f t="shared" si="897"/>
        <v>0</v>
      </c>
      <c r="CD865" s="39">
        <f t="shared" si="854"/>
        <v>0</v>
      </c>
      <c r="CE865" s="47" t="e">
        <f t="shared" si="898"/>
        <v>#DIV/0!</v>
      </c>
      <c r="CF865" s="36"/>
      <c r="CG865" s="39"/>
      <c r="CH865" s="39"/>
      <c r="CI865" s="25">
        <v>2</v>
      </c>
    </row>
    <row r="866" spans="1:88" ht="24.75" customHeight="1">
      <c r="A866" s="36" t="s">
        <v>299</v>
      </c>
      <c r="B866" s="55"/>
      <c r="C866" s="36"/>
      <c r="D866" s="36"/>
      <c r="E866" s="39"/>
      <c r="F866" s="39"/>
      <c r="G866" s="36"/>
      <c r="H866" s="39"/>
      <c r="I866" s="39"/>
      <c r="J866" s="39"/>
      <c r="K866" s="39"/>
      <c r="L866" s="39">
        <f t="shared" si="864"/>
        <v>0</v>
      </c>
      <c r="M866" s="39"/>
      <c r="N866" s="39"/>
      <c r="O866" s="39"/>
      <c r="P866" s="39"/>
      <c r="Q866" s="39"/>
      <c r="R866" s="39">
        <f t="shared" si="865"/>
        <v>0</v>
      </c>
      <c r="S866" s="39"/>
      <c r="T866" s="39"/>
      <c r="U866" s="39"/>
      <c r="V866" s="39"/>
      <c r="W866" s="39"/>
      <c r="X866" s="39"/>
      <c r="Y866" s="39"/>
      <c r="Z866" s="39"/>
      <c r="AA866" s="39"/>
      <c r="AB866" s="39">
        <f t="shared" si="866"/>
        <v>0</v>
      </c>
      <c r="AC866" s="39"/>
      <c r="AD866" s="39"/>
      <c r="AE866" s="39"/>
      <c r="AF866" s="39"/>
      <c r="AG866" s="39"/>
      <c r="AH866" s="39">
        <f t="shared" si="851"/>
        <v>0</v>
      </c>
      <c r="AI866" s="39"/>
      <c r="AJ866" s="39"/>
      <c r="AK866" s="39"/>
      <c r="AL866" s="39"/>
      <c r="AM866" s="39"/>
      <c r="AN866" s="39">
        <f t="shared" si="917"/>
        <v>0</v>
      </c>
      <c r="AO866" s="39"/>
      <c r="AP866" s="39"/>
      <c r="AQ866" s="39"/>
      <c r="AR866" s="39"/>
      <c r="AS866" s="39"/>
      <c r="AT866" s="39">
        <f t="shared" si="891"/>
        <v>0</v>
      </c>
      <c r="AU866" s="39"/>
      <c r="AV866" s="39"/>
      <c r="AW866" s="39"/>
      <c r="AX866" s="39"/>
      <c r="AY866" s="39"/>
      <c r="AZ866" s="39">
        <f t="shared" si="892"/>
        <v>0</v>
      </c>
      <c r="BA866" s="39"/>
      <c r="BB866" s="39"/>
      <c r="BC866" s="39"/>
      <c r="BD866" s="39"/>
      <c r="BE866" s="39"/>
      <c r="BF866" s="39">
        <f t="shared" si="893"/>
        <v>0</v>
      </c>
      <c r="BG866" s="39"/>
      <c r="BH866" s="39"/>
      <c r="BI866" s="39"/>
      <c r="BJ866" s="39"/>
      <c r="BK866" s="39"/>
      <c r="BL866" s="39">
        <f t="shared" si="852"/>
        <v>0</v>
      </c>
      <c r="BM866" s="54" t="e">
        <f t="shared" si="894"/>
        <v>#DIV/0!</v>
      </c>
      <c r="BN866" s="67"/>
      <c r="BO866" s="39"/>
      <c r="BP866" s="39"/>
      <c r="BQ866" s="39"/>
      <c r="BR866" s="40"/>
      <c r="BS866" s="40"/>
      <c r="BT866" s="39"/>
      <c r="BU866" s="39"/>
      <c r="BV866" s="39"/>
      <c r="BW866" s="39"/>
      <c r="BX866" s="39"/>
      <c r="BY866" s="39"/>
      <c r="BZ866" s="39">
        <f t="shared" si="853"/>
        <v>0</v>
      </c>
      <c r="CA866" s="39">
        <f t="shared" si="895"/>
        <v>0</v>
      </c>
      <c r="CB866" s="39">
        <f t="shared" si="896"/>
        <v>0</v>
      </c>
      <c r="CC866" s="39">
        <f t="shared" si="897"/>
        <v>0</v>
      </c>
      <c r="CD866" s="39">
        <f t="shared" si="854"/>
        <v>0</v>
      </c>
      <c r="CE866" s="47" t="e">
        <f t="shared" si="898"/>
        <v>#DIV/0!</v>
      </c>
      <c r="CF866" s="36"/>
      <c r="CG866" s="39"/>
      <c r="CH866" s="39"/>
      <c r="CI866" s="25">
        <v>2</v>
      </c>
    </row>
    <row r="867" spans="1:88" ht="24.75" customHeight="1">
      <c r="A867" s="36" t="s">
        <v>299</v>
      </c>
      <c r="B867" s="55"/>
      <c r="C867" s="36"/>
      <c r="D867" s="36"/>
      <c r="E867" s="39"/>
      <c r="F867" s="39"/>
      <c r="G867" s="36"/>
      <c r="H867" s="39"/>
      <c r="I867" s="39"/>
      <c r="J867" s="39"/>
      <c r="K867" s="39"/>
      <c r="L867" s="39">
        <f t="shared" si="864"/>
        <v>0</v>
      </c>
      <c r="M867" s="39"/>
      <c r="N867" s="39"/>
      <c r="O867" s="39"/>
      <c r="P867" s="39"/>
      <c r="Q867" s="39"/>
      <c r="R867" s="39">
        <f t="shared" si="865"/>
        <v>0</v>
      </c>
      <c r="S867" s="39"/>
      <c r="T867" s="39"/>
      <c r="U867" s="39"/>
      <c r="V867" s="39"/>
      <c r="W867" s="39"/>
      <c r="X867" s="39"/>
      <c r="Y867" s="39"/>
      <c r="Z867" s="39"/>
      <c r="AA867" s="39"/>
      <c r="AB867" s="39">
        <f t="shared" si="866"/>
        <v>0</v>
      </c>
      <c r="AC867" s="39"/>
      <c r="AD867" s="39"/>
      <c r="AE867" s="39"/>
      <c r="AF867" s="39"/>
      <c r="AG867" s="39"/>
      <c r="AH867" s="39">
        <f t="shared" si="851"/>
        <v>0</v>
      </c>
      <c r="AI867" s="39"/>
      <c r="AJ867" s="39"/>
      <c r="AK867" s="39"/>
      <c r="AL867" s="39"/>
      <c r="AM867" s="39"/>
      <c r="AN867" s="39">
        <f t="shared" si="917"/>
        <v>0</v>
      </c>
      <c r="AO867" s="39"/>
      <c r="AP867" s="39"/>
      <c r="AQ867" s="39"/>
      <c r="AR867" s="39"/>
      <c r="AS867" s="39"/>
      <c r="AT867" s="39">
        <f t="shared" si="891"/>
        <v>0</v>
      </c>
      <c r="AU867" s="39"/>
      <c r="AV867" s="39"/>
      <c r="AW867" s="39"/>
      <c r="AX867" s="39"/>
      <c r="AY867" s="39"/>
      <c r="AZ867" s="39">
        <f t="shared" si="892"/>
        <v>0</v>
      </c>
      <c r="BA867" s="39"/>
      <c r="BB867" s="39"/>
      <c r="BC867" s="39"/>
      <c r="BD867" s="39"/>
      <c r="BE867" s="39"/>
      <c r="BF867" s="39">
        <f t="shared" si="893"/>
        <v>0</v>
      </c>
      <c r="BG867" s="39"/>
      <c r="BH867" s="39"/>
      <c r="BI867" s="39"/>
      <c r="BJ867" s="39"/>
      <c r="BK867" s="39"/>
      <c r="BL867" s="39">
        <f t="shared" si="852"/>
        <v>0</v>
      </c>
      <c r="BM867" s="54" t="e">
        <f t="shared" si="894"/>
        <v>#DIV/0!</v>
      </c>
      <c r="BN867" s="63"/>
      <c r="BO867" s="39"/>
      <c r="BP867" s="39"/>
      <c r="BQ867" s="39"/>
      <c r="BR867" s="40"/>
      <c r="BS867" s="40"/>
      <c r="BT867" s="39"/>
      <c r="BU867" s="39"/>
      <c r="BV867" s="39"/>
      <c r="BW867" s="39"/>
      <c r="BX867" s="39"/>
      <c r="BY867" s="39"/>
      <c r="BZ867" s="39">
        <f t="shared" si="853"/>
        <v>0</v>
      </c>
      <c r="CA867" s="39">
        <f t="shared" si="895"/>
        <v>0</v>
      </c>
      <c r="CB867" s="39">
        <f t="shared" si="896"/>
        <v>0</v>
      </c>
      <c r="CC867" s="39">
        <f t="shared" si="897"/>
        <v>0</v>
      </c>
      <c r="CD867" s="39">
        <f t="shared" si="854"/>
        <v>0</v>
      </c>
      <c r="CE867" s="47" t="e">
        <f t="shared" si="898"/>
        <v>#DIV/0!</v>
      </c>
      <c r="CF867" s="36"/>
      <c r="CG867" s="39"/>
      <c r="CH867" s="39"/>
      <c r="CI867" s="25">
        <v>3</v>
      </c>
    </row>
    <row r="868" spans="1:88" ht="24.75" customHeight="1">
      <c r="A868" s="36" t="s">
        <v>299</v>
      </c>
      <c r="B868" s="55"/>
      <c r="C868" s="36"/>
      <c r="D868" s="36"/>
      <c r="E868" s="39"/>
      <c r="F868" s="39"/>
      <c r="G868" s="36"/>
      <c r="H868" s="39"/>
      <c r="I868" s="39"/>
      <c r="J868" s="39"/>
      <c r="K868" s="39"/>
      <c r="L868" s="39">
        <f t="shared" si="864"/>
        <v>0</v>
      </c>
      <c r="M868" s="39"/>
      <c r="N868" s="39"/>
      <c r="O868" s="39"/>
      <c r="P868" s="39"/>
      <c r="Q868" s="39"/>
      <c r="R868" s="39">
        <f t="shared" si="865"/>
        <v>0</v>
      </c>
      <c r="S868" s="39"/>
      <c r="T868" s="39"/>
      <c r="U868" s="39"/>
      <c r="V868" s="39"/>
      <c r="W868" s="39"/>
      <c r="X868" s="39"/>
      <c r="Y868" s="39"/>
      <c r="Z868" s="39"/>
      <c r="AA868" s="39"/>
      <c r="AB868" s="39">
        <f t="shared" si="866"/>
        <v>0</v>
      </c>
      <c r="AC868" s="39"/>
      <c r="AD868" s="39"/>
      <c r="AE868" s="39"/>
      <c r="AF868" s="39"/>
      <c r="AG868" s="39"/>
      <c r="AH868" s="39">
        <f t="shared" si="851"/>
        <v>0</v>
      </c>
      <c r="AI868" s="39"/>
      <c r="AJ868" s="39"/>
      <c r="AK868" s="39"/>
      <c r="AL868" s="39"/>
      <c r="AM868" s="39"/>
      <c r="AN868" s="39">
        <f t="shared" si="917"/>
        <v>0</v>
      </c>
      <c r="AO868" s="39"/>
      <c r="AP868" s="39"/>
      <c r="AQ868" s="39"/>
      <c r="AR868" s="39"/>
      <c r="AS868" s="39"/>
      <c r="AT868" s="39">
        <f t="shared" si="891"/>
        <v>0</v>
      </c>
      <c r="AU868" s="39"/>
      <c r="AV868" s="39"/>
      <c r="AW868" s="39"/>
      <c r="AX868" s="39"/>
      <c r="AY868" s="39"/>
      <c r="AZ868" s="39">
        <f t="shared" si="892"/>
        <v>0</v>
      </c>
      <c r="BA868" s="39"/>
      <c r="BB868" s="39"/>
      <c r="BC868" s="39"/>
      <c r="BD868" s="39"/>
      <c r="BE868" s="39"/>
      <c r="BF868" s="39">
        <f t="shared" si="893"/>
        <v>0</v>
      </c>
      <c r="BG868" s="39"/>
      <c r="BH868" s="39"/>
      <c r="BI868" s="39"/>
      <c r="BJ868" s="39"/>
      <c r="BK868" s="39"/>
      <c r="BL868" s="39">
        <f t="shared" si="852"/>
        <v>0</v>
      </c>
      <c r="BM868" s="54" t="e">
        <f t="shared" si="894"/>
        <v>#DIV/0!</v>
      </c>
      <c r="BN868" s="63"/>
      <c r="BO868" s="39"/>
      <c r="BP868" s="39"/>
      <c r="BQ868" s="39"/>
      <c r="BR868" s="40"/>
      <c r="BS868" s="40"/>
      <c r="BT868" s="39"/>
      <c r="BU868" s="39"/>
      <c r="BV868" s="39"/>
      <c r="BW868" s="39"/>
      <c r="BX868" s="39"/>
      <c r="BY868" s="39"/>
      <c r="BZ868" s="39">
        <f t="shared" si="853"/>
        <v>0</v>
      </c>
      <c r="CA868" s="39">
        <f t="shared" si="895"/>
        <v>0</v>
      </c>
      <c r="CB868" s="39">
        <f t="shared" si="896"/>
        <v>0</v>
      </c>
      <c r="CC868" s="39">
        <f t="shared" si="897"/>
        <v>0</v>
      </c>
      <c r="CD868" s="39">
        <f t="shared" si="854"/>
        <v>0</v>
      </c>
      <c r="CE868" s="47" t="e">
        <f t="shared" si="898"/>
        <v>#DIV/0!</v>
      </c>
      <c r="CF868" s="36"/>
      <c r="CG868" s="39"/>
      <c r="CH868" s="39"/>
      <c r="CI868" s="25">
        <v>3</v>
      </c>
    </row>
    <row r="869" spans="1:88" ht="24.75" customHeight="1">
      <c r="A869" s="36" t="s">
        <v>299</v>
      </c>
      <c r="B869" s="55"/>
      <c r="C869" s="36"/>
      <c r="D869" s="36"/>
      <c r="E869" s="39"/>
      <c r="F869" s="39"/>
      <c r="G869" s="36"/>
      <c r="H869" s="39"/>
      <c r="I869" s="39"/>
      <c r="J869" s="39"/>
      <c r="K869" s="39"/>
      <c r="L869" s="39">
        <f t="shared" si="864"/>
        <v>0</v>
      </c>
      <c r="M869" s="39"/>
      <c r="N869" s="39"/>
      <c r="O869" s="39"/>
      <c r="P869" s="39"/>
      <c r="Q869" s="39"/>
      <c r="R869" s="39">
        <f t="shared" si="865"/>
        <v>0</v>
      </c>
      <c r="S869" s="39"/>
      <c r="T869" s="39"/>
      <c r="U869" s="39"/>
      <c r="V869" s="39"/>
      <c r="W869" s="39"/>
      <c r="X869" s="39"/>
      <c r="Y869" s="39"/>
      <c r="Z869" s="39"/>
      <c r="AA869" s="39"/>
      <c r="AB869" s="39">
        <f t="shared" si="866"/>
        <v>0</v>
      </c>
      <c r="AC869" s="39"/>
      <c r="AD869" s="39"/>
      <c r="AE869" s="39"/>
      <c r="AF869" s="39"/>
      <c r="AG869" s="39"/>
      <c r="AH869" s="39">
        <f t="shared" si="851"/>
        <v>0</v>
      </c>
      <c r="AI869" s="39"/>
      <c r="AJ869" s="39"/>
      <c r="AK869" s="39"/>
      <c r="AL869" s="39"/>
      <c r="AM869" s="39"/>
      <c r="AN869" s="39">
        <f t="shared" si="917"/>
        <v>0</v>
      </c>
      <c r="AO869" s="39"/>
      <c r="AP869" s="39"/>
      <c r="AQ869" s="39"/>
      <c r="AR869" s="39"/>
      <c r="AS869" s="39"/>
      <c r="AT869" s="39">
        <f t="shared" si="891"/>
        <v>0</v>
      </c>
      <c r="AU869" s="39"/>
      <c r="AV869" s="39"/>
      <c r="AW869" s="39"/>
      <c r="AX869" s="39"/>
      <c r="AY869" s="39"/>
      <c r="AZ869" s="39">
        <f t="shared" si="892"/>
        <v>0</v>
      </c>
      <c r="BA869" s="39"/>
      <c r="BB869" s="39"/>
      <c r="BC869" s="39"/>
      <c r="BD869" s="39"/>
      <c r="BE869" s="39"/>
      <c r="BF869" s="39">
        <f t="shared" si="893"/>
        <v>0</v>
      </c>
      <c r="BG869" s="39"/>
      <c r="BH869" s="39"/>
      <c r="BI869" s="39"/>
      <c r="BJ869" s="39"/>
      <c r="BK869" s="39"/>
      <c r="BL869" s="39">
        <f t="shared" si="852"/>
        <v>0</v>
      </c>
      <c r="BM869" s="54" t="e">
        <f t="shared" si="894"/>
        <v>#DIV/0!</v>
      </c>
      <c r="BN869" s="63"/>
      <c r="BO869" s="39"/>
      <c r="BP869" s="39"/>
      <c r="BQ869" s="39"/>
      <c r="BR869" s="40"/>
      <c r="BS869" s="40"/>
      <c r="BT869" s="39"/>
      <c r="BU869" s="39"/>
      <c r="BV869" s="39"/>
      <c r="BW869" s="39"/>
      <c r="BX869" s="39"/>
      <c r="BY869" s="39"/>
      <c r="BZ869" s="39">
        <f t="shared" si="853"/>
        <v>0</v>
      </c>
      <c r="CA869" s="39">
        <f t="shared" si="895"/>
        <v>0</v>
      </c>
      <c r="CB869" s="39">
        <f t="shared" si="896"/>
        <v>0</v>
      </c>
      <c r="CC869" s="39">
        <f t="shared" si="897"/>
        <v>0</v>
      </c>
      <c r="CD869" s="39">
        <f t="shared" si="854"/>
        <v>0</v>
      </c>
      <c r="CE869" s="47" t="e">
        <f t="shared" si="898"/>
        <v>#DIV/0!</v>
      </c>
      <c r="CF869" s="36"/>
      <c r="CG869" s="39"/>
      <c r="CH869" s="39"/>
      <c r="CI869" s="25">
        <v>3</v>
      </c>
    </row>
    <row r="870" spans="1:88" ht="24.75" customHeight="1">
      <c r="A870" s="36" t="s">
        <v>299</v>
      </c>
      <c r="B870" s="55"/>
      <c r="C870" s="36"/>
      <c r="D870" s="36"/>
      <c r="E870" s="39"/>
      <c r="F870" s="39"/>
      <c r="G870" s="36"/>
      <c r="H870" s="39"/>
      <c r="I870" s="39"/>
      <c r="J870" s="39"/>
      <c r="K870" s="39"/>
      <c r="L870" s="39">
        <f t="shared" si="864"/>
        <v>0</v>
      </c>
      <c r="M870" s="39"/>
      <c r="N870" s="39"/>
      <c r="O870" s="39"/>
      <c r="P870" s="39"/>
      <c r="Q870" s="39"/>
      <c r="R870" s="39">
        <f t="shared" si="865"/>
        <v>0</v>
      </c>
      <c r="S870" s="39"/>
      <c r="T870" s="39"/>
      <c r="U870" s="39"/>
      <c r="V870" s="39"/>
      <c r="W870" s="39"/>
      <c r="X870" s="39"/>
      <c r="Y870" s="39"/>
      <c r="Z870" s="39"/>
      <c r="AA870" s="39"/>
      <c r="AB870" s="39">
        <f t="shared" si="866"/>
        <v>0</v>
      </c>
      <c r="AC870" s="39"/>
      <c r="AD870" s="39"/>
      <c r="AE870" s="39"/>
      <c r="AF870" s="39"/>
      <c r="AG870" s="39"/>
      <c r="AH870" s="39">
        <f t="shared" ref="AH870:AH1078" si="918">AG870-AE870</f>
        <v>0</v>
      </c>
      <c r="AI870" s="39"/>
      <c r="AJ870" s="39"/>
      <c r="AK870" s="39"/>
      <c r="AL870" s="39"/>
      <c r="AM870" s="39"/>
      <c r="AN870" s="39">
        <f t="shared" si="917"/>
        <v>0</v>
      </c>
      <c r="AO870" s="39"/>
      <c r="AP870" s="39"/>
      <c r="AQ870" s="39"/>
      <c r="AR870" s="39"/>
      <c r="AS870" s="39"/>
      <c r="AT870" s="39">
        <f t="shared" si="891"/>
        <v>0</v>
      </c>
      <c r="AU870" s="39"/>
      <c r="AV870" s="39"/>
      <c r="AW870" s="39"/>
      <c r="AX870" s="39"/>
      <c r="AY870" s="39"/>
      <c r="AZ870" s="39">
        <f t="shared" si="892"/>
        <v>0</v>
      </c>
      <c r="BA870" s="39"/>
      <c r="BB870" s="39"/>
      <c r="BC870" s="39"/>
      <c r="BD870" s="39"/>
      <c r="BE870" s="39"/>
      <c r="BF870" s="39">
        <f t="shared" si="893"/>
        <v>0</v>
      </c>
      <c r="BG870" s="39"/>
      <c r="BH870" s="39"/>
      <c r="BI870" s="39"/>
      <c r="BJ870" s="39"/>
      <c r="BK870" s="39"/>
      <c r="BL870" s="39">
        <f t="shared" ref="BL870:BL1078" si="919">BK870-BI870</f>
        <v>0</v>
      </c>
      <c r="BM870" s="54" t="e">
        <f t="shared" si="894"/>
        <v>#DIV/0!</v>
      </c>
      <c r="BN870" s="63"/>
      <c r="BO870" s="39"/>
      <c r="BP870" s="39"/>
      <c r="BQ870" s="39"/>
      <c r="BR870" s="40"/>
      <c r="BS870" s="40"/>
      <c r="BT870" s="39"/>
      <c r="BU870" s="39"/>
      <c r="BV870" s="39"/>
      <c r="BW870" s="39"/>
      <c r="BX870" s="39"/>
      <c r="BY870" s="39"/>
      <c r="BZ870" s="39">
        <f t="shared" ref="BZ870:BZ1078" si="920">BU870+BW870+BY870</f>
        <v>0</v>
      </c>
      <c r="CA870" s="39">
        <f t="shared" si="895"/>
        <v>0</v>
      </c>
      <c r="CB870" s="39">
        <f t="shared" si="896"/>
        <v>0</v>
      </c>
      <c r="CC870" s="39">
        <f t="shared" si="897"/>
        <v>0</v>
      </c>
      <c r="CD870" s="39">
        <f t="shared" ref="CD870:CD1078" si="921">SUMIF(CA870:CC870,"&lt;0")</f>
        <v>0</v>
      </c>
      <c r="CE870" s="47" t="e">
        <f t="shared" si="898"/>
        <v>#DIV/0!</v>
      </c>
      <c r="CF870" s="36"/>
      <c r="CG870" s="39"/>
      <c r="CH870" s="39"/>
      <c r="CI870" s="25">
        <v>3</v>
      </c>
    </row>
    <row r="871" spans="1:88" ht="24.75" customHeight="1">
      <c r="A871" s="36" t="s">
        <v>299</v>
      </c>
      <c r="B871" s="55"/>
      <c r="C871" s="36"/>
      <c r="D871" s="36"/>
      <c r="E871" s="39"/>
      <c r="F871" s="39"/>
      <c r="G871" s="36"/>
      <c r="H871" s="39"/>
      <c r="I871" s="39"/>
      <c r="J871" s="39"/>
      <c r="K871" s="39"/>
      <c r="L871" s="39">
        <f t="shared" si="864"/>
        <v>0</v>
      </c>
      <c r="M871" s="39"/>
      <c r="N871" s="39"/>
      <c r="O871" s="39"/>
      <c r="P871" s="39"/>
      <c r="Q871" s="39"/>
      <c r="R871" s="39">
        <f t="shared" si="865"/>
        <v>0</v>
      </c>
      <c r="S871" s="39"/>
      <c r="T871" s="39"/>
      <c r="U871" s="39"/>
      <c r="V871" s="39"/>
      <c r="W871" s="39"/>
      <c r="X871" s="39"/>
      <c r="Y871" s="39"/>
      <c r="Z871" s="39"/>
      <c r="AA871" s="39"/>
      <c r="AB871" s="39">
        <f t="shared" si="866"/>
        <v>0</v>
      </c>
      <c r="AC871" s="39"/>
      <c r="AD871" s="39"/>
      <c r="AE871" s="39"/>
      <c r="AF871" s="39"/>
      <c r="AG871" s="39"/>
      <c r="AH871" s="39">
        <f t="shared" si="918"/>
        <v>0</v>
      </c>
      <c r="AI871" s="39"/>
      <c r="AJ871" s="39"/>
      <c r="AK871" s="39"/>
      <c r="AL871" s="39"/>
      <c r="AM871" s="39"/>
      <c r="AN871" s="39">
        <f t="shared" si="917"/>
        <v>0</v>
      </c>
      <c r="AO871" s="39"/>
      <c r="AP871" s="39"/>
      <c r="AQ871" s="39"/>
      <c r="AR871" s="39"/>
      <c r="AS871" s="39"/>
      <c r="AT871" s="39">
        <f t="shared" si="891"/>
        <v>0</v>
      </c>
      <c r="AU871" s="39"/>
      <c r="AV871" s="39"/>
      <c r="AW871" s="39"/>
      <c r="AX871" s="39"/>
      <c r="AY871" s="39"/>
      <c r="AZ871" s="39">
        <f t="shared" si="892"/>
        <v>0</v>
      </c>
      <c r="BA871" s="39"/>
      <c r="BB871" s="39"/>
      <c r="BC871" s="39"/>
      <c r="BD871" s="39"/>
      <c r="BE871" s="39"/>
      <c r="BF871" s="39">
        <f t="shared" si="893"/>
        <v>0</v>
      </c>
      <c r="BG871" s="39"/>
      <c r="BH871" s="39"/>
      <c r="BI871" s="39"/>
      <c r="BJ871" s="39"/>
      <c r="BK871" s="39"/>
      <c r="BL871" s="39">
        <f t="shared" si="919"/>
        <v>0</v>
      </c>
      <c r="BM871" s="54" t="e">
        <f t="shared" si="894"/>
        <v>#DIV/0!</v>
      </c>
      <c r="BN871" s="63"/>
      <c r="BO871" s="39"/>
      <c r="BP871" s="39"/>
      <c r="BQ871" s="39"/>
      <c r="BR871" s="40"/>
      <c r="BS871" s="40"/>
      <c r="BT871" s="39"/>
      <c r="BU871" s="39"/>
      <c r="BV871" s="39"/>
      <c r="BW871" s="39"/>
      <c r="BX871" s="39"/>
      <c r="BY871" s="39"/>
      <c r="BZ871" s="39">
        <f t="shared" si="920"/>
        <v>0</v>
      </c>
      <c r="CA871" s="39">
        <f t="shared" si="895"/>
        <v>0</v>
      </c>
      <c r="CB871" s="39">
        <f t="shared" si="896"/>
        <v>0</v>
      </c>
      <c r="CC871" s="39">
        <f t="shared" si="897"/>
        <v>0</v>
      </c>
      <c r="CD871" s="39">
        <f t="shared" si="921"/>
        <v>0</v>
      </c>
      <c r="CE871" s="47" t="e">
        <f t="shared" si="898"/>
        <v>#DIV/0!</v>
      </c>
      <c r="CF871" s="36"/>
      <c r="CG871" s="39"/>
      <c r="CH871" s="39"/>
      <c r="CI871" s="25">
        <v>3</v>
      </c>
    </row>
    <row r="872" spans="1:88" ht="24.75" customHeight="1">
      <c r="A872" s="36" t="s">
        <v>20</v>
      </c>
      <c r="B872" s="29" t="s">
        <v>575</v>
      </c>
      <c r="C872" s="227" t="s">
        <v>468</v>
      </c>
      <c r="D872" s="36"/>
      <c r="E872" s="39">
        <v>200</v>
      </c>
      <c r="F872" s="39" t="s">
        <v>60</v>
      </c>
      <c r="G872" s="36" t="s">
        <v>361</v>
      </c>
      <c r="H872" s="39" t="s">
        <v>91</v>
      </c>
      <c r="I872" s="39">
        <v>360</v>
      </c>
      <c r="J872" s="39"/>
      <c r="K872" s="39"/>
      <c r="L872" s="39">
        <f t="shared" si="864"/>
        <v>360</v>
      </c>
      <c r="M872" s="57">
        <v>46152</v>
      </c>
      <c r="N872" s="57">
        <v>46162</v>
      </c>
      <c r="O872" s="39"/>
      <c r="P872" s="39"/>
      <c r="Q872" s="39"/>
      <c r="R872" s="39">
        <f t="shared" ref="R872" si="922">SUM(O872:Q872)</f>
        <v>0</v>
      </c>
      <c r="S872" s="39" t="s">
        <v>270</v>
      </c>
      <c r="T872" s="39"/>
      <c r="U872" s="39"/>
      <c r="V872" s="117">
        <v>46163</v>
      </c>
      <c r="W872" s="39">
        <v>404</v>
      </c>
      <c r="X872" s="117">
        <v>46198</v>
      </c>
      <c r="Y872" s="39">
        <v>366</v>
      </c>
      <c r="Z872" s="39"/>
      <c r="AA872" s="39"/>
      <c r="AB872" s="119">
        <f t="shared" si="866"/>
        <v>366</v>
      </c>
      <c r="AC872" s="39"/>
      <c r="AD872" s="39"/>
      <c r="AE872" s="39"/>
      <c r="AF872" s="39"/>
      <c r="AG872" s="39"/>
      <c r="AH872" s="39">
        <f t="shared" si="918"/>
        <v>0</v>
      </c>
      <c r="AI872" s="39"/>
      <c r="AJ872" s="39"/>
      <c r="AK872" s="39"/>
      <c r="AL872" s="39"/>
      <c r="AM872" s="39"/>
      <c r="AN872" s="39">
        <f t="shared" si="917"/>
        <v>0</v>
      </c>
      <c r="AO872" s="39"/>
      <c r="AP872" s="39"/>
      <c r="AQ872" s="39"/>
      <c r="AR872" s="39"/>
      <c r="AS872" s="39"/>
      <c r="AT872" s="39">
        <f t="shared" si="891"/>
        <v>0</v>
      </c>
      <c r="AU872" s="39"/>
      <c r="AV872" s="39"/>
      <c r="AW872" s="39"/>
      <c r="AX872" s="39"/>
      <c r="AY872" s="39"/>
      <c r="AZ872" s="39">
        <f t="shared" si="892"/>
        <v>0</v>
      </c>
      <c r="BA872" s="39"/>
      <c r="BB872" s="39"/>
      <c r="BC872" s="39"/>
      <c r="BD872" s="39"/>
      <c r="BE872" s="39"/>
      <c r="BF872" s="39">
        <f t="shared" si="893"/>
        <v>0</v>
      </c>
      <c r="BG872" s="39"/>
      <c r="BH872" s="39"/>
      <c r="BI872" s="39"/>
      <c r="BJ872" s="39"/>
      <c r="BK872" s="39"/>
      <c r="BL872" s="39">
        <f t="shared" si="919"/>
        <v>0</v>
      </c>
      <c r="BM872" s="54" t="str">
        <f t="shared" si="894"/>
        <v/>
      </c>
      <c r="BN872" s="58">
        <v>46179</v>
      </c>
      <c r="BO872" s="117">
        <v>46189</v>
      </c>
      <c r="BP872" s="39"/>
      <c r="BQ872" s="39"/>
      <c r="BR872" s="229">
        <v>46199</v>
      </c>
      <c r="BS872" s="229">
        <v>46207</v>
      </c>
      <c r="BT872" s="39">
        <v>1511</v>
      </c>
      <c r="BU872" s="39">
        <v>366</v>
      </c>
      <c r="BV872" s="39"/>
      <c r="BW872" s="39"/>
      <c r="BX872" s="39"/>
      <c r="BY872" s="39"/>
      <c r="BZ872" s="39">
        <f t="shared" si="920"/>
        <v>366</v>
      </c>
      <c r="CA872" s="39">
        <f t="shared" si="895"/>
        <v>6</v>
      </c>
      <c r="CB872" s="39">
        <f t="shared" si="896"/>
        <v>0</v>
      </c>
      <c r="CC872" s="39">
        <f t="shared" si="897"/>
        <v>0</v>
      </c>
      <c r="CD872" s="39">
        <f t="shared" si="921"/>
        <v>0</v>
      </c>
      <c r="CE872" s="102">
        <f t="shared" si="898"/>
        <v>0</v>
      </c>
      <c r="CF872" s="36"/>
      <c r="CG872" s="39" t="s">
        <v>232</v>
      </c>
      <c r="CH872" s="39"/>
      <c r="CI872" s="25">
        <v>1</v>
      </c>
      <c r="CJ872" s="16"/>
    </row>
    <row r="873" spans="1:88" ht="24.75" customHeight="1">
      <c r="A873" s="36" t="s">
        <v>20</v>
      </c>
      <c r="B873" s="29" t="s">
        <v>575</v>
      </c>
      <c r="C873" s="228"/>
      <c r="D873" s="36"/>
      <c r="E873" s="39">
        <v>200</v>
      </c>
      <c r="F873" s="39" t="s">
        <v>60</v>
      </c>
      <c r="G873" s="36" t="s">
        <v>187</v>
      </c>
      <c r="H873" s="39" t="s">
        <v>91</v>
      </c>
      <c r="I873" s="39">
        <v>360</v>
      </c>
      <c r="J873" s="39"/>
      <c r="K873" s="39"/>
      <c r="L873" s="39">
        <f t="shared" si="864"/>
        <v>360</v>
      </c>
      <c r="M873" s="57">
        <v>46152</v>
      </c>
      <c r="N873" s="57">
        <v>46162</v>
      </c>
      <c r="O873" s="39"/>
      <c r="P873" s="39"/>
      <c r="Q873" s="39"/>
      <c r="R873" s="39">
        <f t="shared" ref="R873" si="923">SUM(O873:Q873)</f>
        <v>0</v>
      </c>
      <c r="S873" s="39" t="s">
        <v>130</v>
      </c>
      <c r="T873" s="39">
        <v>107332</v>
      </c>
      <c r="U873" s="117">
        <v>46203</v>
      </c>
      <c r="V873" s="39"/>
      <c r="W873" s="39"/>
      <c r="X873" s="39"/>
      <c r="Y873" s="39">
        <v>402</v>
      </c>
      <c r="Z873" s="39"/>
      <c r="AA873" s="39"/>
      <c r="AB873" s="119">
        <f t="shared" si="866"/>
        <v>402</v>
      </c>
      <c r="AC873" s="39"/>
      <c r="AD873" s="39"/>
      <c r="AE873" s="39"/>
      <c r="AF873" s="39"/>
      <c r="AG873" s="39"/>
      <c r="AH873" s="39">
        <f t="shared" si="918"/>
        <v>0</v>
      </c>
      <c r="AI873" s="39"/>
      <c r="AJ873" s="39"/>
      <c r="AK873" s="39"/>
      <c r="AL873" s="39"/>
      <c r="AM873" s="39"/>
      <c r="AN873" s="39">
        <f t="shared" si="917"/>
        <v>0</v>
      </c>
      <c r="AO873" s="39"/>
      <c r="AP873" s="39"/>
      <c r="AQ873" s="39"/>
      <c r="AR873" s="39"/>
      <c r="AS873" s="39"/>
      <c r="AT873" s="39">
        <f t="shared" si="891"/>
        <v>0</v>
      </c>
      <c r="AU873" s="39"/>
      <c r="AV873" s="39"/>
      <c r="AW873" s="39"/>
      <c r="AX873" s="39"/>
      <c r="AY873" s="39"/>
      <c r="AZ873" s="39">
        <f t="shared" si="892"/>
        <v>0</v>
      </c>
      <c r="BA873" s="39"/>
      <c r="BB873" s="39"/>
      <c r="BC873" s="39"/>
      <c r="BD873" s="39"/>
      <c r="BE873" s="39"/>
      <c r="BF873" s="39">
        <f t="shared" si="893"/>
        <v>0</v>
      </c>
      <c r="BG873" s="39"/>
      <c r="BH873" s="39"/>
      <c r="BI873" s="39"/>
      <c r="BJ873" s="39"/>
      <c r="BK873" s="39"/>
      <c r="BL873" s="39">
        <f t="shared" si="919"/>
        <v>0</v>
      </c>
      <c r="BM873" s="54" t="str">
        <f t="shared" si="894"/>
        <v/>
      </c>
      <c r="BN873" s="58">
        <v>46179</v>
      </c>
      <c r="BO873" s="117">
        <v>46189</v>
      </c>
      <c r="BP873" s="39"/>
      <c r="BQ873" s="39"/>
      <c r="BR873" s="230"/>
      <c r="BS873" s="230"/>
      <c r="BT873" s="39">
        <v>2012</v>
      </c>
      <c r="BU873" s="39">
        <f>351</f>
        <v>351</v>
      </c>
      <c r="BV873" s="39"/>
      <c r="BW873" s="39"/>
      <c r="BX873" s="39"/>
      <c r="BY873" s="39"/>
      <c r="BZ873" s="39">
        <f t="shared" si="920"/>
        <v>351</v>
      </c>
      <c r="CA873" s="39">
        <f t="shared" si="895"/>
        <v>-9</v>
      </c>
      <c r="CB873" s="39">
        <f t="shared" si="896"/>
        <v>0</v>
      </c>
      <c r="CC873" s="39">
        <f t="shared" si="897"/>
        <v>0</v>
      </c>
      <c r="CD873" s="39">
        <v>0</v>
      </c>
      <c r="CE873" s="102">
        <f t="shared" si="898"/>
        <v>0</v>
      </c>
      <c r="CF873" s="36"/>
      <c r="CG873" s="39" t="s">
        <v>232</v>
      </c>
      <c r="CH873" s="39"/>
      <c r="CI873" s="25">
        <v>1</v>
      </c>
    </row>
    <row r="874" spans="1:88" ht="24.75" customHeight="1">
      <c r="A874" s="36" t="s">
        <v>20</v>
      </c>
      <c r="B874" s="29"/>
      <c r="C874" s="36"/>
      <c r="D874" s="36"/>
      <c r="E874" s="39"/>
      <c r="F874" s="39"/>
      <c r="G874" s="36"/>
      <c r="H874" s="39"/>
      <c r="I874" s="39"/>
      <c r="J874" s="39"/>
      <c r="K874" s="39"/>
      <c r="L874" s="39">
        <f t="shared" si="864"/>
        <v>0</v>
      </c>
      <c r="M874" s="36"/>
      <c r="N874" s="36"/>
      <c r="O874" s="39"/>
      <c r="P874" s="39"/>
      <c r="Q874" s="39"/>
      <c r="R874" s="39">
        <f t="shared" si="865"/>
        <v>0</v>
      </c>
      <c r="S874" s="39"/>
      <c r="T874" s="39"/>
      <c r="U874" s="39"/>
      <c r="V874" s="39"/>
      <c r="W874" s="39"/>
      <c r="X874" s="39"/>
      <c r="Y874" s="39"/>
      <c r="Z874" s="39"/>
      <c r="AA874" s="39"/>
      <c r="AB874" s="39">
        <f t="shared" si="866"/>
        <v>0</v>
      </c>
      <c r="AC874" s="39"/>
      <c r="AD874" s="39"/>
      <c r="AE874" s="39"/>
      <c r="AF874" s="39"/>
      <c r="AG874" s="39"/>
      <c r="AH874" s="39">
        <f t="shared" si="918"/>
        <v>0</v>
      </c>
      <c r="AI874" s="39"/>
      <c r="AJ874" s="39"/>
      <c r="AK874" s="39"/>
      <c r="AL874" s="39"/>
      <c r="AM874" s="39"/>
      <c r="AN874" s="39">
        <f t="shared" si="917"/>
        <v>0</v>
      </c>
      <c r="AO874" s="39"/>
      <c r="AP874" s="39"/>
      <c r="AQ874" s="39"/>
      <c r="AR874" s="39"/>
      <c r="AS874" s="39"/>
      <c r="AT874" s="39">
        <f t="shared" si="891"/>
        <v>0</v>
      </c>
      <c r="AU874" s="39"/>
      <c r="AV874" s="39"/>
      <c r="AW874" s="39"/>
      <c r="AX874" s="39"/>
      <c r="AY874" s="39"/>
      <c r="AZ874" s="39">
        <f t="shared" si="892"/>
        <v>0</v>
      </c>
      <c r="BA874" s="39"/>
      <c r="BB874" s="39"/>
      <c r="BC874" s="39"/>
      <c r="BD874" s="39"/>
      <c r="BE874" s="39"/>
      <c r="BF874" s="39">
        <f t="shared" si="893"/>
        <v>0</v>
      </c>
      <c r="BG874" s="39"/>
      <c r="BH874" s="39"/>
      <c r="BI874" s="39"/>
      <c r="BJ874" s="39"/>
      <c r="BK874" s="39"/>
      <c r="BL874" s="39">
        <f t="shared" si="919"/>
        <v>0</v>
      </c>
      <c r="BM874" s="54" t="e">
        <f t="shared" si="894"/>
        <v>#DIV/0!</v>
      </c>
      <c r="BN874" s="64"/>
      <c r="BO874" s="39"/>
      <c r="BP874" s="39"/>
      <c r="BQ874" s="39"/>
      <c r="BR874" s="37"/>
      <c r="BS874" s="37"/>
      <c r="BT874" s="39"/>
      <c r="BU874" s="39"/>
      <c r="BV874" s="39"/>
      <c r="BW874" s="39"/>
      <c r="BX874" s="39"/>
      <c r="BY874" s="39"/>
      <c r="BZ874" s="39">
        <f t="shared" si="920"/>
        <v>0</v>
      </c>
      <c r="CA874" s="39">
        <f t="shared" si="895"/>
        <v>0</v>
      </c>
      <c r="CB874" s="39">
        <f t="shared" si="896"/>
        <v>0</v>
      </c>
      <c r="CC874" s="39">
        <f t="shared" si="897"/>
        <v>0</v>
      </c>
      <c r="CD874" s="39">
        <f t="shared" si="921"/>
        <v>0</v>
      </c>
      <c r="CE874" s="47" t="e">
        <f t="shared" si="898"/>
        <v>#DIV/0!</v>
      </c>
      <c r="CF874" s="36"/>
      <c r="CG874" s="39"/>
      <c r="CH874" s="39"/>
      <c r="CI874" s="25">
        <v>1</v>
      </c>
    </row>
    <row r="875" spans="1:88" ht="24.75" customHeight="1">
      <c r="A875" s="36" t="s">
        <v>20</v>
      </c>
      <c r="B875" s="29"/>
      <c r="C875" s="36"/>
      <c r="D875" s="36"/>
      <c r="E875" s="39"/>
      <c r="F875" s="39"/>
      <c r="G875" s="36"/>
      <c r="H875" s="39"/>
      <c r="I875" s="39"/>
      <c r="J875" s="39"/>
      <c r="K875" s="39"/>
      <c r="L875" s="39">
        <f t="shared" si="864"/>
        <v>0</v>
      </c>
      <c r="M875" s="36"/>
      <c r="N875" s="36"/>
      <c r="O875" s="39"/>
      <c r="P875" s="39"/>
      <c r="Q875" s="39"/>
      <c r="R875" s="39">
        <f t="shared" si="865"/>
        <v>0</v>
      </c>
      <c r="S875" s="39"/>
      <c r="T875" s="39"/>
      <c r="U875" s="39"/>
      <c r="V875" s="39"/>
      <c r="W875" s="39"/>
      <c r="X875" s="39"/>
      <c r="Y875" s="39"/>
      <c r="Z875" s="39"/>
      <c r="AA875" s="39"/>
      <c r="AB875" s="39">
        <f t="shared" si="866"/>
        <v>0</v>
      </c>
      <c r="AC875" s="39"/>
      <c r="AD875" s="39"/>
      <c r="AE875" s="39"/>
      <c r="AF875" s="39"/>
      <c r="AG875" s="39"/>
      <c r="AH875" s="39">
        <f t="shared" si="918"/>
        <v>0</v>
      </c>
      <c r="AI875" s="39"/>
      <c r="AJ875" s="39"/>
      <c r="AK875" s="39"/>
      <c r="AL875" s="39"/>
      <c r="AM875" s="39"/>
      <c r="AN875" s="39">
        <f t="shared" si="917"/>
        <v>0</v>
      </c>
      <c r="AO875" s="39"/>
      <c r="AP875" s="39"/>
      <c r="AQ875" s="39"/>
      <c r="AR875" s="39"/>
      <c r="AS875" s="39"/>
      <c r="AT875" s="39">
        <f t="shared" si="891"/>
        <v>0</v>
      </c>
      <c r="AU875" s="39"/>
      <c r="AV875" s="39"/>
      <c r="AW875" s="39"/>
      <c r="AX875" s="39"/>
      <c r="AY875" s="39"/>
      <c r="AZ875" s="39">
        <f t="shared" si="892"/>
        <v>0</v>
      </c>
      <c r="BA875" s="39"/>
      <c r="BB875" s="39"/>
      <c r="BC875" s="39"/>
      <c r="BD875" s="39"/>
      <c r="BE875" s="39"/>
      <c r="BF875" s="39">
        <f t="shared" si="893"/>
        <v>0</v>
      </c>
      <c r="BG875" s="39"/>
      <c r="BH875" s="39"/>
      <c r="BI875" s="39"/>
      <c r="BJ875" s="39"/>
      <c r="BK875" s="39"/>
      <c r="BL875" s="39">
        <f t="shared" si="919"/>
        <v>0</v>
      </c>
      <c r="BM875" s="54" t="e">
        <f t="shared" si="894"/>
        <v>#DIV/0!</v>
      </c>
      <c r="BN875" s="64"/>
      <c r="BO875" s="39"/>
      <c r="BP875" s="39"/>
      <c r="BQ875" s="39"/>
      <c r="BR875" s="37"/>
      <c r="BS875" s="37"/>
      <c r="BT875" s="39"/>
      <c r="BU875" s="39"/>
      <c r="BV875" s="39"/>
      <c r="BW875" s="39"/>
      <c r="BX875" s="39"/>
      <c r="BY875" s="39"/>
      <c r="BZ875" s="39">
        <f t="shared" si="920"/>
        <v>0</v>
      </c>
      <c r="CA875" s="39">
        <f t="shared" si="895"/>
        <v>0</v>
      </c>
      <c r="CB875" s="39">
        <f t="shared" si="896"/>
        <v>0</v>
      </c>
      <c r="CC875" s="39">
        <f t="shared" si="897"/>
        <v>0</v>
      </c>
      <c r="CD875" s="39">
        <f t="shared" si="921"/>
        <v>0</v>
      </c>
      <c r="CE875" s="47" t="e">
        <f t="shared" si="898"/>
        <v>#DIV/0!</v>
      </c>
      <c r="CF875" s="36"/>
      <c r="CG875" s="39"/>
      <c r="CH875" s="39"/>
      <c r="CI875" s="25">
        <v>1</v>
      </c>
      <c r="CJ875" s="16"/>
    </row>
    <row r="876" spans="1:88" ht="24.75" customHeight="1">
      <c r="A876" s="36" t="s">
        <v>20</v>
      </c>
      <c r="B876" s="29"/>
      <c r="C876" s="36"/>
      <c r="D876" s="36"/>
      <c r="E876" s="39"/>
      <c r="F876" s="39"/>
      <c r="G876" s="36"/>
      <c r="H876" s="39"/>
      <c r="I876" s="39"/>
      <c r="J876" s="39"/>
      <c r="K876" s="39"/>
      <c r="L876" s="39">
        <f t="shared" si="864"/>
        <v>0</v>
      </c>
      <c r="M876" s="36"/>
      <c r="N876" s="36"/>
      <c r="O876" s="39"/>
      <c r="P876" s="39"/>
      <c r="Q876" s="39"/>
      <c r="R876" s="39">
        <f t="shared" si="865"/>
        <v>0</v>
      </c>
      <c r="S876" s="39"/>
      <c r="T876" s="39"/>
      <c r="U876" s="39"/>
      <c r="V876" s="39"/>
      <c r="W876" s="39"/>
      <c r="X876" s="39"/>
      <c r="Y876" s="39"/>
      <c r="Z876" s="39"/>
      <c r="AA876" s="39"/>
      <c r="AB876" s="39">
        <f t="shared" si="866"/>
        <v>0</v>
      </c>
      <c r="AC876" s="39"/>
      <c r="AD876" s="39"/>
      <c r="AE876" s="39"/>
      <c r="AF876" s="39"/>
      <c r="AG876" s="39"/>
      <c r="AH876" s="39">
        <f t="shared" si="918"/>
        <v>0</v>
      </c>
      <c r="AI876" s="39"/>
      <c r="AJ876" s="39"/>
      <c r="AK876" s="39"/>
      <c r="AL876" s="39"/>
      <c r="AM876" s="39"/>
      <c r="AN876" s="39">
        <f t="shared" si="917"/>
        <v>0</v>
      </c>
      <c r="AO876" s="39"/>
      <c r="AP876" s="39"/>
      <c r="AQ876" s="39"/>
      <c r="AR876" s="39"/>
      <c r="AS876" s="39"/>
      <c r="AT876" s="39">
        <f t="shared" si="891"/>
        <v>0</v>
      </c>
      <c r="AU876" s="39"/>
      <c r="AV876" s="39"/>
      <c r="AW876" s="39"/>
      <c r="AX876" s="39"/>
      <c r="AY876" s="39"/>
      <c r="AZ876" s="39">
        <f t="shared" si="892"/>
        <v>0</v>
      </c>
      <c r="BA876" s="39"/>
      <c r="BB876" s="39"/>
      <c r="BC876" s="39"/>
      <c r="BD876" s="39"/>
      <c r="BE876" s="39"/>
      <c r="BF876" s="39">
        <f t="shared" si="893"/>
        <v>0</v>
      </c>
      <c r="BG876" s="39"/>
      <c r="BH876" s="39"/>
      <c r="BI876" s="39"/>
      <c r="BJ876" s="39"/>
      <c r="BK876" s="39"/>
      <c r="BL876" s="39">
        <f t="shared" si="919"/>
        <v>0</v>
      </c>
      <c r="BM876" s="54" t="e">
        <f t="shared" si="894"/>
        <v>#DIV/0!</v>
      </c>
      <c r="BN876" s="64"/>
      <c r="BO876" s="39"/>
      <c r="BP876" s="39"/>
      <c r="BQ876" s="39"/>
      <c r="BR876" s="37"/>
      <c r="BS876" s="37"/>
      <c r="BT876" s="39"/>
      <c r="BU876" s="39"/>
      <c r="BV876" s="39"/>
      <c r="BW876" s="39"/>
      <c r="BX876" s="39"/>
      <c r="BY876" s="39"/>
      <c r="BZ876" s="39">
        <f t="shared" si="920"/>
        <v>0</v>
      </c>
      <c r="CA876" s="39">
        <f t="shared" si="895"/>
        <v>0</v>
      </c>
      <c r="CB876" s="39">
        <f t="shared" si="896"/>
        <v>0</v>
      </c>
      <c r="CC876" s="39">
        <f t="shared" si="897"/>
        <v>0</v>
      </c>
      <c r="CD876" s="39">
        <f t="shared" si="921"/>
        <v>0</v>
      </c>
      <c r="CE876" s="47" t="e">
        <f t="shared" si="898"/>
        <v>#DIV/0!</v>
      </c>
      <c r="CF876" s="36"/>
      <c r="CG876" s="39"/>
      <c r="CH876" s="39"/>
      <c r="CI876" s="25">
        <v>1</v>
      </c>
    </row>
    <row r="877" spans="1:88" ht="24.75" customHeight="1">
      <c r="A877" s="36" t="s">
        <v>20</v>
      </c>
      <c r="B877" s="29"/>
      <c r="C877" s="36"/>
      <c r="D877" s="36"/>
      <c r="E877" s="39"/>
      <c r="F877" s="39"/>
      <c r="G877" s="36"/>
      <c r="H877" s="39"/>
      <c r="I877" s="39"/>
      <c r="J877" s="39"/>
      <c r="K877" s="39"/>
      <c r="L877" s="39">
        <f t="shared" si="864"/>
        <v>0</v>
      </c>
      <c r="M877" s="36"/>
      <c r="N877" s="36"/>
      <c r="O877" s="39"/>
      <c r="P877" s="39"/>
      <c r="Q877" s="39"/>
      <c r="R877" s="39">
        <f t="shared" si="865"/>
        <v>0</v>
      </c>
      <c r="S877" s="39"/>
      <c r="T877" s="39"/>
      <c r="U877" s="39"/>
      <c r="V877" s="39"/>
      <c r="W877" s="39"/>
      <c r="X877" s="39"/>
      <c r="Y877" s="39"/>
      <c r="Z877" s="39"/>
      <c r="AA877" s="39"/>
      <c r="AB877" s="39">
        <f t="shared" si="866"/>
        <v>0</v>
      </c>
      <c r="AC877" s="39"/>
      <c r="AD877" s="39"/>
      <c r="AE877" s="39"/>
      <c r="AF877" s="39"/>
      <c r="AG877" s="39"/>
      <c r="AH877" s="39">
        <f t="shared" si="918"/>
        <v>0</v>
      </c>
      <c r="AI877" s="39"/>
      <c r="AJ877" s="39"/>
      <c r="AK877" s="39"/>
      <c r="AL877" s="39"/>
      <c r="AM877" s="39"/>
      <c r="AN877" s="39">
        <f t="shared" si="917"/>
        <v>0</v>
      </c>
      <c r="AO877" s="39"/>
      <c r="AP877" s="39"/>
      <c r="AQ877" s="39"/>
      <c r="AR877" s="39"/>
      <c r="AS877" s="39"/>
      <c r="AT877" s="39">
        <f t="shared" si="891"/>
        <v>0</v>
      </c>
      <c r="AU877" s="39"/>
      <c r="AV877" s="39"/>
      <c r="AW877" s="39"/>
      <c r="AX877" s="39"/>
      <c r="AY877" s="39"/>
      <c r="AZ877" s="39">
        <f t="shared" si="892"/>
        <v>0</v>
      </c>
      <c r="BA877" s="39"/>
      <c r="BB877" s="39"/>
      <c r="BC877" s="39"/>
      <c r="BD877" s="39"/>
      <c r="BE877" s="39"/>
      <c r="BF877" s="39">
        <f t="shared" si="893"/>
        <v>0</v>
      </c>
      <c r="BG877" s="39"/>
      <c r="BH877" s="39"/>
      <c r="BI877" s="39"/>
      <c r="BJ877" s="39"/>
      <c r="BK877" s="39"/>
      <c r="BL877" s="39">
        <f t="shared" si="919"/>
        <v>0</v>
      </c>
      <c r="BM877" s="54" t="e">
        <f t="shared" si="894"/>
        <v>#DIV/0!</v>
      </c>
      <c r="BN877" s="64"/>
      <c r="BO877" s="39"/>
      <c r="BP877" s="39"/>
      <c r="BQ877" s="39"/>
      <c r="BR877" s="37"/>
      <c r="BS877" s="37"/>
      <c r="BT877" s="39"/>
      <c r="BU877" s="39"/>
      <c r="BV877" s="39"/>
      <c r="BW877" s="39"/>
      <c r="BX877" s="39"/>
      <c r="BY877" s="39"/>
      <c r="BZ877" s="39">
        <f t="shared" si="920"/>
        <v>0</v>
      </c>
      <c r="CA877" s="39">
        <f t="shared" si="895"/>
        <v>0</v>
      </c>
      <c r="CB877" s="39">
        <f t="shared" si="896"/>
        <v>0</v>
      </c>
      <c r="CC877" s="39">
        <f t="shared" si="897"/>
        <v>0</v>
      </c>
      <c r="CD877" s="39">
        <f t="shared" si="921"/>
        <v>0</v>
      </c>
      <c r="CE877" s="47" t="e">
        <f t="shared" si="898"/>
        <v>#DIV/0!</v>
      </c>
      <c r="CF877" s="36"/>
      <c r="CG877" s="39"/>
      <c r="CH877" s="39"/>
      <c r="CI877" s="25">
        <v>1</v>
      </c>
    </row>
    <row r="878" spans="1:88" ht="24.75" customHeight="1">
      <c r="A878" s="36" t="s">
        <v>20</v>
      </c>
      <c r="B878" s="29"/>
      <c r="C878" s="36"/>
      <c r="D878" s="36"/>
      <c r="E878" s="39"/>
      <c r="F878" s="39"/>
      <c r="G878" s="36"/>
      <c r="H878" s="39"/>
      <c r="I878" s="39"/>
      <c r="J878" s="39"/>
      <c r="K878" s="39"/>
      <c r="L878" s="39">
        <f t="shared" si="864"/>
        <v>0</v>
      </c>
      <c r="M878" s="36"/>
      <c r="N878" s="36"/>
      <c r="O878" s="39"/>
      <c r="P878" s="39"/>
      <c r="Q878" s="39"/>
      <c r="R878" s="39">
        <f t="shared" si="865"/>
        <v>0</v>
      </c>
      <c r="S878" s="39"/>
      <c r="T878" s="39"/>
      <c r="U878" s="39"/>
      <c r="V878" s="39"/>
      <c r="W878" s="39"/>
      <c r="X878" s="39"/>
      <c r="Y878" s="39"/>
      <c r="Z878" s="39"/>
      <c r="AA878" s="39"/>
      <c r="AB878" s="39">
        <f t="shared" si="866"/>
        <v>0</v>
      </c>
      <c r="AC878" s="39"/>
      <c r="AD878" s="39"/>
      <c r="AE878" s="39"/>
      <c r="AF878" s="39"/>
      <c r="AG878" s="39"/>
      <c r="AH878" s="39">
        <f t="shared" si="918"/>
        <v>0</v>
      </c>
      <c r="AI878" s="39"/>
      <c r="AJ878" s="39"/>
      <c r="AK878" s="39"/>
      <c r="AL878" s="39"/>
      <c r="AM878" s="39"/>
      <c r="AN878" s="39">
        <f t="shared" si="917"/>
        <v>0</v>
      </c>
      <c r="AO878" s="39"/>
      <c r="AP878" s="39"/>
      <c r="AQ878" s="39"/>
      <c r="AR878" s="39"/>
      <c r="AS878" s="39"/>
      <c r="AT878" s="39">
        <f t="shared" si="891"/>
        <v>0</v>
      </c>
      <c r="AU878" s="39"/>
      <c r="AV878" s="39"/>
      <c r="AW878" s="39"/>
      <c r="AX878" s="39"/>
      <c r="AY878" s="39"/>
      <c r="AZ878" s="39">
        <f t="shared" si="892"/>
        <v>0</v>
      </c>
      <c r="BA878" s="39"/>
      <c r="BB878" s="39"/>
      <c r="BC878" s="39"/>
      <c r="BD878" s="39"/>
      <c r="BE878" s="39"/>
      <c r="BF878" s="39">
        <f t="shared" si="893"/>
        <v>0</v>
      </c>
      <c r="BG878" s="39"/>
      <c r="BH878" s="39"/>
      <c r="BI878" s="39"/>
      <c r="BJ878" s="39"/>
      <c r="BK878" s="39"/>
      <c r="BL878" s="39">
        <f t="shared" si="919"/>
        <v>0</v>
      </c>
      <c r="BM878" s="54" t="e">
        <f t="shared" si="894"/>
        <v>#DIV/0!</v>
      </c>
      <c r="BN878" s="64"/>
      <c r="BO878" s="39"/>
      <c r="BP878" s="39"/>
      <c r="BQ878" s="39"/>
      <c r="BR878" s="37"/>
      <c r="BS878" s="37"/>
      <c r="BT878" s="39"/>
      <c r="BU878" s="39"/>
      <c r="BV878" s="39"/>
      <c r="BW878" s="39"/>
      <c r="BX878" s="39"/>
      <c r="BY878" s="39"/>
      <c r="BZ878" s="39">
        <f t="shared" si="920"/>
        <v>0</v>
      </c>
      <c r="CA878" s="39">
        <f t="shared" si="895"/>
        <v>0</v>
      </c>
      <c r="CB878" s="39">
        <f t="shared" si="896"/>
        <v>0</v>
      </c>
      <c r="CC878" s="39">
        <f t="shared" si="897"/>
        <v>0</v>
      </c>
      <c r="CD878" s="39">
        <f t="shared" si="921"/>
        <v>0</v>
      </c>
      <c r="CE878" s="47" t="e">
        <f t="shared" si="898"/>
        <v>#DIV/0!</v>
      </c>
      <c r="CF878" s="36"/>
      <c r="CG878" s="39"/>
      <c r="CH878" s="39"/>
      <c r="CI878" s="25">
        <v>1</v>
      </c>
      <c r="CJ878" s="16"/>
    </row>
    <row r="879" spans="1:88" ht="24.75" customHeight="1">
      <c r="A879" s="36" t="s">
        <v>20</v>
      </c>
      <c r="B879" s="29"/>
      <c r="C879" s="36"/>
      <c r="D879" s="36"/>
      <c r="E879" s="39"/>
      <c r="F879" s="39"/>
      <c r="G879" s="36"/>
      <c r="H879" s="39"/>
      <c r="I879" s="39"/>
      <c r="J879" s="39"/>
      <c r="K879" s="39"/>
      <c r="L879" s="39">
        <f t="shared" si="864"/>
        <v>0</v>
      </c>
      <c r="M879" s="36"/>
      <c r="N879" s="36"/>
      <c r="O879" s="39"/>
      <c r="P879" s="39"/>
      <c r="Q879" s="39"/>
      <c r="R879" s="39">
        <f t="shared" si="865"/>
        <v>0</v>
      </c>
      <c r="S879" s="39"/>
      <c r="T879" s="39"/>
      <c r="U879" s="39"/>
      <c r="V879" s="39"/>
      <c r="W879" s="39"/>
      <c r="X879" s="39"/>
      <c r="Y879" s="39"/>
      <c r="Z879" s="39"/>
      <c r="AA879" s="39"/>
      <c r="AB879" s="39">
        <f t="shared" si="866"/>
        <v>0</v>
      </c>
      <c r="AC879" s="39"/>
      <c r="AD879" s="39"/>
      <c r="AE879" s="39"/>
      <c r="AF879" s="39"/>
      <c r="AG879" s="39"/>
      <c r="AH879" s="39">
        <f t="shared" si="918"/>
        <v>0</v>
      </c>
      <c r="AI879" s="39"/>
      <c r="AJ879" s="39"/>
      <c r="AK879" s="39"/>
      <c r="AL879" s="39"/>
      <c r="AM879" s="39"/>
      <c r="AN879" s="39">
        <f t="shared" si="917"/>
        <v>0</v>
      </c>
      <c r="AO879" s="39"/>
      <c r="AP879" s="39"/>
      <c r="AQ879" s="39"/>
      <c r="AR879" s="39"/>
      <c r="AS879" s="39"/>
      <c r="AT879" s="39">
        <f t="shared" si="891"/>
        <v>0</v>
      </c>
      <c r="AU879" s="39"/>
      <c r="AV879" s="39"/>
      <c r="AW879" s="39"/>
      <c r="AX879" s="39"/>
      <c r="AY879" s="39"/>
      <c r="AZ879" s="39">
        <f t="shared" si="892"/>
        <v>0</v>
      </c>
      <c r="BA879" s="39"/>
      <c r="BB879" s="39"/>
      <c r="BC879" s="39"/>
      <c r="BD879" s="39"/>
      <c r="BE879" s="39"/>
      <c r="BF879" s="39">
        <f t="shared" si="893"/>
        <v>0</v>
      </c>
      <c r="BG879" s="39"/>
      <c r="BH879" s="39"/>
      <c r="BI879" s="39"/>
      <c r="BJ879" s="39"/>
      <c r="BK879" s="39"/>
      <c r="BL879" s="39">
        <f t="shared" si="919"/>
        <v>0</v>
      </c>
      <c r="BM879" s="54" t="e">
        <f t="shared" si="894"/>
        <v>#DIV/0!</v>
      </c>
      <c r="BN879" s="64"/>
      <c r="BO879" s="36"/>
      <c r="BP879" s="36"/>
      <c r="BQ879" s="36"/>
      <c r="BR879" s="37"/>
      <c r="BS879" s="37"/>
      <c r="BT879" s="39"/>
      <c r="BU879" s="39"/>
      <c r="BV879" s="39"/>
      <c r="BW879" s="39"/>
      <c r="BX879" s="39"/>
      <c r="BY879" s="39"/>
      <c r="BZ879" s="39">
        <f t="shared" si="920"/>
        <v>0</v>
      </c>
      <c r="CA879" s="39">
        <f t="shared" si="895"/>
        <v>0</v>
      </c>
      <c r="CB879" s="39">
        <f t="shared" si="896"/>
        <v>0</v>
      </c>
      <c r="CC879" s="39">
        <f t="shared" si="897"/>
        <v>0</v>
      </c>
      <c r="CD879" s="39">
        <f t="shared" si="921"/>
        <v>0</v>
      </c>
      <c r="CE879" s="47" t="e">
        <f t="shared" si="898"/>
        <v>#DIV/0!</v>
      </c>
      <c r="CF879" s="36"/>
      <c r="CG879" s="39"/>
      <c r="CH879" s="39"/>
      <c r="CI879" s="25">
        <v>1</v>
      </c>
    </row>
    <row r="880" spans="1:88" ht="24.75" customHeight="1">
      <c r="A880" s="36" t="s">
        <v>20</v>
      </c>
      <c r="B880" s="29"/>
      <c r="C880" s="36"/>
      <c r="D880" s="36"/>
      <c r="E880" s="39"/>
      <c r="F880" s="39"/>
      <c r="G880" s="36"/>
      <c r="H880" s="39"/>
      <c r="I880" s="39"/>
      <c r="J880" s="39"/>
      <c r="K880" s="39"/>
      <c r="L880" s="39">
        <f t="shared" si="864"/>
        <v>0</v>
      </c>
      <c r="M880" s="36"/>
      <c r="N880" s="36"/>
      <c r="O880" s="39"/>
      <c r="P880" s="39"/>
      <c r="Q880" s="39"/>
      <c r="R880" s="39">
        <f t="shared" si="865"/>
        <v>0</v>
      </c>
      <c r="S880" s="39"/>
      <c r="T880" s="39"/>
      <c r="U880" s="39"/>
      <c r="V880" s="39"/>
      <c r="W880" s="39"/>
      <c r="X880" s="39"/>
      <c r="Y880" s="39"/>
      <c r="Z880" s="39"/>
      <c r="AA880" s="39"/>
      <c r="AB880" s="39">
        <f t="shared" si="866"/>
        <v>0</v>
      </c>
      <c r="AC880" s="39"/>
      <c r="AD880" s="39"/>
      <c r="AE880" s="39"/>
      <c r="AF880" s="39"/>
      <c r="AG880" s="39"/>
      <c r="AH880" s="39">
        <f t="shared" si="918"/>
        <v>0</v>
      </c>
      <c r="AI880" s="39"/>
      <c r="AJ880" s="39"/>
      <c r="AK880" s="39"/>
      <c r="AL880" s="39"/>
      <c r="AM880" s="39"/>
      <c r="AN880" s="39">
        <f t="shared" si="917"/>
        <v>0</v>
      </c>
      <c r="AO880" s="39"/>
      <c r="AP880" s="39"/>
      <c r="AQ880" s="39"/>
      <c r="AR880" s="39"/>
      <c r="AS880" s="39"/>
      <c r="AT880" s="39">
        <f t="shared" si="891"/>
        <v>0</v>
      </c>
      <c r="AU880" s="39"/>
      <c r="AV880" s="39"/>
      <c r="AW880" s="39"/>
      <c r="AX880" s="39"/>
      <c r="AY880" s="39"/>
      <c r="AZ880" s="39">
        <f t="shared" si="892"/>
        <v>0</v>
      </c>
      <c r="BA880" s="39"/>
      <c r="BB880" s="39"/>
      <c r="BC880" s="39"/>
      <c r="BD880" s="39"/>
      <c r="BE880" s="39"/>
      <c r="BF880" s="39">
        <f t="shared" si="893"/>
        <v>0</v>
      </c>
      <c r="BG880" s="39"/>
      <c r="BH880" s="39"/>
      <c r="BI880" s="39"/>
      <c r="BJ880" s="39"/>
      <c r="BK880" s="39"/>
      <c r="BL880" s="39">
        <f t="shared" si="919"/>
        <v>0</v>
      </c>
      <c r="BM880" s="54" t="e">
        <f t="shared" si="894"/>
        <v>#DIV/0!</v>
      </c>
      <c r="BN880" s="64"/>
      <c r="BO880" s="36"/>
      <c r="BP880" s="36"/>
      <c r="BQ880" s="36"/>
      <c r="BR880" s="37"/>
      <c r="BS880" s="37"/>
      <c r="BT880" s="39"/>
      <c r="BU880" s="39"/>
      <c r="BV880" s="39"/>
      <c r="BW880" s="39"/>
      <c r="BX880" s="39"/>
      <c r="BY880" s="39"/>
      <c r="BZ880" s="39">
        <f t="shared" si="920"/>
        <v>0</v>
      </c>
      <c r="CA880" s="39">
        <f t="shared" si="895"/>
        <v>0</v>
      </c>
      <c r="CB880" s="39">
        <f t="shared" si="896"/>
        <v>0</v>
      </c>
      <c r="CC880" s="39">
        <f t="shared" si="897"/>
        <v>0</v>
      </c>
      <c r="CD880" s="39">
        <f t="shared" si="921"/>
        <v>0</v>
      </c>
      <c r="CE880" s="47" t="e">
        <f t="shared" si="898"/>
        <v>#DIV/0!</v>
      </c>
      <c r="CF880" s="36"/>
      <c r="CG880" s="39"/>
      <c r="CH880" s="39"/>
      <c r="CI880" s="25">
        <v>1</v>
      </c>
    </row>
    <row r="881" spans="1:87" ht="24.75" customHeight="1">
      <c r="A881" s="36" t="s">
        <v>20</v>
      </c>
      <c r="B881" s="29"/>
      <c r="C881" s="36"/>
      <c r="D881" s="36"/>
      <c r="E881" s="39"/>
      <c r="F881" s="39"/>
      <c r="G881" s="36"/>
      <c r="H881" s="39"/>
      <c r="I881" s="39"/>
      <c r="J881" s="39"/>
      <c r="K881" s="39"/>
      <c r="L881" s="39">
        <f t="shared" si="864"/>
        <v>0</v>
      </c>
      <c r="M881" s="36"/>
      <c r="N881" s="36"/>
      <c r="O881" s="39"/>
      <c r="P881" s="39"/>
      <c r="Q881" s="39"/>
      <c r="R881" s="39">
        <f t="shared" si="865"/>
        <v>0</v>
      </c>
      <c r="S881" s="39"/>
      <c r="T881" s="39"/>
      <c r="U881" s="39"/>
      <c r="V881" s="39"/>
      <c r="W881" s="39"/>
      <c r="X881" s="39"/>
      <c r="Y881" s="39"/>
      <c r="Z881" s="39"/>
      <c r="AA881" s="39"/>
      <c r="AB881" s="39">
        <f t="shared" si="866"/>
        <v>0</v>
      </c>
      <c r="AC881" s="39"/>
      <c r="AD881" s="39"/>
      <c r="AE881" s="39"/>
      <c r="AF881" s="39"/>
      <c r="AG881" s="39"/>
      <c r="AH881" s="39">
        <f t="shared" si="918"/>
        <v>0</v>
      </c>
      <c r="AI881" s="39"/>
      <c r="AJ881" s="39"/>
      <c r="AK881" s="39"/>
      <c r="AL881" s="39"/>
      <c r="AM881" s="39"/>
      <c r="AN881" s="39">
        <f t="shared" si="917"/>
        <v>0</v>
      </c>
      <c r="AO881" s="39"/>
      <c r="AP881" s="39"/>
      <c r="AQ881" s="39"/>
      <c r="AR881" s="39"/>
      <c r="AS881" s="39"/>
      <c r="AT881" s="39">
        <f t="shared" si="891"/>
        <v>0</v>
      </c>
      <c r="AU881" s="39"/>
      <c r="AV881" s="39"/>
      <c r="AW881" s="39"/>
      <c r="AX881" s="39"/>
      <c r="AY881" s="39"/>
      <c r="AZ881" s="39">
        <f t="shared" si="892"/>
        <v>0</v>
      </c>
      <c r="BA881" s="39"/>
      <c r="BB881" s="39"/>
      <c r="BC881" s="39"/>
      <c r="BD881" s="39"/>
      <c r="BE881" s="39"/>
      <c r="BF881" s="39">
        <f t="shared" si="893"/>
        <v>0</v>
      </c>
      <c r="BG881" s="39"/>
      <c r="BH881" s="39"/>
      <c r="BI881" s="39"/>
      <c r="BJ881" s="39"/>
      <c r="BK881" s="39"/>
      <c r="BL881" s="39">
        <f t="shared" si="919"/>
        <v>0</v>
      </c>
      <c r="BM881" s="54" t="e">
        <f t="shared" si="894"/>
        <v>#DIV/0!</v>
      </c>
      <c r="BN881" s="64"/>
      <c r="BO881" s="36"/>
      <c r="BP881" s="36"/>
      <c r="BQ881" s="36"/>
      <c r="BR881" s="37"/>
      <c r="BS881" s="37"/>
      <c r="BT881" s="39"/>
      <c r="BU881" s="39"/>
      <c r="BV881" s="39"/>
      <c r="BW881" s="39"/>
      <c r="BX881" s="39"/>
      <c r="BY881" s="39"/>
      <c r="BZ881" s="39">
        <f t="shared" si="920"/>
        <v>0</v>
      </c>
      <c r="CA881" s="39">
        <f t="shared" si="895"/>
        <v>0</v>
      </c>
      <c r="CB881" s="39">
        <f t="shared" si="896"/>
        <v>0</v>
      </c>
      <c r="CC881" s="39">
        <f t="shared" si="897"/>
        <v>0</v>
      </c>
      <c r="CD881" s="39">
        <f t="shared" si="921"/>
        <v>0</v>
      </c>
      <c r="CE881" s="47" t="e">
        <f t="shared" si="898"/>
        <v>#DIV/0!</v>
      </c>
      <c r="CF881" s="36"/>
      <c r="CG881" s="39"/>
      <c r="CH881" s="39"/>
      <c r="CI881" s="25">
        <v>1</v>
      </c>
    </row>
    <row r="882" spans="1:87" ht="24.75" customHeight="1">
      <c r="A882" s="36" t="s">
        <v>20</v>
      </c>
      <c r="B882" s="29"/>
      <c r="C882" s="36"/>
      <c r="D882" s="36"/>
      <c r="E882" s="39"/>
      <c r="F882" s="39"/>
      <c r="G882" s="36"/>
      <c r="H882" s="39"/>
      <c r="I882" s="39"/>
      <c r="J882" s="39"/>
      <c r="K882" s="39"/>
      <c r="L882" s="39">
        <f t="shared" si="864"/>
        <v>0</v>
      </c>
      <c r="M882" s="36"/>
      <c r="N882" s="36"/>
      <c r="O882" s="39"/>
      <c r="P882" s="39"/>
      <c r="Q882" s="39"/>
      <c r="R882" s="39">
        <f t="shared" si="865"/>
        <v>0</v>
      </c>
      <c r="S882" s="39"/>
      <c r="T882" s="39"/>
      <c r="U882" s="39"/>
      <c r="V882" s="39"/>
      <c r="W882" s="39"/>
      <c r="X882" s="39"/>
      <c r="Y882" s="39"/>
      <c r="Z882" s="39"/>
      <c r="AA882" s="39"/>
      <c r="AB882" s="39">
        <f t="shared" si="866"/>
        <v>0</v>
      </c>
      <c r="AC882" s="39"/>
      <c r="AD882" s="39"/>
      <c r="AE882" s="39"/>
      <c r="AF882" s="39"/>
      <c r="AG882" s="39"/>
      <c r="AH882" s="39">
        <f t="shared" si="918"/>
        <v>0</v>
      </c>
      <c r="AI882" s="39"/>
      <c r="AJ882" s="39"/>
      <c r="AK882" s="39"/>
      <c r="AL882" s="39"/>
      <c r="AM882" s="39"/>
      <c r="AN882" s="39">
        <f t="shared" si="917"/>
        <v>0</v>
      </c>
      <c r="AO882" s="39"/>
      <c r="AP882" s="39"/>
      <c r="AQ882" s="39"/>
      <c r="AR882" s="39"/>
      <c r="AS882" s="39"/>
      <c r="AT882" s="39">
        <f t="shared" si="891"/>
        <v>0</v>
      </c>
      <c r="AU882" s="39"/>
      <c r="AV882" s="39"/>
      <c r="AW882" s="39"/>
      <c r="AX882" s="39"/>
      <c r="AY882" s="39"/>
      <c r="AZ882" s="39">
        <f t="shared" si="892"/>
        <v>0</v>
      </c>
      <c r="BA882" s="39"/>
      <c r="BB882" s="39"/>
      <c r="BC882" s="39"/>
      <c r="BD882" s="39"/>
      <c r="BE882" s="39"/>
      <c r="BF882" s="39">
        <f t="shared" si="893"/>
        <v>0</v>
      </c>
      <c r="BG882" s="39"/>
      <c r="BH882" s="39"/>
      <c r="BI882" s="39"/>
      <c r="BJ882" s="39"/>
      <c r="BK882" s="39"/>
      <c r="BL882" s="39">
        <f t="shared" si="919"/>
        <v>0</v>
      </c>
      <c r="BM882" s="54" t="e">
        <f t="shared" si="894"/>
        <v>#DIV/0!</v>
      </c>
      <c r="BN882" s="64"/>
      <c r="BO882" s="36"/>
      <c r="BP882" s="36"/>
      <c r="BQ882" s="36"/>
      <c r="BR882" s="37"/>
      <c r="BS882" s="37"/>
      <c r="BT882" s="39"/>
      <c r="BU882" s="39"/>
      <c r="BV882" s="39"/>
      <c r="BW882" s="39"/>
      <c r="BX882" s="39"/>
      <c r="BY882" s="39"/>
      <c r="BZ882" s="39">
        <f t="shared" si="920"/>
        <v>0</v>
      </c>
      <c r="CA882" s="39">
        <f t="shared" si="895"/>
        <v>0</v>
      </c>
      <c r="CB882" s="39">
        <f t="shared" si="896"/>
        <v>0</v>
      </c>
      <c r="CC882" s="39">
        <f t="shared" si="897"/>
        <v>0</v>
      </c>
      <c r="CD882" s="39">
        <f t="shared" si="921"/>
        <v>0</v>
      </c>
      <c r="CE882" s="47" t="e">
        <f t="shared" si="898"/>
        <v>#DIV/0!</v>
      </c>
      <c r="CF882" s="36"/>
      <c r="CG882" s="39"/>
      <c r="CH882" s="39"/>
      <c r="CI882" s="25">
        <v>1</v>
      </c>
    </row>
    <row r="883" spans="1:87" ht="24.75" customHeight="1">
      <c r="A883" s="36" t="s">
        <v>20</v>
      </c>
      <c r="B883" s="29"/>
      <c r="C883" s="36"/>
      <c r="D883" s="36"/>
      <c r="E883" s="39"/>
      <c r="F883" s="39"/>
      <c r="G883" s="36"/>
      <c r="H883" s="39"/>
      <c r="I883" s="39"/>
      <c r="J883" s="39"/>
      <c r="K883" s="39"/>
      <c r="L883" s="39">
        <f t="shared" si="864"/>
        <v>0</v>
      </c>
      <c r="M883" s="36"/>
      <c r="N883" s="36"/>
      <c r="O883" s="39"/>
      <c r="P883" s="39"/>
      <c r="Q883" s="39"/>
      <c r="R883" s="39">
        <f t="shared" si="865"/>
        <v>0</v>
      </c>
      <c r="S883" s="39"/>
      <c r="T883" s="39"/>
      <c r="U883" s="39"/>
      <c r="V883" s="39"/>
      <c r="W883" s="39"/>
      <c r="X883" s="39"/>
      <c r="Y883" s="39"/>
      <c r="Z883" s="39"/>
      <c r="AA883" s="39"/>
      <c r="AB883" s="39">
        <f t="shared" si="866"/>
        <v>0</v>
      </c>
      <c r="AC883" s="39"/>
      <c r="AD883" s="39"/>
      <c r="AE883" s="39"/>
      <c r="AF883" s="39"/>
      <c r="AG883" s="39"/>
      <c r="AH883" s="39">
        <f t="shared" si="918"/>
        <v>0</v>
      </c>
      <c r="AI883" s="39"/>
      <c r="AJ883" s="39"/>
      <c r="AK883" s="39"/>
      <c r="AL883" s="39"/>
      <c r="AM883" s="39"/>
      <c r="AN883" s="39">
        <f t="shared" si="917"/>
        <v>0</v>
      </c>
      <c r="AO883" s="39"/>
      <c r="AP883" s="39"/>
      <c r="AQ883" s="39"/>
      <c r="AR883" s="39"/>
      <c r="AS883" s="39"/>
      <c r="AT883" s="39">
        <f t="shared" si="891"/>
        <v>0</v>
      </c>
      <c r="AU883" s="39"/>
      <c r="AV883" s="39"/>
      <c r="AW883" s="39"/>
      <c r="AX883" s="39"/>
      <c r="AY883" s="39"/>
      <c r="AZ883" s="39">
        <f t="shared" si="892"/>
        <v>0</v>
      </c>
      <c r="BA883" s="39"/>
      <c r="BB883" s="39"/>
      <c r="BC883" s="39"/>
      <c r="BD883" s="39"/>
      <c r="BE883" s="39"/>
      <c r="BF883" s="39">
        <f t="shared" si="893"/>
        <v>0</v>
      </c>
      <c r="BG883" s="39"/>
      <c r="BH883" s="39"/>
      <c r="BI883" s="39"/>
      <c r="BJ883" s="39"/>
      <c r="BK883" s="39"/>
      <c r="BL883" s="39">
        <f t="shared" si="919"/>
        <v>0</v>
      </c>
      <c r="BM883" s="54" t="e">
        <f t="shared" si="894"/>
        <v>#DIV/0!</v>
      </c>
      <c r="BN883" s="64"/>
      <c r="BO883" s="36"/>
      <c r="BP883" s="36"/>
      <c r="BQ883" s="36"/>
      <c r="BR883" s="37"/>
      <c r="BS883" s="37"/>
      <c r="BT883" s="39"/>
      <c r="BU883" s="39"/>
      <c r="BV883" s="39"/>
      <c r="BW883" s="39"/>
      <c r="BX883" s="39"/>
      <c r="BY883" s="39"/>
      <c r="BZ883" s="39">
        <f t="shared" si="920"/>
        <v>0</v>
      </c>
      <c r="CA883" s="39">
        <f t="shared" si="895"/>
        <v>0</v>
      </c>
      <c r="CB883" s="39">
        <f t="shared" si="896"/>
        <v>0</v>
      </c>
      <c r="CC883" s="39">
        <f t="shared" si="897"/>
        <v>0</v>
      </c>
      <c r="CD883" s="39">
        <f t="shared" si="921"/>
        <v>0</v>
      </c>
      <c r="CE883" s="47" t="e">
        <f t="shared" si="898"/>
        <v>#DIV/0!</v>
      </c>
      <c r="CF883" s="36"/>
      <c r="CG883" s="39"/>
      <c r="CH883" s="39"/>
      <c r="CI883" s="25">
        <v>1</v>
      </c>
    </row>
    <row r="884" spans="1:87" ht="24.75" customHeight="1">
      <c r="A884" s="36" t="s">
        <v>20</v>
      </c>
      <c r="B884" s="29"/>
      <c r="C884" s="36"/>
      <c r="D884" s="36"/>
      <c r="E884" s="39"/>
      <c r="F884" s="39"/>
      <c r="G884" s="36"/>
      <c r="H884" s="39"/>
      <c r="I884" s="39"/>
      <c r="J884" s="39"/>
      <c r="K884" s="39"/>
      <c r="L884" s="39">
        <f t="shared" si="864"/>
        <v>0</v>
      </c>
      <c r="M884" s="36"/>
      <c r="N884" s="36"/>
      <c r="O884" s="39"/>
      <c r="P884" s="39"/>
      <c r="Q884" s="39"/>
      <c r="R884" s="39">
        <f t="shared" si="865"/>
        <v>0</v>
      </c>
      <c r="S884" s="39"/>
      <c r="T884" s="39"/>
      <c r="U884" s="39"/>
      <c r="V884" s="39"/>
      <c r="W884" s="39"/>
      <c r="X884" s="39"/>
      <c r="Y884" s="39"/>
      <c r="Z884" s="39"/>
      <c r="AA884" s="39"/>
      <c r="AB884" s="39">
        <f t="shared" si="866"/>
        <v>0</v>
      </c>
      <c r="AC884" s="39"/>
      <c r="AD884" s="39"/>
      <c r="AE884" s="39"/>
      <c r="AF884" s="39"/>
      <c r="AG884" s="39"/>
      <c r="AH884" s="39">
        <f t="shared" si="918"/>
        <v>0</v>
      </c>
      <c r="AI884" s="39"/>
      <c r="AJ884" s="39"/>
      <c r="AK884" s="39"/>
      <c r="AL884" s="39"/>
      <c r="AM884" s="39"/>
      <c r="AN884" s="39">
        <f t="shared" si="917"/>
        <v>0</v>
      </c>
      <c r="AO884" s="39"/>
      <c r="AP884" s="39"/>
      <c r="AQ884" s="39"/>
      <c r="AR884" s="39"/>
      <c r="AS884" s="39"/>
      <c r="AT884" s="39">
        <f t="shared" si="891"/>
        <v>0</v>
      </c>
      <c r="AU884" s="39"/>
      <c r="AV884" s="39"/>
      <c r="AW884" s="39"/>
      <c r="AX884" s="39"/>
      <c r="AY884" s="39"/>
      <c r="AZ884" s="39">
        <f t="shared" si="892"/>
        <v>0</v>
      </c>
      <c r="BA884" s="39"/>
      <c r="BB884" s="39"/>
      <c r="BC884" s="39"/>
      <c r="BD884" s="39"/>
      <c r="BE884" s="39"/>
      <c r="BF884" s="39">
        <f t="shared" si="893"/>
        <v>0</v>
      </c>
      <c r="BG884" s="39"/>
      <c r="BH884" s="39"/>
      <c r="BI884" s="39"/>
      <c r="BJ884" s="39"/>
      <c r="BK884" s="39"/>
      <c r="BL884" s="39">
        <f t="shared" si="919"/>
        <v>0</v>
      </c>
      <c r="BM884" s="54" t="e">
        <f t="shared" si="894"/>
        <v>#DIV/0!</v>
      </c>
      <c r="BN884" s="64"/>
      <c r="BO884" s="36"/>
      <c r="BP884" s="36"/>
      <c r="BQ884" s="36"/>
      <c r="BR884" s="37"/>
      <c r="BS884" s="37"/>
      <c r="BT884" s="39"/>
      <c r="BU884" s="39"/>
      <c r="BV884" s="39"/>
      <c r="BW884" s="39"/>
      <c r="BX884" s="39"/>
      <c r="BY884" s="39"/>
      <c r="BZ884" s="39">
        <f t="shared" si="920"/>
        <v>0</v>
      </c>
      <c r="CA884" s="39">
        <f t="shared" si="895"/>
        <v>0</v>
      </c>
      <c r="CB884" s="39">
        <f t="shared" si="896"/>
        <v>0</v>
      </c>
      <c r="CC884" s="39">
        <f t="shared" si="897"/>
        <v>0</v>
      </c>
      <c r="CD884" s="39">
        <f t="shared" si="921"/>
        <v>0</v>
      </c>
      <c r="CE884" s="47" t="e">
        <f t="shared" si="898"/>
        <v>#DIV/0!</v>
      </c>
      <c r="CF884" s="36"/>
      <c r="CG884" s="39"/>
      <c r="CH884" s="39"/>
      <c r="CI884" s="25">
        <v>1</v>
      </c>
    </row>
    <row r="885" spans="1:87" ht="24.75" customHeight="1">
      <c r="A885" s="36" t="s">
        <v>20</v>
      </c>
      <c r="B885" s="29"/>
      <c r="C885" s="36"/>
      <c r="D885" s="36"/>
      <c r="E885" s="39"/>
      <c r="F885" s="39"/>
      <c r="G885" s="36"/>
      <c r="H885" s="39"/>
      <c r="I885" s="39"/>
      <c r="J885" s="39"/>
      <c r="K885" s="39"/>
      <c r="L885" s="39">
        <f t="shared" si="864"/>
        <v>0</v>
      </c>
      <c r="M885" s="36"/>
      <c r="N885" s="36"/>
      <c r="O885" s="39"/>
      <c r="P885" s="39"/>
      <c r="Q885" s="39"/>
      <c r="R885" s="39">
        <f t="shared" si="865"/>
        <v>0</v>
      </c>
      <c r="S885" s="39"/>
      <c r="T885" s="39"/>
      <c r="U885" s="39"/>
      <c r="V885" s="39"/>
      <c r="W885" s="39"/>
      <c r="X885" s="39"/>
      <c r="Y885" s="39"/>
      <c r="Z885" s="39"/>
      <c r="AA885" s="39"/>
      <c r="AB885" s="39">
        <f t="shared" si="866"/>
        <v>0</v>
      </c>
      <c r="AC885" s="39"/>
      <c r="AD885" s="39"/>
      <c r="AE885" s="39"/>
      <c r="AF885" s="39"/>
      <c r="AG885" s="39"/>
      <c r="AH885" s="39">
        <f t="shared" si="918"/>
        <v>0</v>
      </c>
      <c r="AI885" s="39"/>
      <c r="AJ885" s="39"/>
      <c r="AK885" s="39"/>
      <c r="AL885" s="39"/>
      <c r="AM885" s="39"/>
      <c r="AN885" s="39">
        <f t="shared" si="917"/>
        <v>0</v>
      </c>
      <c r="AO885" s="39"/>
      <c r="AP885" s="39"/>
      <c r="AQ885" s="39"/>
      <c r="AR885" s="39"/>
      <c r="AS885" s="39"/>
      <c r="AT885" s="39">
        <f t="shared" si="891"/>
        <v>0</v>
      </c>
      <c r="AU885" s="39"/>
      <c r="AV885" s="39"/>
      <c r="AW885" s="39"/>
      <c r="AX885" s="39"/>
      <c r="AY885" s="39"/>
      <c r="AZ885" s="39">
        <f t="shared" si="892"/>
        <v>0</v>
      </c>
      <c r="BA885" s="39"/>
      <c r="BB885" s="39"/>
      <c r="BC885" s="39"/>
      <c r="BD885" s="39"/>
      <c r="BE885" s="39"/>
      <c r="BF885" s="39">
        <f t="shared" si="893"/>
        <v>0</v>
      </c>
      <c r="BG885" s="39"/>
      <c r="BH885" s="39"/>
      <c r="BI885" s="39"/>
      <c r="BJ885" s="39"/>
      <c r="BK885" s="39"/>
      <c r="BL885" s="39">
        <f t="shared" si="919"/>
        <v>0</v>
      </c>
      <c r="BM885" s="54" t="e">
        <f t="shared" si="894"/>
        <v>#DIV/0!</v>
      </c>
      <c r="BN885" s="64"/>
      <c r="BO885" s="36"/>
      <c r="BP885" s="36"/>
      <c r="BQ885" s="36"/>
      <c r="BR885" s="37"/>
      <c r="BS885" s="37"/>
      <c r="BT885" s="39"/>
      <c r="BU885" s="39"/>
      <c r="BV885" s="39"/>
      <c r="BW885" s="39"/>
      <c r="BX885" s="39"/>
      <c r="BY885" s="39"/>
      <c r="BZ885" s="39">
        <f t="shared" si="920"/>
        <v>0</v>
      </c>
      <c r="CA885" s="39">
        <f t="shared" si="895"/>
        <v>0</v>
      </c>
      <c r="CB885" s="39">
        <f t="shared" si="896"/>
        <v>0</v>
      </c>
      <c r="CC885" s="39">
        <f t="shared" si="897"/>
        <v>0</v>
      </c>
      <c r="CD885" s="39">
        <f t="shared" si="921"/>
        <v>0</v>
      </c>
      <c r="CE885" s="47" t="e">
        <f t="shared" si="898"/>
        <v>#DIV/0!</v>
      </c>
      <c r="CF885" s="36"/>
      <c r="CG885" s="39"/>
      <c r="CH885" s="39"/>
      <c r="CI885" s="25">
        <v>1</v>
      </c>
    </row>
    <row r="886" spans="1:87" ht="24.75" customHeight="1">
      <c r="A886" s="36" t="s">
        <v>20</v>
      </c>
      <c r="B886" s="29"/>
      <c r="C886" s="36"/>
      <c r="D886" s="36"/>
      <c r="E886" s="39"/>
      <c r="F886" s="39"/>
      <c r="G886" s="36"/>
      <c r="H886" s="39"/>
      <c r="I886" s="39"/>
      <c r="J886" s="39"/>
      <c r="K886" s="39"/>
      <c r="L886" s="39">
        <f t="shared" si="864"/>
        <v>0</v>
      </c>
      <c r="M886" s="36"/>
      <c r="N886" s="36"/>
      <c r="O886" s="39"/>
      <c r="P886" s="39"/>
      <c r="Q886" s="39"/>
      <c r="R886" s="39">
        <f t="shared" si="865"/>
        <v>0</v>
      </c>
      <c r="S886" s="39"/>
      <c r="T886" s="39"/>
      <c r="U886" s="39"/>
      <c r="V886" s="39"/>
      <c r="W886" s="39"/>
      <c r="X886" s="39"/>
      <c r="Y886" s="39"/>
      <c r="Z886" s="39"/>
      <c r="AA886" s="39"/>
      <c r="AB886" s="39">
        <f t="shared" si="866"/>
        <v>0</v>
      </c>
      <c r="AC886" s="39"/>
      <c r="AD886" s="39"/>
      <c r="AE886" s="39"/>
      <c r="AF886" s="39"/>
      <c r="AG886" s="39"/>
      <c r="AH886" s="39">
        <f t="shared" si="918"/>
        <v>0</v>
      </c>
      <c r="AI886" s="39"/>
      <c r="AJ886" s="39"/>
      <c r="AK886" s="39"/>
      <c r="AL886" s="39"/>
      <c r="AM886" s="39"/>
      <c r="AN886" s="39">
        <f t="shared" si="917"/>
        <v>0</v>
      </c>
      <c r="AO886" s="39"/>
      <c r="AP886" s="39"/>
      <c r="AQ886" s="39"/>
      <c r="AR886" s="39"/>
      <c r="AS886" s="39"/>
      <c r="AT886" s="39">
        <f t="shared" si="891"/>
        <v>0</v>
      </c>
      <c r="AU886" s="39"/>
      <c r="AV886" s="39"/>
      <c r="AW886" s="39"/>
      <c r="AX886" s="39"/>
      <c r="AY886" s="39"/>
      <c r="AZ886" s="39">
        <f t="shared" si="892"/>
        <v>0</v>
      </c>
      <c r="BA886" s="39"/>
      <c r="BB886" s="39"/>
      <c r="BC886" s="39"/>
      <c r="BD886" s="39"/>
      <c r="BE886" s="39"/>
      <c r="BF886" s="39">
        <f t="shared" si="893"/>
        <v>0</v>
      </c>
      <c r="BG886" s="39"/>
      <c r="BH886" s="39"/>
      <c r="BI886" s="39"/>
      <c r="BJ886" s="39"/>
      <c r="BK886" s="39"/>
      <c r="BL886" s="39">
        <f t="shared" si="919"/>
        <v>0</v>
      </c>
      <c r="BM886" s="54" t="e">
        <f t="shared" si="894"/>
        <v>#DIV/0!</v>
      </c>
      <c r="BN886" s="64"/>
      <c r="BO886" s="36"/>
      <c r="BP886" s="36"/>
      <c r="BQ886" s="36"/>
      <c r="BR886" s="37"/>
      <c r="BS886" s="37"/>
      <c r="BT886" s="39"/>
      <c r="BU886" s="39"/>
      <c r="BV886" s="39"/>
      <c r="BW886" s="39"/>
      <c r="BX886" s="39"/>
      <c r="BY886" s="39"/>
      <c r="BZ886" s="39">
        <f t="shared" si="920"/>
        <v>0</v>
      </c>
      <c r="CA886" s="39">
        <f t="shared" si="895"/>
        <v>0</v>
      </c>
      <c r="CB886" s="39">
        <f t="shared" si="896"/>
        <v>0</v>
      </c>
      <c r="CC886" s="39">
        <f t="shared" si="897"/>
        <v>0</v>
      </c>
      <c r="CD886" s="39">
        <f t="shared" si="921"/>
        <v>0</v>
      </c>
      <c r="CE886" s="47" t="e">
        <f t="shared" si="898"/>
        <v>#DIV/0!</v>
      </c>
      <c r="CF886" s="36"/>
      <c r="CG886" s="39"/>
      <c r="CH886" s="39"/>
      <c r="CI886" s="25">
        <v>1</v>
      </c>
    </row>
    <row r="887" spans="1:87" ht="24.75" customHeight="1">
      <c r="A887" s="36" t="s">
        <v>20</v>
      </c>
      <c r="B887" s="29"/>
      <c r="C887" s="36"/>
      <c r="D887" s="36"/>
      <c r="E887" s="39"/>
      <c r="F887" s="39"/>
      <c r="G887" s="36"/>
      <c r="H887" s="39"/>
      <c r="I887" s="39"/>
      <c r="J887" s="39"/>
      <c r="K887" s="39"/>
      <c r="L887" s="39">
        <f t="shared" si="864"/>
        <v>0</v>
      </c>
      <c r="M887" s="36"/>
      <c r="N887" s="36"/>
      <c r="O887" s="39"/>
      <c r="P887" s="39"/>
      <c r="Q887" s="39"/>
      <c r="R887" s="39">
        <f t="shared" si="865"/>
        <v>0</v>
      </c>
      <c r="S887" s="39"/>
      <c r="T887" s="39"/>
      <c r="U887" s="39"/>
      <c r="V887" s="39"/>
      <c r="W887" s="39"/>
      <c r="X887" s="39"/>
      <c r="Y887" s="39"/>
      <c r="Z887" s="39"/>
      <c r="AA887" s="39"/>
      <c r="AB887" s="39">
        <f t="shared" si="866"/>
        <v>0</v>
      </c>
      <c r="AC887" s="39"/>
      <c r="AD887" s="39"/>
      <c r="AE887" s="39"/>
      <c r="AF887" s="39"/>
      <c r="AG887" s="39"/>
      <c r="AH887" s="39">
        <f t="shared" si="918"/>
        <v>0</v>
      </c>
      <c r="AI887" s="39"/>
      <c r="AJ887" s="39"/>
      <c r="AK887" s="39"/>
      <c r="AL887" s="39"/>
      <c r="AM887" s="39"/>
      <c r="AN887" s="39">
        <f t="shared" si="917"/>
        <v>0</v>
      </c>
      <c r="AO887" s="39"/>
      <c r="AP887" s="39"/>
      <c r="AQ887" s="39"/>
      <c r="AR887" s="39"/>
      <c r="AS887" s="39"/>
      <c r="AT887" s="39">
        <f t="shared" si="891"/>
        <v>0</v>
      </c>
      <c r="AU887" s="39"/>
      <c r="AV887" s="39"/>
      <c r="AW887" s="39"/>
      <c r="AX887" s="39"/>
      <c r="AY887" s="39"/>
      <c r="AZ887" s="39">
        <f t="shared" si="892"/>
        <v>0</v>
      </c>
      <c r="BA887" s="39"/>
      <c r="BB887" s="39"/>
      <c r="BC887" s="39"/>
      <c r="BD887" s="39"/>
      <c r="BE887" s="39"/>
      <c r="BF887" s="39">
        <f t="shared" si="893"/>
        <v>0</v>
      </c>
      <c r="BG887" s="39"/>
      <c r="BH887" s="39"/>
      <c r="BI887" s="39"/>
      <c r="BJ887" s="39"/>
      <c r="BK887" s="39"/>
      <c r="BL887" s="39">
        <f t="shared" si="919"/>
        <v>0</v>
      </c>
      <c r="BM887" s="54" t="e">
        <f t="shared" si="894"/>
        <v>#DIV/0!</v>
      </c>
      <c r="BN887" s="64"/>
      <c r="BO887" s="36"/>
      <c r="BP887" s="36"/>
      <c r="BQ887" s="36"/>
      <c r="BR887" s="37"/>
      <c r="BS887" s="37"/>
      <c r="BT887" s="39"/>
      <c r="BU887" s="39"/>
      <c r="BV887" s="39"/>
      <c r="BW887" s="39"/>
      <c r="BX887" s="39"/>
      <c r="BY887" s="39"/>
      <c r="BZ887" s="39">
        <f t="shared" si="920"/>
        <v>0</v>
      </c>
      <c r="CA887" s="39">
        <f t="shared" si="895"/>
        <v>0</v>
      </c>
      <c r="CB887" s="39">
        <f t="shared" si="896"/>
        <v>0</v>
      </c>
      <c r="CC887" s="39">
        <f t="shared" si="897"/>
        <v>0</v>
      </c>
      <c r="CD887" s="39">
        <f t="shared" si="921"/>
        <v>0</v>
      </c>
      <c r="CE887" s="47" t="e">
        <f t="shared" si="898"/>
        <v>#DIV/0!</v>
      </c>
      <c r="CF887" s="36"/>
      <c r="CG887" s="39"/>
      <c r="CH887" s="39"/>
      <c r="CI887" s="25">
        <v>1</v>
      </c>
    </row>
    <row r="888" spans="1:87" ht="24.75" customHeight="1">
      <c r="A888" s="36" t="s">
        <v>20</v>
      </c>
      <c r="B888" s="29" t="s">
        <v>571</v>
      </c>
      <c r="C888" s="227" t="s">
        <v>572</v>
      </c>
      <c r="D888" s="36"/>
      <c r="E888" s="39">
        <v>220</v>
      </c>
      <c r="F888" s="39" t="s">
        <v>63</v>
      </c>
      <c r="G888" s="36" t="s">
        <v>23</v>
      </c>
      <c r="H888" s="36" t="s">
        <v>573</v>
      </c>
      <c r="I888" s="39">
        <v>311</v>
      </c>
      <c r="J888" s="39"/>
      <c r="K888" s="39"/>
      <c r="L888" s="39">
        <f t="shared" ref="L888" si="924">SUM(I888:K888)</f>
        <v>311</v>
      </c>
      <c r="M888" s="117">
        <v>46178</v>
      </c>
      <c r="N888" s="117">
        <v>46188</v>
      </c>
      <c r="O888" s="39"/>
      <c r="P888" s="39"/>
      <c r="Q888" s="39"/>
      <c r="R888" s="39">
        <f t="shared" ref="R888" si="925">SUM(O888:Q888)</f>
        <v>0</v>
      </c>
      <c r="S888" s="39" t="s">
        <v>130</v>
      </c>
      <c r="T888" s="39">
        <v>107855</v>
      </c>
      <c r="U888" s="117">
        <v>46223</v>
      </c>
      <c r="V888" s="39"/>
      <c r="W888" s="39"/>
      <c r="X888" s="39"/>
      <c r="Y888" s="39">
        <v>356</v>
      </c>
      <c r="Z888" s="39"/>
      <c r="AA888" s="39"/>
      <c r="AB888" s="119">
        <f t="shared" ref="AB888:AB889" si="926">SUM(Y888:AA888)</f>
        <v>356</v>
      </c>
      <c r="AC888" s="39"/>
      <c r="AD888" s="39"/>
      <c r="AE888" s="39"/>
      <c r="AF888" s="39"/>
      <c r="AG888" s="39"/>
      <c r="AH888" s="39">
        <f t="shared" si="918"/>
        <v>0</v>
      </c>
      <c r="AI888" s="39"/>
      <c r="AJ888" s="39"/>
      <c r="AK888" s="39"/>
      <c r="AL888" s="39"/>
      <c r="AM888" s="39"/>
      <c r="AN888" s="39">
        <f t="shared" si="917"/>
        <v>0</v>
      </c>
      <c r="AO888" s="39"/>
      <c r="AP888" s="39"/>
      <c r="AQ888" s="39"/>
      <c r="AR888" s="39"/>
      <c r="AS888" s="39"/>
      <c r="AT888" s="39">
        <f t="shared" si="891"/>
        <v>0</v>
      </c>
      <c r="AU888" s="39"/>
      <c r="AV888" s="39"/>
      <c r="AW888" s="39"/>
      <c r="AX888" s="39"/>
      <c r="AY888" s="39"/>
      <c r="AZ888" s="39">
        <f t="shared" si="892"/>
        <v>0</v>
      </c>
      <c r="BA888" s="39"/>
      <c r="BB888" s="39"/>
      <c r="BC888" s="39"/>
      <c r="BD888" s="39"/>
      <c r="BE888" s="39"/>
      <c r="BF888" s="39">
        <f t="shared" si="893"/>
        <v>0</v>
      </c>
      <c r="BG888" s="39"/>
      <c r="BH888" s="39"/>
      <c r="BI888" s="39"/>
      <c r="BJ888" s="39"/>
      <c r="BK888" s="39"/>
      <c r="BL888" s="39">
        <f t="shared" si="919"/>
        <v>0</v>
      </c>
      <c r="BM888" s="54" t="str">
        <f t="shared" si="894"/>
        <v/>
      </c>
      <c r="BN888" s="59">
        <v>46189</v>
      </c>
      <c r="BO888" s="57">
        <v>46198</v>
      </c>
      <c r="BP888" s="36"/>
      <c r="BQ888" s="36"/>
      <c r="BR888" s="229">
        <v>46225</v>
      </c>
      <c r="BS888" s="229">
        <v>46226</v>
      </c>
      <c r="BT888" s="39" t="s">
        <v>1957</v>
      </c>
      <c r="BU888" s="39">
        <f>289+32+16</f>
        <v>337</v>
      </c>
      <c r="BV888" s="39"/>
      <c r="BW888" s="39"/>
      <c r="BX888" s="39"/>
      <c r="BY888" s="39"/>
      <c r="BZ888" s="39">
        <f t="shared" si="920"/>
        <v>337</v>
      </c>
      <c r="CA888" s="39">
        <f t="shared" si="895"/>
        <v>26</v>
      </c>
      <c r="CB888" s="39">
        <f t="shared" si="896"/>
        <v>0</v>
      </c>
      <c r="CC888" s="39">
        <f t="shared" si="897"/>
        <v>0</v>
      </c>
      <c r="CD888" s="39">
        <f t="shared" si="921"/>
        <v>0</v>
      </c>
      <c r="CE888" s="102">
        <f t="shared" si="898"/>
        <v>0</v>
      </c>
      <c r="CF888" s="36"/>
      <c r="CG888" s="39" t="s">
        <v>233</v>
      </c>
      <c r="CH888" s="39"/>
      <c r="CI888" s="25">
        <v>2</v>
      </c>
    </row>
    <row r="889" spans="1:87" ht="24.75" customHeight="1">
      <c r="A889" s="36" t="s">
        <v>20</v>
      </c>
      <c r="B889" s="29" t="s">
        <v>571</v>
      </c>
      <c r="C889" s="228"/>
      <c r="D889" s="36"/>
      <c r="E889" s="39"/>
      <c r="F889" s="39"/>
      <c r="G889" s="36" t="s">
        <v>574</v>
      </c>
      <c r="H889" s="39">
        <v>541</v>
      </c>
      <c r="I889" s="39" t="s">
        <v>90</v>
      </c>
      <c r="J889" s="39"/>
      <c r="K889" s="39"/>
      <c r="L889" s="39">
        <f t="shared" ref="L889" si="927">SUM(I889:K889)</f>
        <v>0</v>
      </c>
      <c r="M889" s="117">
        <v>46178</v>
      </c>
      <c r="N889" s="117">
        <v>46188</v>
      </c>
      <c r="O889" s="39"/>
      <c r="P889" s="39"/>
      <c r="Q889" s="39"/>
      <c r="R889" s="39">
        <f t="shared" ref="R889" si="928">SUM(O889:Q889)</f>
        <v>0</v>
      </c>
      <c r="S889" s="39" t="s">
        <v>130</v>
      </c>
      <c r="T889" s="39">
        <v>107863</v>
      </c>
      <c r="U889" s="117">
        <v>46227</v>
      </c>
      <c r="V889" s="39"/>
      <c r="W889" s="39"/>
      <c r="X889" s="39"/>
      <c r="Y889" s="39">
        <v>99</v>
      </c>
      <c r="Z889" s="39"/>
      <c r="AA889" s="39"/>
      <c r="AB889" s="39">
        <f t="shared" si="926"/>
        <v>99</v>
      </c>
      <c r="AC889" s="39"/>
      <c r="AD889" s="39"/>
      <c r="AE889" s="39"/>
      <c r="AF889" s="39"/>
      <c r="AG889" s="39"/>
      <c r="AH889" s="39">
        <f t="shared" si="918"/>
        <v>0</v>
      </c>
      <c r="AI889" s="39"/>
      <c r="AJ889" s="39"/>
      <c r="AK889" s="39"/>
      <c r="AL889" s="39"/>
      <c r="AM889" s="39"/>
      <c r="AN889" s="39">
        <f t="shared" si="917"/>
        <v>0</v>
      </c>
      <c r="AO889" s="39"/>
      <c r="AP889" s="39"/>
      <c r="AQ889" s="39"/>
      <c r="AR889" s="39"/>
      <c r="AS889" s="39"/>
      <c r="AT889" s="39">
        <f t="shared" si="891"/>
        <v>0</v>
      </c>
      <c r="AU889" s="39"/>
      <c r="AV889" s="39"/>
      <c r="AW889" s="39"/>
      <c r="AX889" s="39"/>
      <c r="AY889" s="39"/>
      <c r="AZ889" s="39">
        <f t="shared" si="892"/>
        <v>0</v>
      </c>
      <c r="BA889" s="39"/>
      <c r="BB889" s="39"/>
      <c r="BC889" s="39"/>
      <c r="BD889" s="39"/>
      <c r="BE889" s="39"/>
      <c r="BF889" s="39">
        <f t="shared" si="893"/>
        <v>0</v>
      </c>
      <c r="BG889" s="39"/>
      <c r="BH889" s="39"/>
      <c r="BI889" s="39"/>
      <c r="BJ889" s="39"/>
      <c r="BK889" s="39"/>
      <c r="BL889" s="39">
        <f t="shared" si="919"/>
        <v>0</v>
      </c>
      <c r="BM889" s="54" t="e">
        <f t="shared" si="894"/>
        <v>#DIV/0!</v>
      </c>
      <c r="BN889" s="59">
        <v>46189</v>
      </c>
      <c r="BO889" s="57">
        <v>46198</v>
      </c>
      <c r="BP889" s="36"/>
      <c r="BQ889" s="36"/>
      <c r="BR889" s="230"/>
      <c r="BS889" s="230"/>
      <c r="BT889" s="39">
        <v>1844</v>
      </c>
      <c r="BU889" s="39">
        <v>90</v>
      </c>
      <c r="BV889" s="39"/>
      <c r="BW889" s="39"/>
      <c r="BX889" s="39"/>
      <c r="BY889" s="39"/>
      <c r="BZ889" s="39">
        <f t="shared" si="920"/>
        <v>90</v>
      </c>
      <c r="CA889" s="39" t="e">
        <f t="shared" si="895"/>
        <v>#VALUE!</v>
      </c>
      <c r="CB889" s="39">
        <f t="shared" si="896"/>
        <v>0</v>
      </c>
      <c r="CC889" s="39">
        <f t="shared" si="897"/>
        <v>0</v>
      </c>
      <c r="CD889" s="39">
        <f t="shared" si="921"/>
        <v>0</v>
      </c>
      <c r="CE889" s="102" t="e">
        <f t="shared" si="898"/>
        <v>#DIV/0!</v>
      </c>
      <c r="CF889" s="36"/>
      <c r="CG889" s="39" t="s">
        <v>233</v>
      </c>
      <c r="CH889" s="39"/>
      <c r="CI889" s="25">
        <v>2</v>
      </c>
    </row>
    <row r="890" spans="1:87" ht="33.75" customHeight="1">
      <c r="A890" s="36" t="s">
        <v>20</v>
      </c>
      <c r="B890" s="29" t="s">
        <v>816</v>
      </c>
      <c r="C890" s="36" t="s">
        <v>817</v>
      </c>
      <c r="D890" s="36"/>
      <c r="E890" s="39">
        <v>180</v>
      </c>
      <c r="F890" s="39" t="s">
        <v>55</v>
      </c>
      <c r="G890" s="36" t="s">
        <v>23</v>
      </c>
      <c r="H890" s="36" t="s">
        <v>127</v>
      </c>
      <c r="I890" s="39">
        <v>380</v>
      </c>
      <c r="J890" s="39"/>
      <c r="K890" s="39"/>
      <c r="L890" s="39">
        <f t="shared" ref="L890:L910" si="929">SUM(I890:K890)</f>
        <v>380</v>
      </c>
      <c r="M890" s="117">
        <v>46179</v>
      </c>
      <c r="N890" s="117">
        <v>46185</v>
      </c>
      <c r="O890" s="39"/>
      <c r="P890" s="39"/>
      <c r="Q890" s="39"/>
      <c r="R890" s="39">
        <f t="shared" ref="R890:R896" si="930">SUM(O890:Q890)</f>
        <v>0</v>
      </c>
      <c r="S890" s="39" t="s">
        <v>130</v>
      </c>
      <c r="T890" s="39">
        <v>107258</v>
      </c>
      <c r="U890" s="117">
        <v>46203</v>
      </c>
      <c r="V890" s="39"/>
      <c r="W890" s="39"/>
      <c r="X890" s="39"/>
      <c r="Y890" s="39">
        <v>418</v>
      </c>
      <c r="Z890" s="39"/>
      <c r="AA890" s="39"/>
      <c r="AB890" s="119">
        <f t="shared" ref="AB890:AB910" si="931">SUM(Y890:AA890)</f>
        <v>418</v>
      </c>
      <c r="AC890" s="39"/>
      <c r="AD890" s="39"/>
      <c r="AE890" s="39"/>
      <c r="AF890" s="39"/>
      <c r="AG890" s="39"/>
      <c r="AH890" s="39">
        <f t="shared" si="918"/>
        <v>0</v>
      </c>
      <c r="AI890" s="39"/>
      <c r="AJ890" s="39"/>
      <c r="AK890" s="39"/>
      <c r="AL890" s="39"/>
      <c r="AM890" s="39"/>
      <c r="AN890" s="39">
        <f t="shared" si="917"/>
        <v>0</v>
      </c>
      <c r="AO890" s="39"/>
      <c r="AP890" s="39"/>
      <c r="AQ890" s="39"/>
      <c r="AR890" s="39"/>
      <c r="AS890" s="39"/>
      <c r="AT890" s="39">
        <f t="shared" si="891"/>
        <v>0</v>
      </c>
      <c r="AU890" s="39"/>
      <c r="AV890" s="39"/>
      <c r="AW890" s="39"/>
      <c r="AX890" s="39"/>
      <c r="AY890" s="39"/>
      <c r="AZ890" s="39">
        <f t="shared" si="892"/>
        <v>0</v>
      </c>
      <c r="BA890" s="39"/>
      <c r="BB890" s="39"/>
      <c r="BC890" s="39"/>
      <c r="BD890" s="39"/>
      <c r="BE890" s="39"/>
      <c r="BF890" s="39">
        <f t="shared" si="893"/>
        <v>0</v>
      </c>
      <c r="BG890" s="39"/>
      <c r="BH890" s="39"/>
      <c r="BI890" s="39"/>
      <c r="BJ890" s="39"/>
      <c r="BK890" s="39"/>
      <c r="BL890" s="39">
        <f t="shared" si="919"/>
        <v>0</v>
      </c>
      <c r="BM890" s="54" t="str">
        <f t="shared" si="894"/>
        <v/>
      </c>
      <c r="BN890" s="59">
        <v>46186</v>
      </c>
      <c r="BO890" s="57">
        <v>46197</v>
      </c>
      <c r="BP890" s="36"/>
      <c r="BQ890" s="36"/>
      <c r="BR890" s="50">
        <v>46211</v>
      </c>
      <c r="BS890" s="50">
        <v>46211</v>
      </c>
      <c r="BT890" s="39">
        <v>1583</v>
      </c>
      <c r="BU890" s="39">
        <v>380</v>
      </c>
      <c r="BV890" s="39"/>
      <c r="BW890" s="39"/>
      <c r="BX890" s="39"/>
      <c r="BY890" s="39"/>
      <c r="BZ890" s="39">
        <f t="shared" si="920"/>
        <v>380</v>
      </c>
      <c r="CA890" s="39">
        <f t="shared" si="895"/>
        <v>0</v>
      </c>
      <c r="CB890" s="39">
        <f t="shared" si="896"/>
        <v>0</v>
      </c>
      <c r="CC890" s="39">
        <f t="shared" si="897"/>
        <v>0</v>
      </c>
      <c r="CD890" s="39">
        <f t="shared" si="921"/>
        <v>0</v>
      </c>
      <c r="CE890" s="102">
        <f t="shared" si="898"/>
        <v>0</v>
      </c>
      <c r="CF890" s="36"/>
      <c r="CG890" s="39" t="s">
        <v>232</v>
      </c>
      <c r="CH890" s="39"/>
      <c r="CI890" s="25">
        <v>2</v>
      </c>
    </row>
    <row r="891" spans="1:87" ht="35.25" customHeight="1">
      <c r="A891" s="36" t="s">
        <v>20</v>
      </c>
      <c r="B891" s="29" t="s">
        <v>818</v>
      </c>
      <c r="C891" s="36" t="s">
        <v>819</v>
      </c>
      <c r="D891" s="36" t="s">
        <v>37</v>
      </c>
      <c r="E891" s="39">
        <v>210</v>
      </c>
      <c r="F891" s="39" t="s">
        <v>53</v>
      </c>
      <c r="G891" s="36" t="s">
        <v>522</v>
      </c>
      <c r="H891" s="36" t="s">
        <v>209</v>
      </c>
      <c r="I891" s="39">
        <v>600</v>
      </c>
      <c r="J891" s="39"/>
      <c r="K891" s="39"/>
      <c r="L891" s="39">
        <f t="shared" si="929"/>
        <v>600</v>
      </c>
      <c r="M891" s="117">
        <v>46163</v>
      </c>
      <c r="N891" s="117">
        <v>46185</v>
      </c>
      <c r="O891" s="39"/>
      <c r="P891" s="39"/>
      <c r="Q891" s="39"/>
      <c r="R891" s="39">
        <f t="shared" si="930"/>
        <v>0</v>
      </c>
      <c r="S891" s="39" t="s">
        <v>130</v>
      </c>
      <c r="T891" s="39">
        <v>106988</v>
      </c>
      <c r="U891" s="117">
        <v>46190</v>
      </c>
      <c r="V891" s="39"/>
      <c r="W891" s="39"/>
      <c r="X891" s="39"/>
      <c r="Y891" s="39">
        <v>658</v>
      </c>
      <c r="Z891" s="39"/>
      <c r="AA891" s="39"/>
      <c r="AB891" s="119">
        <f t="shared" si="931"/>
        <v>658</v>
      </c>
      <c r="AC891" s="39" t="s">
        <v>269</v>
      </c>
      <c r="AD891" s="117">
        <v>46193</v>
      </c>
      <c r="AE891" s="39">
        <f>448</f>
        <v>448</v>
      </c>
      <c r="AF891" s="117">
        <v>46204</v>
      </c>
      <c r="AG891" s="39">
        <f>538</f>
        <v>538</v>
      </c>
      <c r="AH891" s="39">
        <f t="shared" si="918"/>
        <v>90</v>
      </c>
      <c r="AI891" s="39"/>
      <c r="AJ891" s="39"/>
      <c r="AK891" s="39"/>
      <c r="AL891" s="39"/>
      <c r="AM891" s="39"/>
      <c r="AN891" s="39">
        <f t="shared" si="917"/>
        <v>0</v>
      </c>
      <c r="AO891" s="39"/>
      <c r="AP891" s="39"/>
      <c r="AQ891" s="39"/>
      <c r="AR891" s="39"/>
      <c r="AS891" s="39"/>
      <c r="AT891" s="39">
        <f t="shared" si="891"/>
        <v>0</v>
      </c>
      <c r="AU891" s="39"/>
      <c r="AV891" s="39"/>
      <c r="AW891" s="39"/>
      <c r="AX891" s="39"/>
      <c r="AY891" s="39"/>
      <c r="AZ891" s="39">
        <f t="shared" si="892"/>
        <v>0</v>
      </c>
      <c r="BA891" s="39"/>
      <c r="BB891" s="39"/>
      <c r="BC891" s="39"/>
      <c r="BD891" s="39"/>
      <c r="BE891" s="39"/>
      <c r="BF891" s="39">
        <f t="shared" si="893"/>
        <v>0</v>
      </c>
      <c r="BG891" s="39"/>
      <c r="BH891" s="39"/>
      <c r="BI891" s="39"/>
      <c r="BJ891" s="39"/>
      <c r="BK891" s="39"/>
      <c r="BL891" s="39">
        <f t="shared" si="919"/>
        <v>0</v>
      </c>
      <c r="BM891" s="54" t="str">
        <f t="shared" si="894"/>
        <v/>
      </c>
      <c r="BN891" s="59">
        <v>46186</v>
      </c>
      <c r="BO891" s="57">
        <v>46196</v>
      </c>
      <c r="BP891" s="57">
        <v>46197</v>
      </c>
      <c r="BQ891" s="57">
        <v>46205</v>
      </c>
      <c r="BR891" s="50">
        <v>46190</v>
      </c>
      <c r="BS891" s="50">
        <v>46206</v>
      </c>
      <c r="BT891" s="39" t="s">
        <v>1348</v>
      </c>
      <c r="BU891" s="39">
        <f>160+537</f>
        <v>697</v>
      </c>
      <c r="BV891" s="39"/>
      <c r="BW891" s="39"/>
      <c r="BX891" s="39"/>
      <c r="BY891" s="39"/>
      <c r="BZ891" s="39">
        <f t="shared" si="920"/>
        <v>697</v>
      </c>
      <c r="CA891" s="39">
        <f t="shared" si="895"/>
        <v>97</v>
      </c>
      <c r="CB891" s="39">
        <f t="shared" si="896"/>
        <v>0</v>
      </c>
      <c r="CC891" s="39">
        <f t="shared" si="897"/>
        <v>0</v>
      </c>
      <c r="CD891" s="39">
        <f t="shared" si="921"/>
        <v>0</v>
      </c>
      <c r="CE891" s="102">
        <f t="shared" si="898"/>
        <v>0</v>
      </c>
      <c r="CF891" s="36"/>
      <c r="CG891" s="39" t="s">
        <v>232</v>
      </c>
      <c r="CH891" s="39"/>
      <c r="CI891" s="25">
        <v>2</v>
      </c>
    </row>
    <row r="892" spans="1:87" ht="33.75" customHeight="1">
      <c r="A892" s="36" t="s">
        <v>20</v>
      </c>
      <c r="B892" s="29" t="s">
        <v>820</v>
      </c>
      <c r="C892" s="36" t="s">
        <v>821</v>
      </c>
      <c r="D892" s="36"/>
      <c r="E892" s="39">
        <v>200</v>
      </c>
      <c r="F892" s="39" t="s">
        <v>60</v>
      </c>
      <c r="G892" s="36" t="s">
        <v>23</v>
      </c>
      <c r="H892" s="36" t="s">
        <v>91</v>
      </c>
      <c r="I892" s="39">
        <v>586</v>
      </c>
      <c r="J892" s="39"/>
      <c r="K892" s="39"/>
      <c r="L892" s="39">
        <f t="shared" si="929"/>
        <v>586</v>
      </c>
      <c r="M892" s="117">
        <v>46178</v>
      </c>
      <c r="N892" s="117">
        <v>46186</v>
      </c>
      <c r="O892" s="39"/>
      <c r="P892" s="39"/>
      <c r="Q892" s="39"/>
      <c r="R892" s="39">
        <f t="shared" si="930"/>
        <v>0</v>
      </c>
      <c r="S892" s="39" t="s">
        <v>28</v>
      </c>
      <c r="T892" s="39"/>
      <c r="U892" s="39"/>
      <c r="V892" s="117">
        <v>46188</v>
      </c>
      <c r="W892" s="39">
        <v>640</v>
      </c>
      <c r="X892" s="117">
        <v>46197</v>
      </c>
      <c r="Y892" s="39">
        <v>608</v>
      </c>
      <c r="Z892" s="39"/>
      <c r="AA892" s="39"/>
      <c r="AB892" s="119">
        <f t="shared" si="931"/>
        <v>608</v>
      </c>
      <c r="AC892" s="39"/>
      <c r="AD892" s="39"/>
      <c r="AE892" s="39"/>
      <c r="AF892" s="39"/>
      <c r="AG892" s="39"/>
      <c r="AH892" s="39">
        <f t="shared" si="918"/>
        <v>0</v>
      </c>
      <c r="AI892" s="39"/>
      <c r="AJ892" s="39"/>
      <c r="AK892" s="39"/>
      <c r="AL892" s="39"/>
      <c r="AM892" s="39"/>
      <c r="AN892" s="39">
        <f t="shared" si="917"/>
        <v>0</v>
      </c>
      <c r="AO892" s="39"/>
      <c r="AP892" s="39"/>
      <c r="AQ892" s="39"/>
      <c r="AR892" s="39"/>
      <c r="AS892" s="39"/>
      <c r="AT892" s="39">
        <f t="shared" si="891"/>
        <v>0</v>
      </c>
      <c r="AU892" s="39"/>
      <c r="AV892" s="39"/>
      <c r="AW892" s="39"/>
      <c r="AX892" s="39"/>
      <c r="AY892" s="39"/>
      <c r="AZ892" s="39">
        <f t="shared" si="892"/>
        <v>0</v>
      </c>
      <c r="BA892" s="39"/>
      <c r="BB892" s="39"/>
      <c r="BC892" s="39"/>
      <c r="BD892" s="39"/>
      <c r="BE892" s="39"/>
      <c r="BF892" s="39">
        <f t="shared" si="893"/>
        <v>0</v>
      </c>
      <c r="BG892" s="39"/>
      <c r="BH892" s="39"/>
      <c r="BI892" s="39"/>
      <c r="BJ892" s="39"/>
      <c r="BK892" s="39"/>
      <c r="BL892" s="39">
        <f t="shared" si="919"/>
        <v>0</v>
      </c>
      <c r="BM892" s="54" t="str">
        <f t="shared" si="894"/>
        <v/>
      </c>
      <c r="BN892" s="59">
        <v>46188</v>
      </c>
      <c r="BO892" s="57">
        <v>46199</v>
      </c>
      <c r="BP892" s="36"/>
      <c r="BQ892" s="36"/>
      <c r="BR892" s="50">
        <v>46198</v>
      </c>
      <c r="BS892" s="50">
        <v>46198</v>
      </c>
      <c r="BT892" s="39">
        <v>1758</v>
      </c>
      <c r="BU892" s="39">
        <v>608</v>
      </c>
      <c r="BV892" s="39"/>
      <c r="BW892" s="39"/>
      <c r="BX892" s="39"/>
      <c r="BY892" s="39"/>
      <c r="BZ892" s="39">
        <f t="shared" si="920"/>
        <v>608</v>
      </c>
      <c r="CA892" s="39">
        <f t="shared" si="895"/>
        <v>22</v>
      </c>
      <c r="CB892" s="39">
        <f t="shared" si="896"/>
        <v>0</v>
      </c>
      <c r="CC892" s="39">
        <f t="shared" si="897"/>
        <v>0</v>
      </c>
      <c r="CD892" s="39">
        <f t="shared" si="921"/>
        <v>0</v>
      </c>
      <c r="CE892" s="102">
        <f t="shared" si="898"/>
        <v>0</v>
      </c>
      <c r="CF892" s="36"/>
      <c r="CG892" s="39" t="s">
        <v>232</v>
      </c>
      <c r="CH892" s="39"/>
      <c r="CI892" s="25">
        <v>2</v>
      </c>
    </row>
    <row r="893" spans="1:87" ht="33.75" customHeight="1">
      <c r="A893" s="36" t="s">
        <v>20</v>
      </c>
      <c r="B893" s="29" t="s">
        <v>822</v>
      </c>
      <c r="C893" s="36" t="s">
        <v>823</v>
      </c>
      <c r="D893" s="36"/>
      <c r="E893" s="39">
        <v>200</v>
      </c>
      <c r="F893" s="39" t="s">
        <v>60</v>
      </c>
      <c r="G893" s="36" t="s">
        <v>23</v>
      </c>
      <c r="H893" s="36" t="s">
        <v>91</v>
      </c>
      <c r="I893" s="39">
        <v>350</v>
      </c>
      <c r="J893" s="39"/>
      <c r="K893" s="39">
        <v>8</v>
      </c>
      <c r="L893" s="39">
        <f t="shared" si="929"/>
        <v>358</v>
      </c>
      <c r="M893" s="117">
        <v>46178</v>
      </c>
      <c r="N893" s="117">
        <v>46186</v>
      </c>
      <c r="O893" s="39"/>
      <c r="P893" s="39"/>
      <c r="Q893" s="39"/>
      <c r="R893" s="39">
        <f t="shared" si="930"/>
        <v>0</v>
      </c>
      <c r="S893" s="39" t="s">
        <v>28</v>
      </c>
      <c r="T893" s="39"/>
      <c r="U893" s="39"/>
      <c r="V893" s="117">
        <v>46195</v>
      </c>
      <c r="W893" s="39">
        <f>366+12</f>
        <v>378</v>
      </c>
      <c r="X893" s="117">
        <v>46200</v>
      </c>
      <c r="Y893" s="39">
        <v>350</v>
      </c>
      <c r="Z893" s="39"/>
      <c r="AA893" s="39">
        <v>12</v>
      </c>
      <c r="AB893" s="119">
        <f t="shared" si="931"/>
        <v>362</v>
      </c>
      <c r="AC893" s="39"/>
      <c r="AD893" s="39"/>
      <c r="AE893" s="39"/>
      <c r="AF893" s="39"/>
      <c r="AG893" s="39"/>
      <c r="AH893" s="39">
        <f t="shared" si="918"/>
        <v>0</v>
      </c>
      <c r="AI893" s="39"/>
      <c r="AJ893" s="39"/>
      <c r="AK893" s="39"/>
      <c r="AL893" s="39"/>
      <c r="AM893" s="39"/>
      <c r="AN893" s="39">
        <f t="shared" si="917"/>
        <v>0</v>
      </c>
      <c r="AO893" s="39"/>
      <c r="AP893" s="39"/>
      <c r="AQ893" s="39"/>
      <c r="AR893" s="39"/>
      <c r="AS893" s="39"/>
      <c r="AT893" s="39">
        <f t="shared" si="891"/>
        <v>0</v>
      </c>
      <c r="AU893" s="39"/>
      <c r="AV893" s="39"/>
      <c r="AW893" s="39"/>
      <c r="AX893" s="39"/>
      <c r="AY893" s="39"/>
      <c r="AZ893" s="39">
        <f t="shared" si="892"/>
        <v>0</v>
      </c>
      <c r="BA893" s="39"/>
      <c r="BB893" s="39"/>
      <c r="BC893" s="39"/>
      <c r="BD893" s="39"/>
      <c r="BE893" s="39"/>
      <c r="BF893" s="39">
        <f t="shared" si="893"/>
        <v>0</v>
      </c>
      <c r="BG893" s="39"/>
      <c r="BH893" s="39"/>
      <c r="BI893" s="39"/>
      <c r="BJ893" s="39"/>
      <c r="BK893" s="39"/>
      <c r="BL893" s="39">
        <f t="shared" si="919"/>
        <v>0</v>
      </c>
      <c r="BM893" s="54" t="str">
        <f t="shared" si="894"/>
        <v/>
      </c>
      <c r="BN893" s="59">
        <v>46188</v>
      </c>
      <c r="BO893" s="57">
        <v>46199</v>
      </c>
      <c r="BP893" s="36"/>
      <c r="BQ893" s="36"/>
      <c r="BR893" s="50">
        <v>46200</v>
      </c>
      <c r="BS893" s="50">
        <v>46200</v>
      </c>
      <c r="BT893" s="39">
        <v>1515</v>
      </c>
      <c r="BU893" s="39">
        <v>350</v>
      </c>
      <c r="BV893" s="39"/>
      <c r="BW893" s="39"/>
      <c r="BX893" s="39">
        <v>1515</v>
      </c>
      <c r="BY893" s="39">
        <v>12</v>
      </c>
      <c r="BZ893" s="39">
        <f t="shared" si="920"/>
        <v>362</v>
      </c>
      <c r="CA893" s="39">
        <f t="shared" si="895"/>
        <v>0</v>
      </c>
      <c r="CB893" s="39">
        <f t="shared" si="896"/>
        <v>0</v>
      </c>
      <c r="CC893" s="39">
        <f t="shared" si="897"/>
        <v>4</v>
      </c>
      <c r="CD893" s="39">
        <f t="shared" si="921"/>
        <v>0</v>
      </c>
      <c r="CE893" s="102">
        <f t="shared" si="898"/>
        <v>0</v>
      </c>
      <c r="CF893" s="36"/>
      <c r="CG893" s="39" t="s">
        <v>232</v>
      </c>
      <c r="CH893" s="39"/>
      <c r="CI893" s="25">
        <v>2</v>
      </c>
    </row>
    <row r="894" spans="1:87" ht="24.75" customHeight="1">
      <c r="A894" s="36" t="s">
        <v>20</v>
      </c>
      <c r="B894" s="29" t="s">
        <v>824</v>
      </c>
      <c r="C894" s="227" t="s">
        <v>825</v>
      </c>
      <c r="D894" s="36"/>
      <c r="E894" s="39">
        <v>180</v>
      </c>
      <c r="F894" s="39" t="s">
        <v>53</v>
      </c>
      <c r="G894" s="36" t="s">
        <v>23</v>
      </c>
      <c r="H894" s="36" t="s">
        <v>87</v>
      </c>
      <c r="I894" s="39">
        <v>365</v>
      </c>
      <c r="J894" s="39"/>
      <c r="K894" s="39"/>
      <c r="L894" s="39">
        <f t="shared" si="929"/>
        <v>365</v>
      </c>
      <c r="M894" s="117">
        <v>46178</v>
      </c>
      <c r="N894" s="117">
        <v>46186</v>
      </c>
      <c r="O894" s="39"/>
      <c r="P894" s="39"/>
      <c r="Q894" s="39"/>
      <c r="R894" s="39">
        <f t="shared" si="930"/>
        <v>0</v>
      </c>
      <c r="S894" s="39" t="s">
        <v>28</v>
      </c>
      <c r="T894" s="39"/>
      <c r="U894" s="39"/>
      <c r="V894" s="117">
        <v>46188</v>
      </c>
      <c r="W894" s="39">
        <v>412</v>
      </c>
      <c r="X894" s="117">
        <v>46204</v>
      </c>
      <c r="Y894" s="39">
        <v>373</v>
      </c>
      <c r="Z894" s="39"/>
      <c r="AA894" s="39"/>
      <c r="AB894" s="119">
        <f t="shared" si="931"/>
        <v>373</v>
      </c>
      <c r="AC894" s="39"/>
      <c r="AD894" s="39"/>
      <c r="AE894" s="39"/>
      <c r="AF894" s="39"/>
      <c r="AG894" s="39"/>
      <c r="AH894" s="39">
        <f t="shared" si="918"/>
        <v>0</v>
      </c>
      <c r="AI894" s="39"/>
      <c r="AJ894" s="39"/>
      <c r="AK894" s="39"/>
      <c r="AL894" s="39"/>
      <c r="AM894" s="39"/>
      <c r="AN894" s="39">
        <f t="shared" si="917"/>
        <v>0</v>
      </c>
      <c r="AO894" s="39"/>
      <c r="AP894" s="39"/>
      <c r="AQ894" s="39"/>
      <c r="AR894" s="39"/>
      <c r="AS894" s="39"/>
      <c r="AT894" s="39">
        <f t="shared" si="891"/>
        <v>0</v>
      </c>
      <c r="AU894" s="39"/>
      <c r="AV894" s="39"/>
      <c r="AW894" s="39"/>
      <c r="AX894" s="39"/>
      <c r="AY894" s="39"/>
      <c r="AZ894" s="39">
        <f t="shared" si="892"/>
        <v>0</v>
      </c>
      <c r="BA894" s="39"/>
      <c r="BB894" s="39"/>
      <c r="BC894" s="39"/>
      <c r="BD894" s="39"/>
      <c r="BE894" s="39"/>
      <c r="BF894" s="39">
        <f t="shared" si="893"/>
        <v>0</v>
      </c>
      <c r="BG894" s="39"/>
      <c r="BH894" s="39"/>
      <c r="BI894" s="39"/>
      <c r="BJ894" s="39"/>
      <c r="BK894" s="39"/>
      <c r="BL894" s="39">
        <f t="shared" si="919"/>
        <v>0</v>
      </c>
      <c r="BM894" s="54" t="str">
        <f t="shared" si="894"/>
        <v/>
      </c>
      <c r="BN894" s="59">
        <v>46188</v>
      </c>
      <c r="BO894" s="57">
        <v>46199</v>
      </c>
      <c r="BP894" s="36"/>
      <c r="BQ894" s="36"/>
      <c r="BR894" s="229">
        <v>46205</v>
      </c>
      <c r="BS894" s="229">
        <v>46205</v>
      </c>
      <c r="BT894" s="39">
        <v>1519</v>
      </c>
      <c r="BU894" s="39">
        <v>373</v>
      </c>
      <c r="BV894" s="39"/>
      <c r="BW894" s="39"/>
      <c r="BX894" s="39"/>
      <c r="BY894" s="39"/>
      <c r="BZ894" s="39">
        <f t="shared" si="920"/>
        <v>373</v>
      </c>
      <c r="CA894" s="39">
        <f t="shared" si="895"/>
        <v>8</v>
      </c>
      <c r="CB894" s="39">
        <f t="shared" si="896"/>
        <v>0</v>
      </c>
      <c r="CC894" s="39">
        <f t="shared" si="897"/>
        <v>0</v>
      </c>
      <c r="CD894" s="39">
        <f t="shared" si="921"/>
        <v>0</v>
      </c>
      <c r="CE894" s="102">
        <f t="shared" si="898"/>
        <v>0</v>
      </c>
      <c r="CF894" s="36"/>
      <c r="CG894" s="39" t="s">
        <v>232</v>
      </c>
      <c r="CH894" s="39"/>
      <c r="CI894" s="25">
        <v>2</v>
      </c>
    </row>
    <row r="895" spans="1:87" ht="24.75" customHeight="1">
      <c r="A895" s="36" t="s">
        <v>20</v>
      </c>
      <c r="B895" s="29" t="s">
        <v>824</v>
      </c>
      <c r="C895" s="228"/>
      <c r="D895" s="36"/>
      <c r="E895" s="39"/>
      <c r="F895" s="39"/>
      <c r="G895" s="36" t="s">
        <v>75</v>
      </c>
      <c r="H895" s="36"/>
      <c r="I895" s="39"/>
      <c r="J895" s="39"/>
      <c r="K895" s="39"/>
      <c r="L895" s="39">
        <f t="shared" si="929"/>
        <v>0</v>
      </c>
      <c r="M895" s="117">
        <v>46178</v>
      </c>
      <c r="N895" s="117">
        <v>46186</v>
      </c>
      <c r="O895" s="39"/>
      <c r="P895" s="39"/>
      <c r="Q895" s="39"/>
      <c r="R895" s="39">
        <f t="shared" ref="R895" si="932">SUM(O895:Q895)</f>
        <v>0</v>
      </c>
      <c r="S895" s="39" t="s">
        <v>130</v>
      </c>
      <c r="T895" s="39"/>
      <c r="U895" s="39"/>
      <c r="V895" s="39"/>
      <c r="W895" s="39"/>
      <c r="X895" s="39"/>
      <c r="Y895" s="39"/>
      <c r="Z895" s="39"/>
      <c r="AA895" s="39"/>
      <c r="AB895" s="39">
        <f t="shared" ref="AB895" si="933">SUM(Y895:AA895)</f>
        <v>0</v>
      </c>
      <c r="AC895" s="39"/>
      <c r="AD895" s="39"/>
      <c r="AE895" s="39"/>
      <c r="AF895" s="39"/>
      <c r="AG895" s="39"/>
      <c r="AH895" s="39">
        <f t="shared" si="918"/>
        <v>0</v>
      </c>
      <c r="AI895" s="39"/>
      <c r="AJ895" s="39"/>
      <c r="AK895" s="39"/>
      <c r="AL895" s="39"/>
      <c r="AM895" s="39"/>
      <c r="AN895" s="39">
        <f t="shared" si="917"/>
        <v>0</v>
      </c>
      <c r="AO895" s="39"/>
      <c r="AP895" s="39"/>
      <c r="AQ895" s="39"/>
      <c r="AR895" s="39"/>
      <c r="AS895" s="39"/>
      <c r="AT895" s="39">
        <f t="shared" si="891"/>
        <v>0</v>
      </c>
      <c r="AU895" s="39"/>
      <c r="AV895" s="39"/>
      <c r="AW895" s="39"/>
      <c r="AX895" s="39"/>
      <c r="AY895" s="39"/>
      <c r="AZ895" s="39">
        <f t="shared" si="892"/>
        <v>0</v>
      </c>
      <c r="BA895" s="39"/>
      <c r="BB895" s="39"/>
      <c r="BC895" s="39"/>
      <c r="BD895" s="39"/>
      <c r="BE895" s="39"/>
      <c r="BF895" s="39">
        <f t="shared" si="893"/>
        <v>0</v>
      </c>
      <c r="BG895" s="39"/>
      <c r="BH895" s="39"/>
      <c r="BI895" s="39"/>
      <c r="BJ895" s="39"/>
      <c r="BK895" s="39"/>
      <c r="BL895" s="39">
        <f t="shared" si="919"/>
        <v>0</v>
      </c>
      <c r="BM895" s="54" t="e">
        <f t="shared" si="894"/>
        <v>#DIV/0!</v>
      </c>
      <c r="BN895" s="59">
        <v>46188</v>
      </c>
      <c r="BO895" s="57">
        <v>46199</v>
      </c>
      <c r="BP895" s="36"/>
      <c r="BQ895" s="36"/>
      <c r="BR895" s="230"/>
      <c r="BS895" s="230"/>
      <c r="BT895" s="39"/>
      <c r="BU895" s="39"/>
      <c r="BV895" s="39"/>
      <c r="BW895" s="39"/>
      <c r="BX895" s="39"/>
      <c r="BY895" s="39"/>
      <c r="BZ895" s="39">
        <f t="shared" si="920"/>
        <v>0</v>
      </c>
      <c r="CA895" s="39">
        <f t="shared" si="895"/>
        <v>0</v>
      </c>
      <c r="CB895" s="39">
        <f t="shared" si="896"/>
        <v>0</v>
      </c>
      <c r="CC895" s="39">
        <f t="shared" si="897"/>
        <v>0</v>
      </c>
      <c r="CD895" s="39">
        <f t="shared" si="921"/>
        <v>0</v>
      </c>
      <c r="CE895" s="102" t="e">
        <f t="shared" si="898"/>
        <v>#DIV/0!</v>
      </c>
      <c r="CF895" s="36"/>
      <c r="CG895" s="39" t="s">
        <v>232</v>
      </c>
      <c r="CH895" s="39"/>
      <c r="CI895" s="25">
        <v>2</v>
      </c>
    </row>
    <row r="896" spans="1:87" ht="24.75" customHeight="1">
      <c r="A896" s="36" t="s">
        <v>20</v>
      </c>
      <c r="B896" s="29" t="s">
        <v>826</v>
      </c>
      <c r="C896" s="227" t="s">
        <v>827</v>
      </c>
      <c r="D896" s="36"/>
      <c r="E896" s="39">
        <v>220</v>
      </c>
      <c r="F896" s="39" t="s">
        <v>55</v>
      </c>
      <c r="G896" s="36" t="s">
        <v>23</v>
      </c>
      <c r="H896" s="36" t="s">
        <v>209</v>
      </c>
      <c r="I896" s="39">
        <v>950</v>
      </c>
      <c r="J896" s="39"/>
      <c r="K896" s="39"/>
      <c r="L896" s="39">
        <f t="shared" si="929"/>
        <v>950</v>
      </c>
      <c r="M896" s="117">
        <v>46162</v>
      </c>
      <c r="N896" s="117">
        <v>46183</v>
      </c>
      <c r="O896" s="39"/>
      <c r="P896" s="39"/>
      <c r="Q896" s="39"/>
      <c r="R896" s="39">
        <f t="shared" si="930"/>
        <v>0</v>
      </c>
      <c r="S896" s="39" t="s">
        <v>130</v>
      </c>
      <c r="T896" s="39" t="s">
        <v>1107</v>
      </c>
      <c r="U896" s="117" t="s">
        <v>1094</v>
      </c>
      <c r="V896" s="39"/>
      <c r="W896" s="39"/>
      <c r="X896" s="39"/>
      <c r="Y896" s="39">
        <f>192+865</f>
        <v>1057</v>
      </c>
      <c r="Z896" s="39"/>
      <c r="AA896" s="39"/>
      <c r="AB896" s="119">
        <f t="shared" si="931"/>
        <v>1057</v>
      </c>
      <c r="AC896" s="39"/>
      <c r="AD896" s="39"/>
      <c r="AE896" s="39"/>
      <c r="AF896" s="39"/>
      <c r="AG896" s="39"/>
      <c r="AH896" s="39">
        <f t="shared" si="918"/>
        <v>0</v>
      </c>
      <c r="AI896" s="39"/>
      <c r="AJ896" s="39"/>
      <c r="AK896" s="39"/>
      <c r="AL896" s="39"/>
      <c r="AM896" s="39"/>
      <c r="AN896" s="39">
        <f t="shared" si="917"/>
        <v>0</v>
      </c>
      <c r="AO896" s="39"/>
      <c r="AP896" s="39"/>
      <c r="AQ896" s="39"/>
      <c r="AR896" s="39"/>
      <c r="AS896" s="39"/>
      <c r="AT896" s="39">
        <f t="shared" si="891"/>
        <v>0</v>
      </c>
      <c r="AU896" s="39"/>
      <c r="AV896" s="39"/>
      <c r="AW896" s="39"/>
      <c r="AX896" s="39"/>
      <c r="AY896" s="39"/>
      <c r="AZ896" s="39">
        <f t="shared" si="892"/>
        <v>0</v>
      </c>
      <c r="BA896" s="39"/>
      <c r="BB896" s="39"/>
      <c r="BC896" s="39"/>
      <c r="BD896" s="39"/>
      <c r="BE896" s="39"/>
      <c r="BF896" s="39">
        <f t="shared" si="893"/>
        <v>0</v>
      </c>
      <c r="BG896" s="39"/>
      <c r="BH896" s="39"/>
      <c r="BI896" s="39"/>
      <c r="BJ896" s="39"/>
      <c r="BK896" s="39"/>
      <c r="BL896" s="39">
        <f t="shared" si="919"/>
        <v>0</v>
      </c>
      <c r="BM896" s="54" t="str">
        <f t="shared" si="894"/>
        <v/>
      </c>
      <c r="BN896" s="59">
        <v>46184</v>
      </c>
      <c r="BO896" s="57">
        <v>46196</v>
      </c>
      <c r="BP896" s="36"/>
      <c r="BQ896" s="36"/>
      <c r="BR896" s="229" t="e">
        <f>+B1093+#REF!+'June''26'!1093:1093</f>
        <v>#REF!</v>
      </c>
      <c r="BS896" s="229">
        <v>46213</v>
      </c>
      <c r="BT896" s="39" t="s">
        <v>1324</v>
      </c>
      <c r="BU896" s="39">
        <f>152+29+663+60+63-14</f>
        <v>953</v>
      </c>
      <c r="BV896" s="39"/>
      <c r="BW896" s="39"/>
      <c r="BX896" s="39"/>
      <c r="BY896" s="39"/>
      <c r="BZ896" s="39">
        <f t="shared" si="920"/>
        <v>953</v>
      </c>
      <c r="CA896" s="39">
        <f t="shared" si="895"/>
        <v>3</v>
      </c>
      <c r="CB896" s="39">
        <f t="shared" si="896"/>
        <v>0</v>
      </c>
      <c r="CC896" s="39">
        <f t="shared" si="897"/>
        <v>0</v>
      </c>
      <c r="CD896" s="39">
        <f t="shared" si="921"/>
        <v>0</v>
      </c>
      <c r="CE896" s="102">
        <f t="shared" si="898"/>
        <v>0</v>
      </c>
      <c r="CF896" s="36"/>
      <c r="CG896" s="39" t="s">
        <v>232</v>
      </c>
      <c r="CH896" s="39" t="s">
        <v>560</v>
      </c>
      <c r="CI896" s="25">
        <v>2</v>
      </c>
    </row>
    <row r="897" spans="1:87" ht="24.75" customHeight="1">
      <c r="A897" s="36" t="s">
        <v>20</v>
      </c>
      <c r="B897" s="29" t="s">
        <v>826</v>
      </c>
      <c r="C897" s="231"/>
      <c r="D897" s="36"/>
      <c r="E897" s="39">
        <v>220</v>
      </c>
      <c r="F897" s="39" t="s">
        <v>55</v>
      </c>
      <c r="G897" s="36" t="s">
        <v>21</v>
      </c>
      <c r="H897" s="36" t="s">
        <v>209</v>
      </c>
      <c r="I897" s="39">
        <v>950</v>
      </c>
      <c r="J897" s="39"/>
      <c r="K897" s="39"/>
      <c r="L897" s="39">
        <f t="shared" si="929"/>
        <v>950</v>
      </c>
      <c r="M897" s="117">
        <v>46162</v>
      </c>
      <c r="N897" s="117">
        <v>46183</v>
      </c>
      <c r="O897" s="39"/>
      <c r="P897" s="39"/>
      <c r="Q897" s="39"/>
      <c r="R897" s="39">
        <f t="shared" ref="R897:R899" si="934">SUM(O897:Q897)</f>
        <v>0</v>
      </c>
      <c r="S897" s="39" t="s">
        <v>130</v>
      </c>
      <c r="T897" s="39" t="s">
        <v>1149</v>
      </c>
      <c r="U897" s="117" t="s">
        <v>1150</v>
      </c>
      <c r="V897" s="39"/>
      <c r="W897" s="39"/>
      <c r="X897" s="39"/>
      <c r="Y897" s="39">
        <f>750+324</f>
        <v>1074</v>
      </c>
      <c r="Z897" s="39"/>
      <c r="AA897" s="39"/>
      <c r="AB897" s="119">
        <f t="shared" si="931"/>
        <v>1074</v>
      </c>
      <c r="AC897" s="39"/>
      <c r="AD897" s="39"/>
      <c r="AE897" s="39"/>
      <c r="AF897" s="39"/>
      <c r="AG897" s="39"/>
      <c r="AH897" s="39">
        <f t="shared" si="918"/>
        <v>0</v>
      </c>
      <c r="AI897" s="39"/>
      <c r="AJ897" s="39"/>
      <c r="AK897" s="39"/>
      <c r="AL897" s="39"/>
      <c r="AM897" s="39"/>
      <c r="AN897" s="39">
        <f t="shared" si="917"/>
        <v>0</v>
      </c>
      <c r="AO897" s="39"/>
      <c r="AP897" s="39"/>
      <c r="AQ897" s="39"/>
      <c r="AR897" s="39"/>
      <c r="AS897" s="39"/>
      <c r="AT897" s="39">
        <f t="shared" si="891"/>
        <v>0</v>
      </c>
      <c r="AU897" s="39"/>
      <c r="AV897" s="39"/>
      <c r="AW897" s="39"/>
      <c r="AX897" s="39"/>
      <c r="AY897" s="39"/>
      <c r="AZ897" s="39">
        <f t="shared" si="892"/>
        <v>0</v>
      </c>
      <c r="BA897" s="39"/>
      <c r="BB897" s="39"/>
      <c r="BC897" s="39"/>
      <c r="BD897" s="39"/>
      <c r="BE897" s="39"/>
      <c r="BF897" s="39">
        <f t="shared" si="893"/>
        <v>0</v>
      </c>
      <c r="BG897" s="39"/>
      <c r="BH897" s="39"/>
      <c r="BI897" s="39"/>
      <c r="BJ897" s="39"/>
      <c r="BK897" s="39"/>
      <c r="BL897" s="39">
        <f t="shared" si="919"/>
        <v>0</v>
      </c>
      <c r="BM897" s="54" t="str">
        <f t="shared" si="894"/>
        <v/>
      </c>
      <c r="BN897" s="59">
        <v>46184</v>
      </c>
      <c r="BO897" s="57">
        <v>46196</v>
      </c>
      <c r="BP897" s="36"/>
      <c r="BQ897" s="36"/>
      <c r="BR897" s="232"/>
      <c r="BS897" s="232"/>
      <c r="BT897" s="39" t="s">
        <v>1178</v>
      </c>
      <c r="BU897" s="39">
        <f>532+76+56+286</f>
        <v>950</v>
      </c>
      <c r="BV897" s="39"/>
      <c r="BW897" s="39"/>
      <c r="BX897" s="39"/>
      <c r="BY897" s="39"/>
      <c r="BZ897" s="39">
        <f t="shared" si="920"/>
        <v>950</v>
      </c>
      <c r="CA897" s="39">
        <f t="shared" si="895"/>
        <v>0</v>
      </c>
      <c r="CB897" s="39">
        <f t="shared" si="896"/>
        <v>0</v>
      </c>
      <c r="CC897" s="39">
        <f t="shared" si="897"/>
        <v>0</v>
      </c>
      <c r="CD897" s="39">
        <f t="shared" si="921"/>
        <v>0</v>
      </c>
      <c r="CE897" s="102">
        <f t="shared" si="898"/>
        <v>0</v>
      </c>
      <c r="CF897" s="36"/>
      <c r="CG897" s="39" t="s">
        <v>232</v>
      </c>
      <c r="CH897" s="39" t="s">
        <v>764</v>
      </c>
      <c r="CI897" s="25">
        <v>2</v>
      </c>
    </row>
    <row r="898" spans="1:87" ht="24.75" customHeight="1">
      <c r="A898" s="36" t="s">
        <v>20</v>
      </c>
      <c r="B898" s="29" t="s">
        <v>826</v>
      </c>
      <c r="C898" s="231"/>
      <c r="D898" s="36"/>
      <c r="E898" s="39">
        <v>220</v>
      </c>
      <c r="F898" s="39" t="s">
        <v>55</v>
      </c>
      <c r="G898" s="36" t="s">
        <v>23</v>
      </c>
      <c r="H898" s="36" t="s">
        <v>209</v>
      </c>
      <c r="I898" s="39">
        <v>365</v>
      </c>
      <c r="J898" s="39"/>
      <c r="K898" s="39"/>
      <c r="L898" s="39">
        <f t="shared" si="929"/>
        <v>365</v>
      </c>
      <c r="M898" s="117">
        <v>46162</v>
      </c>
      <c r="N898" s="117">
        <v>46183</v>
      </c>
      <c r="O898" s="39"/>
      <c r="P898" s="39"/>
      <c r="Q898" s="39"/>
      <c r="R898" s="39">
        <f t="shared" si="934"/>
        <v>0</v>
      </c>
      <c r="S898" s="39" t="s">
        <v>130</v>
      </c>
      <c r="T898" s="39">
        <v>107043</v>
      </c>
      <c r="U898" s="117">
        <v>46190</v>
      </c>
      <c r="V898" s="39"/>
      <c r="W898" s="39"/>
      <c r="X898" s="39"/>
      <c r="Y898" s="39">
        <f>394</f>
        <v>394</v>
      </c>
      <c r="Z898" s="39"/>
      <c r="AA898" s="39"/>
      <c r="AB898" s="119">
        <f t="shared" si="931"/>
        <v>394</v>
      </c>
      <c r="AC898" s="39"/>
      <c r="AD898" s="39"/>
      <c r="AE898" s="39"/>
      <c r="AF898" s="39"/>
      <c r="AG898" s="39"/>
      <c r="AH898" s="39">
        <f t="shared" si="918"/>
        <v>0</v>
      </c>
      <c r="AI898" s="39"/>
      <c r="AJ898" s="39"/>
      <c r="AK898" s="39"/>
      <c r="AL898" s="39"/>
      <c r="AM898" s="39"/>
      <c r="AN898" s="39">
        <f t="shared" si="917"/>
        <v>0</v>
      </c>
      <c r="AO898" s="39"/>
      <c r="AP898" s="39"/>
      <c r="AQ898" s="39"/>
      <c r="AR898" s="39"/>
      <c r="AS898" s="39"/>
      <c r="AT898" s="39">
        <f t="shared" si="891"/>
        <v>0</v>
      </c>
      <c r="AU898" s="39"/>
      <c r="AV898" s="39"/>
      <c r="AW898" s="39"/>
      <c r="AX898" s="39"/>
      <c r="AY898" s="39"/>
      <c r="AZ898" s="39">
        <f t="shared" si="892"/>
        <v>0</v>
      </c>
      <c r="BA898" s="39"/>
      <c r="BB898" s="39"/>
      <c r="BC898" s="39"/>
      <c r="BD898" s="39"/>
      <c r="BE898" s="39"/>
      <c r="BF898" s="39">
        <f t="shared" si="893"/>
        <v>0</v>
      </c>
      <c r="BG898" s="39"/>
      <c r="BH898" s="39"/>
      <c r="BI898" s="39"/>
      <c r="BJ898" s="39"/>
      <c r="BK898" s="39"/>
      <c r="BL898" s="39">
        <f t="shared" si="919"/>
        <v>0</v>
      </c>
      <c r="BM898" s="54" t="str">
        <f t="shared" si="894"/>
        <v/>
      </c>
      <c r="BN898" s="59">
        <v>46184</v>
      </c>
      <c r="BO898" s="57">
        <v>46196</v>
      </c>
      <c r="BP898" s="36"/>
      <c r="BQ898" s="36"/>
      <c r="BR898" s="232"/>
      <c r="BS898" s="232"/>
      <c r="BT898" s="39" t="s">
        <v>1325</v>
      </c>
      <c r="BU898" s="39">
        <f>354+14</f>
        <v>368</v>
      </c>
      <c r="BV898" s="39"/>
      <c r="BW898" s="39"/>
      <c r="BX898" s="39"/>
      <c r="BY898" s="39"/>
      <c r="BZ898" s="39">
        <f t="shared" si="920"/>
        <v>368</v>
      </c>
      <c r="CA898" s="39">
        <f t="shared" si="895"/>
        <v>3</v>
      </c>
      <c r="CB898" s="39">
        <f t="shared" si="896"/>
        <v>0</v>
      </c>
      <c r="CC898" s="39">
        <f t="shared" si="897"/>
        <v>0</v>
      </c>
      <c r="CD898" s="39">
        <f t="shared" si="921"/>
        <v>0</v>
      </c>
      <c r="CE898" s="102">
        <f t="shared" si="898"/>
        <v>0</v>
      </c>
      <c r="CF898" s="36"/>
      <c r="CG898" s="39" t="s">
        <v>232</v>
      </c>
      <c r="CH898" s="39"/>
      <c r="CI898" s="25">
        <v>2</v>
      </c>
    </row>
    <row r="899" spans="1:87" ht="24.75" customHeight="1">
      <c r="A899" s="36" t="s">
        <v>20</v>
      </c>
      <c r="B899" s="29" t="s">
        <v>826</v>
      </c>
      <c r="C899" s="228"/>
      <c r="D899" s="36"/>
      <c r="E899" s="39">
        <v>220</v>
      </c>
      <c r="F899" s="39" t="s">
        <v>55</v>
      </c>
      <c r="G899" s="36" t="s">
        <v>454</v>
      </c>
      <c r="H899" s="36" t="s">
        <v>209</v>
      </c>
      <c r="I899" s="39">
        <v>365</v>
      </c>
      <c r="J899" s="39"/>
      <c r="K899" s="39"/>
      <c r="L899" s="39">
        <f t="shared" si="929"/>
        <v>365</v>
      </c>
      <c r="M899" s="117">
        <v>46162</v>
      </c>
      <c r="N899" s="117">
        <v>46183</v>
      </c>
      <c r="O899" s="39"/>
      <c r="P899" s="39"/>
      <c r="Q899" s="39"/>
      <c r="R899" s="39">
        <f t="shared" si="934"/>
        <v>0</v>
      </c>
      <c r="S899" s="39" t="s">
        <v>130</v>
      </c>
      <c r="T899" s="39">
        <v>107264</v>
      </c>
      <c r="U899" s="117">
        <v>46201</v>
      </c>
      <c r="V899" s="39"/>
      <c r="W899" s="39"/>
      <c r="X899" s="39"/>
      <c r="Y899" s="39">
        <v>414</v>
      </c>
      <c r="Z899" s="39"/>
      <c r="AA899" s="39"/>
      <c r="AB899" s="119">
        <f t="shared" si="931"/>
        <v>414</v>
      </c>
      <c r="AC899" s="39"/>
      <c r="AD899" s="39"/>
      <c r="AE899" s="39"/>
      <c r="AF899" s="39"/>
      <c r="AG899" s="39"/>
      <c r="AH899" s="39">
        <f t="shared" si="918"/>
        <v>0</v>
      </c>
      <c r="AI899" s="39"/>
      <c r="AJ899" s="39"/>
      <c r="AK899" s="39"/>
      <c r="AL899" s="39"/>
      <c r="AM899" s="39"/>
      <c r="AN899" s="39">
        <f t="shared" si="917"/>
        <v>0</v>
      </c>
      <c r="AO899" s="39"/>
      <c r="AP899" s="39"/>
      <c r="AQ899" s="39"/>
      <c r="AR899" s="39"/>
      <c r="AS899" s="39"/>
      <c r="AT899" s="39">
        <f t="shared" si="891"/>
        <v>0</v>
      </c>
      <c r="AU899" s="39"/>
      <c r="AV899" s="39"/>
      <c r="AW899" s="39"/>
      <c r="AX899" s="39"/>
      <c r="AY899" s="39"/>
      <c r="AZ899" s="39">
        <f t="shared" si="892"/>
        <v>0</v>
      </c>
      <c r="BA899" s="39"/>
      <c r="BB899" s="39"/>
      <c r="BC899" s="39"/>
      <c r="BD899" s="39"/>
      <c r="BE899" s="39"/>
      <c r="BF899" s="39">
        <f t="shared" si="893"/>
        <v>0</v>
      </c>
      <c r="BG899" s="39"/>
      <c r="BH899" s="39"/>
      <c r="BI899" s="39"/>
      <c r="BJ899" s="39"/>
      <c r="BK899" s="39"/>
      <c r="BL899" s="39">
        <f t="shared" si="919"/>
        <v>0</v>
      </c>
      <c r="BM899" s="54" t="str">
        <f t="shared" si="894"/>
        <v/>
      </c>
      <c r="BN899" s="59">
        <v>46184</v>
      </c>
      <c r="BO899" s="57">
        <v>46196</v>
      </c>
      <c r="BP899" s="36"/>
      <c r="BQ899" s="36"/>
      <c r="BR899" s="230"/>
      <c r="BS899" s="230"/>
      <c r="BT899" s="39" t="s">
        <v>1512</v>
      </c>
      <c r="BU899" s="39">
        <f>243+95+37</f>
        <v>375</v>
      </c>
      <c r="BV899" s="39"/>
      <c r="BW899" s="39"/>
      <c r="BX899" s="39"/>
      <c r="BY899" s="39"/>
      <c r="BZ899" s="39">
        <f t="shared" si="920"/>
        <v>375</v>
      </c>
      <c r="CA899" s="39">
        <f t="shared" si="895"/>
        <v>10</v>
      </c>
      <c r="CB899" s="39">
        <f t="shared" si="896"/>
        <v>0</v>
      </c>
      <c r="CC899" s="39">
        <f t="shared" si="897"/>
        <v>0</v>
      </c>
      <c r="CD899" s="39">
        <f t="shared" si="921"/>
        <v>0</v>
      </c>
      <c r="CE899" s="102">
        <f t="shared" si="898"/>
        <v>0</v>
      </c>
      <c r="CF899" s="36"/>
      <c r="CG899" s="39" t="s">
        <v>232</v>
      </c>
      <c r="CH899" s="39" t="s">
        <v>1265</v>
      </c>
      <c r="CI899" s="25">
        <v>2</v>
      </c>
    </row>
    <row r="900" spans="1:87" ht="24.75" customHeight="1">
      <c r="A900" s="36" t="s">
        <v>20</v>
      </c>
      <c r="B900" s="29" t="s">
        <v>828</v>
      </c>
      <c r="C900" s="227" t="s">
        <v>829</v>
      </c>
      <c r="D900" s="36"/>
      <c r="E900" s="39">
        <v>240</v>
      </c>
      <c r="F900" s="39" t="s">
        <v>58</v>
      </c>
      <c r="G900" s="36" t="s">
        <v>23</v>
      </c>
      <c r="H900" s="36" t="s">
        <v>96</v>
      </c>
      <c r="I900" s="39">
        <v>895</v>
      </c>
      <c r="J900" s="39"/>
      <c r="K900" s="39"/>
      <c r="L900" s="39">
        <f t="shared" ref="L900:L909" si="935">SUM(I900:K900)</f>
        <v>895</v>
      </c>
      <c r="M900" s="117">
        <v>46162</v>
      </c>
      <c r="N900" s="117">
        <v>46183</v>
      </c>
      <c r="O900" s="39"/>
      <c r="P900" s="39"/>
      <c r="Q900" s="39"/>
      <c r="R900" s="39">
        <f t="shared" ref="R900:R909" si="936">SUM(O900:Q900)</f>
        <v>0</v>
      </c>
      <c r="S900" s="39" t="s">
        <v>130</v>
      </c>
      <c r="T900" s="39">
        <v>107237</v>
      </c>
      <c r="U900" s="117">
        <v>46198</v>
      </c>
      <c r="V900" s="39"/>
      <c r="W900" s="39"/>
      <c r="X900" s="39"/>
      <c r="Y900" s="39">
        <v>978</v>
      </c>
      <c r="Z900" s="39"/>
      <c r="AA900" s="39"/>
      <c r="AB900" s="119">
        <f t="shared" si="931"/>
        <v>978</v>
      </c>
      <c r="AC900" s="39"/>
      <c r="AD900" s="39"/>
      <c r="AE900" s="39"/>
      <c r="AF900" s="39"/>
      <c r="AG900" s="39"/>
      <c r="AH900" s="39">
        <f t="shared" si="918"/>
        <v>0</v>
      </c>
      <c r="AI900" s="39"/>
      <c r="AJ900" s="39"/>
      <c r="AK900" s="39"/>
      <c r="AL900" s="39"/>
      <c r="AM900" s="39"/>
      <c r="AN900" s="39">
        <f t="shared" si="917"/>
        <v>0</v>
      </c>
      <c r="AO900" s="39"/>
      <c r="AP900" s="39"/>
      <c r="AQ900" s="39"/>
      <c r="AR900" s="39"/>
      <c r="AS900" s="39"/>
      <c r="AT900" s="39">
        <f t="shared" si="891"/>
        <v>0</v>
      </c>
      <c r="AU900" s="39"/>
      <c r="AV900" s="39"/>
      <c r="AW900" s="39"/>
      <c r="AX900" s="39"/>
      <c r="AY900" s="39"/>
      <c r="AZ900" s="39">
        <f t="shared" si="892"/>
        <v>0</v>
      </c>
      <c r="BA900" s="39"/>
      <c r="BB900" s="39"/>
      <c r="BC900" s="39"/>
      <c r="BD900" s="39"/>
      <c r="BE900" s="39"/>
      <c r="BF900" s="39">
        <f t="shared" si="893"/>
        <v>0</v>
      </c>
      <c r="BG900" s="39"/>
      <c r="BH900" s="39"/>
      <c r="BI900" s="39"/>
      <c r="BJ900" s="39"/>
      <c r="BK900" s="39"/>
      <c r="BL900" s="39">
        <f t="shared" si="919"/>
        <v>0</v>
      </c>
      <c r="BM900" s="54" t="str">
        <f t="shared" si="894"/>
        <v/>
      </c>
      <c r="BN900" s="59">
        <v>46184</v>
      </c>
      <c r="BO900" s="57">
        <v>46196</v>
      </c>
      <c r="BP900" s="36"/>
      <c r="BQ900" s="36"/>
      <c r="BR900" s="229">
        <v>46196</v>
      </c>
      <c r="BS900" s="229">
        <v>46200</v>
      </c>
      <c r="BT900" s="39">
        <v>2135</v>
      </c>
      <c r="BU900" s="39">
        <v>906</v>
      </c>
      <c r="BV900" s="39"/>
      <c r="BW900" s="39"/>
      <c r="BX900" s="39"/>
      <c r="BY900" s="39"/>
      <c r="BZ900" s="39">
        <f t="shared" si="920"/>
        <v>906</v>
      </c>
      <c r="CA900" s="39">
        <f t="shared" si="895"/>
        <v>11</v>
      </c>
      <c r="CB900" s="39">
        <f t="shared" si="896"/>
        <v>0</v>
      </c>
      <c r="CC900" s="39">
        <f t="shared" si="897"/>
        <v>0</v>
      </c>
      <c r="CD900" s="39">
        <f t="shared" si="921"/>
        <v>0</v>
      </c>
      <c r="CE900" s="102">
        <f t="shared" si="898"/>
        <v>0</v>
      </c>
      <c r="CF900" s="36"/>
      <c r="CG900" s="39" t="s">
        <v>232</v>
      </c>
      <c r="CH900" s="39"/>
      <c r="CI900" s="25">
        <v>2</v>
      </c>
    </row>
    <row r="901" spans="1:87" ht="24.75" customHeight="1">
      <c r="A901" s="36" t="s">
        <v>20</v>
      </c>
      <c r="B901" s="29" t="s">
        <v>828</v>
      </c>
      <c r="C901" s="228"/>
      <c r="D901" s="36"/>
      <c r="E901" s="39">
        <v>240</v>
      </c>
      <c r="F901" s="39" t="s">
        <v>58</v>
      </c>
      <c r="G901" s="36" t="s">
        <v>192</v>
      </c>
      <c r="H901" s="36" t="s">
        <v>96</v>
      </c>
      <c r="I901" s="39">
        <v>895</v>
      </c>
      <c r="J901" s="39"/>
      <c r="K901" s="39"/>
      <c r="L901" s="39">
        <f t="shared" si="935"/>
        <v>895</v>
      </c>
      <c r="M901" s="117">
        <v>46162</v>
      </c>
      <c r="N901" s="117">
        <v>46183</v>
      </c>
      <c r="O901" s="39"/>
      <c r="P901" s="39"/>
      <c r="Q901" s="39"/>
      <c r="R901" s="39">
        <f t="shared" ref="R901" si="937">SUM(O901:Q901)</f>
        <v>0</v>
      </c>
      <c r="S901" s="39" t="s">
        <v>130</v>
      </c>
      <c r="T901" s="39" t="s">
        <v>1171</v>
      </c>
      <c r="U901" s="117" t="s">
        <v>1145</v>
      </c>
      <c r="V901" s="39"/>
      <c r="W901" s="39"/>
      <c r="X901" s="39"/>
      <c r="Y901" s="39">
        <f>850+165</f>
        <v>1015</v>
      </c>
      <c r="Z901" s="39"/>
      <c r="AA901" s="39"/>
      <c r="AB901" s="119">
        <f t="shared" ref="AB901" si="938">SUM(Y901:AA901)</f>
        <v>1015</v>
      </c>
      <c r="AC901" s="39"/>
      <c r="AD901" s="39"/>
      <c r="AE901" s="39"/>
      <c r="AF901" s="39"/>
      <c r="AG901" s="39"/>
      <c r="AH901" s="39">
        <f t="shared" si="918"/>
        <v>0</v>
      </c>
      <c r="AI901" s="39"/>
      <c r="AJ901" s="39"/>
      <c r="AK901" s="39"/>
      <c r="AL901" s="39"/>
      <c r="AM901" s="39"/>
      <c r="AN901" s="39">
        <f t="shared" si="917"/>
        <v>0</v>
      </c>
      <c r="AO901" s="39"/>
      <c r="AP901" s="39"/>
      <c r="AQ901" s="39"/>
      <c r="AR901" s="39"/>
      <c r="AS901" s="39"/>
      <c r="AT901" s="39">
        <f t="shared" si="891"/>
        <v>0</v>
      </c>
      <c r="AU901" s="39"/>
      <c r="AV901" s="39"/>
      <c r="AW901" s="39"/>
      <c r="AX901" s="39"/>
      <c r="AY901" s="39"/>
      <c r="AZ901" s="39">
        <f t="shared" si="892"/>
        <v>0</v>
      </c>
      <c r="BA901" s="39"/>
      <c r="BB901" s="39"/>
      <c r="BC901" s="39"/>
      <c r="BD901" s="39"/>
      <c r="BE901" s="39"/>
      <c r="BF901" s="39">
        <f t="shared" si="893"/>
        <v>0</v>
      </c>
      <c r="BG901" s="39"/>
      <c r="BH901" s="39"/>
      <c r="BI901" s="39"/>
      <c r="BJ901" s="39"/>
      <c r="BK901" s="39"/>
      <c r="BL901" s="39">
        <f t="shared" si="919"/>
        <v>0</v>
      </c>
      <c r="BM901" s="54" t="str">
        <f t="shared" si="894"/>
        <v/>
      </c>
      <c r="BN901" s="59">
        <v>46184</v>
      </c>
      <c r="BO901" s="57">
        <v>46196</v>
      </c>
      <c r="BP901" s="36"/>
      <c r="BQ901" s="36"/>
      <c r="BR901" s="230"/>
      <c r="BS901" s="230"/>
      <c r="BT901" s="39" t="s">
        <v>1326</v>
      </c>
      <c r="BU901" s="39">
        <f>709+144+55</f>
        <v>908</v>
      </c>
      <c r="BV901" s="39"/>
      <c r="BW901" s="39"/>
      <c r="BX901" s="39"/>
      <c r="BY901" s="39"/>
      <c r="BZ901" s="39">
        <f t="shared" si="920"/>
        <v>908</v>
      </c>
      <c r="CA901" s="39">
        <f t="shared" si="895"/>
        <v>13</v>
      </c>
      <c r="CB901" s="39">
        <f t="shared" si="896"/>
        <v>0</v>
      </c>
      <c r="CC901" s="39">
        <f t="shared" si="897"/>
        <v>0</v>
      </c>
      <c r="CD901" s="39">
        <f t="shared" si="921"/>
        <v>0</v>
      </c>
      <c r="CE901" s="102">
        <f t="shared" si="898"/>
        <v>0</v>
      </c>
      <c r="CF901" s="36"/>
      <c r="CG901" s="39" t="s">
        <v>232</v>
      </c>
      <c r="CH901" s="39" t="s">
        <v>1142</v>
      </c>
      <c r="CI901" s="25">
        <v>2</v>
      </c>
    </row>
    <row r="902" spans="1:87" ht="33.75" customHeight="1">
      <c r="A902" s="36" t="s">
        <v>20</v>
      </c>
      <c r="B902" s="29" t="s">
        <v>830</v>
      </c>
      <c r="C902" s="36" t="s">
        <v>831</v>
      </c>
      <c r="D902" s="36"/>
      <c r="E902" s="39">
        <v>180</v>
      </c>
      <c r="F902" s="39" t="s">
        <v>55</v>
      </c>
      <c r="G902" s="36" t="s">
        <v>23</v>
      </c>
      <c r="H902" s="36" t="s">
        <v>87</v>
      </c>
      <c r="I902" s="39">
        <v>420</v>
      </c>
      <c r="J902" s="39"/>
      <c r="K902" s="39"/>
      <c r="L902" s="39">
        <f t="shared" si="935"/>
        <v>420</v>
      </c>
      <c r="M902" s="117">
        <v>46178</v>
      </c>
      <c r="N902" s="117">
        <v>46186</v>
      </c>
      <c r="O902" s="39"/>
      <c r="P902" s="39"/>
      <c r="Q902" s="39"/>
      <c r="R902" s="39">
        <f t="shared" si="936"/>
        <v>0</v>
      </c>
      <c r="S902" s="39" t="s">
        <v>28</v>
      </c>
      <c r="T902" s="39"/>
      <c r="U902" s="39"/>
      <c r="V902" s="117">
        <v>46188</v>
      </c>
      <c r="W902" s="39">
        <v>470</v>
      </c>
      <c r="X902" s="117">
        <v>46198</v>
      </c>
      <c r="Y902" s="39">
        <v>434</v>
      </c>
      <c r="Z902" s="39"/>
      <c r="AA902" s="39"/>
      <c r="AB902" s="119">
        <f t="shared" si="931"/>
        <v>434</v>
      </c>
      <c r="AC902" s="39"/>
      <c r="AD902" s="39"/>
      <c r="AE902" s="39"/>
      <c r="AF902" s="39"/>
      <c r="AG902" s="39"/>
      <c r="AH902" s="39">
        <f t="shared" si="918"/>
        <v>0</v>
      </c>
      <c r="AI902" s="39"/>
      <c r="AJ902" s="39"/>
      <c r="AK902" s="39"/>
      <c r="AL902" s="39"/>
      <c r="AM902" s="39"/>
      <c r="AN902" s="39">
        <f t="shared" si="917"/>
        <v>0</v>
      </c>
      <c r="AO902" s="39"/>
      <c r="AP902" s="39"/>
      <c r="AQ902" s="39"/>
      <c r="AR902" s="39"/>
      <c r="AS902" s="39"/>
      <c r="AT902" s="39">
        <f t="shared" si="891"/>
        <v>0</v>
      </c>
      <c r="AU902" s="39"/>
      <c r="AV902" s="39"/>
      <c r="AW902" s="39"/>
      <c r="AX902" s="39"/>
      <c r="AY902" s="39"/>
      <c r="AZ902" s="39">
        <f t="shared" si="892"/>
        <v>0</v>
      </c>
      <c r="BA902" s="39"/>
      <c r="BB902" s="39"/>
      <c r="BC902" s="39"/>
      <c r="BD902" s="39"/>
      <c r="BE902" s="39"/>
      <c r="BF902" s="39">
        <f t="shared" si="893"/>
        <v>0</v>
      </c>
      <c r="BG902" s="39"/>
      <c r="BH902" s="39"/>
      <c r="BI902" s="39"/>
      <c r="BJ902" s="39"/>
      <c r="BK902" s="39"/>
      <c r="BL902" s="39">
        <f t="shared" si="919"/>
        <v>0</v>
      </c>
      <c r="BM902" s="54" t="str">
        <f t="shared" si="894"/>
        <v/>
      </c>
      <c r="BN902" s="59">
        <v>46188</v>
      </c>
      <c r="BO902" s="57">
        <v>46199</v>
      </c>
      <c r="BP902" s="36"/>
      <c r="BQ902" s="36"/>
      <c r="BR902" s="50">
        <v>46199</v>
      </c>
      <c r="BS902" s="50">
        <v>46199</v>
      </c>
      <c r="BT902" s="39">
        <v>1511</v>
      </c>
      <c r="BU902" s="39">
        <v>434</v>
      </c>
      <c r="BV902" s="39"/>
      <c r="BW902" s="39"/>
      <c r="BX902" s="39"/>
      <c r="BY902" s="39"/>
      <c r="BZ902" s="39">
        <f t="shared" si="920"/>
        <v>434</v>
      </c>
      <c r="CA902" s="39">
        <f t="shared" si="895"/>
        <v>14</v>
      </c>
      <c r="CB902" s="39">
        <f t="shared" si="896"/>
        <v>0</v>
      </c>
      <c r="CC902" s="39">
        <f t="shared" si="897"/>
        <v>0</v>
      </c>
      <c r="CD902" s="39">
        <f t="shared" si="921"/>
        <v>0</v>
      </c>
      <c r="CE902" s="102">
        <f t="shared" si="898"/>
        <v>0</v>
      </c>
      <c r="CF902" s="36"/>
      <c r="CG902" s="39" t="s">
        <v>232</v>
      </c>
      <c r="CH902" s="39"/>
      <c r="CI902" s="25">
        <v>2</v>
      </c>
    </row>
    <row r="903" spans="1:87" ht="24.75" customHeight="1">
      <c r="A903" s="36" t="s">
        <v>20</v>
      </c>
      <c r="B903" s="29" t="s">
        <v>832</v>
      </c>
      <c r="C903" s="227" t="s">
        <v>833</v>
      </c>
      <c r="D903" s="36"/>
      <c r="E903" s="39">
        <v>200</v>
      </c>
      <c r="F903" s="39" t="s">
        <v>60</v>
      </c>
      <c r="G903" s="36" t="s">
        <v>23</v>
      </c>
      <c r="H903" s="36" t="s">
        <v>91</v>
      </c>
      <c r="I903" s="39">
        <v>1210</v>
      </c>
      <c r="J903" s="39"/>
      <c r="K903" s="39"/>
      <c r="L903" s="39">
        <f t="shared" si="935"/>
        <v>1210</v>
      </c>
      <c r="M903" s="117">
        <v>46164</v>
      </c>
      <c r="N903" s="117">
        <v>46185</v>
      </c>
      <c r="O903" s="39"/>
      <c r="P903" s="39"/>
      <c r="Q903" s="39"/>
      <c r="R903" s="39">
        <f t="shared" si="936"/>
        <v>0</v>
      </c>
      <c r="S903" s="39" t="s">
        <v>130</v>
      </c>
      <c r="T903" s="39" t="s">
        <v>1281</v>
      </c>
      <c r="U903" s="117" t="s">
        <v>1282</v>
      </c>
      <c r="V903" s="39"/>
      <c r="W903" s="39"/>
      <c r="X903" s="39"/>
      <c r="Y903" s="39">
        <f>1150+175</f>
        <v>1325</v>
      </c>
      <c r="Z903" s="39"/>
      <c r="AA903" s="39"/>
      <c r="AB903" s="119">
        <f t="shared" si="931"/>
        <v>1325</v>
      </c>
      <c r="AC903" s="39"/>
      <c r="AD903" s="39"/>
      <c r="AE903" s="39"/>
      <c r="AF903" s="39"/>
      <c r="AG903" s="39"/>
      <c r="AH903" s="39">
        <f t="shared" si="918"/>
        <v>0</v>
      </c>
      <c r="AI903" s="39"/>
      <c r="AJ903" s="39"/>
      <c r="AK903" s="39"/>
      <c r="AL903" s="39"/>
      <c r="AM903" s="39"/>
      <c r="AN903" s="39">
        <f t="shared" si="917"/>
        <v>0</v>
      </c>
      <c r="AO903" s="39"/>
      <c r="AP903" s="39"/>
      <c r="AQ903" s="39"/>
      <c r="AR903" s="39"/>
      <c r="AS903" s="39"/>
      <c r="AT903" s="39">
        <f t="shared" si="891"/>
        <v>0</v>
      </c>
      <c r="AU903" s="39"/>
      <c r="AV903" s="39"/>
      <c r="AW903" s="39"/>
      <c r="AX903" s="39"/>
      <c r="AY903" s="39"/>
      <c r="AZ903" s="39">
        <f t="shared" si="892"/>
        <v>0</v>
      </c>
      <c r="BA903" s="39"/>
      <c r="BB903" s="39"/>
      <c r="BC903" s="39"/>
      <c r="BD903" s="39"/>
      <c r="BE903" s="39"/>
      <c r="BF903" s="39">
        <f t="shared" si="893"/>
        <v>0</v>
      </c>
      <c r="BG903" s="39"/>
      <c r="BH903" s="39"/>
      <c r="BI903" s="39"/>
      <c r="BJ903" s="39"/>
      <c r="BK903" s="39"/>
      <c r="BL903" s="39">
        <f t="shared" si="919"/>
        <v>0</v>
      </c>
      <c r="BM903" s="54" t="str">
        <f t="shared" si="894"/>
        <v/>
      </c>
      <c r="BN903" s="59">
        <v>46186</v>
      </c>
      <c r="BO903" s="57">
        <v>46198</v>
      </c>
      <c r="BP903" s="36"/>
      <c r="BQ903" s="36"/>
      <c r="BR903" s="229">
        <v>46196</v>
      </c>
      <c r="BS903" s="229">
        <v>46206</v>
      </c>
      <c r="BT903" s="39" t="s">
        <v>1345</v>
      </c>
      <c r="BU903" s="39">
        <f>1070+166</f>
        <v>1236</v>
      </c>
      <c r="BV903" s="39"/>
      <c r="BW903" s="39"/>
      <c r="BX903" s="39"/>
      <c r="BY903" s="39"/>
      <c r="BZ903" s="39">
        <f t="shared" si="920"/>
        <v>1236</v>
      </c>
      <c r="CA903" s="39">
        <f t="shared" si="895"/>
        <v>26</v>
      </c>
      <c r="CB903" s="39">
        <f t="shared" si="896"/>
        <v>0</v>
      </c>
      <c r="CC903" s="39">
        <f t="shared" si="897"/>
        <v>0</v>
      </c>
      <c r="CD903" s="39">
        <f t="shared" si="921"/>
        <v>0</v>
      </c>
      <c r="CE903" s="102">
        <f t="shared" si="898"/>
        <v>0</v>
      </c>
      <c r="CF903" s="36"/>
      <c r="CG903" s="39" t="s">
        <v>232</v>
      </c>
      <c r="CH903" s="39"/>
      <c r="CI903" s="25">
        <v>2</v>
      </c>
    </row>
    <row r="904" spans="1:87" ht="24.75" customHeight="1">
      <c r="A904" s="36" t="s">
        <v>20</v>
      </c>
      <c r="B904" s="29" t="s">
        <v>832</v>
      </c>
      <c r="C904" s="231"/>
      <c r="D904" s="36"/>
      <c r="E904" s="39">
        <v>200</v>
      </c>
      <c r="F904" s="39" t="s">
        <v>60</v>
      </c>
      <c r="G904" s="36" t="s">
        <v>21</v>
      </c>
      <c r="H904" s="36" t="s">
        <v>91</v>
      </c>
      <c r="I904" s="39">
        <v>595</v>
      </c>
      <c r="J904" s="39"/>
      <c r="K904" s="39"/>
      <c r="L904" s="39">
        <f t="shared" si="935"/>
        <v>595</v>
      </c>
      <c r="M904" s="117">
        <v>46164</v>
      </c>
      <c r="N904" s="117">
        <v>46185</v>
      </c>
      <c r="O904" s="39"/>
      <c r="P904" s="39"/>
      <c r="Q904" s="39"/>
      <c r="R904" s="39">
        <f t="shared" ref="R904:R905" si="939">SUM(O904:Q904)</f>
        <v>0</v>
      </c>
      <c r="S904" s="39" t="s">
        <v>130</v>
      </c>
      <c r="T904" s="39">
        <v>107142</v>
      </c>
      <c r="U904" s="117">
        <v>46194</v>
      </c>
      <c r="V904" s="39"/>
      <c r="W904" s="39"/>
      <c r="X904" s="39"/>
      <c r="Y904" s="39">
        <v>671</v>
      </c>
      <c r="Z904" s="39"/>
      <c r="AA904" s="39"/>
      <c r="AB904" s="119">
        <f t="shared" si="931"/>
        <v>671</v>
      </c>
      <c r="AC904" s="39"/>
      <c r="AD904" s="39"/>
      <c r="AE904" s="39"/>
      <c r="AF904" s="39"/>
      <c r="AG904" s="39"/>
      <c r="AH904" s="39">
        <f t="shared" si="918"/>
        <v>0</v>
      </c>
      <c r="AI904" s="39"/>
      <c r="AJ904" s="39"/>
      <c r="AK904" s="39"/>
      <c r="AL904" s="39"/>
      <c r="AM904" s="39"/>
      <c r="AN904" s="39">
        <f t="shared" si="917"/>
        <v>0</v>
      </c>
      <c r="AO904" s="39"/>
      <c r="AP904" s="39"/>
      <c r="AQ904" s="39"/>
      <c r="AR904" s="39"/>
      <c r="AS904" s="39"/>
      <c r="AT904" s="39">
        <f t="shared" si="891"/>
        <v>0</v>
      </c>
      <c r="AU904" s="39"/>
      <c r="AV904" s="39"/>
      <c r="AW904" s="39"/>
      <c r="AX904" s="39"/>
      <c r="AY904" s="39"/>
      <c r="AZ904" s="39">
        <f t="shared" si="892"/>
        <v>0</v>
      </c>
      <c r="BA904" s="39"/>
      <c r="BB904" s="39"/>
      <c r="BC904" s="39"/>
      <c r="BD904" s="39"/>
      <c r="BE904" s="39"/>
      <c r="BF904" s="39">
        <f t="shared" si="893"/>
        <v>0</v>
      </c>
      <c r="BG904" s="39"/>
      <c r="BH904" s="39"/>
      <c r="BI904" s="39"/>
      <c r="BJ904" s="39"/>
      <c r="BK904" s="39"/>
      <c r="BL904" s="39">
        <f t="shared" si="919"/>
        <v>0</v>
      </c>
      <c r="BM904" s="54" t="str">
        <f t="shared" si="894"/>
        <v/>
      </c>
      <c r="BN904" s="59">
        <v>46186</v>
      </c>
      <c r="BO904" s="57">
        <v>46198</v>
      </c>
      <c r="BP904" s="36"/>
      <c r="BQ904" s="36"/>
      <c r="BR904" s="232"/>
      <c r="BS904" s="232"/>
      <c r="BT904" s="39" t="s">
        <v>1179</v>
      </c>
      <c r="BU904" s="39">
        <f>602+20</f>
        <v>622</v>
      </c>
      <c r="BV904" s="39"/>
      <c r="BW904" s="39"/>
      <c r="BX904" s="39"/>
      <c r="BY904" s="39"/>
      <c r="BZ904" s="39">
        <f t="shared" si="920"/>
        <v>622</v>
      </c>
      <c r="CA904" s="39">
        <f t="shared" si="895"/>
        <v>27</v>
      </c>
      <c r="CB904" s="39">
        <f t="shared" si="896"/>
        <v>0</v>
      </c>
      <c r="CC904" s="39">
        <f t="shared" si="897"/>
        <v>0</v>
      </c>
      <c r="CD904" s="39">
        <f t="shared" si="921"/>
        <v>0</v>
      </c>
      <c r="CE904" s="102">
        <f t="shared" si="898"/>
        <v>0</v>
      </c>
      <c r="CF904" s="36"/>
      <c r="CG904" s="39" t="s">
        <v>232</v>
      </c>
      <c r="CH904" s="39" t="s">
        <v>483</v>
      </c>
      <c r="CI904" s="25">
        <v>2</v>
      </c>
    </row>
    <row r="905" spans="1:87" ht="24.75" customHeight="1">
      <c r="A905" s="36" t="s">
        <v>20</v>
      </c>
      <c r="B905" s="29" t="s">
        <v>832</v>
      </c>
      <c r="C905" s="228"/>
      <c r="D905" s="36"/>
      <c r="E905" s="39">
        <v>200</v>
      </c>
      <c r="F905" s="39" t="s">
        <v>60</v>
      </c>
      <c r="G905" s="36" t="s">
        <v>358</v>
      </c>
      <c r="H905" s="36" t="s">
        <v>91</v>
      </c>
      <c r="I905" s="39">
        <v>700</v>
      </c>
      <c r="J905" s="39"/>
      <c r="K905" s="39"/>
      <c r="L905" s="39">
        <f t="shared" si="935"/>
        <v>700</v>
      </c>
      <c r="M905" s="117">
        <v>46164</v>
      </c>
      <c r="N905" s="117">
        <v>46185</v>
      </c>
      <c r="O905" s="39"/>
      <c r="P905" s="39"/>
      <c r="Q905" s="39"/>
      <c r="R905" s="39">
        <f t="shared" si="939"/>
        <v>0</v>
      </c>
      <c r="S905" s="39" t="s">
        <v>28</v>
      </c>
      <c r="T905" s="39"/>
      <c r="U905" s="39"/>
      <c r="V905" s="117">
        <v>46195</v>
      </c>
      <c r="W905" s="39">
        <v>740</v>
      </c>
      <c r="X905" s="117">
        <v>46203</v>
      </c>
      <c r="Y905" s="39">
        <v>722</v>
      </c>
      <c r="Z905" s="39"/>
      <c r="AA905" s="39"/>
      <c r="AB905" s="119">
        <f t="shared" si="931"/>
        <v>722</v>
      </c>
      <c r="AC905" s="39"/>
      <c r="AD905" s="39"/>
      <c r="AE905" s="39"/>
      <c r="AF905" s="39"/>
      <c r="AG905" s="39"/>
      <c r="AH905" s="39">
        <f t="shared" si="918"/>
        <v>0</v>
      </c>
      <c r="AI905" s="39"/>
      <c r="AJ905" s="39"/>
      <c r="AK905" s="39"/>
      <c r="AL905" s="39"/>
      <c r="AM905" s="39"/>
      <c r="AN905" s="39">
        <f t="shared" si="917"/>
        <v>0</v>
      </c>
      <c r="AO905" s="39"/>
      <c r="AP905" s="39"/>
      <c r="AQ905" s="39"/>
      <c r="AR905" s="39"/>
      <c r="AS905" s="39"/>
      <c r="AT905" s="39">
        <f t="shared" si="891"/>
        <v>0</v>
      </c>
      <c r="AU905" s="39"/>
      <c r="AV905" s="39"/>
      <c r="AW905" s="39"/>
      <c r="AX905" s="39"/>
      <c r="AY905" s="39"/>
      <c r="AZ905" s="39">
        <f t="shared" si="892"/>
        <v>0</v>
      </c>
      <c r="BA905" s="39"/>
      <c r="BB905" s="39"/>
      <c r="BC905" s="39"/>
      <c r="BD905" s="39"/>
      <c r="BE905" s="39"/>
      <c r="BF905" s="39">
        <f t="shared" si="893"/>
        <v>0</v>
      </c>
      <c r="BG905" s="39"/>
      <c r="BH905" s="39"/>
      <c r="BI905" s="39"/>
      <c r="BJ905" s="39"/>
      <c r="BK905" s="39"/>
      <c r="BL905" s="39">
        <f t="shared" si="919"/>
        <v>0</v>
      </c>
      <c r="BM905" s="54" t="str">
        <f t="shared" si="894"/>
        <v/>
      </c>
      <c r="BN905" s="59">
        <v>46186</v>
      </c>
      <c r="BO905" s="57">
        <v>46198</v>
      </c>
      <c r="BP905" s="36"/>
      <c r="BQ905" s="36"/>
      <c r="BR905" s="230"/>
      <c r="BS905" s="230"/>
      <c r="BT905" s="39">
        <v>1763</v>
      </c>
      <c r="BU905" s="39">
        <v>722</v>
      </c>
      <c r="BV905" s="39"/>
      <c r="BW905" s="39"/>
      <c r="BX905" s="39"/>
      <c r="BY905" s="39"/>
      <c r="BZ905" s="39">
        <f t="shared" si="920"/>
        <v>722</v>
      </c>
      <c r="CA905" s="39">
        <f t="shared" si="895"/>
        <v>22</v>
      </c>
      <c r="CB905" s="39">
        <f t="shared" si="896"/>
        <v>0</v>
      </c>
      <c r="CC905" s="39">
        <f t="shared" si="897"/>
        <v>0</v>
      </c>
      <c r="CD905" s="39">
        <f t="shared" si="921"/>
        <v>0</v>
      </c>
      <c r="CE905" s="102">
        <f t="shared" si="898"/>
        <v>0</v>
      </c>
      <c r="CF905" s="36"/>
      <c r="CG905" s="39" t="s">
        <v>232</v>
      </c>
      <c r="CH905" s="39"/>
      <c r="CI905" s="25">
        <v>2</v>
      </c>
    </row>
    <row r="906" spans="1:87" ht="35.25" customHeight="1">
      <c r="A906" s="36" t="s">
        <v>20</v>
      </c>
      <c r="B906" s="29" t="s">
        <v>834</v>
      </c>
      <c r="C906" s="36" t="s">
        <v>835</v>
      </c>
      <c r="D906" s="36"/>
      <c r="E906" s="39">
        <v>200</v>
      </c>
      <c r="F906" s="39" t="s">
        <v>60</v>
      </c>
      <c r="G906" s="36" t="s">
        <v>23</v>
      </c>
      <c r="H906" s="36" t="s">
        <v>91</v>
      </c>
      <c r="I906" s="39">
        <v>870</v>
      </c>
      <c r="J906" s="39"/>
      <c r="K906" s="39"/>
      <c r="L906" s="39">
        <f t="shared" si="935"/>
        <v>870</v>
      </c>
      <c r="M906" s="117">
        <v>46179</v>
      </c>
      <c r="N906" s="117">
        <v>46188</v>
      </c>
      <c r="O906" s="39"/>
      <c r="P906" s="39"/>
      <c r="Q906" s="39"/>
      <c r="R906" s="39">
        <f t="shared" si="936"/>
        <v>0</v>
      </c>
      <c r="S906" s="39" t="s">
        <v>28</v>
      </c>
      <c r="T906" s="39"/>
      <c r="U906" s="39"/>
      <c r="V906" s="117">
        <v>46188</v>
      </c>
      <c r="W906" s="39">
        <v>951</v>
      </c>
      <c r="X906" s="117" t="s">
        <v>1154</v>
      </c>
      <c r="Y906" s="39">
        <f>749+127</f>
        <v>876</v>
      </c>
      <c r="Z906" s="39"/>
      <c r="AA906" s="39"/>
      <c r="AB906" s="119">
        <f t="shared" si="931"/>
        <v>876</v>
      </c>
      <c r="AC906" s="39"/>
      <c r="AD906" s="39"/>
      <c r="AE906" s="39"/>
      <c r="AF906" s="39"/>
      <c r="AG906" s="39"/>
      <c r="AH906" s="39">
        <f t="shared" si="918"/>
        <v>0</v>
      </c>
      <c r="AI906" s="39"/>
      <c r="AJ906" s="39"/>
      <c r="AK906" s="39"/>
      <c r="AL906" s="39"/>
      <c r="AM906" s="39"/>
      <c r="AN906" s="39">
        <f t="shared" si="917"/>
        <v>0</v>
      </c>
      <c r="AO906" s="39"/>
      <c r="AP906" s="39"/>
      <c r="AQ906" s="39"/>
      <c r="AR906" s="39"/>
      <c r="AS906" s="39"/>
      <c r="AT906" s="39">
        <f t="shared" si="891"/>
        <v>0</v>
      </c>
      <c r="AU906" s="39"/>
      <c r="AV906" s="39"/>
      <c r="AW906" s="39"/>
      <c r="AX906" s="39"/>
      <c r="AY906" s="39"/>
      <c r="AZ906" s="39">
        <f t="shared" si="892"/>
        <v>0</v>
      </c>
      <c r="BA906" s="39"/>
      <c r="BB906" s="39"/>
      <c r="BC906" s="39"/>
      <c r="BD906" s="39"/>
      <c r="BE906" s="39"/>
      <c r="BF906" s="39">
        <f t="shared" si="893"/>
        <v>0</v>
      </c>
      <c r="BG906" s="39"/>
      <c r="BH906" s="39"/>
      <c r="BI906" s="39"/>
      <c r="BJ906" s="39"/>
      <c r="BK906" s="39"/>
      <c r="BL906" s="39">
        <f t="shared" si="919"/>
        <v>0</v>
      </c>
      <c r="BM906" s="54" t="str">
        <f t="shared" si="894"/>
        <v/>
      </c>
      <c r="BN906" s="59">
        <v>46189</v>
      </c>
      <c r="BO906" s="57">
        <v>46198</v>
      </c>
      <c r="BP906" s="36"/>
      <c r="BQ906" s="36"/>
      <c r="BR906" s="50">
        <v>46196</v>
      </c>
      <c r="BS906" s="50">
        <v>46198</v>
      </c>
      <c r="BT906" s="39" t="s">
        <v>1180</v>
      </c>
      <c r="BU906" s="39">
        <f>749+127</f>
        <v>876</v>
      </c>
      <c r="BV906" s="39"/>
      <c r="BW906" s="39"/>
      <c r="BX906" s="39"/>
      <c r="BY906" s="39"/>
      <c r="BZ906" s="39">
        <f t="shared" si="920"/>
        <v>876</v>
      </c>
      <c r="CA906" s="39">
        <f t="shared" si="895"/>
        <v>6</v>
      </c>
      <c r="CB906" s="39">
        <f t="shared" si="896"/>
        <v>0</v>
      </c>
      <c r="CC906" s="39">
        <f t="shared" si="897"/>
        <v>0</v>
      </c>
      <c r="CD906" s="39">
        <f t="shared" si="921"/>
        <v>0</v>
      </c>
      <c r="CE906" s="102">
        <f t="shared" si="898"/>
        <v>0</v>
      </c>
      <c r="CF906" s="36"/>
      <c r="CG906" s="39" t="s">
        <v>232</v>
      </c>
      <c r="CH906" s="39"/>
      <c r="CI906" s="25">
        <v>2</v>
      </c>
    </row>
    <row r="907" spans="1:87" ht="24.75" customHeight="1">
      <c r="A907" s="36" t="s">
        <v>20</v>
      </c>
      <c r="B907" s="29" t="s">
        <v>836</v>
      </c>
      <c r="C907" s="227" t="s">
        <v>837</v>
      </c>
      <c r="D907" s="36"/>
      <c r="E907" s="39">
        <v>220</v>
      </c>
      <c r="F907" s="39" t="s">
        <v>56</v>
      </c>
      <c r="G907" s="36" t="s">
        <v>23</v>
      </c>
      <c r="H907" s="36" t="s">
        <v>102</v>
      </c>
      <c r="I907" s="39">
        <v>240</v>
      </c>
      <c r="J907" s="39"/>
      <c r="K907" s="39"/>
      <c r="L907" s="39">
        <f t="shared" si="935"/>
        <v>240</v>
      </c>
      <c r="M907" s="117">
        <v>46179</v>
      </c>
      <c r="N907" s="117">
        <v>46188</v>
      </c>
      <c r="O907" s="39"/>
      <c r="P907" s="39"/>
      <c r="Q907" s="39"/>
      <c r="R907" s="39">
        <f t="shared" si="936"/>
        <v>0</v>
      </c>
      <c r="S907" s="39" t="s">
        <v>130</v>
      </c>
      <c r="T907" s="39">
        <v>107274</v>
      </c>
      <c r="U907" s="117">
        <v>46198</v>
      </c>
      <c r="V907" s="39"/>
      <c r="W907" s="39"/>
      <c r="X907" s="39"/>
      <c r="Y907" s="39">
        <v>262</v>
      </c>
      <c r="Z907" s="39"/>
      <c r="AA907" s="39"/>
      <c r="AB907" s="119">
        <f t="shared" si="931"/>
        <v>262</v>
      </c>
      <c r="AC907" s="39"/>
      <c r="AD907" s="39"/>
      <c r="AE907" s="39"/>
      <c r="AF907" s="39"/>
      <c r="AG907" s="39"/>
      <c r="AH907" s="39">
        <f t="shared" si="918"/>
        <v>0</v>
      </c>
      <c r="AI907" s="39"/>
      <c r="AJ907" s="39"/>
      <c r="AK907" s="39"/>
      <c r="AL907" s="39"/>
      <c r="AM907" s="39"/>
      <c r="AN907" s="39">
        <f t="shared" si="917"/>
        <v>0</v>
      </c>
      <c r="AO907" s="39"/>
      <c r="AP907" s="39"/>
      <c r="AQ907" s="39"/>
      <c r="AR907" s="39"/>
      <c r="AS907" s="39"/>
      <c r="AT907" s="39">
        <f t="shared" si="891"/>
        <v>0</v>
      </c>
      <c r="AU907" s="39"/>
      <c r="AV907" s="39"/>
      <c r="AW907" s="39"/>
      <c r="AX907" s="39"/>
      <c r="AY907" s="39"/>
      <c r="AZ907" s="39">
        <f t="shared" si="892"/>
        <v>0</v>
      </c>
      <c r="BA907" s="39"/>
      <c r="BB907" s="39"/>
      <c r="BC907" s="39"/>
      <c r="BD907" s="39"/>
      <c r="BE907" s="39"/>
      <c r="BF907" s="39">
        <f t="shared" si="893"/>
        <v>0</v>
      </c>
      <c r="BG907" s="39"/>
      <c r="BH907" s="39"/>
      <c r="BI907" s="39"/>
      <c r="BJ907" s="39"/>
      <c r="BK907" s="39"/>
      <c r="BL907" s="39">
        <f t="shared" si="919"/>
        <v>0</v>
      </c>
      <c r="BM907" s="54" t="str">
        <f t="shared" si="894"/>
        <v/>
      </c>
      <c r="BN907" s="59">
        <v>46189</v>
      </c>
      <c r="BO907" s="57">
        <v>46198</v>
      </c>
      <c r="BP907" s="36"/>
      <c r="BQ907" s="36"/>
      <c r="BR907" s="229">
        <v>46200</v>
      </c>
      <c r="BS907" s="229">
        <v>46203</v>
      </c>
      <c r="BT907" s="39" t="s">
        <v>1262</v>
      </c>
      <c r="BU907" s="39">
        <f>211+28</f>
        <v>239</v>
      </c>
      <c r="BV907" s="39"/>
      <c r="BW907" s="39"/>
      <c r="BX907" s="39"/>
      <c r="BY907" s="39"/>
      <c r="BZ907" s="39">
        <f t="shared" si="920"/>
        <v>239</v>
      </c>
      <c r="CA907" s="39">
        <f t="shared" si="895"/>
        <v>-1</v>
      </c>
      <c r="CB907" s="39">
        <f t="shared" si="896"/>
        <v>0</v>
      </c>
      <c r="CC907" s="39">
        <f t="shared" si="897"/>
        <v>0</v>
      </c>
      <c r="CD907" s="39">
        <v>0</v>
      </c>
      <c r="CE907" s="102">
        <f t="shared" si="898"/>
        <v>0</v>
      </c>
      <c r="CF907" s="36"/>
      <c r="CG907" s="39" t="s">
        <v>232</v>
      </c>
      <c r="CH907" s="39" t="s">
        <v>540</v>
      </c>
      <c r="CI907" s="25">
        <v>2</v>
      </c>
    </row>
    <row r="908" spans="1:87" ht="24.75" customHeight="1">
      <c r="A908" s="36" t="s">
        <v>20</v>
      </c>
      <c r="B908" s="29" t="s">
        <v>836</v>
      </c>
      <c r="C908" s="228"/>
      <c r="D908" s="36"/>
      <c r="E908" s="39">
        <v>220</v>
      </c>
      <c r="F908" s="39" t="s">
        <v>56</v>
      </c>
      <c r="G908" s="36" t="s">
        <v>21</v>
      </c>
      <c r="H908" s="36" t="s">
        <v>102</v>
      </c>
      <c r="I908" s="39">
        <v>790</v>
      </c>
      <c r="J908" s="39"/>
      <c r="K908" s="39"/>
      <c r="L908" s="39">
        <f t="shared" si="935"/>
        <v>790</v>
      </c>
      <c r="M908" s="117">
        <v>46179</v>
      </c>
      <c r="N908" s="117">
        <v>46188</v>
      </c>
      <c r="O908" s="39"/>
      <c r="P908" s="39"/>
      <c r="Q908" s="39"/>
      <c r="R908" s="39">
        <f t="shared" ref="R908" si="940">SUM(O908:Q908)</f>
        <v>0</v>
      </c>
      <c r="S908" s="39" t="s">
        <v>130</v>
      </c>
      <c r="T908" s="39">
        <v>107275</v>
      </c>
      <c r="U908" s="117">
        <v>46199</v>
      </c>
      <c r="V908" s="39"/>
      <c r="W908" s="39"/>
      <c r="X908" s="39"/>
      <c r="Y908" s="39">
        <v>893</v>
      </c>
      <c r="Z908" s="39"/>
      <c r="AA908" s="39"/>
      <c r="AB908" s="119">
        <f t="shared" si="931"/>
        <v>893</v>
      </c>
      <c r="AC908" s="39"/>
      <c r="AD908" s="39"/>
      <c r="AE908" s="39"/>
      <c r="AF908" s="39"/>
      <c r="AG908" s="39"/>
      <c r="AH908" s="39">
        <f t="shared" si="918"/>
        <v>0</v>
      </c>
      <c r="AI908" s="39"/>
      <c r="AJ908" s="39"/>
      <c r="AK908" s="39"/>
      <c r="AL908" s="39"/>
      <c r="AM908" s="39"/>
      <c r="AN908" s="39">
        <f t="shared" si="917"/>
        <v>0</v>
      </c>
      <c r="AO908" s="39"/>
      <c r="AP908" s="39"/>
      <c r="AQ908" s="39"/>
      <c r="AR908" s="39"/>
      <c r="AS908" s="39"/>
      <c r="AT908" s="39">
        <f t="shared" si="891"/>
        <v>0</v>
      </c>
      <c r="AU908" s="39"/>
      <c r="AV908" s="39"/>
      <c r="AW908" s="39"/>
      <c r="AX908" s="39"/>
      <c r="AY908" s="39"/>
      <c r="AZ908" s="39">
        <f t="shared" si="892"/>
        <v>0</v>
      </c>
      <c r="BA908" s="39"/>
      <c r="BB908" s="39"/>
      <c r="BC908" s="39"/>
      <c r="BD908" s="39"/>
      <c r="BE908" s="39"/>
      <c r="BF908" s="39">
        <f t="shared" si="893"/>
        <v>0</v>
      </c>
      <c r="BG908" s="39"/>
      <c r="BH908" s="39"/>
      <c r="BI908" s="39"/>
      <c r="BJ908" s="39"/>
      <c r="BK908" s="39"/>
      <c r="BL908" s="39">
        <f t="shared" si="919"/>
        <v>0</v>
      </c>
      <c r="BM908" s="54" t="str">
        <f t="shared" si="894"/>
        <v/>
      </c>
      <c r="BN908" s="59">
        <v>46189</v>
      </c>
      <c r="BO908" s="57">
        <v>46198</v>
      </c>
      <c r="BP908" s="36"/>
      <c r="BQ908" s="36"/>
      <c r="BR908" s="230"/>
      <c r="BS908" s="230"/>
      <c r="BT908" s="39" t="s">
        <v>1405</v>
      </c>
      <c r="BU908" s="39">
        <f>764+22+62+28+9</f>
        <v>885</v>
      </c>
      <c r="BV908" s="39"/>
      <c r="BW908" s="39"/>
      <c r="BX908" s="39"/>
      <c r="BY908" s="39"/>
      <c r="BZ908" s="39">
        <f t="shared" si="920"/>
        <v>885</v>
      </c>
      <c r="CA908" s="39">
        <f t="shared" si="895"/>
        <v>95</v>
      </c>
      <c r="CB908" s="39">
        <f t="shared" si="896"/>
        <v>0</v>
      </c>
      <c r="CC908" s="39">
        <f t="shared" si="897"/>
        <v>0</v>
      </c>
      <c r="CD908" s="39">
        <v>0</v>
      </c>
      <c r="CE908" s="102">
        <f t="shared" si="898"/>
        <v>0</v>
      </c>
      <c r="CF908" s="36"/>
      <c r="CG908" s="39" t="s">
        <v>232</v>
      </c>
      <c r="CH908" s="39" t="s">
        <v>1197</v>
      </c>
      <c r="CI908" s="25">
        <v>2</v>
      </c>
    </row>
    <row r="909" spans="1:87" ht="24.75" customHeight="1">
      <c r="A909" s="36" t="s">
        <v>20</v>
      </c>
      <c r="B909" s="29" t="s">
        <v>838</v>
      </c>
      <c r="C909" s="227" t="s">
        <v>839</v>
      </c>
      <c r="D909" s="36"/>
      <c r="E909" s="39">
        <v>180</v>
      </c>
      <c r="F909" s="39" t="s">
        <v>53</v>
      </c>
      <c r="G909" s="36" t="s">
        <v>23</v>
      </c>
      <c r="H909" s="36" t="s">
        <v>87</v>
      </c>
      <c r="I909" s="39">
        <v>178</v>
      </c>
      <c r="J909" s="39"/>
      <c r="K909" s="39"/>
      <c r="L909" s="39">
        <f t="shared" si="935"/>
        <v>178</v>
      </c>
      <c r="M909" s="117">
        <v>46179</v>
      </c>
      <c r="N909" s="117">
        <v>46186</v>
      </c>
      <c r="O909" s="39"/>
      <c r="P909" s="39"/>
      <c r="Q909" s="39"/>
      <c r="R909" s="39">
        <f t="shared" si="936"/>
        <v>0</v>
      </c>
      <c r="S909" s="39" t="s">
        <v>28</v>
      </c>
      <c r="T909" s="39"/>
      <c r="U909" s="39"/>
      <c r="V909" s="117">
        <v>46190</v>
      </c>
      <c r="W909" s="39">
        <v>207</v>
      </c>
      <c r="X909" s="117">
        <v>46196</v>
      </c>
      <c r="Y909" s="39">
        <v>192</v>
      </c>
      <c r="Z909" s="39"/>
      <c r="AA909" s="39"/>
      <c r="AB909" s="119">
        <f t="shared" si="931"/>
        <v>192</v>
      </c>
      <c r="AC909" s="39"/>
      <c r="AD909" s="39"/>
      <c r="AE909" s="39"/>
      <c r="AF909" s="39"/>
      <c r="AG909" s="39"/>
      <c r="AH909" s="39">
        <f t="shared" si="918"/>
        <v>0</v>
      </c>
      <c r="AI909" s="39"/>
      <c r="AJ909" s="39"/>
      <c r="AK909" s="39"/>
      <c r="AL909" s="39"/>
      <c r="AM909" s="39"/>
      <c r="AN909" s="39">
        <f t="shared" si="917"/>
        <v>0</v>
      </c>
      <c r="AO909" s="39"/>
      <c r="AP909" s="39"/>
      <c r="AQ909" s="39"/>
      <c r="AR909" s="39"/>
      <c r="AS909" s="39"/>
      <c r="AT909" s="39">
        <f t="shared" si="891"/>
        <v>0</v>
      </c>
      <c r="AU909" s="39"/>
      <c r="AV909" s="39"/>
      <c r="AW909" s="39"/>
      <c r="AX909" s="39"/>
      <c r="AY909" s="39"/>
      <c r="AZ909" s="39">
        <f t="shared" si="892"/>
        <v>0</v>
      </c>
      <c r="BA909" s="39"/>
      <c r="BB909" s="39"/>
      <c r="BC909" s="39"/>
      <c r="BD909" s="39"/>
      <c r="BE909" s="39"/>
      <c r="BF909" s="39">
        <f t="shared" si="893"/>
        <v>0</v>
      </c>
      <c r="BG909" s="39"/>
      <c r="BH909" s="39"/>
      <c r="BI909" s="39"/>
      <c r="BJ909" s="39"/>
      <c r="BK909" s="39"/>
      <c r="BL909" s="39">
        <f t="shared" si="919"/>
        <v>0</v>
      </c>
      <c r="BM909" s="54" t="str">
        <f t="shared" si="894"/>
        <v/>
      </c>
      <c r="BN909" s="59">
        <v>46188</v>
      </c>
      <c r="BO909" s="57">
        <v>46200</v>
      </c>
      <c r="BP909" s="36"/>
      <c r="BQ909" s="36"/>
      <c r="BR909" s="229">
        <v>46191</v>
      </c>
      <c r="BS909" s="229">
        <v>46196</v>
      </c>
      <c r="BT909" s="39">
        <v>1510</v>
      </c>
      <c r="BU909" s="39">
        <v>192</v>
      </c>
      <c r="BV909" s="39"/>
      <c r="BW909" s="39"/>
      <c r="BX909" s="39"/>
      <c r="BY909" s="39"/>
      <c r="BZ909" s="39">
        <f t="shared" si="920"/>
        <v>192</v>
      </c>
      <c r="CA909" s="39">
        <f t="shared" si="895"/>
        <v>14</v>
      </c>
      <c r="CB909" s="39">
        <f t="shared" si="896"/>
        <v>0</v>
      </c>
      <c r="CC909" s="39">
        <f t="shared" si="897"/>
        <v>0</v>
      </c>
      <c r="CD909" s="39">
        <f t="shared" si="921"/>
        <v>0</v>
      </c>
      <c r="CE909" s="102">
        <f t="shared" si="898"/>
        <v>0</v>
      </c>
      <c r="CF909" s="36"/>
      <c r="CG909" s="39" t="s">
        <v>232</v>
      </c>
      <c r="CH909" s="39"/>
      <c r="CI909" s="25">
        <v>2</v>
      </c>
    </row>
    <row r="910" spans="1:87" ht="24.75" customHeight="1">
      <c r="A910" s="36" t="s">
        <v>20</v>
      </c>
      <c r="B910" s="29" t="s">
        <v>838</v>
      </c>
      <c r="C910" s="228"/>
      <c r="D910" s="36"/>
      <c r="E910" s="39">
        <v>180</v>
      </c>
      <c r="F910" s="39" t="s">
        <v>53</v>
      </c>
      <c r="G910" s="36" t="s">
        <v>21</v>
      </c>
      <c r="H910" s="36" t="s">
        <v>87</v>
      </c>
      <c r="I910" s="39">
        <v>178</v>
      </c>
      <c r="J910" s="39"/>
      <c r="K910" s="39"/>
      <c r="L910" s="39">
        <f t="shared" si="929"/>
        <v>178</v>
      </c>
      <c r="M910" s="117">
        <v>46179</v>
      </c>
      <c r="N910" s="117">
        <v>46186</v>
      </c>
      <c r="O910" s="39"/>
      <c r="P910" s="39"/>
      <c r="Q910" s="39"/>
      <c r="R910" s="39">
        <f t="shared" ref="R910" si="941">SUM(O910:Q910)</f>
        <v>0</v>
      </c>
      <c r="S910" s="39" t="s">
        <v>130</v>
      </c>
      <c r="T910" s="39">
        <v>106982</v>
      </c>
      <c r="U910" s="117">
        <v>46188</v>
      </c>
      <c r="V910" s="39"/>
      <c r="W910" s="39"/>
      <c r="X910" s="39"/>
      <c r="Y910" s="39">
        <v>214</v>
      </c>
      <c r="Z910" s="39"/>
      <c r="AA910" s="39"/>
      <c r="AB910" s="119">
        <f t="shared" si="931"/>
        <v>214</v>
      </c>
      <c r="AC910" s="39"/>
      <c r="AD910" s="39"/>
      <c r="AE910" s="39"/>
      <c r="AF910" s="39"/>
      <c r="AG910" s="39"/>
      <c r="AH910" s="39">
        <f t="shared" si="918"/>
        <v>0</v>
      </c>
      <c r="AI910" s="39"/>
      <c r="AJ910" s="39"/>
      <c r="AK910" s="39"/>
      <c r="AL910" s="39"/>
      <c r="AM910" s="39"/>
      <c r="AN910" s="39">
        <f t="shared" si="917"/>
        <v>0</v>
      </c>
      <c r="AO910" s="39"/>
      <c r="AP910" s="39"/>
      <c r="AQ910" s="39"/>
      <c r="AR910" s="39"/>
      <c r="AS910" s="39"/>
      <c r="AT910" s="39">
        <f t="shared" si="891"/>
        <v>0</v>
      </c>
      <c r="AU910" s="39"/>
      <c r="AV910" s="39"/>
      <c r="AW910" s="39"/>
      <c r="AX910" s="39"/>
      <c r="AY910" s="39"/>
      <c r="AZ910" s="39">
        <f t="shared" si="892"/>
        <v>0</v>
      </c>
      <c r="BA910" s="39"/>
      <c r="BB910" s="39"/>
      <c r="BC910" s="39"/>
      <c r="BD910" s="39"/>
      <c r="BE910" s="39"/>
      <c r="BF910" s="39">
        <f t="shared" si="893"/>
        <v>0</v>
      </c>
      <c r="BG910" s="39"/>
      <c r="BH910" s="39"/>
      <c r="BI910" s="39"/>
      <c r="BJ910" s="39"/>
      <c r="BK910" s="39"/>
      <c r="BL910" s="39">
        <f t="shared" si="919"/>
        <v>0</v>
      </c>
      <c r="BM910" s="54" t="str">
        <f t="shared" si="894"/>
        <v/>
      </c>
      <c r="BN910" s="59">
        <v>46188</v>
      </c>
      <c r="BO910" s="57">
        <v>46200</v>
      </c>
      <c r="BP910" s="36"/>
      <c r="BQ910" s="36"/>
      <c r="BR910" s="230"/>
      <c r="BS910" s="230"/>
      <c r="BT910" s="39">
        <v>1747</v>
      </c>
      <c r="BU910" s="39">
        <v>182</v>
      </c>
      <c r="BV910" s="39"/>
      <c r="BW910" s="39"/>
      <c r="BX910" s="39"/>
      <c r="BY910" s="39"/>
      <c r="BZ910" s="39">
        <f t="shared" si="920"/>
        <v>182</v>
      </c>
      <c r="CA910" s="39">
        <f t="shared" si="895"/>
        <v>4</v>
      </c>
      <c r="CB910" s="39">
        <f t="shared" si="896"/>
        <v>0</v>
      </c>
      <c r="CC910" s="39">
        <f t="shared" si="897"/>
        <v>0</v>
      </c>
      <c r="CD910" s="39">
        <f t="shared" si="921"/>
        <v>0</v>
      </c>
      <c r="CE910" s="102">
        <f t="shared" si="898"/>
        <v>0</v>
      </c>
      <c r="CF910" s="36"/>
      <c r="CG910" s="39" t="s">
        <v>232</v>
      </c>
      <c r="CH910" s="39"/>
      <c r="CI910" s="25">
        <v>2</v>
      </c>
    </row>
    <row r="911" spans="1:87" ht="34.5" customHeight="1">
      <c r="A911" s="36" t="s">
        <v>20</v>
      </c>
      <c r="B911" s="29" t="s">
        <v>849</v>
      </c>
      <c r="C911" s="36" t="s">
        <v>850</v>
      </c>
      <c r="D911" s="36"/>
      <c r="E911" s="39">
        <v>220</v>
      </c>
      <c r="F911" s="39" t="s">
        <v>55</v>
      </c>
      <c r="G911" s="36" t="s">
        <v>23</v>
      </c>
      <c r="H911" s="36" t="s">
        <v>209</v>
      </c>
      <c r="I911" s="39">
        <v>330</v>
      </c>
      <c r="J911" s="39"/>
      <c r="K911" s="39"/>
      <c r="L911" s="39">
        <f t="shared" ref="L911:L962" si="942">SUM(I911:K911)</f>
        <v>330</v>
      </c>
      <c r="M911" s="117">
        <v>46179</v>
      </c>
      <c r="N911" s="117">
        <v>46185</v>
      </c>
      <c r="O911" s="39"/>
      <c r="P911" s="39"/>
      <c r="Q911" s="39"/>
      <c r="R911" s="39">
        <f t="shared" ref="R911:R962" si="943">SUM(O911:Q911)</f>
        <v>0</v>
      </c>
      <c r="S911" s="39" t="s">
        <v>130</v>
      </c>
      <c r="T911" s="39">
        <v>107061</v>
      </c>
      <c r="U911" s="117">
        <v>46191</v>
      </c>
      <c r="V911" s="39"/>
      <c r="W911" s="39"/>
      <c r="X911" s="39"/>
      <c r="Y911" s="39">
        <v>366</v>
      </c>
      <c r="Z911" s="39"/>
      <c r="AA911" s="39"/>
      <c r="AB911" s="119">
        <f t="shared" ref="AB911:AB962" si="944">SUM(Y911:AA911)</f>
        <v>366</v>
      </c>
      <c r="AC911" s="39"/>
      <c r="AD911" s="39"/>
      <c r="AE911" s="39"/>
      <c r="AF911" s="39"/>
      <c r="AG911" s="39"/>
      <c r="AH911" s="39">
        <f t="shared" si="918"/>
        <v>0</v>
      </c>
      <c r="AI911" s="39"/>
      <c r="AJ911" s="39"/>
      <c r="AK911" s="39"/>
      <c r="AL911" s="39"/>
      <c r="AM911" s="39"/>
      <c r="AN911" s="39">
        <f t="shared" si="917"/>
        <v>0</v>
      </c>
      <c r="AO911" s="39"/>
      <c r="AP911" s="39"/>
      <c r="AQ911" s="39"/>
      <c r="AR911" s="39"/>
      <c r="AS911" s="39"/>
      <c r="AT911" s="39">
        <f t="shared" si="891"/>
        <v>0</v>
      </c>
      <c r="AU911" s="39"/>
      <c r="AV911" s="39"/>
      <c r="AW911" s="39"/>
      <c r="AX911" s="39"/>
      <c r="AY911" s="39"/>
      <c r="AZ911" s="39">
        <f t="shared" si="892"/>
        <v>0</v>
      </c>
      <c r="BA911" s="39"/>
      <c r="BB911" s="39"/>
      <c r="BC911" s="39"/>
      <c r="BD911" s="39"/>
      <c r="BE911" s="39"/>
      <c r="BF911" s="39">
        <f t="shared" si="893"/>
        <v>0</v>
      </c>
      <c r="BG911" s="39"/>
      <c r="BH911" s="39"/>
      <c r="BI911" s="39"/>
      <c r="BJ911" s="39"/>
      <c r="BK911" s="39"/>
      <c r="BL911" s="39">
        <f t="shared" si="919"/>
        <v>0</v>
      </c>
      <c r="BM911" s="54" t="str">
        <f t="shared" si="894"/>
        <v/>
      </c>
      <c r="BN911" s="59">
        <v>46186</v>
      </c>
      <c r="BO911" s="57">
        <v>46197</v>
      </c>
      <c r="BP911" s="36"/>
      <c r="BQ911" s="36"/>
      <c r="BR911" s="50">
        <v>46193</v>
      </c>
      <c r="BS911" s="50">
        <v>46193</v>
      </c>
      <c r="BT911" s="39" t="s">
        <v>1317</v>
      </c>
      <c r="BU911" s="39">
        <f>312+5</f>
        <v>317</v>
      </c>
      <c r="BV911" s="39"/>
      <c r="BW911" s="39"/>
      <c r="BX911" s="39"/>
      <c r="BY911" s="39"/>
      <c r="BZ911" s="39">
        <f t="shared" si="920"/>
        <v>317</v>
      </c>
      <c r="CA911" s="39">
        <f t="shared" si="895"/>
        <v>-13</v>
      </c>
      <c r="CB911" s="39">
        <f t="shared" si="896"/>
        <v>0</v>
      </c>
      <c r="CC911" s="39">
        <f t="shared" si="897"/>
        <v>0</v>
      </c>
      <c r="CD911" s="39">
        <f t="shared" si="921"/>
        <v>-13</v>
      </c>
      <c r="CE911" s="102">
        <f t="shared" si="898"/>
        <v>-3.9393939393939391E-2</v>
      </c>
      <c r="CF911" s="36"/>
      <c r="CG911" s="39" t="s">
        <v>232</v>
      </c>
      <c r="CH911" s="39" t="s">
        <v>1318</v>
      </c>
      <c r="CI911" s="25">
        <v>2</v>
      </c>
    </row>
    <row r="912" spans="1:87" ht="34.5" customHeight="1">
      <c r="A912" s="36" t="s">
        <v>20</v>
      </c>
      <c r="B912" s="29" t="s">
        <v>851</v>
      </c>
      <c r="C912" s="36" t="s">
        <v>852</v>
      </c>
      <c r="D912" s="36"/>
      <c r="E912" s="39">
        <v>180</v>
      </c>
      <c r="F912" s="39" t="s">
        <v>58</v>
      </c>
      <c r="G912" s="36" t="s">
        <v>23</v>
      </c>
      <c r="H912" s="39" t="s">
        <v>87</v>
      </c>
      <c r="I912" s="39">
        <v>850</v>
      </c>
      <c r="J912" s="39"/>
      <c r="K912" s="39"/>
      <c r="L912" s="39">
        <f t="shared" si="942"/>
        <v>850</v>
      </c>
      <c r="M912" s="117">
        <v>46179</v>
      </c>
      <c r="N912" s="117">
        <v>46188</v>
      </c>
      <c r="O912" s="39"/>
      <c r="P912" s="39"/>
      <c r="Q912" s="39"/>
      <c r="R912" s="39">
        <f t="shared" si="943"/>
        <v>0</v>
      </c>
      <c r="S912" s="39" t="s">
        <v>28</v>
      </c>
      <c r="T912" s="39"/>
      <c r="U912" s="39"/>
      <c r="V912" s="117">
        <v>46188</v>
      </c>
      <c r="W912" s="39">
        <v>947</v>
      </c>
      <c r="X912" s="117" t="s">
        <v>1136</v>
      </c>
      <c r="Y912" s="39">
        <f>830+53</f>
        <v>883</v>
      </c>
      <c r="Z912" s="39"/>
      <c r="AA912" s="39"/>
      <c r="AB912" s="119">
        <f t="shared" si="944"/>
        <v>883</v>
      </c>
      <c r="AC912" s="39"/>
      <c r="AD912" s="39"/>
      <c r="AE912" s="39"/>
      <c r="AF912" s="39"/>
      <c r="AG912" s="39"/>
      <c r="AH912" s="39">
        <f t="shared" si="918"/>
        <v>0</v>
      </c>
      <c r="AI912" s="39"/>
      <c r="AJ912" s="39"/>
      <c r="AK912" s="39"/>
      <c r="AL912" s="39"/>
      <c r="AM912" s="39"/>
      <c r="AN912" s="39">
        <f t="shared" si="917"/>
        <v>0</v>
      </c>
      <c r="AO912" s="39"/>
      <c r="AP912" s="39"/>
      <c r="AQ912" s="39"/>
      <c r="AR912" s="39"/>
      <c r="AS912" s="39"/>
      <c r="AT912" s="39">
        <f t="shared" si="891"/>
        <v>0</v>
      </c>
      <c r="AU912" s="39"/>
      <c r="AV912" s="39"/>
      <c r="AW912" s="39"/>
      <c r="AX912" s="39"/>
      <c r="AY912" s="39"/>
      <c r="AZ912" s="39">
        <f t="shared" si="892"/>
        <v>0</v>
      </c>
      <c r="BA912" s="39"/>
      <c r="BB912" s="39"/>
      <c r="BC912" s="39"/>
      <c r="BD912" s="39"/>
      <c r="BE912" s="39"/>
      <c r="BF912" s="39">
        <f t="shared" si="893"/>
        <v>0</v>
      </c>
      <c r="BG912" s="39"/>
      <c r="BH912" s="39"/>
      <c r="BI912" s="39"/>
      <c r="BJ912" s="39"/>
      <c r="BK912" s="39"/>
      <c r="BL912" s="39">
        <f t="shared" si="919"/>
        <v>0</v>
      </c>
      <c r="BM912" s="54" t="str">
        <f t="shared" si="894"/>
        <v/>
      </c>
      <c r="BN912" s="59">
        <v>46189</v>
      </c>
      <c r="BO912" s="57">
        <v>46200</v>
      </c>
      <c r="BP912" s="36"/>
      <c r="BQ912" s="36"/>
      <c r="BR912" s="50">
        <v>46195</v>
      </c>
      <c r="BS912" s="50">
        <v>46195</v>
      </c>
      <c r="BT912" s="39">
        <v>1505</v>
      </c>
      <c r="BU912" s="39">
        <f>830+53</f>
        <v>883</v>
      </c>
      <c r="BV912" s="39"/>
      <c r="BW912" s="39"/>
      <c r="BX912" s="39"/>
      <c r="BY912" s="39"/>
      <c r="BZ912" s="39">
        <f t="shared" si="920"/>
        <v>883</v>
      </c>
      <c r="CA912" s="39">
        <f t="shared" si="895"/>
        <v>33</v>
      </c>
      <c r="CB912" s="39">
        <f t="shared" si="896"/>
        <v>0</v>
      </c>
      <c r="CC912" s="39">
        <f t="shared" si="897"/>
        <v>0</v>
      </c>
      <c r="CD912" s="39">
        <f t="shared" si="921"/>
        <v>0</v>
      </c>
      <c r="CE912" s="102">
        <f t="shared" si="898"/>
        <v>0</v>
      </c>
      <c r="CF912" s="36"/>
      <c r="CG912" s="39" t="s">
        <v>233</v>
      </c>
      <c r="CH912" s="39"/>
      <c r="CI912" s="25">
        <v>2</v>
      </c>
    </row>
    <row r="913" spans="1:87" ht="33.75" customHeight="1">
      <c r="A913" s="36" t="s">
        <v>20</v>
      </c>
      <c r="B913" s="29" t="s">
        <v>853</v>
      </c>
      <c r="C913" s="36" t="s">
        <v>854</v>
      </c>
      <c r="D913" s="36"/>
      <c r="E913" s="39">
        <v>240</v>
      </c>
      <c r="F913" s="39" t="s">
        <v>58</v>
      </c>
      <c r="G913" s="36" t="s">
        <v>23</v>
      </c>
      <c r="H913" s="39" t="s">
        <v>210</v>
      </c>
      <c r="I913" s="39">
        <v>660</v>
      </c>
      <c r="J913" s="39"/>
      <c r="K913" s="39"/>
      <c r="L913" s="39">
        <f t="shared" si="942"/>
        <v>660</v>
      </c>
      <c r="M913" s="117">
        <v>46179</v>
      </c>
      <c r="N913" s="117">
        <v>46188</v>
      </c>
      <c r="O913" s="39"/>
      <c r="P913" s="39"/>
      <c r="Q913" s="39"/>
      <c r="R913" s="39">
        <f t="shared" si="943"/>
        <v>0</v>
      </c>
      <c r="S913" s="39" t="s">
        <v>28</v>
      </c>
      <c r="T913" s="39"/>
      <c r="U913" s="39"/>
      <c r="V913" s="117">
        <v>46190</v>
      </c>
      <c r="W913" s="39">
        <v>734</v>
      </c>
      <c r="X913" s="117">
        <v>46198</v>
      </c>
      <c r="Y913" s="39">
        <v>694</v>
      </c>
      <c r="Z913" s="39"/>
      <c r="AA913" s="39"/>
      <c r="AB913" s="119">
        <f t="shared" si="944"/>
        <v>694</v>
      </c>
      <c r="AC913" s="39"/>
      <c r="AD913" s="39"/>
      <c r="AE913" s="39"/>
      <c r="AF913" s="39"/>
      <c r="AG913" s="39"/>
      <c r="AH913" s="39">
        <f t="shared" si="918"/>
        <v>0</v>
      </c>
      <c r="AI913" s="39"/>
      <c r="AJ913" s="39"/>
      <c r="AK913" s="39"/>
      <c r="AL913" s="39"/>
      <c r="AM913" s="39"/>
      <c r="AN913" s="39">
        <f t="shared" si="917"/>
        <v>0</v>
      </c>
      <c r="AO913" s="39"/>
      <c r="AP913" s="39"/>
      <c r="AQ913" s="39"/>
      <c r="AR913" s="39"/>
      <c r="AS913" s="39"/>
      <c r="AT913" s="39">
        <f t="shared" si="891"/>
        <v>0</v>
      </c>
      <c r="AU913" s="39"/>
      <c r="AV913" s="39"/>
      <c r="AW913" s="39"/>
      <c r="AX913" s="39"/>
      <c r="AY913" s="39"/>
      <c r="AZ913" s="39">
        <f t="shared" si="892"/>
        <v>0</v>
      </c>
      <c r="BA913" s="39"/>
      <c r="BB913" s="39"/>
      <c r="BC913" s="39"/>
      <c r="BD913" s="39"/>
      <c r="BE913" s="39"/>
      <c r="BF913" s="39">
        <f t="shared" si="893"/>
        <v>0</v>
      </c>
      <c r="BG913" s="39"/>
      <c r="BH913" s="39"/>
      <c r="BI913" s="39"/>
      <c r="BJ913" s="39"/>
      <c r="BK913" s="39"/>
      <c r="BL913" s="39">
        <f t="shared" si="919"/>
        <v>0</v>
      </c>
      <c r="BM913" s="54" t="str">
        <f t="shared" si="894"/>
        <v/>
      </c>
      <c r="BN913" s="59">
        <v>46189</v>
      </c>
      <c r="BO913" s="57">
        <v>46203</v>
      </c>
      <c r="BP913" s="36"/>
      <c r="BQ913" s="36"/>
      <c r="BR913" s="50">
        <v>46199</v>
      </c>
      <c r="BS913" s="50">
        <v>46199</v>
      </c>
      <c r="BT913" s="39">
        <v>1511</v>
      </c>
      <c r="BU913" s="39">
        <v>694</v>
      </c>
      <c r="BV913" s="39"/>
      <c r="BW913" s="39"/>
      <c r="BX913" s="39"/>
      <c r="BY913" s="39"/>
      <c r="BZ913" s="39">
        <f t="shared" si="920"/>
        <v>694</v>
      </c>
      <c r="CA913" s="39">
        <f t="shared" si="895"/>
        <v>34</v>
      </c>
      <c r="CB913" s="39">
        <f t="shared" si="896"/>
        <v>0</v>
      </c>
      <c r="CC913" s="39">
        <f t="shared" si="897"/>
        <v>0</v>
      </c>
      <c r="CD913" s="39">
        <f t="shared" si="921"/>
        <v>0</v>
      </c>
      <c r="CE913" s="102">
        <f t="shared" si="898"/>
        <v>0</v>
      </c>
      <c r="CF913" s="36"/>
      <c r="CG913" s="39" t="s">
        <v>233</v>
      </c>
      <c r="CH913" s="39"/>
      <c r="CI913" s="25">
        <v>2</v>
      </c>
    </row>
    <row r="914" spans="1:87" ht="24.75" customHeight="1">
      <c r="A914" s="36" t="s">
        <v>20</v>
      </c>
      <c r="B914" s="29" t="s">
        <v>855</v>
      </c>
      <c r="C914" s="227" t="s">
        <v>856</v>
      </c>
      <c r="D914" s="36"/>
      <c r="E914" s="39">
        <v>220</v>
      </c>
      <c r="F914" s="39" t="s">
        <v>59</v>
      </c>
      <c r="G914" s="36" t="s">
        <v>439</v>
      </c>
      <c r="H914" s="39" t="s">
        <v>102</v>
      </c>
      <c r="I914" s="39">
        <v>737</v>
      </c>
      <c r="J914" s="39"/>
      <c r="K914" s="39"/>
      <c r="L914" s="39">
        <f t="shared" si="942"/>
        <v>737</v>
      </c>
      <c r="M914" s="117">
        <v>46179</v>
      </c>
      <c r="N914" s="117">
        <v>46188</v>
      </c>
      <c r="O914" s="39"/>
      <c r="P914" s="39"/>
      <c r="Q914" s="39"/>
      <c r="R914" s="39">
        <f t="shared" si="943"/>
        <v>0</v>
      </c>
      <c r="S914" s="39" t="s">
        <v>130</v>
      </c>
      <c r="T914" s="39">
        <v>107361</v>
      </c>
      <c r="U914" s="117">
        <v>46203</v>
      </c>
      <c r="V914" s="39"/>
      <c r="W914" s="39"/>
      <c r="X914" s="39"/>
      <c r="Y914" s="39">
        <v>836</v>
      </c>
      <c r="Z914" s="39"/>
      <c r="AA914" s="39"/>
      <c r="AB914" s="119">
        <f t="shared" si="944"/>
        <v>836</v>
      </c>
      <c r="AC914" s="39"/>
      <c r="AD914" s="39"/>
      <c r="AE914" s="39"/>
      <c r="AF914" s="39"/>
      <c r="AG914" s="39"/>
      <c r="AH914" s="39">
        <f t="shared" si="918"/>
        <v>0</v>
      </c>
      <c r="AI914" s="39"/>
      <c r="AJ914" s="39"/>
      <c r="AK914" s="39"/>
      <c r="AL914" s="39"/>
      <c r="AM914" s="39"/>
      <c r="AN914" s="39">
        <f t="shared" si="917"/>
        <v>0</v>
      </c>
      <c r="AO914" s="39"/>
      <c r="AP914" s="39"/>
      <c r="AQ914" s="39"/>
      <c r="AR914" s="39"/>
      <c r="AS914" s="39"/>
      <c r="AT914" s="39">
        <f t="shared" si="891"/>
        <v>0</v>
      </c>
      <c r="AU914" s="39"/>
      <c r="AV914" s="39"/>
      <c r="AW914" s="39"/>
      <c r="AX914" s="39"/>
      <c r="AY914" s="39"/>
      <c r="AZ914" s="39">
        <f t="shared" si="892"/>
        <v>0</v>
      </c>
      <c r="BA914" s="39"/>
      <c r="BB914" s="39"/>
      <c r="BC914" s="39"/>
      <c r="BD914" s="39"/>
      <c r="BE914" s="39"/>
      <c r="BF914" s="39">
        <f t="shared" si="893"/>
        <v>0</v>
      </c>
      <c r="BG914" s="39"/>
      <c r="BH914" s="39"/>
      <c r="BI914" s="39"/>
      <c r="BJ914" s="39"/>
      <c r="BK914" s="39"/>
      <c r="BL914" s="39">
        <f t="shared" si="919"/>
        <v>0</v>
      </c>
      <c r="BM914" s="54" t="str">
        <f t="shared" si="894"/>
        <v/>
      </c>
      <c r="BN914" s="59">
        <v>46189</v>
      </c>
      <c r="BO914" s="57">
        <v>46202</v>
      </c>
      <c r="BP914" s="36"/>
      <c r="BQ914" s="36"/>
      <c r="BR914" s="229">
        <v>46204</v>
      </c>
      <c r="BS914" s="229">
        <v>46205</v>
      </c>
      <c r="BT914" s="39">
        <v>2005</v>
      </c>
      <c r="BU914" s="39">
        <v>782</v>
      </c>
      <c r="BV914" s="39"/>
      <c r="BW914" s="39"/>
      <c r="BX914" s="39"/>
      <c r="BY914" s="39"/>
      <c r="BZ914" s="39">
        <f t="shared" si="920"/>
        <v>782</v>
      </c>
      <c r="CA914" s="39">
        <f t="shared" si="895"/>
        <v>45</v>
      </c>
      <c r="CB914" s="39">
        <f t="shared" si="896"/>
        <v>0</v>
      </c>
      <c r="CC914" s="39">
        <f t="shared" si="897"/>
        <v>0</v>
      </c>
      <c r="CD914" s="39">
        <f t="shared" si="921"/>
        <v>0</v>
      </c>
      <c r="CE914" s="102">
        <f t="shared" si="898"/>
        <v>0</v>
      </c>
      <c r="CF914" s="36"/>
      <c r="CG914" s="39" t="s">
        <v>233</v>
      </c>
      <c r="CH914" s="39"/>
      <c r="CI914" s="25">
        <v>2</v>
      </c>
    </row>
    <row r="915" spans="1:87" ht="24.75" customHeight="1">
      <c r="A915" s="36" t="s">
        <v>20</v>
      </c>
      <c r="B915" s="29" t="s">
        <v>855</v>
      </c>
      <c r="C915" s="228"/>
      <c r="D915" s="36"/>
      <c r="E915" s="39">
        <v>220</v>
      </c>
      <c r="F915" s="39" t="s">
        <v>59</v>
      </c>
      <c r="G915" s="36" t="s">
        <v>437</v>
      </c>
      <c r="H915" s="39" t="s">
        <v>102</v>
      </c>
      <c r="I915" s="39">
        <v>737</v>
      </c>
      <c r="J915" s="39"/>
      <c r="K915" s="39"/>
      <c r="L915" s="39">
        <f t="shared" si="942"/>
        <v>737</v>
      </c>
      <c r="M915" s="117">
        <v>46179</v>
      </c>
      <c r="N915" s="117">
        <v>46188</v>
      </c>
      <c r="O915" s="39"/>
      <c r="P915" s="39"/>
      <c r="Q915" s="39"/>
      <c r="R915" s="39">
        <f t="shared" si="943"/>
        <v>0</v>
      </c>
      <c r="S915" s="39" t="s">
        <v>130</v>
      </c>
      <c r="T915" s="39">
        <v>107321</v>
      </c>
      <c r="U915" s="117">
        <v>46202</v>
      </c>
      <c r="V915" s="39"/>
      <c r="W915" s="39"/>
      <c r="X915" s="39"/>
      <c r="Y915" s="39">
        <v>845</v>
      </c>
      <c r="Z915" s="39"/>
      <c r="AA915" s="39"/>
      <c r="AB915" s="119">
        <f t="shared" si="944"/>
        <v>845</v>
      </c>
      <c r="AC915" s="39"/>
      <c r="AD915" s="39"/>
      <c r="AE915" s="39"/>
      <c r="AF915" s="39"/>
      <c r="AG915" s="39"/>
      <c r="AH915" s="39">
        <f t="shared" si="918"/>
        <v>0</v>
      </c>
      <c r="AI915" s="39"/>
      <c r="AJ915" s="39"/>
      <c r="AK915" s="39"/>
      <c r="AL915" s="39"/>
      <c r="AM915" s="39"/>
      <c r="AN915" s="39">
        <f t="shared" si="917"/>
        <v>0</v>
      </c>
      <c r="AO915" s="39"/>
      <c r="AP915" s="39"/>
      <c r="AQ915" s="39"/>
      <c r="AR915" s="39"/>
      <c r="AS915" s="39"/>
      <c r="AT915" s="39">
        <f t="shared" si="891"/>
        <v>0</v>
      </c>
      <c r="AU915" s="39"/>
      <c r="AV915" s="39"/>
      <c r="AW915" s="39"/>
      <c r="AX915" s="39"/>
      <c r="AY915" s="39"/>
      <c r="AZ915" s="39">
        <f t="shared" si="892"/>
        <v>0</v>
      </c>
      <c r="BA915" s="39"/>
      <c r="BB915" s="39"/>
      <c r="BC915" s="39"/>
      <c r="BD915" s="39"/>
      <c r="BE915" s="39"/>
      <c r="BF915" s="39">
        <f t="shared" si="893"/>
        <v>0</v>
      </c>
      <c r="BG915" s="39"/>
      <c r="BH915" s="39"/>
      <c r="BI915" s="39"/>
      <c r="BJ915" s="39"/>
      <c r="BK915" s="39"/>
      <c r="BL915" s="39">
        <f t="shared" si="919"/>
        <v>0</v>
      </c>
      <c r="BM915" s="54" t="str">
        <f t="shared" si="894"/>
        <v/>
      </c>
      <c r="BN915" s="59">
        <v>46189</v>
      </c>
      <c r="BO915" s="57">
        <v>46202</v>
      </c>
      <c r="BP915" s="36"/>
      <c r="BQ915" s="36"/>
      <c r="BR915" s="230"/>
      <c r="BS915" s="230"/>
      <c r="BT915" s="39">
        <v>2003</v>
      </c>
      <c r="BU915" s="39">
        <v>769</v>
      </c>
      <c r="BV915" s="39"/>
      <c r="BW915" s="39"/>
      <c r="BX915" s="39"/>
      <c r="BY915" s="39"/>
      <c r="BZ915" s="39">
        <f t="shared" si="920"/>
        <v>769</v>
      </c>
      <c r="CA915" s="39">
        <f t="shared" si="895"/>
        <v>32</v>
      </c>
      <c r="CB915" s="39">
        <f t="shared" si="896"/>
        <v>0</v>
      </c>
      <c r="CC915" s="39">
        <f t="shared" si="897"/>
        <v>0</v>
      </c>
      <c r="CD915" s="39">
        <f t="shared" si="921"/>
        <v>0</v>
      </c>
      <c r="CE915" s="102">
        <f t="shared" si="898"/>
        <v>0</v>
      </c>
      <c r="CF915" s="36"/>
      <c r="CG915" s="39" t="s">
        <v>233</v>
      </c>
      <c r="CH915" s="39"/>
      <c r="CI915" s="25">
        <v>2</v>
      </c>
    </row>
    <row r="916" spans="1:87" ht="24.75" customHeight="1">
      <c r="A916" s="36" t="s">
        <v>20</v>
      </c>
      <c r="B916" s="29" t="s">
        <v>857</v>
      </c>
      <c r="C916" s="227" t="s">
        <v>445</v>
      </c>
      <c r="D916" s="36"/>
      <c r="E916" s="39">
        <v>180</v>
      </c>
      <c r="F916" s="39" t="s">
        <v>58</v>
      </c>
      <c r="G916" s="36" t="s">
        <v>23</v>
      </c>
      <c r="H916" s="39" t="s">
        <v>87</v>
      </c>
      <c r="I916" s="39">
        <v>1525</v>
      </c>
      <c r="J916" s="39"/>
      <c r="K916" s="39"/>
      <c r="L916" s="39">
        <f t="shared" si="942"/>
        <v>1525</v>
      </c>
      <c r="M916" s="117">
        <v>46179</v>
      </c>
      <c r="N916" s="117">
        <v>46188</v>
      </c>
      <c r="O916" s="39"/>
      <c r="P916" s="39"/>
      <c r="Q916" s="39"/>
      <c r="R916" s="39">
        <f t="shared" si="943"/>
        <v>0</v>
      </c>
      <c r="S916" s="39" t="s">
        <v>28</v>
      </c>
      <c r="T916" s="39"/>
      <c r="U916" s="39"/>
      <c r="V916" s="117">
        <v>46188</v>
      </c>
      <c r="W916" s="39">
        <f>1975-280</f>
        <v>1695</v>
      </c>
      <c r="X916" s="117" t="s">
        <v>1232</v>
      </c>
      <c r="Y916" s="39">
        <f>621+614+375-30</f>
        <v>1580</v>
      </c>
      <c r="Z916" s="39"/>
      <c r="AA916" s="39"/>
      <c r="AB916" s="119">
        <f t="shared" si="944"/>
        <v>1580</v>
      </c>
      <c r="AC916" s="39"/>
      <c r="AD916" s="39"/>
      <c r="AE916" s="39"/>
      <c r="AF916" s="39"/>
      <c r="AG916" s="39"/>
      <c r="AH916" s="39">
        <f t="shared" si="918"/>
        <v>0</v>
      </c>
      <c r="AI916" s="39"/>
      <c r="AJ916" s="39"/>
      <c r="AK916" s="39"/>
      <c r="AL916" s="39"/>
      <c r="AM916" s="39"/>
      <c r="AN916" s="39">
        <f t="shared" si="917"/>
        <v>0</v>
      </c>
      <c r="AO916" s="39"/>
      <c r="AP916" s="39"/>
      <c r="AQ916" s="39"/>
      <c r="AR916" s="39"/>
      <c r="AS916" s="39"/>
      <c r="AT916" s="39">
        <f t="shared" si="891"/>
        <v>0</v>
      </c>
      <c r="AU916" s="39"/>
      <c r="AV916" s="39"/>
      <c r="AW916" s="39"/>
      <c r="AX916" s="39"/>
      <c r="AY916" s="39"/>
      <c r="AZ916" s="39">
        <f t="shared" si="892"/>
        <v>0</v>
      </c>
      <c r="BA916" s="39"/>
      <c r="BB916" s="39"/>
      <c r="BC916" s="39"/>
      <c r="BD916" s="39"/>
      <c r="BE916" s="39"/>
      <c r="BF916" s="39">
        <f t="shared" si="893"/>
        <v>0</v>
      </c>
      <c r="BG916" s="39"/>
      <c r="BH916" s="39"/>
      <c r="BI916" s="39"/>
      <c r="BJ916" s="39"/>
      <c r="BK916" s="39"/>
      <c r="BL916" s="39">
        <f t="shared" si="919"/>
        <v>0</v>
      </c>
      <c r="BM916" s="54" t="str">
        <f t="shared" si="894"/>
        <v/>
      </c>
      <c r="BN916" s="59">
        <v>46188</v>
      </c>
      <c r="BO916" s="57">
        <v>46202</v>
      </c>
      <c r="BP916" s="36"/>
      <c r="BQ916" s="36"/>
      <c r="BR916" s="229">
        <v>46191</v>
      </c>
      <c r="BS916" s="229">
        <v>46218</v>
      </c>
      <c r="BT916" s="39" t="s">
        <v>1269</v>
      </c>
      <c r="BU916" s="39">
        <f>621+614+375-40</f>
        <v>1570</v>
      </c>
      <c r="BV916" s="39"/>
      <c r="BW916" s="39"/>
      <c r="BX916" s="39"/>
      <c r="BY916" s="39"/>
      <c r="BZ916" s="39">
        <f t="shared" si="920"/>
        <v>1570</v>
      </c>
      <c r="CA916" s="39">
        <f t="shared" si="895"/>
        <v>45</v>
      </c>
      <c r="CB916" s="39">
        <f t="shared" si="896"/>
        <v>0</v>
      </c>
      <c r="CC916" s="39">
        <f t="shared" si="897"/>
        <v>0</v>
      </c>
      <c r="CD916" s="39">
        <f t="shared" si="921"/>
        <v>0</v>
      </c>
      <c r="CE916" s="102">
        <f t="shared" si="898"/>
        <v>0</v>
      </c>
      <c r="CF916" s="36"/>
      <c r="CG916" s="39" t="s">
        <v>233</v>
      </c>
      <c r="CH916" s="39"/>
      <c r="CI916" s="25">
        <v>2</v>
      </c>
    </row>
    <row r="917" spans="1:87" ht="24.75" customHeight="1">
      <c r="A917" s="36" t="s">
        <v>20</v>
      </c>
      <c r="B917" s="29" t="s">
        <v>857</v>
      </c>
      <c r="C917" s="231"/>
      <c r="D917" s="36"/>
      <c r="E917" s="39">
        <v>180</v>
      </c>
      <c r="F917" s="39" t="s">
        <v>58</v>
      </c>
      <c r="G917" s="36" t="s">
        <v>372</v>
      </c>
      <c r="H917" s="39" t="s">
        <v>88</v>
      </c>
      <c r="I917" s="39">
        <v>263</v>
      </c>
      <c r="J917" s="39"/>
      <c r="K917" s="39"/>
      <c r="L917" s="39">
        <f t="shared" si="942"/>
        <v>263</v>
      </c>
      <c r="M917" s="117">
        <v>46179</v>
      </c>
      <c r="N917" s="117">
        <v>46188</v>
      </c>
      <c r="O917" s="39"/>
      <c r="P917" s="39"/>
      <c r="Q917" s="39"/>
      <c r="R917" s="39">
        <f t="shared" si="943"/>
        <v>0</v>
      </c>
      <c r="S917" s="39" t="s">
        <v>130</v>
      </c>
      <c r="T917" s="39">
        <v>107529</v>
      </c>
      <c r="U917" s="117">
        <v>46213</v>
      </c>
      <c r="V917" s="39"/>
      <c r="W917" s="39"/>
      <c r="X917" s="39"/>
      <c r="Y917" s="39">
        <v>296</v>
      </c>
      <c r="Z917" s="39"/>
      <c r="AA917" s="39"/>
      <c r="AB917" s="119">
        <f t="shared" si="944"/>
        <v>296</v>
      </c>
      <c r="AC917" s="39"/>
      <c r="AD917" s="39"/>
      <c r="AE917" s="39"/>
      <c r="AF917" s="39"/>
      <c r="AG917" s="39"/>
      <c r="AH917" s="39">
        <f t="shared" si="918"/>
        <v>0</v>
      </c>
      <c r="AI917" s="39"/>
      <c r="AJ917" s="39"/>
      <c r="AK917" s="39"/>
      <c r="AL917" s="39"/>
      <c r="AM917" s="39"/>
      <c r="AN917" s="39">
        <f t="shared" si="917"/>
        <v>0</v>
      </c>
      <c r="AO917" s="39"/>
      <c r="AP917" s="39"/>
      <c r="AQ917" s="39"/>
      <c r="AR917" s="39"/>
      <c r="AS917" s="39"/>
      <c r="AT917" s="39">
        <f t="shared" si="891"/>
        <v>0</v>
      </c>
      <c r="AU917" s="39"/>
      <c r="AV917" s="39"/>
      <c r="AW917" s="39"/>
      <c r="AX917" s="39"/>
      <c r="AY917" s="39"/>
      <c r="AZ917" s="39">
        <f t="shared" si="892"/>
        <v>0</v>
      </c>
      <c r="BA917" s="39"/>
      <c r="BB917" s="39"/>
      <c r="BC917" s="39"/>
      <c r="BD917" s="39"/>
      <c r="BE917" s="39"/>
      <c r="BF917" s="39">
        <f t="shared" si="893"/>
        <v>0</v>
      </c>
      <c r="BG917" s="39"/>
      <c r="BH917" s="39"/>
      <c r="BI917" s="39"/>
      <c r="BJ917" s="39"/>
      <c r="BK917" s="39"/>
      <c r="BL917" s="39">
        <f t="shared" si="919"/>
        <v>0</v>
      </c>
      <c r="BM917" s="54" t="str">
        <f t="shared" si="894"/>
        <v/>
      </c>
      <c r="BN917" s="59">
        <v>46188</v>
      </c>
      <c r="BO917" s="57">
        <v>46202</v>
      </c>
      <c r="BP917" s="36"/>
      <c r="BQ917" s="36"/>
      <c r="BR917" s="232"/>
      <c r="BS917" s="232"/>
      <c r="BT917" s="39">
        <v>1808</v>
      </c>
      <c r="BU917" s="39">
        <v>277</v>
      </c>
      <c r="BV917" s="39"/>
      <c r="BW917" s="39"/>
      <c r="BX917" s="39"/>
      <c r="BY917" s="39"/>
      <c r="BZ917" s="39">
        <f t="shared" si="920"/>
        <v>277</v>
      </c>
      <c r="CA917" s="39">
        <f t="shared" si="895"/>
        <v>14</v>
      </c>
      <c r="CB917" s="39">
        <f t="shared" si="896"/>
        <v>0</v>
      </c>
      <c r="CC917" s="39">
        <f t="shared" si="897"/>
        <v>0</v>
      </c>
      <c r="CD917" s="39">
        <f t="shared" si="921"/>
        <v>0</v>
      </c>
      <c r="CE917" s="102">
        <f t="shared" si="898"/>
        <v>0</v>
      </c>
      <c r="CF917" s="36"/>
      <c r="CG917" s="39" t="s">
        <v>233</v>
      </c>
      <c r="CH917" s="39"/>
      <c r="CI917" s="25">
        <v>2</v>
      </c>
    </row>
    <row r="918" spans="1:87" ht="24.75" customHeight="1">
      <c r="A918" s="36" t="s">
        <v>20</v>
      </c>
      <c r="B918" s="29" t="s">
        <v>857</v>
      </c>
      <c r="C918" s="231"/>
      <c r="D918" s="36"/>
      <c r="E918" s="39">
        <v>180</v>
      </c>
      <c r="F918" s="39" t="s">
        <v>58</v>
      </c>
      <c r="G918" s="36" t="s">
        <v>216</v>
      </c>
      <c r="H918" s="39" t="s">
        <v>88</v>
      </c>
      <c r="I918" s="39">
        <v>263</v>
      </c>
      <c r="J918" s="39"/>
      <c r="K918" s="39"/>
      <c r="L918" s="39">
        <f t="shared" si="942"/>
        <v>263</v>
      </c>
      <c r="M918" s="117">
        <v>46179</v>
      </c>
      <c r="N918" s="117">
        <v>46188</v>
      </c>
      <c r="O918" s="39"/>
      <c r="P918" s="39"/>
      <c r="Q918" s="39"/>
      <c r="R918" s="39">
        <f t="shared" si="943"/>
        <v>0</v>
      </c>
      <c r="S918" s="39" t="s">
        <v>130</v>
      </c>
      <c r="T918" s="39">
        <v>106968</v>
      </c>
      <c r="U918" s="117">
        <v>46188</v>
      </c>
      <c r="V918" s="39"/>
      <c r="W918" s="39"/>
      <c r="X918" s="39"/>
      <c r="Y918" s="39">
        <v>298</v>
      </c>
      <c r="Z918" s="39"/>
      <c r="AA918" s="39"/>
      <c r="AB918" s="119">
        <f t="shared" si="944"/>
        <v>298</v>
      </c>
      <c r="AC918" s="39"/>
      <c r="AD918" s="39"/>
      <c r="AE918" s="39"/>
      <c r="AF918" s="39"/>
      <c r="AG918" s="39"/>
      <c r="AH918" s="39">
        <f t="shared" si="918"/>
        <v>0</v>
      </c>
      <c r="AI918" s="39"/>
      <c r="AJ918" s="39"/>
      <c r="AK918" s="39"/>
      <c r="AL918" s="39"/>
      <c r="AM918" s="39"/>
      <c r="AN918" s="39">
        <f t="shared" si="917"/>
        <v>0</v>
      </c>
      <c r="AO918" s="39"/>
      <c r="AP918" s="39"/>
      <c r="AQ918" s="39"/>
      <c r="AR918" s="39"/>
      <c r="AS918" s="39"/>
      <c r="AT918" s="39">
        <f t="shared" si="891"/>
        <v>0</v>
      </c>
      <c r="AU918" s="39"/>
      <c r="AV918" s="39"/>
      <c r="AW918" s="39"/>
      <c r="AX918" s="39"/>
      <c r="AY918" s="39"/>
      <c r="AZ918" s="39">
        <f t="shared" si="892"/>
        <v>0</v>
      </c>
      <c r="BA918" s="39"/>
      <c r="BB918" s="39"/>
      <c r="BC918" s="39"/>
      <c r="BD918" s="39"/>
      <c r="BE918" s="39"/>
      <c r="BF918" s="39">
        <f t="shared" si="893"/>
        <v>0</v>
      </c>
      <c r="BG918" s="39"/>
      <c r="BH918" s="39"/>
      <c r="BI918" s="39"/>
      <c r="BJ918" s="39"/>
      <c r="BK918" s="39"/>
      <c r="BL918" s="39">
        <f t="shared" si="919"/>
        <v>0</v>
      </c>
      <c r="BM918" s="54" t="str">
        <f t="shared" si="894"/>
        <v/>
      </c>
      <c r="BN918" s="59">
        <v>46188</v>
      </c>
      <c r="BO918" s="57">
        <v>46202</v>
      </c>
      <c r="BP918" s="36"/>
      <c r="BQ918" s="36"/>
      <c r="BR918" s="232"/>
      <c r="BS918" s="232"/>
      <c r="BT918" s="39">
        <v>1748</v>
      </c>
      <c r="BU918" s="39">
        <v>271</v>
      </c>
      <c r="BV918" s="39"/>
      <c r="BW918" s="39"/>
      <c r="BX918" s="39"/>
      <c r="BY918" s="39"/>
      <c r="BZ918" s="39">
        <f t="shared" si="920"/>
        <v>271</v>
      </c>
      <c r="CA918" s="39">
        <f t="shared" si="895"/>
        <v>8</v>
      </c>
      <c r="CB918" s="39">
        <f t="shared" si="896"/>
        <v>0</v>
      </c>
      <c r="CC918" s="39">
        <f t="shared" si="897"/>
        <v>0</v>
      </c>
      <c r="CD918" s="39">
        <f t="shared" si="921"/>
        <v>0</v>
      </c>
      <c r="CE918" s="102">
        <f t="shared" si="898"/>
        <v>0</v>
      </c>
      <c r="CF918" s="36"/>
      <c r="CG918" s="39" t="s">
        <v>233</v>
      </c>
      <c r="CH918" s="39"/>
      <c r="CI918" s="25">
        <v>2</v>
      </c>
    </row>
    <row r="919" spans="1:87" ht="24.75" customHeight="1">
      <c r="A919" s="36" t="s">
        <v>20</v>
      </c>
      <c r="B919" s="29" t="s">
        <v>857</v>
      </c>
      <c r="C919" s="228"/>
      <c r="D919" s="36"/>
      <c r="E919" s="39">
        <v>180</v>
      </c>
      <c r="F919" s="39" t="s">
        <v>58</v>
      </c>
      <c r="G919" s="36" t="s">
        <v>23</v>
      </c>
      <c r="H919" s="39" t="s">
        <v>87</v>
      </c>
      <c r="I919" s="39">
        <v>263</v>
      </c>
      <c r="J919" s="39"/>
      <c r="K919" s="39"/>
      <c r="L919" s="39">
        <f t="shared" si="942"/>
        <v>263</v>
      </c>
      <c r="M919" s="117">
        <v>46179</v>
      </c>
      <c r="N919" s="117">
        <v>46188</v>
      </c>
      <c r="O919" s="39"/>
      <c r="P919" s="39"/>
      <c r="Q919" s="39"/>
      <c r="R919" s="39">
        <f t="shared" si="943"/>
        <v>0</v>
      </c>
      <c r="S919" s="39" t="s">
        <v>28</v>
      </c>
      <c r="T919" s="39"/>
      <c r="U919" s="39"/>
      <c r="V919" s="117">
        <v>46188</v>
      </c>
      <c r="W919" s="39">
        <v>280</v>
      </c>
      <c r="X919" s="117" t="s">
        <v>1251</v>
      </c>
      <c r="Y919" s="39">
        <f>30+239</f>
        <v>269</v>
      </c>
      <c r="Z919" s="39"/>
      <c r="AA919" s="39"/>
      <c r="AB919" s="119">
        <f t="shared" si="944"/>
        <v>269</v>
      </c>
      <c r="AC919" s="39"/>
      <c r="AD919" s="39"/>
      <c r="AE919" s="39"/>
      <c r="AF919" s="39"/>
      <c r="AG919" s="39"/>
      <c r="AH919" s="39">
        <f t="shared" si="918"/>
        <v>0</v>
      </c>
      <c r="AI919" s="39"/>
      <c r="AJ919" s="39"/>
      <c r="AK919" s="39"/>
      <c r="AL919" s="39"/>
      <c r="AM919" s="39"/>
      <c r="AN919" s="39">
        <f t="shared" si="917"/>
        <v>0</v>
      </c>
      <c r="AO919" s="39"/>
      <c r="AP919" s="39"/>
      <c r="AQ919" s="39"/>
      <c r="AR919" s="39"/>
      <c r="AS919" s="39"/>
      <c r="AT919" s="39">
        <f t="shared" si="891"/>
        <v>0</v>
      </c>
      <c r="AU919" s="39"/>
      <c r="AV919" s="39"/>
      <c r="AW919" s="39"/>
      <c r="AX919" s="39"/>
      <c r="AY919" s="39"/>
      <c r="AZ919" s="39">
        <f t="shared" si="892"/>
        <v>0</v>
      </c>
      <c r="BA919" s="39"/>
      <c r="BB919" s="39"/>
      <c r="BC919" s="39"/>
      <c r="BD919" s="39"/>
      <c r="BE919" s="39"/>
      <c r="BF919" s="39">
        <f t="shared" si="893"/>
        <v>0</v>
      </c>
      <c r="BG919" s="39"/>
      <c r="BH919" s="39"/>
      <c r="BI919" s="39"/>
      <c r="BJ919" s="39"/>
      <c r="BK919" s="39"/>
      <c r="BL919" s="39">
        <f t="shared" si="919"/>
        <v>0</v>
      </c>
      <c r="BM919" s="54" t="str">
        <f t="shared" si="894"/>
        <v/>
      </c>
      <c r="BN919" s="59">
        <v>46188</v>
      </c>
      <c r="BO919" s="57">
        <v>46202</v>
      </c>
      <c r="BP919" s="36"/>
      <c r="BQ919" s="36"/>
      <c r="BR919" s="230"/>
      <c r="BS919" s="230"/>
      <c r="BT919" s="39">
        <v>1518</v>
      </c>
      <c r="BU919" s="39">
        <f>239+40</f>
        <v>279</v>
      </c>
      <c r="BV919" s="39"/>
      <c r="BW919" s="39"/>
      <c r="BX919" s="39"/>
      <c r="BY919" s="39"/>
      <c r="BZ919" s="39">
        <f t="shared" si="920"/>
        <v>279</v>
      </c>
      <c r="CA919" s="39">
        <f t="shared" si="895"/>
        <v>16</v>
      </c>
      <c r="CB919" s="39">
        <f t="shared" si="896"/>
        <v>0</v>
      </c>
      <c r="CC919" s="39">
        <f t="shared" si="897"/>
        <v>0</v>
      </c>
      <c r="CD919" s="39">
        <f t="shared" si="921"/>
        <v>0</v>
      </c>
      <c r="CE919" s="102">
        <f t="shared" si="898"/>
        <v>0</v>
      </c>
      <c r="CF919" s="36"/>
      <c r="CG919" s="39" t="s">
        <v>233</v>
      </c>
      <c r="CH919" s="39"/>
      <c r="CI919" s="25">
        <v>2</v>
      </c>
    </row>
    <row r="920" spans="1:87" ht="24.75" customHeight="1">
      <c r="A920" s="36" t="s">
        <v>20</v>
      </c>
      <c r="B920" s="29" t="s">
        <v>858</v>
      </c>
      <c r="C920" s="227" t="s">
        <v>453</v>
      </c>
      <c r="D920" s="36"/>
      <c r="E920" s="39">
        <v>180</v>
      </c>
      <c r="F920" s="39" t="s">
        <v>53</v>
      </c>
      <c r="G920" s="36" t="s">
        <v>23</v>
      </c>
      <c r="H920" s="39" t="s">
        <v>87</v>
      </c>
      <c r="I920" s="39">
        <v>140</v>
      </c>
      <c r="J920" s="39"/>
      <c r="K920" s="39"/>
      <c r="L920" s="39">
        <f t="shared" si="942"/>
        <v>140</v>
      </c>
      <c r="M920" s="117">
        <v>46182</v>
      </c>
      <c r="N920" s="117">
        <v>46186</v>
      </c>
      <c r="O920" s="39"/>
      <c r="P920" s="39"/>
      <c r="Q920" s="39"/>
      <c r="R920" s="39">
        <f t="shared" si="943"/>
        <v>0</v>
      </c>
      <c r="S920" s="39" t="s">
        <v>28</v>
      </c>
      <c r="T920" s="39"/>
      <c r="U920" s="39"/>
      <c r="V920" s="117">
        <v>46195</v>
      </c>
      <c r="W920" s="39">
        <v>167</v>
      </c>
      <c r="X920" s="117">
        <v>46196</v>
      </c>
      <c r="Y920" s="39">
        <v>151</v>
      </c>
      <c r="Z920" s="39"/>
      <c r="AA920" s="39"/>
      <c r="AB920" s="119">
        <f t="shared" si="944"/>
        <v>151</v>
      </c>
      <c r="AC920" s="39"/>
      <c r="AD920" s="39"/>
      <c r="AE920" s="39"/>
      <c r="AF920" s="39"/>
      <c r="AG920" s="39"/>
      <c r="AH920" s="39">
        <f t="shared" si="918"/>
        <v>0</v>
      </c>
      <c r="AI920" s="39"/>
      <c r="AJ920" s="39"/>
      <c r="AK920" s="39"/>
      <c r="AL920" s="39"/>
      <c r="AM920" s="39"/>
      <c r="AN920" s="39">
        <f t="shared" si="917"/>
        <v>0</v>
      </c>
      <c r="AO920" s="39"/>
      <c r="AP920" s="39"/>
      <c r="AQ920" s="39"/>
      <c r="AR920" s="39"/>
      <c r="AS920" s="39"/>
      <c r="AT920" s="39">
        <f t="shared" si="891"/>
        <v>0</v>
      </c>
      <c r="AU920" s="39"/>
      <c r="AV920" s="39"/>
      <c r="AW920" s="39"/>
      <c r="AX920" s="39"/>
      <c r="AY920" s="39"/>
      <c r="AZ920" s="39">
        <f t="shared" si="892"/>
        <v>0</v>
      </c>
      <c r="BA920" s="39"/>
      <c r="BB920" s="39"/>
      <c r="BC920" s="39"/>
      <c r="BD920" s="39"/>
      <c r="BE920" s="39"/>
      <c r="BF920" s="39">
        <f t="shared" si="893"/>
        <v>0</v>
      </c>
      <c r="BG920" s="39"/>
      <c r="BH920" s="39"/>
      <c r="BI920" s="39"/>
      <c r="BJ920" s="39"/>
      <c r="BK920" s="39"/>
      <c r="BL920" s="39">
        <f t="shared" si="919"/>
        <v>0</v>
      </c>
      <c r="BM920" s="54" t="str">
        <f t="shared" si="894"/>
        <v/>
      </c>
      <c r="BN920" s="59">
        <v>46188</v>
      </c>
      <c r="BO920" s="57">
        <v>46200</v>
      </c>
      <c r="BP920" s="36"/>
      <c r="BQ920" s="36"/>
      <c r="BR920" s="229">
        <v>46189</v>
      </c>
      <c r="BS920" s="229">
        <v>46196</v>
      </c>
      <c r="BT920" s="39">
        <v>1510</v>
      </c>
      <c r="BU920" s="39">
        <v>151</v>
      </c>
      <c r="BV920" s="39"/>
      <c r="BW920" s="39"/>
      <c r="BX920" s="39"/>
      <c r="BY920" s="39"/>
      <c r="BZ920" s="39">
        <f t="shared" si="920"/>
        <v>151</v>
      </c>
      <c r="CA920" s="39">
        <f t="shared" si="895"/>
        <v>11</v>
      </c>
      <c r="CB920" s="39">
        <f t="shared" si="896"/>
        <v>0</v>
      </c>
      <c r="CC920" s="39">
        <f t="shared" si="897"/>
        <v>0</v>
      </c>
      <c r="CD920" s="39">
        <f t="shared" si="921"/>
        <v>0</v>
      </c>
      <c r="CE920" s="102">
        <f t="shared" si="898"/>
        <v>0</v>
      </c>
      <c r="CF920" s="36"/>
      <c r="CG920" s="39" t="s">
        <v>233</v>
      </c>
      <c r="CH920" s="39"/>
      <c r="CI920" s="25">
        <v>2</v>
      </c>
    </row>
    <row r="921" spans="1:87" ht="24.75" customHeight="1">
      <c r="A921" s="36" t="s">
        <v>20</v>
      </c>
      <c r="B921" s="29" t="s">
        <v>858</v>
      </c>
      <c r="C921" s="228"/>
      <c r="D921" s="36"/>
      <c r="E921" s="39">
        <v>180</v>
      </c>
      <c r="F921" s="39" t="s">
        <v>53</v>
      </c>
      <c r="G921" s="36" t="s">
        <v>21</v>
      </c>
      <c r="H921" s="39" t="s">
        <v>87</v>
      </c>
      <c r="I921" s="39">
        <v>140</v>
      </c>
      <c r="J921" s="39"/>
      <c r="K921" s="39"/>
      <c r="L921" s="39">
        <f t="shared" si="942"/>
        <v>140</v>
      </c>
      <c r="M921" s="117">
        <v>46182</v>
      </c>
      <c r="N921" s="117">
        <v>46186</v>
      </c>
      <c r="O921" s="39"/>
      <c r="P921" s="39"/>
      <c r="Q921" s="39"/>
      <c r="R921" s="39">
        <f t="shared" si="943"/>
        <v>0</v>
      </c>
      <c r="S921" s="39" t="s">
        <v>130</v>
      </c>
      <c r="T921" s="39">
        <v>106942</v>
      </c>
      <c r="U921" s="117">
        <v>46187</v>
      </c>
      <c r="V921" s="39"/>
      <c r="W921" s="39"/>
      <c r="X921" s="39"/>
      <c r="Y921" s="39">
        <v>173</v>
      </c>
      <c r="Z921" s="39"/>
      <c r="AA921" s="39"/>
      <c r="AB921" s="119">
        <f t="shared" si="944"/>
        <v>173</v>
      </c>
      <c r="AC921" s="39"/>
      <c r="AD921" s="39"/>
      <c r="AE921" s="39"/>
      <c r="AF921" s="39"/>
      <c r="AG921" s="39"/>
      <c r="AH921" s="39">
        <f t="shared" si="918"/>
        <v>0</v>
      </c>
      <c r="AI921" s="39"/>
      <c r="AJ921" s="39"/>
      <c r="AK921" s="39"/>
      <c r="AL921" s="39"/>
      <c r="AM921" s="39"/>
      <c r="AN921" s="39">
        <f t="shared" si="917"/>
        <v>0</v>
      </c>
      <c r="AO921" s="39"/>
      <c r="AP921" s="39"/>
      <c r="AQ921" s="39"/>
      <c r="AR921" s="39"/>
      <c r="AS921" s="39"/>
      <c r="AT921" s="39">
        <f t="shared" si="891"/>
        <v>0</v>
      </c>
      <c r="AU921" s="39"/>
      <c r="AV921" s="39"/>
      <c r="AW921" s="39"/>
      <c r="AX921" s="39"/>
      <c r="AY921" s="39"/>
      <c r="AZ921" s="39">
        <f t="shared" si="892"/>
        <v>0</v>
      </c>
      <c r="BA921" s="39"/>
      <c r="BB921" s="39"/>
      <c r="BC921" s="39"/>
      <c r="BD921" s="39"/>
      <c r="BE921" s="39"/>
      <c r="BF921" s="39">
        <f t="shared" si="893"/>
        <v>0</v>
      </c>
      <c r="BG921" s="39"/>
      <c r="BH921" s="39"/>
      <c r="BI921" s="39"/>
      <c r="BJ921" s="39"/>
      <c r="BK921" s="39"/>
      <c r="BL921" s="39">
        <f t="shared" si="919"/>
        <v>0</v>
      </c>
      <c r="BM921" s="54" t="str">
        <f t="shared" si="894"/>
        <v/>
      </c>
      <c r="BN921" s="59">
        <v>46188</v>
      </c>
      <c r="BO921" s="57">
        <v>46200</v>
      </c>
      <c r="BP921" s="36"/>
      <c r="BQ921" s="36"/>
      <c r="BR921" s="230"/>
      <c r="BS921" s="230"/>
      <c r="BT921" s="39" t="s">
        <v>1054</v>
      </c>
      <c r="BU921" s="39">
        <f>120+23</f>
        <v>143</v>
      </c>
      <c r="BV921" s="39"/>
      <c r="BW921" s="39"/>
      <c r="BX921" s="39"/>
      <c r="BY921" s="39"/>
      <c r="BZ921" s="39">
        <f t="shared" si="920"/>
        <v>143</v>
      </c>
      <c r="CA921" s="39">
        <f t="shared" si="895"/>
        <v>3</v>
      </c>
      <c r="CB921" s="39">
        <f t="shared" si="896"/>
        <v>0</v>
      </c>
      <c r="CC921" s="39">
        <f t="shared" si="897"/>
        <v>0</v>
      </c>
      <c r="CD921" s="39">
        <f t="shared" si="921"/>
        <v>0</v>
      </c>
      <c r="CE921" s="102">
        <f t="shared" si="898"/>
        <v>0</v>
      </c>
      <c r="CF921" s="36"/>
      <c r="CG921" s="39" t="s">
        <v>233</v>
      </c>
      <c r="CH921" s="39"/>
      <c r="CI921" s="25">
        <v>2</v>
      </c>
    </row>
    <row r="922" spans="1:87" ht="33.75" customHeight="1">
      <c r="A922" s="36" t="s">
        <v>20</v>
      </c>
      <c r="B922" s="29" t="s">
        <v>859</v>
      </c>
      <c r="C922" s="36" t="s">
        <v>446</v>
      </c>
      <c r="D922" s="36"/>
      <c r="E922" s="39">
        <v>220</v>
      </c>
      <c r="F922" s="39" t="s">
        <v>63</v>
      </c>
      <c r="G922" s="36" t="s">
        <v>23</v>
      </c>
      <c r="H922" s="39" t="s">
        <v>102</v>
      </c>
      <c r="I922" s="39">
        <v>585</v>
      </c>
      <c r="J922" s="39"/>
      <c r="K922" s="39">
        <v>76</v>
      </c>
      <c r="L922" s="39">
        <f t="shared" si="942"/>
        <v>661</v>
      </c>
      <c r="M922" s="117">
        <v>46181</v>
      </c>
      <c r="N922" s="117">
        <v>46190</v>
      </c>
      <c r="O922" s="39"/>
      <c r="P922" s="39"/>
      <c r="Q922" s="39"/>
      <c r="R922" s="39">
        <f t="shared" si="943"/>
        <v>0</v>
      </c>
      <c r="S922" s="39" t="s">
        <v>130</v>
      </c>
      <c r="T922" s="39">
        <v>107273</v>
      </c>
      <c r="U922" s="117">
        <v>46198</v>
      </c>
      <c r="V922" s="39"/>
      <c r="W922" s="39"/>
      <c r="X922" s="39"/>
      <c r="Y922" s="39">
        <v>641</v>
      </c>
      <c r="Z922" s="39"/>
      <c r="AA922" s="39">
        <v>91</v>
      </c>
      <c r="AB922" s="119">
        <f t="shared" si="944"/>
        <v>732</v>
      </c>
      <c r="AC922" s="39"/>
      <c r="AD922" s="39"/>
      <c r="AE922" s="39"/>
      <c r="AF922" s="39"/>
      <c r="AG922" s="39"/>
      <c r="AH922" s="39">
        <f t="shared" si="918"/>
        <v>0</v>
      </c>
      <c r="AI922" s="39"/>
      <c r="AJ922" s="39"/>
      <c r="AK922" s="39"/>
      <c r="AL922" s="39"/>
      <c r="AM922" s="39"/>
      <c r="AN922" s="39">
        <f t="shared" si="917"/>
        <v>0</v>
      </c>
      <c r="AO922" s="39"/>
      <c r="AP922" s="39"/>
      <c r="AQ922" s="39"/>
      <c r="AR922" s="39"/>
      <c r="AS922" s="39"/>
      <c r="AT922" s="39">
        <f t="shared" si="891"/>
        <v>0</v>
      </c>
      <c r="AU922" s="39"/>
      <c r="AV922" s="39"/>
      <c r="AW922" s="39"/>
      <c r="AX922" s="39"/>
      <c r="AY922" s="39"/>
      <c r="AZ922" s="39">
        <f t="shared" si="892"/>
        <v>0</v>
      </c>
      <c r="BA922" s="39"/>
      <c r="BB922" s="39"/>
      <c r="BC922" s="39"/>
      <c r="BD922" s="39"/>
      <c r="BE922" s="39"/>
      <c r="BF922" s="39">
        <f t="shared" si="893"/>
        <v>0</v>
      </c>
      <c r="BG922" s="39"/>
      <c r="BH922" s="39"/>
      <c r="BI922" s="39"/>
      <c r="BJ922" s="39"/>
      <c r="BK922" s="39"/>
      <c r="BL922" s="39">
        <f t="shared" si="919"/>
        <v>0</v>
      </c>
      <c r="BM922" s="54" t="str">
        <f t="shared" si="894"/>
        <v/>
      </c>
      <c r="BN922" s="59">
        <v>46191</v>
      </c>
      <c r="BO922" s="57">
        <v>46202</v>
      </c>
      <c r="BP922" s="36"/>
      <c r="BQ922" s="36"/>
      <c r="BR922" s="50">
        <v>46200</v>
      </c>
      <c r="BS922" s="50">
        <v>46204</v>
      </c>
      <c r="BT922" s="39" t="s">
        <v>1263</v>
      </c>
      <c r="BU922" s="39">
        <f>542+44</f>
        <v>586</v>
      </c>
      <c r="BV922" s="39"/>
      <c r="BW922" s="39"/>
      <c r="BX922" s="39" t="s">
        <v>1296</v>
      </c>
      <c r="BY922" s="39">
        <f>64+20</f>
        <v>84</v>
      </c>
      <c r="BZ922" s="39">
        <f t="shared" si="920"/>
        <v>670</v>
      </c>
      <c r="CA922" s="39">
        <f t="shared" si="895"/>
        <v>1</v>
      </c>
      <c r="CB922" s="39">
        <f t="shared" si="896"/>
        <v>0</v>
      </c>
      <c r="CC922" s="39">
        <f t="shared" si="897"/>
        <v>8</v>
      </c>
      <c r="CD922" s="39">
        <f t="shared" si="921"/>
        <v>0</v>
      </c>
      <c r="CE922" s="102">
        <f t="shared" si="898"/>
        <v>0</v>
      </c>
      <c r="CF922" s="36"/>
      <c r="CG922" s="39" t="s">
        <v>233</v>
      </c>
      <c r="CH922" s="39" t="s">
        <v>1264</v>
      </c>
      <c r="CI922" s="25">
        <v>2</v>
      </c>
    </row>
    <row r="923" spans="1:87" ht="24.75" customHeight="1">
      <c r="A923" s="36" t="s">
        <v>20</v>
      </c>
      <c r="B923" s="29" t="s">
        <v>860</v>
      </c>
      <c r="C923" s="227" t="s">
        <v>1063</v>
      </c>
      <c r="D923" s="36"/>
      <c r="E923" s="39">
        <v>160</v>
      </c>
      <c r="F923" s="39" t="s">
        <v>54</v>
      </c>
      <c r="G923" s="36" t="s">
        <v>23</v>
      </c>
      <c r="H923" s="39" t="s">
        <v>207</v>
      </c>
      <c r="I923" s="39">
        <f>390-9</f>
        <v>381</v>
      </c>
      <c r="J923" s="39"/>
      <c r="K923" s="39"/>
      <c r="L923" s="39">
        <f t="shared" si="942"/>
        <v>381</v>
      </c>
      <c r="M923" s="117">
        <v>46179</v>
      </c>
      <c r="N923" s="117">
        <v>46188</v>
      </c>
      <c r="O923" s="39"/>
      <c r="P923" s="39"/>
      <c r="Q923" s="39"/>
      <c r="R923" s="39">
        <f t="shared" si="943"/>
        <v>0</v>
      </c>
      <c r="S923" s="39" t="s">
        <v>130</v>
      </c>
      <c r="T923" s="39">
        <v>107502</v>
      </c>
      <c r="U923" s="117">
        <v>46213</v>
      </c>
      <c r="V923" s="39"/>
      <c r="W923" s="39"/>
      <c r="X923" s="39"/>
      <c r="Y923" s="39">
        <v>413</v>
      </c>
      <c r="Z923" s="39"/>
      <c r="AA923" s="39"/>
      <c r="AB923" s="119">
        <f t="shared" si="944"/>
        <v>413</v>
      </c>
      <c r="AC923" s="39"/>
      <c r="AD923" s="39"/>
      <c r="AE923" s="39"/>
      <c r="AF923" s="39"/>
      <c r="AG923" s="39"/>
      <c r="AH923" s="39">
        <f t="shared" si="918"/>
        <v>0</v>
      </c>
      <c r="AI923" s="39"/>
      <c r="AJ923" s="39"/>
      <c r="AK923" s="39"/>
      <c r="AL923" s="39"/>
      <c r="AM923" s="39"/>
      <c r="AN923" s="39">
        <f t="shared" si="917"/>
        <v>0</v>
      </c>
      <c r="AO923" s="39"/>
      <c r="AP923" s="39"/>
      <c r="AQ923" s="39"/>
      <c r="AR923" s="39"/>
      <c r="AS923" s="39"/>
      <c r="AT923" s="39">
        <f t="shared" si="891"/>
        <v>0</v>
      </c>
      <c r="AU923" s="39"/>
      <c r="AV923" s="39"/>
      <c r="AW923" s="39"/>
      <c r="AX923" s="39"/>
      <c r="AY923" s="39"/>
      <c r="AZ923" s="39">
        <f t="shared" si="892"/>
        <v>0</v>
      </c>
      <c r="BA923" s="39"/>
      <c r="BB923" s="39"/>
      <c r="BC923" s="39"/>
      <c r="BD923" s="39"/>
      <c r="BE923" s="39"/>
      <c r="BF923" s="39">
        <f t="shared" si="893"/>
        <v>0</v>
      </c>
      <c r="BG923" s="39"/>
      <c r="BH923" s="39"/>
      <c r="BI923" s="39"/>
      <c r="BJ923" s="39"/>
      <c r="BK923" s="39"/>
      <c r="BL923" s="39">
        <f t="shared" si="919"/>
        <v>0</v>
      </c>
      <c r="BM923" s="54" t="str">
        <f t="shared" si="894"/>
        <v/>
      </c>
      <c r="BN923" s="59">
        <v>46189</v>
      </c>
      <c r="BO923" s="57">
        <v>46202</v>
      </c>
      <c r="BP923" s="36"/>
      <c r="BQ923" s="36"/>
      <c r="BR923" s="229">
        <v>46209</v>
      </c>
      <c r="BS923" s="229">
        <v>46216</v>
      </c>
      <c r="BT923" s="39">
        <v>2020</v>
      </c>
      <c r="BU923" s="39">
        <v>390</v>
      </c>
      <c r="BV923" s="39"/>
      <c r="BW923" s="39"/>
      <c r="BX923" s="39"/>
      <c r="BY923" s="39"/>
      <c r="BZ923" s="39">
        <f t="shared" si="920"/>
        <v>390</v>
      </c>
      <c r="CA923" s="39">
        <f t="shared" si="895"/>
        <v>9</v>
      </c>
      <c r="CB923" s="39">
        <f t="shared" si="896"/>
        <v>0</v>
      </c>
      <c r="CC923" s="39">
        <f t="shared" si="897"/>
        <v>0</v>
      </c>
      <c r="CD923" s="39">
        <f t="shared" si="921"/>
        <v>0</v>
      </c>
      <c r="CE923" s="102">
        <f t="shared" si="898"/>
        <v>0</v>
      </c>
      <c r="CF923" s="36"/>
      <c r="CG923" s="39" t="s">
        <v>233</v>
      </c>
      <c r="CH923" s="39"/>
      <c r="CI923" s="25">
        <v>2</v>
      </c>
    </row>
    <row r="924" spans="1:87" ht="24.75" customHeight="1">
      <c r="A924" s="36" t="s">
        <v>20</v>
      </c>
      <c r="B924" s="29" t="s">
        <v>860</v>
      </c>
      <c r="C924" s="228"/>
      <c r="D924" s="36"/>
      <c r="E924" s="39">
        <v>160</v>
      </c>
      <c r="F924" s="39" t="s">
        <v>54</v>
      </c>
      <c r="G924" s="36" t="s">
        <v>21</v>
      </c>
      <c r="H924" s="39" t="s">
        <v>207</v>
      </c>
      <c r="I924" s="39">
        <f>390-9</f>
        <v>381</v>
      </c>
      <c r="J924" s="39"/>
      <c r="K924" s="39"/>
      <c r="L924" s="39">
        <f t="shared" si="942"/>
        <v>381</v>
      </c>
      <c r="M924" s="117">
        <v>46179</v>
      </c>
      <c r="N924" s="117">
        <v>46188</v>
      </c>
      <c r="O924" s="39"/>
      <c r="P924" s="39"/>
      <c r="Q924" s="39"/>
      <c r="R924" s="39">
        <f t="shared" si="943"/>
        <v>0</v>
      </c>
      <c r="S924" s="39" t="s">
        <v>130</v>
      </c>
      <c r="T924" s="39">
        <v>107401</v>
      </c>
      <c r="U924" s="117">
        <v>46206</v>
      </c>
      <c r="V924" s="39"/>
      <c r="W924" s="39"/>
      <c r="X924" s="39"/>
      <c r="Y924" s="39">
        <v>427</v>
      </c>
      <c r="Z924" s="39"/>
      <c r="AA924" s="39"/>
      <c r="AB924" s="119">
        <f t="shared" si="944"/>
        <v>427</v>
      </c>
      <c r="AC924" s="39"/>
      <c r="AD924" s="39"/>
      <c r="AE924" s="39"/>
      <c r="AF924" s="39"/>
      <c r="AG924" s="39"/>
      <c r="AH924" s="39">
        <f t="shared" si="918"/>
        <v>0</v>
      </c>
      <c r="AI924" s="39"/>
      <c r="AJ924" s="39"/>
      <c r="AK924" s="39"/>
      <c r="AL924" s="39"/>
      <c r="AM924" s="39"/>
      <c r="AN924" s="39">
        <f t="shared" si="917"/>
        <v>0</v>
      </c>
      <c r="AO924" s="39"/>
      <c r="AP924" s="39"/>
      <c r="AQ924" s="39"/>
      <c r="AR924" s="39"/>
      <c r="AS924" s="39"/>
      <c r="AT924" s="39">
        <f t="shared" si="891"/>
        <v>0</v>
      </c>
      <c r="AU924" s="39"/>
      <c r="AV924" s="39"/>
      <c r="AW924" s="39"/>
      <c r="AX924" s="39"/>
      <c r="AY924" s="39"/>
      <c r="AZ924" s="39">
        <f t="shared" si="892"/>
        <v>0</v>
      </c>
      <c r="BA924" s="39"/>
      <c r="BB924" s="39"/>
      <c r="BC924" s="39"/>
      <c r="BD924" s="39"/>
      <c r="BE924" s="39"/>
      <c r="BF924" s="39">
        <f t="shared" si="893"/>
        <v>0</v>
      </c>
      <c r="BG924" s="39"/>
      <c r="BH924" s="39"/>
      <c r="BI924" s="39"/>
      <c r="BJ924" s="39"/>
      <c r="BK924" s="39"/>
      <c r="BL924" s="39">
        <f t="shared" si="919"/>
        <v>0</v>
      </c>
      <c r="BM924" s="54" t="str">
        <f t="shared" si="894"/>
        <v/>
      </c>
      <c r="BN924" s="59">
        <v>46189</v>
      </c>
      <c r="BO924" s="57">
        <v>46202</v>
      </c>
      <c r="BP924" s="36"/>
      <c r="BQ924" s="36"/>
      <c r="BR924" s="230"/>
      <c r="BS924" s="230"/>
      <c r="BT924" s="39">
        <v>1568</v>
      </c>
      <c r="BU924" s="39">
        <v>378</v>
      </c>
      <c r="BV924" s="39"/>
      <c r="BW924" s="39"/>
      <c r="BX924" s="39"/>
      <c r="BY924" s="39"/>
      <c r="BZ924" s="39">
        <f t="shared" si="920"/>
        <v>378</v>
      </c>
      <c r="CA924" s="39">
        <f t="shared" si="895"/>
        <v>-3</v>
      </c>
      <c r="CB924" s="39">
        <f t="shared" si="896"/>
        <v>0</v>
      </c>
      <c r="CC924" s="39">
        <f t="shared" si="897"/>
        <v>0</v>
      </c>
      <c r="CD924" s="39">
        <v>0</v>
      </c>
      <c r="CE924" s="102">
        <f t="shared" si="898"/>
        <v>0</v>
      </c>
      <c r="CF924" s="36"/>
      <c r="CG924" s="39" t="s">
        <v>233</v>
      </c>
      <c r="CH924" s="39"/>
      <c r="CI924" s="25">
        <v>2</v>
      </c>
    </row>
    <row r="925" spans="1:87" ht="34.5" customHeight="1">
      <c r="A925" s="36" t="s">
        <v>20</v>
      </c>
      <c r="B925" s="29" t="s">
        <v>861</v>
      </c>
      <c r="C925" s="36" t="s">
        <v>423</v>
      </c>
      <c r="D925" s="36"/>
      <c r="E925" s="39">
        <v>160</v>
      </c>
      <c r="F925" s="39" t="s">
        <v>54</v>
      </c>
      <c r="G925" s="36" t="s">
        <v>531</v>
      </c>
      <c r="H925" s="39" t="s">
        <v>207</v>
      </c>
      <c r="I925" s="39">
        <v>265</v>
      </c>
      <c r="J925" s="39"/>
      <c r="K925" s="39"/>
      <c r="L925" s="39">
        <f t="shared" si="942"/>
        <v>265</v>
      </c>
      <c r="M925" s="117">
        <v>46179</v>
      </c>
      <c r="N925" s="117">
        <v>46186</v>
      </c>
      <c r="O925" s="39"/>
      <c r="P925" s="39"/>
      <c r="Q925" s="39"/>
      <c r="R925" s="39">
        <f t="shared" si="943"/>
        <v>0</v>
      </c>
      <c r="S925" s="39" t="s">
        <v>130</v>
      </c>
      <c r="T925" s="39">
        <v>107627</v>
      </c>
      <c r="U925" s="117">
        <v>46214</v>
      </c>
      <c r="V925" s="39"/>
      <c r="W925" s="39"/>
      <c r="X925" s="39"/>
      <c r="Y925" s="39">
        <v>294</v>
      </c>
      <c r="Z925" s="39"/>
      <c r="AA925" s="39"/>
      <c r="AB925" s="119">
        <f t="shared" si="944"/>
        <v>294</v>
      </c>
      <c r="AC925" s="39"/>
      <c r="AD925" s="39"/>
      <c r="AE925" s="39"/>
      <c r="AF925" s="39"/>
      <c r="AG925" s="39"/>
      <c r="AH925" s="39">
        <f t="shared" si="918"/>
        <v>0</v>
      </c>
      <c r="AI925" s="39"/>
      <c r="AJ925" s="39"/>
      <c r="AK925" s="39"/>
      <c r="AL925" s="39"/>
      <c r="AM925" s="39"/>
      <c r="AN925" s="39">
        <f t="shared" si="917"/>
        <v>0</v>
      </c>
      <c r="AO925" s="39"/>
      <c r="AP925" s="39"/>
      <c r="AQ925" s="39"/>
      <c r="AR925" s="39"/>
      <c r="AS925" s="39"/>
      <c r="AT925" s="39">
        <f t="shared" si="891"/>
        <v>0</v>
      </c>
      <c r="AU925" s="39"/>
      <c r="AV925" s="39"/>
      <c r="AW925" s="39"/>
      <c r="AX925" s="39"/>
      <c r="AY925" s="39"/>
      <c r="AZ925" s="39">
        <f t="shared" si="892"/>
        <v>0</v>
      </c>
      <c r="BA925" s="39"/>
      <c r="BB925" s="39"/>
      <c r="BC925" s="39"/>
      <c r="BD925" s="39"/>
      <c r="BE925" s="39"/>
      <c r="BF925" s="39">
        <f t="shared" si="893"/>
        <v>0</v>
      </c>
      <c r="BG925" s="39"/>
      <c r="BH925" s="39"/>
      <c r="BI925" s="39"/>
      <c r="BJ925" s="39"/>
      <c r="BK925" s="39"/>
      <c r="BL925" s="39">
        <f t="shared" si="919"/>
        <v>0</v>
      </c>
      <c r="BM925" s="54" t="str">
        <f t="shared" si="894"/>
        <v/>
      </c>
      <c r="BN925" s="59">
        <v>46188</v>
      </c>
      <c r="BO925" s="57">
        <v>46200</v>
      </c>
      <c r="BP925" s="36"/>
      <c r="BQ925" s="36"/>
      <c r="BR925" s="50">
        <v>46219</v>
      </c>
      <c r="BS925" s="50">
        <v>46219</v>
      </c>
      <c r="BT925" s="39">
        <v>1811</v>
      </c>
      <c r="BU925" s="39">
        <f>262</f>
        <v>262</v>
      </c>
      <c r="BV925" s="39"/>
      <c r="BW925" s="39"/>
      <c r="BX925" s="39"/>
      <c r="BY925" s="39"/>
      <c r="BZ925" s="39">
        <f t="shared" si="920"/>
        <v>262</v>
      </c>
      <c r="CA925" s="39">
        <f t="shared" si="895"/>
        <v>-3</v>
      </c>
      <c r="CB925" s="39">
        <f t="shared" si="896"/>
        <v>0</v>
      </c>
      <c r="CC925" s="39">
        <f t="shared" si="897"/>
        <v>0</v>
      </c>
      <c r="CD925" s="39">
        <v>0</v>
      </c>
      <c r="CE925" s="102">
        <f t="shared" si="898"/>
        <v>0</v>
      </c>
      <c r="CF925" s="36"/>
      <c r="CG925" s="39" t="s">
        <v>233</v>
      </c>
      <c r="CH925" s="39"/>
      <c r="CI925" s="25">
        <v>2</v>
      </c>
    </row>
    <row r="926" spans="1:87" ht="35.25" customHeight="1">
      <c r="A926" s="36" t="s">
        <v>20</v>
      </c>
      <c r="B926" s="29" t="s">
        <v>862</v>
      </c>
      <c r="C926" s="36" t="s">
        <v>863</v>
      </c>
      <c r="D926" s="36"/>
      <c r="E926" s="39">
        <v>200</v>
      </c>
      <c r="F926" s="39" t="s">
        <v>60</v>
      </c>
      <c r="G926" s="36" t="s">
        <v>23</v>
      </c>
      <c r="H926" s="39" t="s">
        <v>89</v>
      </c>
      <c r="I926" s="39">
        <v>586</v>
      </c>
      <c r="J926" s="39"/>
      <c r="K926" s="39"/>
      <c r="L926" s="39">
        <f t="shared" si="942"/>
        <v>586</v>
      </c>
      <c r="M926" s="117">
        <v>46179</v>
      </c>
      <c r="N926" s="117">
        <v>46188</v>
      </c>
      <c r="O926" s="39"/>
      <c r="P926" s="39"/>
      <c r="Q926" s="39"/>
      <c r="R926" s="39">
        <f t="shared" si="943"/>
        <v>0</v>
      </c>
      <c r="S926" s="39" t="s">
        <v>28</v>
      </c>
      <c r="T926" s="39"/>
      <c r="U926" s="39"/>
      <c r="V926" s="117">
        <v>46188</v>
      </c>
      <c r="W926" s="39">
        <v>639</v>
      </c>
      <c r="X926" s="117">
        <v>46200</v>
      </c>
      <c r="Y926" s="39">
        <v>611</v>
      </c>
      <c r="Z926" s="39"/>
      <c r="AA926" s="39"/>
      <c r="AB926" s="119">
        <f t="shared" si="944"/>
        <v>611</v>
      </c>
      <c r="AC926" s="39"/>
      <c r="AD926" s="39"/>
      <c r="AE926" s="39"/>
      <c r="AF926" s="39"/>
      <c r="AG926" s="39"/>
      <c r="AH926" s="39">
        <f t="shared" si="918"/>
        <v>0</v>
      </c>
      <c r="AI926" s="39"/>
      <c r="AJ926" s="39"/>
      <c r="AK926" s="39"/>
      <c r="AL926" s="39"/>
      <c r="AM926" s="39"/>
      <c r="AN926" s="39">
        <f t="shared" si="917"/>
        <v>0</v>
      </c>
      <c r="AO926" s="39"/>
      <c r="AP926" s="39"/>
      <c r="AQ926" s="39"/>
      <c r="AR926" s="39"/>
      <c r="AS926" s="39"/>
      <c r="AT926" s="39">
        <f t="shared" si="891"/>
        <v>0</v>
      </c>
      <c r="AU926" s="39"/>
      <c r="AV926" s="39"/>
      <c r="AW926" s="39"/>
      <c r="AX926" s="39"/>
      <c r="AY926" s="39"/>
      <c r="AZ926" s="39">
        <f t="shared" si="892"/>
        <v>0</v>
      </c>
      <c r="BA926" s="39"/>
      <c r="BB926" s="39"/>
      <c r="BC926" s="39"/>
      <c r="BD926" s="39"/>
      <c r="BE926" s="39"/>
      <c r="BF926" s="39">
        <f t="shared" si="893"/>
        <v>0</v>
      </c>
      <c r="BG926" s="39"/>
      <c r="BH926" s="39"/>
      <c r="BI926" s="39"/>
      <c r="BJ926" s="39"/>
      <c r="BK926" s="39"/>
      <c r="BL926" s="39">
        <f t="shared" si="919"/>
        <v>0</v>
      </c>
      <c r="BM926" s="54" t="str">
        <f t="shared" si="894"/>
        <v/>
      </c>
      <c r="BN926" s="59">
        <v>46188</v>
      </c>
      <c r="BO926" s="57">
        <v>46200</v>
      </c>
      <c r="BP926" s="36"/>
      <c r="BQ926" s="36"/>
      <c r="BR926" s="50">
        <v>46200</v>
      </c>
      <c r="BS926" s="50">
        <v>46200</v>
      </c>
      <c r="BT926" s="39">
        <v>1515</v>
      </c>
      <c r="BU926" s="39">
        <v>611</v>
      </c>
      <c r="BV926" s="39"/>
      <c r="BW926" s="39"/>
      <c r="BX926" s="39"/>
      <c r="BY926" s="39"/>
      <c r="BZ926" s="39">
        <f t="shared" si="920"/>
        <v>611</v>
      </c>
      <c r="CA926" s="39">
        <f t="shared" si="895"/>
        <v>25</v>
      </c>
      <c r="CB926" s="39">
        <f t="shared" si="896"/>
        <v>0</v>
      </c>
      <c r="CC926" s="39">
        <f t="shared" si="897"/>
        <v>0</v>
      </c>
      <c r="CD926" s="39">
        <f t="shared" si="921"/>
        <v>0</v>
      </c>
      <c r="CE926" s="102">
        <f t="shared" si="898"/>
        <v>0</v>
      </c>
      <c r="CF926" s="36"/>
      <c r="CG926" s="39" t="s">
        <v>233</v>
      </c>
      <c r="CH926" s="39"/>
      <c r="CI926" s="25">
        <v>2</v>
      </c>
    </row>
    <row r="927" spans="1:87" ht="33.75" customHeight="1">
      <c r="A927" s="36" t="s">
        <v>20</v>
      </c>
      <c r="B927" s="29" t="s">
        <v>864</v>
      </c>
      <c r="C927" s="36" t="s">
        <v>865</v>
      </c>
      <c r="D927" s="36"/>
      <c r="E927" s="39">
        <v>220</v>
      </c>
      <c r="F927" s="39" t="s">
        <v>55</v>
      </c>
      <c r="G927" s="36" t="s">
        <v>23</v>
      </c>
      <c r="H927" s="39" t="s">
        <v>209</v>
      </c>
      <c r="I927" s="39">
        <v>1581</v>
      </c>
      <c r="J927" s="39"/>
      <c r="K927" s="39"/>
      <c r="L927" s="39">
        <f t="shared" si="942"/>
        <v>1581</v>
      </c>
      <c r="M927" s="117">
        <v>46182</v>
      </c>
      <c r="N927" s="117">
        <v>46189</v>
      </c>
      <c r="O927" s="39"/>
      <c r="P927" s="39"/>
      <c r="Q927" s="39"/>
      <c r="R927" s="39">
        <f t="shared" si="943"/>
        <v>0</v>
      </c>
      <c r="S927" s="39" t="s">
        <v>130</v>
      </c>
      <c r="T927" s="39" t="s">
        <v>1152</v>
      </c>
      <c r="U927" s="117" t="s">
        <v>1144</v>
      </c>
      <c r="V927" s="39"/>
      <c r="W927" s="39"/>
      <c r="X927" s="39"/>
      <c r="Y927" s="39">
        <f>534+900+290</f>
        <v>1724</v>
      </c>
      <c r="Z927" s="39"/>
      <c r="AA927" s="39"/>
      <c r="AB927" s="119">
        <f t="shared" si="944"/>
        <v>1724</v>
      </c>
      <c r="AC927" s="39"/>
      <c r="AD927" s="39"/>
      <c r="AE927" s="39"/>
      <c r="AF927" s="39"/>
      <c r="AG927" s="39"/>
      <c r="AH927" s="39">
        <f t="shared" si="918"/>
        <v>0</v>
      </c>
      <c r="AI927" s="39"/>
      <c r="AJ927" s="39"/>
      <c r="AK927" s="39"/>
      <c r="AL927" s="39"/>
      <c r="AM927" s="39"/>
      <c r="AN927" s="39">
        <f t="shared" si="917"/>
        <v>0</v>
      </c>
      <c r="AO927" s="39"/>
      <c r="AP927" s="39"/>
      <c r="AQ927" s="39"/>
      <c r="AR927" s="39"/>
      <c r="AS927" s="39"/>
      <c r="AT927" s="39">
        <f t="shared" si="891"/>
        <v>0</v>
      </c>
      <c r="AU927" s="39"/>
      <c r="AV927" s="39"/>
      <c r="AW927" s="39"/>
      <c r="AX927" s="39"/>
      <c r="AY927" s="39"/>
      <c r="AZ927" s="39">
        <f t="shared" si="892"/>
        <v>0</v>
      </c>
      <c r="BA927" s="39"/>
      <c r="BB927" s="39"/>
      <c r="BC927" s="39"/>
      <c r="BD927" s="39"/>
      <c r="BE927" s="39"/>
      <c r="BF927" s="39">
        <f t="shared" si="893"/>
        <v>0</v>
      </c>
      <c r="BG927" s="39"/>
      <c r="BH927" s="39"/>
      <c r="BI927" s="39"/>
      <c r="BJ927" s="39"/>
      <c r="BK927" s="39"/>
      <c r="BL927" s="39">
        <f t="shared" si="919"/>
        <v>0</v>
      </c>
      <c r="BM927" s="54" t="str">
        <f t="shared" si="894"/>
        <v/>
      </c>
      <c r="BN927" s="59">
        <v>46190</v>
      </c>
      <c r="BO927" s="57">
        <v>46202</v>
      </c>
      <c r="BP927" s="36"/>
      <c r="BQ927" s="36"/>
      <c r="BR927" s="50">
        <v>46193</v>
      </c>
      <c r="BS927" s="50">
        <v>46198</v>
      </c>
      <c r="BT927" s="39" t="s">
        <v>1323</v>
      </c>
      <c r="BU927" s="39">
        <f>250+641+184+210+254+14</f>
        <v>1553</v>
      </c>
      <c r="BV927" s="39"/>
      <c r="BW927" s="39"/>
      <c r="BX927" s="39"/>
      <c r="BY927" s="39"/>
      <c r="BZ927" s="39">
        <f t="shared" si="920"/>
        <v>1553</v>
      </c>
      <c r="CA927" s="39">
        <f t="shared" si="895"/>
        <v>-28</v>
      </c>
      <c r="CB927" s="39">
        <f t="shared" si="896"/>
        <v>0</v>
      </c>
      <c r="CC927" s="39">
        <f t="shared" si="897"/>
        <v>0</v>
      </c>
      <c r="CD927" s="39">
        <v>0</v>
      </c>
      <c r="CE927" s="102">
        <f t="shared" si="898"/>
        <v>0</v>
      </c>
      <c r="CF927" s="36"/>
      <c r="CG927" s="39" t="s">
        <v>233</v>
      </c>
      <c r="CH927" s="39" t="s">
        <v>483</v>
      </c>
      <c r="CI927" s="25">
        <v>2</v>
      </c>
    </row>
    <row r="928" spans="1:87" ht="24.75" customHeight="1">
      <c r="A928" s="36" t="s">
        <v>20</v>
      </c>
      <c r="B928" s="29" t="s">
        <v>866</v>
      </c>
      <c r="C928" s="227" t="s">
        <v>447</v>
      </c>
      <c r="D928" s="36"/>
      <c r="E928" s="39">
        <v>180</v>
      </c>
      <c r="F928" s="39" t="s">
        <v>53</v>
      </c>
      <c r="G928" s="36" t="s">
        <v>23</v>
      </c>
      <c r="H928" s="39" t="s">
        <v>87</v>
      </c>
      <c r="I928" s="39">
        <v>244</v>
      </c>
      <c r="J928" s="39"/>
      <c r="K928" s="39"/>
      <c r="L928" s="39">
        <f t="shared" si="942"/>
        <v>244</v>
      </c>
      <c r="M928" s="117">
        <v>46179</v>
      </c>
      <c r="N928" s="117">
        <v>46188</v>
      </c>
      <c r="O928" s="39"/>
      <c r="P928" s="39"/>
      <c r="Q928" s="39"/>
      <c r="R928" s="39">
        <f t="shared" si="943"/>
        <v>0</v>
      </c>
      <c r="S928" s="39" t="s">
        <v>28</v>
      </c>
      <c r="T928" s="39"/>
      <c r="U928" s="39"/>
      <c r="V928" s="117">
        <v>46188</v>
      </c>
      <c r="W928" s="39">
        <v>274</v>
      </c>
      <c r="X928" s="117">
        <v>46196</v>
      </c>
      <c r="Y928" s="39">
        <v>250</v>
      </c>
      <c r="Z928" s="39"/>
      <c r="AA928" s="39"/>
      <c r="AB928" s="119">
        <f t="shared" si="944"/>
        <v>250</v>
      </c>
      <c r="AC928" s="39"/>
      <c r="AD928" s="39"/>
      <c r="AE928" s="39"/>
      <c r="AF928" s="39"/>
      <c r="AG928" s="39"/>
      <c r="AH928" s="39">
        <f t="shared" si="918"/>
        <v>0</v>
      </c>
      <c r="AI928" s="39"/>
      <c r="AJ928" s="39"/>
      <c r="AK928" s="39"/>
      <c r="AL928" s="39"/>
      <c r="AM928" s="39"/>
      <c r="AN928" s="39">
        <f t="shared" si="917"/>
        <v>0</v>
      </c>
      <c r="AO928" s="39"/>
      <c r="AP928" s="39"/>
      <c r="AQ928" s="39"/>
      <c r="AR928" s="39"/>
      <c r="AS928" s="39"/>
      <c r="AT928" s="39">
        <f t="shared" si="891"/>
        <v>0</v>
      </c>
      <c r="AU928" s="39"/>
      <c r="AV928" s="39"/>
      <c r="AW928" s="39"/>
      <c r="AX928" s="39"/>
      <c r="AY928" s="39"/>
      <c r="AZ928" s="39">
        <f t="shared" si="892"/>
        <v>0</v>
      </c>
      <c r="BA928" s="39"/>
      <c r="BB928" s="39"/>
      <c r="BC928" s="39"/>
      <c r="BD928" s="39"/>
      <c r="BE928" s="39"/>
      <c r="BF928" s="39">
        <f t="shared" si="893"/>
        <v>0</v>
      </c>
      <c r="BG928" s="39"/>
      <c r="BH928" s="39"/>
      <c r="BI928" s="39"/>
      <c r="BJ928" s="39"/>
      <c r="BK928" s="39"/>
      <c r="BL928" s="39">
        <f t="shared" si="919"/>
        <v>0</v>
      </c>
      <c r="BM928" s="54" t="str">
        <f t="shared" si="894"/>
        <v/>
      </c>
      <c r="BN928" s="59">
        <v>46189</v>
      </c>
      <c r="BO928" s="57">
        <v>46202</v>
      </c>
      <c r="BP928" s="36"/>
      <c r="BQ928" s="36"/>
      <c r="BR928" s="229">
        <v>46189</v>
      </c>
      <c r="BS928" s="229">
        <v>46196</v>
      </c>
      <c r="BT928" s="39">
        <v>1510</v>
      </c>
      <c r="BU928" s="39">
        <v>250</v>
      </c>
      <c r="BV928" s="39"/>
      <c r="BW928" s="39"/>
      <c r="BX928" s="39"/>
      <c r="BY928" s="39"/>
      <c r="BZ928" s="39">
        <f t="shared" si="920"/>
        <v>250</v>
      </c>
      <c r="CA928" s="39">
        <f t="shared" si="895"/>
        <v>6</v>
      </c>
      <c r="CB928" s="39">
        <f t="shared" si="896"/>
        <v>0</v>
      </c>
      <c r="CC928" s="39">
        <f t="shared" si="897"/>
        <v>0</v>
      </c>
      <c r="CD928" s="39">
        <f t="shared" si="921"/>
        <v>0</v>
      </c>
      <c r="CE928" s="102">
        <f t="shared" si="898"/>
        <v>0</v>
      </c>
      <c r="CF928" s="36"/>
      <c r="CG928" s="39" t="s">
        <v>233</v>
      </c>
      <c r="CH928" s="39"/>
      <c r="CI928" s="25">
        <v>2</v>
      </c>
    </row>
    <row r="929" spans="1:87" ht="24.75" customHeight="1">
      <c r="A929" s="36" t="s">
        <v>20</v>
      </c>
      <c r="B929" s="29" t="s">
        <v>866</v>
      </c>
      <c r="C929" s="231"/>
      <c r="D929" s="36"/>
      <c r="E929" s="39">
        <v>180</v>
      </c>
      <c r="F929" s="39" t="s">
        <v>53</v>
      </c>
      <c r="G929" s="36" t="s">
        <v>21</v>
      </c>
      <c r="H929" s="39" t="s">
        <v>87</v>
      </c>
      <c r="I929" s="39">
        <v>244</v>
      </c>
      <c r="J929" s="39"/>
      <c r="K929" s="39"/>
      <c r="L929" s="39">
        <f t="shared" si="942"/>
        <v>244</v>
      </c>
      <c r="M929" s="117">
        <v>46179</v>
      </c>
      <c r="N929" s="117">
        <v>46188</v>
      </c>
      <c r="O929" s="39"/>
      <c r="P929" s="39"/>
      <c r="Q929" s="39"/>
      <c r="R929" s="39">
        <f t="shared" si="943"/>
        <v>0</v>
      </c>
      <c r="S929" s="39" t="s">
        <v>130</v>
      </c>
      <c r="T929" s="39">
        <v>106951</v>
      </c>
      <c r="U929" s="117">
        <v>46187</v>
      </c>
      <c r="V929" s="39"/>
      <c r="W929" s="39"/>
      <c r="X929" s="39"/>
      <c r="Y929" s="39">
        <v>281</v>
      </c>
      <c r="Z929" s="39"/>
      <c r="AA929" s="39"/>
      <c r="AB929" s="119">
        <f t="shared" si="944"/>
        <v>281</v>
      </c>
      <c r="AC929" s="39"/>
      <c r="AD929" s="39"/>
      <c r="AE929" s="39"/>
      <c r="AF929" s="39"/>
      <c r="AG929" s="39"/>
      <c r="AH929" s="39">
        <f t="shared" si="918"/>
        <v>0</v>
      </c>
      <c r="AI929" s="39"/>
      <c r="AJ929" s="39"/>
      <c r="AK929" s="39"/>
      <c r="AL929" s="39"/>
      <c r="AM929" s="39"/>
      <c r="AN929" s="39">
        <f t="shared" si="917"/>
        <v>0</v>
      </c>
      <c r="AO929" s="39"/>
      <c r="AP929" s="39"/>
      <c r="AQ929" s="39"/>
      <c r="AR929" s="39"/>
      <c r="AS929" s="39"/>
      <c r="AT929" s="39">
        <f t="shared" si="891"/>
        <v>0</v>
      </c>
      <c r="AU929" s="39"/>
      <c r="AV929" s="39"/>
      <c r="AW929" s="39"/>
      <c r="AX929" s="39"/>
      <c r="AY929" s="39"/>
      <c r="AZ929" s="39">
        <f t="shared" si="892"/>
        <v>0</v>
      </c>
      <c r="BA929" s="39"/>
      <c r="BB929" s="39"/>
      <c r="BC929" s="39"/>
      <c r="BD929" s="39"/>
      <c r="BE929" s="39"/>
      <c r="BF929" s="39">
        <f t="shared" si="893"/>
        <v>0</v>
      </c>
      <c r="BG929" s="39"/>
      <c r="BH929" s="39"/>
      <c r="BI929" s="39"/>
      <c r="BJ929" s="39"/>
      <c r="BK929" s="39"/>
      <c r="BL929" s="39">
        <f t="shared" si="919"/>
        <v>0</v>
      </c>
      <c r="BM929" s="54" t="str">
        <f t="shared" si="894"/>
        <v/>
      </c>
      <c r="BN929" s="59">
        <v>46189</v>
      </c>
      <c r="BO929" s="57">
        <v>46202</v>
      </c>
      <c r="BP929" s="36"/>
      <c r="BQ929" s="36"/>
      <c r="BR929" s="232"/>
      <c r="BS929" s="232"/>
      <c r="BT929" s="39">
        <v>1738</v>
      </c>
      <c r="BU929" s="39">
        <v>244</v>
      </c>
      <c r="BV929" s="39"/>
      <c r="BW929" s="39"/>
      <c r="BX929" s="39"/>
      <c r="BY929" s="39"/>
      <c r="BZ929" s="39">
        <f t="shared" si="920"/>
        <v>244</v>
      </c>
      <c r="CA929" s="39">
        <f t="shared" si="895"/>
        <v>0</v>
      </c>
      <c r="CB929" s="39">
        <f t="shared" si="896"/>
        <v>0</v>
      </c>
      <c r="CC929" s="39">
        <f t="shared" si="897"/>
        <v>0</v>
      </c>
      <c r="CD929" s="39">
        <f t="shared" si="921"/>
        <v>0</v>
      </c>
      <c r="CE929" s="102">
        <f t="shared" si="898"/>
        <v>0</v>
      </c>
      <c r="CF929" s="36"/>
      <c r="CG929" s="39" t="s">
        <v>233</v>
      </c>
      <c r="CH929" s="39"/>
      <c r="CI929" s="25">
        <v>2</v>
      </c>
    </row>
    <row r="930" spans="1:87" ht="24.75" customHeight="1">
      <c r="A930" s="36" t="s">
        <v>20</v>
      </c>
      <c r="B930" s="29" t="s">
        <v>866</v>
      </c>
      <c r="C930" s="228"/>
      <c r="D930" s="36"/>
      <c r="E930" s="39">
        <v>180</v>
      </c>
      <c r="F930" s="39" t="s">
        <v>53</v>
      </c>
      <c r="G930" s="36" t="s">
        <v>216</v>
      </c>
      <c r="H930" s="39" t="s">
        <v>88</v>
      </c>
      <c r="I930" s="39">
        <v>244</v>
      </c>
      <c r="J930" s="39"/>
      <c r="K930" s="39"/>
      <c r="L930" s="39">
        <f t="shared" si="942"/>
        <v>244</v>
      </c>
      <c r="M930" s="117">
        <v>46179</v>
      </c>
      <c r="N930" s="117">
        <v>46188</v>
      </c>
      <c r="O930" s="39"/>
      <c r="P930" s="39"/>
      <c r="Q930" s="39"/>
      <c r="R930" s="39">
        <f t="shared" si="943"/>
        <v>0</v>
      </c>
      <c r="S930" s="39" t="s">
        <v>130</v>
      </c>
      <c r="T930" s="39">
        <v>106969</v>
      </c>
      <c r="U930" s="117">
        <v>46188</v>
      </c>
      <c r="V930" s="39"/>
      <c r="W930" s="39"/>
      <c r="X930" s="39"/>
      <c r="Y930" s="39">
        <v>273</v>
      </c>
      <c r="Z930" s="39"/>
      <c r="AA930" s="39"/>
      <c r="AB930" s="119">
        <f t="shared" si="944"/>
        <v>273</v>
      </c>
      <c r="AC930" s="39"/>
      <c r="AD930" s="39"/>
      <c r="AE930" s="39"/>
      <c r="AF930" s="39"/>
      <c r="AG930" s="39"/>
      <c r="AH930" s="39">
        <f t="shared" si="918"/>
        <v>0</v>
      </c>
      <c r="AI930" s="39"/>
      <c r="AJ930" s="39"/>
      <c r="AK930" s="39"/>
      <c r="AL930" s="39"/>
      <c r="AM930" s="39"/>
      <c r="AN930" s="39">
        <f t="shared" si="917"/>
        <v>0</v>
      </c>
      <c r="AO930" s="39"/>
      <c r="AP930" s="39"/>
      <c r="AQ930" s="39"/>
      <c r="AR930" s="39"/>
      <c r="AS930" s="39"/>
      <c r="AT930" s="39">
        <f t="shared" si="891"/>
        <v>0</v>
      </c>
      <c r="AU930" s="39"/>
      <c r="AV930" s="39"/>
      <c r="AW930" s="39"/>
      <c r="AX930" s="39"/>
      <c r="AY930" s="39"/>
      <c r="AZ930" s="39">
        <f t="shared" si="892"/>
        <v>0</v>
      </c>
      <c r="BA930" s="39"/>
      <c r="BB930" s="39"/>
      <c r="BC930" s="39"/>
      <c r="BD930" s="39"/>
      <c r="BE930" s="39"/>
      <c r="BF930" s="39">
        <f t="shared" si="893"/>
        <v>0</v>
      </c>
      <c r="BG930" s="39"/>
      <c r="BH930" s="39"/>
      <c r="BI930" s="39"/>
      <c r="BJ930" s="39"/>
      <c r="BK930" s="39"/>
      <c r="BL930" s="39">
        <f t="shared" si="919"/>
        <v>0</v>
      </c>
      <c r="BM930" s="54" t="str">
        <f t="shared" si="894"/>
        <v/>
      </c>
      <c r="BN930" s="59">
        <v>46189</v>
      </c>
      <c r="BO930" s="57">
        <v>46202</v>
      </c>
      <c r="BP930" s="36"/>
      <c r="BQ930" s="36"/>
      <c r="BR930" s="230"/>
      <c r="BS930" s="230"/>
      <c r="BT930" s="39">
        <v>1748</v>
      </c>
      <c r="BU930" s="39">
        <v>252</v>
      </c>
      <c r="BV930" s="39"/>
      <c r="BW930" s="39"/>
      <c r="BX930" s="39"/>
      <c r="BY930" s="39"/>
      <c r="BZ930" s="39">
        <f t="shared" si="920"/>
        <v>252</v>
      </c>
      <c r="CA930" s="39">
        <f t="shared" si="895"/>
        <v>8</v>
      </c>
      <c r="CB930" s="39">
        <f t="shared" si="896"/>
        <v>0</v>
      </c>
      <c r="CC930" s="39">
        <f t="shared" si="897"/>
        <v>0</v>
      </c>
      <c r="CD930" s="39">
        <f t="shared" si="921"/>
        <v>0</v>
      </c>
      <c r="CE930" s="102">
        <f t="shared" si="898"/>
        <v>0</v>
      </c>
      <c r="CF930" s="36"/>
      <c r="CG930" s="39" t="s">
        <v>233</v>
      </c>
      <c r="CH930" s="39"/>
      <c r="CI930" s="25">
        <v>2</v>
      </c>
    </row>
    <row r="931" spans="1:87" ht="24.75" customHeight="1">
      <c r="A931" s="36" t="s">
        <v>20</v>
      </c>
      <c r="B931" s="29" t="s">
        <v>867</v>
      </c>
      <c r="C931" s="227" t="s">
        <v>421</v>
      </c>
      <c r="D931" s="36"/>
      <c r="E931" s="39">
        <v>220</v>
      </c>
      <c r="F931" s="39" t="s">
        <v>55</v>
      </c>
      <c r="G931" s="36" t="s">
        <v>23</v>
      </c>
      <c r="H931" s="39" t="s">
        <v>209</v>
      </c>
      <c r="I931" s="39">
        <v>3586</v>
      </c>
      <c r="J931" s="39"/>
      <c r="K931" s="39"/>
      <c r="L931" s="39">
        <f t="shared" si="942"/>
        <v>3586</v>
      </c>
      <c r="M931" s="117">
        <v>46179</v>
      </c>
      <c r="N931" s="117">
        <v>46193</v>
      </c>
      <c r="O931" s="39"/>
      <c r="P931" s="39"/>
      <c r="Q931" s="39"/>
      <c r="R931" s="39">
        <f t="shared" si="943"/>
        <v>0</v>
      </c>
      <c r="S931" s="39" t="s">
        <v>130</v>
      </c>
      <c r="T931" s="39" t="s">
        <v>1277</v>
      </c>
      <c r="U931" s="117" t="s">
        <v>1278</v>
      </c>
      <c r="V931" s="39"/>
      <c r="W931" s="39"/>
      <c r="X931" s="39"/>
      <c r="Y931" s="39">
        <f>800+131+900+900+610+550</f>
        <v>3891</v>
      </c>
      <c r="Z931" s="39"/>
      <c r="AA931" s="39"/>
      <c r="AB931" s="119">
        <f t="shared" si="944"/>
        <v>3891</v>
      </c>
      <c r="AC931" s="39"/>
      <c r="AD931" s="39"/>
      <c r="AE931" s="39"/>
      <c r="AF931" s="39"/>
      <c r="AG931" s="39"/>
      <c r="AH931" s="39">
        <f t="shared" si="918"/>
        <v>0</v>
      </c>
      <c r="AI931" s="39"/>
      <c r="AJ931" s="39"/>
      <c r="AK931" s="39"/>
      <c r="AL931" s="39"/>
      <c r="AM931" s="39"/>
      <c r="AN931" s="39">
        <f t="shared" si="917"/>
        <v>0</v>
      </c>
      <c r="AO931" s="39"/>
      <c r="AP931" s="39"/>
      <c r="AQ931" s="39"/>
      <c r="AR931" s="39"/>
      <c r="AS931" s="39"/>
      <c r="AT931" s="39">
        <f t="shared" si="891"/>
        <v>0</v>
      </c>
      <c r="AU931" s="39"/>
      <c r="AV931" s="39"/>
      <c r="AW931" s="39"/>
      <c r="AX931" s="39"/>
      <c r="AY931" s="39"/>
      <c r="AZ931" s="39">
        <f t="shared" si="892"/>
        <v>0</v>
      </c>
      <c r="BA931" s="39"/>
      <c r="BB931" s="39"/>
      <c r="BC931" s="39"/>
      <c r="BD931" s="39"/>
      <c r="BE931" s="39"/>
      <c r="BF931" s="39">
        <f t="shared" si="893"/>
        <v>0</v>
      </c>
      <c r="BG931" s="39"/>
      <c r="BH931" s="39"/>
      <c r="BI931" s="39"/>
      <c r="BJ931" s="39"/>
      <c r="BK931" s="39"/>
      <c r="BL931" s="39">
        <f t="shared" si="919"/>
        <v>0</v>
      </c>
      <c r="BM931" s="54" t="str">
        <f t="shared" si="894"/>
        <v/>
      </c>
      <c r="BN931" s="59">
        <v>46191</v>
      </c>
      <c r="BO931" s="57">
        <v>46206</v>
      </c>
      <c r="BP931" s="36"/>
      <c r="BQ931" s="36"/>
      <c r="BR931" s="229">
        <v>46182</v>
      </c>
      <c r="BS931" s="243"/>
      <c r="BT931" s="39" t="s">
        <v>1542</v>
      </c>
      <c r="BU931" s="39">
        <f>125+677+800+796+503+391+54+372</f>
        <v>3718</v>
      </c>
      <c r="BV931" s="39"/>
      <c r="BW931" s="39"/>
      <c r="BX931" s="39"/>
      <c r="BY931" s="39"/>
      <c r="BZ931" s="39">
        <f t="shared" si="920"/>
        <v>3718</v>
      </c>
      <c r="CA931" s="39">
        <f t="shared" si="895"/>
        <v>132</v>
      </c>
      <c r="CB931" s="39">
        <f t="shared" si="896"/>
        <v>0</v>
      </c>
      <c r="CC931" s="39">
        <f t="shared" si="897"/>
        <v>0</v>
      </c>
      <c r="CD931" s="39">
        <f t="shared" si="921"/>
        <v>0</v>
      </c>
      <c r="CE931" s="102">
        <f t="shared" si="898"/>
        <v>0</v>
      </c>
      <c r="CF931" s="36"/>
      <c r="CG931" s="39" t="s">
        <v>233</v>
      </c>
      <c r="CH931" s="39" t="s">
        <v>543</v>
      </c>
      <c r="CI931" s="25">
        <v>2</v>
      </c>
    </row>
    <row r="932" spans="1:87" ht="24.75" customHeight="1">
      <c r="A932" s="36" t="s">
        <v>20</v>
      </c>
      <c r="B932" s="29" t="s">
        <v>867</v>
      </c>
      <c r="C932" s="231"/>
      <c r="D932" s="36"/>
      <c r="E932" s="39">
        <v>220</v>
      </c>
      <c r="F932" s="39" t="s">
        <v>55</v>
      </c>
      <c r="G932" s="36" t="s">
        <v>458</v>
      </c>
      <c r="H932" s="39" t="s">
        <v>209</v>
      </c>
      <c r="I932" s="39">
        <v>1594</v>
      </c>
      <c r="J932" s="39"/>
      <c r="K932" s="39"/>
      <c r="L932" s="39">
        <f t="shared" si="942"/>
        <v>1594</v>
      </c>
      <c r="M932" s="117">
        <v>46179</v>
      </c>
      <c r="N932" s="117">
        <v>46193</v>
      </c>
      <c r="O932" s="39"/>
      <c r="P932" s="39"/>
      <c r="Q932" s="39"/>
      <c r="R932" s="39">
        <f t="shared" si="943"/>
        <v>0</v>
      </c>
      <c r="S932" s="39" t="s">
        <v>130</v>
      </c>
      <c r="T932" s="39" t="s">
        <v>2025</v>
      </c>
      <c r="U932" s="117" t="s">
        <v>2026</v>
      </c>
      <c r="V932" s="39"/>
      <c r="W932" s="39"/>
      <c r="X932" s="39"/>
      <c r="Y932" s="39">
        <f>800+800+185+318</f>
        <v>2103</v>
      </c>
      <c r="Z932" s="39"/>
      <c r="AA932" s="39"/>
      <c r="AB932" s="119">
        <f t="shared" si="944"/>
        <v>2103</v>
      </c>
      <c r="AC932" s="39"/>
      <c r="AD932" s="39"/>
      <c r="AE932" s="39"/>
      <c r="AF932" s="39"/>
      <c r="AG932" s="39"/>
      <c r="AH932" s="39">
        <f t="shared" si="918"/>
        <v>0</v>
      </c>
      <c r="AI932" s="39"/>
      <c r="AJ932" s="39"/>
      <c r="AK932" s="39"/>
      <c r="AL932" s="39"/>
      <c r="AM932" s="39"/>
      <c r="AN932" s="39">
        <f t="shared" si="917"/>
        <v>0</v>
      </c>
      <c r="AO932" s="39"/>
      <c r="AP932" s="39"/>
      <c r="AQ932" s="39"/>
      <c r="AR932" s="39"/>
      <c r="AS932" s="39"/>
      <c r="AT932" s="39">
        <f t="shared" si="891"/>
        <v>0</v>
      </c>
      <c r="AU932" s="39"/>
      <c r="AV932" s="39"/>
      <c r="AW932" s="39"/>
      <c r="AX932" s="39"/>
      <c r="AY932" s="39"/>
      <c r="AZ932" s="39">
        <f t="shared" si="892"/>
        <v>0</v>
      </c>
      <c r="BA932" s="39"/>
      <c r="BB932" s="39"/>
      <c r="BC932" s="39"/>
      <c r="BD932" s="39"/>
      <c r="BE932" s="39"/>
      <c r="BF932" s="39">
        <f t="shared" si="893"/>
        <v>0</v>
      </c>
      <c r="BG932" s="39"/>
      <c r="BH932" s="39"/>
      <c r="BI932" s="39"/>
      <c r="BJ932" s="39"/>
      <c r="BK932" s="39"/>
      <c r="BL932" s="39">
        <f t="shared" si="919"/>
        <v>0</v>
      </c>
      <c r="BM932" s="54" t="str">
        <f t="shared" si="894"/>
        <v/>
      </c>
      <c r="BN932" s="59">
        <v>46191</v>
      </c>
      <c r="BO932" s="57">
        <v>46206</v>
      </c>
      <c r="BP932" s="36"/>
      <c r="BQ932" s="36"/>
      <c r="BR932" s="232"/>
      <c r="BS932" s="232"/>
      <c r="BT932" s="39" t="s">
        <v>2101</v>
      </c>
      <c r="BU932" s="39">
        <f>505+55+72+10+38+684+42+168+277</f>
        <v>1851</v>
      </c>
      <c r="BV932" s="39"/>
      <c r="BW932" s="39"/>
      <c r="BX932" s="39"/>
      <c r="BY932" s="39"/>
      <c r="BZ932" s="39">
        <f t="shared" si="920"/>
        <v>1851</v>
      </c>
      <c r="CA932" s="39">
        <f t="shared" si="895"/>
        <v>257</v>
      </c>
      <c r="CB932" s="39">
        <f t="shared" si="896"/>
        <v>0</v>
      </c>
      <c r="CC932" s="39">
        <f t="shared" si="897"/>
        <v>0</v>
      </c>
      <c r="CD932" s="39">
        <v>0</v>
      </c>
      <c r="CE932" s="102">
        <f t="shared" si="898"/>
        <v>0</v>
      </c>
      <c r="CF932" s="36"/>
      <c r="CG932" s="39" t="s">
        <v>233</v>
      </c>
      <c r="CH932" s="39" t="s">
        <v>483</v>
      </c>
      <c r="CI932" s="25">
        <v>2</v>
      </c>
    </row>
    <row r="933" spans="1:87" ht="24.75" customHeight="1">
      <c r="A933" s="36" t="s">
        <v>20</v>
      </c>
      <c r="B933" s="29" t="s">
        <v>867</v>
      </c>
      <c r="C933" s="231"/>
      <c r="D933" s="36"/>
      <c r="E933" s="39">
        <v>220</v>
      </c>
      <c r="F933" s="39" t="s">
        <v>55</v>
      </c>
      <c r="G933" s="36" t="s">
        <v>868</v>
      </c>
      <c r="H933" s="39" t="s">
        <v>209</v>
      </c>
      <c r="I933" s="39">
        <v>1205</v>
      </c>
      <c r="J933" s="39"/>
      <c r="K933" s="39"/>
      <c r="L933" s="39">
        <f t="shared" si="942"/>
        <v>1205</v>
      </c>
      <c r="M933" s="117">
        <v>46179</v>
      </c>
      <c r="N933" s="117">
        <v>46193</v>
      </c>
      <c r="O933" s="39"/>
      <c r="P933" s="39"/>
      <c r="Q933" s="39"/>
      <c r="R933" s="39">
        <f t="shared" si="943"/>
        <v>0</v>
      </c>
      <c r="S933" s="39" t="s">
        <v>130</v>
      </c>
      <c r="T933" s="39" t="s">
        <v>1836</v>
      </c>
      <c r="U933" s="117" t="s">
        <v>1837</v>
      </c>
      <c r="V933" s="39"/>
      <c r="W933" s="39"/>
      <c r="X933" s="39"/>
      <c r="Y933" s="39">
        <f>681+681+66</f>
        <v>1428</v>
      </c>
      <c r="Z933" s="39"/>
      <c r="AA933" s="39"/>
      <c r="AB933" s="119">
        <f t="shared" si="944"/>
        <v>1428</v>
      </c>
      <c r="AC933" s="39"/>
      <c r="AD933" s="39"/>
      <c r="AE933" s="39"/>
      <c r="AF933" s="39"/>
      <c r="AG933" s="39"/>
      <c r="AH933" s="39">
        <f t="shared" si="918"/>
        <v>0</v>
      </c>
      <c r="AI933" s="39"/>
      <c r="AJ933" s="39"/>
      <c r="AK933" s="39"/>
      <c r="AL933" s="39"/>
      <c r="AM933" s="39"/>
      <c r="AN933" s="39">
        <f t="shared" si="917"/>
        <v>0</v>
      </c>
      <c r="AO933" s="39"/>
      <c r="AP933" s="39"/>
      <c r="AQ933" s="39"/>
      <c r="AR933" s="39"/>
      <c r="AS933" s="39"/>
      <c r="AT933" s="39">
        <f t="shared" si="891"/>
        <v>0</v>
      </c>
      <c r="AU933" s="39"/>
      <c r="AV933" s="39"/>
      <c r="AW933" s="39"/>
      <c r="AX933" s="39"/>
      <c r="AY933" s="39"/>
      <c r="AZ933" s="39">
        <f t="shared" si="892"/>
        <v>0</v>
      </c>
      <c r="BA933" s="39"/>
      <c r="BB933" s="39"/>
      <c r="BC933" s="39"/>
      <c r="BD933" s="39"/>
      <c r="BE933" s="39"/>
      <c r="BF933" s="39">
        <f t="shared" si="893"/>
        <v>0</v>
      </c>
      <c r="BG933" s="39"/>
      <c r="BH933" s="39"/>
      <c r="BI933" s="39"/>
      <c r="BJ933" s="39"/>
      <c r="BK933" s="39"/>
      <c r="BL933" s="39">
        <f t="shared" si="919"/>
        <v>0</v>
      </c>
      <c r="BM933" s="54" t="str">
        <f t="shared" si="894"/>
        <v/>
      </c>
      <c r="BN933" s="59">
        <v>46191</v>
      </c>
      <c r="BO933" s="57">
        <v>46206</v>
      </c>
      <c r="BP933" s="36"/>
      <c r="BQ933" s="36"/>
      <c r="BR933" s="232"/>
      <c r="BS933" s="232"/>
      <c r="BT933" s="39" t="s">
        <v>1869</v>
      </c>
      <c r="BU933" s="39">
        <f>78+405+251+222+122+116+56</f>
        <v>1250</v>
      </c>
      <c r="BV933" s="39"/>
      <c r="BW933" s="39"/>
      <c r="BX933" s="39"/>
      <c r="BY933" s="39"/>
      <c r="BZ933" s="39">
        <f t="shared" si="920"/>
        <v>1250</v>
      </c>
      <c r="CA933" s="39">
        <f t="shared" si="895"/>
        <v>45</v>
      </c>
      <c r="CB933" s="39">
        <f t="shared" si="896"/>
        <v>0</v>
      </c>
      <c r="CC933" s="39">
        <f t="shared" si="897"/>
        <v>0</v>
      </c>
      <c r="CD933" s="39">
        <v>0</v>
      </c>
      <c r="CE933" s="102">
        <f t="shared" si="898"/>
        <v>0</v>
      </c>
      <c r="CF933" s="36"/>
      <c r="CG933" s="39" t="s">
        <v>233</v>
      </c>
      <c r="CH933" s="39"/>
      <c r="CI933" s="25">
        <v>2</v>
      </c>
    </row>
    <row r="934" spans="1:87" ht="24.75" customHeight="1">
      <c r="A934" s="36" t="s">
        <v>20</v>
      </c>
      <c r="B934" s="29" t="s">
        <v>867</v>
      </c>
      <c r="C934" s="228"/>
      <c r="D934" s="36"/>
      <c r="E934" s="39">
        <v>220</v>
      </c>
      <c r="F934" s="39" t="s">
        <v>55</v>
      </c>
      <c r="G934" s="36" t="s">
        <v>437</v>
      </c>
      <c r="H934" s="39" t="s">
        <v>87</v>
      </c>
      <c r="I934" s="39">
        <v>812</v>
      </c>
      <c r="J934" s="39"/>
      <c r="K934" s="39"/>
      <c r="L934" s="39">
        <f t="shared" si="942"/>
        <v>812</v>
      </c>
      <c r="M934" s="117">
        <v>46179</v>
      </c>
      <c r="N934" s="117">
        <v>46193</v>
      </c>
      <c r="O934" s="39"/>
      <c r="P934" s="39"/>
      <c r="Q934" s="39"/>
      <c r="R934" s="39">
        <f t="shared" si="943"/>
        <v>0</v>
      </c>
      <c r="S934" s="39" t="s">
        <v>130</v>
      </c>
      <c r="T934" s="39">
        <v>107265</v>
      </c>
      <c r="U934" s="117">
        <v>46200</v>
      </c>
      <c r="V934" s="39"/>
      <c r="W934" s="39"/>
      <c r="X934" s="39"/>
      <c r="Y934" s="39">
        <v>925</v>
      </c>
      <c r="Z934" s="39"/>
      <c r="AA934" s="39"/>
      <c r="AB934" s="119">
        <f t="shared" si="944"/>
        <v>925</v>
      </c>
      <c r="AC934" s="39"/>
      <c r="AD934" s="39"/>
      <c r="AE934" s="39"/>
      <c r="AF934" s="39"/>
      <c r="AG934" s="39"/>
      <c r="AH934" s="39">
        <f t="shared" si="918"/>
        <v>0</v>
      </c>
      <c r="AI934" s="39"/>
      <c r="AJ934" s="39"/>
      <c r="AK934" s="39"/>
      <c r="AL934" s="39"/>
      <c r="AM934" s="39"/>
      <c r="AN934" s="39">
        <f t="shared" si="917"/>
        <v>0</v>
      </c>
      <c r="AO934" s="39"/>
      <c r="AP934" s="39"/>
      <c r="AQ934" s="39"/>
      <c r="AR934" s="39"/>
      <c r="AS934" s="39"/>
      <c r="AT934" s="39">
        <f t="shared" si="891"/>
        <v>0</v>
      </c>
      <c r="AU934" s="39"/>
      <c r="AV934" s="39"/>
      <c r="AW934" s="39"/>
      <c r="AX934" s="39"/>
      <c r="AY934" s="39"/>
      <c r="AZ934" s="39">
        <f t="shared" si="892"/>
        <v>0</v>
      </c>
      <c r="BA934" s="39"/>
      <c r="BB934" s="39"/>
      <c r="BC934" s="39"/>
      <c r="BD934" s="39"/>
      <c r="BE934" s="39"/>
      <c r="BF934" s="39">
        <f t="shared" si="893"/>
        <v>0</v>
      </c>
      <c r="BG934" s="39"/>
      <c r="BH934" s="39"/>
      <c r="BI934" s="39"/>
      <c r="BJ934" s="39"/>
      <c r="BK934" s="39"/>
      <c r="BL934" s="39">
        <f t="shared" si="919"/>
        <v>0</v>
      </c>
      <c r="BM934" s="54" t="str">
        <f t="shared" si="894"/>
        <v/>
      </c>
      <c r="BN934" s="59">
        <v>46191</v>
      </c>
      <c r="BO934" s="57">
        <v>46206</v>
      </c>
      <c r="BP934" s="36"/>
      <c r="BQ934" s="36"/>
      <c r="BR934" s="230"/>
      <c r="BS934" s="230"/>
      <c r="BT934" s="39">
        <v>2145</v>
      </c>
      <c r="BU934" s="39">
        <v>820</v>
      </c>
      <c r="BV934" s="39"/>
      <c r="BW934" s="39"/>
      <c r="BX934" s="39"/>
      <c r="BY934" s="39"/>
      <c r="BZ934" s="39">
        <f t="shared" si="920"/>
        <v>820</v>
      </c>
      <c r="CA934" s="39">
        <f t="shared" si="895"/>
        <v>8</v>
      </c>
      <c r="CB934" s="39">
        <f t="shared" si="896"/>
        <v>0</v>
      </c>
      <c r="CC934" s="39">
        <f t="shared" si="897"/>
        <v>0</v>
      </c>
      <c r="CD934" s="39">
        <f t="shared" si="921"/>
        <v>0</v>
      </c>
      <c r="CE934" s="102">
        <f t="shared" si="898"/>
        <v>0</v>
      </c>
      <c r="CF934" s="36"/>
      <c r="CG934" s="39" t="s">
        <v>233</v>
      </c>
      <c r="CH934" s="39"/>
      <c r="CI934" s="25">
        <v>2</v>
      </c>
    </row>
    <row r="935" spans="1:87" ht="24.75" customHeight="1">
      <c r="A935" s="36" t="s">
        <v>20</v>
      </c>
      <c r="B935" s="29" t="s">
        <v>869</v>
      </c>
      <c r="C935" s="227" t="s">
        <v>870</v>
      </c>
      <c r="D935" s="36"/>
      <c r="E935" s="39">
        <v>180</v>
      </c>
      <c r="F935" s="39" t="s">
        <v>58</v>
      </c>
      <c r="G935" s="36" t="s">
        <v>23</v>
      </c>
      <c r="H935" s="39" t="s">
        <v>87</v>
      </c>
      <c r="I935" s="39">
        <v>195</v>
      </c>
      <c r="J935" s="39"/>
      <c r="K935" s="39"/>
      <c r="L935" s="39">
        <f t="shared" si="942"/>
        <v>195</v>
      </c>
      <c r="M935" s="117">
        <v>46179</v>
      </c>
      <c r="N935" s="117">
        <v>46193</v>
      </c>
      <c r="O935" s="39"/>
      <c r="P935" s="39"/>
      <c r="Q935" s="39"/>
      <c r="R935" s="39"/>
      <c r="S935" s="39" t="s">
        <v>130</v>
      </c>
      <c r="T935" s="39">
        <v>107210</v>
      </c>
      <c r="U935" s="117">
        <v>46197</v>
      </c>
      <c r="V935" s="39"/>
      <c r="W935" s="39"/>
      <c r="X935" s="39"/>
      <c r="Y935" s="39">
        <v>250</v>
      </c>
      <c r="Z935" s="39"/>
      <c r="AA935" s="39"/>
      <c r="AB935" s="119">
        <f t="shared" si="944"/>
        <v>250</v>
      </c>
      <c r="AC935" s="39"/>
      <c r="AD935" s="39"/>
      <c r="AE935" s="39"/>
      <c r="AF935" s="39"/>
      <c r="AG935" s="39"/>
      <c r="AH935" s="39">
        <f t="shared" si="918"/>
        <v>0</v>
      </c>
      <c r="AI935" s="39"/>
      <c r="AJ935" s="39"/>
      <c r="AK935" s="39"/>
      <c r="AL935" s="39"/>
      <c r="AM935" s="39"/>
      <c r="AN935" s="39">
        <f t="shared" si="917"/>
        <v>0</v>
      </c>
      <c r="AO935" s="39"/>
      <c r="AP935" s="39"/>
      <c r="AQ935" s="39"/>
      <c r="AR935" s="39"/>
      <c r="AS935" s="39"/>
      <c r="AT935" s="39">
        <f t="shared" si="891"/>
        <v>0</v>
      </c>
      <c r="AU935" s="39"/>
      <c r="AV935" s="39"/>
      <c r="AW935" s="39"/>
      <c r="AX935" s="39"/>
      <c r="AY935" s="39"/>
      <c r="AZ935" s="39">
        <f t="shared" si="892"/>
        <v>0</v>
      </c>
      <c r="BA935" s="39"/>
      <c r="BB935" s="39"/>
      <c r="BC935" s="39"/>
      <c r="BD935" s="39"/>
      <c r="BE935" s="39"/>
      <c r="BF935" s="39">
        <f t="shared" si="893"/>
        <v>0</v>
      </c>
      <c r="BG935" s="39"/>
      <c r="BH935" s="39"/>
      <c r="BI935" s="39"/>
      <c r="BJ935" s="39"/>
      <c r="BK935" s="39"/>
      <c r="BL935" s="39">
        <f t="shared" si="919"/>
        <v>0</v>
      </c>
      <c r="BM935" s="54">
        <f t="shared" ca="1" si="894"/>
        <v>86</v>
      </c>
      <c r="BN935" s="59">
        <v>46191</v>
      </c>
      <c r="BO935" s="57">
        <v>46206</v>
      </c>
      <c r="BP935" s="36"/>
      <c r="BQ935" s="36"/>
      <c r="BR935" s="229">
        <v>46185</v>
      </c>
      <c r="BS935" s="243"/>
      <c r="BT935" s="39">
        <v>1516</v>
      </c>
      <c r="BU935" s="39">
        <f>170</f>
        <v>170</v>
      </c>
      <c r="BV935" s="39"/>
      <c r="BW935" s="39"/>
      <c r="BX935" s="39"/>
      <c r="BY935" s="39"/>
      <c r="BZ935" s="39">
        <f t="shared" si="920"/>
        <v>170</v>
      </c>
      <c r="CA935" s="39">
        <f t="shared" si="895"/>
        <v>-25</v>
      </c>
      <c r="CB935" s="39">
        <f t="shared" si="896"/>
        <v>0</v>
      </c>
      <c r="CC935" s="39">
        <f t="shared" si="897"/>
        <v>0</v>
      </c>
      <c r="CD935" s="39">
        <f t="shared" si="921"/>
        <v>-25</v>
      </c>
      <c r="CE935" s="102">
        <f t="shared" si="898"/>
        <v>-0.12820512820512819</v>
      </c>
      <c r="CF935" s="36"/>
      <c r="CG935" s="39" t="s">
        <v>233</v>
      </c>
      <c r="CH935" s="39"/>
      <c r="CI935" s="25">
        <v>2</v>
      </c>
    </row>
    <row r="936" spans="1:87" ht="24.75" customHeight="1">
      <c r="A936" s="36" t="s">
        <v>20</v>
      </c>
      <c r="B936" s="29" t="s">
        <v>869</v>
      </c>
      <c r="C936" s="231"/>
      <c r="D936" s="36"/>
      <c r="E936" s="39">
        <v>180</v>
      </c>
      <c r="F936" s="39" t="s">
        <v>58</v>
      </c>
      <c r="G936" s="36" t="s">
        <v>912</v>
      </c>
      <c r="H936" s="39" t="s">
        <v>88</v>
      </c>
      <c r="I936" s="39">
        <v>195</v>
      </c>
      <c r="J936" s="39"/>
      <c r="K936" s="39"/>
      <c r="L936" s="39">
        <f t="shared" si="942"/>
        <v>195</v>
      </c>
      <c r="M936" s="117">
        <v>46179</v>
      </c>
      <c r="N936" s="117">
        <v>46193</v>
      </c>
      <c r="O936" s="39"/>
      <c r="P936" s="39"/>
      <c r="Q936" s="39"/>
      <c r="R936" s="39"/>
      <c r="S936" s="39" t="s">
        <v>130</v>
      </c>
      <c r="T936" s="39">
        <v>107691</v>
      </c>
      <c r="U936" s="117">
        <v>46215</v>
      </c>
      <c r="V936" s="39"/>
      <c r="W936" s="39"/>
      <c r="X936" s="39"/>
      <c r="Y936" s="39">
        <v>229</v>
      </c>
      <c r="Z936" s="39"/>
      <c r="AA936" s="39"/>
      <c r="AB936" s="119">
        <f t="shared" si="944"/>
        <v>229</v>
      </c>
      <c r="AC936" s="39"/>
      <c r="AD936" s="39"/>
      <c r="AE936" s="39"/>
      <c r="AF936" s="39"/>
      <c r="AG936" s="39"/>
      <c r="AH936" s="39">
        <f t="shared" si="918"/>
        <v>0</v>
      </c>
      <c r="AI936" s="39"/>
      <c r="AJ936" s="39"/>
      <c r="AK936" s="39"/>
      <c r="AL936" s="39"/>
      <c r="AM936" s="39"/>
      <c r="AN936" s="39">
        <f t="shared" si="917"/>
        <v>0</v>
      </c>
      <c r="AO936" s="39"/>
      <c r="AP936" s="39"/>
      <c r="AQ936" s="39"/>
      <c r="AR936" s="39"/>
      <c r="AS936" s="39"/>
      <c r="AT936" s="39">
        <f t="shared" si="891"/>
        <v>0</v>
      </c>
      <c r="AU936" s="39"/>
      <c r="AV936" s="39"/>
      <c r="AW936" s="39"/>
      <c r="AX936" s="39"/>
      <c r="AY936" s="39"/>
      <c r="AZ936" s="39">
        <f t="shared" si="892"/>
        <v>0</v>
      </c>
      <c r="BA936" s="39"/>
      <c r="BB936" s="39"/>
      <c r="BC936" s="39"/>
      <c r="BD936" s="39"/>
      <c r="BE936" s="39"/>
      <c r="BF936" s="39">
        <f t="shared" si="893"/>
        <v>0</v>
      </c>
      <c r="BG936" s="39"/>
      <c r="BH936" s="39"/>
      <c r="BI936" s="39"/>
      <c r="BJ936" s="39"/>
      <c r="BK936" s="39"/>
      <c r="BL936" s="39">
        <f t="shared" si="919"/>
        <v>0</v>
      </c>
      <c r="BM936" s="54" t="str">
        <f t="shared" si="894"/>
        <v/>
      </c>
      <c r="BN936" s="59">
        <v>46191</v>
      </c>
      <c r="BO936" s="57">
        <v>46206</v>
      </c>
      <c r="BP936" s="36"/>
      <c r="BQ936" s="36"/>
      <c r="BR936" s="232"/>
      <c r="BS936" s="232"/>
      <c r="BT936" s="39">
        <v>2025</v>
      </c>
      <c r="BU936" s="39">
        <v>218</v>
      </c>
      <c r="BV936" s="39"/>
      <c r="BW936" s="39"/>
      <c r="BX936" s="39"/>
      <c r="BY936" s="39"/>
      <c r="BZ936" s="39">
        <f t="shared" si="920"/>
        <v>218</v>
      </c>
      <c r="CA936" s="39">
        <f t="shared" si="895"/>
        <v>23</v>
      </c>
      <c r="CB936" s="39">
        <f t="shared" si="896"/>
        <v>0</v>
      </c>
      <c r="CC936" s="39">
        <f t="shared" si="897"/>
        <v>0</v>
      </c>
      <c r="CD936" s="39">
        <f t="shared" si="921"/>
        <v>0</v>
      </c>
      <c r="CE936" s="102">
        <f t="shared" si="898"/>
        <v>0</v>
      </c>
      <c r="CF936" s="36"/>
      <c r="CG936" s="39" t="s">
        <v>233</v>
      </c>
      <c r="CH936" s="39"/>
      <c r="CI936" s="25">
        <v>2</v>
      </c>
    </row>
    <row r="937" spans="1:87" ht="24.75" customHeight="1">
      <c r="A937" s="36" t="s">
        <v>20</v>
      </c>
      <c r="B937" s="29" t="s">
        <v>869</v>
      </c>
      <c r="C937" s="228"/>
      <c r="D937" s="36"/>
      <c r="E937" s="39">
        <v>180</v>
      </c>
      <c r="F937" s="39" t="s">
        <v>58</v>
      </c>
      <c r="G937" s="36" t="s">
        <v>23</v>
      </c>
      <c r="H937" s="39" t="s">
        <v>87</v>
      </c>
      <c r="I937" s="39">
        <v>2900</v>
      </c>
      <c r="J937" s="39"/>
      <c r="K937" s="39"/>
      <c r="L937" s="39">
        <f t="shared" si="942"/>
        <v>2900</v>
      </c>
      <c r="M937" s="117">
        <v>46179</v>
      </c>
      <c r="N937" s="117">
        <v>46193</v>
      </c>
      <c r="O937" s="39"/>
      <c r="P937" s="39"/>
      <c r="Q937" s="39"/>
      <c r="R937" s="39"/>
      <c r="S937" s="39" t="s">
        <v>130</v>
      </c>
      <c r="T937" s="39" t="s">
        <v>1173</v>
      </c>
      <c r="U937" s="117" t="s">
        <v>1172</v>
      </c>
      <c r="V937" s="39"/>
      <c r="W937" s="39"/>
      <c r="X937" s="39"/>
      <c r="Y937" s="39">
        <f>1156+1150+1082-250</f>
        <v>3138</v>
      </c>
      <c r="Z937" s="39"/>
      <c r="AA937" s="39"/>
      <c r="AB937" s="119">
        <f t="shared" si="944"/>
        <v>3138</v>
      </c>
      <c r="AC937" s="39"/>
      <c r="AD937" s="39"/>
      <c r="AE937" s="39"/>
      <c r="AF937" s="39"/>
      <c r="AG937" s="39"/>
      <c r="AH937" s="39">
        <f t="shared" si="918"/>
        <v>0</v>
      </c>
      <c r="AI937" s="39"/>
      <c r="AJ937" s="39"/>
      <c r="AK937" s="39"/>
      <c r="AL937" s="39"/>
      <c r="AM937" s="39"/>
      <c r="AN937" s="39">
        <f t="shared" si="917"/>
        <v>0</v>
      </c>
      <c r="AO937" s="39"/>
      <c r="AP937" s="39"/>
      <c r="AQ937" s="39"/>
      <c r="AR937" s="39"/>
      <c r="AS937" s="39"/>
      <c r="AT937" s="39">
        <f t="shared" si="891"/>
        <v>0</v>
      </c>
      <c r="AU937" s="39"/>
      <c r="AV937" s="39"/>
      <c r="AW937" s="39"/>
      <c r="AX937" s="39"/>
      <c r="AY937" s="39"/>
      <c r="AZ937" s="39">
        <f t="shared" si="892"/>
        <v>0</v>
      </c>
      <c r="BA937" s="39"/>
      <c r="BB937" s="39"/>
      <c r="BC937" s="39"/>
      <c r="BD937" s="39"/>
      <c r="BE937" s="39"/>
      <c r="BF937" s="39">
        <f t="shared" si="893"/>
        <v>0</v>
      </c>
      <c r="BG937" s="39" t="s">
        <v>28</v>
      </c>
      <c r="BH937" s="117">
        <v>46198</v>
      </c>
      <c r="BI937" s="39">
        <f>1040</f>
        <v>1040</v>
      </c>
      <c r="BJ937" s="117">
        <v>46201</v>
      </c>
      <c r="BK937" s="39">
        <f>998</f>
        <v>998</v>
      </c>
      <c r="BL937" s="39">
        <f t="shared" si="919"/>
        <v>-42</v>
      </c>
      <c r="BM937" s="54" t="str">
        <f t="shared" si="894"/>
        <v/>
      </c>
      <c r="BN937" s="59">
        <v>46191</v>
      </c>
      <c r="BO937" s="57">
        <v>46206</v>
      </c>
      <c r="BP937" s="36"/>
      <c r="BQ937" s="36"/>
      <c r="BR937" s="230"/>
      <c r="BS937" s="230"/>
      <c r="BT937" s="39" t="s">
        <v>1248</v>
      </c>
      <c r="BU937" s="39">
        <f>1039+1034+998-170</f>
        <v>2901</v>
      </c>
      <c r="BV937" s="39"/>
      <c r="BW937" s="39"/>
      <c r="BX937" s="39"/>
      <c r="BY937" s="39"/>
      <c r="BZ937" s="39">
        <f t="shared" si="920"/>
        <v>2901</v>
      </c>
      <c r="CA937" s="39">
        <f t="shared" si="895"/>
        <v>1</v>
      </c>
      <c r="CB937" s="39">
        <f t="shared" si="896"/>
        <v>0</v>
      </c>
      <c r="CC937" s="39">
        <f t="shared" si="897"/>
        <v>0</v>
      </c>
      <c r="CD937" s="39">
        <f t="shared" si="921"/>
        <v>0</v>
      </c>
      <c r="CE937" s="102">
        <f t="shared" si="898"/>
        <v>0</v>
      </c>
      <c r="CF937" s="36"/>
      <c r="CG937" s="39" t="s">
        <v>233</v>
      </c>
      <c r="CH937" s="39"/>
      <c r="CI937" s="25">
        <v>2</v>
      </c>
    </row>
    <row r="938" spans="1:87" ht="24.75" customHeight="1">
      <c r="A938" s="36" t="s">
        <v>20</v>
      </c>
      <c r="B938" s="29" t="s">
        <v>871</v>
      </c>
      <c r="C938" s="227" t="s">
        <v>452</v>
      </c>
      <c r="D938" s="36"/>
      <c r="E938" s="39">
        <v>180</v>
      </c>
      <c r="F938" s="39" t="s">
        <v>53</v>
      </c>
      <c r="G938" s="36" t="s">
        <v>23</v>
      </c>
      <c r="H938" s="39" t="s">
        <v>87</v>
      </c>
      <c r="I938" s="39">
        <v>710</v>
      </c>
      <c r="J938" s="39"/>
      <c r="K938" s="39"/>
      <c r="L938" s="39">
        <f t="shared" si="942"/>
        <v>710</v>
      </c>
      <c r="M938" s="117">
        <v>46179</v>
      </c>
      <c r="N938" s="117">
        <v>46188</v>
      </c>
      <c r="O938" s="39"/>
      <c r="P938" s="39"/>
      <c r="Q938" s="39"/>
      <c r="R938" s="39">
        <f t="shared" si="943"/>
        <v>0</v>
      </c>
      <c r="S938" s="39" t="s">
        <v>130</v>
      </c>
      <c r="T938" s="39">
        <v>106843</v>
      </c>
      <c r="U938" s="117">
        <v>46186</v>
      </c>
      <c r="V938" s="39"/>
      <c r="W938" s="39"/>
      <c r="X938" s="39"/>
      <c r="Y938" s="39">
        <v>788</v>
      </c>
      <c r="Z938" s="39"/>
      <c r="AA938" s="39"/>
      <c r="AB938" s="119">
        <f t="shared" si="944"/>
        <v>788</v>
      </c>
      <c r="AC938" s="39"/>
      <c r="AD938" s="39"/>
      <c r="AE938" s="39"/>
      <c r="AF938" s="39"/>
      <c r="AG938" s="39"/>
      <c r="AH938" s="39">
        <f t="shared" si="918"/>
        <v>0</v>
      </c>
      <c r="AI938" s="39"/>
      <c r="AJ938" s="39"/>
      <c r="AK938" s="39"/>
      <c r="AL938" s="39"/>
      <c r="AM938" s="39"/>
      <c r="AN938" s="39">
        <f t="shared" si="917"/>
        <v>0</v>
      </c>
      <c r="AO938" s="39"/>
      <c r="AP938" s="39"/>
      <c r="AQ938" s="39"/>
      <c r="AR938" s="39"/>
      <c r="AS938" s="39"/>
      <c r="AT938" s="39">
        <f t="shared" si="891"/>
        <v>0</v>
      </c>
      <c r="AU938" s="39"/>
      <c r="AV938" s="39"/>
      <c r="AW938" s="39"/>
      <c r="AX938" s="39"/>
      <c r="AY938" s="39"/>
      <c r="AZ938" s="39">
        <f t="shared" si="892"/>
        <v>0</v>
      </c>
      <c r="BA938" s="39"/>
      <c r="BB938" s="39"/>
      <c r="BC938" s="39"/>
      <c r="BD938" s="39"/>
      <c r="BE938" s="39"/>
      <c r="BF938" s="39">
        <f t="shared" si="893"/>
        <v>0</v>
      </c>
      <c r="BG938" s="39"/>
      <c r="BH938" s="39"/>
      <c r="BI938" s="39"/>
      <c r="BJ938" s="39"/>
      <c r="BK938" s="39"/>
      <c r="BL938" s="39">
        <f t="shared" si="919"/>
        <v>0</v>
      </c>
      <c r="BM938" s="54" t="str">
        <f t="shared" si="894"/>
        <v/>
      </c>
      <c r="BN938" s="59">
        <v>46188</v>
      </c>
      <c r="BO938" s="57">
        <v>46203</v>
      </c>
      <c r="BP938" s="36"/>
      <c r="BQ938" s="36"/>
      <c r="BR938" s="233">
        <v>46189</v>
      </c>
      <c r="BS938" s="233">
        <v>46210</v>
      </c>
      <c r="BT938" s="39">
        <v>1738</v>
      </c>
      <c r="BU938" s="39">
        <v>725</v>
      </c>
      <c r="BV938" s="39"/>
      <c r="BW938" s="39"/>
      <c r="BX938" s="39"/>
      <c r="BY938" s="39"/>
      <c r="BZ938" s="39">
        <f t="shared" si="920"/>
        <v>725</v>
      </c>
      <c r="CA938" s="39">
        <f t="shared" si="895"/>
        <v>15</v>
      </c>
      <c r="CB938" s="39">
        <f t="shared" si="896"/>
        <v>0</v>
      </c>
      <c r="CC938" s="39">
        <f t="shared" si="897"/>
        <v>0</v>
      </c>
      <c r="CD938" s="39">
        <f t="shared" si="921"/>
        <v>0</v>
      </c>
      <c r="CE938" s="102">
        <f t="shared" si="898"/>
        <v>0</v>
      </c>
      <c r="CF938" s="36"/>
      <c r="CG938" s="39" t="s">
        <v>233</v>
      </c>
      <c r="CH938" s="39"/>
      <c r="CI938" s="25">
        <v>2</v>
      </c>
    </row>
    <row r="939" spans="1:87" ht="24.75" customHeight="1">
      <c r="A939" s="36" t="s">
        <v>20</v>
      </c>
      <c r="B939" s="29" t="s">
        <v>871</v>
      </c>
      <c r="C939" s="231"/>
      <c r="D939" s="36"/>
      <c r="E939" s="39">
        <v>180</v>
      </c>
      <c r="F939" s="39" t="s">
        <v>53</v>
      </c>
      <c r="G939" s="36" t="s">
        <v>21</v>
      </c>
      <c r="H939" s="39" t="s">
        <v>87</v>
      </c>
      <c r="I939" s="39">
        <v>710</v>
      </c>
      <c r="J939" s="39"/>
      <c r="K939" s="39"/>
      <c r="L939" s="39">
        <f t="shared" si="942"/>
        <v>710</v>
      </c>
      <c r="M939" s="117">
        <v>46179</v>
      </c>
      <c r="N939" s="117">
        <v>46188</v>
      </c>
      <c r="O939" s="39"/>
      <c r="P939" s="39"/>
      <c r="Q939" s="39"/>
      <c r="R939" s="39">
        <f t="shared" si="943"/>
        <v>0</v>
      </c>
      <c r="S939" s="39" t="s">
        <v>130</v>
      </c>
      <c r="T939" s="39" t="s">
        <v>1028</v>
      </c>
      <c r="U939" s="117">
        <v>46187</v>
      </c>
      <c r="V939" s="39"/>
      <c r="W939" s="39"/>
      <c r="X939" s="39"/>
      <c r="Y939" s="39">
        <f>210+607</f>
        <v>817</v>
      </c>
      <c r="Z939" s="39"/>
      <c r="AA939" s="39"/>
      <c r="AB939" s="119">
        <f t="shared" si="944"/>
        <v>817</v>
      </c>
      <c r="AC939" s="39"/>
      <c r="AD939" s="39"/>
      <c r="AE939" s="39"/>
      <c r="AF939" s="39"/>
      <c r="AG939" s="39"/>
      <c r="AH939" s="39">
        <f t="shared" si="918"/>
        <v>0</v>
      </c>
      <c r="AI939" s="39"/>
      <c r="AJ939" s="39"/>
      <c r="AK939" s="39"/>
      <c r="AL939" s="39"/>
      <c r="AM939" s="39"/>
      <c r="AN939" s="39">
        <f t="shared" si="917"/>
        <v>0</v>
      </c>
      <c r="AO939" s="39"/>
      <c r="AP939" s="39"/>
      <c r="AQ939" s="39"/>
      <c r="AR939" s="39"/>
      <c r="AS939" s="39"/>
      <c r="AT939" s="39">
        <f t="shared" si="891"/>
        <v>0</v>
      </c>
      <c r="AU939" s="39"/>
      <c r="AV939" s="39"/>
      <c r="AW939" s="39"/>
      <c r="AX939" s="39"/>
      <c r="AY939" s="39"/>
      <c r="AZ939" s="39">
        <f t="shared" si="892"/>
        <v>0</v>
      </c>
      <c r="BA939" s="39"/>
      <c r="BB939" s="39"/>
      <c r="BC939" s="39"/>
      <c r="BD939" s="39"/>
      <c r="BE939" s="39"/>
      <c r="BF939" s="39">
        <f t="shared" si="893"/>
        <v>0</v>
      </c>
      <c r="BG939" s="39"/>
      <c r="BH939" s="39"/>
      <c r="BI939" s="39"/>
      <c r="BJ939" s="39"/>
      <c r="BK939" s="39"/>
      <c r="BL939" s="39">
        <f t="shared" si="919"/>
        <v>0</v>
      </c>
      <c r="BM939" s="54" t="str">
        <f t="shared" si="894"/>
        <v/>
      </c>
      <c r="BN939" s="59">
        <v>46188</v>
      </c>
      <c r="BO939" s="57">
        <v>46203</v>
      </c>
      <c r="BP939" s="36"/>
      <c r="BQ939" s="36"/>
      <c r="BR939" s="250"/>
      <c r="BS939" s="250"/>
      <c r="BT939" s="39">
        <v>1738</v>
      </c>
      <c r="BU939" s="39">
        <f>552+202</f>
        <v>754</v>
      </c>
      <c r="BV939" s="39"/>
      <c r="BW939" s="39"/>
      <c r="BX939" s="39"/>
      <c r="BY939" s="39"/>
      <c r="BZ939" s="39">
        <f t="shared" si="920"/>
        <v>754</v>
      </c>
      <c r="CA939" s="39">
        <f t="shared" si="895"/>
        <v>44</v>
      </c>
      <c r="CB939" s="39">
        <f t="shared" si="896"/>
        <v>0</v>
      </c>
      <c r="CC939" s="39">
        <f t="shared" si="897"/>
        <v>0</v>
      </c>
      <c r="CD939" s="39">
        <f t="shared" si="921"/>
        <v>0</v>
      </c>
      <c r="CE939" s="102">
        <f t="shared" si="898"/>
        <v>0</v>
      </c>
      <c r="CF939" s="36"/>
      <c r="CG939" s="39" t="s">
        <v>233</v>
      </c>
      <c r="CH939" s="39"/>
      <c r="CI939" s="25">
        <v>2</v>
      </c>
    </row>
    <row r="940" spans="1:87" ht="24.75" customHeight="1">
      <c r="A940" s="36" t="s">
        <v>20</v>
      </c>
      <c r="B940" s="29" t="s">
        <v>871</v>
      </c>
      <c r="C940" s="231"/>
      <c r="D940" s="36"/>
      <c r="E940" s="39">
        <v>180</v>
      </c>
      <c r="F940" s="39" t="s">
        <v>53</v>
      </c>
      <c r="G940" s="36" t="s">
        <v>187</v>
      </c>
      <c r="H940" s="39" t="s">
        <v>87</v>
      </c>
      <c r="I940" s="39">
        <v>710</v>
      </c>
      <c r="J940" s="39"/>
      <c r="K940" s="39"/>
      <c r="L940" s="39">
        <f t="shared" si="942"/>
        <v>710</v>
      </c>
      <c r="M940" s="117">
        <v>46179</v>
      </c>
      <c r="N940" s="117">
        <v>46188</v>
      </c>
      <c r="O940" s="39"/>
      <c r="P940" s="39"/>
      <c r="Q940" s="39"/>
      <c r="R940" s="39">
        <f t="shared" si="943"/>
        <v>0</v>
      </c>
      <c r="S940" s="39" t="s">
        <v>130</v>
      </c>
      <c r="T940" s="39" t="s">
        <v>1027</v>
      </c>
      <c r="U940" s="117">
        <v>46187</v>
      </c>
      <c r="V940" s="39"/>
      <c r="W940" s="39"/>
      <c r="X940" s="39"/>
      <c r="Y940" s="39">
        <f>73+737</f>
        <v>810</v>
      </c>
      <c r="Z940" s="39"/>
      <c r="AA940" s="39"/>
      <c r="AB940" s="119">
        <f t="shared" si="944"/>
        <v>810</v>
      </c>
      <c r="AC940" s="39"/>
      <c r="AD940" s="39"/>
      <c r="AE940" s="39"/>
      <c r="AF940" s="39"/>
      <c r="AG940" s="39"/>
      <c r="AH940" s="39">
        <f t="shared" si="918"/>
        <v>0</v>
      </c>
      <c r="AI940" s="39"/>
      <c r="AJ940" s="39"/>
      <c r="AK940" s="39"/>
      <c r="AL940" s="39"/>
      <c r="AM940" s="39"/>
      <c r="AN940" s="39">
        <f t="shared" si="917"/>
        <v>0</v>
      </c>
      <c r="AO940" s="39"/>
      <c r="AP940" s="39"/>
      <c r="AQ940" s="39"/>
      <c r="AR940" s="39"/>
      <c r="AS940" s="39"/>
      <c r="AT940" s="39">
        <f t="shared" si="891"/>
        <v>0</v>
      </c>
      <c r="AU940" s="39"/>
      <c r="AV940" s="39"/>
      <c r="AW940" s="39"/>
      <c r="AX940" s="39"/>
      <c r="AY940" s="39"/>
      <c r="AZ940" s="39">
        <f t="shared" si="892"/>
        <v>0</v>
      </c>
      <c r="BA940" s="39"/>
      <c r="BB940" s="39"/>
      <c r="BC940" s="39"/>
      <c r="BD940" s="39"/>
      <c r="BE940" s="39"/>
      <c r="BF940" s="39">
        <f t="shared" si="893"/>
        <v>0</v>
      </c>
      <c r="BG940" s="39"/>
      <c r="BH940" s="39"/>
      <c r="BI940" s="39"/>
      <c r="BJ940" s="39"/>
      <c r="BK940" s="39"/>
      <c r="BL940" s="39">
        <f t="shared" si="919"/>
        <v>0</v>
      </c>
      <c r="BM940" s="54" t="str">
        <f t="shared" si="894"/>
        <v/>
      </c>
      <c r="BN940" s="59">
        <v>46188</v>
      </c>
      <c r="BO940" s="57">
        <v>46203</v>
      </c>
      <c r="BP940" s="36"/>
      <c r="BQ940" s="36"/>
      <c r="BR940" s="250"/>
      <c r="BS940" s="250"/>
      <c r="BT940" s="39" t="s">
        <v>1110</v>
      </c>
      <c r="BU940" s="39">
        <f>657+67</f>
        <v>724</v>
      </c>
      <c r="BV940" s="39"/>
      <c r="BW940" s="39"/>
      <c r="BX940" s="39"/>
      <c r="BY940" s="39"/>
      <c r="BZ940" s="39">
        <f t="shared" si="920"/>
        <v>724</v>
      </c>
      <c r="CA940" s="39">
        <f t="shared" si="895"/>
        <v>14</v>
      </c>
      <c r="CB940" s="39">
        <f t="shared" si="896"/>
        <v>0</v>
      </c>
      <c r="CC940" s="39">
        <f t="shared" si="897"/>
        <v>0</v>
      </c>
      <c r="CD940" s="39">
        <f t="shared" si="921"/>
        <v>0</v>
      </c>
      <c r="CE940" s="102">
        <f t="shared" si="898"/>
        <v>0</v>
      </c>
      <c r="CF940" s="36"/>
      <c r="CG940" s="39" t="s">
        <v>233</v>
      </c>
      <c r="CH940" s="39"/>
      <c r="CI940" s="25">
        <v>2</v>
      </c>
    </row>
    <row r="941" spans="1:87" ht="24.75" customHeight="1">
      <c r="A941" s="36" t="s">
        <v>20</v>
      </c>
      <c r="B941" s="29" t="s">
        <v>871</v>
      </c>
      <c r="C941" s="231"/>
      <c r="D941" s="36"/>
      <c r="E941" s="39">
        <v>180</v>
      </c>
      <c r="F941" s="39" t="s">
        <v>53</v>
      </c>
      <c r="G941" s="36" t="s">
        <v>41</v>
      </c>
      <c r="H941" s="39" t="s">
        <v>87</v>
      </c>
      <c r="I941" s="39">
        <v>360</v>
      </c>
      <c r="J941" s="39"/>
      <c r="K941" s="39"/>
      <c r="L941" s="39">
        <f t="shared" si="942"/>
        <v>360</v>
      </c>
      <c r="M941" s="117">
        <v>46179</v>
      </c>
      <c r="N941" s="117">
        <v>46188</v>
      </c>
      <c r="O941" s="39"/>
      <c r="P941" s="39"/>
      <c r="Q941" s="39"/>
      <c r="R941" s="39">
        <f t="shared" si="943"/>
        <v>0</v>
      </c>
      <c r="S941" s="39" t="s">
        <v>270</v>
      </c>
      <c r="T941" s="39"/>
      <c r="U941" s="39"/>
      <c r="V941" s="117">
        <v>46184</v>
      </c>
      <c r="W941" s="39">
        <v>422</v>
      </c>
      <c r="X941" s="117">
        <v>46209</v>
      </c>
      <c r="Y941" s="39">
        <v>385</v>
      </c>
      <c r="Z941" s="39"/>
      <c r="AA941" s="39"/>
      <c r="AB941" s="119">
        <f t="shared" si="944"/>
        <v>385</v>
      </c>
      <c r="AC941" s="39"/>
      <c r="AD941" s="39"/>
      <c r="AE941" s="39"/>
      <c r="AF941" s="39"/>
      <c r="AG941" s="39"/>
      <c r="AH941" s="39">
        <f t="shared" si="918"/>
        <v>0</v>
      </c>
      <c r="AI941" s="39"/>
      <c r="AJ941" s="39"/>
      <c r="AK941" s="39"/>
      <c r="AL941" s="39"/>
      <c r="AM941" s="39"/>
      <c r="AN941" s="39">
        <f t="shared" si="917"/>
        <v>0</v>
      </c>
      <c r="AO941" s="39"/>
      <c r="AP941" s="39"/>
      <c r="AQ941" s="39"/>
      <c r="AR941" s="39"/>
      <c r="AS941" s="39"/>
      <c r="AT941" s="39">
        <f t="shared" si="891"/>
        <v>0</v>
      </c>
      <c r="AU941" s="39"/>
      <c r="AV941" s="39"/>
      <c r="AW941" s="39"/>
      <c r="AX941" s="39"/>
      <c r="AY941" s="39"/>
      <c r="AZ941" s="39">
        <f t="shared" si="892"/>
        <v>0</v>
      </c>
      <c r="BA941" s="39"/>
      <c r="BB941" s="39"/>
      <c r="BC941" s="39"/>
      <c r="BD941" s="39"/>
      <c r="BE941" s="39"/>
      <c r="BF941" s="39">
        <f t="shared" si="893"/>
        <v>0</v>
      </c>
      <c r="BG941" s="39"/>
      <c r="BH941" s="39"/>
      <c r="BI941" s="39"/>
      <c r="BJ941" s="39"/>
      <c r="BK941" s="39"/>
      <c r="BL941" s="39">
        <f t="shared" si="919"/>
        <v>0</v>
      </c>
      <c r="BM941" s="54" t="str">
        <f t="shared" si="894"/>
        <v/>
      </c>
      <c r="BN941" s="59">
        <v>46188</v>
      </c>
      <c r="BO941" s="57">
        <v>46203</v>
      </c>
      <c r="BP941" s="36"/>
      <c r="BQ941" s="36"/>
      <c r="BR941" s="250"/>
      <c r="BS941" s="250"/>
      <c r="BT941" s="39">
        <v>1522</v>
      </c>
      <c r="BU941" s="39">
        <v>385</v>
      </c>
      <c r="BV941" s="39"/>
      <c r="BW941" s="39"/>
      <c r="BX941" s="39"/>
      <c r="BY941" s="39"/>
      <c r="BZ941" s="39">
        <f t="shared" si="920"/>
        <v>385</v>
      </c>
      <c r="CA941" s="39">
        <f t="shared" si="895"/>
        <v>25</v>
      </c>
      <c r="CB941" s="39">
        <f t="shared" si="896"/>
        <v>0</v>
      </c>
      <c r="CC941" s="39">
        <f t="shared" si="897"/>
        <v>0</v>
      </c>
      <c r="CD941" s="39">
        <f t="shared" si="921"/>
        <v>0</v>
      </c>
      <c r="CE941" s="102">
        <f t="shared" si="898"/>
        <v>0</v>
      </c>
      <c r="CF941" s="36"/>
      <c r="CG941" s="39" t="s">
        <v>233</v>
      </c>
      <c r="CH941" s="39"/>
      <c r="CI941" s="25">
        <v>2</v>
      </c>
    </row>
    <row r="942" spans="1:87" ht="24.75" customHeight="1">
      <c r="A942" s="36" t="s">
        <v>20</v>
      </c>
      <c r="B942" s="29" t="s">
        <v>871</v>
      </c>
      <c r="C942" s="231"/>
      <c r="D942" s="36"/>
      <c r="E942" s="39">
        <v>180</v>
      </c>
      <c r="F942" s="39" t="s">
        <v>53</v>
      </c>
      <c r="G942" s="36" t="s">
        <v>192</v>
      </c>
      <c r="H942" s="39" t="s">
        <v>87</v>
      </c>
      <c r="I942" s="39">
        <v>360</v>
      </c>
      <c r="J942" s="39"/>
      <c r="K942" s="39"/>
      <c r="L942" s="39">
        <f t="shared" si="942"/>
        <v>360</v>
      </c>
      <c r="M942" s="117">
        <v>46179</v>
      </c>
      <c r="N942" s="117">
        <v>46188</v>
      </c>
      <c r="O942" s="39"/>
      <c r="P942" s="39"/>
      <c r="Q942" s="39"/>
      <c r="R942" s="39">
        <f t="shared" si="943"/>
        <v>0</v>
      </c>
      <c r="S942" s="39" t="s">
        <v>130</v>
      </c>
      <c r="T942" s="39">
        <v>107044</v>
      </c>
      <c r="U942" s="117">
        <v>46192</v>
      </c>
      <c r="V942" s="39"/>
      <c r="W942" s="39"/>
      <c r="X942" s="39"/>
      <c r="Y942" s="39">
        <v>416</v>
      </c>
      <c r="Z942" s="39"/>
      <c r="AA942" s="39"/>
      <c r="AB942" s="119">
        <f t="shared" si="944"/>
        <v>416</v>
      </c>
      <c r="AC942" s="39"/>
      <c r="AD942" s="39"/>
      <c r="AE942" s="39"/>
      <c r="AF942" s="39"/>
      <c r="AG942" s="39"/>
      <c r="AH942" s="39">
        <f t="shared" si="918"/>
        <v>0</v>
      </c>
      <c r="AI942" s="39"/>
      <c r="AJ942" s="39"/>
      <c r="AK942" s="39"/>
      <c r="AL942" s="39"/>
      <c r="AM942" s="39"/>
      <c r="AN942" s="39">
        <f t="shared" si="917"/>
        <v>0</v>
      </c>
      <c r="AO942" s="39"/>
      <c r="AP942" s="39"/>
      <c r="AQ942" s="39"/>
      <c r="AR942" s="39"/>
      <c r="AS942" s="39"/>
      <c r="AT942" s="39">
        <f t="shared" si="891"/>
        <v>0</v>
      </c>
      <c r="AU942" s="39"/>
      <c r="AV942" s="39"/>
      <c r="AW942" s="39"/>
      <c r="AX942" s="39"/>
      <c r="AY942" s="39"/>
      <c r="AZ942" s="39">
        <f t="shared" si="892"/>
        <v>0</v>
      </c>
      <c r="BA942" s="39"/>
      <c r="BB942" s="39"/>
      <c r="BC942" s="39"/>
      <c r="BD942" s="39"/>
      <c r="BE942" s="39"/>
      <c r="BF942" s="39">
        <f t="shared" si="893"/>
        <v>0</v>
      </c>
      <c r="BG942" s="39"/>
      <c r="BH942" s="39"/>
      <c r="BI942" s="39"/>
      <c r="BJ942" s="39"/>
      <c r="BK942" s="39"/>
      <c r="BL942" s="39">
        <f t="shared" si="919"/>
        <v>0</v>
      </c>
      <c r="BM942" s="54" t="str">
        <f t="shared" si="894"/>
        <v/>
      </c>
      <c r="BN942" s="59">
        <v>46188</v>
      </c>
      <c r="BO942" s="57">
        <v>46203</v>
      </c>
      <c r="BP942" s="36"/>
      <c r="BQ942" s="36"/>
      <c r="BR942" s="250"/>
      <c r="BS942" s="250"/>
      <c r="BT942" s="39">
        <v>2103</v>
      </c>
      <c r="BU942" s="39">
        <v>366</v>
      </c>
      <c r="BV942" s="39"/>
      <c r="BW942" s="39"/>
      <c r="BX942" s="39"/>
      <c r="BY942" s="39"/>
      <c r="BZ942" s="39">
        <f t="shared" si="920"/>
        <v>366</v>
      </c>
      <c r="CA942" s="39">
        <f t="shared" si="895"/>
        <v>6</v>
      </c>
      <c r="CB942" s="39">
        <f t="shared" si="896"/>
        <v>0</v>
      </c>
      <c r="CC942" s="39">
        <f t="shared" si="897"/>
        <v>0</v>
      </c>
      <c r="CD942" s="39">
        <f t="shared" si="921"/>
        <v>0</v>
      </c>
      <c r="CE942" s="102">
        <f t="shared" si="898"/>
        <v>0</v>
      </c>
      <c r="CF942" s="36"/>
      <c r="CG942" s="39" t="s">
        <v>233</v>
      </c>
      <c r="CH942" s="39" t="s">
        <v>764</v>
      </c>
      <c r="CI942" s="25">
        <v>2</v>
      </c>
    </row>
    <row r="943" spans="1:87" ht="24.75" customHeight="1">
      <c r="A943" s="36" t="s">
        <v>20</v>
      </c>
      <c r="B943" s="29" t="s">
        <v>871</v>
      </c>
      <c r="C943" s="228"/>
      <c r="D943" s="36"/>
      <c r="E943" s="39">
        <v>180</v>
      </c>
      <c r="F943" s="39" t="s">
        <v>53</v>
      </c>
      <c r="G943" s="36" t="s">
        <v>437</v>
      </c>
      <c r="H943" s="39" t="s">
        <v>87</v>
      </c>
      <c r="I943" s="39">
        <v>360</v>
      </c>
      <c r="J943" s="39"/>
      <c r="K943" s="39"/>
      <c r="L943" s="39">
        <f t="shared" si="942"/>
        <v>360</v>
      </c>
      <c r="M943" s="117">
        <v>46179</v>
      </c>
      <c r="N943" s="117">
        <v>46188</v>
      </c>
      <c r="O943" s="39"/>
      <c r="P943" s="39"/>
      <c r="Q943" s="39"/>
      <c r="R943" s="39">
        <f t="shared" si="943"/>
        <v>0</v>
      </c>
      <c r="S943" s="39" t="s">
        <v>130</v>
      </c>
      <c r="T943" s="39">
        <v>107508</v>
      </c>
      <c r="U943" s="117">
        <v>46208</v>
      </c>
      <c r="V943" s="39"/>
      <c r="W943" s="39"/>
      <c r="X943" s="39"/>
      <c r="Y943" s="39">
        <v>415</v>
      </c>
      <c r="Z943" s="39"/>
      <c r="AA943" s="39"/>
      <c r="AB943" s="119">
        <f t="shared" si="944"/>
        <v>415</v>
      </c>
      <c r="AC943" s="39"/>
      <c r="AD943" s="39"/>
      <c r="AE943" s="39"/>
      <c r="AF943" s="39"/>
      <c r="AG943" s="39"/>
      <c r="AH943" s="39">
        <f t="shared" si="918"/>
        <v>0</v>
      </c>
      <c r="AI943" s="39"/>
      <c r="AJ943" s="39"/>
      <c r="AK943" s="39"/>
      <c r="AL943" s="39"/>
      <c r="AM943" s="39"/>
      <c r="AN943" s="39">
        <f t="shared" si="917"/>
        <v>0</v>
      </c>
      <c r="AO943" s="39"/>
      <c r="AP943" s="39"/>
      <c r="AQ943" s="39"/>
      <c r="AR943" s="39"/>
      <c r="AS943" s="39"/>
      <c r="AT943" s="39">
        <f t="shared" si="891"/>
        <v>0</v>
      </c>
      <c r="AU943" s="39"/>
      <c r="AV943" s="39"/>
      <c r="AW943" s="39"/>
      <c r="AX943" s="39"/>
      <c r="AY943" s="39"/>
      <c r="AZ943" s="39">
        <f t="shared" si="892"/>
        <v>0</v>
      </c>
      <c r="BA943" s="39"/>
      <c r="BB943" s="39"/>
      <c r="BC943" s="39"/>
      <c r="BD943" s="39"/>
      <c r="BE943" s="39"/>
      <c r="BF943" s="39">
        <f t="shared" si="893"/>
        <v>0</v>
      </c>
      <c r="BG943" s="39"/>
      <c r="BH943" s="39"/>
      <c r="BI943" s="39"/>
      <c r="BJ943" s="39"/>
      <c r="BK943" s="39"/>
      <c r="BL943" s="39">
        <f t="shared" si="919"/>
        <v>0</v>
      </c>
      <c r="BM943" s="54" t="str">
        <f t="shared" si="894"/>
        <v/>
      </c>
      <c r="BN943" s="59">
        <v>46188</v>
      </c>
      <c r="BO943" s="57">
        <v>46203</v>
      </c>
      <c r="BP943" s="36"/>
      <c r="BQ943" s="36"/>
      <c r="BR943" s="234"/>
      <c r="BS943" s="234"/>
      <c r="BT943" s="39">
        <v>1575</v>
      </c>
      <c r="BU943" s="39">
        <v>366</v>
      </c>
      <c r="BV943" s="39"/>
      <c r="BW943" s="39"/>
      <c r="BX943" s="39"/>
      <c r="BY943" s="39"/>
      <c r="BZ943" s="39">
        <f t="shared" si="920"/>
        <v>366</v>
      </c>
      <c r="CA943" s="39">
        <f t="shared" si="895"/>
        <v>6</v>
      </c>
      <c r="CB943" s="39">
        <f t="shared" si="896"/>
        <v>0</v>
      </c>
      <c r="CC943" s="39">
        <f t="shared" si="897"/>
        <v>0</v>
      </c>
      <c r="CD943" s="39">
        <f t="shared" si="921"/>
        <v>0</v>
      </c>
      <c r="CE943" s="102">
        <f t="shared" si="898"/>
        <v>0</v>
      </c>
      <c r="CF943" s="36"/>
      <c r="CG943" s="39" t="s">
        <v>233</v>
      </c>
      <c r="CH943" s="39"/>
      <c r="CI943" s="25">
        <v>2</v>
      </c>
    </row>
    <row r="944" spans="1:87" ht="24.75" customHeight="1">
      <c r="A944" s="36" t="s">
        <v>20</v>
      </c>
      <c r="B944" s="29" t="s">
        <v>872</v>
      </c>
      <c r="C944" s="227" t="s">
        <v>873</v>
      </c>
      <c r="D944" s="36"/>
      <c r="E944" s="39">
        <v>180</v>
      </c>
      <c r="F944" s="39" t="s">
        <v>58</v>
      </c>
      <c r="G944" s="36" t="s">
        <v>23</v>
      </c>
      <c r="H944" s="39" t="s">
        <v>87</v>
      </c>
      <c r="I944" s="39">
        <v>1556</v>
      </c>
      <c r="J944" s="39"/>
      <c r="K944" s="39"/>
      <c r="L944" s="39">
        <f t="shared" si="942"/>
        <v>1556</v>
      </c>
      <c r="M944" s="117">
        <v>46179</v>
      </c>
      <c r="N944" s="117">
        <v>46188</v>
      </c>
      <c r="O944" s="39"/>
      <c r="P944" s="39"/>
      <c r="Q944" s="39"/>
      <c r="R944" s="39">
        <f t="shared" si="943"/>
        <v>0</v>
      </c>
      <c r="S944" s="39" t="s">
        <v>130</v>
      </c>
      <c r="T944" s="39" t="s">
        <v>1117</v>
      </c>
      <c r="U944" s="117" t="s">
        <v>1118</v>
      </c>
      <c r="V944" s="39"/>
      <c r="W944" s="39"/>
      <c r="X944" s="39"/>
      <c r="Y944" s="39">
        <f>1153+358+203</f>
        <v>1714</v>
      </c>
      <c r="Z944" s="39"/>
      <c r="AA944" s="39"/>
      <c r="AB944" s="119">
        <f t="shared" si="944"/>
        <v>1714</v>
      </c>
      <c r="AC944" s="39"/>
      <c r="AD944" s="39"/>
      <c r="AE944" s="39"/>
      <c r="AF944" s="39"/>
      <c r="AG944" s="39"/>
      <c r="AH944" s="39">
        <f t="shared" si="918"/>
        <v>0</v>
      </c>
      <c r="AI944" s="39"/>
      <c r="AJ944" s="39"/>
      <c r="AK944" s="39"/>
      <c r="AL944" s="39"/>
      <c r="AM944" s="39"/>
      <c r="AN944" s="39">
        <f t="shared" si="917"/>
        <v>0</v>
      </c>
      <c r="AO944" s="39"/>
      <c r="AP944" s="39"/>
      <c r="AQ944" s="39"/>
      <c r="AR944" s="39"/>
      <c r="AS944" s="39"/>
      <c r="AT944" s="39">
        <f t="shared" si="891"/>
        <v>0</v>
      </c>
      <c r="AU944" s="39"/>
      <c r="AV944" s="39"/>
      <c r="AW944" s="39"/>
      <c r="AX944" s="39"/>
      <c r="AY944" s="39"/>
      <c r="AZ944" s="39">
        <f t="shared" si="892"/>
        <v>0</v>
      </c>
      <c r="BA944" s="39"/>
      <c r="BB944" s="39"/>
      <c r="BC944" s="39"/>
      <c r="BD944" s="39"/>
      <c r="BE944" s="39"/>
      <c r="BF944" s="39">
        <f t="shared" si="893"/>
        <v>0</v>
      </c>
      <c r="BG944" s="39"/>
      <c r="BH944" s="39"/>
      <c r="BI944" s="39"/>
      <c r="BJ944" s="39"/>
      <c r="BK944" s="39"/>
      <c r="BL944" s="39">
        <f t="shared" si="919"/>
        <v>0</v>
      </c>
      <c r="BM944" s="54" t="str">
        <f t="shared" si="894"/>
        <v/>
      </c>
      <c r="BN944" s="59">
        <v>46188</v>
      </c>
      <c r="BO944" s="57">
        <v>46202</v>
      </c>
      <c r="BP944" s="36"/>
      <c r="BQ944" s="36"/>
      <c r="BR944" s="229">
        <v>46185</v>
      </c>
      <c r="BS944" s="229">
        <v>46204</v>
      </c>
      <c r="BT944" s="39" t="s">
        <v>1293</v>
      </c>
      <c r="BU944" s="39">
        <f>1061+330+159</f>
        <v>1550</v>
      </c>
      <c r="BV944" s="39"/>
      <c r="BW944" s="39"/>
      <c r="BX944" s="39"/>
      <c r="BY944" s="39"/>
      <c r="BZ944" s="39">
        <f t="shared" si="920"/>
        <v>1550</v>
      </c>
      <c r="CA944" s="39">
        <f t="shared" si="895"/>
        <v>-6</v>
      </c>
      <c r="CB944" s="39">
        <f t="shared" si="896"/>
        <v>0</v>
      </c>
      <c r="CC944" s="39">
        <f t="shared" si="897"/>
        <v>0</v>
      </c>
      <c r="CD944" s="39">
        <v>0</v>
      </c>
      <c r="CE944" s="102">
        <f t="shared" si="898"/>
        <v>0</v>
      </c>
      <c r="CF944" s="36"/>
      <c r="CG944" s="39" t="s">
        <v>233</v>
      </c>
      <c r="CH944" s="39" t="s">
        <v>1294</v>
      </c>
      <c r="CI944" s="25">
        <v>2</v>
      </c>
    </row>
    <row r="945" spans="1:87" ht="24.75" customHeight="1">
      <c r="A945" s="36" t="s">
        <v>20</v>
      </c>
      <c r="B945" s="29" t="s">
        <v>872</v>
      </c>
      <c r="C945" s="228"/>
      <c r="D945" s="36"/>
      <c r="E945" s="39">
        <v>180</v>
      </c>
      <c r="F945" s="39" t="s">
        <v>58</v>
      </c>
      <c r="G945" s="36" t="s">
        <v>21</v>
      </c>
      <c r="H945" s="39" t="s">
        <v>87</v>
      </c>
      <c r="I945" s="39">
        <v>438</v>
      </c>
      <c r="J945" s="39"/>
      <c r="K945" s="39"/>
      <c r="L945" s="39">
        <f t="shared" si="942"/>
        <v>438</v>
      </c>
      <c r="M945" s="117">
        <v>46179</v>
      </c>
      <c r="N945" s="117">
        <v>46188</v>
      </c>
      <c r="O945" s="39"/>
      <c r="P945" s="39"/>
      <c r="Q945" s="39"/>
      <c r="R945" s="39">
        <f t="shared" si="943"/>
        <v>0</v>
      </c>
      <c r="S945" s="39" t="s">
        <v>130</v>
      </c>
      <c r="T945" s="39">
        <v>106940</v>
      </c>
      <c r="U945" s="117">
        <v>46187</v>
      </c>
      <c r="V945" s="39"/>
      <c r="W945" s="39"/>
      <c r="X945" s="39"/>
      <c r="Y945" s="39">
        <v>504</v>
      </c>
      <c r="Z945" s="39"/>
      <c r="AA945" s="39"/>
      <c r="AB945" s="119">
        <f t="shared" si="944"/>
        <v>504</v>
      </c>
      <c r="AC945" s="39"/>
      <c r="AD945" s="39"/>
      <c r="AE945" s="39"/>
      <c r="AF945" s="39"/>
      <c r="AG945" s="39"/>
      <c r="AH945" s="39">
        <f t="shared" si="918"/>
        <v>0</v>
      </c>
      <c r="AI945" s="39"/>
      <c r="AJ945" s="39"/>
      <c r="AK945" s="39"/>
      <c r="AL945" s="39"/>
      <c r="AM945" s="39"/>
      <c r="AN945" s="39">
        <f t="shared" si="917"/>
        <v>0</v>
      </c>
      <c r="AO945" s="39"/>
      <c r="AP945" s="39"/>
      <c r="AQ945" s="39"/>
      <c r="AR945" s="39"/>
      <c r="AS945" s="39"/>
      <c r="AT945" s="39">
        <f t="shared" si="891"/>
        <v>0</v>
      </c>
      <c r="AU945" s="39"/>
      <c r="AV945" s="39"/>
      <c r="AW945" s="39"/>
      <c r="AX945" s="39"/>
      <c r="AY945" s="39"/>
      <c r="AZ945" s="39">
        <f t="shared" si="892"/>
        <v>0</v>
      </c>
      <c r="BA945" s="39"/>
      <c r="BB945" s="39"/>
      <c r="BC945" s="39"/>
      <c r="BD945" s="39"/>
      <c r="BE945" s="39"/>
      <c r="BF945" s="39">
        <f t="shared" si="893"/>
        <v>0</v>
      </c>
      <c r="BG945" s="39"/>
      <c r="BH945" s="39"/>
      <c r="BI945" s="39"/>
      <c r="BJ945" s="39"/>
      <c r="BK945" s="39"/>
      <c r="BL945" s="39">
        <f t="shared" si="919"/>
        <v>0</v>
      </c>
      <c r="BM945" s="54" t="str">
        <f t="shared" si="894"/>
        <v/>
      </c>
      <c r="BN945" s="59">
        <v>46188</v>
      </c>
      <c r="BO945" s="57">
        <v>46202</v>
      </c>
      <c r="BP945" s="36"/>
      <c r="BQ945" s="36"/>
      <c r="BR945" s="230"/>
      <c r="BS945" s="230"/>
      <c r="BT945" s="39" t="s">
        <v>1054</v>
      </c>
      <c r="BU945" s="39">
        <f>346+104</f>
        <v>450</v>
      </c>
      <c r="BV945" s="39"/>
      <c r="BW945" s="39"/>
      <c r="BX945" s="39"/>
      <c r="BY945" s="39"/>
      <c r="BZ945" s="39">
        <f t="shared" si="920"/>
        <v>450</v>
      </c>
      <c r="CA945" s="39">
        <f t="shared" si="895"/>
        <v>12</v>
      </c>
      <c r="CB945" s="39">
        <f t="shared" si="896"/>
        <v>0</v>
      </c>
      <c r="CC945" s="39">
        <f t="shared" si="897"/>
        <v>0</v>
      </c>
      <c r="CD945" s="39">
        <f t="shared" si="921"/>
        <v>0</v>
      </c>
      <c r="CE945" s="102">
        <f t="shared" si="898"/>
        <v>0</v>
      </c>
      <c r="CF945" s="36"/>
      <c r="CG945" s="39" t="s">
        <v>233</v>
      </c>
      <c r="CH945" s="39"/>
      <c r="CI945" s="25">
        <v>2</v>
      </c>
    </row>
    <row r="946" spans="1:87" ht="24.75" customHeight="1">
      <c r="A946" s="36" t="s">
        <v>20</v>
      </c>
      <c r="B946" s="29" t="s">
        <v>874</v>
      </c>
      <c r="C946" s="227" t="s">
        <v>720</v>
      </c>
      <c r="D946" s="36"/>
      <c r="E946" s="39">
        <v>180</v>
      </c>
      <c r="F946" s="39" t="s">
        <v>58</v>
      </c>
      <c r="G946" s="36" t="s">
        <v>23</v>
      </c>
      <c r="H946" s="39" t="s">
        <v>87</v>
      </c>
      <c r="I946" s="39">
        <v>350</v>
      </c>
      <c r="J946" s="39"/>
      <c r="K946" s="39"/>
      <c r="L946" s="39">
        <f t="shared" si="942"/>
        <v>350</v>
      </c>
      <c r="M946" s="117">
        <v>46178</v>
      </c>
      <c r="N946" s="117">
        <v>46188</v>
      </c>
      <c r="O946" s="39"/>
      <c r="P946" s="39"/>
      <c r="Q946" s="39"/>
      <c r="R946" s="39">
        <f t="shared" si="943"/>
        <v>0</v>
      </c>
      <c r="S946" s="39" t="s">
        <v>130</v>
      </c>
      <c r="T946" s="39">
        <v>106876</v>
      </c>
      <c r="U946" s="117">
        <v>46193</v>
      </c>
      <c r="V946" s="39"/>
      <c r="W946" s="39"/>
      <c r="X946" s="39"/>
      <c r="Y946" s="39">
        <v>404</v>
      </c>
      <c r="Z946" s="39"/>
      <c r="AA946" s="39"/>
      <c r="AB946" s="119">
        <f t="shared" si="944"/>
        <v>404</v>
      </c>
      <c r="AC946" s="39"/>
      <c r="AD946" s="39"/>
      <c r="AE946" s="39"/>
      <c r="AF946" s="39"/>
      <c r="AG946" s="39"/>
      <c r="AH946" s="39">
        <f t="shared" si="918"/>
        <v>0</v>
      </c>
      <c r="AI946" s="39"/>
      <c r="AJ946" s="39"/>
      <c r="AK946" s="39"/>
      <c r="AL946" s="39"/>
      <c r="AM946" s="39"/>
      <c r="AN946" s="39">
        <f t="shared" si="917"/>
        <v>0</v>
      </c>
      <c r="AO946" s="39"/>
      <c r="AP946" s="39"/>
      <c r="AQ946" s="39"/>
      <c r="AR946" s="39"/>
      <c r="AS946" s="39"/>
      <c r="AT946" s="39">
        <f t="shared" si="891"/>
        <v>0</v>
      </c>
      <c r="AU946" s="39"/>
      <c r="AV946" s="39"/>
      <c r="AW946" s="39"/>
      <c r="AX946" s="39"/>
      <c r="AY946" s="39"/>
      <c r="AZ946" s="39">
        <f t="shared" si="892"/>
        <v>0</v>
      </c>
      <c r="BA946" s="39"/>
      <c r="BB946" s="39"/>
      <c r="BC946" s="39"/>
      <c r="BD946" s="39"/>
      <c r="BE946" s="39"/>
      <c r="BF946" s="39">
        <f t="shared" si="893"/>
        <v>0</v>
      </c>
      <c r="BG946" s="39"/>
      <c r="BH946" s="39"/>
      <c r="BI946" s="39"/>
      <c r="BJ946" s="39"/>
      <c r="BK946" s="39"/>
      <c r="BL946" s="39">
        <f t="shared" si="919"/>
        <v>0</v>
      </c>
      <c r="BM946" s="54">
        <f t="shared" ca="1" si="894"/>
        <v>90</v>
      </c>
      <c r="BN946" s="59">
        <v>46188</v>
      </c>
      <c r="BO946" s="57">
        <v>46203</v>
      </c>
      <c r="BP946" s="36"/>
      <c r="BQ946" s="36"/>
      <c r="BR946" s="229">
        <v>46195</v>
      </c>
      <c r="BS946" s="243"/>
      <c r="BT946" s="39">
        <v>2103</v>
      </c>
      <c r="BU946" s="39">
        <f>311</f>
        <v>311</v>
      </c>
      <c r="BV946" s="39"/>
      <c r="BW946" s="39"/>
      <c r="BX946" s="39"/>
      <c r="BY946" s="39"/>
      <c r="BZ946" s="39">
        <f t="shared" si="920"/>
        <v>311</v>
      </c>
      <c r="CA946" s="39">
        <f t="shared" si="895"/>
        <v>-39</v>
      </c>
      <c r="CB946" s="39">
        <f t="shared" si="896"/>
        <v>0</v>
      </c>
      <c r="CC946" s="39">
        <f t="shared" si="897"/>
        <v>0</v>
      </c>
      <c r="CD946" s="39">
        <f t="shared" si="921"/>
        <v>-39</v>
      </c>
      <c r="CE946" s="102">
        <f t="shared" si="898"/>
        <v>-0.11142857142857143</v>
      </c>
      <c r="CF946" s="36"/>
      <c r="CG946" s="39" t="s">
        <v>233</v>
      </c>
      <c r="CH946" s="39" t="s">
        <v>1130</v>
      </c>
      <c r="CI946" s="25">
        <v>2</v>
      </c>
    </row>
    <row r="947" spans="1:87" ht="24.75" customHeight="1">
      <c r="A947" s="36" t="s">
        <v>20</v>
      </c>
      <c r="B947" s="29" t="s">
        <v>874</v>
      </c>
      <c r="C947" s="231"/>
      <c r="D947" s="36"/>
      <c r="E947" s="39">
        <v>180</v>
      </c>
      <c r="F947" s="39" t="s">
        <v>58</v>
      </c>
      <c r="G947" s="36" t="s">
        <v>21</v>
      </c>
      <c r="H947" s="39" t="s">
        <v>87</v>
      </c>
      <c r="I947" s="39">
        <v>505</v>
      </c>
      <c r="J947" s="39"/>
      <c r="K947" s="39"/>
      <c r="L947" s="39">
        <f t="shared" si="942"/>
        <v>505</v>
      </c>
      <c r="M947" s="117">
        <v>46178</v>
      </c>
      <c r="N947" s="117">
        <v>46188</v>
      </c>
      <c r="O947" s="39"/>
      <c r="P947" s="39"/>
      <c r="Q947" s="39"/>
      <c r="R947" s="39">
        <f t="shared" si="943"/>
        <v>0</v>
      </c>
      <c r="S947" s="39" t="s">
        <v>130</v>
      </c>
      <c r="T947" s="39">
        <v>107235</v>
      </c>
      <c r="U947" s="117">
        <v>46199</v>
      </c>
      <c r="V947" s="39"/>
      <c r="W947" s="39"/>
      <c r="X947" s="39"/>
      <c r="Y947" s="39">
        <f>850-280</f>
        <v>570</v>
      </c>
      <c r="Z947" s="39"/>
      <c r="AA947" s="39"/>
      <c r="AB947" s="119">
        <f t="shared" si="944"/>
        <v>570</v>
      </c>
      <c r="AC947" s="39"/>
      <c r="AD947" s="39"/>
      <c r="AE947" s="39"/>
      <c r="AF947" s="39"/>
      <c r="AG947" s="39"/>
      <c r="AH947" s="39">
        <f t="shared" si="918"/>
        <v>0</v>
      </c>
      <c r="AI947" s="39"/>
      <c r="AJ947" s="39"/>
      <c r="AK947" s="39"/>
      <c r="AL947" s="39"/>
      <c r="AM947" s="39"/>
      <c r="AN947" s="39">
        <f t="shared" si="917"/>
        <v>0</v>
      </c>
      <c r="AO947" s="39"/>
      <c r="AP947" s="39"/>
      <c r="AQ947" s="39"/>
      <c r="AR947" s="39"/>
      <c r="AS947" s="39"/>
      <c r="AT947" s="39">
        <f t="shared" si="891"/>
        <v>0</v>
      </c>
      <c r="AU947" s="39"/>
      <c r="AV947" s="39"/>
      <c r="AW947" s="39"/>
      <c r="AX947" s="39"/>
      <c r="AY947" s="39"/>
      <c r="AZ947" s="39">
        <f t="shared" si="892"/>
        <v>0</v>
      </c>
      <c r="BA947" s="39"/>
      <c r="BB947" s="39"/>
      <c r="BC947" s="39"/>
      <c r="BD947" s="39"/>
      <c r="BE947" s="39"/>
      <c r="BF947" s="39">
        <f t="shared" si="893"/>
        <v>0</v>
      </c>
      <c r="BG947" s="39"/>
      <c r="BH947" s="39"/>
      <c r="BI947" s="39"/>
      <c r="BJ947" s="39"/>
      <c r="BK947" s="39"/>
      <c r="BL947" s="39">
        <f t="shared" si="919"/>
        <v>0</v>
      </c>
      <c r="BM947" s="54" t="str">
        <f t="shared" si="894"/>
        <v/>
      </c>
      <c r="BN947" s="59">
        <v>46188</v>
      </c>
      <c r="BO947" s="57">
        <v>46203</v>
      </c>
      <c r="BP947" s="36"/>
      <c r="BQ947" s="36"/>
      <c r="BR947" s="232"/>
      <c r="BS947" s="232"/>
      <c r="BT947" s="39">
        <v>2135</v>
      </c>
      <c r="BU947" s="39">
        <v>510</v>
      </c>
      <c r="BV947" s="39"/>
      <c r="BW947" s="39"/>
      <c r="BX947" s="39"/>
      <c r="BY947" s="39"/>
      <c r="BZ947" s="39">
        <f t="shared" si="920"/>
        <v>510</v>
      </c>
      <c r="CA947" s="39">
        <f t="shared" si="895"/>
        <v>5</v>
      </c>
      <c r="CB947" s="39">
        <f t="shared" si="896"/>
        <v>0</v>
      </c>
      <c r="CC947" s="39">
        <f t="shared" si="897"/>
        <v>0</v>
      </c>
      <c r="CD947" s="39">
        <f t="shared" si="921"/>
        <v>0</v>
      </c>
      <c r="CE947" s="102">
        <f t="shared" si="898"/>
        <v>0</v>
      </c>
      <c r="CF947" s="36"/>
      <c r="CG947" s="39" t="s">
        <v>233</v>
      </c>
      <c r="CH947" s="39"/>
      <c r="CI947" s="25">
        <v>2</v>
      </c>
    </row>
    <row r="948" spans="1:87" ht="24.75" customHeight="1">
      <c r="A948" s="36" t="s">
        <v>20</v>
      </c>
      <c r="B948" s="29" t="s">
        <v>874</v>
      </c>
      <c r="C948" s="231"/>
      <c r="D948" s="36"/>
      <c r="E948" s="39">
        <v>180</v>
      </c>
      <c r="F948" s="39" t="s">
        <v>58</v>
      </c>
      <c r="G948" s="36" t="s">
        <v>23</v>
      </c>
      <c r="H948" s="39" t="s">
        <v>87</v>
      </c>
      <c r="I948" s="39">
        <v>490</v>
      </c>
      <c r="J948" s="39"/>
      <c r="K948" s="39"/>
      <c r="L948" s="39">
        <f t="shared" si="942"/>
        <v>490</v>
      </c>
      <c r="M948" s="117">
        <v>46178</v>
      </c>
      <c r="N948" s="117">
        <v>46188</v>
      </c>
      <c r="O948" s="39"/>
      <c r="P948" s="39"/>
      <c r="Q948" s="39"/>
      <c r="R948" s="39">
        <f t="shared" si="943"/>
        <v>0</v>
      </c>
      <c r="S948" s="39" t="s">
        <v>130</v>
      </c>
      <c r="T948" s="39">
        <v>106876</v>
      </c>
      <c r="U948" s="117">
        <v>46193</v>
      </c>
      <c r="V948" s="39"/>
      <c r="W948" s="39"/>
      <c r="X948" s="39"/>
      <c r="Y948" s="39">
        <f>550-10</f>
        <v>540</v>
      </c>
      <c r="Z948" s="39"/>
      <c r="AA948" s="39"/>
      <c r="AB948" s="119">
        <f t="shared" si="944"/>
        <v>540</v>
      </c>
      <c r="AC948" s="39"/>
      <c r="AD948" s="39"/>
      <c r="AE948" s="39"/>
      <c r="AF948" s="39"/>
      <c r="AG948" s="39"/>
      <c r="AH948" s="39">
        <f t="shared" si="918"/>
        <v>0</v>
      </c>
      <c r="AI948" s="39"/>
      <c r="AJ948" s="39"/>
      <c r="AK948" s="39"/>
      <c r="AL948" s="39"/>
      <c r="AM948" s="39"/>
      <c r="AN948" s="39">
        <f t="shared" si="917"/>
        <v>0</v>
      </c>
      <c r="AO948" s="39"/>
      <c r="AP948" s="39"/>
      <c r="AQ948" s="39"/>
      <c r="AR948" s="39"/>
      <c r="AS948" s="39"/>
      <c r="AT948" s="39">
        <f t="shared" si="891"/>
        <v>0</v>
      </c>
      <c r="AU948" s="39"/>
      <c r="AV948" s="39"/>
      <c r="AW948" s="39"/>
      <c r="AX948" s="39"/>
      <c r="AY948" s="39"/>
      <c r="AZ948" s="39">
        <f t="shared" si="892"/>
        <v>0</v>
      </c>
      <c r="BA948" s="39"/>
      <c r="BB948" s="39"/>
      <c r="BC948" s="39"/>
      <c r="BD948" s="39"/>
      <c r="BE948" s="39"/>
      <c r="BF948" s="39">
        <f t="shared" si="893"/>
        <v>0</v>
      </c>
      <c r="BG948" s="39"/>
      <c r="BH948" s="39"/>
      <c r="BI948" s="39"/>
      <c r="BJ948" s="39"/>
      <c r="BK948" s="39"/>
      <c r="BL948" s="39">
        <f t="shared" si="919"/>
        <v>0</v>
      </c>
      <c r="BM948" s="54" t="str">
        <f t="shared" si="894"/>
        <v/>
      </c>
      <c r="BN948" s="59">
        <v>46188</v>
      </c>
      <c r="BO948" s="57">
        <v>46203</v>
      </c>
      <c r="BP948" s="36"/>
      <c r="BQ948" s="36"/>
      <c r="BR948" s="232"/>
      <c r="BS948" s="232"/>
      <c r="BT948" s="39">
        <v>2103</v>
      </c>
      <c r="BU948" s="39">
        <v>490</v>
      </c>
      <c r="BV948" s="39"/>
      <c r="BW948" s="39"/>
      <c r="BX948" s="39"/>
      <c r="BY948" s="39"/>
      <c r="BZ948" s="39">
        <f t="shared" si="920"/>
        <v>490</v>
      </c>
      <c r="CA948" s="39">
        <f t="shared" si="895"/>
        <v>0</v>
      </c>
      <c r="CB948" s="39">
        <f t="shared" si="896"/>
        <v>0</v>
      </c>
      <c r="CC948" s="39">
        <f t="shared" si="897"/>
        <v>0</v>
      </c>
      <c r="CD948" s="39">
        <f t="shared" si="921"/>
        <v>0</v>
      </c>
      <c r="CE948" s="102">
        <f t="shared" si="898"/>
        <v>0</v>
      </c>
      <c r="CF948" s="36"/>
      <c r="CG948" s="39" t="s">
        <v>233</v>
      </c>
      <c r="CH948" s="39"/>
      <c r="CI948" s="25">
        <v>2</v>
      </c>
    </row>
    <row r="949" spans="1:87" ht="24.75" customHeight="1">
      <c r="A949" s="36" t="s">
        <v>20</v>
      </c>
      <c r="B949" s="29" t="s">
        <v>874</v>
      </c>
      <c r="C949" s="231"/>
      <c r="D949" s="36"/>
      <c r="E949" s="39">
        <v>180</v>
      </c>
      <c r="F949" s="39" t="s">
        <v>58</v>
      </c>
      <c r="G949" s="36" t="s">
        <v>21</v>
      </c>
      <c r="H949" s="39" t="s">
        <v>87</v>
      </c>
      <c r="I949" s="39">
        <v>185</v>
      </c>
      <c r="J949" s="39"/>
      <c r="K949" s="39"/>
      <c r="L949" s="39">
        <f t="shared" si="942"/>
        <v>185</v>
      </c>
      <c r="M949" s="117">
        <v>46178</v>
      </c>
      <c r="N949" s="117">
        <v>46188</v>
      </c>
      <c r="O949" s="39"/>
      <c r="P949" s="39"/>
      <c r="Q949" s="39"/>
      <c r="R949" s="39">
        <f t="shared" si="943"/>
        <v>0</v>
      </c>
      <c r="S949" s="39" t="s">
        <v>130</v>
      </c>
      <c r="T949" s="39">
        <v>107235</v>
      </c>
      <c r="U949" s="117">
        <v>46199</v>
      </c>
      <c r="V949" s="39"/>
      <c r="W949" s="39"/>
      <c r="X949" s="39"/>
      <c r="Y949" s="39">
        <v>215</v>
      </c>
      <c r="Z949" s="39"/>
      <c r="AA949" s="39"/>
      <c r="AB949" s="119">
        <f t="shared" si="944"/>
        <v>215</v>
      </c>
      <c r="AC949" s="39"/>
      <c r="AD949" s="39"/>
      <c r="AE949" s="39"/>
      <c r="AF949" s="39"/>
      <c r="AG949" s="39"/>
      <c r="AH949" s="39">
        <f t="shared" si="918"/>
        <v>0</v>
      </c>
      <c r="AI949" s="39"/>
      <c r="AJ949" s="39"/>
      <c r="AK949" s="39"/>
      <c r="AL949" s="39"/>
      <c r="AM949" s="39"/>
      <c r="AN949" s="39">
        <f t="shared" si="917"/>
        <v>0</v>
      </c>
      <c r="AO949" s="39"/>
      <c r="AP949" s="39"/>
      <c r="AQ949" s="39"/>
      <c r="AR949" s="39"/>
      <c r="AS949" s="39"/>
      <c r="AT949" s="39">
        <f t="shared" si="891"/>
        <v>0</v>
      </c>
      <c r="AU949" s="39"/>
      <c r="AV949" s="39"/>
      <c r="AW949" s="39"/>
      <c r="AX949" s="39"/>
      <c r="AY949" s="39"/>
      <c r="AZ949" s="39">
        <f t="shared" si="892"/>
        <v>0</v>
      </c>
      <c r="BA949" s="39"/>
      <c r="BB949" s="39"/>
      <c r="BC949" s="39"/>
      <c r="BD949" s="39"/>
      <c r="BE949" s="39"/>
      <c r="BF949" s="39">
        <f t="shared" si="893"/>
        <v>0</v>
      </c>
      <c r="BG949" s="39"/>
      <c r="BH949" s="39"/>
      <c r="BI949" s="39"/>
      <c r="BJ949" s="39"/>
      <c r="BK949" s="39"/>
      <c r="BL949" s="39">
        <f t="shared" si="919"/>
        <v>0</v>
      </c>
      <c r="BM949" s="54" t="str">
        <f t="shared" si="894"/>
        <v/>
      </c>
      <c r="BN949" s="59">
        <v>46188</v>
      </c>
      <c r="BO949" s="57">
        <v>46203</v>
      </c>
      <c r="BP949" s="36"/>
      <c r="BQ949" s="36"/>
      <c r="BR949" s="232"/>
      <c r="BS949" s="232"/>
      <c r="BT949" s="39">
        <v>2135</v>
      </c>
      <c r="BU949" s="39">
        <v>190</v>
      </c>
      <c r="BV949" s="39"/>
      <c r="BW949" s="39"/>
      <c r="BX949" s="39"/>
      <c r="BY949" s="39"/>
      <c r="BZ949" s="39">
        <f t="shared" si="920"/>
        <v>190</v>
      </c>
      <c r="CA949" s="39">
        <f t="shared" si="895"/>
        <v>5</v>
      </c>
      <c r="CB949" s="39">
        <f t="shared" si="896"/>
        <v>0</v>
      </c>
      <c r="CC949" s="39">
        <f t="shared" si="897"/>
        <v>0</v>
      </c>
      <c r="CD949" s="39">
        <f t="shared" si="921"/>
        <v>0</v>
      </c>
      <c r="CE949" s="102">
        <f t="shared" si="898"/>
        <v>0</v>
      </c>
      <c r="CF949" s="36"/>
      <c r="CG949" s="39" t="s">
        <v>233</v>
      </c>
      <c r="CH949" s="39"/>
      <c r="CI949" s="25">
        <v>2</v>
      </c>
    </row>
    <row r="950" spans="1:87" ht="24.75" customHeight="1">
      <c r="A950" s="36" t="s">
        <v>20</v>
      </c>
      <c r="B950" s="29" t="s">
        <v>874</v>
      </c>
      <c r="C950" s="231"/>
      <c r="D950" s="36"/>
      <c r="E950" s="39">
        <v>180</v>
      </c>
      <c r="F950" s="39" t="s">
        <v>58</v>
      </c>
      <c r="G950" s="36" t="s">
        <v>41</v>
      </c>
      <c r="H950" s="39" t="s">
        <v>87</v>
      </c>
      <c r="I950" s="39">
        <v>185</v>
      </c>
      <c r="J950" s="39"/>
      <c r="K950" s="39"/>
      <c r="L950" s="39">
        <f t="shared" si="942"/>
        <v>185</v>
      </c>
      <c r="M950" s="117">
        <v>46178</v>
      </c>
      <c r="N950" s="117">
        <v>46188</v>
      </c>
      <c r="O950" s="39"/>
      <c r="P950" s="39"/>
      <c r="Q950" s="39"/>
      <c r="R950" s="39">
        <f t="shared" si="943"/>
        <v>0</v>
      </c>
      <c r="S950" s="39" t="s">
        <v>270</v>
      </c>
      <c r="T950" s="39"/>
      <c r="U950" s="39"/>
      <c r="V950" s="117">
        <v>46184</v>
      </c>
      <c r="W950" s="39">
        <v>223</v>
      </c>
      <c r="X950" s="117">
        <v>46209</v>
      </c>
      <c r="Y950" s="39">
        <v>190</v>
      </c>
      <c r="Z950" s="39"/>
      <c r="AA950" s="39"/>
      <c r="AB950" s="119">
        <f t="shared" si="944"/>
        <v>190</v>
      </c>
      <c r="AC950" s="39"/>
      <c r="AD950" s="39"/>
      <c r="AE950" s="39"/>
      <c r="AF950" s="39"/>
      <c r="AG950" s="39"/>
      <c r="AH950" s="39">
        <f t="shared" si="918"/>
        <v>0</v>
      </c>
      <c r="AI950" s="39"/>
      <c r="AJ950" s="39"/>
      <c r="AK950" s="39"/>
      <c r="AL950" s="39"/>
      <c r="AM950" s="39"/>
      <c r="AN950" s="39">
        <f t="shared" si="917"/>
        <v>0</v>
      </c>
      <c r="AO950" s="39"/>
      <c r="AP950" s="39"/>
      <c r="AQ950" s="39"/>
      <c r="AR950" s="39"/>
      <c r="AS950" s="39"/>
      <c r="AT950" s="39">
        <f t="shared" si="891"/>
        <v>0</v>
      </c>
      <c r="AU950" s="39"/>
      <c r="AV950" s="39"/>
      <c r="AW950" s="39"/>
      <c r="AX950" s="39"/>
      <c r="AY950" s="39"/>
      <c r="AZ950" s="39">
        <f t="shared" si="892"/>
        <v>0</v>
      </c>
      <c r="BA950" s="39"/>
      <c r="BB950" s="39"/>
      <c r="BC950" s="39"/>
      <c r="BD950" s="39"/>
      <c r="BE950" s="39"/>
      <c r="BF950" s="39">
        <f t="shared" si="893"/>
        <v>0</v>
      </c>
      <c r="BG950" s="39"/>
      <c r="BH950" s="39"/>
      <c r="BI950" s="39"/>
      <c r="BJ950" s="39"/>
      <c r="BK950" s="39"/>
      <c r="BL950" s="39">
        <f t="shared" si="919"/>
        <v>0</v>
      </c>
      <c r="BM950" s="54" t="str">
        <f t="shared" si="894"/>
        <v/>
      </c>
      <c r="BN950" s="59">
        <v>46188</v>
      </c>
      <c r="BO950" s="57">
        <v>46203</v>
      </c>
      <c r="BP950" s="36"/>
      <c r="BQ950" s="36"/>
      <c r="BR950" s="232"/>
      <c r="BS950" s="232"/>
      <c r="BT950" s="39">
        <v>1522</v>
      </c>
      <c r="BU950" s="39">
        <v>190</v>
      </c>
      <c r="BV950" s="39"/>
      <c r="BW950" s="39"/>
      <c r="BX950" s="39"/>
      <c r="BY950" s="39"/>
      <c r="BZ950" s="39">
        <f t="shared" si="920"/>
        <v>190</v>
      </c>
      <c r="CA950" s="39">
        <f t="shared" si="895"/>
        <v>5</v>
      </c>
      <c r="CB950" s="39">
        <f t="shared" si="896"/>
        <v>0</v>
      </c>
      <c r="CC950" s="39">
        <f t="shared" si="897"/>
        <v>0</v>
      </c>
      <c r="CD950" s="39">
        <f t="shared" si="921"/>
        <v>0</v>
      </c>
      <c r="CE950" s="102">
        <f t="shared" si="898"/>
        <v>0</v>
      </c>
      <c r="CF950" s="36"/>
      <c r="CG950" s="39" t="s">
        <v>233</v>
      </c>
      <c r="CH950" s="39"/>
      <c r="CI950" s="25">
        <v>2</v>
      </c>
    </row>
    <row r="951" spans="1:87" ht="24.75" customHeight="1">
      <c r="A951" s="36" t="s">
        <v>20</v>
      </c>
      <c r="B951" s="29" t="s">
        <v>874</v>
      </c>
      <c r="C951" s="231"/>
      <c r="D951" s="36"/>
      <c r="E951" s="39">
        <v>180</v>
      </c>
      <c r="F951" s="39" t="s">
        <v>58</v>
      </c>
      <c r="G951" s="36" t="s">
        <v>291</v>
      </c>
      <c r="H951" s="39" t="s">
        <v>87</v>
      </c>
      <c r="I951" s="39">
        <v>185</v>
      </c>
      <c r="J951" s="39"/>
      <c r="K951" s="39"/>
      <c r="L951" s="39">
        <f t="shared" si="942"/>
        <v>185</v>
      </c>
      <c r="M951" s="117">
        <v>46178</v>
      </c>
      <c r="N951" s="117">
        <v>46188</v>
      </c>
      <c r="O951" s="39"/>
      <c r="P951" s="39"/>
      <c r="Q951" s="39"/>
      <c r="R951" s="39">
        <f t="shared" si="943"/>
        <v>0</v>
      </c>
      <c r="S951" s="39" t="s">
        <v>270</v>
      </c>
      <c r="T951" s="39"/>
      <c r="U951" s="39"/>
      <c r="V951" s="117">
        <v>46184</v>
      </c>
      <c r="W951" s="39">
        <v>224</v>
      </c>
      <c r="X951" s="117">
        <v>46217</v>
      </c>
      <c r="Y951" s="39">
        <v>184</v>
      </c>
      <c r="Z951" s="39"/>
      <c r="AA951" s="39"/>
      <c r="AB951" s="119">
        <f t="shared" si="944"/>
        <v>184</v>
      </c>
      <c r="AC951" s="39"/>
      <c r="AD951" s="39"/>
      <c r="AE951" s="39"/>
      <c r="AF951" s="39"/>
      <c r="AG951" s="39"/>
      <c r="AH951" s="39">
        <f t="shared" si="918"/>
        <v>0</v>
      </c>
      <c r="AI951" s="39"/>
      <c r="AJ951" s="39"/>
      <c r="AK951" s="39"/>
      <c r="AL951" s="39"/>
      <c r="AM951" s="39"/>
      <c r="AN951" s="39">
        <f t="shared" si="917"/>
        <v>0</v>
      </c>
      <c r="AO951" s="39"/>
      <c r="AP951" s="39"/>
      <c r="AQ951" s="39"/>
      <c r="AR951" s="39"/>
      <c r="AS951" s="39"/>
      <c r="AT951" s="39">
        <f t="shared" si="891"/>
        <v>0</v>
      </c>
      <c r="AU951" s="39"/>
      <c r="AV951" s="39"/>
      <c r="AW951" s="39"/>
      <c r="AX951" s="39"/>
      <c r="AY951" s="39"/>
      <c r="AZ951" s="39">
        <f t="shared" si="892"/>
        <v>0</v>
      </c>
      <c r="BA951" s="39"/>
      <c r="BB951" s="39"/>
      <c r="BC951" s="39"/>
      <c r="BD951" s="39"/>
      <c r="BE951" s="39"/>
      <c r="BF951" s="39">
        <f t="shared" si="893"/>
        <v>0</v>
      </c>
      <c r="BG951" s="39"/>
      <c r="BH951" s="39"/>
      <c r="BI951" s="39"/>
      <c r="BJ951" s="39"/>
      <c r="BK951" s="39"/>
      <c r="BL951" s="39">
        <f t="shared" si="919"/>
        <v>0</v>
      </c>
      <c r="BM951" s="54" t="str">
        <f t="shared" si="894"/>
        <v/>
      </c>
      <c r="BN951" s="59">
        <v>46188</v>
      </c>
      <c r="BO951" s="57">
        <v>46203</v>
      </c>
      <c r="BP951" s="36"/>
      <c r="BQ951" s="36"/>
      <c r="BR951" s="232"/>
      <c r="BS951" s="232"/>
      <c r="BT951" s="39">
        <v>1778</v>
      </c>
      <c r="BU951" s="39">
        <v>184</v>
      </c>
      <c r="BV951" s="39"/>
      <c r="BW951" s="39"/>
      <c r="BX951" s="39"/>
      <c r="BY951" s="39"/>
      <c r="BZ951" s="39">
        <f t="shared" si="920"/>
        <v>184</v>
      </c>
      <c r="CA951" s="39">
        <f t="shared" si="895"/>
        <v>-1</v>
      </c>
      <c r="CB951" s="39">
        <f t="shared" si="896"/>
        <v>0</v>
      </c>
      <c r="CC951" s="39">
        <f t="shared" si="897"/>
        <v>0</v>
      </c>
      <c r="CD951" s="39">
        <v>0</v>
      </c>
      <c r="CE951" s="102">
        <f t="shared" si="898"/>
        <v>0</v>
      </c>
      <c r="CF951" s="36"/>
      <c r="CG951" s="39" t="s">
        <v>233</v>
      </c>
      <c r="CH951" s="39"/>
      <c r="CI951" s="25">
        <v>2</v>
      </c>
    </row>
    <row r="952" spans="1:87" ht="24.75" customHeight="1">
      <c r="A952" s="36" t="s">
        <v>20</v>
      </c>
      <c r="B952" s="29" t="s">
        <v>874</v>
      </c>
      <c r="C952" s="231"/>
      <c r="D952" s="36"/>
      <c r="E952" s="39">
        <v>180</v>
      </c>
      <c r="F952" s="39" t="s">
        <v>58</v>
      </c>
      <c r="G952" s="36" t="s">
        <v>23</v>
      </c>
      <c r="H952" s="39" t="s">
        <v>87</v>
      </c>
      <c r="I952" s="39">
        <v>505</v>
      </c>
      <c r="J952" s="39"/>
      <c r="K952" s="39"/>
      <c r="L952" s="39">
        <f t="shared" si="942"/>
        <v>505</v>
      </c>
      <c r="M952" s="117">
        <v>46178</v>
      </c>
      <c r="N952" s="117">
        <v>46188</v>
      </c>
      <c r="O952" s="39"/>
      <c r="P952" s="39"/>
      <c r="Q952" s="39"/>
      <c r="R952" s="39">
        <f t="shared" si="943"/>
        <v>0</v>
      </c>
      <c r="S952" s="39" t="s">
        <v>130</v>
      </c>
      <c r="T952" s="39" t="s">
        <v>1529</v>
      </c>
      <c r="U952" s="117" t="s">
        <v>1530</v>
      </c>
      <c r="V952" s="39"/>
      <c r="W952" s="39"/>
      <c r="X952" s="39"/>
      <c r="Y952" s="39">
        <f>10+541</f>
        <v>551</v>
      </c>
      <c r="Z952" s="39"/>
      <c r="AA952" s="39"/>
      <c r="AB952" s="119">
        <f t="shared" si="944"/>
        <v>551</v>
      </c>
      <c r="AC952" s="39"/>
      <c r="AD952" s="39"/>
      <c r="AE952" s="39"/>
      <c r="AF952" s="39"/>
      <c r="AG952" s="39"/>
      <c r="AH952" s="39">
        <f t="shared" si="918"/>
        <v>0</v>
      </c>
      <c r="AI952" s="39"/>
      <c r="AJ952" s="39"/>
      <c r="AK952" s="39"/>
      <c r="AL952" s="39"/>
      <c r="AM952" s="39"/>
      <c r="AN952" s="39">
        <f t="shared" si="917"/>
        <v>0</v>
      </c>
      <c r="AO952" s="39"/>
      <c r="AP952" s="39"/>
      <c r="AQ952" s="39"/>
      <c r="AR952" s="39"/>
      <c r="AS952" s="39"/>
      <c r="AT952" s="39">
        <f t="shared" si="891"/>
        <v>0</v>
      </c>
      <c r="AU952" s="39"/>
      <c r="AV952" s="39"/>
      <c r="AW952" s="39"/>
      <c r="AX952" s="39"/>
      <c r="AY952" s="39"/>
      <c r="AZ952" s="39">
        <f t="shared" si="892"/>
        <v>0</v>
      </c>
      <c r="BA952" s="39"/>
      <c r="BB952" s="39"/>
      <c r="BC952" s="39"/>
      <c r="BD952" s="39"/>
      <c r="BE952" s="39"/>
      <c r="BF952" s="39">
        <f t="shared" si="893"/>
        <v>0</v>
      </c>
      <c r="BG952" s="39"/>
      <c r="BH952" s="39"/>
      <c r="BI952" s="39"/>
      <c r="BJ952" s="39"/>
      <c r="BK952" s="39"/>
      <c r="BL952" s="39">
        <f t="shared" si="919"/>
        <v>0</v>
      </c>
      <c r="BM952" s="54" t="str">
        <f t="shared" si="894"/>
        <v/>
      </c>
      <c r="BN952" s="59">
        <v>46188</v>
      </c>
      <c r="BO952" s="57">
        <v>46203</v>
      </c>
      <c r="BP952" s="36"/>
      <c r="BQ952" s="36"/>
      <c r="BR952" s="232"/>
      <c r="BS952" s="232"/>
      <c r="BT952" s="39">
        <v>2019</v>
      </c>
      <c r="BU952" s="39">
        <f>474</f>
        <v>474</v>
      </c>
      <c r="BV952" s="39"/>
      <c r="BW952" s="39"/>
      <c r="BX952" s="39"/>
      <c r="BY952" s="39"/>
      <c r="BZ952" s="39">
        <f t="shared" si="920"/>
        <v>474</v>
      </c>
      <c r="CA952" s="39">
        <f t="shared" si="895"/>
        <v>-31</v>
      </c>
      <c r="CB952" s="39">
        <f t="shared" si="896"/>
        <v>0</v>
      </c>
      <c r="CC952" s="39">
        <f t="shared" si="897"/>
        <v>0</v>
      </c>
      <c r="CD952" s="39">
        <f t="shared" si="921"/>
        <v>-31</v>
      </c>
      <c r="CE952" s="102">
        <f t="shared" si="898"/>
        <v>-6.1386138613861385E-2</v>
      </c>
      <c r="CF952" s="36"/>
      <c r="CG952" s="39" t="s">
        <v>233</v>
      </c>
      <c r="CH952" s="39"/>
      <c r="CI952" s="25">
        <v>2</v>
      </c>
    </row>
    <row r="953" spans="1:87" ht="24.75" customHeight="1">
      <c r="A953" s="36" t="s">
        <v>20</v>
      </c>
      <c r="B953" s="29" t="s">
        <v>874</v>
      </c>
      <c r="C953" s="228"/>
      <c r="D953" s="36"/>
      <c r="E953" s="39">
        <v>180</v>
      </c>
      <c r="F953" s="39" t="s">
        <v>58</v>
      </c>
      <c r="G953" s="36" t="s">
        <v>21</v>
      </c>
      <c r="H953" s="39" t="s">
        <v>87</v>
      </c>
      <c r="I953" s="39">
        <v>340</v>
      </c>
      <c r="J953" s="39"/>
      <c r="K953" s="39"/>
      <c r="L953" s="39">
        <f t="shared" si="942"/>
        <v>340</v>
      </c>
      <c r="M953" s="117">
        <v>46178</v>
      </c>
      <c r="N953" s="117">
        <v>46188</v>
      </c>
      <c r="O953" s="39"/>
      <c r="P953" s="39"/>
      <c r="Q953" s="39"/>
      <c r="R953" s="39">
        <f t="shared" si="943"/>
        <v>0</v>
      </c>
      <c r="S953" s="39" t="s">
        <v>130</v>
      </c>
      <c r="T953" s="39" t="s">
        <v>1496</v>
      </c>
      <c r="U953" s="117" t="s">
        <v>1497</v>
      </c>
      <c r="V953" s="39"/>
      <c r="W953" s="39"/>
      <c r="X953" s="39"/>
      <c r="Y953" s="39">
        <f>65+235+91</f>
        <v>391</v>
      </c>
      <c r="Z953" s="39"/>
      <c r="AA953" s="39"/>
      <c r="AB953" s="119">
        <f t="shared" si="944"/>
        <v>391</v>
      </c>
      <c r="AC953" s="39"/>
      <c r="AD953" s="39"/>
      <c r="AE953" s="39"/>
      <c r="AF953" s="39"/>
      <c r="AG953" s="39"/>
      <c r="AH953" s="39">
        <f t="shared" si="918"/>
        <v>0</v>
      </c>
      <c r="AI953" s="39"/>
      <c r="AJ953" s="39"/>
      <c r="AK953" s="39"/>
      <c r="AL953" s="39"/>
      <c r="AM953" s="39"/>
      <c r="AN953" s="39">
        <f t="shared" si="917"/>
        <v>0</v>
      </c>
      <c r="AO953" s="39"/>
      <c r="AP953" s="39"/>
      <c r="AQ953" s="39"/>
      <c r="AR953" s="39"/>
      <c r="AS953" s="39"/>
      <c r="AT953" s="39">
        <f t="shared" si="891"/>
        <v>0</v>
      </c>
      <c r="AU953" s="39"/>
      <c r="AV953" s="39"/>
      <c r="AW953" s="39"/>
      <c r="AX953" s="39"/>
      <c r="AY953" s="39"/>
      <c r="AZ953" s="39">
        <f t="shared" si="892"/>
        <v>0</v>
      </c>
      <c r="BA953" s="39"/>
      <c r="BB953" s="39"/>
      <c r="BC953" s="39"/>
      <c r="BD953" s="39"/>
      <c r="BE953" s="39"/>
      <c r="BF953" s="39">
        <f t="shared" si="893"/>
        <v>0</v>
      </c>
      <c r="BG953" s="39"/>
      <c r="BH953" s="39"/>
      <c r="BI953" s="39"/>
      <c r="BJ953" s="39"/>
      <c r="BK953" s="39"/>
      <c r="BL953" s="39">
        <f t="shared" si="919"/>
        <v>0</v>
      </c>
      <c r="BM953" s="54" t="str">
        <f t="shared" si="894"/>
        <v/>
      </c>
      <c r="BN953" s="59">
        <v>46188</v>
      </c>
      <c r="BO953" s="57">
        <v>46203</v>
      </c>
      <c r="BP953" s="36"/>
      <c r="BQ953" s="36"/>
      <c r="BR953" s="230"/>
      <c r="BS953" s="230"/>
      <c r="BT953" s="39" t="s">
        <v>1577</v>
      </c>
      <c r="BU953" s="39">
        <f>75+255</f>
        <v>330</v>
      </c>
      <c r="BV953" s="39"/>
      <c r="BW953" s="39"/>
      <c r="BX953" s="39"/>
      <c r="BY953" s="39"/>
      <c r="BZ953" s="39">
        <f t="shared" si="920"/>
        <v>330</v>
      </c>
      <c r="CA953" s="39">
        <f t="shared" si="895"/>
        <v>-10</v>
      </c>
      <c r="CB953" s="39">
        <f t="shared" si="896"/>
        <v>0</v>
      </c>
      <c r="CC953" s="39">
        <f t="shared" si="897"/>
        <v>0</v>
      </c>
      <c r="CD953" s="39">
        <v>0</v>
      </c>
      <c r="CE953" s="102">
        <f t="shared" si="898"/>
        <v>0</v>
      </c>
      <c r="CF953" s="36"/>
      <c r="CG953" s="39" t="s">
        <v>233</v>
      </c>
      <c r="CH953" s="39" t="s">
        <v>561</v>
      </c>
      <c r="CI953" s="25">
        <v>2</v>
      </c>
    </row>
    <row r="954" spans="1:87" ht="24.75" customHeight="1">
      <c r="A954" s="36" t="s">
        <v>20</v>
      </c>
      <c r="B954" s="29" t="s">
        <v>875</v>
      </c>
      <c r="C954" s="227" t="s">
        <v>876</v>
      </c>
      <c r="D954" s="36"/>
      <c r="E954" s="39">
        <v>180</v>
      </c>
      <c r="F954" s="39" t="s">
        <v>58</v>
      </c>
      <c r="G954" s="36" t="s">
        <v>23</v>
      </c>
      <c r="H954" s="39" t="s">
        <v>87</v>
      </c>
      <c r="I954" s="39">
        <v>880</v>
      </c>
      <c r="J954" s="39"/>
      <c r="K954" s="39"/>
      <c r="L954" s="39">
        <f t="shared" si="942"/>
        <v>880</v>
      </c>
      <c r="M954" s="117">
        <v>46179</v>
      </c>
      <c r="N954" s="117">
        <v>46189</v>
      </c>
      <c r="O954" s="39"/>
      <c r="P954" s="39"/>
      <c r="Q954" s="39"/>
      <c r="R954" s="39">
        <f t="shared" si="943"/>
        <v>0</v>
      </c>
      <c r="S954" s="39" t="s">
        <v>28</v>
      </c>
      <c r="T954" s="39"/>
      <c r="U954" s="39"/>
      <c r="V954" s="117">
        <v>46190</v>
      </c>
      <c r="W954" s="39">
        <v>975</v>
      </c>
      <c r="X954" s="117" t="s">
        <v>1176</v>
      </c>
      <c r="Y954" s="39">
        <f>835+73</f>
        <v>908</v>
      </c>
      <c r="Z954" s="39"/>
      <c r="AA954" s="39"/>
      <c r="AB954" s="119">
        <f t="shared" si="944"/>
        <v>908</v>
      </c>
      <c r="AC954" s="39"/>
      <c r="AD954" s="39"/>
      <c r="AE954" s="39"/>
      <c r="AF954" s="39"/>
      <c r="AG954" s="39"/>
      <c r="AH954" s="39">
        <f t="shared" si="918"/>
        <v>0</v>
      </c>
      <c r="AI954" s="39"/>
      <c r="AJ954" s="39"/>
      <c r="AK954" s="39"/>
      <c r="AL954" s="39"/>
      <c r="AM954" s="39"/>
      <c r="AN954" s="39">
        <f t="shared" si="917"/>
        <v>0</v>
      </c>
      <c r="AO954" s="39"/>
      <c r="AP954" s="39"/>
      <c r="AQ954" s="39"/>
      <c r="AR954" s="39"/>
      <c r="AS954" s="39"/>
      <c r="AT954" s="39">
        <f t="shared" si="891"/>
        <v>0</v>
      </c>
      <c r="AU954" s="39"/>
      <c r="AV954" s="39"/>
      <c r="AW954" s="39"/>
      <c r="AX954" s="39"/>
      <c r="AY954" s="39"/>
      <c r="AZ954" s="39">
        <f t="shared" si="892"/>
        <v>0</v>
      </c>
      <c r="BA954" s="39"/>
      <c r="BB954" s="39"/>
      <c r="BC954" s="39"/>
      <c r="BD954" s="39"/>
      <c r="BE954" s="39"/>
      <c r="BF954" s="39">
        <f t="shared" si="893"/>
        <v>0</v>
      </c>
      <c r="BG954" s="39"/>
      <c r="BH954" s="39"/>
      <c r="BI954" s="39"/>
      <c r="BJ954" s="39"/>
      <c r="BK954" s="39"/>
      <c r="BL954" s="39">
        <f t="shared" si="919"/>
        <v>0</v>
      </c>
      <c r="BM954" s="54" t="str">
        <f t="shared" si="894"/>
        <v/>
      </c>
      <c r="BN954" s="59">
        <v>46188</v>
      </c>
      <c r="BO954" s="57">
        <v>46205</v>
      </c>
      <c r="BP954" s="36"/>
      <c r="BQ954" s="36"/>
      <c r="BR954" s="229">
        <v>46193</v>
      </c>
      <c r="BS954" s="229">
        <v>46211</v>
      </c>
      <c r="BT954" s="39" t="s">
        <v>1204</v>
      </c>
      <c r="BU954" s="39">
        <f>835+73</f>
        <v>908</v>
      </c>
      <c r="BV954" s="39"/>
      <c r="BW954" s="39"/>
      <c r="BX954" s="39"/>
      <c r="BY954" s="39"/>
      <c r="BZ954" s="39">
        <f t="shared" si="920"/>
        <v>908</v>
      </c>
      <c r="CA954" s="39">
        <f t="shared" si="895"/>
        <v>28</v>
      </c>
      <c r="CB954" s="39">
        <f t="shared" si="896"/>
        <v>0</v>
      </c>
      <c r="CC954" s="39">
        <f t="shared" si="897"/>
        <v>0</v>
      </c>
      <c r="CD954" s="39">
        <f t="shared" si="921"/>
        <v>0</v>
      </c>
      <c r="CE954" s="102">
        <f t="shared" si="898"/>
        <v>0</v>
      </c>
      <c r="CF954" s="36"/>
      <c r="CG954" s="39" t="s">
        <v>233</v>
      </c>
      <c r="CH954" s="39"/>
      <c r="CI954" s="25">
        <v>2</v>
      </c>
    </row>
    <row r="955" spans="1:87" ht="24.75" customHeight="1">
      <c r="A955" s="36" t="s">
        <v>20</v>
      </c>
      <c r="B955" s="29" t="s">
        <v>875</v>
      </c>
      <c r="C955" s="231"/>
      <c r="D955" s="36"/>
      <c r="E955" s="39">
        <v>180</v>
      </c>
      <c r="F955" s="39" t="s">
        <v>58</v>
      </c>
      <c r="G955" s="36" t="s">
        <v>357</v>
      </c>
      <c r="H955" s="39" t="s">
        <v>87</v>
      </c>
      <c r="I955" s="39">
        <v>880</v>
      </c>
      <c r="J955" s="39"/>
      <c r="K955" s="39"/>
      <c r="L955" s="39">
        <f t="shared" si="942"/>
        <v>880</v>
      </c>
      <c r="M955" s="117">
        <v>46179</v>
      </c>
      <c r="N955" s="117">
        <v>46189</v>
      </c>
      <c r="O955" s="39"/>
      <c r="P955" s="39"/>
      <c r="Q955" s="39"/>
      <c r="R955" s="39">
        <f t="shared" si="943"/>
        <v>0</v>
      </c>
      <c r="S955" s="39" t="s">
        <v>270</v>
      </c>
      <c r="T955" s="39"/>
      <c r="U955" s="39"/>
      <c r="V955" s="117">
        <v>46189</v>
      </c>
      <c r="W955" s="39">
        <v>1014</v>
      </c>
      <c r="X955" s="117">
        <v>46210</v>
      </c>
      <c r="Y955" s="39">
        <v>885</v>
      </c>
      <c r="Z955" s="39"/>
      <c r="AA955" s="39"/>
      <c r="AB955" s="119">
        <f t="shared" si="944"/>
        <v>885</v>
      </c>
      <c r="AC955" s="39"/>
      <c r="AD955" s="39"/>
      <c r="AE955" s="39"/>
      <c r="AF955" s="39"/>
      <c r="AG955" s="39"/>
      <c r="AH955" s="39">
        <f t="shared" si="918"/>
        <v>0</v>
      </c>
      <c r="AI955" s="39"/>
      <c r="AJ955" s="39"/>
      <c r="AK955" s="39"/>
      <c r="AL955" s="39"/>
      <c r="AM955" s="39"/>
      <c r="AN955" s="39">
        <f t="shared" si="917"/>
        <v>0</v>
      </c>
      <c r="AO955" s="39"/>
      <c r="AP955" s="39"/>
      <c r="AQ955" s="39"/>
      <c r="AR955" s="39"/>
      <c r="AS955" s="39"/>
      <c r="AT955" s="39">
        <f t="shared" si="891"/>
        <v>0</v>
      </c>
      <c r="AU955" s="39"/>
      <c r="AV955" s="39"/>
      <c r="AW955" s="39"/>
      <c r="AX955" s="39"/>
      <c r="AY955" s="39"/>
      <c r="AZ955" s="39">
        <f t="shared" si="892"/>
        <v>0</v>
      </c>
      <c r="BA955" s="39"/>
      <c r="BB955" s="39"/>
      <c r="BC955" s="39"/>
      <c r="BD955" s="39"/>
      <c r="BE955" s="39"/>
      <c r="BF955" s="39">
        <f t="shared" si="893"/>
        <v>0</v>
      </c>
      <c r="BG955" s="39"/>
      <c r="BH955" s="39"/>
      <c r="BI955" s="39"/>
      <c r="BJ955" s="39"/>
      <c r="BK955" s="39"/>
      <c r="BL955" s="39">
        <f t="shared" si="919"/>
        <v>0</v>
      </c>
      <c r="BM955" s="54" t="str">
        <f t="shared" si="894"/>
        <v/>
      </c>
      <c r="BN955" s="59">
        <v>46188</v>
      </c>
      <c r="BO955" s="57">
        <v>46205</v>
      </c>
      <c r="BP955" s="36"/>
      <c r="BQ955" s="36"/>
      <c r="BR955" s="232"/>
      <c r="BS955" s="232"/>
      <c r="BT955" s="39" t="s">
        <v>1544</v>
      </c>
      <c r="BU955" s="39">
        <f>868+17</f>
        <v>885</v>
      </c>
      <c r="BV955" s="39"/>
      <c r="BW955" s="39"/>
      <c r="BX955" s="39"/>
      <c r="BY955" s="39"/>
      <c r="BZ955" s="39">
        <f t="shared" si="920"/>
        <v>885</v>
      </c>
      <c r="CA955" s="39">
        <f t="shared" si="895"/>
        <v>5</v>
      </c>
      <c r="CB955" s="39">
        <f t="shared" si="896"/>
        <v>0</v>
      </c>
      <c r="CC955" s="39">
        <f t="shared" si="897"/>
        <v>0</v>
      </c>
      <c r="CD955" s="39">
        <v>0</v>
      </c>
      <c r="CE955" s="102">
        <f t="shared" si="898"/>
        <v>0</v>
      </c>
      <c r="CF955" s="36"/>
      <c r="CG955" s="39" t="s">
        <v>233</v>
      </c>
      <c r="CH955" s="39" t="s">
        <v>1456</v>
      </c>
      <c r="CI955" s="25">
        <v>2</v>
      </c>
    </row>
    <row r="956" spans="1:87" ht="24.75" customHeight="1">
      <c r="A956" s="36" t="s">
        <v>20</v>
      </c>
      <c r="B956" s="29" t="s">
        <v>875</v>
      </c>
      <c r="C956" s="231"/>
      <c r="D956" s="36"/>
      <c r="E956" s="39">
        <v>180</v>
      </c>
      <c r="F956" s="39" t="s">
        <v>58</v>
      </c>
      <c r="G956" s="36" t="s">
        <v>47</v>
      </c>
      <c r="H956" s="39" t="s">
        <v>87</v>
      </c>
      <c r="I956" s="39">
        <v>880</v>
      </c>
      <c r="J956" s="39"/>
      <c r="K956" s="39"/>
      <c r="L956" s="39">
        <f t="shared" si="942"/>
        <v>880</v>
      </c>
      <c r="M956" s="117">
        <v>46179</v>
      </c>
      <c r="N956" s="117">
        <v>46189</v>
      </c>
      <c r="O956" s="39"/>
      <c r="P956" s="39"/>
      <c r="Q956" s="39"/>
      <c r="R956" s="39">
        <f t="shared" si="943"/>
        <v>0</v>
      </c>
      <c r="S956" s="39" t="s">
        <v>130</v>
      </c>
      <c r="T956" s="39" t="s">
        <v>1195</v>
      </c>
      <c r="U956" s="117" t="s">
        <v>1196</v>
      </c>
      <c r="V956" s="39"/>
      <c r="W956" s="39"/>
      <c r="X956" s="39"/>
      <c r="Y956" s="39">
        <f>257+763</f>
        <v>1020</v>
      </c>
      <c r="Z956" s="39"/>
      <c r="AA956" s="39"/>
      <c r="AB956" s="119">
        <f t="shared" si="944"/>
        <v>1020</v>
      </c>
      <c r="AC956" s="39"/>
      <c r="AD956" s="39"/>
      <c r="AE956" s="39"/>
      <c r="AF956" s="39"/>
      <c r="AG956" s="39"/>
      <c r="AH956" s="39">
        <f t="shared" si="918"/>
        <v>0</v>
      </c>
      <c r="AI956" s="39"/>
      <c r="AJ956" s="39"/>
      <c r="AK956" s="39"/>
      <c r="AL956" s="39"/>
      <c r="AM956" s="39"/>
      <c r="AN956" s="39">
        <f t="shared" si="917"/>
        <v>0</v>
      </c>
      <c r="AO956" s="39"/>
      <c r="AP956" s="39"/>
      <c r="AQ956" s="39"/>
      <c r="AR956" s="39"/>
      <c r="AS956" s="39"/>
      <c r="AT956" s="39">
        <f t="shared" si="891"/>
        <v>0</v>
      </c>
      <c r="AU956" s="39"/>
      <c r="AV956" s="39"/>
      <c r="AW956" s="39"/>
      <c r="AX956" s="39"/>
      <c r="AY956" s="39"/>
      <c r="AZ956" s="39">
        <f t="shared" si="892"/>
        <v>0</v>
      </c>
      <c r="BA956" s="39"/>
      <c r="BB956" s="39"/>
      <c r="BC956" s="39"/>
      <c r="BD956" s="39"/>
      <c r="BE956" s="39"/>
      <c r="BF956" s="39">
        <f t="shared" si="893"/>
        <v>0</v>
      </c>
      <c r="BG956" s="39" t="s">
        <v>28</v>
      </c>
      <c r="BH956" s="117">
        <v>46198</v>
      </c>
      <c r="BI956" s="39">
        <f>763</f>
        <v>763</v>
      </c>
      <c r="BJ956" s="117">
        <v>46202</v>
      </c>
      <c r="BK956" s="39">
        <f>698</f>
        <v>698</v>
      </c>
      <c r="BL956" s="39">
        <f t="shared" si="919"/>
        <v>-65</v>
      </c>
      <c r="BM956" s="54" t="str">
        <f t="shared" si="894"/>
        <v/>
      </c>
      <c r="BN956" s="59">
        <v>46188</v>
      </c>
      <c r="BO956" s="57">
        <v>46205</v>
      </c>
      <c r="BP956" s="36"/>
      <c r="BQ956" s="36"/>
      <c r="BR956" s="232"/>
      <c r="BS956" s="232"/>
      <c r="BT956" s="39" t="s">
        <v>1298</v>
      </c>
      <c r="BU956" s="39">
        <f>232+698</f>
        <v>930</v>
      </c>
      <c r="BV956" s="39"/>
      <c r="BW956" s="39"/>
      <c r="BX956" s="39"/>
      <c r="BY956" s="39"/>
      <c r="BZ956" s="39">
        <f t="shared" si="920"/>
        <v>930</v>
      </c>
      <c r="CA956" s="39">
        <f t="shared" si="895"/>
        <v>50</v>
      </c>
      <c r="CB956" s="39">
        <f t="shared" si="896"/>
        <v>0</v>
      </c>
      <c r="CC956" s="39">
        <f t="shared" si="897"/>
        <v>0</v>
      </c>
      <c r="CD956" s="39">
        <f t="shared" si="921"/>
        <v>0</v>
      </c>
      <c r="CE956" s="102">
        <f t="shared" si="898"/>
        <v>0</v>
      </c>
      <c r="CF956" s="36"/>
      <c r="CG956" s="39" t="s">
        <v>233</v>
      </c>
      <c r="CH956" s="39"/>
      <c r="CI956" s="25">
        <v>2</v>
      </c>
    </row>
    <row r="957" spans="1:87" ht="24.75" customHeight="1">
      <c r="A957" s="36" t="s">
        <v>20</v>
      </c>
      <c r="B957" s="29" t="s">
        <v>875</v>
      </c>
      <c r="C957" s="231"/>
      <c r="D957" s="36"/>
      <c r="E957" s="39">
        <v>180</v>
      </c>
      <c r="F957" s="39" t="s">
        <v>58</v>
      </c>
      <c r="G957" s="36" t="s">
        <v>529</v>
      </c>
      <c r="H957" s="39" t="s">
        <v>87</v>
      </c>
      <c r="I957" s="39">
        <v>231</v>
      </c>
      <c r="J957" s="39"/>
      <c r="K957" s="39"/>
      <c r="L957" s="39">
        <f t="shared" si="942"/>
        <v>231</v>
      </c>
      <c r="M957" s="117">
        <v>46179</v>
      </c>
      <c r="N957" s="117">
        <v>46189</v>
      </c>
      <c r="O957" s="39"/>
      <c r="P957" s="39"/>
      <c r="Q957" s="39"/>
      <c r="R957" s="39">
        <f t="shared" si="943"/>
        <v>0</v>
      </c>
      <c r="S957" s="39" t="s">
        <v>270</v>
      </c>
      <c r="T957" s="39"/>
      <c r="U957" s="39"/>
      <c r="V957" s="117">
        <v>46186</v>
      </c>
      <c r="W957" s="39">
        <v>266</v>
      </c>
      <c r="X957" s="117">
        <v>46207</v>
      </c>
      <c r="Y957" s="39">
        <v>240</v>
      </c>
      <c r="Z957" s="39"/>
      <c r="AA957" s="39"/>
      <c r="AB957" s="119">
        <f t="shared" si="944"/>
        <v>240</v>
      </c>
      <c r="AC957" s="39"/>
      <c r="AD957" s="39"/>
      <c r="AE957" s="39"/>
      <c r="AF957" s="39"/>
      <c r="AG957" s="39"/>
      <c r="AH957" s="39">
        <f t="shared" si="918"/>
        <v>0</v>
      </c>
      <c r="AI957" s="39"/>
      <c r="AJ957" s="39"/>
      <c r="AK957" s="39"/>
      <c r="AL957" s="39"/>
      <c r="AM957" s="39"/>
      <c r="AN957" s="39">
        <f t="shared" si="917"/>
        <v>0</v>
      </c>
      <c r="AO957" s="39"/>
      <c r="AP957" s="39"/>
      <c r="AQ957" s="39"/>
      <c r="AR957" s="39"/>
      <c r="AS957" s="39"/>
      <c r="AT957" s="39">
        <f t="shared" si="891"/>
        <v>0</v>
      </c>
      <c r="AU957" s="39"/>
      <c r="AV957" s="39"/>
      <c r="AW957" s="39"/>
      <c r="AX957" s="39"/>
      <c r="AY957" s="39"/>
      <c r="AZ957" s="39">
        <f t="shared" si="892"/>
        <v>0</v>
      </c>
      <c r="BA957" s="39"/>
      <c r="BB957" s="39"/>
      <c r="BC957" s="39"/>
      <c r="BD957" s="39"/>
      <c r="BE957" s="39"/>
      <c r="BF957" s="39">
        <f t="shared" si="893"/>
        <v>0</v>
      </c>
      <c r="BG957" s="39"/>
      <c r="BH957" s="39"/>
      <c r="BI957" s="39"/>
      <c r="BJ957" s="39"/>
      <c r="BK957" s="39"/>
      <c r="BL957" s="39">
        <f t="shared" si="919"/>
        <v>0</v>
      </c>
      <c r="BM957" s="54" t="str">
        <f t="shared" si="894"/>
        <v/>
      </c>
      <c r="BN957" s="59">
        <v>46188</v>
      </c>
      <c r="BO957" s="57">
        <v>46205</v>
      </c>
      <c r="BP957" s="36"/>
      <c r="BQ957" s="36"/>
      <c r="BR957" s="232"/>
      <c r="BS957" s="232"/>
      <c r="BT957" s="39">
        <v>1767</v>
      </c>
      <c r="BU957" s="39">
        <v>240</v>
      </c>
      <c r="BV957" s="39"/>
      <c r="BW957" s="39"/>
      <c r="BX957" s="39"/>
      <c r="BY957" s="39"/>
      <c r="BZ957" s="39">
        <f t="shared" si="920"/>
        <v>240</v>
      </c>
      <c r="CA957" s="39">
        <f t="shared" si="895"/>
        <v>9</v>
      </c>
      <c r="CB957" s="39">
        <f t="shared" si="896"/>
        <v>0</v>
      </c>
      <c r="CC957" s="39">
        <f t="shared" si="897"/>
        <v>0</v>
      </c>
      <c r="CD957" s="39">
        <f t="shared" si="921"/>
        <v>0</v>
      </c>
      <c r="CE957" s="102">
        <f t="shared" si="898"/>
        <v>0</v>
      </c>
      <c r="CF957" s="36"/>
      <c r="CG957" s="39" t="s">
        <v>233</v>
      </c>
      <c r="CH957" s="39"/>
      <c r="CI957" s="25">
        <v>2</v>
      </c>
    </row>
    <row r="958" spans="1:87" ht="24.75" customHeight="1">
      <c r="A958" s="36" t="s">
        <v>20</v>
      </c>
      <c r="B958" s="29" t="s">
        <v>875</v>
      </c>
      <c r="C958" s="231"/>
      <c r="D958" s="36"/>
      <c r="E958" s="39">
        <v>180</v>
      </c>
      <c r="F958" s="39" t="s">
        <v>58</v>
      </c>
      <c r="G958" s="36" t="s">
        <v>530</v>
      </c>
      <c r="H958" s="39" t="s">
        <v>87</v>
      </c>
      <c r="I958" s="39">
        <v>231</v>
      </c>
      <c r="J958" s="39"/>
      <c r="K958" s="39"/>
      <c r="L958" s="39">
        <f t="shared" si="942"/>
        <v>231</v>
      </c>
      <c r="M958" s="117">
        <v>46179</v>
      </c>
      <c r="N958" s="117">
        <v>46189</v>
      </c>
      <c r="O958" s="39"/>
      <c r="P958" s="39"/>
      <c r="Q958" s="39"/>
      <c r="R958" s="39">
        <f t="shared" si="943"/>
        <v>0</v>
      </c>
      <c r="S958" s="39" t="s">
        <v>270</v>
      </c>
      <c r="T958" s="39"/>
      <c r="U958" s="39"/>
      <c r="V958" s="117">
        <v>46186</v>
      </c>
      <c r="W958" s="39">
        <v>266</v>
      </c>
      <c r="X958" s="117">
        <v>46209</v>
      </c>
      <c r="Y958" s="39">
        <v>236</v>
      </c>
      <c r="Z958" s="39"/>
      <c r="AA958" s="39"/>
      <c r="AB958" s="119">
        <f t="shared" si="944"/>
        <v>236</v>
      </c>
      <c r="AC958" s="39"/>
      <c r="AD958" s="39"/>
      <c r="AE958" s="39"/>
      <c r="AF958" s="39"/>
      <c r="AG958" s="39"/>
      <c r="AH958" s="39">
        <f t="shared" si="918"/>
        <v>0</v>
      </c>
      <c r="AI958" s="39"/>
      <c r="AJ958" s="39"/>
      <c r="AK958" s="39"/>
      <c r="AL958" s="39"/>
      <c r="AM958" s="39"/>
      <c r="AN958" s="39">
        <f t="shared" si="917"/>
        <v>0</v>
      </c>
      <c r="AO958" s="39"/>
      <c r="AP958" s="39"/>
      <c r="AQ958" s="39"/>
      <c r="AR958" s="39"/>
      <c r="AS958" s="39"/>
      <c r="AT958" s="39">
        <f t="shared" si="891"/>
        <v>0</v>
      </c>
      <c r="AU958" s="39"/>
      <c r="AV958" s="39"/>
      <c r="AW958" s="39"/>
      <c r="AX958" s="39"/>
      <c r="AY958" s="39"/>
      <c r="AZ958" s="39">
        <f t="shared" si="892"/>
        <v>0</v>
      </c>
      <c r="BA958" s="39"/>
      <c r="BB958" s="39"/>
      <c r="BC958" s="39"/>
      <c r="BD958" s="39"/>
      <c r="BE958" s="39"/>
      <c r="BF958" s="39">
        <f t="shared" si="893"/>
        <v>0</v>
      </c>
      <c r="BG958" s="39"/>
      <c r="BH958" s="39"/>
      <c r="BI958" s="39"/>
      <c r="BJ958" s="39"/>
      <c r="BK958" s="39"/>
      <c r="BL958" s="39">
        <f t="shared" si="919"/>
        <v>0</v>
      </c>
      <c r="BM958" s="54" t="str">
        <f t="shared" si="894"/>
        <v/>
      </c>
      <c r="BN958" s="59">
        <v>46188</v>
      </c>
      <c r="BO958" s="57">
        <v>46205</v>
      </c>
      <c r="BP958" s="36"/>
      <c r="BQ958" s="36"/>
      <c r="BR958" s="232"/>
      <c r="BS958" s="232"/>
      <c r="BT958" s="39">
        <v>1522</v>
      </c>
      <c r="BU958" s="39">
        <v>236</v>
      </c>
      <c r="BV958" s="39"/>
      <c r="BW958" s="39"/>
      <c r="BX958" s="39"/>
      <c r="BY958" s="39"/>
      <c r="BZ958" s="39">
        <f t="shared" si="920"/>
        <v>236</v>
      </c>
      <c r="CA958" s="39">
        <f t="shared" si="895"/>
        <v>5</v>
      </c>
      <c r="CB958" s="39">
        <f t="shared" si="896"/>
        <v>0</v>
      </c>
      <c r="CC958" s="39">
        <f t="shared" si="897"/>
        <v>0</v>
      </c>
      <c r="CD958" s="39">
        <f t="shared" si="921"/>
        <v>0</v>
      </c>
      <c r="CE958" s="102">
        <f t="shared" si="898"/>
        <v>0</v>
      </c>
      <c r="CF958" s="36"/>
      <c r="CG958" s="39" t="s">
        <v>233</v>
      </c>
      <c r="CH958" s="39"/>
      <c r="CI958" s="25">
        <v>2</v>
      </c>
    </row>
    <row r="959" spans="1:87" ht="24.75" customHeight="1">
      <c r="A959" s="36" t="s">
        <v>20</v>
      </c>
      <c r="B959" s="29" t="s">
        <v>875</v>
      </c>
      <c r="C959" s="231"/>
      <c r="D959" s="36"/>
      <c r="E959" s="39">
        <v>180</v>
      </c>
      <c r="F959" s="39" t="s">
        <v>58</v>
      </c>
      <c r="G959" s="36" t="s">
        <v>480</v>
      </c>
      <c r="H959" s="39" t="s">
        <v>87</v>
      </c>
      <c r="I959" s="39">
        <v>231</v>
      </c>
      <c r="J959" s="39"/>
      <c r="K959" s="39"/>
      <c r="L959" s="39">
        <f t="shared" si="942"/>
        <v>231</v>
      </c>
      <c r="M959" s="117">
        <v>46179</v>
      </c>
      <c r="N959" s="117">
        <v>46189</v>
      </c>
      <c r="O959" s="39"/>
      <c r="P959" s="39"/>
      <c r="Q959" s="39"/>
      <c r="R959" s="39">
        <f t="shared" si="943"/>
        <v>0</v>
      </c>
      <c r="S959" s="39" t="s">
        <v>270</v>
      </c>
      <c r="T959" s="39"/>
      <c r="U959" s="39"/>
      <c r="V959" s="117">
        <v>46186</v>
      </c>
      <c r="W959" s="39">
        <v>266</v>
      </c>
      <c r="X959" s="117">
        <v>46208</v>
      </c>
      <c r="Y959" s="39">
        <v>233</v>
      </c>
      <c r="Z959" s="39"/>
      <c r="AA959" s="39"/>
      <c r="AB959" s="119">
        <f t="shared" si="944"/>
        <v>233</v>
      </c>
      <c r="AC959" s="39"/>
      <c r="AD959" s="39"/>
      <c r="AE959" s="39"/>
      <c r="AF959" s="39"/>
      <c r="AG959" s="39"/>
      <c r="AH959" s="39">
        <f t="shared" si="918"/>
        <v>0</v>
      </c>
      <c r="AI959" s="39"/>
      <c r="AJ959" s="39"/>
      <c r="AK959" s="39"/>
      <c r="AL959" s="39"/>
      <c r="AM959" s="39"/>
      <c r="AN959" s="39">
        <f t="shared" si="917"/>
        <v>0</v>
      </c>
      <c r="AO959" s="39"/>
      <c r="AP959" s="39"/>
      <c r="AQ959" s="39"/>
      <c r="AR959" s="39"/>
      <c r="AS959" s="39"/>
      <c r="AT959" s="39">
        <f t="shared" si="891"/>
        <v>0</v>
      </c>
      <c r="AU959" s="39"/>
      <c r="AV959" s="39"/>
      <c r="AW959" s="39"/>
      <c r="AX959" s="39"/>
      <c r="AY959" s="39"/>
      <c r="AZ959" s="39">
        <f t="shared" si="892"/>
        <v>0</v>
      </c>
      <c r="BA959" s="39"/>
      <c r="BB959" s="39"/>
      <c r="BC959" s="39"/>
      <c r="BD959" s="39"/>
      <c r="BE959" s="39"/>
      <c r="BF959" s="39">
        <f t="shared" si="893"/>
        <v>0</v>
      </c>
      <c r="BG959" s="39"/>
      <c r="BH959" s="39"/>
      <c r="BI959" s="39"/>
      <c r="BJ959" s="39"/>
      <c r="BK959" s="39"/>
      <c r="BL959" s="39">
        <f t="shared" si="919"/>
        <v>0</v>
      </c>
      <c r="BM959" s="54" t="str">
        <f t="shared" si="894"/>
        <v/>
      </c>
      <c r="BN959" s="59">
        <v>46188</v>
      </c>
      <c r="BO959" s="57">
        <v>46205</v>
      </c>
      <c r="BP959" s="36"/>
      <c r="BQ959" s="36"/>
      <c r="BR959" s="232"/>
      <c r="BS959" s="232"/>
      <c r="BT959" s="39">
        <v>1767</v>
      </c>
      <c r="BU959" s="39">
        <v>233</v>
      </c>
      <c r="BV959" s="39"/>
      <c r="BW959" s="39"/>
      <c r="BX959" s="39"/>
      <c r="BY959" s="39"/>
      <c r="BZ959" s="39">
        <f t="shared" si="920"/>
        <v>233</v>
      </c>
      <c r="CA959" s="39">
        <f t="shared" si="895"/>
        <v>2</v>
      </c>
      <c r="CB959" s="39">
        <f t="shared" si="896"/>
        <v>0</v>
      </c>
      <c r="CC959" s="39">
        <f t="shared" si="897"/>
        <v>0</v>
      </c>
      <c r="CD959" s="39">
        <f t="shared" si="921"/>
        <v>0</v>
      </c>
      <c r="CE959" s="102">
        <f t="shared" si="898"/>
        <v>0</v>
      </c>
      <c r="CF959" s="36"/>
      <c r="CG959" s="39" t="s">
        <v>233</v>
      </c>
      <c r="CH959" s="39"/>
      <c r="CI959" s="25">
        <v>2</v>
      </c>
    </row>
    <row r="960" spans="1:87" ht="24.75" customHeight="1">
      <c r="A960" s="36" t="s">
        <v>20</v>
      </c>
      <c r="B960" s="29" t="s">
        <v>875</v>
      </c>
      <c r="C960" s="231"/>
      <c r="D960" s="36"/>
      <c r="E960" s="39">
        <v>180</v>
      </c>
      <c r="F960" s="39" t="s">
        <v>58</v>
      </c>
      <c r="G960" s="36" t="s">
        <v>41</v>
      </c>
      <c r="H960" s="39" t="s">
        <v>87</v>
      </c>
      <c r="I960" s="39">
        <v>229</v>
      </c>
      <c r="J960" s="39"/>
      <c r="K960" s="39"/>
      <c r="L960" s="39">
        <f t="shared" si="942"/>
        <v>229</v>
      </c>
      <c r="M960" s="117">
        <v>46179</v>
      </c>
      <c r="N960" s="117">
        <v>46189</v>
      </c>
      <c r="O960" s="39"/>
      <c r="P960" s="39"/>
      <c r="Q960" s="39"/>
      <c r="R960" s="39">
        <f t="shared" si="943"/>
        <v>0</v>
      </c>
      <c r="S960" s="39" t="s">
        <v>270</v>
      </c>
      <c r="T960" s="39"/>
      <c r="U960" s="39"/>
      <c r="V960" s="117">
        <v>46189</v>
      </c>
      <c r="W960" s="39">
        <v>265</v>
      </c>
      <c r="X960" s="117">
        <v>46209</v>
      </c>
      <c r="Y960" s="39">
        <v>235</v>
      </c>
      <c r="Z960" s="39"/>
      <c r="AA960" s="39"/>
      <c r="AB960" s="119">
        <f t="shared" si="944"/>
        <v>235</v>
      </c>
      <c r="AC960" s="39"/>
      <c r="AD960" s="39"/>
      <c r="AE960" s="39"/>
      <c r="AF960" s="39"/>
      <c r="AG960" s="39"/>
      <c r="AH960" s="39">
        <f t="shared" si="918"/>
        <v>0</v>
      </c>
      <c r="AI960" s="39"/>
      <c r="AJ960" s="39"/>
      <c r="AK960" s="39"/>
      <c r="AL960" s="39"/>
      <c r="AM960" s="39"/>
      <c r="AN960" s="39">
        <f t="shared" si="917"/>
        <v>0</v>
      </c>
      <c r="AO960" s="39"/>
      <c r="AP960" s="39"/>
      <c r="AQ960" s="39"/>
      <c r="AR960" s="39"/>
      <c r="AS960" s="39"/>
      <c r="AT960" s="39">
        <f t="shared" si="891"/>
        <v>0</v>
      </c>
      <c r="AU960" s="39"/>
      <c r="AV960" s="39"/>
      <c r="AW960" s="39"/>
      <c r="AX960" s="39"/>
      <c r="AY960" s="39"/>
      <c r="AZ960" s="39">
        <f t="shared" si="892"/>
        <v>0</v>
      </c>
      <c r="BA960" s="39"/>
      <c r="BB960" s="39"/>
      <c r="BC960" s="39"/>
      <c r="BD960" s="39"/>
      <c r="BE960" s="39"/>
      <c r="BF960" s="39">
        <f t="shared" si="893"/>
        <v>0</v>
      </c>
      <c r="BG960" s="39"/>
      <c r="BH960" s="39"/>
      <c r="BI960" s="39"/>
      <c r="BJ960" s="39"/>
      <c r="BK960" s="39"/>
      <c r="BL960" s="39">
        <f t="shared" si="919"/>
        <v>0</v>
      </c>
      <c r="BM960" s="54" t="str">
        <f t="shared" si="894"/>
        <v/>
      </c>
      <c r="BN960" s="59">
        <v>46188</v>
      </c>
      <c r="BO960" s="57">
        <v>46205</v>
      </c>
      <c r="BP960" s="36"/>
      <c r="BQ960" s="36"/>
      <c r="BR960" s="232"/>
      <c r="BS960" s="232"/>
      <c r="BT960" s="39">
        <v>1522</v>
      </c>
      <c r="BU960" s="39">
        <v>235</v>
      </c>
      <c r="BV960" s="39"/>
      <c r="BW960" s="39"/>
      <c r="BX960" s="39"/>
      <c r="BY960" s="39"/>
      <c r="BZ960" s="39">
        <f t="shared" si="920"/>
        <v>235</v>
      </c>
      <c r="CA960" s="39">
        <f t="shared" si="895"/>
        <v>6</v>
      </c>
      <c r="CB960" s="39">
        <f t="shared" si="896"/>
        <v>0</v>
      </c>
      <c r="CC960" s="39">
        <f t="shared" si="897"/>
        <v>0</v>
      </c>
      <c r="CD960" s="39">
        <f t="shared" si="921"/>
        <v>0</v>
      </c>
      <c r="CE960" s="102">
        <f t="shared" si="898"/>
        <v>0</v>
      </c>
      <c r="CF960" s="36"/>
      <c r="CG960" s="39" t="s">
        <v>233</v>
      </c>
      <c r="CH960" s="39"/>
      <c r="CI960" s="25">
        <v>2</v>
      </c>
    </row>
    <row r="961" spans="1:87" ht="24.75" customHeight="1">
      <c r="A961" s="36" t="s">
        <v>20</v>
      </c>
      <c r="B961" s="29" t="s">
        <v>875</v>
      </c>
      <c r="C961" s="231"/>
      <c r="D961" s="36"/>
      <c r="E961" s="39">
        <v>180</v>
      </c>
      <c r="F961" s="39" t="s">
        <v>58</v>
      </c>
      <c r="G961" s="36" t="s">
        <v>192</v>
      </c>
      <c r="H961" s="39" t="s">
        <v>87</v>
      </c>
      <c r="I961" s="39">
        <v>229</v>
      </c>
      <c r="J961" s="39"/>
      <c r="K961" s="39"/>
      <c r="L961" s="39">
        <f t="shared" si="942"/>
        <v>229</v>
      </c>
      <c r="M961" s="117">
        <v>46179</v>
      </c>
      <c r="N961" s="117">
        <v>46189</v>
      </c>
      <c r="O961" s="39"/>
      <c r="P961" s="39"/>
      <c r="Q961" s="39"/>
      <c r="R961" s="39">
        <f t="shared" si="943"/>
        <v>0</v>
      </c>
      <c r="S961" s="39" t="s">
        <v>130</v>
      </c>
      <c r="T961" s="39">
        <v>107045</v>
      </c>
      <c r="U961" s="117">
        <v>46192</v>
      </c>
      <c r="V961" s="39"/>
      <c r="W961" s="39"/>
      <c r="X961" s="39"/>
      <c r="Y961" s="39">
        <v>263</v>
      </c>
      <c r="Z961" s="39"/>
      <c r="AA961" s="39"/>
      <c r="AB961" s="119">
        <f t="shared" si="944"/>
        <v>263</v>
      </c>
      <c r="AC961" s="39"/>
      <c r="AD961" s="39"/>
      <c r="AE961" s="39"/>
      <c r="AF961" s="39"/>
      <c r="AG961" s="39"/>
      <c r="AH961" s="39">
        <f t="shared" si="918"/>
        <v>0</v>
      </c>
      <c r="AI961" s="39"/>
      <c r="AJ961" s="39"/>
      <c r="AK961" s="39"/>
      <c r="AL961" s="39"/>
      <c r="AM961" s="39"/>
      <c r="AN961" s="39">
        <f t="shared" si="917"/>
        <v>0</v>
      </c>
      <c r="AO961" s="39"/>
      <c r="AP961" s="39"/>
      <c r="AQ961" s="39"/>
      <c r="AR961" s="39"/>
      <c r="AS961" s="39"/>
      <c r="AT961" s="39">
        <f t="shared" si="891"/>
        <v>0</v>
      </c>
      <c r="AU961" s="39"/>
      <c r="AV961" s="39"/>
      <c r="AW961" s="39"/>
      <c r="AX961" s="39"/>
      <c r="AY961" s="39"/>
      <c r="AZ961" s="39">
        <f t="shared" si="892"/>
        <v>0</v>
      </c>
      <c r="BA961" s="39"/>
      <c r="BB961" s="39"/>
      <c r="BC961" s="39"/>
      <c r="BD961" s="39"/>
      <c r="BE961" s="39"/>
      <c r="BF961" s="39">
        <f t="shared" si="893"/>
        <v>0</v>
      </c>
      <c r="BG961" s="39"/>
      <c r="BH961" s="39"/>
      <c r="BI961" s="39"/>
      <c r="BJ961" s="39"/>
      <c r="BK961" s="39"/>
      <c r="BL961" s="39">
        <f t="shared" si="919"/>
        <v>0</v>
      </c>
      <c r="BM961" s="54" t="str">
        <f t="shared" si="894"/>
        <v/>
      </c>
      <c r="BN961" s="59">
        <v>46188</v>
      </c>
      <c r="BO961" s="57">
        <v>46205</v>
      </c>
      <c r="BP961" s="36"/>
      <c r="BQ961" s="36"/>
      <c r="BR961" s="232"/>
      <c r="BS961" s="232"/>
      <c r="BT961" s="39" t="s">
        <v>1230</v>
      </c>
      <c r="BU961" s="39">
        <f>212+25</f>
        <v>237</v>
      </c>
      <c r="BV961" s="39"/>
      <c r="BW961" s="39"/>
      <c r="BX961" s="39"/>
      <c r="BY961" s="39"/>
      <c r="BZ961" s="39">
        <f t="shared" si="920"/>
        <v>237</v>
      </c>
      <c r="CA961" s="39">
        <f t="shared" si="895"/>
        <v>8</v>
      </c>
      <c r="CB961" s="39">
        <f t="shared" si="896"/>
        <v>0</v>
      </c>
      <c r="CC961" s="39">
        <f t="shared" si="897"/>
        <v>0</v>
      </c>
      <c r="CD961" s="39">
        <f t="shared" si="921"/>
        <v>0</v>
      </c>
      <c r="CE961" s="102">
        <f t="shared" si="898"/>
        <v>0</v>
      </c>
      <c r="CF961" s="36"/>
      <c r="CG961" s="39" t="s">
        <v>233</v>
      </c>
      <c r="CH961" s="39" t="s">
        <v>764</v>
      </c>
      <c r="CI961" s="25">
        <v>2</v>
      </c>
    </row>
    <row r="962" spans="1:87" ht="24.75" customHeight="1">
      <c r="A962" s="36" t="s">
        <v>20</v>
      </c>
      <c r="B962" s="29" t="s">
        <v>875</v>
      </c>
      <c r="C962" s="228"/>
      <c r="D962" s="36"/>
      <c r="E962" s="39">
        <v>180</v>
      </c>
      <c r="F962" s="39" t="s">
        <v>58</v>
      </c>
      <c r="G962" s="36" t="s">
        <v>187</v>
      </c>
      <c r="H962" s="39" t="s">
        <v>87</v>
      </c>
      <c r="I962" s="39">
        <v>229</v>
      </c>
      <c r="J962" s="39"/>
      <c r="K962" s="39"/>
      <c r="L962" s="39">
        <f t="shared" si="942"/>
        <v>229</v>
      </c>
      <c r="M962" s="117">
        <v>46179</v>
      </c>
      <c r="N962" s="117">
        <v>46189</v>
      </c>
      <c r="O962" s="39"/>
      <c r="P962" s="39"/>
      <c r="Q962" s="39"/>
      <c r="R962" s="39">
        <f t="shared" si="943"/>
        <v>0</v>
      </c>
      <c r="S962" s="39" t="s">
        <v>130</v>
      </c>
      <c r="T962" s="39">
        <v>106944</v>
      </c>
      <c r="U962" s="117">
        <v>46187</v>
      </c>
      <c r="V962" s="39"/>
      <c r="W962" s="39"/>
      <c r="X962" s="39"/>
      <c r="Y962" s="39">
        <v>263</v>
      </c>
      <c r="Z962" s="39"/>
      <c r="AA962" s="39"/>
      <c r="AB962" s="119">
        <f t="shared" si="944"/>
        <v>263</v>
      </c>
      <c r="AC962" s="39"/>
      <c r="AD962" s="39"/>
      <c r="AE962" s="39"/>
      <c r="AF962" s="39"/>
      <c r="AG962" s="39"/>
      <c r="AH962" s="39">
        <f t="shared" si="918"/>
        <v>0</v>
      </c>
      <c r="AI962" s="39"/>
      <c r="AJ962" s="39"/>
      <c r="AK962" s="39"/>
      <c r="AL962" s="39"/>
      <c r="AM962" s="39"/>
      <c r="AN962" s="39">
        <f t="shared" si="917"/>
        <v>0</v>
      </c>
      <c r="AO962" s="39"/>
      <c r="AP962" s="39"/>
      <c r="AQ962" s="39"/>
      <c r="AR962" s="39"/>
      <c r="AS962" s="39"/>
      <c r="AT962" s="39">
        <f t="shared" si="891"/>
        <v>0</v>
      </c>
      <c r="AU962" s="39"/>
      <c r="AV962" s="39"/>
      <c r="AW962" s="39"/>
      <c r="AX962" s="39"/>
      <c r="AY962" s="39"/>
      <c r="AZ962" s="39">
        <f t="shared" si="892"/>
        <v>0</v>
      </c>
      <c r="BA962" s="39"/>
      <c r="BB962" s="39"/>
      <c r="BC962" s="39"/>
      <c r="BD962" s="39"/>
      <c r="BE962" s="39"/>
      <c r="BF962" s="39">
        <f t="shared" si="893"/>
        <v>0</v>
      </c>
      <c r="BG962" s="39"/>
      <c r="BH962" s="39"/>
      <c r="BI962" s="39"/>
      <c r="BJ962" s="39"/>
      <c r="BK962" s="39"/>
      <c r="BL962" s="39">
        <f t="shared" si="919"/>
        <v>0</v>
      </c>
      <c r="BM962" s="54" t="str">
        <f t="shared" si="894"/>
        <v/>
      </c>
      <c r="BN962" s="59">
        <v>46188</v>
      </c>
      <c r="BO962" s="57">
        <v>46205</v>
      </c>
      <c r="BP962" s="36"/>
      <c r="BQ962" s="36"/>
      <c r="BR962" s="230"/>
      <c r="BS962" s="230"/>
      <c r="BT962" s="39" t="s">
        <v>1141</v>
      </c>
      <c r="BU962" s="39">
        <f>206+23</f>
        <v>229</v>
      </c>
      <c r="BV962" s="39"/>
      <c r="BW962" s="39"/>
      <c r="BX962" s="39"/>
      <c r="BY962" s="39"/>
      <c r="BZ962" s="39">
        <f t="shared" si="920"/>
        <v>229</v>
      </c>
      <c r="CA962" s="39">
        <f t="shared" si="895"/>
        <v>0</v>
      </c>
      <c r="CB962" s="39">
        <f t="shared" si="896"/>
        <v>0</v>
      </c>
      <c r="CC962" s="39">
        <f t="shared" si="897"/>
        <v>0</v>
      </c>
      <c r="CD962" s="39">
        <f t="shared" si="921"/>
        <v>0</v>
      </c>
      <c r="CE962" s="102">
        <f t="shared" si="898"/>
        <v>0</v>
      </c>
      <c r="CF962" s="36"/>
      <c r="CG962" s="39" t="s">
        <v>233</v>
      </c>
      <c r="CH962" s="39" t="s">
        <v>483</v>
      </c>
      <c r="CI962" s="25">
        <v>2</v>
      </c>
    </row>
    <row r="963" spans="1:87" ht="33.75" customHeight="1">
      <c r="A963" s="36" t="s">
        <v>20</v>
      </c>
      <c r="B963" s="29" t="s">
        <v>932</v>
      </c>
      <c r="C963" s="36" t="s">
        <v>933</v>
      </c>
      <c r="D963" s="36"/>
      <c r="E963" s="39">
        <v>180</v>
      </c>
      <c r="F963" s="39" t="s">
        <v>58</v>
      </c>
      <c r="G963" s="36" t="s">
        <v>23</v>
      </c>
      <c r="H963" s="39" t="s">
        <v>87</v>
      </c>
      <c r="I963" s="39">
        <v>98</v>
      </c>
      <c r="J963" s="39"/>
      <c r="K963" s="39"/>
      <c r="L963" s="39">
        <f t="shared" ref="L963:L1010" si="945">SUM(I963:K963)</f>
        <v>98</v>
      </c>
      <c r="M963" s="117">
        <v>46179</v>
      </c>
      <c r="N963" s="117">
        <v>46186</v>
      </c>
      <c r="O963" s="39"/>
      <c r="P963" s="39"/>
      <c r="Q963" s="39"/>
      <c r="R963" s="39">
        <f t="shared" ref="R963:R1010" si="946">SUM(O963:Q963)</f>
        <v>0</v>
      </c>
      <c r="S963" s="39" t="s">
        <v>28</v>
      </c>
      <c r="T963" s="39"/>
      <c r="U963" s="39"/>
      <c r="V963" s="117">
        <v>46195</v>
      </c>
      <c r="W963" s="39">
        <v>120</v>
      </c>
      <c r="X963" s="117">
        <v>46196</v>
      </c>
      <c r="Y963" s="39">
        <v>112</v>
      </c>
      <c r="Z963" s="39"/>
      <c r="AA963" s="39"/>
      <c r="AB963" s="119">
        <f t="shared" ref="AB963:AB1010" si="947">SUM(Y963:AA963)</f>
        <v>112</v>
      </c>
      <c r="AC963" s="39"/>
      <c r="AD963" s="39"/>
      <c r="AE963" s="39"/>
      <c r="AF963" s="39"/>
      <c r="AG963" s="39"/>
      <c r="AH963" s="39">
        <f t="shared" si="918"/>
        <v>0</v>
      </c>
      <c r="AI963" s="39"/>
      <c r="AJ963" s="39"/>
      <c r="AK963" s="39"/>
      <c r="AL963" s="39"/>
      <c r="AM963" s="39"/>
      <c r="AN963" s="39">
        <f t="shared" si="917"/>
        <v>0</v>
      </c>
      <c r="AO963" s="39"/>
      <c r="AP963" s="39"/>
      <c r="AQ963" s="39"/>
      <c r="AR963" s="39"/>
      <c r="AS963" s="39"/>
      <c r="AT963" s="39">
        <f t="shared" si="891"/>
        <v>0</v>
      </c>
      <c r="AU963" s="39"/>
      <c r="AV963" s="39"/>
      <c r="AW963" s="39"/>
      <c r="AX963" s="39"/>
      <c r="AY963" s="39"/>
      <c r="AZ963" s="39">
        <f t="shared" si="892"/>
        <v>0</v>
      </c>
      <c r="BA963" s="39"/>
      <c r="BB963" s="39"/>
      <c r="BC963" s="39"/>
      <c r="BD963" s="39"/>
      <c r="BE963" s="39"/>
      <c r="BF963" s="39">
        <f t="shared" si="893"/>
        <v>0</v>
      </c>
      <c r="BG963" s="39"/>
      <c r="BH963" s="39"/>
      <c r="BI963" s="39"/>
      <c r="BJ963" s="39"/>
      <c r="BK963" s="39"/>
      <c r="BL963" s="39">
        <f t="shared" si="919"/>
        <v>0</v>
      </c>
      <c r="BM963" s="54" t="str">
        <f t="shared" si="894"/>
        <v/>
      </c>
      <c r="BN963" s="59">
        <v>46188</v>
      </c>
      <c r="BO963" s="57">
        <v>46199</v>
      </c>
      <c r="BP963" s="36"/>
      <c r="BQ963" s="36"/>
      <c r="BR963" s="50">
        <v>46196</v>
      </c>
      <c r="BS963" s="50">
        <v>46196</v>
      </c>
      <c r="BT963" s="39">
        <v>1510</v>
      </c>
      <c r="BU963" s="39">
        <v>112</v>
      </c>
      <c r="BV963" s="39"/>
      <c r="BW963" s="39"/>
      <c r="BX963" s="39"/>
      <c r="BY963" s="39"/>
      <c r="BZ963" s="39">
        <f t="shared" si="920"/>
        <v>112</v>
      </c>
      <c r="CA963" s="39">
        <f t="shared" si="895"/>
        <v>14</v>
      </c>
      <c r="CB963" s="39">
        <f t="shared" si="896"/>
        <v>0</v>
      </c>
      <c r="CC963" s="39">
        <f t="shared" si="897"/>
        <v>0</v>
      </c>
      <c r="CD963" s="39">
        <f t="shared" si="921"/>
        <v>0</v>
      </c>
      <c r="CE963" s="47">
        <f t="shared" si="898"/>
        <v>0</v>
      </c>
      <c r="CF963" s="36"/>
      <c r="CG963" s="39" t="s">
        <v>232</v>
      </c>
      <c r="CH963" s="39"/>
      <c r="CI963" s="25">
        <v>2</v>
      </c>
    </row>
    <row r="964" spans="1:87" ht="24.75" customHeight="1">
      <c r="A964" s="36" t="s">
        <v>20</v>
      </c>
      <c r="B964" s="29" t="s">
        <v>934</v>
      </c>
      <c r="C964" s="227" t="s">
        <v>935</v>
      </c>
      <c r="D964" s="36"/>
      <c r="E964" s="39">
        <v>200</v>
      </c>
      <c r="F964" s="39" t="s">
        <v>60</v>
      </c>
      <c r="G964" s="36" t="s">
        <v>23</v>
      </c>
      <c r="H964" s="39" t="s">
        <v>91</v>
      </c>
      <c r="I964" s="39">
        <v>360</v>
      </c>
      <c r="J964" s="39"/>
      <c r="K964" s="39"/>
      <c r="L964" s="39">
        <f t="shared" si="945"/>
        <v>360</v>
      </c>
      <c r="M964" s="117">
        <v>46179</v>
      </c>
      <c r="N964" s="117">
        <v>46188</v>
      </c>
      <c r="O964" s="39"/>
      <c r="P964" s="39"/>
      <c r="Q964" s="39"/>
      <c r="R964" s="39">
        <f t="shared" si="946"/>
        <v>0</v>
      </c>
      <c r="S964" s="39" t="s">
        <v>28</v>
      </c>
      <c r="T964" s="39"/>
      <c r="U964" s="39"/>
      <c r="V964" s="117">
        <v>46195</v>
      </c>
      <c r="W964" s="39">
        <v>390</v>
      </c>
      <c r="X964" s="117">
        <v>46203</v>
      </c>
      <c r="Y964" s="39">
        <f>356+1</f>
        <v>357</v>
      </c>
      <c r="Z964" s="39"/>
      <c r="AA964" s="39"/>
      <c r="AB964" s="119">
        <f t="shared" si="947"/>
        <v>357</v>
      </c>
      <c r="AC964" s="39"/>
      <c r="AD964" s="39"/>
      <c r="AE964" s="39"/>
      <c r="AF964" s="39"/>
      <c r="AG964" s="39"/>
      <c r="AH964" s="39">
        <f t="shared" si="918"/>
        <v>0</v>
      </c>
      <c r="AI964" s="39"/>
      <c r="AJ964" s="39"/>
      <c r="AK964" s="39"/>
      <c r="AL964" s="39"/>
      <c r="AM964" s="39"/>
      <c r="AN964" s="39">
        <f t="shared" si="917"/>
        <v>0</v>
      </c>
      <c r="AO964" s="39"/>
      <c r="AP964" s="39"/>
      <c r="AQ964" s="39"/>
      <c r="AR964" s="39"/>
      <c r="AS964" s="39"/>
      <c r="AT964" s="39">
        <f t="shared" si="891"/>
        <v>0</v>
      </c>
      <c r="AU964" s="39"/>
      <c r="AV964" s="39"/>
      <c r="AW964" s="39"/>
      <c r="AX964" s="39"/>
      <c r="AY964" s="39"/>
      <c r="AZ964" s="39">
        <f t="shared" si="892"/>
        <v>0</v>
      </c>
      <c r="BA964" s="39"/>
      <c r="BB964" s="39"/>
      <c r="BC964" s="39"/>
      <c r="BD964" s="39"/>
      <c r="BE964" s="39"/>
      <c r="BF964" s="39">
        <f t="shared" si="893"/>
        <v>0</v>
      </c>
      <c r="BG964" s="39"/>
      <c r="BH964" s="39"/>
      <c r="BI964" s="39"/>
      <c r="BJ964" s="39"/>
      <c r="BK964" s="39"/>
      <c r="BL964" s="39">
        <f t="shared" si="919"/>
        <v>0</v>
      </c>
      <c r="BM964" s="54" t="str">
        <f t="shared" si="894"/>
        <v/>
      </c>
      <c r="BN964" s="59">
        <v>46188</v>
      </c>
      <c r="BO964" s="57">
        <v>46200</v>
      </c>
      <c r="BP964" s="36"/>
      <c r="BQ964" s="36"/>
      <c r="BR964" s="229">
        <v>46206</v>
      </c>
      <c r="BS964" s="229">
        <v>46206</v>
      </c>
      <c r="BT964" s="39">
        <v>1765</v>
      </c>
      <c r="BU964" s="39">
        <v>356</v>
      </c>
      <c r="BV964" s="39"/>
      <c r="BW964" s="39"/>
      <c r="BX964" s="39"/>
      <c r="BY964" s="39"/>
      <c r="BZ964" s="39">
        <f t="shared" si="920"/>
        <v>356</v>
      </c>
      <c r="CA964" s="39">
        <f t="shared" si="895"/>
        <v>-4</v>
      </c>
      <c r="CB964" s="39">
        <f t="shared" si="896"/>
        <v>0</v>
      </c>
      <c r="CC964" s="39">
        <f t="shared" si="897"/>
        <v>0</v>
      </c>
      <c r="CD964" s="39">
        <v>0</v>
      </c>
      <c r="CE964" s="47">
        <f t="shared" si="898"/>
        <v>0</v>
      </c>
      <c r="CF964" s="36"/>
      <c r="CG964" s="39" t="s">
        <v>232</v>
      </c>
      <c r="CH964" s="39"/>
      <c r="CI964" s="25">
        <v>2</v>
      </c>
    </row>
    <row r="965" spans="1:87" ht="24.75" customHeight="1">
      <c r="A965" s="36" t="s">
        <v>20</v>
      </c>
      <c r="B965" s="29" t="s">
        <v>934</v>
      </c>
      <c r="C965" s="228"/>
      <c r="D965" s="36"/>
      <c r="E965" s="39"/>
      <c r="F965" s="39"/>
      <c r="G965" s="36" t="s">
        <v>75</v>
      </c>
      <c r="H965" s="39"/>
      <c r="I965" s="39"/>
      <c r="J965" s="39"/>
      <c r="K965" s="39"/>
      <c r="L965" s="39">
        <f t="shared" si="945"/>
        <v>0</v>
      </c>
      <c r="M965" s="117">
        <v>46179</v>
      </c>
      <c r="N965" s="117">
        <v>46188</v>
      </c>
      <c r="O965" s="39"/>
      <c r="P965" s="39"/>
      <c r="Q965" s="39"/>
      <c r="R965" s="39">
        <f t="shared" ref="R965:R967" si="948">SUM(O965:Q965)</f>
        <v>0</v>
      </c>
      <c r="S965" s="39" t="s">
        <v>130</v>
      </c>
      <c r="T965" s="39"/>
      <c r="U965" s="39"/>
      <c r="V965" s="39"/>
      <c r="W965" s="39"/>
      <c r="X965" s="39"/>
      <c r="Y965" s="39"/>
      <c r="Z965" s="39"/>
      <c r="AA965" s="39"/>
      <c r="AB965" s="39">
        <f t="shared" ref="AB965:AB967" si="949">SUM(Y965:AA965)</f>
        <v>0</v>
      </c>
      <c r="AC965" s="39"/>
      <c r="AD965" s="39"/>
      <c r="AE965" s="39"/>
      <c r="AF965" s="39"/>
      <c r="AG965" s="39"/>
      <c r="AH965" s="39">
        <f t="shared" ref="AH965:AH967" si="950">AG965-AE965</f>
        <v>0</v>
      </c>
      <c r="AI965" s="39"/>
      <c r="AJ965" s="39"/>
      <c r="AK965" s="39"/>
      <c r="AL965" s="39"/>
      <c r="AM965" s="39"/>
      <c r="AN965" s="39">
        <f t="shared" ref="AN965:AN967" si="951">AM965-AK965</f>
        <v>0</v>
      </c>
      <c r="AO965" s="39"/>
      <c r="AP965" s="39"/>
      <c r="AQ965" s="39"/>
      <c r="AR965" s="39"/>
      <c r="AS965" s="39"/>
      <c r="AT965" s="39">
        <f t="shared" ref="AT965:AT967" si="952">AS965-AQ965</f>
        <v>0</v>
      </c>
      <c r="AU965" s="39"/>
      <c r="AV965" s="39"/>
      <c r="AW965" s="39"/>
      <c r="AX965" s="39"/>
      <c r="AY965" s="39"/>
      <c r="AZ965" s="39">
        <f t="shared" ref="AZ965:AZ967" si="953">AY965-AW965</f>
        <v>0</v>
      </c>
      <c r="BA965" s="39"/>
      <c r="BB965" s="39"/>
      <c r="BC965" s="39"/>
      <c r="BD965" s="39"/>
      <c r="BE965" s="39"/>
      <c r="BF965" s="39">
        <f t="shared" ref="BF965:BF967" si="954">BE965-BC965</f>
        <v>0</v>
      </c>
      <c r="BG965" s="39"/>
      <c r="BH965" s="39"/>
      <c r="BI965" s="39"/>
      <c r="BJ965" s="39"/>
      <c r="BK965" s="39"/>
      <c r="BL965" s="39">
        <f t="shared" ref="BL965:BL967" si="955">BK965-BI965</f>
        <v>0</v>
      </c>
      <c r="BM965" s="54" t="e">
        <f t="shared" ref="BM965:BM967" si="956">IF((BZ965/L965)&lt;0.9,$CO$1-U965,"")</f>
        <v>#DIV/0!</v>
      </c>
      <c r="BN965" s="59">
        <v>46188</v>
      </c>
      <c r="BO965" s="57">
        <v>46200</v>
      </c>
      <c r="BP965" s="36"/>
      <c r="BQ965" s="36"/>
      <c r="BR965" s="230"/>
      <c r="BS965" s="230"/>
      <c r="BT965" s="39"/>
      <c r="BU965" s="39"/>
      <c r="BV965" s="39"/>
      <c r="BW965" s="39"/>
      <c r="BX965" s="39"/>
      <c r="BY965" s="39"/>
      <c r="BZ965" s="39">
        <f t="shared" si="920"/>
        <v>0</v>
      </c>
      <c r="CA965" s="39">
        <f t="shared" si="895"/>
        <v>0</v>
      </c>
      <c r="CB965" s="39">
        <f t="shared" si="896"/>
        <v>0</v>
      </c>
      <c r="CC965" s="39">
        <f t="shared" si="897"/>
        <v>0</v>
      </c>
      <c r="CD965" s="39">
        <f t="shared" si="921"/>
        <v>0</v>
      </c>
      <c r="CE965" s="47" t="e">
        <f t="shared" si="898"/>
        <v>#DIV/0!</v>
      </c>
      <c r="CF965" s="36"/>
      <c r="CG965" s="39" t="s">
        <v>232</v>
      </c>
      <c r="CH965" s="39"/>
      <c r="CI965" s="25">
        <v>2</v>
      </c>
    </row>
    <row r="966" spans="1:87" ht="24.75" customHeight="1">
      <c r="A966" s="36" t="s">
        <v>20</v>
      </c>
      <c r="B966" s="29" t="s">
        <v>713</v>
      </c>
      <c r="C966" s="253" t="s">
        <v>996</v>
      </c>
      <c r="D966" s="36"/>
      <c r="E966" s="39">
        <v>220</v>
      </c>
      <c r="F966" s="39" t="s">
        <v>55</v>
      </c>
      <c r="G966" s="36" t="s">
        <v>23</v>
      </c>
      <c r="H966" s="36" t="s">
        <v>209</v>
      </c>
      <c r="I966" s="39">
        <v>416</v>
      </c>
      <c r="J966" s="39"/>
      <c r="K966" s="39"/>
      <c r="L966" s="39">
        <f t="shared" si="945"/>
        <v>416</v>
      </c>
      <c r="M966" s="36" t="s">
        <v>477</v>
      </c>
      <c r="N966" s="57">
        <v>46188</v>
      </c>
      <c r="O966" s="39"/>
      <c r="P966" s="39"/>
      <c r="Q966" s="39"/>
      <c r="R966" s="39">
        <f t="shared" si="948"/>
        <v>0</v>
      </c>
      <c r="S966" s="39" t="s">
        <v>130</v>
      </c>
      <c r="T966" s="39">
        <v>107042</v>
      </c>
      <c r="U966" s="117">
        <v>46190</v>
      </c>
      <c r="V966" s="39"/>
      <c r="W966" s="39"/>
      <c r="X966" s="39"/>
      <c r="Y966" s="39">
        <v>456</v>
      </c>
      <c r="Z966" s="39"/>
      <c r="AA966" s="39"/>
      <c r="AB966" s="119">
        <f t="shared" si="949"/>
        <v>456</v>
      </c>
      <c r="AC966" s="39"/>
      <c r="AD966" s="39"/>
      <c r="AE966" s="39"/>
      <c r="AF966" s="39"/>
      <c r="AG966" s="39"/>
      <c r="AH966" s="39">
        <f t="shared" si="950"/>
        <v>0</v>
      </c>
      <c r="AI966" s="39"/>
      <c r="AJ966" s="39"/>
      <c r="AK966" s="39"/>
      <c r="AL966" s="39"/>
      <c r="AM966" s="39"/>
      <c r="AN966" s="39">
        <f t="shared" si="951"/>
        <v>0</v>
      </c>
      <c r="AO966" s="39"/>
      <c r="AP966" s="39"/>
      <c r="AQ966" s="39"/>
      <c r="AR966" s="39"/>
      <c r="AS966" s="39"/>
      <c r="AT966" s="39">
        <f t="shared" si="952"/>
        <v>0</v>
      </c>
      <c r="AU966" s="39"/>
      <c r="AV966" s="39"/>
      <c r="AW966" s="39"/>
      <c r="AX966" s="39"/>
      <c r="AY966" s="39"/>
      <c r="AZ966" s="39">
        <f t="shared" si="953"/>
        <v>0</v>
      </c>
      <c r="BA966" s="39"/>
      <c r="BB966" s="39"/>
      <c r="BC966" s="39"/>
      <c r="BD966" s="39"/>
      <c r="BE966" s="39"/>
      <c r="BF966" s="39">
        <f t="shared" si="954"/>
        <v>0</v>
      </c>
      <c r="BG966" s="39"/>
      <c r="BH966" s="39"/>
      <c r="BI966" s="39"/>
      <c r="BJ966" s="39"/>
      <c r="BK966" s="39"/>
      <c r="BL966" s="39">
        <f t="shared" si="955"/>
        <v>0</v>
      </c>
      <c r="BM966" s="54" t="str">
        <f t="shared" si="956"/>
        <v/>
      </c>
      <c r="BN966" s="59">
        <v>46190</v>
      </c>
      <c r="BO966" s="57">
        <v>46194</v>
      </c>
      <c r="BP966" s="36"/>
      <c r="BQ966" s="36"/>
      <c r="BR966" s="229">
        <v>46191</v>
      </c>
      <c r="BS966" s="229">
        <v>46192</v>
      </c>
      <c r="BT966" s="39">
        <v>1693</v>
      </c>
      <c r="BU966" s="39">
        <v>419</v>
      </c>
      <c r="BV966" s="39"/>
      <c r="BW966" s="39"/>
      <c r="BX966" s="39"/>
      <c r="BY966" s="39"/>
      <c r="BZ966" s="39">
        <f t="shared" si="920"/>
        <v>419</v>
      </c>
      <c r="CA966" s="39">
        <f t="shared" si="895"/>
        <v>3</v>
      </c>
      <c r="CB966" s="39">
        <f t="shared" si="896"/>
        <v>0</v>
      </c>
      <c r="CC966" s="39">
        <f t="shared" si="897"/>
        <v>0</v>
      </c>
      <c r="CD966" s="39">
        <f t="shared" si="921"/>
        <v>0</v>
      </c>
      <c r="CE966" s="102">
        <f t="shared" si="898"/>
        <v>0</v>
      </c>
      <c r="CF966" s="36"/>
      <c r="CG966" s="39" t="s">
        <v>233</v>
      </c>
      <c r="CH966" s="39"/>
      <c r="CI966" s="25">
        <v>2</v>
      </c>
    </row>
    <row r="967" spans="1:87" ht="24.75" customHeight="1">
      <c r="A967" s="36" t="s">
        <v>20</v>
      </c>
      <c r="B967" s="29" t="s">
        <v>713</v>
      </c>
      <c r="C967" s="254"/>
      <c r="D967" s="36"/>
      <c r="E967" s="39">
        <v>220</v>
      </c>
      <c r="F967" s="39" t="s">
        <v>55</v>
      </c>
      <c r="G967" s="36" t="s">
        <v>437</v>
      </c>
      <c r="H967" s="36" t="s">
        <v>209</v>
      </c>
      <c r="I967" s="39">
        <v>416</v>
      </c>
      <c r="J967" s="39"/>
      <c r="K967" s="39"/>
      <c r="L967" s="39">
        <f t="shared" si="945"/>
        <v>416</v>
      </c>
      <c r="M967" s="36" t="s">
        <v>477</v>
      </c>
      <c r="N967" s="57">
        <v>46188</v>
      </c>
      <c r="O967" s="39"/>
      <c r="P967" s="39"/>
      <c r="Q967" s="39"/>
      <c r="R967" s="39">
        <f t="shared" si="948"/>
        <v>0</v>
      </c>
      <c r="S967" s="39" t="s">
        <v>130</v>
      </c>
      <c r="T967" s="39">
        <v>106987</v>
      </c>
      <c r="U967" s="117">
        <v>46189</v>
      </c>
      <c r="V967" s="39"/>
      <c r="W967" s="39"/>
      <c r="X967" s="39"/>
      <c r="Y967" s="39">
        <v>471</v>
      </c>
      <c r="Z967" s="39"/>
      <c r="AA967" s="39"/>
      <c r="AB967" s="119">
        <f t="shared" si="949"/>
        <v>471</v>
      </c>
      <c r="AC967" s="39"/>
      <c r="AD967" s="39"/>
      <c r="AE967" s="39"/>
      <c r="AF967" s="39"/>
      <c r="AG967" s="39"/>
      <c r="AH967" s="39">
        <f t="shared" si="950"/>
        <v>0</v>
      </c>
      <c r="AI967" s="39"/>
      <c r="AJ967" s="39"/>
      <c r="AK967" s="39"/>
      <c r="AL967" s="39"/>
      <c r="AM967" s="39"/>
      <c r="AN967" s="39">
        <f t="shared" si="951"/>
        <v>0</v>
      </c>
      <c r="AO967" s="39"/>
      <c r="AP967" s="39"/>
      <c r="AQ967" s="39"/>
      <c r="AR967" s="39"/>
      <c r="AS967" s="39"/>
      <c r="AT967" s="39">
        <f t="shared" si="952"/>
        <v>0</v>
      </c>
      <c r="AU967" s="39"/>
      <c r="AV967" s="39"/>
      <c r="AW967" s="39"/>
      <c r="AX967" s="39"/>
      <c r="AY967" s="39"/>
      <c r="AZ967" s="39">
        <f t="shared" si="953"/>
        <v>0</v>
      </c>
      <c r="BA967" s="39"/>
      <c r="BB967" s="39"/>
      <c r="BC967" s="39"/>
      <c r="BD967" s="39"/>
      <c r="BE967" s="39"/>
      <c r="BF967" s="39">
        <f t="shared" si="954"/>
        <v>0</v>
      </c>
      <c r="BG967" s="39"/>
      <c r="BH967" s="39"/>
      <c r="BI967" s="39"/>
      <c r="BJ967" s="39"/>
      <c r="BK967" s="39"/>
      <c r="BL967" s="39">
        <f t="shared" si="955"/>
        <v>0</v>
      </c>
      <c r="BM967" s="54" t="str">
        <f t="shared" si="956"/>
        <v/>
      </c>
      <c r="BN967" s="59">
        <v>46190</v>
      </c>
      <c r="BO967" s="57">
        <v>46194</v>
      </c>
      <c r="BP967" s="36"/>
      <c r="BQ967" s="36"/>
      <c r="BR967" s="230"/>
      <c r="BS967" s="230"/>
      <c r="BT967" s="39" t="s">
        <v>1098</v>
      </c>
      <c r="BU967" s="39">
        <f>419+26</f>
        <v>445</v>
      </c>
      <c r="BV967" s="39"/>
      <c r="BW967" s="39"/>
      <c r="BX967" s="39"/>
      <c r="BY967" s="39"/>
      <c r="BZ967" s="39">
        <f t="shared" si="920"/>
        <v>445</v>
      </c>
      <c r="CA967" s="39">
        <f t="shared" si="895"/>
        <v>29</v>
      </c>
      <c r="CB967" s="39">
        <f t="shared" si="896"/>
        <v>0</v>
      </c>
      <c r="CC967" s="39">
        <f t="shared" si="897"/>
        <v>0</v>
      </c>
      <c r="CD967" s="39">
        <f t="shared" si="921"/>
        <v>0</v>
      </c>
      <c r="CE967" s="102">
        <f t="shared" si="898"/>
        <v>0</v>
      </c>
      <c r="CF967" s="36"/>
      <c r="CG967" s="39" t="s">
        <v>233</v>
      </c>
      <c r="CH967" s="39"/>
      <c r="CI967" s="25">
        <v>2</v>
      </c>
    </row>
    <row r="968" spans="1:87" ht="24.75" customHeight="1">
      <c r="A968" s="36" t="s">
        <v>20</v>
      </c>
      <c r="B968" s="29"/>
      <c r="C968" s="36"/>
      <c r="D968" s="36"/>
      <c r="E968" s="39"/>
      <c r="F968" s="39"/>
      <c r="G968" s="36"/>
      <c r="H968" s="39"/>
      <c r="I968" s="39"/>
      <c r="J968" s="39"/>
      <c r="K968" s="39"/>
      <c r="L968" s="39">
        <f t="shared" si="945"/>
        <v>0</v>
      </c>
      <c r="M968" s="39"/>
      <c r="N968" s="39"/>
      <c r="O968" s="39"/>
      <c r="P968" s="39"/>
      <c r="Q968" s="39"/>
      <c r="R968" s="39">
        <f t="shared" si="946"/>
        <v>0</v>
      </c>
      <c r="S968" s="39"/>
      <c r="T968" s="39"/>
      <c r="U968" s="39"/>
      <c r="V968" s="39"/>
      <c r="W968" s="39"/>
      <c r="X968" s="39"/>
      <c r="Y968" s="39"/>
      <c r="Z968" s="39"/>
      <c r="AA968" s="39"/>
      <c r="AB968" s="39">
        <f t="shared" si="947"/>
        <v>0</v>
      </c>
      <c r="AC968" s="39"/>
      <c r="AD968" s="39"/>
      <c r="AE968" s="39"/>
      <c r="AF968" s="39"/>
      <c r="AG968" s="39"/>
      <c r="AH968" s="39">
        <f t="shared" si="918"/>
        <v>0</v>
      </c>
      <c r="AI968" s="39"/>
      <c r="AJ968" s="39"/>
      <c r="AK968" s="39"/>
      <c r="AL968" s="39"/>
      <c r="AM968" s="39"/>
      <c r="AN968" s="39">
        <f t="shared" si="917"/>
        <v>0</v>
      </c>
      <c r="AO968" s="39"/>
      <c r="AP968" s="39"/>
      <c r="AQ968" s="39"/>
      <c r="AR968" s="39"/>
      <c r="AS968" s="39"/>
      <c r="AT968" s="39">
        <f t="shared" si="891"/>
        <v>0</v>
      </c>
      <c r="AU968" s="39"/>
      <c r="AV968" s="39"/>
      <c r="AW968" s="39"/>
      <c r="AX968" s="39"/>
      <c r="AY968" s="39"/>
      <c r="AZ968" s="39">
        <f t="shared" si="892"/>
        <v>0</v>
      </c>
      <c r="BA968" s="39"/>
      <c r="BB968" s="39"/>
      <c r="BC968" s="39"/>
      <c r="BD968" s="39"/>
      <c r="BE968" s="39"/>
      <c r="BF968" s="39">
        <f t="shared" si="893"/>
        <v>0</v>
      </c>
      <c r="BG968" s="39"/>
      <c r="BH968" s="39"/>
      <c r="BI968" s="39"/>
      <c r="BJ968" s="39"/>
      <c r="BK968" s="39"/>
      <c r="BL968" s="39">
        <f t="shared" si="919"/>
        <v>0</v>
      </c>
      <c r="BM968" s="54" t="e">
        <f t="shared" si="894"/>
        <v>#DIV/0!</v>
      </c>
      <c r="BN968" s="65"/>
      <c r="BO968" s="36"/>
      <c r="BP968" s="36"/>
      <c r="BQ968" s="36"/>
      <c r="BR968" s="40"/>
      <c r="BS968" s="40"/>
      <c r="BT968" s="39"/>
      <c r="BU968" s="39"/>
      <c r="BV968" s="39"/>
      <c r="BW968" s="39"/>
      <c r="BX968" s="39"/>
      <c r="BY968" s="39"/>
      <c r="BZ968" s="39">
        <f t="shared" si="920"/>
        <v>0</v>
      </c>
      <c r="CA968" s="39">
        <f t="shared" si="895"/>
        <v>0</v>
      </c>
      <c r="CB968" s="39">
        <f t="shared" si="896"/>
        <v>0</v>
      </c>
      <c r="CC968" s="39">
        <f t="shared" si="897"/>
        <v>0</v>
      </c>
      <c r="CD968" s="39">
        <f t="shared" si="921"/>
        <v>0</v>
      </c>
      <c r="CE968" s="47" t="e">
        <f t="shared" si="898"/>
        <v>#DIV/0!</v>
      </c>
      <c r="CF968" s="36"/>
      <c r="CG968" s="39"/>
      <c r="CH968" s="39"/>
      <c r="CI968" s="25">
        <v>2</v>
      </c>
    </row>
    <row r="969" spans="1:87" ht="24.75" customHeight="1">
      <c r="A969" s="36" t="s">
        <v>20</v>
      </c>
      <c r="B969" s="29"/>
      <c r="C969" s="36"/>
      <c r="D969" s="36"/>
      <c r="E969" s="39"/>
      <c r="F969" s="39"/>
      <c r="G969" s="36"/>
      <c r="H969" s="39"/>
      <c r="I969" s="39"/>
      <c r="J969" s="39"/>
      <c r="K969" s="39"/>
      <c r="L969" s="39">
        <f t="shared" si="945"/>
        <v>0</v>
      </c>
      <c r="M969" s="39"/>
      <c r="N969" s="39"/>
      <c r="O969" s="39"/>
      <c r="P969" s="39"/>
      <c r="Q969" s="39"/>
      <c r="R969" s="39">
        <f t="shared" si="946"/>
        <v>0</v>
      </c>
      <c r="S969" s="39"/>
      <c r="T969" s="39"/>
      <c r="U969" s="39"/>
      <c r="V969" s="39"/>
      <c r="W969" s="39"/>
      <c r="X969" s="39"/>
      <c r="Y969" s="39"/>
      <c r="Z969" s="39"/>
      <c r="AA969" s="39"/>
      <c r="AB969" s="39">
        <f t="shared" si="947"/>
        <v>0</v>
      </c>
      <c r="AC969" s="39"/>
      <c r="AD969" s="39"/>
      <c r="AE969" s="39"/>
      <c r="AF969" s="39"/>
      <c r="AG969" s="39"/>
      <c r="AH969" s="39">
        <f t="shared" si="918"/>
        <v>0</v>
      </c>
      <c r="AI969" s="39"/>
      <c r="AJ969" s="39"/>
      <c r="AK969" s="39"/>
      <c r="AL969" s="39"/>
      <c r="AM969" s="39"/>
      <c r="AN969" s="39">
        <f t="shared" si="917"/>
        <v>0</v>
      </c>
      <c r="AO969" s="39"/>
      <c r="AP969" s="39"/>
      <c r="AQ969" s="39"/>
      <c r="AR969" s="39"/>
      <c r="AS969" s="39"/>
      <c r="AT969" s="39">
        <f t="shared" si="891"/>
        <v>0</v>
      </c>
      <c r="AU969" s="39"/>
      <c r="AV969" s="39"/>
      <c r="AW969" s="39"/>
      <c r="AX969" s="39"/>
      <c r="AY969" s="39"/>
      <c r="AZ969" s="39">
        <f t="shared" si="892"/>
        <v>0</v>
      </c>
      <c r="BA969" s="39"/>
      <c r="BB969" s="39"/>
      <c r="BC969" s="39"/>
      <c r="BD969" s="39"/>
      <c r="BE969" s="39"/>
      <c r="BF969" s="39">
        <f t="shared" si="893"/>
        <v>0</v>
      </c>
      <c r="BG969" s="39"/>
      <c r="BH969" s="39"/>
      <c r="BI969" s="39"/>
      <c r="BJ969" s="39"/>
      <c r="BK969" s="39"/>
      <c r="BL969" s="39">
        <f t="shared" si="919"/>
        <v>0</v>
      </c>
      <c r="BM969" s="54" t="e">
        <f t="shared" si="894"/>
        <v>#DIV/0!</v>
      </c>
      <c r="BN969" s="65"/>
      <c r="BO969" s="36"/>
      <c r="BP969" s="36"/>
      <c r="BQ969" s="36"/>
      <c r="BR969" s="40"/>
      <c r="BS969" s="40"/>
      <c r="BT969" s="39"/>
      <c r="BU969" s="39"/>
      <c r="BV969" s="39"/>
      <c r="BW969" s="39"/>
      <c r="BX969" s="39"/>
      <c r="BY969" s="39"/>
      <c r="BZ969" s="39">
        <f t="shared" si="920"/>
        <v>0</v>
      </c>
      <c r="CA969" s="39">
        <f t="shared" si="895"/>
        <v>0</v>
      </c>
      <c r="CB969" s="39">
        <f t="shared" si="896"/>
        <v>0</v>
      </c>
      <c r="CC969" s="39">
        <f t="shared" si="897"/>
        <v>0</v>
      </c>
      <c r="CD969" s="39">
        <f t="shared" si="921"/>
        <v>0</v>
      </c>
      <c r="CE969" s="47" t="e">
        <f t="shared" si="898"/>
        <v>#DIV/0!</v>
      </c>
      <c r="CF969" s="36"/>
      <c r="CG969" s="39"/>
      <c r="CH969" s="39"/>
      <c r="CI969" s="25">
        <v>2</v>
      </c>
    </row>
    <row r="970" spans="1:87" ht="24.75" customHeight="1">
      <c r="A970" s="36" t="s">
        <v>20</v>
      </c>
      <c r="B970" s="29"/>
      <c r="C970" s="36"/>
      <c r="D970" s="36"/>
      <c r="E970" s="39"/>
      <c r="F970" s="39"/>
      <c r="G970" s="36"/>
      <c r="H970" s="39"/>
      <c r="I970" s="39"/>
      <c r="J970" s="39"/>
      <c r="K970" s="39"/>
      <c r="L970" s="39">
        <f t="shared" si="945"/>
        <v>0</v>
      </c>
      <c r="M970" s="39"/>
      <c r="N970" s="39"/>
      <c r="O970" s="39"/>
      <c r="P970" s="39"/>
      <c r="Q970" s="39"/>
      <c r="R970" s="39">
        <f t="shared" si="946"/>
        <v>0</v>
      </c>
      <c r="S970" s="39"/>
      <c r="T970" s="39"/>
      <c r="U970" s="39"/>
      <c r="V970" s="39"/>
      <c r="W970" s="39"/>
      <c r="X970" s="39"/>
      <c r="Y970" s="39"/>
      <c r="Z970" s="39"/>
      <c r="AA970" s="39"/>
      <c r="AB970" s="39">
        <f t="shared" si="947"/>
        <v>0</v>
      </c>
      <c r="AC970" s="39"/>
      <c r="AD970" s="39"/>
      <c r="AE970" s="39"/>
      <c r="AF970" s="39"/>
      <c r="AG970" s="39"/>
      <c r="AH970" s="39">
        <f t="shared" si="918"/>
        <v>0</v>
      </c>
      <c r="AI970" s="39"/>
      <c r="AJ970" s="39"/>
      <c r="AK970" s="39"/>
      <c r="AL970" s="39"/>
      <c r="AM970" s="39"/>
      <c r="AN970" s="39">
        <f t="shared" si="917"/>
        <v>0</v>
      </c>
      <c r="AO970" s="39"/>
      <c r="AP970" s="39"/>
      <c r="AQ970" s="39"/>
      <c r="AR970" s="39"/>
      <c r="AS970" s="39"/>
      <c r="AT970" s="39">
        <f t="shared" si="891"/>
        <v>0</v>
      </c>
      <c r="AU970" s="39"/>
      <c r="AV970" s="39"/>
      <c r="AW970" s="39"/>
      <c r="AX970" s="39"/>
      <c r="AY970" s="39"/>
      <c r="AZ970" s="39">
        <f t="shared" si="892"/>
        <v>0</v>
      </c>
      <c r="BA970" s="39"/>
      <c r="BB970" s="39"/>
      <c r="BC970" s="39"/>
      <c r="BD970" s="39"/>
      <c r="BE970" s="39"/>
      <c r="BF970" s="39">
        <f t="shared" si="893"/>
        <v>0</v>
      </c>
      <c r="BG970" s="39"/>
      <c r="BH970" s="39"/>
      <c r="BI970" s="39"/>
      <c r="BJ970" s="39"/>
      <c r="BK970" s="39"/>
      <c r="BL970" s="39">
        <f t="shared" si="919"/>
        <v>0</v>
      </c>
      <c r="BM970" s="54" t="e">
        <f t="shared" si="894"/>
        <v>#DIV/0!</v>
      </c>
      <c r="BN970" s="65"/>
      <c r="BO970" s="36"/>
      <c r="BP970" s="36"/>
      <c r="BQ970" s="36"/>
      <c r="BR970" s="40"/>
      <c r="BS970" s="40"/>
      <c r="BT970" s="39"/>
      <c r="BU970" s="39"/>
      <c r="BV970" s="39"/>
      <c r="BW970" s="39"/>
      <c r="BX970" s="39"/>
      <c r="BY970" s="39"/>
      <c r="BZ970" s="39">
        <f t="shared" si="920"/>
        <v>0</v>
      </c>
      <c r="CA970" s="39">
        <f t="shared" si="895"/>
        <v>0</v>
      </c>
      <c r="CB970" s="39">
        <f t="shared" si="896"/>
        <v>0</v>
      </c>
      <c r="CC970" s="39">
        <f t="shared" si="897"/>
        <v>0</v>
      </c>
      <c r="CD970" s="39">
        <f t="shared" si="921"/>
        <v>0</v>
      </c>
      <c r="CE970" s="47" t="e">
        <f t="shared" si="898"/>
        <v>#DIV/0!</v>
      </c>
      <c r="CF970" s="36"/>
      <c r="CG970" s="39"/>
      <c r="CH970" s="39"/>
      <c r="CI970" s="25">
        <v>2</v>
      </c>
    </row>
    <row r="971" spans="1:87" ht="24.75" customHeight="1">
      <c r="A971" s="36" t="s">
        <v>20</v>
      </c>
      <c r="B971" s="29"/>
      <c r="C971" s="36"/>
      <c r="D971" s="36"/>
      <c r="E971" s="39"/>
      <c r="F971" s="39"/>
      <c r="G971" s="36"/>
      <c r="H971" s="39"/>
      <c r="I971" s="39"/>
      <c r="J971" s="39"/>
      <c r="K971" s="39"/>
      <c r="L971" s="39">
        <f t="shared" si="945"/>
        <v>0</v>
      </c>
      <c r="M971" s="39"/>
      <c r="N971" s="39"/>
      <c r="O971" s="39"/>
      <c r="P971" s="39"/>
      <c r="Q971" s="39"/>
      <c r="R971" s="39">
        <f t="shared" si="946"/>
        <v>0</v>
      </c>
      <c r="S971" s="39"/>
      <c r="T971" s="39"/>
      <c r="U971" s="39"/>
      <c r="V971" s="39"/>
      <c r="W971" s="39"/>
      <c r="X971" s="39"/>
      <c r="Y971" s="39"/>
      <c r="Z971" s="39"/>
      <c r="AA971" s="39"/>
      <c r="AB971" s="39">
        <f t="shared" si="947"/>
        <v>0</v>
      </c>
      <c r="AC971" s="39"/>
      <c r="AD971" s="39"/>
      <c r="AE971" s="39"/>
      <c r="AF971" s="39"/>
      <c r="AG971" s="39"/>
      <c r="AH971" s="39">
        <f t="shared" si="918"/>
        <v>0</v>
      </c>
      <c r="AI971" s="39"/>
      <c r="AJ971" s="39"/>
      <c r="AK971" s="39"/>
      <c r="AL971" s="39"/>
      <c r="AM971" s="39"/>
      <c r="AN971" s="39">
        <f t="shared" si="917"/>
        <v>0</v>
      </c>
      <c r="AO971" s="39"/>
      <c r="AP971" s="39"/>
      <c r="AQ971" s="39"/>
      <c r="AR971" s="39"/>
      <c r="AS971" s="39"/>
      <c r="AT971" s="39">
        <f t="shared" si="891"/>
        <v>0</v>
      </c>
      <c r="AU971" s="39"/>
      <c r="AV971" s="39"/>
      <c r="AW971" s="39"/>
      <c r="AX971" s="39"/>
      <c r="AY971" s="39"/>
      <c r="AZ971" s="39">
        <f t="shared" si="892"/>
        <v>0</v>
      </c>
      <c r="BA971" s="39"/>
      <c r="BB971" s="39"/>
      <c r="BC971" s="39"/>
      <c r="BD971" s="39"/>
      <c r="BE971" s="39"/>
      <c r="BF971" s="39">
        <f t="shared" si="893"/>
        <v>0</v>
      </c>
      <c r="BG971" s="39"/>
      <c r="BH971" s="39"/>
      <c r="BI971" s="39"/>
      <c r="BJ971" s="39"/>
      <c r="BK971" s="39"/>
      <c r="BL971" s="39">
        <f t="shared" si="919"/>
        <v>0</v>
      </c>
      <c r="BM971" s="54" t="e">
        <f t="shared" si="894"/>
        <v>#DIV/0!</v>
      </c>
      <c r="BN971" s="65"/>
      <c r="BO971" s="36"/>
      <c r="BP971" s="36"/>
      <c r="BQ971" s="36"/>
      <c r="BR971" s="40"/>
      <c r="BS971" s="40"/>
      <c r="BT971" s="39"/>
      <c r="BU971" s="39"/>
      <c r="BV971" s="39"/>
      <c r="BW971" s="39"/>
      <c r="BX971" s="39"/>
      <c r="BY971" s="39"/>
      <c r="BZ971" s="39">
        <f t="shared" si="920"/>
        <v>0</v>
      </c>
      <c r="CA971" s="39">
        <f t="shared" si="895"/>
        <v>0</v>
      </c>
      <c r="CB971" s="39">
        <f t="shared" si="896"/>
        <v>0</v>
      </c>
      <c r="CC971" s="39">
        <f t="shared" si="897"/>
        <v>0</v>
      </c>
      <c r="CD971" s="39">
        <f t="shared" si="921"/>
        <v>0</v>
      </c>
      <c r="CE971" s="47" t="e">
        <f t="shared" si="898"/>
        <v>#DIV/0!</v>
      </c>
      <c r="CF971" s="36"/>
      <c r="CG971" s="39"/>
      <c r="CH971" s="39"/>
      <c r="CI971" s="25">
        <v>2</v>
      </c>
    </row>
    <row r="972" spans="1:87" ht="24.75" customHeight="1">
      <c r="A972" s="36" t="s">
        <v>20</v>
      </c>
      <c r="B972" s="29"/>
      <c r="C972" s="36"/>
      <c r="D972" s="36"/>
      <c r="E972" s="39"/>
      <c r="F972" s="39"/>
      <c r="G972" s="36"/>
      <c r="H972" s="39"/>
      <c r="I972" s="39"/>
      <c r="J972" s="39"/>
      <c r="K972" s="39"/>
      <c r="L972" s="39">
        <f t="shared" si="945"/>
        <v>0</v>
      </c>
      <c r="M972" s="39"/>
      <c r="N972" s="39"/>
      <c r="O972" s="39"/>
      <c r="P972" s="39"/>
      <c r="Q972" s="39"/>
      <c r="R972" s="39">
        <f t="shared" si="946"/>
        <v>0</v>
      </c>
      <c r="S972" s="39"/>
      <c r="T972" s="39"/>
      <c r="U972" s="39"/>
      <c r="V972" s="39"/>
      <c r="W972" s="39"/>
      <c r="X972" s="39"/>
      <c r="Y972" s="39"/>
      <c r="Z972" s="39"/>
      <c r="AA972" s="39"/>
      <c r="AB972" s="39">
        <f t="shared" si="947"/>
        <v>0</v>
      </c>
      <c r="AC972" s="39"/>
      <c r="AD972" s="39"/>
      <c r="AE972" s="39"/>
      <c r="AF972" s="39"/>
      <c r="AG972" s="39"/>
      <c r="AH972" s="39">
        <f t="shared" si="918"/>
        <v>0</v>
      </c>
      <c r="AI972" s="39"/>
      <c r="AJ972" s="39"/>
      <c r="AK972" s="39"/>
      <c r="AL972" s="39"/>
      <c r="AM972" s="39"/>
      <c r="AN972" s="39">
        <f t="shared" si="917"/>
        <v>0</v>
      </c>
      <c r="AO972" s="39"/>
      <c r="AP972" s="39"/>
      <c r="AQ972" s="39"/>
      <c r="AR972" s="39"/>
      <c r="AS972" s="39"/>
      <c r="AT972" s="39">
        <f t="shared" si="891"/>
        <v>0</v>
      </c>
      <c r="AU972" s="39"/>
      <c r="AV972" s="39"/>
      <c r="AW972" s="39"/>
      <c r="AX972" s="39"/>
      <c r="AY972" s="39"/>
      <c r="AZ972" s="39">
        <f t="shared" si="892"/>
        <v>0</v>
      </c>
      <c r="BA972" s="39"/>
      <c r="BB972" s="39"/>
      <c r="BC972" s="39"/>
      <c r="BD972" s="39"/>
      <c r="BE972" s="39"/>
      <c r="BF972" s="39">
        <f t="shared" si="893"/>
        <v>0</v>
      </c>
      <c r="BG972" s="39"/>
      <c r="BH972" s="39"/>
      <c r="BI972" s="39"/>
      <c r="BJ972" s="39"/>
      <c r="BK972" s="39"/>
      <c r="BL972" s="39">
        <f t="shared" si="919"/>
        <v>0</v>
      </c>
      <c r="BM972" s="54" t="e">
        <f t="shared" si="894"/>
        <v>#DIV/0!</v>
      </c>
      <c r="BN972" s="65"/>
      <c r="BO972" s="36"/>
      <c r="BP972" s="36"/>
      <c r="BQ972" s="36"/>
      <c r="BR972" s="40"/>
      <c r="BS972" s="40"/>
      <c r="BT972" s="39"/>
      <c r="BU972" s="39"/>
      <c r="BV972" s="39"/>
      <c r="BW972" s="39"/>
      <c r="BX972" s="39"/>
      <c r="BY972" s="39"/>
      <c r="BZ972" s="39">
        <f t="shared" si="920"/>
        <v>0</v>
      </c>
      <c r="CA972" s="39">
        <f t="shared" si="895"/>
        <v>0</v>
      </c>
      <c r="CB972" s="39">
        <f t="shared" si="896"/>
        <v>0</v>
      </c>
      <c r="CC972" s="39">
        <f t="shared" si="897"/>
        <v>0</v>
      </c>
      <c r="CD972" s="39">
        <f t="shared" si="921"/>
        <v>0</v>
      </c>
      <c r="CE972" s="47" t="e">
        <f t="shared" si="898"/>
        <v>#DIV/0!</v>
      </c>
      <c r="CF972" s="36"/>
      <c r="CG972" s="39"/>
      <c r="CH972" s="39"/>
      <c r="CI972" s="25">
        <v>2</v>
      </c>
    </row>
    <row r="973" spans="1:87" ht="24.75" customHeight="1">
      <c r="A973" s="36" t="s">
        <v>20</v>
      </c>
      <c r="B973" s="29"/>
      <c r="C973" s="36"/>
      <c r="D973" s="36"/>
      <c r="E973" s="39"/>
      <c r="F973" s="39"/>
      <c r="G973" s="36"/>
      <c r="H973" s="39"/>
      <c r="I973" s="39"/>
      <c r="J973" s="39"/>
      <c r="K973" s="39"/>
      <c r="L973" s="39">
        <f t="shared" si="945"/>
        <v>0</v>
      </c>
      <c r="M973" s="39"/>
      <c r="N973" s="39"/>
      <c r="O973" s="39"/>
      <c r="P973" s="39"/>
      <c r="Q973" s="39"/>
      <c r="R973" s="39">
        <f t="shared" si="946"/>
        <v>0</v>
      </c>
      <c r="S973" s="39"/>
      <c r="T973" s="39"/>
      <c r="U973" s="39"/>
      <c r="V973" s="39"/>
      <c r="W973" s="39"/>
      <c r="X973" s="39"/>
      <c r="Y973" s="39"/>
      <c r="Z973" s="39"/>
      <c r="AA973" s="39"/>
      <c r="AB973" s="39">
        <f t="shared" si="947"/>
        <v>0</v>
      </c>
      <c r="AC973" s="39"/>
      <c r="AD973" s="39"/>
      <c r="AE973" s="39"/>
      <c r="AF973" s="39"/>
      <c r="AG973" s="39"/>
      <c r="AH973" s="39">
        <f t="shared" si="918"/>
        <v>0</v>
      </c>
      <c r="AI973" s="39"/>
      <c r="AJ973" s="39"/>
      <c r="AK973" s="39"/>
      <c r="AL973" s="39"/>
      <c r="AM973" s="39"/>
      <c r="AN973" s="39">
        <f t="shared" si="917"/>
        <v>0</v>
      </c>
      <c r="AO973" s="39"/>
      <c r="AP973" s="39"/>
      <c r="AQ973" s="39"/>
      <c r="AR973" s="39"/>
      <c r="AS973" s="39"/>
      <c r="AT973" s="39">
        <f t="shared" si="891"/>
        <v>0</v>
      </c>
      <c r="AU973" s="39"/>
      <c r="AV973" s="39"/>
      <c r="AW973" s="39"/>
      <c r="AX973" s="39"/>
      <c r="AY973" s="39"/>
      <c r="AZ973" s="39">
        <f t="shared" si="892"/>
        <v>0</v>
      </c>
      <c r="BA973" s="39"/>
      <c r="BB973" s="39"/>
      <c r="BC973" s="39"/>
      <c r="BD973" s="39"/>
      <c r="BE973" s="39"/>
      <c r="BF973" s="39">
        <f t="shared" si="893"/>
        <v>0</v>
      </c>
      <c r="BG973" s="39"/>
      <c r="BH973" s="39"/>
      <c r="BI973" s="39"/>
      <c r="BJ973" s="39"/>
      <c r="BK973" s="39"/>
      <c r="BL973" s="39">
        <f t="shared" si="919"/>
        <v>0</v>
      </c>
      <c r="BM973" s="54" t="e">
        <f t="shared" si="894"/>
        <v>#DIV/0!</v>
      </c>
      <c r="BN973" s="65"/>
      <c r="BO973" s="36"/>
      <c r="BP973" s="36"/>
      <c r="BQ973" s="36"/>
      <c r="BR973" s="40"/>
      <c r="BS973" s="40"/>
      <c r="BT973" s="39"/>
      <c r="BU973" s="39"/>
      <c r="BV973" s="39"/>
      <c r="BW973" s="39"/>
      <c r="BX973" s="39"/>
      <c r="BY973" s="39"/>
      <c r="BZ973" s="39">
        <f t="shared" si="920"/>
        <v>0</v>
      </c>
      <c r="CA973" s="39">
        <f t="shared" si="895"/>
        <v>0</v>
      </c>
      <c r="CB973" s="39">
        <f t="shared" si="896"/>
        <v>0</v>
      </c>
      <c r="CC973" s="39">
        <f t="shared" si="897"/>
        <v>0</v>
      </c>
      <c r="CD973" s="39">
        <f t="shared" si="921"/>
        <v>0</v>
      </c>
      <c r="CE973" s="47" t="e">
        <f t="shared" si="898"/>
        <v>#DIV/0!</v>
      </c>
      <c r="CF973" s="36"/>
      <c r="CG973" s="39"/>
      <c r="CH973" s="39"/>
      <c r="CI973" s="25">
        <v>2</v>
      </c>
    </row>
    <row r="974" spans="1:87" ht="24.75" customHeight="1">
      <c r="A974" s="36" t="s">
        <v>20</v>
      </c>
      <c r="B974" s="29"/>
      <c r="C974" s="36"/>
      <c r="D974" s="36"/>
      <c r="E974" s="39"/>
      <c r="F974" s="39"/>
      <c r="G974" s="36"/>
      <c r="H974" s="39"/>
      <c r="I974" s="39"/>
      <c r="J974" s="39"/>
      <c r="K974" s="39"/>
      <c r="L974" s="39">
        <f t="shared" si="945"/>
        <v>0</v>
      </c>
      <c r="M974" s="39"/>
      <c r="N974" s="39"/>
      <c r="O974" s="39"/>
      <c r="P974" s="39"/>
      <c r="Q974" s="39"/>
      <c r="R974" s="39">
        <f t="shared" si="946"/>
        <v>0</v>
      </c>
      <c r="S974" s="39"/>
      <c r="T974" s="39"/>
      <c r="U974" s="39"/>
      <c r="V974" s="39"/>
      <c r="W974" s="39"/>
      <c r="X974" s="39"/>
      <c r="Y974" s="39"/>
      <c r="Z974" s="39"/>
      <c r="AA974" s="39"/>
      <c r="AB974" s="39">
        <f t="shared" si="947"/>
        <v>0</v>
      </c>
      <c r="AC974" s="39"/>
      <c r="AD974" s="39"/>
      <c r="AE974" s="39"/>
      <c r="AF974" s="39"/>
      <c r="AG974" s="39"/>
      <c r="AH974" s="39">
        <f t="shared" si="918"/>
        <v>0</v>
      </c>
      <c r="AI974" s="39"/>
      <c r="AJ974" s="39"/>
      <c r="AK974" s="39"/>
      <c r="AL974" s="39"/>
      <c r="AM974" s="39"/>
      <c r="AN974" s="39">
        <f t="shared" si="917"/>
        <v>0</v>
      </c>
      <c r="AO974" s="39"/>
      <c r="AP974" s="39"/>
      <c r="AQ974" s="39"/>
      <c r="AR974" s="39"/>
      <c r="AS974" s="39"/>
      <c r="AT974" s="39">
        <f t="shared" si="891"/>
        <v>0</v>
      </c>
      <c r="AU974" s="39"/>
      <c r="AV974" s="39"/>
      <c r="AW974" s="39"/>
      <c r="AX974" s="39"/>
      <c r="AY974" s="39"/>
      <c r="AZ974" s="39">
        <f t="shared" si="892"/>
        <v>0</v>
      </c>
      <c r="BA974" s="39"/>
      <c r="BB974" s="39"/>
      <c r="BC974" s="39"/>
      <c r="BD974" s="39"/>
      <c r="BE974" s="39"/>
      <c r="BF974" s="39">
        <f t="shared" si="893"/>
        <v>0</v>
      </c>
      <c r="BG974" s="39"/>
      <c r="BH974" s="39"/>
      <c r="BI974" s="39"/>
      <c r="BJ974" s="39"/>
      <c r="BK974" s="39"/>
      <c r="BL974" s="39">
        <f t="shared" si="919"/>
        <v>0</v>
      </c>
      <c r="BM974" s="54" t="e">
        <f t="shared" si="894"/>
        <v>#DIV/0!</v>
      </c>
      <c r="BN974" s="65"/>
      <c r="BO974" s="36"/>
      <c r="BP974" s="36"/>
      <c r="BQ974" s="36"/>
      <c r="BR974" s="40"/>
      <c r="BS974" s="40"/>
      <c r="BT974" s="39"/>
      <c r="BU974" s="39"/>
      <c r="BV974" s="39"/>
      <c r="BW974" s="39"/>
      <c r="BX974" s="39"/>
      <c r="BY974" s="39"/>
      <c r="BZ974" s="39">
        <f t="shared" si="920"/>
        <v>0</v>
      </c>
      <c r="CA974" s="39">
        <f t="shared" si="895"/>
        <v>0</v>
      </c>
      <c r="CB974" s="39">
        <f t="shared" si="896"/>
        <v>0</v>
      </c>
      <c r="CC974" s="39">
        <f t="shared" si="897"/>
        <v>0</v>
      </c>
      <c r="CD974" s="39">
        <f t="shared" si="921"/>
        <v>0</v>
      </c>
      <c r="CE974" s="47" t="e">
        <f t="shared" si="898"/>
        <v>#DIV/0!</v>
      </c>
      <c r="CF974" s="36"/>
      <c r="CG974" s="39"/>
      <c r="CH974" s="39"/>
      <c r="CI974" s="25">
        <v>2</v>
      </c>
    </row>
    <row r="975" spans="1:87" ht="24.75" customHeight="1">
      <c r="A975" s="36" t="s">
        <v>20</v>
      </c>
      <c r="B975" s="29"/>
      <c r="C975" s="36"/>
      <c r="D975" s="36"/>
      <c r="E975" s="39"/>
      <c r="F975" s="39"/>
      <c r="G975" s="36"/>
      <c r="H975" s="39"/>
      <c r="I975" s="39"/>
      <c r="J975" s="39"/>
      <c r="K975" s="39"/>
      <c r="L975" s="39">
        <f t="shared" si="945"/>
        <v>0</v>
      </c>
      <c r="M975" s="39"/>
      <c r="N975" s="39"/>
      <c r="O975" s="39"/>
      <c r="P975" s="39"/>
      <c r="Q975" s="39"/>
      <c r="R975" s="39">
        <f t="shared" si="946"/>
        <v>0</v>
      </c>
      <c r="S975" s="39"/>
      <c r="T975" s="39"/>
      <c r="U975" s="39"/>
      <c r="V975" s="39"/>
      <c r="W975" s="39"/>
      <c r="X975" s="39"/>
      <c r="Y975" s="39"/>
      <c r="Z975" s="39"/>
      <c r="AA975" s="39"/>
      <c r="AB975" s="39">
        <f t="shared" si="947"/>
        <v>0</v>
      </c>
      <c r="AC975" s="39"/>
      <c r="AD975" s="39"/>
      <c r="AE975" s="39"/>
      <c r="AF975" s="39"/>
      <c r="AG975" s="39"/>
      <c r="AH975" s="39">
        <f t="shared" si="918"/>
        <v>0</v>
      </c>
      <c r="AI975" s="39"/>
      <c r="AJ975" s="39"/>
      <c r="AK975" s="39"/>
      <c r="AL975" s="39"/>
      <c r="AM975" s="39"/>
      <c r="AN975" s="39">
        <f t="shared" si="917"/>
        <v>0</v>
      </c>
      <c r="AO975" s="39"/>
      <c r="AP975" s="39"/>
      <c r="AQ975" s="39"/>
      <c r="AR975" s="39"/>
      <c r="AS975" s="39"/>
      <c r="AT975" s="39">
        <f t="shared" si="891"/>
        <v>0</v>
      </c>
      <c r="AU975" s="39"/>
      <c r="AV975" s="39"/>
      <c r="AW975" s="39"/>
      <c r="AX975" s="39"/>
      <c r="AY975" s="39"/>
      <c r="AZ975" s="39">
        <f t="shared" si="892"/>
        <v>0</v>
      </c>
      <c r="BA975" s="39"/>
      <c r="BB975" s="39"/>
      <c r="BC975" s="39"/>
      <c r="BD975" s="39"/>
      <c r="BE975" s="39"/>
      <c r="BF975" s="39">
        <f t="shared" si="893"/>
        <v>0</v>
      </c>
      <c r="BG975" s="39"/>
      <c r="BH975" s="39"/>
      <c r="BI975" s="39"/>
      <c r="BJ975" s="39"/>
      <c r="BK975" s="39"/>
      <c r="BL975" s="39">
        <f t="shared" si="919"/>
        <v>0</v>
      </c>
      <c r="BM975" s="54" t="e">
        <f t="shared" si="894"/>
        <v>#DIV/0!</v>
      </c>
      <c r="BN975" s="65"/>
      <c r="BO975" s="36"/>
      <c r="BP975" s="36"/>
      <c r="BQ975" s="36"/>
      <c r="BR975" s="40"/>
      <c r="BS975" s="40"/>
      <c r="BT975" s="39"/>
      <c r="BU975" s="39"/>
      <c r="BV975" s="39"/>
      <c r="BW975" s="39"/>
      <c r="BX975" s="39"/>
      <c r="BY975" s="39"/>
      <c r="BZ975" s="39">
        <f t="shared" si="920"/>
        <v>0</v>
      </c>
      <c r="CA975" s="39">
        <f t="shared" si="895"/>
        <v>0</v>
      </c>
      <c r="CB975" s="39">
        <f t="shared" si="896"/>
        <v>0</v>
      </c>
      <c r="CC975" s="39">
        <f t="shared" si="897"/>
        <v>0</v>
      </c>
      <c r="CD975" s="39">
        <f t="shared" si="921"/>
        <v>0</v>
      </c>
      <c r="CE975" s="47" t="e">
        <f t="shared" si="898"/>
        <v>#DIV/0!</v>
      </c>
      <c r="CF975" s="36"/>
      <c r="CG975" s="39"/>
      <c r="CH975" s="39"/>
      <c r="CI975" s="25">
        <v>2</v>
      </c>
    </row>
    <row r="976" spans="1:87" ht="24.75" customHeight="1">
      <c r="A976" s="36" t="s">
        <v>20</v>
      </c>
      <c r="B976" s="29"/>
      <c r="C976" s="36"/>
      <c r="D976" s="36"/>
      <c r="E976" s="39"/>
      <c r="F976" s="39"/>
      <c r="G976" s="36"/>
      <c r="H976" s="39"/>
      <c r="I976" s="39"/>
      <c r="J976" s="39"/>
      <c r="K976" s="39"/>
      <c r="L976" s="39">
        <f t="shared" si="945"/>
        <v>0</v>
      </c>
      <c r="M976" s="39"/>
      <c r="N976" s="39"/>
      <c r="O976" s="39"/>
      <c r="P976" s="39"/>
      <c r="Q976" s="39"/>
      <c r="R976" s="39">
        <f t="shared" si="946"/>
        <v>0</v>
      </c>
      <c r="S976" s="39"/>
      <c r="T976" s="39"/>
      <c r="U976" s="39"/>
      <c r="V976" s="39"/>
      <c r="W976" s="39"/>
      <c r="X976" s="39"/>
      <c r="Y976" s="39"/>
      <c r="Z976" s="39"/>
      <c r="AA976" s="39"/>
      <c r="AB976" s="39">
        <f t="shared" si="947"/>
        <v>0</v>
      </c>
      <c r="AC976" s="39"/>
      <c r="AD976" s="39"/>
      <c r="AE976" s="39"/>
      <c r="AF976" s="39"/>
      <c r="AG976" s="39"/>
      <c r="AH976" s="39">
        <f t="shared" si="918"/>
        <v>0</v>
      </c>
      <c r="AI976" s="39"/>
      <c r="AJ976" s="39"/>
      <c r="AK976" s="39"/>
      <c r="AL976" s="39"/>
      <c r="AM976" s="39"/>
      <c r="AN976" s="39">
        <f t="shared" si="917"/>
        <v>0</v>
      </c>
      <c r="AO976" s="39"/>
      <c r="AP976" s="39"/>
      <c r="AQ976" s="39"/>
      <c r="AR976" s="39"/>
      <c r="AS976" s="39"/>
      <c r="AT976" s="39">
        <f t="shared" si="891"/>
        <v>0</v>
      </c>
      <c r="AU976" s="39"/>
      <c r="AV976" s="39"/>
      <c r="AW976" s="39"/>
      <c r="AX976" s="39"/>
      <c r="AY976" s="39"/>
      <c r="AZ976" s="39">
        <f t="shared" si="892"/>
        <v>0</v>
      </c>
      <c r="BA976" s="39"/>
      <c r="BB976" s="39"/>
      <c r="BC976" s="39"/>
      <c r="BD976" s="39"/>
      <c r="BE976" s="39"/>
      <c r="BF976" s="39">
        <f t="shared" si="893"/>
        <v>0</v>
      </c>
      <c r="BG976" s="39"/>
      <c r="BH976" s="39"/>
      <c r="BI976" s="39"/>
      <c r="BJ976" s="39"/>
      <c r="BK976" s="39"/>
      <c r="BL976" s="39">
        <f t="shared" si="919"/>
        <v>0</v>
      </c>
      <c r="BM976" s="54" t="e">
        <f t="shared" si="894"/>
        <v>#DIV/0!</v>
      </c>
      <c r="BN976" s="65"/>
      <c r="BO976" s="36"/>
      <c r="BP976" s="36"/>
      <c r="BQ976" s="36"/>
      <c r="BR976" s="40"/>
      <c r="BS976" s="40"/>
      <c r="BT976" s="39"/>
      <c r="BU976" s="39"/>
      <c r="BV976" s="39"/>
      <c r="BW976" s="39"/>
      <c r="BX976" s="39"/>
      <c r="BY976" s="39"/>
      <c r="BZ976" s="39">
        <f t="shared" si="920"/>
        <v>0</v>
      </c>
      <c r="CA976" s="39">
        <f t="shared" si="895"/>
        <v>0</v>
      </c>
      <c r="CB976" s="39">
        <f t="shared" si="896"/>
        <v>0</v>
      </c>
      <c r="CC976" s="39">
        <f t="shared" si="897"/>
        <v>0</v>
      </c>
      <c r="CD976" s="39">
        <f t="shared" si="921"/>
        <v>0</v>
      </c>
      <c r="CE976" s="47" t="e">
        <f t="shared" si="898"/>
        <v>#DIV/0!</v>
      </c>
      <c r="CF976" s="36"/>
      <c r="CG976" s="39"/>
      <c r="CH976" s="39"/>
      <c r="CI976" s="25">
        <v>2</v>
      </c>
    </row>
    <row r="977" spans="1:87" ht="24.75" customHeight="1">
      <c r="A977" s="36" t="s">
        <v>20</v>
      </c>
      <c r="B977" s="29"/>
      <c r="C977" s="36"/>
      <c r="D977" s="36"/>
      <c r="E977" s="39"/>
      <c r="F977" s="39"/>
      <c r="G977" s="36"/>
      <c r="H977" s="39"/>
      <c r="I977" s="39"/>
      <c r="J977" s="39"/>
      <c r="K977" s="39"/>
      <c r="L977" s="39">
        <f t="shared" si="945"/>
        <v>0</v>
      </c>
      <c r="M977" s="39"/>
      <c r="N977" s="39"/>
      <c r="O977" s="39"/>
      <c r="P977" s="39"/>
      <c r="Q977" s="39"/>
      <c r="R977" s="39">
        <f t="shared" si="946"/>
        <v>0</v>
      </c>
      <c r="S977" s="39"/>
      <c r="T977" s="39"/>
      <c r="U977" s="39"/>
      <c r="V977" s="39"/>
      <c r="W977" s="39"/>
      <c r="X977" s="39"/>
      <c r="Y977" s="39"/>
      <c r="Z977" s="39"/>
      <c r="AA977" s="39"/>
      <c r="AB977" s="39">
        <f t="shared" si="947"/>
        <v>0</v>
      </c>
      <c r="AC977" s="39"/>
      <c r="AD977" s="39"/>
      <c r="AE977" s="39"/>
      <c r="AF977" s="39"/>
      <c r="AG977" s="39"/>
      <c r="AH977" s="39">
        <f t="shared" si="918"/>
        <v>0</v>
      </c>
      <c r="AI977" s="39"/>
      <c r="AJ977" s="39"/>
      <c r="AK977" s="39"/>
      <c r="AL977" s="39"/>
      <c r="AM977" s="39"/>
      <c r="AN977" s="39">
        <f t="shared" si="917"/>
        <v>0</v>
      </c>
      <c r="AO977" s="39"/>
      <c r="AP977" s="39"/>
      <c r="AQ977" s="39"/>
      <c r="AR977" s="39"/>
      <c r="AS977" s="39"/>
      <c r="AT977" s="39">
        <f t="shared" si="891"/>
        <v>0</v>
      </c>
      <c r="AU977" s="39"/>
      <c r="AV977" s="39"/>
      <c r="AW977" s="39"/>
      <c r="AX977" s="39"/>
      <c r="AY977" s="39"/>
      <c r="AZ977" s="39">
        <f t="shared" si="892"/>
        <v>0</v>
      </c>
      <c r="BA977" s="39"/>
      <c r="BB977" s="39"/>
      <c r="BC977" s="39"/>
      <c r="BD977" s="39"/>
      <c r="BE977" s="39"/>
      <c r="BF977" s="39">
        <f t="shared" si="893"/>
        <v>0</v>
      </c>
      <c r="BG977" s="39"/>
      <c r="BH977" s="39"/>
      <c r="BI977" s="39"/>
      <c r="BJ977" s="39"/>
      <c r="BK977" s="39"/>
      <c r="BL977" s="39">
        <f t="shared" si="919"/>
        <v>0</v>
      </c>
      <c r="BM977" s="54" t="e">
        <f t="shared" si="894"/>
        <v>#DIV/0!</v>
      </c>
      <c r="BN977" s="65"/>
      <c r="BO977" s="36"/>
      <c r="BP977" s="36"/>
      <c r="BQ977" s="36"/>
      <c r="BR977" s="40"/>
      <c r="BS977" s="40"/>
      <c r="BT977" s="39"/>
      <c r="BU977" s="39"/>
      <c r="BV977" s="39"/>
      <c r="BW977" s="39"/>
      <c r="BX977" s="39"/>
      <c r="BY977" s="39"/>
      <c r="BZ977" s="39">
        <f t="shared" si="920"/>
        <v>0</v>
      </c>
      <c r="CA977" s="39">
        <f t="shared" si="895"/>
        <v>0</v>
      </c>
      <c r="CB977" s="39">
        <f t="shared" si="896"/>
        <v>0</v>
      </c>
      <c r="CC977" s="39">
        <f t="shared" si="897"/>
        <v>0</v>
      </c>
      <c r="CD977" s="39">
        <f t="shared" si="921"/>
        <v>0</v>
      </c>
      <c r="CE977" s="47" t="e">
        <f t="shared" si="898"/>
        <v>#DIV/0!</v>
      </c>
      <c r="CF977" s="36"/>
      <c r="CG977" s="39"/>
      <c r="CH977" s="39"/>
      <c r="CI977" s="25">
        <v>2</v>
      </c>
    </row>
    <row r="978" spans="1:87" ht="24.75" customHeight="1">
      <c r="A978" s="36" t="s">
        <v>20</v>
      </c>
      <c r="B978" s="29"/>
      <c r="C978" s="36"/>
      <c r="D978" s="36"/>
      <c r="E978" s="39"/>
      <c r="F978" s="39"/>
      <c r="G978" s="36"/>
      <c r="H978" s="39"/>
      <c r="I978" s="39"/>
      <c r="J978" s="39"/>
      <c r="K978" s="39"/>
      <c r="L978" s="39">
        <f t="shared" si="945"/>
        <v>0</v>
      </c>
      <c r="M978" s="39"/>
      <c r="N978" s="39"/>
      <c r="O978" s="39"/>
      <c r="P978" s="39"/>
      <c r="Q978" s="39"/>
      <c r="R978" s="39">
        <f t="shared" si="946"/>
        <v>0</v>
      </c>
      <c r="S978" s="39"/>
      <c r="T978" s="39"/>
      <c r="U978" s="39"/>
      <c r="V978" s="39"/>
      <c r="W978" s="39"/>
      <c r="X978" s="39"/>
      <c r="Y978" s="39"/>
      <c r="Z978" s="39"/>
      <c r="AA978" s="39"/>
      <c r="AB978" s="39">
        <f t="shared" si="947"/>
        <v>0</v>
      </c>
      <c r="AC978" s="39"/>
      <c r="AD978" s="39"/>
      <c r="AE978" s="39"/>
      <c r="AF978" s="39"/>
      <c r="AG978" s="39"/>
      <c r="AH978" s="39">
        <f t="shared" si="918"/>
        <v>0</v>
      </c>
      <c r="AI978" s="39"/>
      <c r="AJ978" s="39"/>
      <c r="AK978" s="39"/>
      <c r="AL978" s="39"/>
      <c r="AM978" s="39"/>
      <c r="AN978" s="39">
        <f t="shared" si="917"/>
        <v>0</v>
      </c>
      <c r="AO978" s="39"/>
      <c r="AP978" s="39"/>
      <c r="AQ978" s="39"/>
      <c r="AR978" s="39"/>
      <c r="AS978" s="39"/>
      <c r="AT978" s="39">
        <f t="shared" si="891"/>
        <v>0</v>
      </c>
      <c r="AU978" s="39"/>
      <c r="AV978" s="39"/>
      <c r="AW978" s="39"/>
      <c r="AX978" s="39"/>
      <c r="AY978" s="39"/>
      <c r="AZ978" s="39">
        <f t="shared" si="892"/>
        <v>0</v>
      </c>
      <c r="BA978" s="39"/>
      <c r="BB978" s="39"/>
      <c r="BC978" s="39"/>
      <c r="BD978" s="39"/>
      <c r="BE978" s="39"/>
      <c r="BF978" s="39">
        <f t="shared" si="893"/>
        <v>0</v>
      </c>
      <c r="BG978" s="39"/>
      <c r="BH978" s="39"/>
      <c r="BI978" s="39"/>
      <c r="BJ978" s="39"/>
      <c r="BK978" s="39"/>
      <c r="BL978" s="39">
        <f t="shared" si="919"/>
        <v>0</v>
      </c>
      <c r="BM978" s="54" t="e">
        <f t="shared" si="894"/>
        <v>#DIV/0!</v>
      </c>
      <c r="BN978" s="65"/>
      <c r="BO978" s="36"/>
      <c r="BP978" s="36"/>
      <c r="BQ978" s="36"/>
      <c r="BR978" s="40"/>
      <c r="BS978" s="40"/>
      <c r="BT978" s="39"/>
      <c r="BU978" s="39"/>
      <c r="BV978" s="39"/>
      <c r="BW978" s="39"/>
      <c r="BX978" s="39"/>
      <c r="BY978" s="39"/>
      <c r="BZ978" s="39">
        <f t="shared" si="920"/>
        <v>0</v>
      </c>
      <c r="CA978" s="39">
        <f t="shared" si="895"/>
        <v>0</v>
      </c>
      <c r="CB978" s="39">
        <f t="shared" si="896"/>
        <v>0</v>
      </c>
      <c r="CC978" s="39">
        <f t="shared" si="897"/>
        <v>0</v>
      </c>
      <c r="CD978" s="39">
        <f t="shared" si="921"/>
        <v>0</v>
      </c>
      <c r="CE978" s="47" t="e">
        <f t="shared" si="898"/>
        <v>#DIV/0!</v>
      </c>
      <c r="CF978" s="36"/>
      <c r="CG978" s="39"/>
      <c r="CH978" s="39"/>
      <c r="CI978" s="25">
        <v>2</v>
      </c>
    </row>
    <row r="979" spans="1:87" ht="24.75" customHeight="1">
      <c r="A979" s="36" t="s">
        <v>20</v>
      </c>
      <c r="B979" s="29" t="s">
        <v>877</v>
      </c>
      <c r="C979" s="227" t="s">
        <v>1023</v>
      </c>
      <c r="D979" s="36"/>
      <c r="E979" s="39">
        <v>180</v>
      </c>
      <c r="F979" s="39" t="s">
        <v>53</v>
      </c>
      <c r="G979" s="36" t="s">
        <v>23</v>
      </c>
      <c r="H979" s="39" t="s">
        <v>87</v>
      </c>
      <c r="I979" s="39">
        <v>585</v>
      </c>
      <c r="J979" s="39"/>
      <c r="K979" s="39"/>
      <c r="L979" s="39">
        <f t="shared" si="945"/>
        <v>585</v>
      </c>
      <c r="M979" s="57">
        <v>46186</v>
      </c>
      <c r="N979" s="57">
        <v>46195</v>
      </c>
      <c r="O979" s="39"/>
      <c r="P979" s="39"/>
      <c r="Q979" s="39"/>
      <c r="R979" s="39">
        <f t="shared" si="946"/>
        <v>0</v>
      </c>
      <c r="S979" s="39" t="s">
        <v>28</v>
      </c>
      <c r="T979" s="39"/>
      <c r="U979" s="39"/>
      <c r="V979" s="117">
        <v>46190</v>
      </c>
      <c r="W979" s="39">
        <v>648</v>
      </c>
      <c r="X979" s="117">
        <v>46212</v>
      </c>
      <c r="Y979" s="39">
        <v>601</v>
      </c>
      <c r="Z979" s="39"/>
      <c r="AA979" s="39"/>
      <c r="AB979" s="119">
        <f t="shared" si="947"/>
        <v>601</v>
      </c>
      <c r="AC979" s="39"/>
      <c r="AD979" s="39"/>
      <c r="AE979" s="39"/>
      <c r="AF979" s="39"/>
      <c r="AG979" s="39"/>
      <c r="AH979" s="39">
        <f t="shared" si="918"/>
        <v>0</v>
      </c>
      <c r="AI979" s="39"/>
      <c r="AJ979" s="39"/>
      <c r="AK979" s="39"/>
      <c r="AL979" s="39"/>
      <c r="AM979" s="39"/>
      <c r="AN979" s="39">
        <f t="shared" si="917"/>
        <v>0</v>
      </c>
      <c r="AO979" s="39"/>
      <c r="AP979" s="39"/>
      <c r="AQ979" s="39"/>
      <c r="AR979" s="39"/>
      <c r="AS979" s="39"/>
      <c r="AT979" s="39">
        <f t="shared" si="891"/>
        <v>0</v>
      </c>
      <c r="AU979" s="39"/>
      <c r="AV979" s="39"/>
      <c r="AW979" s="39"/>
      <c r="AX979" s="39"/>
      <c r="AY979" s="39"/>
      <c r="AZ979" s="39">
        <f t="shared" si="892"/>
        <v>0</v>
      </c>
      <c r="BA979" s="39"/>
      <c r="BB979" s="39"/>
      <c r="BC979" s="39"/>
      <c r="BD979" s="39"/>
      <c r="BE979" s="39"/>
      <c r="BF979" s="39">
        <f t="shared" si="893"/>
        <v>0</v>
      </c>
      <c r="BG979" s="39"/>
      <c r="BH979" s="39"/>
      <c r="BI979" s="39"/>
      <c r="BJ979" s="39"/>
      <c r="BK979" s="39"/>
      <c r="BL979" s="39">
        <f t="shared" si="919"/>
        <v>0</v>
      </c>
      <c r="BM979" s="54" t="str">
        <f t="shared" si="894"/>
        <v/>
      </c>
      <c r="BN979" s="60">
        <v>46195</v>
      </c>
      <c r="BO979" s="117">
        <v>46205</v>
      </c>
      <c r="BP979" s="39"/>
      <c r="BQ979" s="39"/>
      <c r="BR979" s="229">
        <v>46190</v>
      </c>
      <c r="BS979" s="229">
        <v>46218</v>
      </c>
      <c r="BT979" s="39">
        <v>1772</v>
      </c>
      <c r="BU979" s="39">
        <v>601</v>
      </c>
      <c r="BV979" s="39"/>
      <c r="BW979" s="39"/>
      <c r="BX979" s="39"/>
      <c r="BY979" s="39"/>
      <c r="BZ979" s="39">
        <f t="shared" si="920"/>
        <v>601</v>
      </c>
      <c r="CA979" s="39">
        <f t="shared" si="895"/>
        <v>16</v>
      </c>
      <c r="CB979" s="39">
        <f t="shared" si="896"/>
        <v>0</v>
      </c>
      <c r="CC979" s="39">
        <f t="shared" si="897"/>
        <v>0</v>
      </c>
      <c r="CD979" s="39">
        <f t="shared" si="921"/>
        <v>0</v>
      </c>
      <c r="CE979" s="102">
        <f t="shared" si="898"/>
        <v>0</v>
      </c>
      <c r="CF979" s="36"/>
      <c r="CG979" s="39" t="s">
        <v>233</v>
      </c>
      <c r="CH979" s="39"/>
      <c r="CI979" s="25">
        <v>3</v>
      </c>
    </row>
    <row r="980" spans="1:87" ht="24.75" customHeight="1">
      <c r="A980" s="36" t="s">
        <v>20</v>
      </c>
      <c r="B980" s="29" t="s">
        <v>877</v>
      </c>
      <c r="C980" s="231"/>
      <c r="D980" s="36" t="s">
        <v>24</v>
      </c>
      <c r="E980" s="39">
        <v>180</v>
      </c>
      <c r="F980" s="39" t="s">
        <v>53</v>
      </c>
      <c r="G980" s="36" t="s">
        <v>525</v>
      </c>
      <c r="H980" s="39" t="s">
        <v>87</v>
      </c>
      <c r="I980" s="39">
        <v>616</v>
      </c>
      <c r="J980" s="39"/>
      <c r="K980" s="39">
        <v>45</v>
      </c>
      <c r="L980" s="39">
        <f t="shared" si="945"/>
        <v>661</v>
      </c>
      <c r="M980" s="57">
        <v>46186</v>
      </c>
      <c r="N980" s="57">
        <v>46195</v>
      </c>
      <c r="O980" s="39"/>
      <c r="P980" s="39"/>
      <c r="Q980" s="39"/>
      <c r="R980" s="39">
        <f t="shared" si="946"/>
        <v>0</v>
      </c>
      <c r="S980" s="39" t="s">
        <v>130</v>
      </c>
      <c r="T980" s="39">
        <v>107105</v>
      </c>
      <c r="U980" s="117">
        <v>46202</v>
      </c>
      <c r="V980" s="39"/>
      <c r="W980" s="39"/>
      <c r="X980" s="39"/>
      <c r="Y980" s="39">
        <v>651</v>
      </c>
      <c r="Z980" s="39"/>
      <c r="AA980" s="39">
        <v>50</v>
      </c>
      <c r="AB980" s="119">
        <f t="shared" si="947"/>
        <v>701</v>
      </c>
      <c r="AC980" s="39"/>
      <c r="AD980" s="39"/>
      <c r="AE980" s="39"/>
      <c r="AF980" s="39"/>
      <c r="AG980" s="39"/>
      <c r="AH980" s="39">
        <f t="shared" si="918"/>
        <v>0</v>
      </c>
      <c r="AI980" s="39"/>
      <c r="AJ980" s="39"/>
      <c r="AK980" s="39"/>
      <c r="AL980" s="39"/>
      <c r="AM980" s="39"/>
      <c r="AN980" s="39">
        <f t="shared" si="917"/>
        <v>0</v>
      </c>
      <c r="AO980" s="39"/>
      <c r="AP980" s="39"/>
      <c r="AQ980" s="39"/>
      <c r="AR980" s="39"/>
      <c r="AS980" s="39"/>
      <c r="AT980" s="39">
        <f t="shared" si="891"/>
        <v>0</v>
      </c>
      <c r="AU980" s="39"/>
      <c r="AV980" s="39"/>
      <c r="AW980" s="39"/>
      <c r="AX980" s="39"/>
      <c r="AY980" s="39"/>
      <c r="AZ980" s="39">
        <f t="shared" si="892"/>
        <v>0</v>
      </c>
      <c r="BA980" s="39"/>
      <c r="BB980" s="39"/>
      <c r="BC980" s="39"/>
      <c r="BD980" s="39"/>
      <c r="BE980" s="39"/>
      <c r="BF980" s="39">
        <f t="shared" si="893"/>
        <v>0</v>
      </c>
      <c r="BG980" s="39"/>
      <c r="BH980" s="39"/>
      <c r="BI980" s="39"/>
      <c r="BJ980" s="39"/>
      <c r="BK980" s="39"/>
      <c r="BL980" s="39">
        <f t="shared" si="919"/>
        <v>0</v>
      </c>
      <c r="BM980" s="54" t="str">
        <f t="shared" si="894"/>
        <v/>
      </c>
      <c r="BN980" s="60">
        <v>46195</v>
      </c>
      <c r="BO980" s="117">
        <v>46205</v>
      </c>
      <c r="BP980" s="39"/>
      <c r="BQ980" s="39"/>
      <c r="BR980" s="232"/>
      <c r="BS980" s="232"/>
      <c r="BT980" s="39">
        <v>2001</v>
      </c>
      <c r="BU980" s="39">
        <v>622</v>
      </c>
      <c r="BV980" s="39"/>
      <c r="BW980" s="39"/>
      <c r="BX980" s="39">
        <v>2001</v>
      </c>
      <c r="BY980" s="39">
        <v>44</v>
      </c>
      <c r="BZ980" s="39">
        <f t="shared" si="920"/>
        <v>666</v>
      </c>
      <c r="CA980" s="39">
        <f t="shared" si="895"/>
        <v>6</v>
      </c>
      <c r="CB980" s="39">
        <f t="shared" si="896"/>
        <v>0</v>
      </c>
      <c r="CC980" s="39">
        <f t="shared" si="897"/>
        <v>-1</v>
      </c>
      <c r="CD980" s="39">
        <v>0</v>
      </c>
      <c r="CE980" s="102">
        <f t="shared" si="898"/>
        <v>0</v>
      </c>
      <c r="CF980" s="36"/>
      <c r="CG980" s="39" t="s">
        <v>233</v>
      </c>
      <c r="CH980" s="39"/>
      <c r="CI980" s="25">
        <v>3</v>
      </c>
    </row>
    <row r="981" spans="1:87" ht="24.75" customHeight="1">
      <c r="A981" s="36" t="s">
        <v>20</v>
      </c>
      <c r="B981" s="29" t="s">
        <v>877</v>
      </c>
      <c r="C981" s="231"/>
      <c r="D981" s="36"/>
      <c r="E981" s="39">
        <v>180</v>
      </c>
      <c r="F981" s="39" t="s">
        <v>53</v>
      </c>
      <c r="G981" s="36" t="s">
        <v>41</v>
      </c>
      <c r="H981" s="39" t="s">
        <v>87</v>
      </c>
      <c r="I981" s="39">
        <v>692</v>
      </c>
      <c r="J981" s="39"/>
      <c r="K981" s="39"/>
      <c r="L981" s="39">
        <f t="shared" si="945"/>
        <v>692</v>
      </c>
      <c r="M981" s="57">
        <v>46186</v>
      </c>
      <c r="N981" s="57">
        <v>46195</v>
      </c>
      <c r="O981" s="39"/>
      <c r="P981" s="39"/>
      <c r="Q981" s="39"/>
      <c r="R981" s="39">
        <f t="shared" si="946"/>
        <v>0</v>
      </c>
      <c r="S981" s="39" t="s">
        <v>270</v>
      </c>
      <c r="T981" s="39"/>
      <c r="U981" s="39"/>
      <c r="V981" s="117">
        <v>46184</v>
      </c>
      <c r="W981" s="39">
        <v>796</v>
      </c>
      <c r="X981" s="117">
        <v>46207</v>
      </c>
      <c r="Y981" s="39">
        <v>718</v>
      </c>
      <c r="Z981" s="39"/>
      <c r="AA981" s="39"/>
      <c r="AB981" s="119">
        <f t="shared" si="947"/>
        <v>718</v>
      </c>
      <c r="AC981" s="39"/>
      <c r="AD981" s="39"/>
      <c r="AE981" s="39"/>
      <c r="AF981" s="39"/>
      <c r="AG981" s="39"/>
      <c r="AH981" s="39">
        <f t="shared" si="918"/>
        <v>0</v>
      </c>
      <c r="AI981" s="39"/>
      <c r="AJ981" s="39"/>
      <c r="AK981" s="39"/>
      <c r="AL981" s="39"/>
      <c r="AM981" s="39"/>
      <c r="AN981" s="39">
        <f t="shared" si="917"/>
        <v>0</v>
      </c>
      <c r="AO981" s="39"/>
      <c r="AP981" s="39"/>
      <c r="AQ981" s="39"/>
      <c r="AR981" s="39"/>
      <c r="AS981" s="39"/>
      <c r="AT981" s="39">
        <f t="shared" si="891"/>
        <v>0</v>
      </c>
      <c r="AU981" s="39"/>
      <c r="AV981" s="39"/>
      <c r="AW981" s="39"/>
      <c r="AX981" s="39"/>
      <c r="AY981" s="39"/>
      <c r="AZ981" s="39">
        <f t="shared" si="892"/>
        <v>0</v>
      </c>
      <c r="BA981" s="39"/>
      <c r="BB981" s="39"/>
      <c r="BC981" s="39"/>
      <c r="BD981" s="39"/>
      <c r="BE981" s="39"/>
      <c r="BF981" s="39">
        <f t="shared" si="893"/>
        <v>0</v>
      </c>
      <c r="BG981" s="39"/>
      <c r="BH981" s="39"/>
      <c r="BI981" s="39"/>
      <c r="BJ981" s="39"/>
      <c r="BK981" s="39"/>
      <c r="BL981" s="39">
        <f t="shared" si="919"/>
        <v>0</v>
      </c>
      <c r="BM981" s="54" t="str">
        <f t="shared" si="894"/>
        <v/>
      </c>
      <c r="BN981" s="60">
        <v>46195</v>
      </c>
      <c r="BO981" s="117">
        <v>46205</v>
      </c>
      <c r="BP981" s="39"/>
      <c r="BQ981" s="39"/>
      <c r="BR981" s="232"/>
      <c r="BS981" s="232"/>
      <c r="BT981" s="39">
        <v>1769</v>
      </c>
      <c r="BU981" s="39">
        <v>718</v>
      </c>
      <c r="BV981" s="39"/>
      <c r="BW981" s="39"/>
      <c r="BX981" s="39"/>
      <c r="BY981" s="39"/>
      <c r="BZ981" s="39">
        <f t="shared" si="920"/>
        <v>718</v>
      </c>
      <c r="CA981" s="39">
        <f t="shared" si="895"/>
        <v>26</v>
      </c>
      <c r="CB981" s="39">
        <f t="shared" si="896"/>
        <v>0</v>
      </c>
      <c r="CC981" s="39">
        <f t="shared" si="897"/>
        <v>0</v>
      </c>
      <c r="CD981" s="39">
        <f t="shared" si="921"/>
        <v>0</v>
      </c>
      <c r="CE981" s="102">
        <f t="shared" si="898"/>
        <v>0</v>
      </c>
      <c r="CF981" s="36"/>
      <c r="CG981" s="39" t="s">
        <v>233</v>
      </c>
      <c r="CH981" s="39"/>
      <c r="CI981" s="25">
        <v>3</v>
      </c>
    </row>
    <row r="982" spans="1:87" ht="24.75" customHeight="1">
      <c r="A982" s="36" t="s">
        <v>20</v>
      </c>
      <c r="B982" s="29" t="s">
        <v>877</v>
      </c>
      <c r="C982" s="231"/>
      <c r="D982" s="36" t="s">
        <v>24</v>
      </c>
      <c r="E982" s="39">
        <v>180</v>
      </c>
      <c r="F982" s="39" t="s">
        <v>53</v>
      </c>
      <c r="G982" s="36" t="s">
        <v>526</v>
      </c>
      <c r="H982" s="39" t="s">
        <v>87</v>
      </c>
      <c r="I982" s="39">
        <v>740</v>
      </c>
      <c r="J982" s="39"/>
      <c r="K982" s="39">
        <v>52</v>
      </c>
      <c r="L982" s="39">
        <f t="shared" si="945"/>
        <v>792</v>
      </c>
      <c r="M982" s="57">
        <v>46186</v>
      </c>
      <c r="N982" s="57">
        <v>46195</v>
      </c>
      <c r="O982" s="39"/>
      <c r="P982" s="39"/>
      <c r="Q982" s="39"/>
      <c r="R982" s="39">
        <f t="shared" si="946"/>
        <v>0</v>
      </c>
      <c r="S982" s="39" t="s">
        <v>130</v>
      </c>
      <c r="T982" s="39">
        <v>106873</v>
      </c>
      <c r="U982" s="117">
        <v>46190</v>
      </c>
      <c r="V982" s="39"/>
      <c r="W982" s="39"/>
      <c r="X982" s="39"/>
      <c r="Y982" s="39">
        <v>781</v>
      </c>
      <c r="Z982" s="39"/>
      <c r="AA982" s="39">
        <v>55</v>
      </c>
      <c r="AB982" s="119">
        <f t="shared" si="947"/>
        <v>836</v>
      </c>
      <c r="AC982" s="39"/>
      <c r="AD982" s="39"/>
      <c r="AE982" s="39"/>
      <c r="AF982" s="39"/>
      <c r="AG982" s="39"/>
      <c r="AH982" s="39">
        <f t="shared" si="918"/>
        <v>0</v>
      </c>
      <c r="AI982" s="39"/>
      <c r="AJ982" s="39"/>
      <c r="AK982" s="39"/>
      <c r="AL982" s="39"/>
      <c r="AM982" s="39"/>
      <c r="AN982" s="39">
        <f t="shared" si="917"/>
        <v>0</v>
      </c>
      <c r="AO982" s="39"/>
      <c r="AP982" s="39"/>
      <c r="AQ982" s="39"/>
      <c r="AR982" s="39"/>
      <c r="AS982" s="39"/>
      <c r="AT982" s="39">
        <f t="shared" si="891"/>
        <v>0</v>
      </c>
      <c r="AU982" s="39"/>
      <c r="AV982" s="39"/>
      <c r="AW982" s="39"/>
      <c r="AX982" s="39"/>
      <c r="AY982" s="39"/>
      <c r="AZ982" s="39">
        <f t="shared" si="892"/>
        <v>0</v>
      </c>
      <c r="BA982" s="39"/>
      <c r="BB982" s="39"/>
      <c r="BC982" s="39"/>
      <c r="BD982" s="39"/>
      <c r="BE982" s="39"/>
      <c r="BF982" s="39">
        <f t="shared" si="893"/>
        <v>0</v>
      </c>
      <c r="BG982" s="39"/>
      <c r="BH982" s="39"/>
      <c r="BI982" s="39"/>
      <c r="BJ982" s="39"/>
      <c r="BK982" s="39"/>
      <c r="BL982" s="39">
        <f t="shared" si="919"/>
        <v>0</v>
      </c>
      <c r="BM982" s="54" t="str">
        <f t="shared" si="894"/>
        <v/>
      </c>
      <c r="BN982" s="60">
        <v>46195</v>
      </c>
      <c r="BO982" s="117">
        <v>46205</v>
      </c>
      <c r="BP982" s="39"/>
      <c r="BQ982" s="39"/>
      <c r="BR982" s="232"/>
      <c r="BS982" s="232"/>
      <c r="BT982" s="39">
        <v>2116</v>
      </c>
      <c r="BU982" s="39">
        <f>737</f>
        <v>737</v>
      </c>
      <c r="BV982" s="39"/>
      <c r="BW982" s="39"/>
      <c r="BX982" s="39">
        <v>2116</v>
      </c>
      <c r="BY982" s="39">
        <f>50</f>
        <v>50</v>
      </c>
      <c r="BZ982" s="39">
        <f t="shared" si="920"/>
        <v>787</v>
      </c>
      <c r="CA982" s="39">
        <f t="shared" si="895"/>
        <v>-3</v>
      </c>
      <c r="CB982" s="39">
        <f t="shared" si="896"/>
        <v>0</v>
      </c>
      <c r="CC982" s="39">
        <f t="shared" si="897"/>
        <v>-2</v>
      </c>
      <c r="CD982" s="39">
        <v>0</v>
      </c>
      <c r="CE982" s="102">
        <f t="shared" si="898"/>
        <v>0</v>
      </c>
      <c r="CF982" s="36"/>
      <c r="CG982" s="39" t="s">
        <v>233</v>
      </c>
      <c r="CH982" s="39"/>
      <c r="CI982" s="25">
        <v>3</v>
      </c>
    </row>
    <row r="983" spans="1:87" ht="24.75" customHeight="1">
      <c r="A983" s="36" t="s">
        <v>20</v>
      </c>
      <c r="B983" s="29" t="s">
        <v>877</v>
      </c>
      <c r="C983" s="231"/>
      <c r="D983" s="36"/>
      <c r="E983" s="39">
        <v>180</v>
      </c>
      <c r="F983" s="39" t="s">
        <v>53</v>
      </c>
      <c r="G983" s="36" t="s">
        <v>527</v>
      </c>
      <c r="H983" s="39" t="s">
        <v>87</v>
      </c>
      <c r="I983" s="39">
        <v>363</v>
      </c>
      <c r="J983" s="39"/>
      <c r="K983" s="39"/>
      <c r="L983" s="39">
        <f t="shared" si="945"/>
        <v>363</v>
      </c>
      <c r="M983" s="57">
        <v>46186</v>
      </c>
      <c r="N983" s="57">
        <v>46195</v>
      </c>
      <c r="O983" s="39"/>
      <c r="P983" s="39"/>
      <c r="Q983" s="39"/>
      <c r="R983" s="39">
        <f t="shared" si="946"/>
        <v>0</v>
      </c>
      <c r="S983" s="39" t="s">
        <v>270</v>
      </c>
      <c r="T983" s="39"/>
      <c r="U983" s="39"/>
      <c r="V983" s="117">
        <v>46184</v>
      </c>
      <c r="W983" s="39">
        <v>418</v>
      </c>
      <c r="X983" s="117">
        <v>46217</v>
      </c>
      <c r="Y983" s="39">
        <v>370</v>
      </c>
      <c r="Z983" s="39"/>
      <c r="AA983" s="39"/>
      <c r="AB983" s="119">
        <f t="shared" si="947"/>
        <v>370</v>
      </c>
      <c r="AC983" s="39"/>
      <c r="AD983" s="39"/>
      <c r="AE983" s="39"/>
      <c r="AF983" s="39"/>
      <c r="AG983" s="39"/>
      <c r="AH983" s="39">
        <f t="shared" si="918"/>
        <v>0</v>
      </c>
      <c r="AI983" s="39"/>
      <c r="AJ983" s="39"/>
      <c r="AK983" s="39"/>
      <c r="AL983" s="39"/>
      <c r="AM983" s="39"/>
      <c r="AN983" s="39">
        <f t="shared" si="917"/>
        <v>0</v>
      </c>
      <c r="AO983" s="39"/>
      <c r="AP983" s="39"/>
      <c r="AQ983" s="39"/>
      <c r="AR983" s="39"/>
      <c r="AS983" s="39"/>
      <c r="AT983" s="39">
        <f t="shared" si="891"/>
        <v>0</v>
      </c>
      <c r="AU983" s="39"/>
      <c r="AV983" s="39"/>
      <c r="AW983" s="39"/>
      <c r="AX983" s="39"/>
      <c r="AY983" s="39"/>
      <c r="AZ983" s="39">
        <f t="shared" si="892"/>
        <v>0</v>
      </c>
      <c r="BA983" s="39"/>
      <c r="BB983" s="39"/>
      <c r="BC983" s="39"/>
      <c r="BD983" s="39"/>
      <c r="BE983" s="39"/>
      <c r="BF983" s="39">
        <f t="shared" si="893"/>
        <v>0</v>
      </c>
      <c r="BG983" s="39"/>
      <c r="BH983" s="39"/>
      <c r="BI983" s="39"/>
      <c r="BJ983" s="39"/>
      <c r="BK983" s="39"/>
      <c r="BL983" s="39">
        <f t="shared" si="919"/>
        <v>0</v>
      </c>
      <c r="BM983" s="54" t="str">
        <f t="shared" si="894"/>
        <v/>
      </c>
      <c r="BN983" s="60">
        <v>46195</v>
      </c>
      <c r="BO983" s="117">
        <v>46205</v>
      </c>
      <c r="BP983" s="39"/>
      <c r="BQ983" s="39"/>
      <c r="BR983" s="232"/>
      <c r="BS983" s="232"/>
      <c r="BT983" s="39">
        <v>1778</v>
      </c>
      <c r="BU983" s="39">
        <v>370</v>
      </c>
      <c r="BV983" s="39"/>
      <c r="BW983" s="39"/>
      <c r="BX983" s="39"/>
      <c r="BY983" s="39"/>
      <c r="BZ983" s="39">
        <f t="shared" si="920"/>
        <v>370</v>
      </c>
      <c r="CA983" s="39">
        <f t="shared" si="895"/>
        <v>7</v>
      </c>
      <c r="CB983" s="39">
        <f t="shared" si="896"/>
        <v>0</v>
      </c>
      <c r="CC983" s="39">
        <f t="shared" si="897"/>
        <v>0</v>
      </c>
      <c r="CD983" s="39">
        <f t="shared" si="921"/>
        <v>0</v>
      </c>
      <c r="CE983" s="102">
        <f t="shared" si="898"/>
        <v>0</v>
      </c>
      <c r="CF983" s="36"/>
      <c r="CG983" s="39" t="s">
        <v>233</v>
      </c>
      <c r="CH983" s="39"/>
      <c r="CI983" s="25">
        <v>3</v>
      </c>
    </row>
    <row r="984" spans="1:87" ht="24.75" customHeight="1">
      <c r="A984" s="36" t="s">
        <v>20</v>
      </c>
      <c r="B984" s="29" t="s">
        <v>877</v>
      </c>
      <c r="C984" s="228"/>
      <c r="D984" s="36" t="s">
        <v>24</v>
      </c>
      <c r="E984" s="39">
        <v>180</v>
      </c>
      <c r="F984" s="39" t="s">
        <v>53</v>
      </c>
      <c r="G984" s="36" t="s">
        <v>528</v>
      </c>
      <c r="H984" s="39" t="s">
        <v>87</v>
      </c>
      <c r="I984" s="39">
        <v>380</v>
      </c>
      <c r="J984" s="39"/>
      <c r="K984" s="39">
        <v>27</v>
      </c>
      <c r="L984" s="39">
        <f t="shared" si="945"/>
        <v>407</v>
      </c>
      <c r="M984" s="57">
        <v>46186</v>
      </c>
      <c r="N984" s="57">
        <v>46195</v>
      </c>
      <c r="O984" s="39"/>
      <c r="P984" s="39"/>
      <c r="Q984" s="39"/>
      <c r="R984" s="39">
        <f t="shared" si="946"/>
        <v>0</v>
      </c>
      <c r="S984" s="39" t="s">
        <v>130</v>
      </c>
      <c r="T984" s="39">
        <v>106863</v>
      </c>
      <c r="U984" s="117">
        <v>46183</v>
      </c>
      <c r="V984" s="39"/>
      <c r="W984" s="39"/>
      <c r="X984" s="39"/>
      <c r="Y984" s="39">
        <v>405</v>
      </c>
      <c r="Z984" s="39"/>
      <c r="AA984" s="39">
        <v>28</v>
      </c>
      <c r="AB984" s="119">
        <f t="shared" si="947"/>
        <v>433</v>
      </c>
      <c r="AC984" s="39"/>
      <c r="AD984" s="39"/>
      <c r="AE984" s="39"/>
      <c r="AF984" s="39"/>
      <c r="AG984" s="39"/>
      <c r="AH984" s="39">
        <f t="shared" si="918"/>
        <v>0</v>
      </c>
      <c r="AI984" s="39"/>
      <c r="AJ984" s="39"/>
      <c r="AK984" s="39"/>
      <c r="AL984" s="39"/>
      <c r="AM984" s="39"/>
      <c r="AN984" s="39">
        <f t="shared" si="917"/>
        <v>0</v>
      </c>
      <c r="AO984" s="39"/>
      <c r="AP984" s="39"/>
      <c r="AQ984" s="39"/>
      <c r="AR984" s="39"/>
      <c r="AS984" s="39"/>
      <c r="AT984" s="39">
        <f t="shared" si="891"/>
        <v>0</v>
      </c>
      <c r="AU984" s="39"/>
      <c r="AV984" s="39"/>
      <c r="AW984" s="39"/>
      <c r="AX984" s="39"/>
      <c r="AY984" s="39"/>
      <c r="AZ984" s="39">
        <f t="shared" si="892"/>
        <v>0</v>
      </c>
      <c r="BA984" s="39"/>
      <c r="BB984" s="39"/>
      <c r="BC984" s="39"/>
      <c r="BD984" s="39"/>
      <c r="BE984" s="39"/>
      <c r="BF984" s="39">
        <f t="shared" si="893"/>
        <v>0</v>
      </c>
      <c r="BG984" s="39"/>
      <c r="BH984" s="39"/>
      <c r="BI984" s="39"/>
      <c r="BJ984" s="39"/>
      <c r="BK984" s="39"/>
      <c r="BL984" s="39">
        <f t="shared" si="919"/>
        <v>0</v>
      </c>
      <c r="BM984" s="54" t="str">
        <f t="shared" si="894"/>
        <v/>
      </c>
      <c r="BN984" s="60">
        <v>46195</v>
      </c>
      <c r="BO984" s="117">
        <v>46205</v>
      </c>
      <c r="BP984" s="39"/>
      <c r="BQ984" s="39"/>
      <c r="BR984" s="230"/>
      <c r="BS984" s="230"/>
      <c r="BT984" s="39">
        <v>1741</v>
      </c>
      <c r="BU984" s="39">
        <v>380</v>
      </c>
      <c r="BV984" s="39"/>
      <c r="BW984" s="39"/>
      <c r="BX984" s="39">
        <v>1741</v>
      </c>
      <c r="BY984" s="39">
        <v>26</v>
      </c>
      <c r="BZ984" s="39">
        <f t="shared" si="920"/>
        <v>406</v>
      </c>
      <c r="CA984" s="39">
        <f t="shared" si="895"/>
        <v>0</v>
      </c>
      <c r="CB984" s="39">
        <f t="shared" si="896"/>
        <v>0</v>
      </c>
      <c r="CC984" s="39">
        <f t="shared" si="897"/>
        <v>-1</v>
      </c>
      <c r="CD984" s="39">
        <v>0</v>
      </c>
      <c r="CE984" s="102">
        <f t="shared" si="898"/>
        <v>0</v>
      </c>
      <c r="CF984" s="36"/>
      <c r="CG984" s="39" t="s">
        <v>233</v>
      </c>
      <c r="CH984" s="39"/>
      <c r="CI984" s="25">
        <v>3</v>
      </c>
    </row>
    <row r="985" spans="1:87" ht="24.75" customHeight="1">
      <c r="A985" s="36" t="s">
        <v>20</v>
      </c>
      <c r="B985" s="29" t="s">
        <v>990</v>
      </c>
      <c r="C985" s="227" t="s">
        <v>991</v>
      </c>
      <c r="D985" s="36"/>
      <c r="E985" s="39">
        <v>180</v>
      </c>
      <c r="F985" s="39" t="s">
        <v>58</v>
      </c>
      <c r="G985" s="36" t="s">
        <v>23</v>
      </c>
      <c r="H985" s="36" t="s">
        <v>87</v>
      </c>
      <c r="I985" s="39">
        <v>302</v>
      </c>
      <c r="J985" s="39"/>
      <c r="K985" s="39"/>
      <c r="L985" s="39">
        <f t="shared" ref="L985:L986" si="957">SUM(I985:K985)</f>
        <v>302</v>
      </c>
      <c r="M985" s="57">
        <v>46188</v>
      </c>
      <c r="N985" s="57">
        <v>46198</v>
      </c>
      <c r="O985" s="39"/>
      <c r="P985" s="39"/>
      <c r="Q985" s="39"/>
      <c r="R985" s="39">
        <f t="shared" ref="R985:R986" si="958">SUM(O985:Q985)</f>
        <v>0</v>
      </c>
      <c r="S985" s="39" t="s">
        <v>28</v>
      </c>
      <c r="T985" s="39"/>
      <c r="U985" s="39"/>
      <c r="V985" s="117">
        <v>46195</v>
      </c>
      <c r="W985" s="39">
        <v>335</v>
      </c>
      <c r="X985" s="117">
        <v>46197</v>
      </c>
      <c r="Y985" s="39">
        <v>310</v>
      </c>
      <c r="Z985" s="39"/>
      <c r="AA985" s="39"/>
      <c r="AB985" s="119">
        <f t="shared" ref="AB985:AB986" si="959">SUM(Y985:AA985)</f>
        <v>310</v>
      </c>
      <c r="AC985" s="39"/>
      <c r="AD985" s="39"/>
      <c r="AE985" s="39"/>
      <c r="AF985" s="39"/>
      <c r="AG985" s="39"/>
      <c r="AH985" s="39">
        <f t="shared" si="918"/>
        <v>0</v>
      </c>
      <c r="AI985" s="39"/>
      <c r="AJ985" s="39"/>
      <c r="AK985" s="39"/>
      <c r="AL985" s="39"/>
      <c r="AM985" s="39"/>
      <c r="AN985" s="39">
        <f t="shared" si="917"/>
        <v>0</v>
      </c>
      <c r="AO985" s="39"/>
      <c r="AP985" s="39"/>
      <c r="AQ985" s="39"/>
      <c r="AR985" s="39"/>
      <c r="AS985" s="39"/>
      <c r="AT985" s="39">
        <f t="shared" si="891"/>
        <v>0</v>
      </c>
      <c r="AU985" s="39"/>
      <c r="AV985" s="39"/>
      <c r="AW985" s="39"/>
      <c r="AX985" s="39"/>
      <c r="AY985" s="39"/>
      <c r="AZ985" s="39">
        <f t="shared" si="892"/>
        <v>0</v>
      </c>
      <c r="BA985" s="39"/>
      <c r="BB985" s="39"/>
      <c r="BC985" s="39"/>
      <c r="BD985" s="39"/>
      <c r="BE985" s="39"/>
      <c r="BF985" s="39">
        <f t="shared" si="893"/>
        <v>0</v>
      </c>
      <c r="BG985" s="39"/>
      <c r="BH985" s="39"/>
      <c r="BI985" s="39"/>
      <c r="BJ985" s="39"/>
      <c r="BK985" s="39"/>
      <c r="BL985" s="39">
        <f t="shared" si="919"/>
        <v>0</v>
      </c>
      <c r="BM985" s="54" t="str">
        <f t="shared" si="894"/>
        <v/>
      </c>
      <c r="BN985" s="60">
        <v>46198</v>
      </c>
      <c r="BO985" s="117">
        <v>46207</v>
      </c>
      <c r="BP985" s="39"/>
      <c r="BQ985" s="39"/>
      <c r="BR985" s="229">
        <v>46198</v>
      </c>
      <c r="BS985" s="229">
        <v>46198</v>
      </c>
      <c r="BT985" s="39">
        <v>1758</v>
      </c>
      <c r="BU985" s="39">
        <v>310</v>
      </c>
      <c r="BV985" s="39"/>
      <c r="BW985" s="39"/>
      <c r="BX985" s="39"/>
      <c r="BY985" s="39"/>
      <c r="BZ985" s="39">
        <f t="shared" si="920"/>
        <v>310</v>
      </c>
      <c r="CA985" s="39">
        <f t="shared" si="895"/>
        <v>8</v>
      </c>
      <c r="CB985" s="39">
        <f t="shared" si="896"/>
        <v>0</v>
      </c>
      <c r="CC985" s="39">
        <f t="shared" si="897"/>
        <v>0</v>
      </c>
      <c r="CD985" s="39">
        <f t="shared" si="921"/>
        <v>0</v>
      </c>
      <c r="CE985" s="102">
        <f t="shared" si="898"/>
        <v>0</v>
      </c>
      <c r="CF985" s="36"/>
      <c r="CG985" s="39" t="s">
        <v>233</v>
      </c>
      <c r="CH985" s="39"/>
      <c r="CI985" s="25">
        <v>3</v>
      </c>
    </row>
    <row r="986" spans="1:87" ht="24.75" customHeight="1">
      <c r="A986" s="36" t="s">
        <v>20</v>
      </c>
      <c r="B986" s="29" t="s">
        <v>990</v>
      </c>
      <c r="C986" s="228"/>
      <c r="D986" s="36"/>
      <c r="E986" s="39">
        <v>180</v>
      </c>
      <c r="F986" s="39" t="s">
        <v>58</v>
      </c>
      <c r="G986" s="36" t="s">
        <v>23</v>
      </c>
      <c r="H986" s="36" t="s">
        <v>87</v>
      </c>
      <c r="I986" s="39">
        <v>302</v>
      </c>
      <c r="J986" s="39"/>
      <c r="K986" s="39"/>
      <c r="L986" s="39">
        <f t="shared" si="957"/>
        <v>302</v>
      </c>
      <c r="M986" s="57">
        <v>46188</v>
      </c>
      <c r="N986" s="57">
        <v>46198</v>
      </c>
      <c r="O986" s="39"/>
      <c r="P986" s="39"/>
      <c r="Q986" s="39"/>
      <c r="R986" s="39">
        <f t="shared" si="958"/>
        <v>0</v>
      </c>
      <c r="S986" s="39" t="s">
        <v>28</v>
      </c>
      <c r="T986" s="39"/>
      <c r="U986" s="39"/>
      <c r="V986" s="117">
        <v>46195</v>
      </c>
      <c r="W986" s="39">
        <v>334</v>
      </c>
      <c r="X986" s="117">
        <v>46197</v>
      </c>
      <c r="Y986" s="39">
        <v>309</v>
      </c>
      <c r="Z986" s="39"/>
      <c r="AA986" s="39"/>
      <c r="AB986" s="119">
        <f t="shared" si="959"/>
        <v>309</v>
      </c>
      <c r="AC986" s="39"/>
      <c r="AD986" s="39"/>
      <c r="AE986" s="39"/>
      <c r="AF986" s="39"/>
      <c r="AG986" s="39"/>
      <c r="AH986" s="39">
        <f t="shared" si="918"/>
        <v>0</v>
      </c>
      <c r="AI986" s="39"/>
      <c r="AJ986" s="39"/>
      <c r="AK986" s="39"/>
      <c r="AL986" s="39"/>
      <c r="AM986" s="39"/>
      <c r="AN986" s="39">
        <f t="shared" si="917"/>
        <v>0</v>
      </c>
      <c r="AO986" s="39"/>
      <c r="AP986" s="39"/>
      <c r="AQ986" s="39"/>
      <c r="AR986" s="39"/>
      <c r="AS986" s="39"/>
      <c r="AT986" s="39">
        <f t="shared" si="891"/>
        <v>0</v>
      </c>
      <c r="AU986" s="39"/>
      <c r="AV986" s="39"/>
      <c r="AW986" s="39"/>
      <c r="AX986" s="39"/>
      <c r="AY986" s="39"/>
      <c r="AZ986" s="39">
        <f t="shared" si="892"/>
        <v>0</v>
      </c>
      <c r="BA986" s="39"/>
      <c r="BB986" s="39"/>
      <c r="BC986" s="39"/>
      <c r="BD986" s="39"/>
      <c r="BE986" s="39"/>
      <c r="BF986" s="39">
        <f t="shared" si="893"/>
        <v>0</v>
      </c>
      <c r="BG986" s="39"/>
      <c r="BH986" s="39"/>
      <c r="BI986" s="39"/>
      <c r="BJ986" s="39"/>
      <c r="BK986" s="39"/>
      <c r="BL986" s="39">
        <f t="shared" si="919"/>
        <v>0</v>
      </c>
      <c r="BM986" s="54" t="str">
        <f t="shared" si="894"/>
        <v/>
      </c>
      <c r="BN986" s="60">
        <v>46198</v>
      </c>
      <c r="BO986" s="117">
        <v>46207</v>
      </c>
      <c r="BP986" s="39"/>
      <c r="BQ986" s="39"/>
      <c r="BR986" s="230"/>
      <c r="BS986" s="230"/>
      <c r="BT986" s="39">
        <v>1758</v>
      </c>
      <c r="BU986" s="39">
        <v>309</v>
      </c>
      <c r="BV986" s="39"/>
      <c r="BW986" s="39"/>
      <c r="BX986" s="39"/>
      <c r="BY986" s="39"/>
      <c r="BZ986" s="39">
        <f t="shared" si="920"/>
        <v>309</v>
      </c>
      <c r="CA986" s="39">
        <f t="shared" si="895"/>
        <v>7</v>
      </c>
      <c r="CB986" s="39">
        <f t="shared" si="896"/>
        <v>0</v>
      </c>
      <c r="CC986" s="39">
        <f t="shared" si="897"/>
        <v>0</v>
      </c>
      <c r="CD986" s="39">
        <f t="shared" si="921"/>
        <v>0</v>
      </c>
      <c r="CE986" s="102">
        <f t="shared" si="898"/>
        <v>0</v>
      </c>
      <c r="CF986" s="36"/>
      <c r="CG986" s="39" t="s">
        <v>233</v>
      </c>
      <c r="CH986" s="39"/>
      <c r="CI986" s="25">
        <v>3</v>
      </c>
    </row>
    <row r="987" spans="1:87" ht="33.75" customHeight="1">
      <c r="A987" s="36" t="s">
        <v>20</v>
      </c>
      <c r="B987" s="29" t="s">
        <v>1040</v>
      </c>
      <c r="C987" s="36" t="s">
        <v>1041</v>
      </c>
      <c r="D987" s="36"/>
      <c r="E987" s="39">
        <v>180</v>
      </c>
      <c r="F987" s="39" t="s">
        <v>55</v>
      </c>
      <c r="G987" s="36" t="s">
        <v>1042</v>
      </c>
      <c r="H987" s="39" t="s">
        <v>127</v>
      </c>
      <c r="I987" s="39">
        <v>158</v>
      </c>
      <c r="J987" s="39"/>
      <c r="K987" s="39"/>
      <c r="L987" s="39">
        <f t="shared" ref="L987:L991" si="960">SUM(I987:K987)</f>
        <v>158</v>
      </c>
      <c r="M987" s="57">
        <v>46190</v>
      </c>
      <c r="N987" s="57">
        <v>46193</v>
      </c>
      <c r="O987" s="39"/>
      <c r="P987" s="39"/>
      <c r="Q987" s="39"/>
      <c r="R987" s="39">
        <f t="shared" ref="R987:R991" si="961">SUM(O987:Q987)</f>
        <v>0</v>
      </c>
      <c r="S987" s="39" t="s">
        <v>130</v>
      </c>
      <c r="T987" s="39">
        <v>107259</v>
      </c>
      <c r="U987" s="117">
        <v>46201</v>
      </c>
      <c r="V987" s="39"/>
      <c r="W987" s="39"/>
      <c r="X987" s="39"/>
      <c r="Y987" s="39">
        <v>195</v>
      </c>
      <c r="Z987" s="39"/>
      <c r="AA987" s="39"/>
      <c r="AB987" s="119">
        <f t="shared" ref="AB987:AB991" si="962">SUM(Y987:AA987)</f>
        <v>195</v>
      </c>
      <c r="AC987" s="39"/>
      <c r="AD987" s="39"/>
      <c r="AE987" s="39"/>
      <c r="AF987" s="39"/>
      <c r="AG987" s="39"/>
      <c r="AH987" s="39">
        <f t="shared" si="918"/>
        <v>0</v>
      </c>
      <c r="AI987" s="39"/>
      <c r="AJ987" s="39"/>
      <c r="AK987" s="39"/>
      <c r="AL987" s="39"/>
      <c r="AM987" s="39"/>
      <c r="AN987" s="39">
        <f t="shared" si="917"/>
        <v>0</v>
      </c>
      <c r="AO987" s="39"/>
      <c r="AP987" s="39"/>
      <c r="AQ987" s="39"/>
      <c r="AR987" s="39"/>
      <c r="AS987" s="39"/>
      <c r="AT987" s="39">
        <f t="shared" si="891"/>
        <v>0</v>
      </c>
      <c r="AU987" s="39"/>
      <c r="AV987" s="39"/>
      <c r="AW987" s="39"/>
      <c r="AX987" s="39"/>
      <c r="AY987" s="39"/>
      <c r="AZ987" s="39">
        <f t="shared" si="892"/>
        <v>0</v>
      </c>
      <c r="BA987" s="39"/>
      <c r="BB987" s="39"/>
      <c r="BC987" s="39"/>
      <c r="BD987" s="39"/>
      <c r="BE987" s="39"/>
      <c r="BF987" s="39">
        <f t="shared" si="893"/>
        <v>0</v>
      </c>
      <c r="BG987" s="39"/>
      <c r="BH987" s="39"/>
      <c r="BI987" s="39"/>
      <c r="BJ987" s="39"/>
      <c r="BK987" s="39"/>
      <c r="BL987" s="39">
        <f t="shared" si="919"/>
        <v>0</v>
      </c>
      <c r="BM987" s="54" t="str">
        <f t="shared" si="894"/>
        <v/>
      </c>
      <c r="BN987" s="60">
        <v>46195</v>
      </c>
      <c r="BO987" s="117">
        <v>46204</v>
      </c>
      <c r="BP987" s="39"/>
      <c r="BQ987" s="39"/>
      <c r="BR987" s="51">
        <v>46203</v>
      </c>
      <c r="BS987" s="37"/>
      <c r="BT987" s="39" t="s">
        <v>1455</v>
      </c>
      <c r="BU987" s="39">
        <f>86+56+26</f>
        <v>168</v>
      </c>
      <c r="BV987" s="39"/>
      <c r="BW987" s="39"/>
      <c r="BX987" s="39"/>
      <c r="BY987" s="39"/>
      <c r="BZ987" s="39">
        <f t="shared" si="920"/>
        <v>168</v>
      </c>
      <c r="CA987" s="39">
        <f t="shared" si="895"/>
        <v>10</v>
      </c>
      <c r="CB987" s="39">
        <f t="shared" si="896"/>
        <v>0</v>
      </c>
      <c r="CC987" s="39">
        <f t="shared" si="897"/>
        <v>0</v>
      </c>
      <c r="CD987" s="39">
        <f t="shared" si="921"/>
        <v>0</v>
      </c>
      <c r="CE987" s="102">
        <f t="shared" si="898"/>
        <v>0</v>
      </c>
      <c r="CF987" s="36"/>
      <c r="CG987" s="39" t="s">
        <v>232</v>
      </c>
      <c r="CH987" s="39" t="s">
        <v>1266</v>
      </c>
      <c r="CI987" s="25">
        <v>3</v>
      </c>
    </row>
    <row r="988" spans="1:87" ht="33.75" customHeight="1">
      <c r="A988" s="36" t="s">
        <v>20</v>
      </c>
      <c r="B988" s="29">
        <v>47876</v>
      </c>
      <c r="C988" s="36" t="s">
        <v>1043</v>
      </c>
      <c r="D988" s="36" t="s">
        <v>24</v>
      </c>
      <c r="E988" s="39">
        <v>220</v>
      </c>
      <c r="F988" s="39" t="s">
        <v>56</v>
      </c>
      <c r="G988" s="36" t="s">
        <v>1044</v>
      </c>
      <c r="H988" s="39" t="s">
        <v>102</v>
      </c>
      <c r="I988" s="39">
        <v>285</v>
      </c>
      <c r="J988" s="39"/>
      <c r="K988" s="39"/>
      <c r="L988" s="39">
        <f t="shared" si="960"/>
        <v>285</v>
      </c>
      <c r="M988" s="57">
        <v>46197</v>
      </c>
      <c r="N988" s="57">
        <v>46202</v>
      </c>
      <c r="O988" s="39"/>
      <c r="P988" s="39"/>
      <c r="Q988" s="39"/>
      <c r="R988" s="39">
        <f t="shared" si="961"/>
        <v>0</v>
      </c>
      <c r="S988" s="39" t="s">
        <v>130</v>
      </c>
      <c r="T988" s="39">
        <v>107483</v>
      </c>
      <c r="U988" s="117">
        <v>46206</v>
      </c>
      <c r="V988" s="39"/>
      <c r="W988" s="39"/>
      <c r="X988" s="39"/>
      <c r="Y988" s="39">
        <v>303</v>
      </c>
      <c r="Z988" s="39"/>
      <c r="AA988" s="39"/>
      <c r="AB988" s="119">
        <f t="shared" si="962"/>
        <v>303</v>
      </c>
      <c r="AC988" s="39"/>
      <c r="AD988" s="39"/>
      <c r="AE988" s="39"/>
      <c r="AF988" s="39"/>
      <c r="AG988" s="39"/>
      <c r="AH988" s="39">
        <f t="shared" si="918"/>
        <v>0</v>
      </c>
      <c r="AI988" s="39"/>
      <c r="AJ988" s="39"/>
      <c r="AK988" s="39"/>
      <c r="AL988" s="39"/>
      <c r="AM988" s="39"/>
      <c r="AN988" s="39">
        <f t="shared" si="917"/>
        <v>0</v>
      </c>
      <c r="AO988" s="39"/>
      <c r="AP988" s="39"/>
      <c r="AQ988" s="39"/>
      <c r="AR988" s="39"/>
      <c r="AS988" s="39"/>
      <c r="AT988" s="39">
        <f t="shared" si="891"/>
        <v>0</v>
      </c>
      <c r="AU988" s="39"/>
      <c r="AV988" s="39"/>
      <c r="AW988" s="39"/>
      <c r="AX988" s="39"/>
      <c r="AY988" s="39"/>
      <c r="AZ988" s="39">
        <f t="shared" si="892"/>
        <v>0</v>
      </c>
      <c r="BA988" s="39"/>
      <c r="BB988" s="39"/>
      <c r="BC988" s="39"/>
      <c r="BD988" s="39"/>
      <c r="BE988" s="39"/>
      <c r="BF988" s="39">
        <f t="shared" si="893"/>
        <v>0</v>
      </c>
      <c r="BG988" s="39"/>
      <c r="BH988" s="39"/>
      <c r="BI988" s="39"/>
      <c r="BJ988" s="39"/>
      <c r="BK988" s="39"/>
      <c r="BL988" s="39">
        <f t="shared" si="919"/>
        <v>0</v>
      </c>
      <c r="BM988" s="54" t="str">
        <f t="shared" si="894"/>
        <v/>
      </c>
      <c r="BN988" s="60">
        <v>46203</v>
      </c>
      <c r="BO988" s="117">
        <v>46206</v>
      </c>
      <c r="BP988" s="39"/>
      <c r="BQ988" s="39"/>
      <c r="BR988" s="51">
        <v>46209</v>
      </c>
      <c r="BS988" s="51">
        <v>46209</v>
      </c>
      <c r="BT988" s="39">
        <v>1568</v>
      </c>
      <c r="BU988" s="39">
        <v>286</v>
      </c>
      <c r="BV988" s="39"/>
      <c r="BW988" s="39"/>
      <c r="BX988" s="39"/>
      <c r="BY988" s="39"/>
      <c r="BZ988" s="39">
        <f t="shared" si="920"/>
        <v>286</v>
      </c>
      <c r="CA988" s="39">
        <f t="shared" si="895"/>
        <v>1</v>
      </c>
      <c r="CB988" s="39">
        <f t="shared" si="896"/>
        <v>0</v>
      </c>
      <c r="CC988" s="39">
        <f t="shared" si="897"/>
        <v>0</v>
      </c>
      <c r="CD988" s="39">
        <f t="shared" si="921"/>
        <v>0</v>
      </c>
      <c r="CE988" s="102">
        <f t="shared" si="898"/>
        <v>0</v>
      </c>
      <c r="CF988" s="36"/>
      <c r="CG988" s="39" t="s">
        <v>232</v>
      </c>
      <c r="CH988" s="39"/>
      <c r="CI988" s="25">
        <v>3</v>
      </c>
    </row>
    <row r="989" spans="1:87" ht="30.75" customHeight="1">
      <c r="A989" s="36" t="s">
        <v>20</v>
      </c>
      <c r="B989" s="29" t="s">
        <v>1045</v>
      </c>
      <c r="C989" s="36" t="s">
        <v>456</v>
      </c>
      <c r="D989" s="36"/>
      <c r="E989" s="39">
        <v>200</v>
      </c>
      <c r="F989" s="39" t="s">
        <v>60</v>
      </c>
      <c r="G989" s="36" t="s">
        <v>1046</v>
      </c>
      <c r="H989" s="39" t="s">
        <v>91</v>
      </c>
      <c r="I989" s="39">
        <v>262</v>
      </c>
      <c r="J989" s="39"/>
      <c r="K989" s="39"/>
      <c r="L989" s="39">
        <f t="shared" si="960"/>
        <v>262</v>
      </c>
      <c r="M989" s="57">
        <v>46190</v>
      </c>
      <c r="N989" s="57">
        <v>46193</v>
      </c>
      <c r="O989" s="39"/>
      <c r="P989" s="39"/>
      <c r="Q989" s="39"/>
      <c r="R989" s="39">
        <f t="shared" si="961"/>
        <v>0</v>
      </c>
      <c r="S989" s="39" t="s">
        <v>28</v>
      </c>
      <c r="T989" s="39"/>
      <c r="U989" s="39"/>
      <c r="V989" s="117">
        <v>46198</v>
      </c>
      <c r="W989" s="39">
        <v>303</v>
      </c>
      <c r="X989" s="117">
        <v>46203</v>
      </c>
      <c r="Y989" s="39">
        <v>273</v>
      </c>
      <c r="Z989" s="39"/>
      <c r="AA989" s="39"/>
      <c r="AB989" s="119">
        <f t="shared" si="962"/>
        <v>273</v>
      </c>
      <c r="AC989" s="39"/>
      <c r="AD989" s="39"/>
      <c r="AE989" s="39"/>
      <c r="AF989" s="39"/>
      <c r="AG989" s="39"/>
      <c r="AH989" s="39">
        <f t="shared" si="918"/>
        <v>0</v>
      </c>
      <c r="AI989" s="39"/>
      <c r="AJ989" s="39"/>
      <c r="AK989" s="39"/>
      <c r="AL989" s="39"/>
      <c r="AM989" s="39"/>
      <c r="AN989" s="39">
        <f t="shared" si="917"/>
        <v>0</v>
      </c>
      <c r="AO989" s="39"/>
      <c r="AP989" s="39"/>
      <c r="AQ989" s="39"/>
      <c r="AR989" s="39"/>
      <c r="AS989" s="39"/>
      <c r="AT989" s="39">
        <f t="shared" si="891"/>
        <v>0</v>
      </c>
      <c r="AU989" s="39"/>
      <c r="AV989" s="39"/>
      <c r="AW989" s="39"/>
      <c r="AX989" s="39"/>
      <c r="AY989" s="39"/>
      <c r="AZ989" s="39">
        <f t="shared" si="892"/>
        <v>0</v>
      </c>
      <c r="BA989" s="39"/>
      <c r="BB989" s="39"/>
      <c r="BC989" s="39"/>
      <c r="BD989" s="39"/>
      <c r="BE989" s="39"/>
      <c r="BF989" s="39">
        <f t="shared" si="893"/>
        <v>0</v>
      </c>
      <c r="BG989" s="39"/>
      <c r="BH989" s="39"/>
      <c r="BI989" s="39"/>
      <c r="BJ989" s="39"/>
      <c r="BK989" s="39"/>
      <c r="BL989" s="39">
        <f t="shared" si="919"/>
        <v>0</v>
      </c>
      <c r="BM989" s="54" t="str">
        <f t="shared" si="894"/>
        <v/>
      </c>
      <c r="BN989" s="60">
        <v>46195</v>
      </c>
      <c r="BO989" s="117">
        <v>46204</v>
      </c>
      <c r="BP989" s="39"/>
      <c r="BQ989" s="39"/>
      <c r="BR989" s="51">
        <v>46204</v>
      </c>
      <c r="BS989" s="51">
        <v>46204</v>
      </c>
      <c r="BT989" s="39">
        <v>1763</v>
      </c>
      <c r="BU989" s="39">
        <v>276</v>
      </c>
      <c r="BV989" s="39"/>
      <c r="BW989" s="39"/>
      <c r="BX989" s="39"/>
      <c r="BY989" s="39"/>
      <c r="BZ989" s="39">
        <f t="shared" si="920"/>
        <v>276</v>
      </c>
      <c r="CA989" s="39">
        <f t="shared" si="895"/>
        <v>14</v>
      </c>
      <c r="CB989" s="39">
        <f t="shared" si="896"/>
        <v>0</v>
      </c>
      <c r="CC989" s="39">
        <f t="shared" si="897"/>
        <v>0</v>
      </c>
      <c r="CD989" s="39">
        <f t="shared" si="921"/>
        <v>0</v>
      </c>
      <c r="CE989" s="102">
        <f t="shared" si="898"/>
        <v>0</v>
      </c>
      <c r="CF989" s="36"/>
      <c r="CG989" s="39" t="s">
        <v>232</v>
      </c>
      <c r="CH989" s="39"/>
      <c r="CI989" s="25">
        <v>3</v>
      </c>
    </row>
    <row r="990" spans="1:87" ht="24.75" customHeight="1">
      <c r="A990" s="36" t="s">
        <v>20</v>
      </c>
      <c r="B990" s="29">
        <v>47875</v>
      </c>
      <c r="C990" s="227" t="s">
        <v>1047</v>
      </c>
      <c r="D990" s="36"/>
      <c r="E990" s="39">
        <v>180</v>
      </c>
      <c r="F990" s="39" t="s">
        <v>55</v>
      </c>
      <c r="G990" s="36" t="s">
        <v>23</v>
      </c>
      <c r="H990" s="39" t="s">
        <v>87</v>
      </c>
      <c r="I990" s="39">
        <v>198</v>
      </c>
      <c r="J990" s="39"/>
      <c r="K990" s="39"/>
      <c r="L990" s="39">
        <f t="shared" si="960"/>
        <v>198</v>
      </c>
      <c r="M990" s="57">
        <v>46190</v>
      </c>
      <c r="N990" s="57">
        <v>46193</v>
      </c>
      <c r="O990" s="39"/>
      <c r="P990" s="39"/>
      <c r="Q990" s="39"/>
      <c r="R990" s="39">
        <f t="shared" si="961"/>
        <v>0</v>
      </c>
      <c r="S990" s="39" t="s">
        <v>28</v>
      </c>
      <c r="T990" s="39"/>
      <c r="U990" s="39"/>
      <c r="V990" s="117">
        <v>46195</v>
      </c>
      <c r="W990" s="39">
        <v>231</v>
      </c>
      <c r="X990" s="117">
        <v>46200</v>
      </c>
      <c r="Y990" s="39">
        <v>214</v>
      </c>
      <c r="Z990" s="39"/>
      <c r="AA990" s="39"/>
      <c r="AB990" s="119">
        <f t="shared" si="962"/>
        <v>214</v>
      </c>
      <c r="AC990" s="39"/>
      <c r="AD990" s="39"/>
      <c r="AE990" s="39"/>
      <c r="AF990" s="39"/>
      <c r="AG990" s="39"/>
      <c r="AH990" s="39">
        <f t="shared" si="918"/>
        <v>0</v>
      </c>
      <c r="AI990" s="39"/>
      <c r="AJ990" s="39"/>
      <c r="AK990" s="39"/>
      <c r="AL990" s="39"/>
      <c r="AM990" s="39"/>
      <c r="AN990" s="39">
        <f t="shared" si="917"/>
        <v>0</v>
      </c>
      <c r="AO990" s="39"/>
      <c r="AP990" s="39"/>
      <c r="AQ990" s="39"/>
      <c r="AR990" s="39"/>
      <c r="AS990" s="39"/>
      <c r="AT990" s="39">
        <f t="shared" si="891"/>
        <v>0</v>
      </c>
      <c r="AU990" s="39"/>
      <c r="AV990" s="39"/>
      <c r="AW990" s="39"/>
      <c r="AX990" s="39"/>
      <c r="AY990" s="39"/>
      <c r="AZ990" s="39">
        <f t="shared" si="892"/>
        <v>0</v>
      </c>
      <c r="BA990" s="39"/>
      <c r="BB990" s="39"/>
      <c r="BC990" s="39"/>
      <c r="BD990" s="39"/>
      <c r="BE990" s="39"/>
      <c r="BF990" s="39">
        <f t="shared" si="893"/>
        <v>0</v>
      </c>
      <c r="BG990" s="39"/>
      <c r="BH990" s="39"/>
      <c r="BI990" s="39"/>
      <c r="BJ990" s="39"/>
      <c r="BK990" s="39"/>
      <c r="BL990" s="39">
        <f t="shared" si="919"/>
        <v>0</v>
      </c>
      <c r="BM990" s="54" t="str">
        <f t="shared" si="894"/>
        <v/>
      </c>
      <c r="BN990" s="60">
        <v>46195</v>
      </c>
      <c r="BO990" s="117">
        <v>46204</v>
      </c>
      <c r="BP990" s="39"/>
      <c r="BQ990" s="39"/>
      <c r="BR990" s="229">
        <v>46200</v>
      </c>
      <c r="BS990" s="229">
        <v>46204</v>
      </c>
      <c r="BT990" s="39">
        <v>1515</v>
      </c>
      <c r="BU990" s="39">
        <v>214</v>
      </c>
      <c r="BV990" s="39"/>
      <c r="BW990" s="39"/>
      <c r="BX990" s="39"/>
      <c r="BY990" s="39"/>
      <c r="BZ990" s="39">
        <f t="shared" si="920"/>
        <v>214</v>
      </c>
      <c r="CA990" s="39">
        <f t="shared" si="895"/>
        <v>16</v>
      </c>
      <c r="CB990" s="39">
        <f t="shared" si="896"/>
        <v>0</v>
      </c>
      <c r="CC990" s="39">
        <f t="shared" si="897"/>
        <v>0</v>
      </c>
      <c r="CD990" s="39">
        <f t="shared" si="921"/>
        <v>0</v>
      </c>
      <c r="CE990" s="102">
        <f t="shared" si="898"/>
        <v>0</v>
      </c>
      <c r="CF990" s="36"/>
      <c r="CG990" s="39" t="s">
        <v>232</v>
      </c>
      <c r="CH990" s="39"/>
      <c r="CI990" s="25">
        <v>3</v>
      </c>
    </row>
    <row r="991" spans="1:87" ht="24.75" customHeight="1">
      <c r="A991" s="36" t="s">
        <v>20</v>
      </c>
      <c r="B991" s="29">
        <v>47875</v>
      </c>
      <c r="C991" s="228"/>
      <c r="D991" s="36"/>
      <c r="E991" s="39">
        <v>180</v>
      </c>
      <c r="F991" s="39" t="s">
        <v>55</v>
      </c>
      <c r="G991" s="36" t="s">
        <v>192</v>
      </c>
      <c r="H991" s="39" t="s">
        <v>87</v>
      </c>
      <c r="I991" s="39">
        <v>198</v>
      </c>
      <c r="J991" s="39"/>
      <c r="K991" s="39"/>
      <c r="L991" s="39">
        <f t="shared" si="960"/>
        <v>198</v>
      </c>
      <c r="M991" s="57">
        <v>46190</v>
      </c>
      <c r="N991" s="57">
        <v>46193</v>
      </c>
      <c r="O991" s="39"/>
      <c r="P991" s="39"/>
      <c r="Q991" s="39"/>
      <c r="R991" s="39">
        <f t="shared" si="961"/>
        <v>0</v>
      </c>
      <c r="S991" s="39" t="s">
        <v>130</v>
      </c>
      <c r="T991" s="39">
        <v>107362</v>
      </c>
      <c r="U991" s="117">
        <v>46203</v>
      </c>
      <c r="V991" s="39"/>
      <c r="W991" s="39"/>
      <c r="X991" s="39"/>
      <c r="Y991" s="39">
        <v>240</v>
      </c>
      <c r="Z991" s="39"/>
      <c r="AA991" s="39"/>
      <c r="AB991" s="119">
        <f t="shared" si="962"/>
        <v>240</v>
      </c>
      <c r="AC991" s="39"/>
      <c r="AD991" s="39"/>
      <c r="AE991" s="39"/>
      <c r="AF991" s="39"/>
      <c r="AG991" s="39"/>
      <c r="AH991" s="39">
        <f t="shared" si="918"/>
        <v>0</v>
      </c>
      <c r="AI991" s="39"/>
      <c r="AJ991" s="39"/>
      <c r="AK991" s="39"/>
      <c r="AL991" s="39"/>
      <c r="AM991" s="39"/>
      <c r="AN991" s="39">
        <f t="shared" si="917"/>
        <v>0</v>
      </c>
      <c r="AO991" s="39"/>
      <c r="AP991" s="39"/>
      <c r="AQ991" s="39"/>
      <c r="AR991" s="39"/>
      <c r="AS991" s="39"/>
      <c r="AT991" s="39">
        <f t="shared" si="891"/>
        <v>0</v>
      </c>
      <c r="AU991" s="39"/>
      <c r="AV991" s="39"/>
      <c r="AW991" s="39"/>
      <c r="AX991" s="39"/>
      <c r="AY991" s="39"/>
      <c r="AZ991" s="39">
        <f t="shared" si="892"/>
        <v>0</v>
      </c>
      <c r="BA991" s="39"/>
      <c r="BB991" s="39"/>
      <c r="BC991" s="39"/>
      <c r="BD991" s="39"/>
      <c r="BE991" s="39"/>
      <c r="BF991" s="39">
        <f t="shared" si="893"/>
        <v>0</v>
      </c>
      <c r="BG991" s="39"/>
      <c r="BH991" s="39"/>
      <c r="BI991" s="39"/>
      <c r="BJ991" s="39"/>
      <c r="BK991" s="39"/>
      <c r="BL991" s="39">
        <f t="shared" si="919"/>
        <v>0</v>
      </c>
      <c r="BM991" s="54" t="str">
        <f t="shared" si="894"/>
        <v/>
      </c>
      <c r="BN991" s="60">
        <v>46195</v>
      </c>
      <c r="BO991" s="117">
        <v>46204</v>
      </c>
      <c r="BP991" s="39"/>
      <c r="BQ991" s="39"/>
      <c r="BR991" s="230"/>
      <c r="BS991" s="230"/>
      <c r="BT991" s="39">
        <v>2001</v>
      </c>
      <c r="BU991" s="39">
        <v>220</v>
      </c>
      <c r="BV991" s="39"/>
      <c r="BW991" s="39"/>
      <c r="BX991" s="39"/>
      <c r="BY991" s="39"/>
      <c r="BZ991" s="39">
        <f t="shared" si="920"/>
        <v>220</v>
      </c>
      <c r="CA991" s="39">
        <f t="shared" si="895"/>
        <v>22</v>
      </c>
      <c r="CB991" s="39">
        <f t="shared" si="896"/>
        <v>0</v>
      </c>
      <c r="CC991" s="39">
        <f t="shared" si="897"/>
        <v>0</v>
      </c>
      <c r="CD991" s="39">
        <f t="shared" si="921"/>
        <v>0</v>
      </c>
      <c r="CE991" s="102">
        <f t="shared" si="898"/>
        <v>0</v>
      </c>
      <c r="CF991" s="36"/>
      <c r="CG991" s="39" t="s">
        <v>232</v>
      </c>
      <c r="CH991" s="39"/>
      <c r="CI991" s="25">
        <v>3</v>
      </c>
    </row>
    <row r="992" spans="1:87" ht="24.75" customHeight="1">
      <c r="A992" s="36" t="s">
        <v>20</v>
      </c>
      <c r="B992" s="29" t="s">
        <v>1048</v>
      </c>
      <c r="C992" s="227" t="s">
        <v>1049</v>
      </c>
      <c r="D992" s="36"/>
      <c r="E992" s="39">
        <v>140</v>
      </c>
      <c r="F992" s="39" t="s">
        <v>61</v>
      </c>
      <c r="G992" s="36" t="s">
        <v>192</v>
      </c>
      <c r="H992" s="36" t="s">
        <v>1050</v>
      </c>
      <c r="I992" s="39">
        <v>140</v>
      </c>
      <c r="J992" s="39"/>
      <c r="K992" s="39"/>
      <c r="L992" s="39">
        <f t="shared" ref="L992:L993" si="963">SUM(I992:K992)</f>
        <v>140</v>
      </c>
      <c r="M992" s="36"/>
      <c r="N992" s="36" t="s">
        <v>42</v>
      </c>
      <c r="O992" s="39"/>
      <c r="P992" s="39"/>
      <c r="Q992" s="39"/>
      <c r="R992" s="39">
        <f t="shared" ref="R992:R1003" si="964">SUM(O992:Q992)</f>
        <v>0</v>
      </c>
      <c r="S992" s="39" t="s">
        <v>130</v>
      </c>
      <c r="T992" s="39" t="s">
        <v>1472</v>
      </c>
      <c r="U992" s="117" t="s">
        <v>1449</v>
      </c>
      <c r="V992" s="39"/>
      <c r="W992" s="39"/>
      <c r="X992" s="39"/>
      <c r="Y992" s="39">
        <f>164+26</f>
        <v>190</v>
      </c>
      <c r="Z992" s="39"/>
      <c r="AA992" s="39"/>
      <c r="AB992" s="119">
        <f t="shared" ref="AB992:AB1003" si="965">SUM(Y992:AA992)</f>
        <v>190</v>
      </c>
      <c r="AC992" s="39"/>
      <c r="AD992" s="39"/>
      <c r="AE992" s="39"/>
      <c r="AF992" s="39"/>
      <c r="AG992" s="39"/>
      <c r="AH992" s="39">
        <f t="shared" si="918"/>
        <v>0</v>
      </c>
      <c r="AI992" s="39"/>
      <c r="AJ992" s="39"/>
      <c r="AK992" s="39"/>
      <c r="AL992" s="39"/>
      <c r="AM992" s="39"/>
      <c r="AN992" s="39">
        <f t="shared" si="917"/>
        <v>0</v>
      </c>
      <c r="AO992" s="39"/>
      <c r="AP992" s="39"/>
      <c r="AQ992" s="39"/>
      <c r="AR992" s="39"/>
      <c r="AS992" s="39"/>
      <c r="AT992" s="39">
        <f t="shared" si="891"/>
        <v>0</v>
      </c>
      <c r="AU992" s="39"/>
      <c r="AV992" s="39"/>
      <c r="AW992" s="39"/>
      <c r="AX992" s="39"/>
      <c r="AY992" s="39"/>
      <c r="AZ992" s="39">
        <f t="shared" si="892"/>
        <v>0</v>
      </c>
      <c r="BA992" s="39"/>
      <c r="BB992" s="39"/>
      <c r="BC992" s="39"/>
      <c r="BD992" s="39"/>
      <c r="BE992" s="39"/>
      <c r="BF992" s="39">
        <f t="shared" si="893"/>
        <v>0</v>
      </c>
      <c r="BG992" s="39"/>
      <c r="BH992" s="39"/>
      <c r="BI992" s="39"/>
      <c r="BJ992" s="39"/>
      <c r="BK992" s="39"/>
      <c r="BL992" s="39">
        <f t="shared" si="919"/>
        <v>0</v>
      </c>
      <c r="BM992" s="54" t="str">
        <f t="shared" si="894"/>
        <v/>
      </c>
      <c r="BN992" s="60">
        <v>46195</v>
      </c>
      <c r="BO992" s="117">
        <v>46204</v>
      </c>
      <c r="BP992" s="39"/>
      <c r="BQ992" s="39"/>
      <c r="BR992" s="229">
        <v>46204</v>
      </c>
      <c r="BS992" s="229">
        <v>46205</v>
      </c>
      <c r="BT992" s="39" t="s">
        <v>1508</v>
      </c>
      <c r="BU992" s="39">
        <f>144+7+23</f>
        <v>174</v>
      </c>
      <c r="BV992" s="39"/>
      <c r="BW992" s="39"/>
      <c r="BX992" s="39"/>
      <c r="BY992" s="39"/>
      <c r="BZ992" s="39">
        <f t="shared" si="920"/>
        <v>174</v>
      </c>
      <c r="CA992" s="39">
        <f t="shared" si="895"/>
        <v>34</v>
      </c>
      <c r="CB992" s="39">
        <f t="shared" si="896"/>
        <v>0</v>
      </c>
      <c r="CC992" s="39">
        <f t="shared" si="897"/>
        <v>0</v>
      </c>
      <c r="CD992" s="39">
        <f t="shared" si="921"/>
        <v>0</v>
      </c>
      <c r="CE992" s="102">
        <f t="shared" si="898"/>
        <v>0</v>
      </c>
      <c r="CF992" s="36"/>
      <c r="CG992" s="39" t="s">
        <v>232</v>
      </c>
      <c r="CH992" s="39"/>
      <c r="CI992" s="25">
        <v>3</v>
      </c>
    </row>
    <row r="993" spans="1:87" ht="24.75" customHeight="1">
      <c r="A993" s="36" t="s">
        <v>20</v>
      </c>
      <c r="B993" s="29" t="s">
        <v>1048</v>
      </c>
      <c r="C993" s="228"/>
      <c r="D993" s="36"/>
      <c r="E993" s="39">
        <v>140</v>
      </c>
      <c r="F993" s="39" t="s">
        <v>61</v>
      </c>
      <c r="G993" s="36" t="s">
        <v>457</v>
      </c>
      <c r="H993" s="36" t="s">
        <v>1050</v>
      </c>
      <c r="I993" s="39">
        <v>140</v>
      </c>
      <c r="J993" s="39"/>
      <c r="K993" s="39"/>
      <c r="L993" s="39">
        <f t="shared" si="963"/>
        <v>140</v>
      </c>
      <c r="M993" s="36"/>
      <c r="N993" s="36" t="s">
        <v>42</v>
      </c>
      <c r="O993" s="39"/>
      <c r="P993" s="39"/>
      <c r="Q993" s="39"/>
      <c r="R993" s="39">
        <f t="shared" si="964"/>
        <v>0</v>
      </c>
      <c r="S993" s="39" t="s">
        <v>130</v>
      </c>
      <c r="T993" s="39" t="s">
        <v>1495</v>
      </c>
      <c r="U993" s="117" t="s">
        <v>1475</v>
      </c>
      <c r="V993" s="39"/>
      <c r="W993" s="39"/>
      <c r="X993" s="39"/>
      <c r="Y993" s="39">
        <f>164+20</f>
        <v>184</v>
      </c>
      <c r="Z993" s="39"/>
      <c r="AA993" s="39"/>
      <c r="AB993" s="119">
        <f t="shared" si="965"/>
        <v>184</v>
      </c>
      <c r="AC993" s="39"/>
      <c r="AD993" s="39"/>
      <c r="AE993" s="39"/>
      <c r="AF993" s="39"/>
      <c r="AG993" s="39"/>
      <c r="AH993" s="39">
        <f t="shared" si="918"/>
        <v>0</v>
      </c>
      <c r="AI993" s="39"/>
      <c r="AJ993" s="39"/>
      <c r="AK993" s="39"/>
      <c r="AL993" s="39"/>
      <c r="AM993" s="39"/>
      <c r="AN993" s="39">
        <f t="shared" si="917"/>
        <v>0</v>
      </c>
      <c r="AO993" s="39"/>
      <c r="AP993" s="39"/>
      <c r="AQ993" s="39"/>
      <c r="AR993" s="39"/>
      <c r="AS993" s="39"/>
      <c r="AT993" s="39">
        <f t="shared" si="891"/>
        <v>0</v>
      </c>
      <c r="AU993" s="39"/>
      <c r="AV993" s="39"/>
      <c r="AW993" s="39"/>
      <c r="AX993" s="39"/>
      <c r="AY993" s="39"/>
      <c r="AZ993" s="39">
        <f t="shared" si="892"/>
        <v>0</v>
      </c>
      <c r="BA993" s="39"/>
      <c r="BB993" s="39"/>
      <c r="BC993" s="39"/>
      <c r="BD993" s="39"/>
      <c r="BE993" s="39"/>
      <c r="BF993" s="39">
        <f t="shared" si="893"/>
        <v>0</v>
      </c>
      <c r="BG993" s="39"/>
      <c r="BH993" s="39"/>
      <c r="BI993" s="39"/>
      <c r="BJ993" s="39"/>
      <c r="BK993" s="39"/>
      <c r="BL993" s="39">
        <f t="shared" si="919"/>
        <v>0</v>
      </c>
      <c r="BM993" s="54" t="str">
        <f t="shared" si="894"/>
        <v/>
      </c>
      <c r="BN993" s="60">
        <v>46195</v>
      </c>
      <c r="BO993" s="117">
        <v>46204</v>
      </c>
      <c r="BP993" s="39"/>
      <c r="BQ993" s="39"/>
      <c r="BR993" s="230"/>
      <c r="BS993" s="230"/>
      <c r="BT993" s="39" t="s">
        <v>1510</v>
      </c>
      <c r="BU993" s="39">
        <f>150+19</f>
        <v>169</v>
      </c>
      <c r="BV993" s="39"/>
      <c r="BW993" s="39"/>
      <c r="BX993" s="39"/>
      <c r="BY993" s="39"/>
      <c r="BZ993" s="39">
        <f t="shared" si="920"/>
        <v>169</v>
      </c>
      <c r="CA993" s="39">
        <f t="shared" si="895"/>
        <v>29</v>
      </c>
      <c r="CB993" s="39">
        <f t="shared" si="896"/>
        <v>0</v>
      </c>
      <c r="CC993" s="39">
        <f t="shared" si="897"/>
        <v>0</v>
      </c>
      <c r="CD993" s="39">
        <f t="shared" si="921"/>
        <v>0</v>
      </c>
      <c r="CE993" s="102">
        <f t="shared" si="898"/>
        <v>0</v>
      </c>
      <c r="CF993" s="36"/>
      <c r="CG993" s="39" t="s">
        <v>232</v>
      </c>
      <c r="CH993" s="39"/>
      <c r="CI993" s="25">
        <v>3</v>
      </c>
    </row>
    <row r="994" spans="1:87" ht="24.75" customHeight="1">
      <c r="A994" s="36" t="s">
        <v>20</v>
      </c>
      <c r="B994" s="29" t="s">
        <v>1071</v>
      </c>
      <c r="C994" s="227" t="s">
        <v>1072</v>
      </c>
      <c r="D994" s="36"/>
      <c r="E994" s="39">
        <v>180</v>
      </c>
      <c r="F994" s="39" t="s">
        <v>58</v>
      </c>
      <c r="G994" s="36" t="s">
        <v>23</v>
      </c>
      <c r="H994" s="36" t="s">
        <v>87</v>
      </c>
      <c r="I994" s="39">
        <v>201</v>
      </c>
      <c r="J994" s="39"/>
      <c r="K994" s="39"/>
      <c r="L994" s="39">
        <f t="shared" ref="L994:L996" si="966">SUM(I994:K994)</f>
        <v>201</v>
      </c>
      <c r="M994" s="57">
        <v>46195</v>
      </c>
      <c r="N994" s="57">
        <v>46202</v>
      </c>
      <c r="O994" s="39"/>
      <c r="P994" s="39"/>
      <c r="Q994" s="39"/>
      <c r="R994" s="39">
        <f t="shared" si="964"/>
        <v>0</v>
      </c>
      <c r="S994" s="39" t="s">
        <v>28</v>
      </c>
      <c r="T994" s="39"/>
      <c r="U994" s="39"/>
      <c r="V994" s="117">
        <v>46200</v>
      </c>
      <c r="W994" s="39">
        <v>222</v>
      </c>
      <c r="X994" s="117">
        <v>46205</v>
      </c>
      <c r="Y994" s="39">
        <v>206</v>
      </c>
      <c r="Z994" s="39"/>
      <c r="AA994" s="39"/>
      <c r="AB994" s="119">
        <f t="shared" si="965"/>
        <v>206</v>
      </c>
      <c r="AC994" s="39"/>
      <c r="AD994" s="39"/>
      <c r="AE994" s="39"/>
      <c r="AF994" s="39"/>
      <c r="AG994" s="39"/>
      <c r="AH994" s="39">
        <f t="shared" si="918"/>
        <v>0</v>
      </c>
      <c r="AI994" s="39"/>
      <c r="AJ994" s="39"/>
      <c r="AK994" s="39"/>
      <c r="AL994" s="39"/>
      <c r="AM994" s="39"/>
      <c r="AN994" s="39">
        <f t="shared" si="917"/>
        <v>0</v>
      </c>
      <c r="AO994" s="39"/>
      <c r="AP994" s="39"/>
      <c r="AQ994" s="39"/>
      <c r="AR994" s="39"/>
      <c r="AS994" s="39"/>
      <c r="AT994" s="39">
        <f t="shared" si="891"/>
        <v>0</v>
      </c>
      <c r="AU994" s="39"/>
      <c r="AV994" s="39"/>
      <c r="AW994" s="39"/>
      <c r="AX994" s="39"/>
      <c r="AY994" s="39"/>
      <c r="AZ994" s="39">
        <f t="shared" si="892"/>
        <v>0</v>
      </c>
      <c r="BA994" s="39"/>
      <c r="BB994" s="39"/>
      <c r="BC994" s="39"/>
      <c r="BD994" s="39"/>
      <c r="BE994" s="39"/>
      <c r="BF994" s="39">
        <f t="shared" si="893"/>
        <v>0</v>
      </c>
      <c r="BG994" s="39"/>
      <c r="BH994" s="39"/>
      <c r="BI994" s="39"/>
      <c r="BJ994" s="39"/>
      <c r="BK994" s="39"/>
      <c r="BL994" s="39">
        <f t="shared" si="919"/>
        <v>0</v>
      </c>
      <c r="BM994" s="54" t="str">
        <f t="shared" si="894"/>
        <v/>
      </c>
      <c r="BN994" s="60">
        <v>46203</v>
      </c>
      <c r="BO994" s="117">
        <v>46216</v>
      </c>
      <c r="BP994" s="39"/>
      <c r="BQ994" s="39"/>
      <c r="BR994" s="229">
        <v>46115</v>
      </c>
      <c r="BS994" s="229">
        <v>46206</v>
      </c>
      <c r="BT994" s="39">
        <v>1765</v>
      </c>
      <c r="BU994" s="39">
        <v>206</v>
      </c>
      <c r="BV994" s="39"/>
      <c r="BW994" s="39"/>
      <c r="BX994" s="39"/>
      <c r="BY994" s="39"/>
      <c r="BZ994" s="39">
        <f t="shared" si="920"/>
        <v>206</v>
      </c>
      <c r="CA994" s="39">
        <f t="shared" si="895"/>
        <v>5</v>
      </c>
      <c r="CB994" s="39">
        <f t="shared" si="896"/>
        <v>0</v>
      </c>
      <c r="CC994" s="39">
        <f t="shared" si="897"/>
        <v>0</v>
      </c>
      <c r="CD994" s="39">
        <f t="shared" si="921"/>
        <v>0</v>
      </c>
      <c r="CE994" s="102">
        <f t="shared" si="898"/>
        <v>0</v>
      </c>
      <c r="CF994" s="36"/>
      <c r="CG994" s="39" t="s">
        <v>233</v>
      </c>
      <c r="CH994" s="39"/>
      <c r="CI994" s="25">
        <v>3</v>
      </c>
    </row>
    <row r="995" spans="1:87" ht="24.75" customHeight="1">
      <c r="A995" s="36" t="s">
        <v>20</v>
      </c>
      <c r="B995" s="29" t="s">
        <v>1071</v>
      </c>
      <c r="C995" s="228"/>
      <c r="D995" s="36"/>
      <c r="E995" s="39">
        <v>180</v>
      </c>
      <c r="F995" s="39" t="s">
        <v>58</v>
      </c>
      <c r="G995" s="36" t="s">
        <v>23</v>
      </c>
      <c r="H995" s="36" t="s">
        <v>87</v>
      </c>
      <c r="I995" s="39">
        <v>201</v>
      </c>
      <c r="J995" s="39"/>
      <c r="K995" s="39"/>
      <c r="L995" s="39">
        <f t="shared" si="966"/>
        <v>201</v>
      </c>
      <c r="M995" s="57">
        <v>46195</v>
      </c>
      <c r="N995" s="57">
        <v>46202</v>
      </c>
      <c r="O995" s="39"/>
      <c r="P995" s="39"/>
      <c r="Q995" s="39"/>
      <c r="R995" s="39">
        <f t="shared" si="964"/>
        <v>0</v>
      </c>
      <c r="S995" s="39" t="s">
        <v>28</v>
      </c>
      <c r="T995" s="39"/>
      <c r="U995" s="39"/>
      <c r="V995" s="117">
        <v>46200</v>
      </c>
      <c r="W995" s="39">
        <v>222</v>
      </c>
      <c r="X995" s="117">
        <v>46205</v>
      </c>
      <c r="Y995" s="39">
        <v>206</v>
      </c>
      <c r="Z995" s="39"/>
      <c r="AA995" s="39"/>
      <c r="AB995" s="119">
        <f t="shared" si="965"/>
        <v>206</v>
      </c>
      <c r="AC995" s="39"/>
      <c r="AD995" s="39"/>
      <c r="AE995" s="39"/>
      <c r="AF995" s="39"/>
      <c r="AG995" s="39"/>
      <c r="AH995" s="39">
        <f t="shared" si="918"/>
        <v>0</v>
      </c>
      <c r="AI995" s="39"/>
      <c r="AJ995" s="39"/>
      <c r="AK995" s="39"/>
      <c r="AL995" s="39"/>
      <c r="AM995" s="39"/>
      <c r="AN995" s="39">
        <f t="shared" si="917"/>
        <v>0</v>
      </c>
      <c r="AO995" s="39"/>
      <c r="AP995" s="39"/>
      <c r="AQ995" s="39"/>
      <c r="AR995" s="39"/>
      <c r="AS995" s="39"/>
      <c r="AT995" s="39">
        <f t="shared" si="891"/>
        <v>0</v>
      </c>
      <c r="AU995" s="39"/>
      <c r="AV995" s="39"/>
      <c r="AW995" s="39"/>
      <c r="AX995" s="39"/>
      <c r="AY995" s="39"/>
      <c r="AZ995" s="39">
        <f t="shared" si="892"/>
        <v>0</v>
      </c>
      <c r="BA995" s="39"/>
      <c r="BB995" s="39"/>
      <c r="BC995" s="39"/>
      <c r="BD995" s="39"/>
      <c r="BE995" s="39"/>
      <c r="BF995" s="39">
        <f t="shared" si="893"/>
        <v>0</v>
      </c>
      <c r="BG995" s="39"/>
      <c r="BH995" s="39"/>
      <c r="BI995" s="39"/>
      <c r="BJ995" s="39"/>
      <c r="BK995" s="39"/>
      <c r="BL995" s="39">
        <f t="shared" si="919"/>
        <v>0</v>
      </c>
      <c r="BM995" s="54" t="str">
        <f t="shared" si="894"/>
        <v/>
      </c>
      <c r="BN995" s="60">
        <v>46203</v>
      </c>
      <c r="BO995" s="117">
        <v>46216</v>
      </c>
      <c r="BP995" s="39"/>
      <c r="BQ995" s="39"/>
      <c r="BR995" s="230"/>
      <c r="BS995" s="230"/>
      <c r="BT995" s="39">
        <v>1765</v>
      </c>
      <c r="BU995" s="39">
        <v>206</v>
      </c>
      <c r="BV995" s="39"/>
      <c r="BW995" s="39"/>
      <c r="BX995" s="39"/>
      <c r="BY995" s="39"/>
      <c r="BZ995" s="39">
        <f t="shared" si="920"/>
        <v>206</v>
      </c>
      <c r="CA995" s="39">
        <f t="shared" si="895"/>
        <v>5</v>
      </c>
      <c r="CB995" s="39">
        <f t="shared" si="896"/>
        <v>0</v>
      </c>
      <c r="CC995" s="39">
        <f t="shared" si="897"/>
        <v>0</v>
      </c>
      <c r="CD995" s="39">
        <f t="shared" si="921"/>
        <v>0</v>
      </c>
      <c r="CE995" s="102">
        <f t="shared" si="898"/>
        <v>0</v>
      </c>
      <c r="CF995" s="36"/>
      <c r="CG995" s="39" t="s">
        <v>233</v>
      </c>
      <c r="CH995" s="39"/>
      <c r="CI995" s="25">
        <v>3</v>
      </c>
    </row>
    <row r="996" spans="1:87" ht="33.75" customHeight="1">
      <c r="A996" s="36" t="s">
        <v>20</v>
      </c>
      <c r="B996" s="29" t="s">
        <v>1073</v>
      </c>
      <c r="C996" s="36" t="s">
        <v>1074</v>
      </c>
      <c r="D996" s="36"/>
      <c r="E996" s="39">
        <v>220</v>
      </c>
      <c r="F996" s="39" t="s">
        <v>55</v>
      </c>
      <c r="G996" s="36" t="s">
        <v>216</v>
      </c>
      <c r="H996" s="36" t="s">
        <v>459</v>
      </c>
      <c r="I996" s="39">
        <v>512</v>
      </c>
      <c r="J996" s="39"/>
      <c r="K996" s="39"/>
      <c r="L996" s="39">
        <f t="shared" si="966"/>
        <v>512</v>
      </c>
      <c r="M996" s="57">
        <v>46195</v>
      </c>
      <c r="N996" s="57">
        <v>46202</v>
      </c>
      <c r="O996" s="39"/>
      <c r="P996" s="39"/>
      <c r="Q996" s="39"/>
      <c r="R996" s="39">
        <f t="shared" si="964"/>
        <v>0</v>
      </c>
      <c r="S996" s="39" t="s">
        <v>130</v>
      </c>
      <c r="T996" s="39">
        <v>107625</v>
      </c>
      <c r="U996" s="117">
        <v>46213</v>
      </c>
      <c r="V996" s="39"/>
      <c r="W996" s="39"/>
      <c r="X996" s="39"/>
      <c r="Y996" s="39">
        <v>578</v>
      </c>
      <c r="Z996" s="39"/>
      <c r="AA996" s="39"/>
      <c r="AB996" s="119">
        <f t="shared" si="965"/>
        <v>578</v>
      </c>
      <c r="AC996" s="39"/>
      <c r="AD996" s="39"/>
      <c r="AE996" s="39"/>
      <c r="AF996" s="39"/>
      <c r="AG996" s="39"/>
      <c r="AH996" s="39">
        <f t="shared" si="918"/>
        <v>0</v>
      </c>
      <c r="AI996" s="39"/>
      <c r="AJ996" s="39"/>
      <c r="AK996" s="39"/>
      <c r="AL996" s="39"/>
      <c r="AM996" s="39"/>
      <c r="AN996" s="39">
        <f t="shared" si="917"/>
        <v>0</v>
      </c>
      <c r="AO996" s="39"/>
      <c r="AP996" s="39"/>
      <c r="AQ996" s="39"/>
      <c r="AR996" s="39"/>
      <c r="AS996" s="39"/>
      <c r="AT996" s="39">
        <f t="shared" si="891"/>
        <v>0</v>
      </c>
      <c r="AU996" s="39"/>
      <c r="AV996" s="39"/>
      <c r="AW996" s="39"/>
      <c r="AX996" s="39"/>
      <c r="AY996" s="39"/>
      <c r="AZ996" s="39">
        <f t="shared" si="892"/>
        <v>0</v>
      </c>
      <c r="BA996" s="39"/>
      <c r="BB996" s="39"/>
      <c r="BC996" s="39"/>
      <c r="BD996" s="39"/>
      <c r="BE996" s="39"/>
      <c r="BF996" s="39">
        <f t="shared" si="893"/>
        <v>0</v>
      </c>
      <c r="BG996" s="39"/>
      <c r="BH996" s="39"/>
      <c r="BI996" s="39"/>
      <c r="BJ996" s="39"/>
      <c r="BK996" s="39"/>
      <c r="BL996" s="39">
        <f t="shared" si="919"/>
        <v>0</v>
      </c>
      <c r="BM996" s="54" t="str">
        <f t="shared" si="894"/>
        <v/>
      </c>
      <c r="BN996" s="60">
        <v>46203</v>
      </c>
      <c r="BO996" s="117">
        <v>46216</v>
      </c>
      <c r="BP996" s="39"/>
      <c r="BQ996" s="39"/>
      <c r="BR996" s="51">
        <v>46216</v>
      </c>
      <c r="BS996" s="51">
        <v>46216</v>
      </c>
      <c r="BT996" s="39">
        <v>2019</v>
      </c>
      <c r="BU996" s="39">
        <v>540</v>
      </c>
      <c r="BV996" s="39"/>
      <c r="BW996" s="39"/>
      <c r="BX996" s="39"/>
      <c r="BY996" s="39"/>
      <c r="BZ996" s="39">
        <f t="shared" si="920"/>
        <v>540</v>
      </c>
      <c r="CA996" s="39">
        <f t="shared" si="895"/>
        <v>28</v>
      </c>
      <c r="CB996" s="39">
        <f t="shared" si="896"/>
        <v>0</v>
      </c>
      <c r="CC996" s="39">
        <f t="shared" si="897"/>
        <v>0</v>
      </c>
      <c r="CD996" s="39">
        <f t="shared" si="921"/>
        <v>0</v>
      </c>
      <c r="CE996" s="102">
        <f t="shared" si="898"/>
        <v>0</v>
      </c>
      <c r="CF996" s="36"/>
      <c r="CG996" s="39" t="s">
        <v>233</v>
      </c>
      <c r="CH996" s="39"/>
      <c r="CI996" s="25">
        <v>3</v>
      </c>
    </row>
    <row r="997" spans="1:87" ht="33.75" customHeight="1">
      <c r="A997" s="36" t="s">
        <v>20</v>
      </c>
      <c r="B997" s="29" t="s">
        <v>1084</v>
      </c>
      <c r="C997" s="36" t="s">
        <v>1085</v>
      </c>
      <c r="D997" s="36"/>
      <c r="E997" s="39">
        <v>280</v>
      </c>
      <c r="F997" s="39" t="s">
        <v>64</v>
      </c>
      <c r="G997" s="36" t="s">
        <v>23</v>
      </c>
      <c r="H997" s="36" t="s">
        <v>972</v>
      </c>
      <c r="I997" s="39">
        <v>302</v>
      </c>
      <c r="J997" s="39"/>
      <c r="K997" s="39">
        <v>7</v>
      </c>
      <c r="L997" s="39">
        <f t="shared" ref="L997:L1005" si="967">SUM(I997:K997)</f>
        <v>309</v>
      </c>
      <c r="M997" s="57">
        <v>46196</v>
      </c>
      <c r="N997" s="57">
        <v>46202</v>
      </c>
      <c r="O997" s="39"/>
      <c r="P997" s="39"/>
      <c r="Q997" s="39"/>
      <c r="R997" s="39">
        <f t="shared" si="964"/>
        <v>0</v>
      </c>
      <c r="S997" s="39" t="s">
        <v>130</v>
      </c>
      <c r="T997" s="39" t="s">
        <v>1434</v>
      </c>
      <c r="U997" s="117" t="s">
        <v>1409</v>
      </c>
      <c r="V997" s="39"/>
      <c r="W997" s="39"/>
      <c r="X997" s="39"/>
      <c r="Y997" s="39">
        <v>320</v>
      </c>
      <c r="Z997" s="39"/>
      <c r="AA997" s="39">
        <v>10</v>
      </c>
      <c r="AB997" s="119">
        <f t="shared" si="965"/>
        <v>330</v>
      </c>
      <c r="AC997" s="39"/>
      <c r="AD997" s="39"/>
      <c r="AE997" s="39"/>
      <c r="AF997" s="39"/>
      <c r="AG997" s="39"/>
      <c r="AH997" s="39">
        <f t="shared" si="918"/>
        <v>0</v>
      </c>
      <c r="AI997" s="39"/>
      <c r="AJ997" s="39"/>
      <c r="AK997" s="39"/>
      <c r="AL997" s="39"/>
      <c r="AM997" s="39"/>
      <c r="AN997" s="39">
        <f t="shared" si="917"/>
        <v>0</v>
      </c>
      <c r="AO997" s="39"/>
      <c r="AP997" s="39"/>
      <c r="AQ997" s="39"/>
      <c r="AR997" s="39"/>
      <c r="AS997" s="39"/>
      <c r="AT997" s="39">
        <f t="shared" si="891"/>
        <v>0</v>
      </c>
      <c r="AU997" s="39"/>
      <c r="AV997" s="39"/>
      <c r="AW997" s="39"/>
      <c r="AX997" s="39"/>
      <c r="AY997" s="39"/>
      <c r="AZ997" s="39">
        <f t="shared" si="892"/>
        <v>0</v>
      </c>
      <c r="BA997" s="39"/>
      <c r="BB997" s="39"/>
      <c r="BC997" s="39"/>
      <c r="BD997" s="39"/>
      <c r="BE997" s="39"/>
      <c r="BF997" s="39">
        <f t="shared" si="893"/>
        <v>0</v>
      </c>
      <c r="BG997" s="39"/>
      <c r="BH997" s="39"/>
      <c r="BI997" s="39"/>
      <c r="BJ997" s="39"/>
      <c r="BK997" s="39"/>
      <c r="BL997" s="39">
        <f t="shared" si="919"/>
        <v>0</v>
      </c>
      <c r="BM997" s="54" t="str">
        <f t="shared" si="894"/>
        <v/>
      </c>
      <c r="BN997" s="60">
        <v>46203</v>
      </c>
      <c r="BO997" s="117">
        <v>46213</v>
      </c>
      <c r="BP997" s="39"/>
      <c r="BQ997" s="39"/>
      <c r="BR997" s="51">
        <v>46211</v>
      </c>
      <c r="BS997" s="51">
        <v>46217</v>
      </c>
      <c r="BT997" s="39">
        <v>2027</v>
      </c>
      <c r="BU997" s="39">
        <v>322</v>
      </c>
      <c r="BV997" s="39"/>
      <c r="BW997" s="39"/>
      <c r="BX997" s="39">
        <v>1584</v>
      </c>
      <c r="BY997" s="39">
        <v>9</v>
      </c>
      <c r="BZ997" s="39">
        <f t="shared" si="920"/>
        <v>331</v>
      </c>
      <c r="CA997" s="39">
        <f t="shared" si="895"/>
        <v>20</v>
      </c>
      <c r="CB997" s="39">
        <f t="shared" si="896"/>
        <v>0</v>
      </c>
      <c r="CC997" s="39">
        <f t="shared" si="897"/>
        <v>2</v>
      </c>
      <c r="CD997" s="39">
        <f t="shared" si="921"/>
        <v>0</v>
      </c>
      <c r="CE997" s="102">
        <f t="shared" si="898"/>
        <v>0</v>
      </c>
      <c r="CF997" s="36"/>
      <c r="CG997" s="39" t="s">
        <v>232</v>
      </c>
      <c r="CH997" s="39"/>
      <c r="CI997" s="25">
        <v>3</v>
      </c>
    </row>
    <row r="998" spans="1:87" ht="24.75" customHeight="1">
      <c r="A998" s="36" t="s">
        <v>20</v>
      </c>
      <c r="B998" s="29" t="s">
        <v>1086</v>
      </c>
      <c r="C998" s="227" t="s">
        <v>1087</v>
      </c>
      <c r="D998" s="36"/>
      <c r="E998" s="39">
        <v>180</v>
      </c>
      <c r="F998" s="39" t="s">
        <v>53</v>
      </c>
      <c r="G998" s="36" t="s">
        <v>47</v>
      </c>
      <c r="H998" s="36" t="s">
        <v>87</v>
      </c>
      <c r="I998" s="39">
        <v>102</v>
      </c>
      <c r="J998" s="39"/>
      <c r="K998" s="39"/>
      <c r="L998" s="39">
        <f t="shared" si="967"/>
        <v>102</v>
      </c>
      <c r="M998" s="57">
        <v>46196</v>
      </c>
      <c r="N998" s="57">
        <v>46203</v>
      </c>
      <c r="O998" s="39"/>
      <c r="P998" s="39"/>
      <c r="Q998" s="39"/>
      <c r="R998" s="39">
        <f t="shared" si="964"/>
        <v>0</v>
      </c>
      <c r="S998" s="39" t="s">
        <v>130</v>
      </c>
      <c r="T998" s="39">
        <v>107637</v>
      </c>
      <c r="U998" s="117">
        <v>46213</v>
      </c>
      <c r="V998" s="39"/>
      <c r="W998" s="39"/>
      <c r="X998" s="39"/>
      <c r="Y998" s="39">
        <v>128</v>
      </c>
      <c r="Z998" s="39"/>
      <c r="AA998" s="39"/>
      <c r="AB998" s="119">
        <f t="shared" si="965"/>
        <v>128</v>
      </c>
      <c r="AC998" s="39"/>
      <c r="AD998" s="39"/>
      <c r="AE998" s="39"/>
      <c r="AF998" s="39"/>
      <c r="AG998" s="39"/>
      <c r="AH998" s="39">
        <f t="shared" si="918"/>
        <v>0</v>
      </c>
      <c r="AI998" s="39"/>
      <c r="AJ998" s="39"/>
      <c r="AK998" s="39"/>
      <c r="AL998" s="39"/>
      <c r="AM998" s="39"/>
      <c r="AN998" s="39">
        <f t="shared" si="917"/>
        <v>0</v>
      </c>
      <c r="AO998" s="39"/>
      <c r="AP998" s="39"/>
      <c r="AQ998" s="39"/>
      <c r="AR998" s="39"/>
      <c r="AS998" s="39"/>
      <c r="AT998" s="39">
        <f t="shared" si="891"/>
        <v>0</v>
      </c>
      <c r="AU998" s="39"/>
      <c r="AV998" s="39"/>
      <c r="AW998" s="39"/>
      <c r="AX998" s="39"/>
      <c r="AY998" s="39"/>
      <c r="AZ998" s="39">
        <f t="shared" si="892"/>
        <v>0</v>
      </c>
      <c r="BA998" s="39"/>
      <c r="BB998" s="39"/>
      <c r="BC998" s="39"/>
      <c r="BD998" s="39"/>
      <c r="BE998" s="39"/>
      <c r="BF998" s="39">
        <f t="shared" si="893"/>
        <v>0</v>
      </c>
      <c r="BG998" s="39"/>
      <c r="BH998" s="39"/>
      <c r="BI998" s="39"/>
      <c r="BJ998" s="39"/>
      <c r="BK998" s="39"/>
      <c r="BL998" s="39">
        <f t="shared" si="919"/>
        <v>0</v>
      </c>
      <c r="BM998" s="54" t="str">
        <f t="shared" si="894"/>
        <v/>
      </c>
      <c r="BN998" s="60">
        <v>46203</v>
      </c>
      <c r="BO998" s="117">
        <v>46214</v>
      </c>
      <c r="BP998" s="39"/>
      <c r="BQ998" s="39"/>
      <c r="BR998" s="229">
        <v>46210</v>
      </c>
      <c r="BS998" s="229">
        <v>46224</v>
      </c>
      <c r="BT998" s="39">
        <v>2022</v>
      </c>
      <c r="BU998" s="39">
        <v>107</v>
      </c>
      <c r="BV998" s="39"/>
      <c r="BW998" s="39"/>
      <c r="BX998" s="39"/>
      <c r="BY998" s="39"/>
      <c r="BZ998" s="39">
        <f t="shared" si="920"/>
        <v>107</v>
      </c>
      <c r="CA998" s="39">
        <f t="shared" si="895"/>
        <v>5</v>
      </c>
      <c r="CB998" s="39">
        <f t="shared" si="896"/>
        <v>0</v>
      </c>
      <c r="CC998" s="39">
        <f t="shared" si="897"/>
        <v>0</v>
      </c>
      <c r="CD998" s="39">
        <f t="shared" si="921"/>
        <v>0</v>
      </c>
      <c r="CE998" s="102">
        <f t="shared" si="898"/>
        <v>0</v>
      </c>
      <c r="CF998" s="36"/>
      <c r="CG998" s="39" t="s">
        <v>232</v>
      </c>
      <c r="CH998" s="39"/>
      <c r="CI998" s="25">
        <v>3</v>
      </c>
    </row>
    <row r="999" spans="1:87" ht="24.75" customHeight="1">
      <c r="A999" s="36" t="s">
        <v>20</v>
      </c>
      <c r="B999" s="29" t="s">
        <v>1086</v>
      </c>
      <c r="C999" s="231"/>
      <c r="D999" s="36"/>
      <c r="E999" s="39">
        <v>180</v>
      </c>
      <c r="F999" s="39" t="s">
        <v>53</v>
      </c>
      <c r="G999" s="36" t="s">
        <v>1088</v>
      </c>
      <c r="H999" s="36" t="s">
        <v>87</v>
      </c>
      <c r="I999" s="39">
        <v>102</v>
      </c>
      <c r="J999" s="39"/>
      <c r="K999" s="39"/>
      <c r="L999" s="39">
        <f t="shared" si="967"/>
        <v>102</v>
      </c>
      <c r="M999" s="57">
        <v>46196</v>
      </c>
      <c r="N999" s="57">
        <v>46203</v>
      </c>
      <c r="O999" s="39"/>
      <c r="P999" s="39"/>
      <c r="Q999" s="39"/>
      <c r="R999" s="39">
        <f t="shared" si="964"/>
        <v>0</v>
      </c>
      <c r="S999" s="39" t="s">
        <v>28</v>
      </c>
      <c r="T999" s="39"/>
      <c r="U999" s="39"/>
      <c r="V999" s="117">
        <v>46203</v>
      </c>
      <c r="W999" s="39">
        <v>127</v>
      </c>
      <c r="X999" s="117">
        <v>46215</v>
      </c>
      <c r="Y999" s="39">
        <v>112</v>
      </c>
      <c r="Z999" s="39"/>
      <c r="AA999" s="39"/>
      <c r="AB999" s="119">
        <f t="shared" si="965"/>
        <v>112</v>
      </c>
      <c r="AC999" s="39"/>
      <c r="AD999" s="39"/>
      <c r="AE999" s="39"/>
      <c r="AF999" s="39"/>
      <c r="AG999" s="39"/>
      <c r="AH999" s="39">
        <f t="shared" si="918"/>
        <v>0</v>
      </c>
      <c r="AI999" s="39"/>
      <c r="AJ999" s="39"/>
      <c r="AK999" s="39"/>
      <c r="AL999" s="39"/>
      <c r="AM999" s="39"/>
      <c r="AN999" s="39">
        <f t="shared" si="917"/>
        <v>0</v>
      </c>
      <c r="AO999" s="39"/>
      <c r="AP999" s="39"/>
      <c r="AQ999" s="39"/>
      <c r="AR999" s="39"/>
      <c r="AS999" s="39"/>
      <c r="AT999" s="39">
        <f t="shared" si="891"/>
        <v>0</v>
      </c>
      <c r="AU999" s="39"/>
      <c r="AV999" s="39"/>
      <c r="AW999" s="39"/>
      <c r="AX999" s="39"/>
      <c r="AY999" s="39"/>
      <c r="AZ999" s="39">
        <f t="shared" si="892"/>
        <v>0</v>
      </c>
      <c r="BA999" s="39"/>
      <c r="BB999" s="39"/>
      <c r="BC999" s="39"/>
      <c r="BD999" s="39"/>
      <c r="BE999" s="39"/>
      <c r="BF999" s="39">
        <f t="shared" si="893"/>
        <v>0</v>
      </c>
      <c r="BG999" s="39"/>
      <c r="BH999" s="39"/>
      <c r="BI999" s="39"/>
      <c r="BJ999" s="39"/>
      <c r="BK999" s="39"/>
      <c r="BL999" s="39">
        <f t="shared" si="919"/>
        <v>0</v>
      </c>
      <c r="BM999" s="54" t="str">
        <f t="shared" si="894"/>
        <v/>
      </c>
      <c r="BN999" s="60">
        <v>46203</v>
      </c>
      <c r="BO999" s="117">
        <v>46214</v>
      </c>
      <c r="BP999" s="39"/>
      <c r="BQ999" s="39"/>
      <c r="BR999" s="232"/>
      <c r="BS999" s="232"/>
      <c r="BT999" s="39">
        <v>1778</v>
      </c>
      <c r="BU999" s="39">
        <v>112</v>
      </c>
      <c r="BV999" s="39"/>
      <c r="BW999" s="39"/>
      <c r="BX999" s="39"/>
      <c r="BY999" s="39"/>
      <c r="BZ999" s="39">
        <f t="shared" si="920"/>
        <v>112</v>
      </c>
      <c r="CA999" s="39">
        <f t="shared" si="895"/>
        <v>10</v>
      </c>
      <c r="CB999" s="39">
        <f t="shared" si="896"/>
        <v>0</v>
      </c>
      <c r="CC999" s="39">
        <f t="shared" si="897"/>
        <v>0</v>
      </c>
      <c r="CD999" s="39">
        <f t="shared" si="921"/>
        <v>0</v>
      </c>
      <c r="CE999" s="102">
        <f t="shared" si="898"/>
        <v>0</v>
      </c>
      <c r="CF999" s="36"/>
      <c r="CG999" s="39" t="s">
        <v>232</v>
      </c>
      <c r="CH999" s="39"/>
      <c r="CI999" s="25">
        <v>3</v>
      </c>
    </row>
    <row r="1000" spans="1:87" ht="24.75" customHeight="1">
      <c r="A1000" s="36" t="s">
        <v>20</v>
      </c>
      <c r="B1000" s="29" t="s">
        <v>1086</v>
      </c>
      <c r="C1000" s="231"/>
      <c r="D1000" s="36"/>
      <c r="E1000" s="39">
        <v>180</v>
      </c>
      <c r="F1000" s="39" t="s">
        <v>53</v>
      </c>
      <c r="G1000" s="36" t="s">
        <v>373</v>
      </c>
      <c r="H1000" s="36" t="s">
        <v>87</v>
      </c>
      <c r="I1000" s="39">
        <v>102</v>
      </c>
      <c r="J1000" s="39"/>
      <c r="K1000" s="39"/>
      <c r="L1000" s="39">
        <f t="shared" si="967"/>
        <v>102</v>
      </c>
      <c r="M1000" s="57">
        <v>46196</v>
      </c>
      <c r="N1000" s="57">
        <v>46203</v>
      </c>
      <c r="O1000" s="39"/>
      <c r="P1000" s="39"/>
      <c r="Q1000" s="39"/>
      <c r="R1000" s="39">
        <f t="shared" si="964"/>
        <v>0</v>
      </c>
      <c r="S1000" s="39" t="s">
        <v>28</v>
      </c>
      <c r="T1000" s="39">
        <v>107897</v>
      </c>
      <c r="U1000" s="117">
        <v>46223</v>
      </c>
      <c r="V1000" s="117">
        <v>46203</v>
      </c>
      <c r="W1000" s="39">
        <v>128</v>
      </c>
      <c r="X1000" s="117">
        <v>46218</v>
      </c>
      <c r="Y1000" s="39">
        <f>117+128</f>
        <v>245</v>
      </c>
      <c r="Z1000" s="39"/>
      <c r="AA1000" s="39"/>
      <c r="AB1000" s="119">
        <f t="shared" si="965"/>
        <v>245</v>
      </c>
      <c r="AC1000" s="39"/>
      <c r="AD1000" s="39"/>
      <c r="AE1000" s="39"/>
      <c r="AF1000" s="39"/>
      <c r="AG1000" s="39"/>
      <c r="AH1000" s="39">
        <f t="shared" si="918"/>
        <v>0</v>
      </c>
      <c r="AI1000" s="39"/>
      <c r="AJ1000" s="39"/>
      <c r="AK1000" s="39"/>
      <c r="AL1000" s="39"/>
      <c r="AM1000" s="39"/>
      <c r="AN1000" s="39">
        <f t="shared" si="917"/>
        <v>0</v>
      </c>
      <c r="AO1000" s="39"/>
      <c r="AP1000" s="39"/>
      <c r="AQ1000" s="39"/>
      <c r="AR1000" s="39"/>
      <c r="AS1000" s="39"/>
      <c r="AT1000" s="39">
        <f t="shared" si="891"/>
        <v>0</v>
      </c>
      <c r="AU1000" s="39"/>
      <c r="AV1000" s="39"/>
      <c r="AW1000" s="39"/>
      <c r="AX1000" s="39"/>
      <c r="AY1000" s="39"/>
      <c r="AZ1000" s="39">
        <f t="shared" si="892"/>
        <v>0</v>
      </c>
      <c r="BA1000" s="39"/>
      <c r="BB1000" s="39"/>
      <c r="BC1000" s="39"/>
      <c r="BD1000" s="39"/>
      <c r="BE1000" s="39"/>
      <c r="BF1000" s="39">
        <f t="shared" si="893"/>
        <v>0</v>
      </c>
      <c r="BG1000" s="39"/>
      <c r="BH1000" s="39"/>
      <c r="BI1000" s="39"/>
      <c r="BJ1000" s="39"/>
      <c r="BK1000" s="39"/>
      <c r="BL1000" s="39">
        <f t="shared" si="919"/>
        <v>0</v>
      </c>
      <c r="BM1000" s="54" t="str">
        <f t="shared" si="894"/>
        <v/>
      </c>
      <c r="BN1000" s="60">
        <v>46203</v>
      </c>
      <c r="BO1000" s="117">
        <v>46214</v>
      </c>
      <c r="BP1000" s="39"/>
      <c r="BQ1000" s="39"/>
      <c r="BR1000" s="232"/>
      <c r="BS1000" s="232"/>
      <c r="BT1000" s="39">
        <v>2041</v>
      </c>
      <c r="BU1000" s="39">
        <v>117</v>
      </c>
      <c r="BV1000" s="39"/>
      <c r="BW1000" s="39"/>
      <c r="BX1000" s="39"/>
      <c r="BY1000" s="39"/>
      <c r="BZ1000" s="39">
        <f t="shared" si="920"/>
        <v>117</v>
      </c>
      <c r="CA1000" s="39">
        <f t="shared" si="895"/>
        <v>15</v>
      </c>
      <c r="CB1000" s="39">
        <f t="shared" si="896"/>
        <v>0</v>
      </c>
      <c r="CC1000" s="39">
        <f t="shared" si="897"/>
        <v>0</v>
      </c>
      <c r="CD1000" s="39">
        <f t="shared" si="921"/>
        <v>0</v>
      </c>
      <c r="CE1000" s="102">
        <f t="shared" si="898"/>
        <v>0</v>
      </c>
      <c r="CF1000" s="36"/>
      <c r="CG1000" s="39" t="s">
        <v>232</v>
      </c>
      <c r="CH1000" s="39"/>
      <c r="CI1000" s="25">
        <v>3</v>
      </c>
    </row>
    <row r="1001" spans="1:87" ht="24.75" customHeight="1">
      <c r="A1001" s="36" t="s">
        <v>20</v>
      </c>
      <c r="B1001" s="29" t="s">
        <v>1086</v>
      </c>
      <c r="C1001" s="231"/>
      <c r="D1001" s="36"/>
      <c r="E1001" s="39">
        <v>180</v>
      </c>
      <c r="F1001" s="39" t="s">
        <v>53</v>
      </c>
      <c r="G1001" s="36" t="s">
        <v>23</v>
      </c>
      <c r="H1001" s="36" t="s">
        <v>87</v>
      </c>
      <c r="I1001" s="39">
        <v>102</v>
      </c>
      <c r="J1001" s="39"/>
      <c r="K1001" s="39"/>
      <c r="L1001" s="39">
        <f t="shared" si="967"/>
        <v>102</v>
      </c>
      <c r="M1001" s="57">
        <v>46196</v>
      </c>
      <c r="N1001" s="57">
        <v>46203</v>
      </c>
      <c r="O1001" s="39"/>
      <c r="P1001" s="39"/>
      <c r="Q1001" s="39"/>
      <c r="R1001" s="39">
        <f t="shared" si="964"/>
        <v>0</v>
      </c>
      <c r="S1001" s="39" t="s">
        <v>28</v>
      </c>
      <c r="T1001" s="39"/>
      <c r="U1001" s="39"/>
      <c r="V1001" s="117">
        <v>46200</v>
      </c>
      <c r="W1001" s="39">
        <v>123</v>
      </c>
      <c r="X1001" s="117">
        <v>46209</v>
      </c>
      <c r="Y1001" s="39">
        <v>115</v>
      </c>
      <c r="Z1001" s="39"/>
      <c r="AA1001" s="39"/>
      <c r="AB1001" s="119">
        <f t="shared" si="965"/>
        <v>115</v>
      </c>
      <c r="AC1001" s="39"/>
      <c r="AD1001" s="39"/>
      <c r="AE1001" s="39"/>
      <c r="AF1001" s="39"/>
      <c r="AG1001" s="39"/>
      <c r="AH1001" s="39">
        <f t="shared" si="918"/>
        <v>0</v>
      </c>
      <c r="AI1001" s="39"/>
      <c r="AJ1001" s="39"/>
      <c r="AK1001" s="39"/>
      <c r="AL1001" s="39"/>
      <c r="AM1001" s="39"/>
      <c r="AN1001" s="39">
        <f t="shared" si="917"/>
        <v>0</v>
      </c>
      <c r="AO1001" s="39"/>
      <c r="AP1001" s="39"/>
      <c r="AQ1001" s="39"/>
      <c r="AR1001" s="39"/>
      <c r="AS1001" s="39"/>
      <c r="AT1001" s="39">
        <f t="shared" si="891"/>
        <v>0</v>
      </c>
      <c r="AU1001" s="39"/>
      <c r="AV1001" s="39"/>
      <c r="AW1001" s="39"/>
      <c r="AX1001" s="39"/>
      <c r="AY1001" s="39"/>
      <c r="AZ1001" s="39">
        <f t="shared" si="892"/>
        <v>0</v>
      </c>
      <c r="BA1001" s="39"/>
      <c r="BB1001" s="39"/>
      <c r="BC1001" s="39"/>
      <c r="BD1001" s="39"/>
      <c r="BE1001" s="39"/>
      <c r="BF1001" s="39">
        <f t="shared" si="893"/>
        <v>0</v>
      </c>
      <c r="BG1001" s="39"/>
      <c r="BH1001" s="39"/>
      <c r="BI1001" s="39"/>
      <c r="BJ1001" s="39"/>
      <c r="BK1001" s="39"/>
      <c r="BL1001" s="39">
        <f t="shared" si="919"/>
        <v>0</v>
      </c>
      <c r="BM1001" s="54" t="str">
        <f t="shared" si="894"/>
        <v/>
      </c>
      <c r="BN1001" s="60">
        <v>46203</v>
      </c>
      <c r="BO1001" s="117">
        <v>46214</v>
      </c>
      <c r="BP1001" s="39"/>
      <c r="BQ1001" s="39"/>
      <c r="BR1001" s="232"/>
      <c r="BS1001" s="232"/>
      <c r="BT1001" s="39">
        <v>1523</v>
      </c>
      <c r="BU1001" s="39">
        <v>115</v>
      </c>
      <c r="BV1001" s="39"/>
      <c r="BW1001" s="39"/>
      <c r="BX1001" s="39"/>
      <c r="BY1001" s="39"/>
      <c r="BZ1001" s="39">
        <f t="shared" si="920"/>
        <v>115</v>
      </c>
      <c r="CA1001" s="39">
        <f t="shared" si="895"/>
        <v>13</v>
      </c>
      <c r="CB1001" s="39">
        <f t="shared" si="896"/>
        <v>0</v>
      </c>
      <c r="CC1001" s="39">
        <f t="shared" si="897"/>
        <v>0</v>
      </c>
      <c r="CD1001" s="39">
        <f t="shared" si="921"/>
        <v>0</v>
      </c>
      <c r="CE1001" s="102">
        <f t="shared" si="898"/>
        <v>0</v>
      </c>
      <c r="CF1001" s="36"/>
      <c r="CG1001" s="39" t="s">
        <v>232</v>
      </c>
      <c r="CH1001" s="39"/>
      <c r="CI1001" s="25">
        <v>3</v>
      </c>
    </row>
    <row r="1002" spans="1:87" ht="24.75" customHeight="1">
      <c r="A1002" s="36" t="s">
        <v>20</v>
      </c>
      <c r="B1002" s="29" t="s">
        <v>1086</v>
      </c>
      <c r="C1002" s="231"/>
      <c r="D1002" s="36"/>
      <c r="E1002" s="39">
        <v>180</v>
      </c>
      <c r="F1002" s="39" t="s">
        <v>53</v>
      </c>
      <c r="G1002" s="36" t="s">
        <v>187</v>
      </c>
      <c r="H1002" s="36" t="s">
        <v>87</v>
      </c>
      <c r="I1002" s="39">
        <v>102</v>
      </c>
      <c r="J1002" s="39"/>
      <c r="K1002" s="39"/>
      <c r="L1002" s="39">
        <f t="shared" si="967"/>
        <v>102</v>
      </c>
      <c r="M1002" s="57">
        <v>46196</v>
      </c>
      <c r="N1002" s="57">
        <v>46203</v>
      </c>
      <c r="O1002" s="39"/>
      <c r="P1002" s="39"/>
      <c r="Q1002" s="39"/>
      <c r="R1002" s="39">
        <f t="shared" si="964"/>
        <v>0</v>
      </c>
      <c r="S1002" s="39" t="s">
        <v>130</v>
      </c>
      <c r="T1002" s="39">
        <v>107638</v>
      </c>
      <c r="U1002" s="117">
        <v>46213</v>
      </c>
      <c r="V1002" s="39"/>
      <c r="W1002" s="39"/>
      <c r="X1002" s="39"/>
      <c r="Y1002" s="39">
        <v>126</v>
      </c>
      <c r="Z1002" s="39"/>
      <c r="AA1002" s="39"/>
      <c r="AB1002" s="119">
        <f t="shared" si="965"/>
        <v>126</v>
      </c>
      <c r="AC1002" s="39"/>
      <c r="AD1002" s="39"/>
      <c r="AE1002" s="39"/>
      <c r="AF1002" s="39"/>
      <c r="AG1002" s="39"/>
      <c r="AH1002" s="39">
        <f t="shared" si="918"/>
        <v>0</v>
      </c>
      <c r="AI1002" s="39"/>
      <c r="AJ1002" s="39"/>
      <c r="AK1002" s="39"/>
      <c r="AL1002" s="39"/>
      <c r="AM1002" s="39"/>
      <c r="AN1002" s="39">
        <f t="shared" si="917"/>
        <v>0</v>
      </c>
      <c r="AO1002" s="39"/>
      <c r="AP1002" s="39"/>
      <c r="AQ1002" s="39"/>
      <c r="AR1002" s="39"/>
      <c r="AS1002" s="39"/>
      <c r="AT1002" s="39">
        <f t="shared" si="891"/>
        <v>0</v>
      </c>
      <c r="AU1002" s="39"/>
      <c r="AV1002" s="39"/>
      <c r="AW1002" s="39"/>
      <c r="AX1002" s="39"/>
      <c r="AY1002" s="39"/>
      <c r="AZ1002" s="39">
        <f t="shared" si="892"/>
        <v>0</v>
      </c>
      <c r="BA1002" s="39"/>
      <c r="BB1002" s="39"/>
      <c r="BC1002" s="39"/>
      <c r="BD1002" s="39"/>
      <c r="BE1002" s="39"/>
      <c r="BF1002" s="39">
        <f t="shared" si="893"/>
        <v>0</v>
      </c>
      <c r="BG1002" s="39"/>
      <c r="BH1002" s="39"/>
      <c r="BI1002" s="39"/>
      <c r="BJ1002" s="39"/>
      <c r="BK1002" s="39"/>
      <c r="BL1002" s="39">
        <f t="shared" si="919"/>
        <v>0</v>
      </c>
      <c r="BM1002" s="54" t="str">
        <f t="shared" si="894"/>
        <v/>
      </c>
      <c r="BN1002" s="60">
        <v>46203</v>
      </c>
      <c r="BO1002" s="117">
        <v>46214</v>
      </c>
      <c r="BP1002" s="39"/>
      <c r="BQ1002" s="39"/>
      <c r="BR1002" s="232"/>
      <c r="BS1002" s="232"/>
      <c r="BT1002" s="39" t="s">
        <v>1628</v>
      </c>
      <c r="BU1002" s="39">
        <f>78+34</f>
        <v>112</v>
      </c>
      <c r="BV1002" s="39"/>
      <c r="BW1002" s="39"/>
      <c r="BX1002" s="39"/>
      <c r="BY1002" s="39"/>
      <c r="BZ1002" s="39">
        <f t="shared" si="920"/>
        <v>112</v>
      </c>
      <c r="CA1002" s="39">
        <f t="shared" si="895"/>
        <v>10</v>
      </c>
      <c r="CB1002" s="39">
        <f t="shared" si="896"/>
        <v>0</v>
      </c>
      <c r="CC1002" s="39">
        <f t="shared" si="897"/>
        <v>0</v>
      </c>
      <c r="CD1002" s="39">
        <f t="shared" si="921"/>
        <v>0</v>
      </c>
      <c r="CE1002" s="102">
        <f t="shared" si="898"/>
        <v>0</v>
      </c>
      <c r="CF1002" s="36"/>
      <c r="CG1002" s="39" t="s">
        <v>232</v>
      </c>
      <c r="CH1002" s="39" t="s">
        <v>540</v>
      </c>
      <c r="CI1002" s="25">
        <v>3</v>
      </c>
    </row>
    <row r="1003" spans="1:87" ht="24.75" customHeight="1">
      <c r="A1003" s="36" t="s">
        <v>20</v>
      </c>
      <c r="B1003" s="29" t="s">
        <v>1086</v>
      </c>
      <c r="C1003" s="228"/>
      <c r="D1003" s="36"/>
      <c r="E1003" s="39"/>
      <c r="F1003" s="39"/>
      <c r="G1003" s="36" t="s">
        <v>75</v>
      </c>
      <c r="H1003" s="36"/>
      <c r="I1003" s="39"/>
      <c r="J1003" s="39"/>
      <c r="K1003" s="39"/>
      <c r="L1003" s="39">
        <f t="shared" si="967"/>
        <v>0</v>
      </c>
      <c r="M1003" s="57">
        <v>46196</v>
      </c>
      <c r="N1003" s="57">
        <v>46203</v>
      </c>
      <c r="O1003" s="39"/>
      <c r="P1003" s="39"/>
      <c r="Q1003" s="39"/>
      <c r="R1003" s="39">
        <f t="shared" si="964"/>
        <v>0</v>
      </c>
      <c r="S1003" s="39" t="s">
        <v>130</v>
      </c>
      <c r="T1003" s="39"/>
      <c r="U1003" s="39"/>
      <c r="V1003" s="39"/>
      <c r="W1003" s="39"/>
      <c r="X1003" s="39"/>
      <c r="Y1003" s="39"/>
      <c r="Z1003" s="39"/>
      <c r="AA1003" s="39"/>
      <c r="AB1003" s="39">
        <f t="shared" si="965"/>
        <v>0</v>
      </c>
      <c r="AC1003" s="39"/>
      <c r="AD1003" s="39"/>
      <c r="AE1003" s="39"/>
      <c r="AF1003" s="39"/>
      <c r="AG1003" s="39"/>
      <c r="AH1003" s="39">
        <f t="shared" si="918"/>
        <v>0</v>
      </c>
      <c r="AI1003" s="39"/>
      <c r="AJ1003" s="39"/>
      <c r="AK1003" s="39"/>
      <c r="AL1003" s="39"/>
      <c r="AM1003" s="39"/>
      <c r="AN1003" s="39">
        <f t="shared" si="917"/>
        <v>0</v>
      </c>
      <c r="AO1003" s="39"/>
      <c r="AP1003" s="39"/>
      <c r="AQ1003" s="39"/>
      <c r="AR1003" s="39"/>
      <c r="AS1003" s="39"/>
      <c r="AT1003" s="39">
        <f t="shared" si="891"/>
        <v>0</v>
      </c>
      <c r="AU1003" s="39"/>
      <c r="AV1003" s="39"/>
      <c r="AW1003" s="39"/>
      <c r="AX1003" s="39"/>
      <c r="AY1003" s="39"/>
      <c r="AZ1003" s="39">
        <f t="shared" si="892"/>
        <v>0</v>
      </c>
      <c r="BA1003" s="39"/>
      <c r="BB1003" s="39"/>
      <c r="BC1003" s="39"/>
      <c r="BD1003" s="39"/>
      <c r="BE1003" s="39"/>
      <c r="BF1003" s="39">
        <f t="shared" si="893"/>
        <v>0</v>
      </c>
      <c r="BG1003" s="39"/>
      <c r="BH1003" s="39"/>
      <c r="BI1003" s="39"/>
      <c r="BJ1003" s="39"/>
      <c r="BK1003" s="39"/>
      <c r="BL1003" s="39">
        <f t="shared" si="919"/>
        <v>0</v>
      </c>
      <c r="BM1003" s="54" t="e">
        <f t="shared" si="894"/>
        <v>#DIV/0!</v>
      </c>
      <c r="BN1003" s="60">
        <v>46203</v>
      </c>
      <c r="BO1003" s="117">
        <v>46214</v>
      </c>
      <c r="BP1003" s="39"/>
      <c r="BQ1003" s="39"/>
      <c r="BR1003" s="230"/>
      <c r="BS1003" s="230"/>
      <c r="BT1003" s="39"/>
      <c r="BU1003" s="39"/>
      <c r="BV1003" s="39"/>
      <c r="BW1003" s="39"/>
      <c r="BX1003" s="39"/>
      <c r="BY1003" s="39"/>
      <c r="BZ1003" s="39">
        <f t="shared" si="920"/>
        <v>0</v>
      </c>
      <c r="CA1003" s="39">
        <f t="shared" si="895"/>
        <v>0</v>
      </c>
      <c r="CB1003" s="39">
        <f t="shared" si="896"/>
        <v>0</v>
      </c>
      <c r="CC1003" s="39">
        <f t="shared" si="897"/>
        <v>0</v>
      </c>
      <c r="CD1003" s="39">
        <f t="shared" si="921"/>
        <v>0</v>
      </c>
      <c r="CE1003" s="102" t="e">
        <f t="shared" si="898"/>
        <v>#DIV/0!</v>
      </c>
      <c r="CF1003" s="36"/>
      <c r="CG1003" s="39" t="s">
        <v>232</v>
      </c>
      <c r="CH1003" s="39"/>
      <c r="CI1003" s="25">
        <v>3</v>
      </c>
    </row>
    <row r="1004" spans="1:87" ht="24.75" customHeight="1">
      <c r="A1004" s="36" t="s">
        <v>20</v>
      </c>
      <c r="B1004" s="29" t="s">
        <v>1089</v>
      </c>
      <c r="C1004" s="227" t="s">
        <v>1090</v>
      </c>
      <c r="D1004" s="36"/>
      <c r="E1004" s="39">
        <v>220</v>
      </c>
      <c r="F1004" s="39" t="s">
        <v>55</v>
      </c>
      <c r="G1004" s="36" t="s">
        <v>373</v>
      </c>
      <c r="H1004" s="36" t="s">
        <v>209</v>
      </c>
      <c r="I1004" s="39">
        <v>200</v>
      </c>
      <c r="J1004" s="39"/>
      <c r="K1004" s="39"/>
      <c r="L1004" s="39">
        <f t="shared" si="967"/>
        <v>200</v>
      </c>
      <c r="M1004" s="57">
        <v>46196</v>
      </c>
      <c r="N1004" s="57">
        <v>46202</v>
      </c>
      <c r="O1004" s="39"/>
      <c r="P1004" s="39"/>
      <c r="Q1004" s="39"/>
      <c r="R1004" s="39">
        <f t="shared" ref="R1004:R1005" si="968">SUM(O1004:Q1004)</f>
        <v>0</v>
      </c>
      <c r="S1004" s="39" t="s">
        <v>130</v>
      </c>
      <c r="T1004" s="39" t="s">
        <v>1882</v>
      </c>
      <c r="U1004" s="117" t="s">
        <v>1865</v>
      </c>
      <c r="V1004" s="39"/>
      <c r="W1004" s="39"/>
      <c r="X1004" s="39"/>
      <c r="Y1004" s="39">
        <f>228+23</f>
        <v>251</v>
      </c>
      <c r="Z1004" s="39"/>
      <c r="AA1004" s="39"/>
      <c r="AB1004" s="119">
        <f t="shared" ref="AB1004:AB1005" si="969">SUM(Y1004:AA1004)</f>
        <v>251</v>
      </c>
      <c r="AC1004" s="39"/>
      <c r="AD1004" s="39"/>
      <c r="AE1004" s="39"/>
      <c r="AF1004" s="39"/>
      <c r="AG1004" s="39"/>
      <c r="AH1004" s="39">
        <f t="shared" si="918"/>
        <v>0</v>
      </c>
      <c r="AI1004" s="39"/>
      <c r="AJ1004" s="39"/>
      <c r="AK1004" s="39"/>
      <c r="AL1004" s="39"/>
      <c r="AM1004" s="39"/>
      <c r="AN1004" s="39">
        <f t="shared" si="917"/>
        <v>0</v>
      </c>
      <c r="AO1004" s="39"/>
      <c r="AP1004" s="39"/>
      <c r="AQ1004" s="39"/>
      <c r="AR1004" s="39"/>
      <c r="AS1004" s="39"/>
      <c r="AT1004" s="39">
        <f t="shared" si="891"/>
        <v>0</v>
      </c>
      <c r="AU1004" s="39"/>
      <c r="AV1004" s="39"/>
      <c r="AW1004" s="39"/>
      <c r="AX1004" s="39"/>
      <c r="AY1004" s="39"/>
      <c r="AZ1004" s="39">
        <f t="shared" si="892"/>
        <v>0</v>
      </c>
      <c r="BA1004" s="39"/>
      <c r="BB1004" s="39"/>
      <c r="BC1004" s="39"/>
      <c r="BD1004" s="39"/>
      <c r="BE1004" s="39"/>
      <c r="BF1004" s="39">
        <f t="shared" si="893"/>
        <v>0</v>
      </c>
      <c r="BG1004" s="39"/>
      <c r="BH1004" s="39"/>
      <c r="BI1004" s="39"/>
      <c r="BJ1004" s="39"/>
      <c r="BK1004" s="39"/>
      <c r="BL1004" s="39">
        <f t="shared" si="919"/>
        <v>0</v>
      </c>
      <c r="BM1004" s="54" t="str">
        <f t="shared" si="894"/>
        <v/>
      </c>
      <c r="BN1004" s="60">
        <v>46203</v>
      </c>
      <c r="BO1004" s="117">
        <v>46213</v>
      </c>
      <c r="BP1004" s="39"/>
      <c r="BQ1004" s="39"/>
      <c r="BR1004" s="229">
        <v>46223</v>
      </c>
      <c r="BS1004" s="229">
        <v>46225</v>
      </c>
      <c r="BT1004" s="39">
        <v>2048</v>
      </c>
      <c r="BU1004" s="39">
        <v>200</v>
      </c>
      <c r="BV1004" s="39"/>
      <c r="BW1004" s="39"/>
      <c r="BX1004" s="39"/>
      <c r="BY1004" s="39"/>
      <c r="BZ1004" s="39">
        <f t="shared" si="920"/>
        <v>200</v>
      </c>
      <c r="CA1004" s="39">
        <f t="shared" si="895"/>
        <v>0</v>
      </c>
      <c r="CB1004" s="39">
        <f t="shared" si="896"/>
        <v>0</v>
      </c>
      <c r="CC1004" s="39">
        <f t="shared" si="897"/>
        <v>0</v>
      </c>
      <c r="CD1004" s="39">
        <f t="shared" si="921"/>
        <v>0</v>
      </c>
      <c r="CE1004" s="102">
        <f t="shared" si="898"/>
        <v>0</v>
      </c>
      <c r="CF1004" s="36"/>
      <c r="CG1004" s="39" t="s">
        <v>232</v>
      </c>
      <c r="CH1004" s="39"/>
      <c r="CI1004" s="25">
        <v>3</v>
      </c>
    </row>
    <row r="1005" spans="1:87" ht="24.75" customHeight="1">
      <c r="A1005" s="36" t="s">
        <v>20</v>
      </c>
      <c r="B1005" s="29" t="s">
        <v>1089</v>
      </c>
      <c r="C1005" s="228"/>
      <c r="D1005" s="36"/>
      <c r="E1005" s="39">
        <v>220</v>
      </c>
      <c r="F1005" s="39" t="s">
        <v>55</v>
      </c>
      <c r="G1005" s="36" t="s">
        <v>192</v>
      </c>
      <c r="H1005" s="36" t="s">
        <v>209</v>
      </c>
      <c r="I1005" s="39">
        <v>200</v>
      </c>
      <c r="J1005" s="39"/>
      <c r="K1005" s="39"/>
      <c r="L1005" s="39">
        <f t="shared" si="967"/>
        <v>200</v>
      </c>
      <c r="M1005" s="57">
        <v>46196</v>
      </c>
      <c r="N1005" s="57">
        <v>46202</v>
      </c>
      <c r="O1005" s="39"/>
      <c r="P1005" s="39"/>
      <c r="Q1005" s="39"/>
      <c r="R1005" s="39">
        <f t="shared" si="968"/>
        <v>0</v>
      </c>
      <c r="S1005" s="39" t="s">
        <v>130</v>
      </c>
      <c r="T1005" s="39">
        <v>107857</v>
      </c>
      <c r="U1005" s="117">
        <v>46219</v>
      </c>
      <c r="V1005" s="39"/>
      <c r="W1005" s="39"/>
      <c r="X1005" s="39"/>
      <c r="Y1005" s="39">
        <v>226</v>
      </c>
      <c r="Z1005" s="39"/>
      <c r="AA1005" s="39"/>
      <c r="AB1005" s="119">
        <f t="shared" si="969"/>
        <v>226</v>
      </c>
      <c r="AC1005" s="39"/>
      <c r="AD1005" s="39"/>
      <c r="AE1005" s="39"/>
      <c r="AF1005" s="39"/>
      <c r="AG1005" s="39"/>
      <c r="AH1005" s="39">
        <f t="shared" si="918"/>
        <v>0</v>
      </c>
      <c r="AI1005" s="39"/>
      <c r="AJ1005" s="39"/>
      <c r="AK1005" s="39"/>
      <c r="AL1005" s="39"/>
      <c r="AM1005" s="39"/>
      <c r="AN1005" s="39">
        <f t="shared" si="917"/>
        <v>0</v>
      </c>
      <c r="AO1005" s="39"/>
      <c r="AP1005" s="39"/>
      <c r="AQ1005" s="39"/>
      <c r="AR1005" s="39"/>
      <c r="AS1005" s="39"/>
      <c r="AT1005" s="39">
        <f t="shared" si="891"/>
        <v>0</v>
      </c>
      <c r="AU1005" s="39"/>
      <c r="AV1005" s="39"/>
      <c r="AW1005" s="39"/>
      <c r="AX1005" s="39"/>
      <c r="AY1005" s="39"/>
      <c r="AZ1005" s="39">
        <f t="shared" si="892"/>
        <v>0</v>
      </c>
      <c r="BA1005" s="39"/>
      <c r="BB1005" s="39"/>
      <c r="BC1005" s="39"/>
      <c r="BD1005" s="39"/>
      <c r="BE1005" s="39"/>
      <c r="BF1005" s="39">
        <f t="shared" si="893"/>
        <v>0</v>
      </c>
      <c r="BG1005" s="39"/>
      <c r="BH1005" s="39"/>
      <c r="BI1005" s="39"/>
      <c r="BJ1005" s="39"/>
      <c r="BK1005" s="39"/>
      <c r="BL1005" s="39">
        <f t="shared" si="919"/>
        <v>0</v>
      </c>
      <c r="BM1005" s="54" t="str">
        <f t="shared" si="894"/>
        <v/>
      </c>
      <c r="BN1005" s="60">
        <v>46203</v>
      </c>
      <c r="BO1005" s="117">
        <v>46213</v>
      </c>
      <c r="BP1005" s="39"/>
      <c r="BQ1005" s="39"/>
      <c r="BR1005" s="230"/>
      <c r="BS1005" s="230"/>
      <c r="BT1005" s="39">
        <v>2040</v>
      </c>
      <c r="BU1005" s="39">
        <f>169+29</f>
        <v>198</v>
      </c>
      <c r="BV1005" s="39"/>
      <c r="BW1005" s="39"/>
      <c r="BX1005" s="39"/>
      <c r="BY1005" s="39"/>
      <c r="BZ1005" s="39">
        <f t="shared" si="920"/>
        <v>198</v>
      </c>
      <c r="CA1005" s="39">
        <f t="shared" si="895"/>
        <v>-2</v>
      </c>
      <c r="CB1005" s="39">
        <f t="shared" si="896"/>
        <v>0</v>
      </c>
      <c r="CC1005" s="39">
        <f t="shared" si="897"/>
        <v>0</v>
      </c>
      <c r="CD1005" s="39">
        <v>0</v>
      </c>
      <c r="CE1005" s="102">
        <f t="shared" si="898"/>
        <v>0</v>
      </c>
      <c r="CF1005" s="36"/>
      <c r="CG1005" s="39" t="s">
        <v>232</v>
      </c>
      <c r="CH1005" s="39"/>
      <c r="CI1005" s="25">
        <v>3</v>
      </c>
    </row>
    <row r="1006" spans="1:87" ht="24.75" customHeight="1">
      <c r="A1006" s="36" t="s">
        <v>20</v>
      </c>
      <c r="B1006" s="29"/>
      <c r="C1006" s="36"/>
      <c r="D1006" s="36"/>
      <c r="E1006" s="39"/>
      <c r="F1006" s="39"/>
      <c r="G1006" s="36"/>
      <c r="H1006" s="39"/>
      <c r="I1006" s="39"/>
      <c r="J1006" s="39"/>
      <c r="K1006" s="39"/>
      <c r="L1006" s="39">
        <f t="shared" si="945"/>
        <v>0</v>
      </c>
      <c r="M1006" s="36"/>
      <c r="N1006" s="36"/>
      <c r="O1006" s="39"/>
      <c r="P1006" s="39"/>
      <c r="Q1006" s="39"/>
      <c r="R1006" s="39">
        <f t="shared" si="946"/>
        <v>0</v>
      </c>
      <c r="S1006" s="39"/>
      <c r="T1006" s="39"/>
      <c r="U1006" s="39"/>
      <c r="V1006" s="39"/>
      <c r="W1006" s="39"/>
      <c r="X1006" s="39"/>
      <c r="Y1006" s="39"/>
      <c r="Z1006" s="39"/>
      <c r="AA1006" s="39"/>
      <c r="AB1006" s="39">
        <f t="shared" si="947"/>
        <v>0</v>
      </c>
      <c r="AC1006" s="39"/>
      <c r="AD1006" s="39"/>
      <c r="AE1006" s="39"/>
      <c r="AF1006" s="39"/>
      <c r="AG1006" s="39"/>
      <c r="AH1006" s="39">
        <f t="shared" si="918"/>
        <v>0</v>
      </c>
      <c r="AI1006" s="39"/>
      <c r="AJ1006" s="39"/>
      <c r="AK1006" s="39"/>
      <c r="AL1006" s="39"/>
      <c r="AM1006" s="39"/>
      <c r="AN1006" s="39">
        <f t="shared" si="917"/>
        <v>0</v>
      </c>
      <c r="AO1006" s="39"/>
      <c r="AP1006" s="39"/>
      <c r="AQ1006" s="39"/>
      <c r="AR1006" s="39"/>
      <c r="AS1006" s="39"/>
      <c r="AT1006" s="39">
        <f t="shared" si="891"/>
        <v>0</v>
      </c>
      <c r="AU1006" s="39"/>
      <c r="AV1006" s="39"/>
      <c r="AW1006" s="39"/>
      <c r="AX1006" s="39"/>
      <c r="AY1006" s="39"/>
      <c r="AZ1006" s="39">
        <f t="shared" si="892"/>
        <v>0</v>
      </c>
      <c r="BA1006" s="39"/>
      <c r="BB1006" s="39"/>
      <c r="BC1006" s="39"/>
      <c r="BD1006" s="39"/>
      <c r="BE1006" s="39"/>
      <c r="BF1006" s="39">
        <f t="shared" si="893"/>
        <v>0</v>
      </c>
      <c r="BG1006" s="39"/>
      <c r="BH1006" s="39"/>
      <c r="BI1006" s="39"/>
      <c r="BJ1006" s="39"/>
      <c r="BK1006" s="39"/>
      <c r="BL1006" s="39">
        <f t="shared" si="919"/>
        <v>0</v>
      </c>
      <c r="BM1006" s="54" t="e">
        <f t="shared" si="894"/>
        <v>#DIV/0!</v>
      </c>
      <c r="BN1006" s="61"/>
      <c r="BO1006" s="39"/>
      <c r="BP1006" s="39"/>
      <c r="BQ1006" s="39"/>
      <c r="BR1006" s="37"/>
      <c r="BS1006" s="37"/>
      <c r="BT1006" s="39"/>
      <c r="BU1006" s="39"/>
      <c r="BV1006" s="39"/>
      <c r="BW1006" s="39"/>
      <c r="BX1006" s="39"/>
      <c r="BY1006" s="39"/>
      <c r="BZ1006" s="39">
        <f t="shared" si="920"/>
        <v>0</v>
      </c>
      <c r="CA1006" s="39">
        <f t="shared" si="895"/>
        <v>0</v>
      </c>
      <c r="CB1006" s="39">
        <f t="shared" si="896"/>
        <v>0</v>
      </c>
      <c r="CC1006" s="39">
        <f t="shared" si="897"/>
        <v>0</v>
      </c>
      <c r="CD1006" s="39">
        <f t="shared" si="921"/>
        <v>0</v>
      </c>
      <c r="CE1006" s="47" t="e">
        <f t="shared" si="898"/>
        <v>#DIV/0!</v>
      </c>
      <c r="CF1006" s="36"/>
      <c r="CG1006" s="39"/>
      <c r="CH1006" s="39"/>
      <c r="CI1006" s="25">
        <v>3</v>
      </c>
    </row>
    <row r="1007" spans="1:87" ht="24.75" customHeight="1">
      <c r="A1007" s="36" t="s">
        <v>20</v>
      </c>
      <c r="B1007" s="29"/>
      <c r="C1007" s="36"/>
      <c r="D1007" s="36"/>
      <c r="E1007" s="39"/>
      <c r="F1007" s="39"/>
      <c r="G1007" s="36"/>
      <c r="H1007" s="39"/>
      <c r="I1007" s="39"/>
      <c r="J1007" s="39"/>
      <c r="K1007" s="39"/>
      <c r="L1007" s="39">
        <f t="shared" si="945"/>
        <v>0</v>
      </c>
      <c r="M1007" s="36"/>
      <c r="N1007" s="36"/>
      <c r="O1007" s="39"/>
      <c r="P1007" s="39"/>
      <c r="Q1007" s="39"/>
      <c r="R1007" s="39">
        <f t="shared" si="946"/>
        <v>0</v>
      </c>
      <c r="S1007" s="39"/>
      <c r="T1007" s="39"/>
      <c r="U1007" s="39"/>
      <c r="V1007" s="39"/>
      <c r="W1007" s="39"/>
      <c r="X1007" s="39"/>
      <c r="Y1007" s="39"/>
      <c r="Z1007" s="39"/>
      <c r="AA1007" s="39"/>
      <c r="AB1007" s="39">
        <f t="shared" si="947"/>
        <v>0</v>
      </c>
      <c r="AC1007" s="39"/>
      <c r="AD1007" s="39"/>
      <c r="AE1007" s="39"/>
      <c r="AF1007" s="39"/>
      <c r="AG1007" s="39"/>
      <c r="AH1007" s="39">
        <f t="shared" si="918"/>
        <v>0</v>
      </c>
      <c r="AI1007" s="39"/>
      <c r="AJ1007" s="39"/>
      <c r="AK1007" s="39"/>
      <c r="AL1007" s="39"/>
      <c r="AM1007" s="39"/>
      <c r="AN1007" s="39">
        <f t="shared" si="917"/>
        <v>0</v>
      </c>
      <c r="AO1007" s="39"/>
      <c r="AP1007" s="39"/>
      <c r="AQ1007" s="39"/>
      <c r="AR1007" s="39"/>
      <c r="AS1007" s="39"/>
      <c r="AT1007" s="39">
        <f t="shared" si="891"/>
        <v>0</v>
      </c>
      <c r="AU1007" s="39"/>
      <c r="AV1007" s="39"/>
      <c r="AW1007" s="39"/>
      <c r="AX1007" s="39"/>
      <c r="AY1007" s="39"/>
      <c r="AZ1007" s="39">
        <f t="shared" si="892"/>
        <v>0</v>
      </c>
      <c r="BA1007" s="39"/>
      <c r="BB1007" s="39"/>
      <c r="BC1007" s="39"/>
      <c r="BD1007" s="39"/>
      <c r="BE1007" s="39"/>
      <c r="BF1007" s="39">
        <f t="shared" si="893"/>
        <v>0</v>
      </c>
      <c r="BG1007" s="39"/>
      <c r="BH1007" s="39"/>
      <c r="BI1007" s="39"/>
      <c r="BJ1007" s="39"/>
      <c r="BK1007" s="39"/>
      <c r="BL1007" s="39">
        <f t="shared" si="919"/>
        <v>0</v>
      </c>
      <c r="BM1007" s="54" t="e">
        <f t="shared" si="894"/>
        <v>#DIV/0!</v>
      </c>
      <c r="BN1007" s="61"/>
      <c r="BO1007" s="39"/>
      <c r="BP1007" s="39"/>
      <c r="BQ1007" s="39"/>
      <c r="BR1007" s="37"/>
      <c r="BS1007" s="37"/>
      <c r="BT1007" s="39"/>
      <c r="BU1007" s="39"/>
      <c r="BV1007" s="39"/>
      <c r="BW1007" s="39"/>
      <c r="BX1007" s="39"/>
      <c r="BY1007" s="39"/>
      <c r="BZ1007" s="39">
        <f t="shared" si="920"/>
        <v>0</v>
      </c>
      <c r="CA1007" s="39">
        <f t="shared" si="895"/>
        <v>0</v>
      </c>
      <c r="CB1007" s="39">
        <f t="shared" si="896"/>
        <v>0</v>
      </c>
      <c r="CC1007" s="39">
        <f t="shared" si="897"/>
        <v>0</v>
      </c>
      <c r="CD1007" s="39">
        <f t="shared" si="921"/>
        <v>0</v>
      </c>
      <c r="CE1007" s="47" t="e">
        <f t="shared" si="898"/>
        <v>#DIV/0!</v>
      </c>
      <c r="CF1007" s="36"/>
      <c r="CG1007" s="39"/>
      <c r="CH1007" s="39"/>
      <c r="CI1007" s="25">
        <v>3</v>
      </c>
    </row>
    <row r="1008" spans="1:87" ht="24.75" customHeight="1">
      <c r="A1008" s="36" t="s">
        <v>20</v>
      </c>
      <c r="B1008" s="29"/>
      <c r="C1008" s="36"/>
      <c r="D1008" s="36"/>
      <c r="E1008" s="39"/>
      <c r="F1008" s="39"/>
      <c r="G1008" s="36"/>
      <c r="H1008" s="39"/>
      <c r="I1008" s="39"/>
      <c r="J1008" s="39"/>
      <c r="K1008" s="39"/>
      <c r="L1008" s="39">
        <f t="shared" si="945"/>
        <v>0</v>
      </c>
      <c r="M1008" s="36"/>
      <c r="N1008" s="36"/>
      <c r="O1008" s="39"/>
      <c r="P1008" s="39"/>
      <c r="Q1008" s="39"/>
      <c r="R1008" s="39">
        <f t="shared" si="946"/>
        <v>0</v>
      </c>
      <c r="S1008" s="39"/>
      <c r="T1008" s="39"/>
      <c r="U1008" s="39"/>
      <c r="V1008" s="39"/>
      <c r="W1008" s="39"/>
      <c r="X1008" s="39"/>
      <c r="Y1008" s="39"/>
      <c r="Z1008" s="39"/>
      <c r="AA1008" s="39"/>
      <c r="AB1008" s="39">
        <f t="shared" si="947"/>
        <v>0</v>
      </c>
      <c r="AC1008" s="39"/>
      <c r="AD1008" s="39"/>
      <c r="AE1008" s="39"/>
      <c r="AF1008" s="39"/>
      <c r="AG1008" s="39"/>
      <c r="AH1008" s="39">
        <f t="shared" si="918"/>
        <v>0</v>
      </c>
      <c r="AI1008" s="39"/>
      <c r="AJ1008" s="39"/>
      <c r="AK1008" s="39"/>
      <c r="AL1008" s="39"/>
      <c r="AM1008" s="39"/>
      <c r="AN1008" s="39">
        <f t="shared" si="917"/>
        <v>0</v>
      </c>
      <c r="AO1008" s="39"/>
      <c r="AP1008" s="39"/>
      <c r="AQ1008" s="39"/>
      <c r="AR1008" s="39"/>
      <c r="AS1008" s="39"/>
      <c r="AT1008" s="39">
        <f t="shared" si="891"/>
        <v>0</v>
      </c>
      <c r="AU1008" s="39"/>
      <c r="AV1008" s="39"/>
      <c r="AW1008" s="39"/>
      <c r="AX1008" s="39"/>
      <c r="AY1008" s="39"/>
      <c r="AZ1008" s="39">
        <f t="shared" si="892"/>
        <v>0</v>
      </c>
      <c r="BA1008" s="39"/>
      <c r="BB1008" s="39"/>
      <c r="BC1008" s="39"/>
      <c r="BD1008" s="39"/>
      <c r="BE1008" s="39"/>
      <c r="BF1008" s="39">
        <f t="shared" si="893"/>
        <v>0</v>
      </c>
      <c r="BG1008" s="39"/>
      <c r="BH1008" s="39"/>
      <c r="BI1008" s="39"/>
      <c r="BJ1008" s="39"/>
      <c r="BK1008" s="39"/>
      <c r="BL1008" s="39">
        <f t="shared" si="919"/>
        <v>0</v>
      </c>
      <c r="BM1008" s="54" t="e">
        <f t="shared" si="894"/>
        <v>#DIV/0!</v>
      </c>
      <c r="BN1008" s="61"/>
      <c r="BO1008" s="39"/>
      <c r="BP1008" s="39"/>
      <c r="BQ1008" s="39"/>
      <c r="BR1008" s="37"/>
      <c r="BS1008" s="37"/>
      <c r="BT1008" s="39"/>
      <c r="BU1008" s="39"/>
      <c r="BV1008" s="39"/>
      <c r="BW1008" s="39"/>
      <c r="BX1008" s="39"/>
      <c r="BY1008" s="39"/>
      <c r="BZ1008" s="39">
        <f t="shared" si="920"/>
        <v>0</v>
      </c>
      <c r="CA1008" s="39">
        <f t="shared" si="895"/>
        <v>0</v>
      </c>
      <c r="CB1008" s="39">
        <f t="shared" si="896"/>
        <v>0</v>
      </c>
      <c r="CC1008" s="39">
        <f t="shared" si="897"/>
        <v>0</v>
      </c>
      <c r="CD1008" s="39">
        <f t="shared" si="921"/>
        <v>0</v>
      </c>
      <c r="CE1008" s="47" t="e">
        <f t="shared" si="898"/>
        <v>#DIV/0!</v>
      </c>
      <c r="CF1008" s="36"/>
      <c r="CG1008" s="39"/>
      <c r="CH1008" s="39"/>
      <c r="CI1008" s="25">
        <v>3</v>
      </c>
    </row>
    <row r="1009" spans="1:87" ht="24.75" customHeight="1">
      <c r="A1009" s="36" t="s">
        <v>20</v>
      </c>
      <c r="B1009" s="29"/>
      <c r="C1009" s="36"/>
      <c r="D1009" s="36"/>
      <c r="E1009" s="39"/>
      <c r="F1009" s="39"/>
      <c r="G1009" s="36"/>
      <c r="H1009" s="39"/>
      <c r="I1009" s="39"/>
      <c r="J1009" s="39"/>
      <c r="K1009" s="39"/>
      <c r="L1009" s="39">
        <f t="shared" si="945"/>
        <v>0</v>
      </c>
      <c r="M1009" s="36"/>
      <c r="N1009" s="36"/>
      <c r="O1009" s="39"/>
      <c r="P1009" s="39"/>
      <c r="Q1009" s="39"/>
      <c r="R1009" s="39">
        <f t="shared" si="946"/>
        <v>0</v>
      </c>
      <c r="S1009" s="39"/>
      <c r="T1009" s="39"/>
      <c r="U1009" s="39"/>
      <c r="V1009" s="39"/>
      <c r="W1009" s="39"/>
      <c r="X1009" s="39"/>
      <c r="Y1009" s="39"/>
      <c r="Z1009" s="39"/>
      <c r="AA1009" s="39"/>
      <c r="AB1009" s="39">
        <f t="shared" si="947"/>
        <v>0</v>
      </c>
      <c r="AC1009" s="39"/>
      <c r="AD1009" s="39"/>
      <c r="AE1009" s="39"/>
      <c r="AF1009" s="39"/>
      <c r="AG1009" s="39"/>
      <c r="AH1009" s="39">
        <f t="shared" si="918"/>
        <v>0</v>
      </c>
      <c r="AI1009" s="39"/>
      <c r="AJ1009" s="39"/>
      <c r="AK1009" s="39"/>
      <c r="AL1009" s="39"/>
      <c r="AM1009" s="39"/>
      <c r="AN1009" s="39">
        <f t="shared" si="917"/>
        <v>0</v>
      </c>
      <c r="AO1009" s="39"/>
      <c r="AP1009" s="39"/>
      <c r="AQ1009" s="39"/>
      <c r="AR1009" s="39"/>
      <c r="AS1009" s="39"/>
      <c r="AT1009" s="39">
        <f t="shared" si="891"/>
        <v>0</v>
      </c>
      <c r="AU1009" s="39"/>
      <c r="AV1009" s="39"/>
      <c r="AW1009" s="39"/>
      <c r="AX1009" s="39"/>
      <c r="AY1009" s="39"/>
      <c r="AZ1009" s="39">
        <f t="shared" si="892"/>
        <v>0</v>
      </c>
      <c r="BA1009" s="39"/>
      <c r="BB1009" s="39"/>
      <c r="BC1009" s="39"/>
      <c r="BD1009" s="39"/>
      <c r="BE1009" s="39"/>
      <c r="BF1009" s="39">
        <f t="shared" si="893"/>
        <v>0</v>
      </c>
      <c r="BG1009" s="39"/>
      <c r="BH1009" s="39"/>
      <c r="BI1009" s="39"/>
      <c r="BJ1009" s="39"/>
      <c r="BK1009" s="39"/>
      <c r="BL1009" s="39">
        <f t="shared" si="919"/>
        <v>0</v>
      </c>
      <c r="BM1009" s="54" t="e">
        <f t="shared" si="894"/>
        <v>#DIV/0!</v>
      </c>
      <c r="BN1009" s="61"/>
      <c r="BO1009" s="39"/>
      <c r="BP1009" s="39"/>
      <c r="BQ1009" s="39"/>
      <c r="BR1009" s="37"/>
      <c r="BS1009" s="37"/>
      <c r="BT1009" s="39"/>
      <c r="BU1009" s="39"/>
      <c r="BV1009" s="39"/>
      <c r="BW1009" s="39"/>
      <c r="BX1009" s="39"/>
      <c r="BY1009" s="39"/>
      <c r="BZ1009" s="39">
        <f t="shared" si="920"/>
        <v>0</v>
      </c>
      <c r="CA1009" s="39">
        <f t="shared" si="895"/>
        <v>0</v>
      </c>
      <c r="CB1009" s="39">
        <f t="shared" si="896"/>
        <v>0</v>
      </c>
      <c r="CC1009" s="39">
        <f t="shared" si="897"/>
        <v>0</v>
      </c>
      <c r="CD1009" s="39">
        <f t="shared" si="921"/>
        <v>0</v>
      </c>
      <c r="CE1009" s="47" t="e">
        <f t="shared" si="898"/>
        <v>#DIV/0!</v>
      </c>
      <c r="CF1009" s="36"/>
      <c r="CG1009" s="39"/>
      <c r="CH1009" s="39"/>
      <c r="CI1009" s="25">
        <v>3</v>
      </c>
    </row>
    <row r="1010" spans="1:87" ht="24.75" customHeight="1">
      <c r="A1010" s="36" t="s">
        <v>20</v>
      </c>
      <c r="B1010" s="29"/>
      <c r="C1010" s="36"/>
      <c r="D1010" s="36"/>
      <c r="E1010" s="39"/>
      <c r="F1010" s="39"/>
      <c r="G1010" s="36"/>
      <c r="H1010" s="39"/>
      <c r="I1010" s="39"/>
      <c r="J1010" s="39"/>
      <c r="K1010" s="39"/>
      <c r="L1010" s="39">
        <f t="shared" si="945"/>
        <v>0</v>
      </c>
      <c r="M1010" s="36"/>
      <c r="N1010" s="36"/>
      <c r="O1010" s="39"/>
      <c r="P1010" s="39"/>
      <c r="Q1010" s="39"/>
      <c r="R1010" s="39">
        <f t="shared" si="946"/>
        <v>0</v>
      </c>
      <c r="S1010" s="39"/>
      <c r="T1010" s="39"/>
      <c r="U1010" s="39"/>
      <c r="V1010" s="39"/>
      <c r="W1010" s="39"/>
      <c r="X1010" s="39"/>
      <c r="Y1010" s="39"/>
      <c r="Z1010" s="39"/>
      <c r="AA1010" s="39"/>
      <c r="AB1010" s="39">
        <f t="shared" si="947"/>
        <v>0</v>
      </c>
      <c r="AC1010" s="39"/>
      <c r="AD1010" s="39"/>
      <c r="AE1010" s="39"/>
      <c r="AF1010" s="39"/>
      <c r="AG1010" s="39"/>
      <c r="AH1010" s="39">
        <f t="shared" si="918"/>
        <v>0</v>
      </c>
      <c r="AI1010" s="39"/>
      <c r="AJ1010" s="39"/>
      <c r="AK1010" s="39"/>
      <c r="AL1010" s="39"/>
      <c r="AM1010" s="39"/>
      <c r="AN1010" s="39">
        <f t="shared" si="917"/>
        <v>0</v>
      </c>
      <c r="AO1010" s="39"/>
      <c r="AP1010" s="39"/>
      <c r="AQ1010" s="39"/>
      <c r="AR1010" s="39"/>
      <c r="AS1010" s="39"/>
      <c r="AT1010" s="39">
        <f t="shared" si="891"/>
        <v>0</v>
      </c>
      <c r="AU1010" s="39"/>
      <c r="AV1010" s="39"/>
      <c r="AW1010" s="39"/>
      <c r="AX1010" s="39"/>
      <c r="AY1010" s="39"/>
      <c r="AZ1010" s="39">
        <f t="shared" si="892"/>
        <v>0</v>
      </c>
      <c r="BA1010" s="39"/>
      <c r="BB1010" s="39"/>
      <c r="BC1010" s="39"/>
      <c r="BD1010" s="39"/>
      <c r="BE1010" s="39"/>
      <c r="BF1010" s="39">
        <f t="shared" si="893"/>
        <v>0</v>
      </c>
      <c r="BG1010" s="39"/>
      <c r="BH1010" s="39"/>
      <c r="BI1010" s="39"/>
      <c r="BJ1010" s="39"/>
      <c r="BK1010" s="39"/>
      <c r="BL1010" s="39">
        <f t="shared" si="919"/>
        <v>0</v>
      </c>
      <c r="BM1010" s="54" t="e">
        <f t="shared" si="894"/>
        <v>#DIV/0!</v>
      </c>
      <c r="BN1010" s="61"/>
      <c r="BO1010" s="39"/>
      <c r="BP1010" s="39"/>
      <c r="BQ1010" s="39"/>
      <c r="BR1010" s="37"/>
      <c r="BS1010" s="37"/>
      <c r="BT1010" s="39"/>
      <c r="BU1010" s="39"/>
      <c r="BV1010" s="39"/>
      <c r="BW1010" s="39"/>
      <c r="BX1010" s="39"/>
      <c r="BY1010" s="39"/>
      <c r="BZ1010" s="39">
        <f t="shared" si="920"/>
        <v>0</v>
      </c>
      <c r="CA1010" s="39">
        <f t="shared" si="895"/>
        <v>0</v>
      </c>
      <c r="CB1010" s="39">
        <f t="shared" si="896"/>
        <v>0</v>
      </c>
      <c r="CC1010" s="39">
        <f t="shared" si="897"/>
        <v>0</v>
      </c>
      <c r="CD1010" s="39">
        <f t="shared" si="921"/>
        <v>0</v>
      </c>
      <c r="CE1010" s="47" t="e">
        <f t="shared" si="898"/>
        <v>#DIV/0!</v>
      </c>
      <c r="CF1010" s="36"/>
      <c r="CG1010" s="39"/>
      <c r="CH1010" s="39"/>
      <c r="CI1010" s="25">
        <v>3</v>
      </c>
    </row>
    <row r="1011" spans="1:87" ht="24.75" customHeight="1">
      <c r="A1011" s="36" t="s">
        <v>20</v>
      </c>
      <c r="B1011" s="29"/>
      <c r="C1011" s="36"/>
      <c r="D1011" s="36"/>
      <c r="E1011" s="39"/>
      <c r="F1011" s="39"/>
      <c r="G1011" s="36"/>
      <c r="H1011" s="39"/>
      <c r="I1011" s="39"/>
      <c r="J1011" s="39"/>
      <c r="K1011" s="39"/>
      <c r="L1011" s="39">
        <f t="shared" ref="L1011:L1014" si="970">SUM(I1011:K1011)</f>
        <v>0</v>
      </c>
      <c r="M1011" s="36"/>
      <c r="N1011" s="36"/>
      <c r="O1011" s="39"/>
      <c r="P1011" s="39"/>
      <c r="Q1011" s="39"/>
      <c r="R1011" s="39">
        <f t="shared" ref="R1011:R1078" si="971">SUM(O1011:Q1011)</f>
        <v>0</v>
      </c>
      <c r="S1011" s="39"/>
      <c r="T1011" s="39"/>
      <c r="U1011" s="39"/>
      <c r="V1011" s="39"/>
      <c r="W1011" s="39"/>
      <c r="X1011" s="39"/>
      <c r="Y1011" s="39"/>
      <c r="Z1011" s="39"/>
      <c r="AA1011" s="39"/>
      <c r="AB1011" s="39">
        <f t="shared" ref="AB1011:AB1078" si="972">SUM(Y1011:AA1011)</f>
        <v>0</v>
      </c>
      <c r="AC1011" s="39"/>
      <c r="AD1011" s="39"/>
      <c r="AE1011" s="39"/>
      <c r="AF1011" s="39"/>
      <c r="AG1011" s="39"/>
      <c r="AH1011" s="39">
        <f t="shared" si="918"/>
        <v>0</v>
      </c>
      <c r="AI1011" s="39"/>
      <c r="AJ1011" s="39"/>
      <c r="AK1011" s="39"/>
      <c r="AL1011" s="39"/>
      <c r="AM1011" s="39"/>
      <c r="AN1011" s="39">
        <f t="shared" si="917"/>
        <v>0</v>
      </c>
      <c r="AO1011" s="39"/>
      <c r="AP1011" s="39"/>
      <c r="AQ1011" s="39"/>
      <c r="AR1011" s="39"/>
      <c r="AS1011" s="39"/>
      <c r="AT1011" s="39">
        <f t="shared" si="891"/>
        <v>0</v>
      </c>
      <c r="AU1011" s="39"/>
      <c r="AV1011" s="39"/>
      <c r="AW1011" s="39"/>
      <c r="AX1011" s="39"/>
      <c r="AY1011" s="39"/>
      <c r="AZ1011" s="39">
        <f t="shared" si="892"/>
        <v>0</v>
      </c>
      <c r="BA1011" s="39"/>
      <c r="BB1011" s="39"/>
      <c r="BC1011" s="39"/>
      <c r="BD1011" s="39"/>
      <c r="BE1011" s="39"/>
      <c r="BF1011" s="39">
        <f t="shared" si="893"/>
        <v>0</v>
      </c>
      <c r="BG1011" s="39"/>
      <c r="BH1011" s="39"/>
      <c r="BI1011" s="39"/>
      <c r="BJ1011" s="39"/>
      <c r="BK1011" s="39"/>
      <c r="BL1011" s="39">
        <f t="shared" si="919"/>
        <v>0</v>
      </c>
      <c r="BM1011" s="54" t="e">
        <f t="shared" si="894"/>
        <v>#DIV/0!</v>
      </c>
      <c r="BN1011" s="61"/>
      <c r="BO1011" s="39"/>
      <c r="BP1011" s="39"/>
      <c r="BQ1011" s="39"/>
      <c r="BR1011" s="37"/>
      <c r="BS1011" s="37"/>
      <c r="BT1011" s="39"/>
      <c r="BU1011" s="39"/>
      <c r="BV1011" s="39"/>
      <c r="BW1011" s="39"/>
      <c r="BX1011" s="39"/>
      <c r="BY1011" s="39"/>
      <c r="BZ1011" s="39">
        <f t="shared" si="920"/>
        <v>0</v>
      </c>
      <c r="CA1011" s="39">
        <f t="shared" si="895"/>
        <v>0</v>
      </c>
      <c r="CB1011" s="39">
        <f t="shared" si="896"/>
        <v>0</v>
      </c>
      <c r="CC1011" s="39">
        <f t="shared" si="897"/>
        <v>0</v>
      </c>
      <c r="CD1011" s="39">
        <f t="shared" si="921"/>
        <v>0</v>
      </c>
      <c r="CE1011" s="47" t="e">
        <f t="shared" si="898"/>
        <v>#DIV/0!</v>
      </c>
      <c r="CF1011" s="36"/>
      <c r="CG1011" s="39"/>
      <c r="CH1011" s="39"/>
      <c r="CI1011" s="25">
        <v>3</v>
      </c>
    </row>
    <row r="1012" spans="1:87" ht="24.75" customHeight="1">
      <c r="A1012" s="36" t="s">
        <v>20</v>
      </c>
      <c r="B1012" s="29"/>
      <c r="C1012" s="36"/>
      <c r="D1012" s="36"/>
      <c r="E1012" s="39"/>
      <c r="F1012" s="39"/>
      <c r="G1012" s="36"/>
      <c r="H1012" s="39"/>
      <c r="I1012" s="39"/>
      <c r="J1012" s="39"/>
      <c r="K1012" s="39"/>
      <c r="L1012" s="39">
        <f t="shared" si="970"/>
        <v>0</v>
      </c>
      <c r="M1012" s="36"/>
      <c r="N1012" s="36"/>
      <c r="O1012" s="39"/>
      <c r="P1012" s="39"/>
      <c r="Q1012" s="39"/>
      <c r="R1012" s="39">
        <f t="shared" si="971"/>
        <v>0</v>
      </c>
      <c r="S1012" s="39"/>
      <c r="T1012" s="39"/>
      <c r="U1012" s="39"/>
      <c r="V1012" s="39"/>
      <c r="W1012" s="39"/>
      <c r="X1012" s="39"/>
      <c r="Y1012" s="39"/>
      <c r="Z1012" s="39"/>
      <c r="AA1012" s="39"/>
      <c r="AB1012" s="39">
        <f t="shared" si="972"/>
        <v>0</v>
      </c>
      <c r="AC1012" s="39"/>
      <c r="AD1012" s="39"/>
      <c r="AE1012" s="39"/>
      <c r="AF1012" s="39"/>
      <c r="AG1012" s="39"/>
      <c r="AH1012" s="39">
        <f t="shared" si="918"/>
        <v>0</v>
      </c>
      <c r="AI1012" s="39"/>
      <c r="AJ1012" s="39"/>
      <c r="AK1012" s="39"/>
      <c r="AL1012" s="39"/>
      <c r="AM1012" s="39"/>
      <c r="AN1012" s="39">
        <f t="shared" si="917"/>
        <v>0</v>
      </c>
      <c r="AO1012" s="39"/>
      <c r="AP1012" s="39"/>
      <c r="AQ1012" s="39"/>
      <c r="AR1012" s="39"/>
      <c r="AS1012" s="39"/>
      <c r="AT1012" s="39">
        <f t="shared" si="891"/>
        <v>0</v>
      </c>
      <c r="AU1012" s="39"/>
      <c r="AV1012" s="39"/>
      <c r="AW1012" s="39"/>
      <c r="AX1012" s="39"/>
      <c r="AY1012" s="39"/>
      <c r="AZ1012" s="39">
        <f t="shared" si="892"/>
        <v>0</v>
      </c>
      <c r="BA1012" s="39"/>
      <c r="BB1012" s="39"/>
      <c r="BC1012" s="39"/>
      <c r="BD1012" s="39"/>
      <c r="BE1012" s="39"/>
      <c r="BF1012" s="39">
        <f t="shared" si="893"/>
        <v>0</v>
      </c>
      <c r="BG1012" s="39"/>
      <c r="BH1012" s="39"/>
      <c r="BI1012" s="39"/>
      <c r="BJ1012" s="39"/>
      <c r="BK1012" s="39"/>
      <c r="BL1012" s="39">
        <f t="shared" si="919"/>
        <v>0</v>
      </c>
      <c r="BM1012" s="54" t="e">
        <f t="shared" si="894"/>
        <v>#DIV/0!</v>
      </c>
      <c r="BN1012" s="61"/>
      <c r="BO1012" s="39"/>
      <c r="BP1012" s="39"/>
      <c r="BQ1012" s="39"/>
      <c r="BR1012" s="37"/>
      <c r="BS1012" s="37"/>
      <c r="BT1012" s="39"/>
      <c r="BU1012" s="39"/>
      <c r="BV1012" s="39"/>
      <c r="BW1012" s="39"/>
      <c r="BX1012" s="39"/>
      <c r="BY1012" s="39"/>
      <c r="BZ1012" s="39">
        <f t="shared" si="920"/>
        <v>0</v>
      </c>
      <c r="CA1012" s="39">
        <f t="shared" si="895"/>
        <v>0</v>
      </c>
      <c r="CB1012" s="39">
        <f t="shared" si="896"/>
        <v>0</v>
      </c>
      <c r="CC1012" s="39">
        <f t="shared" si="897"/>
        <v>0</v>
      </c>
      <c r="CD1012" s="39">
        <f t="shared" si="921"/>
        <v>0</v>
      </c>
      <c r="CE1012" s="47" t="e">
        <f t="shared" si="898"/>
        <v>#DIV/0!</v>
      </c>
      <c r="CF1012" s="36"/>
      <c r="CG1012" s="39"/>
      <c r="CH1012" s="39"/>
      <c r="CI1012" s="25">
        <v>3</v>
      </c>
    </row>
    <row r="1013" spans="1:87" ht="24.75" customHeight="1">
      <c r="A1013" s="36" t="s">
        <v>20</v>
      </c>
      <c r="B1013" s="29"/>
      <c r="C1013" s="36"/>
      <c r="D1013" s="36"/>
      <c r="E1013" s="39"/>
      <c r="F1013" s="39"/>
      <c r="G1013" s="36"/>
      <c r="H1013" s="39"/>
      <c r="I1013" s="39"/>
      <c r="J1013" s="39"/>
      <c r="K1013" s="39"/>
      <c r="L1013" s="39">
        <f t="shared" si="970"/>
        <v>0</v>
      </c>
      <c r="M1013" s="36"/>
      <c r="N1013" s="36"/>
      <c r="O1013" s="39"/>
      <c r="P1013" s="39"/>
      <c r="Q1013" s="39"/>
      <c r="R1013" s="39">
        <f t="shared" si="971"/>
        <v>0</v>
      </c>
      <c r="S1013" s="39"/>
      <c r="T1013" s="39"/>
      <c r="U1013" s="39"/>
      <c r="V1013" s="39"/>
      <c r="W1013" s="39"/>
      <c r="X1013" s="39"/>
      <c r="Y1013" s="39"/>
      <c r="Z1013" s="39"/>
      <c r="AA1013" s="39"/>
      <c r="AB1013" s="39">
        <f t="shared" si="972"/>
        <v>0</v>
      </c>
      <c r="AC1013" s="39"/>
      <c r="AD1013" s="39"/>
      <c r="AE1013" s="39"/>
      <c r="AF1013" s="39"/>
      <c r="AG1013" s="39"/>
      <c r="AH1013" s="39">
        <f t="shared" si="918"/>
        <v>0</v>
      </c>
      <c r="AI1013" s="39"/>
      <c r="AJ1013" s="39"/>
      <c r="AK1013" s="39"/>
      <c r="AL1013" s="39"/>
      <c r="AM1013" s="39"/>
      <c r="AN1013" s="39">
        <f t="shared" si="917"/>
        <v>0</v>
      </c>
      <c r="AO1013" s="39"/>
      <c r="AP1013" s="39"/>
      <c r="AQ1013" s="39"/>
      <c r="AR1013" s="39"/>
      <c r="AS1013" s="39"/>
      <c r="AT1013" s="39">
        <f t="shared" si="891"/>
        <v>0</v>
      </c>
      <c r="AU1013" s="39"/>
      <c r="AV1013" s="39"/>
      <c r="AW1013" s="39"/>
      <c r="AX1013" s="39"/>
      <c r="AY1013" s="39"/>
      <c r="AZ1013" s="39">
        <f t="shared" si="892"/>
        <v>0</v>
      </c>
      <c r="BA1013" s="39"/>
      <c r="BB1013" s="39"/>
      <c r="BC1013" s="39"/>
      <c r="BD1013" s="39"/>
      <c r="BE1013" s="39"/>
      <c r="BF1013" s="39">
        <f t="shared" si="893"/>
        <v>0</v>
      </c>
      <c r="BG1013" s="39"/>
      <c r="BH1013" s="39"/>
      <c r="BI1013" s="39"/>
      <c r="BJ1013" s="39"/>
      <c r="BK1013" s="39"/>
      <c r="BL1013" s="39">
        <f t="shared" si="919"/>
        <v>0</v>
      </c>
      <c r="BM1013" s="54" t="e">
        <f t="shared" si="894"/>
        <v>#DIV/0!</v>
      </c>
      <c r="BN1013" s="61"/>
      <c r="BO1013" s="39"/>
      <c r="BP1013" s="39"/>
      <c r="BQ1013" s="39"/>
      <c r="BR1013" s="37"/>
      <c r="BS1013" s="37"/>
      <c r="BT1013" s="39"/>
      <c r="BU1013" s="39"/>
      <c r="BV1013" s="39"/>
      <c r="BW1013" s="39"/>
      <c r="BX1013" s="39"/>
      <c r="BY1013" s="39"/>
      <c r="BZ1013" s="39">
        <f t="shared" si="920"/>
        <v>0</v>
      </c>
      <c r="CA1013" s="39">
        <f t="shared" si="895"/>
        <v>0</v>
      </c>
      <c r="CB1013" s="39">
        <f t="shared" si="896"/>
        <v>0</v>
      </c>
      <c r="CC1013" s="39">
        <f t="shared" si="897"/>
        <v>0</v>
      </c>
      <c r="CD1013" s="39">
        <f t="shared" si="921"/>
        <v>0</v>
      </c>
      <c r="CE1013" s="47" t="e">
        <f t="shared" si="898"/>
        <v>#DIV/0!</v>
      </c>
      <c r="CF1013" s="36"/>
      <c r="CG1013" s="39"/>
      <c r="CH1013" s="39"/>
      <c r="CI1013" s="25">
        <v>3</v>
      </c>
    </row>
    <row r="1014" spans="1:87" ht="24.75" customHeight="1">
      <c r="A1014" s="36" t="s">
        <v>20</v>
      </c>
      <c r="B1014" s="29"/>
      <c r="C1014" s="36"/>
      <c r="D1014" s="36"/>
      <c r="E1014" s="39"/>
      <c r="F1014" s="39"/>
      <c r="G1014" s="36"/>
      <c r="H1014" s="39"/>
      <c r="I1014" s="39"/>
      <c r="J1014" s="39"/>
      <c r="K1014" s="39"/>
      <c r="L1014" s="39">
        <f t="shared" si="970"/>
        <v>0</v>
      </c>
      <c r="M1014" s="36"/>
      <c r="N1014" s="36"/>
      <c r="O1014" s="39"/>
      <c r="P1014" s="39"/>
      <c r="Q1014" s="39"/>
      <c r="R1014" s="39">
        <f t="shared" si="971"/>
        <v>0</v>
      </c>
      <c r="S1014" s="39"/>
      <c r="T1014" s="39"/>
      <c r="U1014" s="39"/>
      <c r="V1014" s="39"/>
      <c r="W1014" s="39"/>
      <c r="X1014" s="39"/>
      <c r="Y1014" s="39"/>
      <c r="Z1014" s="39"/>
      <c r="AA1014" s="39"/>
      <c r="AB1014" s="39">
        <f t="shared" si="972"/>
        <v>0</v>
      </c>
      <c r="AC1014" s="39"/>
      <c r="AD1014" s="39"/>
      <c r="AE1014" s="39"/>
      <c r="AF1014" s="39"/>
      <c r="AG1014" s="39"/>
      <c r="AH1014" s="39">
        <f t="shared" si="918"/>
        <v>0</v>
      </c>
      <c r="AI1014" s="39"/>
      <c r="AJ1014" s="39"/>
      <c r="AK1014" s="39"/>
      <c r="AL1014" s="39"/>
      <c r="AM1014" s="39"/>
      <c r="AN1014" s="39">
        <f t="shared" si="917"/>
        <v>0</v>
      </c>
      <c r="AO1014" s="39"/>
      <c r="AP1014" s="39"/>
      <c r="AQ1014" s="39"/>
      <c r="AR1014" s="39"/>
      <c r="AS1014" s="39"/>
      <c r="AT1014" s="39">
        <f t="shared" si="891"/>
        <v>0</v>
      </c>
      <c r="AU1014" s="39"/>
      <c r="AV1014" s="39"/>
      <c r="AW1014" s="39"/>
      <c r="AX1014" s="39"/>
      <c r="AY1014" s="39"/>
      <c r="AZ1014" s="39">
        <f t="shared" si="892"/>
        <v>0</v>
      </c>
      <c r="BA1014" s="39"/>
      <c r="BB1014" s="39"/>
      <c r="BC1014" s="39"/>
      <c r="BD1014" s="39"/>
      <c r="BE1014" s="39"/>
      <c r="BF1014" s="39">
        <f t="shared" si="893"/>
        <v>0</v>
      </c>
      <c r="BG1014" s="39"/>
      <c r="BH1014" s="39"/>
      <c r="BI1014" s="39"/>
      <c r="BJ1014" s="39"/>
      <c r="BK1014" s="39"/>
      <c r="BL1014" s="39">
        <f t="shared" si="919"/>
        <v>0</v>
      </c>
      <c r="BM1014" s="54" t="e">
        <f t="shared" si="894"/>
        <v>#DIV/0!</v>
      </c>
      <c r="BN1014" s="61"/>
      <c r="BO1014" s="39"/>
      <c r="BP1014" s="39"/>
      <c r="BQ1014" s="39"/>
      <c r="BR1014" s="37"/>
      <c r="BS1014" s="37"/>
      <c r="BT1014" s="39"/>
      <c r="BU1014" s="39"/>
      <c r="BV1014" s="39"/>
      <c r="BW1014" s="39"/>
      <c r="BX1014" s="39"/>
      <c r="BY1014" s="39"/>
      <c r="BZ1014" s="39">
        <f t="shared" si="920"/>
        <v>0</v>
      </c>
      <c r="CA1014" s="39">
        <f t="shared" si="895"/>
        <v>0</v>
      </c>
      <c r="CB1014" s="39">
        <f t="shared" si="896"/>
        <v>0</v>
      </c>
      <c r="CC1014" s="39">
        <f t="shared" si="897"/>
        <v>0</v>
      </c>
      <c r="CD1014" s="39">
        <f t="shared" si="921"/>
        <v>0</v>
      </c>
      <c r="CE1014" s="47" t="e">
        <f t="shared" si="898"/>
        <v>#DIV/0!</v>
      </c>
      <c r="CF1014" s="36"/>
      <c r="CG1014" s="39"/>
      <c r="CH1014" s="39"/>
      <c r="CI1014" s="25">
        <v>3</v>
      </c>
    </row>
    <row r="1015" spans="1:87" ht="24.75" customHeight="1">
      <c r="A1015" s="36" t="s">
        <v>20</v>
      </c>
      <c r="B1015" s="29"/>
      <c r="C1015" s="36"/>
      <c r="D1015" s="36"/>
      <c r="E1015" s="39"/>
      <c r="F1015" s="39"/>
      <c r="G1015" s="36"/>
      <c r="H1015" s="39"/>
      <c r="I1015" s="39"/>
      <c r="J1015" s="39"/>
      <c r="K1015" s="39"/>
      <c r="L1015" s="39">
        <f t="shared" ref="L1015:L1078" si="973">SUM(I1015:K1015)</f>
        <v>0</v>
      </c>
      <c r="M1015" s="36"/>
      <c r="N1015" s="36"/>
      <c r="O1015" s="39"/>
      <c r="P1015" s="39"/>
      <c r="Q1015" s="39"/>
      <c r="R1015" s="39">
        <f t="shared" si="971"/>
        <v>0</v>
      </c>
      <c r="S1015" s="39"/>
      <c r="T1015" s="39"/>
      <c r="U1015" s="39"/>
      <c r="V1015" s="39"/>
      <c r="W1015" s="39"/>
      <c r="X1015" s="39"/>
      <c r="Y1015" s="39"/>
      <c r="Z1015" s="39"/>
      <c r="AA1015" s="39"/>
      <c r="AB1015" s="39">
        <f t="shared" si="972"/>
        <v>0</v>
      </c>
      <c r="AC1015" s="39"/>
      <c r="AD1015" s="39"/>
      <c r="AE1015" s="39"/>
      <c r="AF1015" s="39"/>
      <c r="AG1015" s="39"/>
      <c r="AH1015" s="39">
        <f t="shared" si="918"/>
        <v>0</v>
      </c>
      <c r="AI1015" s="39"/>
      <c r="AJ1015" s="39"/>
      <c r="AK1015" s="39"/>
      <c r="AL1015" s="39"/>
      <c r="AM1015" s="39"/>
      <c r="AN1015" s="39">
        <f t="shared" si="917"/>
        <v>0</v>
      </c>
      <c r="AO1015" s="39"/>
      <c r="AP1015" s="39"/>
      <c r="AQ1015" s="39"/>
      <c r="AR1015" s="39"/>
      <c r="AS1015" s="39"/>
      <c r="AT1015" s="39">
        <f t="shared" si="891"/>
        <v>0</v>
      </c>
      <c r="AU1015" s="39"/>
      <c r="AV1015" s="39"/>
      <c r="AW1015" s="39"/>
      <c r="AX1015" s="39"/>
      <c r="AY1015" s="39"/>
      <c r="AZ1015" s="39">
        <f t="shared" si="892"/>
        <v>0</v>
      </c>
      <c r="BA1015" s="39"/>
      <c r="BB1015" s="39"/>
      <c r="BC1015" s="39"/>
      <c r="BD1015" s="39"/>
      <c r="BE1015" s="39"/>
      <c r="BF1015" s="39">
        <f t="shared" si="893"/>
        <v>0</v>
      </c>
      <c r="BG1015" s="39"/>
      <c r="BH1015" s="39"/>
      <c r="BI1015" s="39"/>
      <c r="BJ1015" s="39"/>
      <c r="BK1015" s="39"/>
      <c r="BL1015" s="39">
        <f t="shared" si="919"/>
        <v>0</v>
      </c>
      <c r="BM1015" s="54" t="e">
        <f t="shared" si="894"/>
        <v>#DIV/0!</v>
      </c>
      <c r="BN1015" s="61"/>
      <c r="BO1015" s="39"/>
      <c r="BP1015" s="39"/>
      <c r="BQ1015" s="39"/>
      <c r="BR1015" s="37"/>
      <c r="BS1015" s="37"/>
      <c r="BT1015" s="39"/>
      <c r="BU1015" s="39"/>
      <c r="BV1015" s="39"/>
      <c r="BW1015" s="39"/>
      <c r="BX1015" s="39"/>
      <c r="BY1015" s="39"/>
      <c r="BZ1015" s="39">
        <f t="shared" si="920"/>
        <v>0</v>
      </c>
      <c r="CA1015" s="39">
        <f t="shared" si="895"/>
        <v>0</v>
      </c>
      <c r="CB1015" s="39">
        <f t="shared" si="896"/>
        <v>0</v>
      </c>
      <c r="CC1015" s="39">
        <f t="shared" si="897"/>
        <v>0</v>
      </c>
      <c r="CD1015" s="39">
        <f t="shared" si="921"/>
        <v>0</v>
      </c>
      <c r="CE1015" s="47" t="e">
        <f t="shared" si="898"/>
        <v>#DIV/0!</v>
      </c>
      <c r="CF1015" s="36"/>
      <c r="CG1015" s="39"/>
      <c r="CH1015" s="39"/>
      <c r="CI1015" s="25">
        <v>3</v>
      </c>
    </row>
    <row r="1016" spans="1:87" ht="24.75" customHeight="1">
      <c r="A1016" s="36" t="s">
        <v>20</v>
      </c>
      <c r="B1016" s="29"/>
      <c r="C1016" s="36"/>
      <c r="D1016" s="36"/>
      <c r="E1016" s="39"/>
      <c r="F1016" s="39"/>
      <c r="G1016" s="36"/>
      <c r="H1016" s="39"/>
      <c r="I1016" s="39"/>
      <c r="J1016" s="39"/>
      <c r="K1016" s="39"/>
      <c r="L1016" s="39">
        <f t="shared" si="973"/>
        <v>0</v>
      </c>
      <c r="M1016" s="36"/>
      <c r="N1016" s="36"/>
      <c r="O1016" s="39"/>
      <c r="P1016" s="39"/>
      <c r="Q1016" s="39"/>
      <c r="R1016" s="39">
        <f t="shared" si="971"/>
        <v>0</v>
      </c>
      <c r="S1016" s="39"/>
      <c r="T1016" s="39"/>
      <c r="U1016" s="39"/>
      <c r="V1016" s="39"/>
      <c r="W1016" s="39"/>
      <c r="X1016" s="39"/>
      <c r="Y1016" s="39"/>
      <c r="Z1016" s="39"/>
      <c r="AA1016" s="39"/>
      <c r="AB1016" s="39">
        <f t="shared" si="972"/>
        <v>0</v>
      </c>
      <c r="AC1016" s="39"/>
      <c r="AD1016" s="39"/>
      <c r="AE1016" s="39"/>
      <c r="AF1016" s="39"/>
      <c r="AG1016" s="39"/>
      <c r="AH1016" s="39">
        <f t="shared" si="918"/>
        <v>0</v>
      </c>
      <c r="AI1016" s="39"/>
      <c r="AJ1016" s="39"/>
      <c r="AK1016" s="39"/>
      <c r="AL1016" s="39"/>
      <c r="AM1016" s="39"/>
      <c r="AN1016" s="39">
        <f t="shared" si="917"/>
        <v>0</v>
      </c>
      <c r="AO1016" s="39"/>
      <c r="AP1016" s="39"/>
      <c r="AQ1016" s="39"/>
      <c r="AR1016" s="39"/>
      <c r="AS1016" s="39"/>
      <c r="AT1016" s="39">
        <f t="shared" si="891"/>
        <v>0</v>
      </c>
      <c r="AU1016" s="39"/>
      <c r="AV1016" s="39"/>
      <c r="AW1016" s="39"/>
      <c r="AX1016" s="39"/>
      <c r="AY1016" s="39"/>
      <c r="AZ1016" s="39">
        <f t="shared" si="892"/>
        <v>0</v>
      </c>
      <c r="BA1016" s="39"/>
      <c r="BB1016" s="39"/>
      <c r="BC1016" s="39"/>
      <c r="BD1016" s="39"/>
      <c r="BE1016" s="39"/>
      <c r="BF1016" s="39">
        <f t="shared" si="893"/>
        <v>0</v>
      </c>
      <c r="BG1016" s="39"/>
      <c r="BH1016" s="39"/>
      <c r="BI1016" s="39"/>
      <c r="BJ1016" s="39"/>
      <c r="BK1016" s="39"/>
      <c r="BL1016" s="39">
        <f t="shared" si="919"/>
        <v>0</v>
      </c>
      <c r="BM1016" s="54" t="e">
        <f t="shared" si="894"/>
        <v>#DIV/0!</v>
      </c>
      <c r="BN1016" s="61"/>
      <c r="BO1016" s="39"/>
      <c r="BP1016" s="39"/>
      <c r="BQ1016" s="39"/>
      <c r="BR1016" s="37"/>
      <c r="BS1016" s="37"/>
      <c r="BT1016" s="39"/>
      <c r="BU1016" s="39"/>
      <c r="BV1016" s="39"/>
      <c r="BW1016" s="39"/>
      <c r="BX1016" s="39"/>
      <c r="BY1016" s="39"/>
      <c r="BZ1016" s="39">
        <f t="shared" si="920"/>
        <v>0</v>
      </c>
      <c r="CA1016" s="39">
        <f t="shared" si="895"/>
        <v>0</v>
      </c>
      <c r="CB1016" s="39">
        <f t="shared" si="896"/>
        <v>0</v>
      </c>
      <c r="CC1016" s="39">
        <f t="shared" si="897"/>
        <v>0</v>
      </c>
      <c r="CD1016" s="39">
        <f t="shared" si="921"/>
        <v>0</v>
      </c>
      <c r="CE1016" s="47" t="e">
        <f t="shared" si="898"/>
        <v>#DIV/0!</v>
      </c>
      <c r="CF1016" s="36"/>
      <c r="CG1016" s="39"/>
      <c r="CH1016" s="39"/>
      <c r="CI1016" s="25">
        <v>3</v>
      </c>
    </row>
    <row r="1017" spans="1:87" ht="24.75" customHeight="1">
      <c r="A1017" s="36" t="s">
        <v>20</v>
      </c>
      <c r="B1017" s="29"/>
      <c r="C1017" s="36"/>
      <c r="D1017" s="36"/>
      <c r="E1017" s="39"/>
      <c r="F1017" s="39"/>
      <c r="G1017" s="36"/>
      <c r="H1017" s="39"/>
      <c r="I1017" s="39"/>
      <c r="J1017" s="39"/>
      <c r="K1017" s="39"/>
      <c r="L1017" s="39">
        <f t="shared" si="973"/>
        <v>0</v>
      </c>
      <c r="M1017" s="36"/>
      <c r="N1017" s="36"/>
      <c r="O1017" s="39"/>
      <c r="P1017" s="39"/>
      <c r="Q1017" s="39"/>
      <c r="R1017" s="39">
        <f t="shared" si="971"/>
        <v>0</v>
      </c>
      <c r="S1017" s="39"/>
      <c r="T1017" s="39"/>
      <c r="U1017" s="39"/>
      <c r="V1017" s="39"/>
      <c r="W1017" s="39"/>
      <c r="X1017" s="39"/>
      <c r="Y1017" s="39"/>
      <c r="Z1017" s="39"/>
      <c r="AA1017" s="39"/>
      <c r="AB1017" s="39">
        <f t="shared" si="972"/>
        <v>0</v>
      </c>
      <c r="AC1017" s="39"/>
      <c r="AD1017" s="39"/>
      <c r="AE1017" s="39"/>
      <c r="AF1017" s="39"/>
      <c r="AG1017" s="39"/>
      <c r="AH1017" s="39">
        <f t="shared" si="918"/>
        <v>0</v>
      </c>
      <c r="AI1017" s="39"/>
      <c r="AJ1017" s="39"/>
      <c r="AK1017" s="39"/>
      <c r="AL1017" s="39"/>
      <c r="AM1017" s="39"/>
      <c r="AN1017" s="39">
        <f t="shared" si="917"/>
        <v>0</v>
      </c>
      <c r="AO1017" s="39"/>
      <c r="AP1017" s="39"/>
      <c r="AQ1017" s="39"/>
      <c r="AR1017" s="39"/>
      <c r="AS1017" s="39"/>
      <c r="AT1017" s="39">
        <f t="shared" ref="AT1017:AT1140" si="974">AS1017-AQ1017</f>
        <v>0</v>
      </c>
      <c r="AU1017" s="39"/>
      <c r="AV1017" s="39"/>
      <c r="AW1017" s="39"/>
      <c r="AX1017" s="39"/>
      <c r="AY1017" s="39"/>
      <c r="AZ1017" s="39">
        <f t="shared" ref="AZ1017:AZ1140" si="975">AY1017-AW1017</f>
        <v>0</v>
      </c>
      <c r="BA1017" s="39"/>
      <c r="BB1017" s="39"/>
      <c r="BC1017" s="39"/>
      <c r="BD1017" s="39"/>
      <c r="BE1017" s="39"/>
      <c r="BF1017" s="39">
        <f t="shared" ref="BF1017:BF1140" si="976">BE1017-BC1017</f>
        <v>0</v>
      </c>
      <c r="BG1017" s="39"/>
      <c r="BH1017" s="39"/>
      <c r="BI1017" s="39"/>
      <c r="BJ1017" s="39"/>
      <c r="BK1017" s="39"/>
      <c r="BL1017" s="39">
        <f t="shared" si="919"/>
        <v>0</v>
      </c>
      <c r="BM1017" s="54" t="e">
        <f t="shared" ref="BM1017:BM1140" si="977">IF((BZ1017/L1017)&lt;0.9,$CO$1-U1017,"")</f>
        <v>#DIV/0!</v>
      </c>
      <c r="BN1017" s="61"/>
      <c r="BO1017" s="39"/>
      <c r="BP1017" s="39"/>
      <c r="BQ1017" s="39"/>
      <c r="BR1017" s="37"/>
      <c r="BS1017" s="37"/>
      <c r="BT1017" s="39"/>
      <c r="BU1017" s="39"/>
      <c r="BV1017" s="39"/>
      <c r="BW1017" s="39"/>
      <c r="BX1017" s="39"/>
      <c r="BY1017" s="39"/>
      <c r="BZ1017" s="39">
        <f t="shared" si="920"/>
        <v>0</v>
      </c>
      <c r="CA1017" s="39">
        <f t="shared" ref="CA1017:CA1140" si="978">BU1017-I1017</f>
        <v>0</v>
      </c>
      <c r="CB1017" s="39">
        <f t="shared" ref="CB1017:CB1140" si="979">BW1017-J1017</f>
        <v>0</v>
      </c>
      <c r="CC1017" s="39">
        <f t="shared" ref="CC1017:CC1140" si="980">BY1017-K1017</f>
        <v>0</v>
      </c>
      <c r="CD1017" s="39">
        <f t="shared" si="921"/>
        <v>0</v>
      </c>
      <c r="CE1017" s="47" t="e">
        <f t="shared" ref="CE1017:CE1140" si="981">CD1017/L1017</f>
        <v>#DIV/0!</v>
      </c>
      <c r="CF1017" s="36"/>
      <c r="CG1017" s="39"/>
      <c r="CH1017" s="39"/>
      <c r="CI1017" s="25">
        <v>3</v>
      </c>
    </row>
    <row r="1018" spans="1:87" ht="24.75" customHeight="1">
      <c r="A1018" s="36" t="s">
        <v>20</v>
      </c>
      <c r="B1018" s="29"/>
      <c r="C1018" s="36"/>
      <c r="D1018" s="36"/>
      <c r="E1018" s="39"/>
      <c r="F1018" s="39"/>
      <c r="G1018" s="36"/>
      <c r="H1018" s="39"/>
      <c r="I1018" s="39"/>
      <c r="J1018" s="39"/>
      <c r="K1018" s="39"/>
      <c r="L1018" s="39">
        <f t="shared" si="973"/>
        <v>0</v>
      </c>
      <c r="M1018" s="36"/>
      <c r="N1018" s="36"/>
      <c r="O1018" s="39"/>
      <c r="P1018" s="39"/>
      <c r="Q1018" s="39"/>
      <c r="R1018" s="39">
        <f t="shared" si="971"/>
        <v>0</v>
      </c>
      <c r="S1018" s="39"/>
      <c r="T1018" s="39"/>
      <c r="U1018" s="39"/>
      <c r="V1018" s="39"/>
      <c r="W1018" s="39"/>
      <c r="X1018" s="39"/>
      <c r="Y1018" s="39"/>
      <c r="Z1018" s="39"/>
      <c r="AA1018" s="39"/>
      <c r="AB1018" s="39">
        <f t="shared" si="972"/>
        <v>0</v>
      </c>
      <c r="AC1018" s="39"/>
      <c r="AD1018" s="39"/>
      <c r="AE1018" s="39"/>
      <c r="AF1018" s="39"/>
      <c r="AG1018" s="39"/>
      <c r="AH1018" s="39">
        <f t="shared" si="918"/>
        <v>0</v>
      </c>
      <c r="AI1018" s="39"/>
      <c r="AJ1018" s="39"/>
      <c r="AK1018" s="39"/>
      <c r="AL1018" s="39"/>
      <c r="AM1018" s="39"/>
      <c r="AN1018" s="39">
        <f t="shared" si="917"/>
        <v>0</v>
      </c>
      <c r="AO1018" s="39"/>
      <c r="AP1018" s="39"/>
      <c r="AQ1018" s="39"/>
      <c r="AR1018" s="39"/>
      <c r="AS1018" s="39"/>
      <c r="AT1018" s="39">
        <f t="shared" si="974"/>
        <v>0</v>
      </c>
      <c r="AU1018" s="39"/>
      <c r="AV1018" s="39"/>
      <c r="AW1018" s="39"/>
      <c r="AX1018" s="39"/>
      <c r="AY1018" s="39"/>
      <c r="AZ1018" s="39">
        <f t="shared" si="975"/>
        <v>0</v>
      </c>
      <c r="BA1018" s="39"/>
      <c r="BB1018" s="39"/>
      <c r="BC1018" s="39"/>
      <c r="BD1018" s="39"/>
      <c r="BE1018" s="39"/>
      <c r="BF1018" s="39">
        <f t="shared" si="976"/>
        <v>0</v>
      </c>
      <c r="BG1018" s="39"/>
      <c r="BH1018" s="39"/>
      <c r="BI1018" s="39"/>
      <c r="BJ1018" s="39"/>
      <c r="BK1018" s="39"/>
      <c r="BL1018" s="39">
        <f t="shared" si="919"/>
        <v>0</v>
      </c>
      <c r="BM1018" s="54" t="e">
        <f t="shared" si="977"/>
        <v>#DIV/0!</v>
      </c>
      <c r="BN1018" s="61"/>
      <c r="BO1018" s="39"/>
      <c r="BP1018" s="39"/>
      <c r="BQ1018" s="39"/>
      <c r="BR1018" s="37"/>
      <c r="BS1018" s="37"/>
      <c r="BT1018" s="39"/>
      <c r="BU1018" s="39"/>
      <c r="BV1018" s="39"/>
      <c r="BW1018" s="39"/>
      <c r="BX1018" s="39"/>
      <c r="BY1018" s="39"/>
      <c r="BZ1018" s="39">
        <f t="shared" si="920"/>
        <v>0</v>
      </c>
      <c r="CA1018" s="39">
        <f t="shared" si="978"/>
        <v>0</v>
      </c>
      <c r="CB1018" s="39">
        <f t="shared" si="979"/>
        <v>0</v>
      </c>
      <c r="CC1018" s="39">
        <f t="shared" si="980"/>
        <v>0</v>
      </c>
      <c r="CD1018" s="39">
        <f t="shared" si="921"/>
        <v>0</v>
      </c>
      <c r="CE1018" s="47" t="e">
        <f t="shared" si="981"/>
        <v>#DIV/0!</v>
      </c>
      <c r="CF1018" s="36"/>
      <c r="CG1018" s="39"/>
      <c r="CH1018" s="39"/>
      <c r="CI1018" s="25">
        <v>3</v>
      </c>
    </row>
    <row r="1019" spans="1:87" ht="24.75" customHeight="1">
      <c r="A1019" s="36" t="s">
        <v>20</v>
      </c>
      <c r="B1019" s="29"/>
      <c r="C1019" s="36"/>
      <c r="D1019" s="36"/>
      <c r="E1019" s="39"/>
      <c r="F1019" s="39"/>
      <c r="G1019" s="36"/>
      <c r="H1019" s="39"/>
      <c r="I1019" s="39"/>
      <c r="J1019" s="39"/>
      <c r="K1019" s="39"/>
      <c r="L1019" s="39">
        <f t="shared" si="973"/>
        <v>0</v>
      </c>
      <c r="M1019" s="36"/>
      <c r="N1019" s="36"/>
      <c r="O1019" s="39"/>
      <c r="P1019" s="39"/>
      <c r="Q1019" s="39"/>
      <c r="R1019" s="39">
        <f t="shared" si="971"/>
        <v>0</v>
      </c>
      <c r="S1019" s="39"/>
      <c r="T1019" s="39"/>
      <c r="U1019" s="39"/>
      <c r="V1019" s="39"/>
      <c r="W1019" s="39"/>
      <c r="X1019" s="39"/>
      <c r="Y1019" s="39"/>
      <c r="Z1019" s="39"/>
      <c r="AA1019" s="39"/>
      <c r="AB1019" s="39">
        <f t="shared" si="972"/>
        <v>0</v>
      </c>
      <c r="AC1019" s="39"/>
      <c r="AD1019" s="39"/>
      <c r="AE1019" s="39"/>
      <c r="AF1019" s="39"/>
      <c r="AG1019" s="39"/>
      <c r="AH1019" s="39">
        <f t="shared" si="918"/>
        <v>0</v>
      </c>
      <c r="AI1019" s="39"/>
      <c r="AJ1019" s="39"/>
      <c r="AK1019" s="39"/>
      <c r="AL1019" s="39"/>
      <c r="AM1019" s="39"/>
      <c r="AN1019" s="39">
        <f t="shared" si="917"/>
        <v>0</v>
      </c>
      <c r="AO1019" s="39"/>
      <c r="AP1019" s="39"/>
      <c r="AQ1019" s="39"/>
      <c r="AR1019" s="39"/>
      <c r="AS1019" s="39"/>
      <c r="AT1019" s="39">
        <f t="shared" si="974"/>
        <v>0</v>
      </c>
      <c r="AU1019" s="39"/>
      <c r="AV1019" s="39"/>
      <c r="AW1019" s="39"/>
      <c r="AX1019" s="39"/>
      <c r="AY1019" s="39"/>
      <c r="AZ1019" s="39">
        <f t="shared" si="975"/>
        <v>0</v>
      </c>
      <c r="BA1019" s="39"/>
      <c r="BB1019" s="39"/>
      <c r="BC1019" s="39"/>
      <c r="BD1019" s="39"/>
      <c r="BE1019" s="39"/>
      <c r="BF1019" s="39">
        <f t="shared" si="976"/>
        <v>0</v>
      </c>
      <c r="BG1019" s="39"/>
      <c r="BH1019" s="39"/>
      <c r="BI1019" s="39"/>
      <c r="BJ1019" s="39"/>
      <c r="BK1019" s="39"/>
      <c r="BL1019" s="39">
        <f t="shared" si="919"/>
        <v>0</v>
      </c>
      <c r="BM1019" s="54" t="e">
        <f t="shared" si="977"/>
        <v>#DIV/0!</v>
      </c>
      <c r="BN1019" s="61"/>
      <c r="BO1019" s="39"/>
      <c r="BP1019" s="39"/>
      <c r="BQ1019" s="39"/>
      <c r="BR1019" s="37"/>
      <c r="BS1019" s="37"/>
      <c r="BT1019" s="39"/>
      <c r="BU1019" s="39"/>
      <c r="BV1019" s="39"/>
      <c r="BW1019" s="39"/>
      <c r="BX1019" s="39"/>
      <c r="BY1019" s="39"/>
      <c r="BZ1019" s="39">
        <f t="shared" si="920"/>
        <v>0</v>
      </c>
      <c r="CA1019" s="39">
        <f t="shared" si="978"/>
        <v>0</v>
      </c>
      <c r="CB1019" s="39">
        <f t="shared" si="979"/>
        <v>0</v>
      </c>
      <c r="CC1019" s="39">
        <f t="shared" si="980"/>
        <v>0</v>
      </c>
      <c r="CD1019" s="39">
        <f t="shared" si="921"/>
        <v>0</v>
      </c>
      <c r="CE1019" s="47" t="e">
        <f t="shared" si="981"/>
        <v>#DIV/0!</v>
      </c>
      <c r="CF1019" s="36"/>
      <c r="CG1019" s="39"/>
      <c r="CH1019" s="39"/>
      <c r="CI1019" s="25">
        <v>3</v>
      </c>
    </row>
    <row r="1020" spans="1:87" ht="24.75" customHeight="1">
      <c r="A1020" s="36" t="s">
        <v>20</v>
      </c>
      <c r="B1020" s="29"/>
      <c r="C1020" s="36"/>
      <c r="D1020" s="36"/>
      <c r="E1020" s="39"/>
      <c r="F1020" s="39"/>
      <c r="G1020" s="36"/>
      <c r="H1020" s="39"/>
      <c r="I1020" s="39"/>
      <c r="J1020" s="39"/>
      <c r="K1020" s="39"/>
      <c r="L1020" s="39">
        <f t="shared" si="973"/>
        <v>0</v>
      </c>
      <c r="M1020" s="36"/>
      <c r="N1020" s="36"/>
      <c r="O1020" s="39"/>
      <c r="P1020" s="39"/>
      <c r="Q1020" s="39"/>
      <c r="R1020" s="39">
        <f t="shared" si="971"/>
        <v>0</v>
      </c>
      <c r="S1020" s="39"/>
      <c r="T1020" s="39"/>
      <c r="U1020" s="39"/>
      <c r="V1020" s="39"/>
      <c r="W1020" s="39"/>
      <c r="X1020" s="39"/>
      <c r="Y1020" s="39"/>
      <c r="Z1020" s="39"/>
      <c r="AA1020" s="39"/>
      <c r="AB1020" s="39">
        <f t="shared" si="972"/>
        <v>0</v>
      </c>
      <c r="AC1020" s="39"/>
      <c r="AD1020" s="39"/>
      <c r="AE1020" s="39"/>
      <c r="AF1020" s="39"/>
      <c r="AG1020" s="39"/>
      <c r="AH1020" s="39">
        <f t="shared" si="918"/>
        <v>0</v>
      </c>
      <c r="AI1020" s="39"/>
      <c r="AJ1020" s="39"/>
      <c r="AK1020" s="39"/>
      <c r="AL1020" s="39"/>
      <c r="AM1020" s="39"/>
      <c r="AN1020" s="39">
        <f t="shared" si="917"/>
        <v>0</v>
      </c>
      <c r="AO1020" s="39"/>
      <c r="AP1020" s="39"/>
      <c r="AQ1020" s="39"/>
      <c r="AR1020" s="39"/>
      <c r="AS1020" s="39"/>
      <c r="AT1020" s="39">
        <f t="shared" si="974"/>
        <v>0</v>
      </c>
      <c r="AU1020" s="39"/>
      <c r="AV1020" s="39"/>
      <c r="AW1020" s="39"/>
      <c r="AX1020" s="39"/>
      <c r="AY1020" s="39"/>
      <c r="AZ1020" s="39">
        <f t="shared" si="975"/>
        <v>0</v>
      </c>
      <c r="BA1020" s="39"/>
      <c r="BB1020" s="39"/>
      <c r="BC1020" s="39"/>
      <c r="BD1020" s="39"/>
      <c r="BE1020" s="39"/>
      <c r="BF1020" s="39">
        <f t="shared" si="976"/>
        <v>0</v>
      </c>
      <c r="BG1020" s="39"/>
      <c r="BH1020" s="39"/>
      <c r="BI1020" s="39"/>
      <c r="BJ1020" s="39"/>
      <c r="BK1020" s="39"/>
      <c r="BL1020" s="39">
        <f t="shared" si="919"/>
        <v>0</v>
      </c>
      <c r="BM1020" s="54" t="e">
        <f t="shared" si="977"/>
        <v>#DIV/0!</v>
      </c>
      <c r="BN1020" s="61"/>
      <c r="BO1020" s="39"/>
      <c r="BP1020" s="39"/>
      <c r="BQ1020" s="39"/>
      <c r="BR1020" s="37"/>
      <c r="BS1020" s="37"/>
      <c r="BT1020" s="39"/>
      <c r="BU1020" s="39"/>
      <c r="BV1020" s="39"/>
      <c r="BW1020" s="39"/>
      <c r="BX1020" s="39"/>
      <c r="BY1020" s="39"/>
      <c r="BZ1020" s="39">
        <f t="shared" si="920"/>
        <v>0</v>
      </c>
      <c r="CA1020" s="39">
        <f t="shared" si="978"/>
        <v>0</v>
      </c>
      <c r="CB1020" s="39">
        <f t="shared" si="979"/>
        <v>0</v>
      </c>
      <c r="CC1020" s="39">
        <f t="shared" si="980"/>
        <v>0</v>
      </c>
      <c r="CD1020" s="39">
        <f t="shared" si="921"/>
        <v>0</v>
      </c>
      <c r="CE1020" s="47" t="e">
        <f t="shared" si="981"/>
        <v>#DIV/0!</v>
      </c>
      <c r="CF1020" s="36"/>
      <c r="CG1020" s="39"/>
      <c r="CH1020" s="39"/>
      <c r="CI1020" s="25">
        <v>3</v>
      </c>
    </row>
    <row r="1021" spans="1:87" ht="24.75" customHeight="1">
      <c r="A1021" s="36" t="s">
        <v>46</v>
      </c>
      <c r="B1021" s="30">
        <v>46881</v>
      </c>
      <c r="C1021" s="227" t="s">
        <v>582</v>
      </c>
      <c r="D1021" s="23"/>
      <c r="E1021" s="39">
        <v>200</v>
      </c>
      <c r="F1021" s="39" t="s">
        <v>58</v>
      </c>
      <c r="G1021" s="36" t="s">
        <v>125</v>
      </c>
      <c r="H1021" s="39" t="s">
        <v>381</v>
      </c>
      <c r="I1021" s="39">
        <f>825+272</f>
        <v>1097</v>
      </c>
      <c r="J1021" s="39"/>
      <c r="K1021" s="39"/>
      <c r="L1021" s="39">
        <f t="shared" si="973"/>
        <v>1097</v>
      </c>
      <c r="M1021" s="117">
        <v>46144</v>
      </c>
      <c r="N1021" s="117">
        <v>46162</v>
      </c>
      <c r="O1021" s="39"/>
      <c r="P1021" s="39"/>
      <c r="Q1021" s="39"/>
      <c r="R1021" s="39">
        <f t="shared" ref="R1021:R1050" si="982">SUM(O1021:Q1021)</f>
        <v>0</v>
      </c>
      <c r="S1021" s="39" t="s">
        <v>130</v>
      </c>
      <c r="T1021" s="39" t="s">
        <v>895</v>
      </c>
      <c r="U1021" s="117">
        <v>46163</v>
      </c>
      <c r="V1021" s="39"/>
      <c r="W1021" s="39"/>
      <c r="X1021" s="39"/>
      <c r="Y1021" s="39">
        <f>872+865-500</f>
        <v>1237</v>
      </c>
      <c r="Z1021" s="39"/>
      <c r="AA1021" s="39"/>
      <c r="AB1021" s="119">
        <f t="shared" ref="AB1021:AB1050" si="983">SUM(Y1021:AA1021)</f>
        <v>1237</v>
      </c>
      <c r="AC1021" s="39"/>
      <c r="AD1021" s="39"/>
      <c r="AE1021" s="39"/>
      <c r="AF1021" s="39"/>
      <c r="AG1021" s="39"/>
      <c r="AH1021" s="39">
        <f t="shared" si="918"/>
        <v>0</v>
      </c>
      <c r="AI1021" s="39"/>
      <c r="AJ1021" s="39"/>
      <c r="AK1021" s="39"/>
      <c r="AL1021" s="39"/>
      <c r="AM1021" s="39"/>
      <c r="AN1021" s="39">
        <f t="shared" si="917"/>
        <v>0</v>
      </c>
      <c r="AO1021" s="39"/>
      <c r="AP1021" s="39"/>
      <c r="AQ1021" s="39"/>
      <c r="AR1021" s="39"/>
      <c r="AS1021" s="39"/>
      <c r="AT1021" s="39">
        <f t="shared" si="974"/>
        <v>0</v>
      </c>
      <c r="AU1021" s="39"/>
      <c r="AV1021" s="39"/>
      <c r="AW1021" s="39"/>
      <c r="AX1021" s="39"/>
      <c r="AY1021" s="39"/>
      <c r="AZ1021" s="39">
        <f t="shared" si="975"/>
        <v>0</v>
      </c>
      <c r="BA1021" s="39"/>
      <c r="BB1021" s="39"/>
      <c r="BC1021" s="39"/>
      <c r="BD1021" s="39"/>
      <c r="BE1021" s="39"/>
      <c r="BF1021" s="39">
        <f t="shared" si="976"/>
        <v>0</v>
      </c>
      <c r="BG1021" s="39"/>
      <c r="BH1021" s="39"/>
      <c r="BI1021" s="39"/>
      <c r="BJ1021" s="39"/>
      <c r="BK1021" s="39"/>
      <c r="BL1021" s="39">
        <f t="shared" si="919"/>
        <v>0</v>
      </c>
      <c r="BM1021" s="54" t="str">
        <f t="shared" si="977"/>
        <v/>
      </c>
      <c r="BN1021" s="58">
        <v>46178</v>
      </c>
      <c r="BO1021" s="57">
        <v>46193</v>
      </c>
      <c r="BP1021" s="36"/>
      <c r="BQ1021" s="36"/>
      <c r="BR1021" s="229">
        <v>46165</v>
      </c>
      <c r="BS1021" s="229">
        <v>46195</v>
      </c>
      <c r="BT1021" s="39" t="s">
        <v>924</v>
      </c>
      <c r="BU1021" s="39">
        <f>25+764+202+120</f>
        <v>1111</v>
      </c>
      <c r="BV1021" s="39"/>
      <c r="BW1021" s="39"/>
      <c r="BX1021" s="39"/>
      <c r="BY1021" s="39"/>
      <c r="BZ1021" s="39">
        <f t="shared" si="920"/>
        <v>1111</v>
      </c>
      <c r="CA1021" s="39">
        <f t="shared" si="978"/>
        <v>14</v>
      </c>
      <c r="CB1021" s="39">
        <f t="shared" si="979"/>
        <v>0</v>
      </c>
      <c r="CC1021" s="39">
        <f t="shared" si="980"/>
        <v>0</v>
      </c>
      <c r="CD1021" s="39">
        <f t="shared" si="921"/>
        <v>0</v>
      </c>
      <c r="CE1021" s="102">
        <f t="shared" si="981"/>
        <v>0</v>
      </c>
      <c r="CF1021" s="36"/>
      <c r="CG1021" s="39" t="s">
        <v>245</v>
      </c>
      <c r="CH1021" s="39"/>
      <c r="CI1021" s="25">
        <v>1</v>
      </c>
    </row>
    <row r="1022" spans="1:87" ht="24.75" customHeight="1">
      <c r="A1022" s="36" t="s">
        <v>46</v>
      </c>
      <c r="B1022" s="30">
        <v>46881</v>
      </c>
      <c r="C1022" s="231"/>
      <c r="D1022" s="23"/>
      <c r="E1022" s="39">
        <v>200</v>
      </c>
      <c r="F1022" s="39" t="s">
        <v>58</v>
      </c>
      <c r="G1022" s="36" t="s">
        <v>125</v>
      </c>
      <c r="H1022" s="39" t="s">
        <v>381</v>
      </c>
      <c r="I1022" s="39">
        <f>1063+134</f>
        <v>1197</v>
      </c>
      <c r="J1022" s="39"/>
      <c r="K1022" s="39"/>
      <c r="L1022" s="39">
        <f t="shared" si="973"/>
        <v>1197</v>
      </c>
      <c r="M1022" s="117">
        <v>46144</v>
      </c>
      <c r="N1022" s="117">
        <v>46162</v>
      </c>
      <c r="O1022" s="39"/>
      <c r="P1022" s="39"/>
      <c r="Q1022" s="39"/>
      <c r="R1022" s="39">
        <f t="shared" si="982"/>
        <v>0</v>
      </c>
      <c r="S1022" s="39" t="s">
        <v>130</v>
      </c>
      <c r="T1022" s="39" t="s">
        <v>913</v>
      </c>
      <c r="U1022" s="117" t="s">
        <v>894</v>
      </c>
      <c r="V1022" s="39"/>
      <c r="W1022" s="39"/>
      <c r="X1022" s="39"/>
      <c r="Y1022" s="39">
        <f>500+225+602</f>
        <v>1327</v>
      </c>
      <c r="Z1022" s="39"/>
      <c r="AA1022" s="39"/>
      <c r="AB1022" s="119">
        <f t="shared" si="983"/>
        <v>1327</v>
      </c>
      <c r="AC1022" s="39"/>
      <c r="AD1022" s="39"/>
      <c r="AE1022" s="39"/>
      <c r="AF1022" s="39"/>
      <c r="AG1022" s="39"/>
      <c r="AH1022" s="39">
        <f t="shared" si="918"/>
        <v>0</v>
      </c>
      <c r="AI1022" s="39"/>
      <c r="AJ1022" s="39"/>
      <c r="AK1022" s="39"/>
      <c r="AL1022" s="39"/>
      <c r="AM1022" s="39"/>
      <c r="AN1022" s="39">
        <f t="shared" si="917"/>
        <v>0</v>
      </c>
      <c r="AO1022" s="39"/>
      <c r="AP1022" s="39"/>
      <c r="AQ1022" s="39"/>
      <c r="AR1022" s="39"/>
      <c r="AS1022" s="39"/>
      <c r="AT1022" s="39">
        <f t="shared" si="974"/>
        <v>0</v>
      </c>
      <c r="AU1022" s="39"/>
      <c r="AV1022" s="39"/>
      <c r="AW1022" s="39"/>
      <c r="AX1022" s="39"/>
      <c r="AY1022" s="39"/>
      <c r="AZ1022" s="39">
        <f t="shared" si="975"/>
        <v>0</v>
      </c>
      <c r="BA1022" s="39"/>
      <c r="BB1022" s="39"/>
      <c r="BC1022" s="39"/>
      <c r="BD1022" s="39"/>
      <c r="BE1022" s="39"/>
      <c r="BF1022" s="39">
        <f t="shared" si="976"/>
        <v>0</v>
      </c>
      <c r="BG1022" s="39"/>
      <c r="BH1022" s="39"/>
      <c r="BI1022" s="39"/>
      <c r="BJ1022" s="39"/>
      <c r="BK1022" s="39"/>
      <c r="BL1022" s="39">
        <f t="shared" si="919"/>
        <v>0</v>
      </c>
      <c r="BM1022" s="54" t="str">
        <f t="shared" si="977"/>
        <v/>
      </c>
      <c r="BN1022" s="58">
        <v>46178</v>
      </c>
      <c r="BO1022" s="57">
        <v>46193</v>
      </c>
      <c r="BP1022" s="36"/>
      <c r="BQ1022" s="36"/>
      <c r="BR1022" s="232"/>
      <c r="BS1022" s="232"/>
      <c r="BT1022" s="39" t="s">
        <v>925</v>
      </c>
      <c r="BU1022" s="39">
        <f>790+552-120</f>
        <v>1222</v>
      </c>
      <c r="BV1022" s="39"/>
      <c r="BW1022" s="39"/>
      <c r="BX1022" s="39"/>
      <c r="BY1022" s="39"/>
      <c r="BZ1022" s="39">
        <f t="shared" si="920"/>
        <v>1222</v>
      </c>
      <c r="CA1022" s="39">
        <f t="shared" si="978"/>
        <v>25</v>
      </c>
      <c r="CB1022" s="39">
        <f t="shared" si="979"/>
        <v>0</v>
      </c>
      <c r="CC1022" s="39">
        <f t="shared" si="980"/>
        <v>0</v>
      </c>
      <c r="CD1022" s="39">
        <f t="shared" si="921"/>
        <v>0</v>
      </c>
      <c r="CE1022" s="102">
        <f t="shared" si="981"/>
        <v>0</v>
      </c>
      <c r="CF1022" s="36"/>
      <c r="CG1022" s="39" t="s">
        <v>245</v>
      </c>
      <c r="CH1022" s="39"/>
      <c r="CI1022" s="25">
        <v>1</v>
      </c>
    </row>
    <row r="1023" spans="1:87" ht="24.75" customHeight="1">
      <c r="A1023" s="36" t="s">
        <v>46</v>
      </c>
      <c r="B1023" s="30">
        <v>46881</v>
      </c>
      <c r="C1023" s="228"/>
      <c r="D1023" s="23"/>
      <c r="E1023" s="39">
        <v>200</v>
      </c>
      <c r="F1023" s="39" t="s">
        <v>58</v>
      </c>
      <c r="G1023" s="36" t="s">
        <v>536</v>
      </c>
      <c r="H1023" s="39" t="s">
        <v>381</v>
      </c>
      <c r="I1023" s="39">
        <f>890+89</f>
        <v>979</v>
      </c>
      <c r="J1023" s="39"/>
      <c r="K1023" s="39"/>
      <c r="L1023" s="39">
        <f t="shared" si="973"/>
        <v>979</v>
      </c>
      <c r="M1023" s="117">
        <v>46144</v>
      </c>
      <c r="N1023" s="117">
        <v>46162</v>
      </c>
      <c r="O1023" s="39"/>
      <c r="P1023" s="39"/>
      <c r="Q1023" s="39"/>
      <c r="R1023" s="39">
        <f t="shared" si="982"/>
        <v>0</v>
      </c>
      <c r="S1023" s="39" t="s">
        <v>270</v>
      </c>
      <c r="T1023" s="39"/>
      <c r="U1023" s="39"/>
      <c r="V1023" s="117">
        <v>46162</v>
      </c>
      <c r="W1023" s="39">
        <v>1096</v>
      </c>
      <c r="X1023" s="117">
        <v>46194</v>
      </c>
      <c r="Y1023" s="39">
        <v>1008</v>
      </c>
      <c r="Z1023" s="39"/>
      <c r="AA1023" s="39"/>
      <c r="AB1023" s="119">
        <f t="shared" si="983"/>
        <v>1008</v>
      </c>
      <c r="AC1023" s="39"/>
      <c r="AD1023" s="39"/>
      <c r="AE1023" s="39"/>
      <c r="AF1023" s="39"/>
      <c r="AG1023" s="39"/>
      <c r="AH1023" s="39">
        <f t="shared" si="918"/>
        <v>0</v>
      </c>
      <c r="AI1023" s="39"/>
      <c r="AJ1023" s="39"/>
      <c r="AK1023" s="39"/>
      <c r="AL1023" s="39"/>
      <c r="AM1023" s="39"/>
      <c r="AN1023" s="39">
        <f t="shared" si="917"/>
        <v>0</v>
      </c>
      <c r="AO1023" s="39"/>
      <c r="AP1023" s="39"/>
      <c r="AQ1023" s="39"/>
      <c r="AR1023" s="39"/>
      <c r="AS1023" s="39"/>
      <c r="AT1023" s="39">
        <f t="shared" si="974"/>
        <v>0</v>
      </c>
      <c r="AU1023" s="39"/>
      <c r="AV1023" s="39"/>
      <c r="AW1023" s="39"/>
      <c r="AX1023" s="39"/>
      <c r="AY1023" s="39"/>
      <c r="AZ1023" s="39">
        <f t="shared" si="975"/>
        <v>0</v>
      </c>
      <c r="BA1023" s="39"/>
      <c r="BB1023" s="39"/>
      <c r="BC1023" s="39"/>
      <c r="BD1023" s="39"/>
      <c r="BE1023" s="39"/>
      <c r="BF1023" s="39">
        <f t="shared" si="976"/>
        <v>0</v>
      </c>
      <c r="BG1023" s="39"/>
      <c r="BH1023" s="39"/>
      <c r="BI1023" s="39"/>
      <c r="BJ1023" s="39"/>
      <c r="BK1023" s="39"/>
      <c r="BL1023" s="39">
        <f t="shared" si="919"/>
        <v>0</v>
      </c>
      <c r="BM1023" s="54" t="str">
        <f t="shared" si="977"/>
        <v/>
      </c>
      <c r="BN1023" s="58">
        <v>46178</v>
      </c>
      <c r="BO1023" s="57">
        <v>46193</v>
      </c>
      <c r="BP1023" s="36"/>
      <c r="BQ1023" s="36"/>
      <c r="BR1023" s="230"/>
      <c r="BS1023" s="230"/>
      <c r="BT1023" s="39" t="s">
        <v>1177</v>
      </c>
      <c r="BU1023" s="39">
        <f>983+25</f>
        <v>1008</v>
      </c>
      <c r="BV1023" s="39"/>
      <c r="BW1023" s="39"/>
      <c r="BX1023" s="39"/>
      <c r="BY1023" s="39"/>
      <c r="BZ1023" s="39">
        <f t="shared" si="920"/>
        <v>1008</v>
      </c>
      <c r="CA1023" s="39">
        <f t="shared" si="978"/>
        <v>29</v>
      </c>
      <c r="CB1023" s="39">
        <f t="shared" si="979"/>
        <v>0</v>
      </c>
      <c r="CC1023" s="39">
        <f t="shared" si="980"/>
        <v>0</v>
      </c>
      <c r="CD1023" s="39">
        <f t="shared" si="921"/>
        <v>0</v>
      </c>
      <c r="CE1023" s="102">
        <f t="shared" si="981"/>
        <v>0</v>
      </c>
      <c r="CF1023" s="36"/>
      <c r="CG1023" s="39" t="s">
        <v>245</v>
      </c>
      <c r="CH1023" s="39"/>
      <c r="CI1023" s="25">
        <v>1</v>
      </c>
    </row>
    <row r="1024" spans="1:87" ht="24.75" customHeight="1">
      <c r="A1024" s="36" t="s">
        <v>46</v>
      </c>
      <c r="B1024" s="106">
        <v>47468</v>
      </c>
      <c r="C1024" s="227" t="s">
        <v>970</v>
      </c>
      <c r="D1024" s="23" t="s">
        <v>49</v>
      </c>
      <c r="E1024" s="39">
        <v>180</v>
      </c>
      <c r="F1024" s="39" t="s">
        <v>55</v>
      </c>
      <c r="G1024" s="36" t="s">
        <v>389</v>
      </c>
      <c r="H1024" s="39" t="s">
        <v>22</v>
      </c>
      <c r="I1024" s="39">
        <f>1268-31</f>
        <v>1237</v>
      </c>
      <c r="J1024" s="39"/>
      <c r="K1024" s="39"/>
      <c r="L1024" s="39">
        <f t="shared" ref="L1024:L1027" si="984">SUM(I1024:K1024)</f>
        <v>1237</v>
      </c>
      <c r="M1024" s="117">
        <v>46137</v>
      </c>
      <c r="N1024" s="117">
        <v>46155</v>
      </c>
      <c r="O1024" s="39"/>
      <c r="P1024" s="39"/>
      <c r="Q1024" s="39"/>
      <c r="R1024" s="39">
        <f t="shared" ref="R1024:R1027" si="985">SUM(O1024:Q1024)</f>
        <v>0</v>
      </c>
      <c r="S1024" s="39" t="s">
        <v>130</v>
      </c>
      <c r="T1024" s="39" t="s">
        <v>1103</v>
      </c>
      <c r="U1024" s="117" t="s">
        <v>1104</v>
      </c>
      <c r="V1024" s="39"/>
      <c r="W1024" s="39"/>
      <c r="X1024" s="39"/>
      <c r="Y1024" s="39">
        <f>1150+314</f>
        <v>1464</v>
      </c>
      <c r="Z1024" s="39"/>
      <c r="AA1024" s="39"/>
      <c r="AB1024" s="119">
        <f t="shared" ref="AB1024:AB1027" si="986">SUM(Y1024:AA1024)</f>
        <v>1464</v>
      </c>
      <c r="AC1024" s="39"/>
      <c r="AD1024" s="39"/>
      <c r="AE1024" s="39"/>
      <c r="AF1024" s="39"/>
      <c r="AG1024" s="39"/>
      <c r="AH1024" s="39">
        <f t="shared" si="918"/>
        <v>0</v>
      </c>
      <c r="AI1024" s="39" t="s">
        <v>257</v>
      </c>
      <c r="AJ1024" s="117" t="s">
        <v>1112</v>
      </c>
      <c r="AK1024" s="39">
        <f>1077+295</f>
        <v>1372</v>
      </c>
      <c r="AL1024" s="117" t="s">
        <v>1227</v>
      </c>
      <c r="AM1024" s="39">
        <f>29+1028+291</f>
        <v>1348</v>
      </c>
      <c r="AN1024" s="39">
        <f t="shared" si="917"/>
        <v>-24</v>
      </c>
      <c r="AO1024" s="39"/>
      <c r="AP1024" s="39"/>
      <c r="AQ1024" s="39"/>
      <c r="AR1024" s="39"/>
      <c r="AS1024" s="39"/>
      <c r="AT1024" s="39">
        <f t="shared" si="974"/>
        <v>0</v>
      </c>
      <c r="AU1024" s="39"/>
      <c r="AV1024" s="39"/>
      <c r="AW1024" s="39"/>
      <c r="AX1024" s="39"/>
      <c r="AY1024" s="39"/>
      <c r="AZ1024" s="39">
        <f t="shared" si="975"/>
        <v>0</v>
      </c>
      <c r="BA1024" s="39"/>
      <c r="BB1024" s="39"/>
      <c r="BC1024" s="39"/>
      <c r="BD1024" s="39"/>
      <c r="BE1024" s="39"/>
      <c r="BF1024" s="39">
        <f t="shared" si="976"/>
        <v>0</v>
      </c>
      <c r="BG1024" s="39" t="s">
        <v>450</v>
      </c>
      <c r="BH1024" s="117">
        <v>46162</v>
      </c>
      <c r="BI1024" s="39">
        <f>1027</f>
        <v>1027</v>
      </c>
      <c r="BJ1024" s="117">
        <v>46166</v>
      </c>
      <c r="BK1024" s="39">
        <f>1000</f>
        <v>1000</v>
      </c>
      <c r="BL1024" s="39">
        <f t="shared" si="919"/>
        <v>-27</v>
      </c>
      <c r="BM1024" s="54" t="str">
        <f t="shared" si="977"/>
        <v/>
      </c>
      <c r="BN1024" s="58">
        <v>46151</v>
      </c>
      <c r="BO1024" s="57">
        <v>46179</v>
      </c>
      <c r="BP1024" s="57"/>
      <c r="BQ1024" s="57"/>
      <c r="BR1024" s="229">
        <v>46167</v>
      </c>
      <c r="BS1024" s="229">
        <v>46209</v>
      </c>
      <c r="BT1024" s="39" t="s">
        <v>1297</v>
      </c>
      <c r="BU1024" s="39">
        <f>975+25+289</f>
        <v>1289</v>
      </c>
      <c r="BV1024" s="39"/>
      <c r="BW1024" s="39"/>
      <c r="BX1024" s="39"/>
      <c r="BY1024" s="39"/>
      <c r="BZ1024" s="39">
        <f t="shared" si="920"/>
        <v>1289</v>
      </c>
      <c r="CA1024" s="39">
        <f t="shared" si="978"/>
        <v>52</v>
      </c>
      <c r="CB1024" s="39">
        <f t="shared" si="979"/>
        <v>0</v>
      </c>
      <c r="CC1024" s="39">
        <f t="shared" si="980"/>
        <v>0</v>
      </c>
      <c r="CD1024" s="39">
        <f t="shared" si="921"/>
        <v>0</v>
      </c>
      <c r="CE1024" s="47">
        <f t="shared" si="981"/>
        <v>0</v>
      </c>
      <c r="CF1024" s="36"/>
      <c r="CG1024" s="39" t="s">
        <v>245</v>
      </c>
      <c r="CH1024" s="39"/>
      <c r="CI1024" s="25">
        <v>1</v>
      </c>
    </row>
    <row r="1025" spans="1:87" ht="24.75" customHeight="1">
      <c r="A1025" s="36" t="s">
        <v>46</v>
      </c>
      <c r="B1025" s="106">
        <v>47468</v>
      </c>
      <c r="C1025" s="231"/>
      <c r="D1025" s="23" t="s">
        <v>110</v>
      </c>
      <c r="E1025" s="39">
        <v>180</v>
      </c>
      <c r="F1025" s="39" t="s">
        <v>53</v>
      </c>
      <c r="G1025" s="36" t="s">
        <v>489</v>
      </c>
      <c r="H1025" s="39" t="s">
        <v>22</v>
      </c>
      <c r="I1025" s="39">
        <v>14</v>
      </c>
      <c r="J1025" s="39"/>
      <c r="K1025" s="39"/>
      <c r="L1025" s="39">
        <f t="shared" si="984"/>
        <v>14</v>
      </c>
      <c r="M1025" s="117">
        <v>46137</v>
      </c>
      <c r="N1025" s="117">
        <v>46155</v>
      </c>
      <c r="O1025" s="39"/>
      <c r="P1025" s="39"/>
      <c r="Q1025" s="39"/>
      <c r="R1025" s="39">
        <f t="shared" si="985"/>
        <v>0</v>
      </c>
      <c r="S1025" s="39" t="s">
        <v>130</v>
      </c>
      <c r="T1025" s="39">
        <v>106910</v>
      </c>
      <c r="U1025" s="117">
        <v>46187</v>
      </c>
      <c r="V1025" s="39"/>
      <c r="W1025" s="39"/>
      <c r="X1025" s="39"/>
      <c r="Y1025" s="39">
        <v>20</v>
      </c>
      <c r="Z1025" s="39"/>
      <c r="AA1025" s="39"/>
      <c r="AB1025" s="119">
        <f t="shared" si="986"/>
        <v>20</v>
      </c>
      <c r="AC1025" s="39" t="s">
        <v>139</v>
      </c>
      <c r="AD1025" s="117">
        <v>46193</v>
      </c>
      <c r="AE1025" s="39">
        <v>21</v>
      </c>
      <c r="AF1025" s="117">
        <v>46208</v>
      </c>
      <c r="AG1025" s="39">
        <v>15</v>
      </c>
      <c r="AH1025" s="39">
        <f t="shared" si="918"/>
        <v>-6</v>
      </c>
      <c r="AI1025" s="39"/>
      <c r="AJ1025" s="117"/>
      <c r="AK1025" s="39"/>
      <c r="AL1025" s="39"/>
      <c r="AM1025" s="39"/>
      <c r="AN1025" s="39">
        <f t="shared" si="917"/>
        <v>0</v>
      </c>
      <c r="AO1025" s="39"/>
      <c r="AP1025" s="39"/>
      <c r="AQ1025" s="39"/>
      <c r="AR1025" s="39"/>
      <c r="AS1025" s="39"/>
      <c r="AT1025" s="39">
        <f t="shared" si="974"/>
        <v>0</v>
      </c>
      <c r="AU1025" s="39"/>
      <c r="AV1025" s="39"/>
      <c r="AW1025" s="39"/>
      <c r="AX1025" s="39"/>
      <c r="AY1025" s="39"/>
      <c r="AZ1025" s="39">
        <f t="shared" si="975"/>
        <v>0</v>
      </c>
      <c r="BA1025" s="39"/>
      <c r="BB1025" s="39"/>
      <c r="BC1025" s="39"/>
      <c r="BD1025" s="39"/>
      <c r="BE1025" s="39"/>
      <c r="BF1025" s="39">
        <f t="shared" si="976"/>
        <v>0</v>
      </c>
      <c r="BG1025" s="39"/>
      <c r="BH1025" s="39"/>
      <c r="BI1025" s="39"/>
      <c r="BJ1025" s="39"/>
      <c r="BK1025" s="39"/>
      <c r="BL1025" s="39">
        <f t="shared" si="919"/>
        <v>0</v>
      </c>
      <c r="BM1025" s="54" t="str">
        <f t="shared" si="977"/>
        <v/>
      </c>
      <c r="BN1025" s="58">
        <v>46151</v>
      </c>
      <c r="BO1025" s="57">
        <v>46179</v>
      </c>
      <c r="BP1025" s="57">
        <v>46179</v>
      </c>
      <c r="BQ1025" s="57">
        <v>46193</v>
      </c>
      <c r="BR1025" s="251"/>
      <c r="BS1025" s="232"/>
      <c r="BT1025" s="39">
        <v>2220</v>
      </c>
      <c r="BU1025" s="39">
        <v>21</v>
      </c>
      <c r="BV1025" s="39"/>
      <c r="BW1025" s="39"/>
      <c r="BX1025" s="39"/>
      <c r="BY1025" s="39"/>
      <c r="BZ1025" s="39">
        <f t="shared" si="920"/>
        <v>21</v>
      </c>
      <c r="CA1025" s="39">
        <f t="shared" si="978"/>
        <v>7</v>
      </c>
      <c r="CB1025" s="39">
        <f t="shared" si="979"/>
        <v>0</v>
      </c>
      <c r="CC1025" s="39">
        <f t="shared" si="980"/>
        <v>0</v>
      </c>
      <c r="CD1025" s="39">
        <f t="shared" si="921"/>
        <v>0</v>
      </c>
      <c r="CE1025" s="47">
        <f t="shared" si="981"/>
        <v>0</v>
      </c>
      <c r="CF1025" s="36"/>
      <c r="CG1025" s="39" t="s">
        <v>245</v>
      </c>
      <c r="CH1025" s="39"/>
      <c r="CI1025" s="25">
        <v>1</v>
      </c>
    </row>
    <row r="1026" spans="1:87" ht="24.75" customHeight="1">
      <c r="A1026" s="36" t="s">
        <v>46</v>
      </c>
      <c r="B1026" s="106">
        <v>47468</v>
      </c>
      <c r="C1026" s="231"/>
      <c r="D1026" s="23" t="s">
        <v>110</v>
      </c>
      <c r="E1026" s="39">
        <v>180</v>
      </c>
      <c r="F1026" s="39" t="s">
        <v>53</v>
      </c>
      <c r="G1026" s="36" t="s">
        <v>489</v>
      </c>
      <c r="H1026" s="39" t="s">
        <v>22</v>
      </c>
      <c r="I1026" s="39">
        <v>1617</v>
      </c>
      <c r="J1026" s="39"/>
      <c r="K1026" s="39"/>
      <c r="L1026" s="39">
        <f t="shared" si="984"/>
        <v>1617</v>
      </c>
      <c r="M1026" s="117">
        <v>46137</v>
      </c>
      <c r="N1026" s="117">
        <v>46155</v>
      </c>
      <c r="O1026" s="39"/>
      <c r="P1026" s="39"/>
      <c r="Q1026" s="39"/>
      <c r="R1026" s="39">
        <f t="shared" si="985"/>
        <v>0</v>
      </c>
      <c r="S1026" s="39" t="s">
        <v>130</v>
      </c>
      <c r="T1026" s="39" t="s">
        <v>1024</v>
      </c>
      <c r="U1026" s="117" t="s">
        <v>1025</v>
      </c>
      <c r="V1026" s="39"/>
      <c r="W1026" s="39"/>
      <c r="X1026" s="39"/>
      <c r="Y1026" s="39">
        <f>854+845+147-20</f>
        <v>1826</v>
      </c>
      <c r="Z1026" s="39"/>
      <c r="AA1026" s="39"/>
      <c r="AB1026" s="119">
        <f t="shared" si="986"/>
        <v>1826</v>
      </c>
      <c r="AC1026" s="39" t="s">
        <v>139</v>
      </c>
      <c r="AD1026" s="117" t="s">
        <v>1101</v>
      </c>
      <c r="AE1026" s="39">
        <f>760+755+131-21</f>
        <v>1625</v>
      </c>
      <c r="AF1026" s="117" t="s">
        <v>1864</v>
      </c>
      <c r="AG1026" s="39">
        <f>41+665+727+65+130-15</f>
        <v>1613</v>
      </c>
      <c r="AH1026" s="39">
        <f t="shared" si="918"/>
        <v>-12</v>
      </c>
      <c r="AI1026" s="39" t="s">
        <v>163</v>
      </c>
      <c r="AJ1026" s="117" t="s">
        <v>1022</v>
      </c>
      <c r="AK1026" s="39">
        <f>777+769+132</f>
        <v>1678</v>
      </c>
      <c r="AL1026" s="117">
        <v>46179</v>
      </c>
      <c r="AM1026" s="39">
        <f>764+756</f>
        <v>1520</v>
      </c>
      <c r="AN1026" s="39">
        <f t="shared" si="917"/>
        <v>-158</v>
      </c>
      <c r="AO1026" s="39"/>
      <c r="AP1026" s="39"/>
      <c r="AQ1026" s="39"/>
      <c r="AR1026" s="39"/>
      <c r="AS1026" s="39"/>
      <c r="AT1026" s="39">
        <f t="shared" si="974"/>
        <v>0</v>
      </c>
      <c r="AU1026" s="39"/>
      <c r="AV1026" s="39"/>
      <c r="AW1026" s="39"/>
      <c r="AX1026" s="39"/>
      <c r="AY1026" s="39"/>
      <c r="AZ1026" s="39">
        <f t="shared" si="975"/>
        <v>0</v>
      </c>
      <c r="BA1026" s="39"/>
      <c r="BB1026" s="39"/>
      <c r="BC1026" s="39"/>
      <c r="BD1026" s="39"/>
      <c r="BE1026" s="39"/>
      <c r="BF1026" s="39">
        <f t="shared" si="976"/>
        <v>0</v>
      </c>
      <c r="BG1026" s="39"/>
      <c r="BH1026" s="39"/>
      <c r="BI1026" s="39"/>
      <c r="BJ1026" s="39"/>
      <c r="BK1026" s="39"/>
      <c r="BL1026" s="39">
        <f t="shared" si="919"/>
        <v>0</v>
      </c>
      <c r="BM1026" s="54" t="str">
        <f t="shared" si="977"/>
        <v/>
      </c>
      <c r="BN1026" s="58">
        <v>46151</v>
      </c>
      <c r="BO1026" s="57">
        <v>46179</v>
      </c>
      <c r="BP1026" s="57">
        <v>46179</v>
      </c>
      <c r="BQ1026" s="57">
        <v>46193</v>
      </c>
      <c r="BR1026" s="251"/>
      <c r="BS1026" s="232"/>
      <c r="BT1026" s="39" t="s">
        <v>1407</v>
      </c>
      <c r="BU1026" s="39">
        <f>70+657+582+57+24+41+65+108</f>
        <v>1604</v>
      </c>
      <c r="BV1026" s="39"/>
      <c r="BW1026" s="39"/>
      <c r="BX1026" s="39"/>
      <c r="BY1026" s="39"/>
      <c r="BZ1026" s="39">
        <f t="shared" si="920"/>
        <v>1604</v>
      </c>
      <c r="CA1026" s="39">
        <f t="shared" si="978"/>
        <v>-13</v>
      </c>
      <c r="CB1026" s="39">
        <f t="shared" si="979"/>
        <v>0</v>
      </c>
      <c r="CC1026" s="39">
        <f t="shared" si="980"/>
        <v>0</v>
      </c>
      <c r="CD1026" s="39">
        <v>0</v>
      </c>
      <c r="CE1026" s="47">
        <f t="shared" si="981"/>
        <v>0</v>
      </c>
      <c r="CF1026" s="36"/>
      <c r="CG1026" s="39" t="s">
        <v>245</v>
      </c>
      <c r="CH1026" s="39"/>
      <c r="CI1026" s="25">
        <v>1</v>
      </c>
    </row>
    <row r="1027" spans="1:87" ht="24.75" customHeight="1">
      <c r="A1027" s="36" t="s">
        <v>46</v>
      </c>
      <c r="B1027" s="106">
        <v>47468</v>
      </c>
      <c r="C1027" s="228"/>
      <c r="D1027" s="23" t="s">
        <v>49</v>
      </c>
      <c r="E1027" s="39">
        <v>140</v>
      </c>
      <c r="F1027" s="39" t="s">
        <v>55</v>
      </c>
      <c r="G1027" s="36" t="s">
        <v>389</v>
      </c>
      <c r="H1027" s="39" t="s">
        <v>22</v>
      </c>
      <c r="I1027" s="39">
        <v>63</v>
      </c>
      <c r="J1027" s="39"/>
      <c r="K1027" s="39"/>
      <c r="L1027" s="39">
        <f t="shared" si="984"/>
        <v>63</v>
      </c>
      <c r="M1027" s="117">
        <v>46137</v>
      </c>
      <c r="N1027" s="117">
        <v>46155</v>
      </c>
      <c r="O1027" s="39"/>
      <c r="P1027" s="39"/>
      <c r="Q1027" s="39"/>
      <c r="R1027" s="39">
        <f t="shared" si="985"/>
        <v>0</v>
      </c>
      <c r="S1027" s="39" t="s">
        <v>130</v>
      </c>
      <c r="T1027" s="39">
        <v>107095</v>
      </c>
      <c r="U1027" s="117">
        <v>46192</v>
      </c>
      <c r="V1027" s="39"/>
      <c r="W1027" s="39"/>
      <c r="X1027" s="39"/>
      <c r="Y1027" s="39">
        <v>81</v>
      </c>
      <c r="Z1027" s="39"/>
      <c r="AA1027" s="39"/>
      <c r="AB1027" s="119">
        <f t="shared" si="986"/>
        <v>81</v>
      </c>
      <c r="AC1027" s="39"/>
      <c r="AD1027" s="39"/>
      <c r="AE1027" s="39"/>
      <c r="AF1027" s="39"/>
      <c r="AG1027" s="39"/>
      <c r="AH1027" s="39">
        <f t="shared" si="918"/>
        <v>0</v>
      </c>
      <c r="AI1027" s="39" t="s">
        <v>257</v>
      </c>
      <c r="AJ1027" s="117">
        <v>46193</v>
      </c>
      <c r="AK1027" s="39">
        <v>75</v>
      </c>
      <c r="AL1027" s="117">
        <v>46201</v>
      </c>
      <c r="AM1027" s="39">
        <v>74</v>
      </c>
      <c r="AN1027" s="39">
        <f t="shared" si="917"/>
        <v>-1</v>
      </c>
      <c r="AO1027" s="39"/>
      <c r="AP1027" s="39"/>
      <c r="AQ1027" s="39"/>
      <c r="AR1027" s="39"/>
      <c r="AS1027" s="39"/>
      <c r="AT1027" s="39">
        <f t="shared" si="974"/>
        <v>0</v>
      </c>
      <c r="AU1027" s="39"/>
      <c r="AV1027" s="39"/>
      <c r="AW1027" s="39"/>
      <c r="AX1027" s="39"/>
      <c r="AY1027" s="39"/>
      <c r="AZ1027" s="39">
        <f t="shared" si="975"/>
        <v>0</v>
      </c>
      <c r="BA1027" s="39"/>
      <c r="BB1027" s="39"/>
      <c r="BC1027" s="39"/>
      <c r="BD1027" s="39"/>
      <c r="BE1027" s="39"/>
      <c r="BF1027" s="39">
        <f t="shared" si="976"/>
        <v>0</v>
      </c>
      <c r="BG1027" s="39"/>
      <c r="BH1027" s="39"/>
      <c r="BI1027" s="39"/>
      <c r="BJ1027" s="39"/>
      <c r="BK1027" s="39"/>
      <c r="BL1027" s="39">
        <f t="shared" si="919"/>
        <v>0</v>
      </c>
      <c r="BM1027" s="54" t="str">
        <f t="shared" si="977"/>
        <v/>
      </c>
      <c r="BN1027" s="58">
        <v>46151</v>
      </c>
      <c r="BO1027" s="57">
        <v>46179</v>
      </c>
      <c r="BP1027" s="57"/>
      <c r="BQ1027" s="57"/>
      <c r="BR1027" s="252"/>
      <c r="BS1027" s="230"/>
      <c r="BT1027" s="39">
        <v>2146</v>
      </c>
      <c r="BU1027" s="39">
        <v>73</v>
      </c>
      <c r="BV1027" s="39"/>
      <c r="BW1027" s="39"/>
      <c r="BX1027" s="39"/>
      <c r="BY1027" s="39"/>
      <c r="BZ1027" s="39">
        <f t="shared" si="920"/>
        <v>73</v>
      </c>
      <c r="CA1027" s="39">
        <f t="shared" si="978"/>
        <v>10</v>
      </c>
      <c r="CB1027" s="39">
        <f t="shared" si="979"/>
        <v>0</v>
      </c>
      <c r="CC1027" s="39">
        <f t="shared" si="980"/>
        <v>0</v>
      </c>
      <c r="CD1027" s="39">
        <f t="shared" si="921"/>
        <v>0</v>
      </c>
      <c r="CE1027" s="47">
        <f t="shared" si="981"/>
        <v>0</v>
      </c>
      <c r="CF1027" s="36"/>
      <c r="CG1027" s="39" t="s">
        <v>245</v>
      </c>
      <c r="CH1027" s="39"/>
      <c r="CI1027" s="25">
        <v>1</v>
      </c>
    </row>
    <row r="1028" spans="1:87" ht="24.75" customHeight="1">
      <c r="A1028" s="36" t="s">
        <v>46</v>
      </c>
      <c r="B1028" s="30">
        <v>47441</v>
      </c>
      <c r="C1028" s="227" t="s">
        <v>969</v>
      </c>
      <c r="D1028" s="23" t="s">
        <v>49</v>
      </c>
      <c r="E1028" s="39">
        <v>180</v>
      </c>
      <c r="F1028" s="39" t="s">
        <v>55</v>
      </c>
      <c r="G1028" s="36" t="s">
        <v>465</v>
      </c>
      <c r="H1028" s="39" t="s">
        <v>22</v>
      </c>
      <c r="I1028" s="39">
        <f>1061+10</f>
        <v>1071</v>
      </c>
      <c r="J1028" s="39"/>
      <c r="K1028" s="39">
        <v>63</v>
      </c>
      <c r="L1028" s="39">
        <f t="shared" ref="L1028:L1042" si="987">SUM(I1028:K1028)</f>
        <v>1134</v>
      </c>
      <c r="M1028" s="117">
        <v>46144</v>
      </c>
      <c r="N1028" s="117">
        <v>46158</v>
      </c>
      <c r="O1028" s="39"/>
      <c r="P1028" s="39"/>
      <c r="Q1028" s="39"/>
      <c r="R1028" s="39">
        <f t="shared" ref="R1028:R1040" si="988">SUM(O1028:Q1028)</f>
        <v>0</v>
      </c>
      <c r="S1028" s="39" t="s">
        <v>270</v>
      </c>
      <c r="T1028" s="39"/>
      <c r="U1028" s="39"/>
      <c r="V1028" s="117">
        <v>46151</v>
      </c>
      <c r="W1028" s="39">
        <f>1227+81</f>
        <v>1308</v>
      </c>
      <c r="X1028" s="117" t="s">
        <v>1233</v>
      </c>
      <c r="Y1028" s="39">
        <f>954+192</f>
        <v>1146</v>
      </c>
      <c r="Z1028" s="39"/>
      <c r="AA1028" s="39">
        <v>65</v>
      </c>
      <c r="AB1028" s="119">
        <f t="shared" ref="AB1028:AB1040" si="989">SUM(Y1028:AA1028)</f>
        <v>1211</v>
      </c>
      <c r="AC1028" s="39"/>
      <c r="AD1028" s="39"/>
      <c r="AE1028" s="39"/>
      <c r="AF1028" s="39"/>
      <c r="AG1028" s="39"/>
      <c r="AH1028" s="39">
        <f t="shared" si="918"/>
        <v>0</v>
      </c>
      <c r="AI1028" s="39" t="s">
        <v>163</v>
      </c>
      <c r="AJ1028" s="117" t="s">
        <v>1240</v>
      </c>
      <c r="AK1028" s="39">
        <f>955+67+192</f>
        <v>1214</v>
      </c>
      <c r="AL1028" s="117" t="s">
        <v>1253</v>
      </c>
      <c r="AM1028" s="39">
        <f>28+190+917+64</f>
        <v>1199</v>
      </c>
      <c r="AN1028" s="39">
        <f t="shared" si="917"/>
        <v>-15</v>
      </c>
      <c r="AO1028" s="39"/>
      <c r="AP1028" s="39"/>
      <c r="AQ1028" s="39"/>
      <c r="AR1028" s="39"/>
      <c r="AS1028" s="39"/>
      <c r="AT1028" s="39">
        <f t="shared" si="974"/>
        <v>0</v>
      </c>
      <c r="AU1028" s="39"/>
      <c r="AV1028" s="39"/>
      <c r="AW1028" s="39"/>
      <c r="AX1028" s="39"/>
      <c r="AY1028" s="39"/>
      <c r="AZ1028" s="39">
        <f t="shared" si="975"/>
        <v>0</v>
      </c>
      <c r="BA1028" s="39"/>
      <c r="BB1028" s="39"/>
      <c r="BC1028" s="39"/>
      <c r="BD1028" s="39"/>
      <c r="BE1028" s="39"/>
      <c r="BF1028" s="39">
        <f t="shared" si="976"/>
        <v>0</v>
      </c>
      <c r="BG1028" s="39"/>
      <c r="BH1028" s="39"/>
      <c r="BI1028" s="39"/>
      <c r="BJ1028" s="39"/>
      <c r="BK1028" s="39"/>
      <c r="BL1028" s="39">
        <f t="shared" si="919"/>
        <v>0</v>
      </c>
      <c r="BM1028" s="54" t="str">
        <f t="shared" si="977"/>
        <v/>
      </c>
      <c r="BN1028" s="58">
        <v>46156</v>
      </c>
      <c r="BO1028" s="57">
        <v>46184</v>
      </c>
      <c r="BP1028" s="57"/>
      <c r="BQ1028" s="57"/>
      <c r="BR1028" s="229">
        <v>46202</v>
      </c>
      <c r="BS1028" s="229">
        <v>46206</v>
      </c>
      <c r="BT1028" s="39" t="s">
        <v>1451</v>
      </c>
      <c r="BU1028" s="39">
        <f>890+100+147-40</f>
        <v>1097</v>
      </c>
      <c r="BV1028" s="39"/>
      <c r="BW1028" s="39"/>
      <c r="BX1028" s="39">
        <v>2143</v>
      </c>
      <c r="BY1028" s="39">
        <f>27+40</f>
        <v>67</v>
      </c>
      <c r="BZ1028" s="39">
        <f t="shared" si="920"/>
        <v>1164</v>
      </c>
      <c r="CA1028" s="39">
        <f t="shared" si="978"/>
        <v>26</v>
      </c>
      <c r="CB1028" s="39">
        <f t="shared" si="979"/>
        <v>0</v>
      </c>
      <c r="CC1028" s="39">
        <f t="shared" si="980"/>
        <v>4</v>
      </c>
      <c r="CD1028" s="39">
        <f t="shared" si="921"/>
        <v>0</v>
      </c>
      <c r="CE1028" s="47">
        <f t="shared" si="981"/>
        <v>0</v>
      </c>
      <c r="CF1028" s="36"/>
      <c r="CG1028" s="39" t="s">
        <v>245</v>
      </c>
      <c r="CH1028" s="39"/>
      <c r="CI1028" s="25">
        <v>1</v>
      </c>
    </row>
    <row r="1029" spans="1:87" ht="24.75" customHeight="1">
      <c r="A1029" s="36" t="s">
        <v>46</v>
      </c>
      <c r="B1029" s="30">
        <v>47441</v>
      </c>
      <c r="C1029" s="228"/>
      <c r="D1029" s="23" t="s">
        <v>110</v>
      </c>
      <c r="E1029" s="39">
        <v>180</v>
      </c>
      <c r="F1029" s="39" t="s">
        <v>55</v>
      </c>
      <c r="G1029" s="36" t="s">
        <v>489</v>
      </c>
      <c r="H1029" s="39" t="s">
        <v>22</v>
      </c>
      <c r="I1029" s="39">
        <f>1196+27</f>
        <v>1223</v>
      </c>
      <c r="J1029" s="39"/>
      <c r="K1029" s="39"/>
      <c r="L1029" s="39">
        <f t="shared" si="987"/>
        <v>1223</v>
      </c>
      <c r="M1029" s="117">
        <v>46144</v>
      </c>
      <c r="N1029" s="117">
        <v>46158</v>
      </c>
      <c r="O1029" s="39"/>
      <c r="P1029" s="39"/>
      <c r="Q1029" s="39"/>
      <c r="R1029" s="39">
        <f t="shared" si="988"/>
        <v>0</v>
      </c>
      <c r="S1029" s="39" t="s">
        <v>130</v>
      </c>
      <c r="T1029" s="39" t="s">
        <v>1014</v>
      </c>
      <c r="U1029" s="117" t="s">
        <v>1013</v>
      </c>
      <c r="V1029" s="39"/>
      <c r="W1029" s="39"/>
      <c r="X1029" s="39"/>
      <c r="Y1029" s="39">
        <f>649+720</f>
        <v>1369</v>
      </c>
      <c r="Z1029" s="39"/>
      <c r="AA1029" s="39"/>
      <c r="AB1029" s="119">
        <f t="shared" si="989"/>
        <v>1369</v>
      </c>
      <c r="AC1029" s="39" t="s">
        <v>139</v>
      </c>
      <c r="AD1029" s="117" t="s">
        <v>1056</v>
      </c>
      <c r="AE1029" s="39">
        <f>583+646</f>
        <v>1229</v>
      </c>
      <c r="AF1029" s="117">
        <v>46203</v>
      </c>
      <c r="AG1029" s="39">
        <f>556+626</f>
        <v>1182</v>
      </c>
      <c r="AH1029" s="39">
        <f t="shared" si="918"/>
        <v>-47</v>
      </c>
      <c r="AI1029" s="39" t="s">
        <v>163</v>
      </c>
      <c r="AJ1029" s="117" t="s">
        <v>1021</v>
      </c>
      <c r="AK1029" s="39">
        <f>593+659</f>
        <v>1252</v>
      </c>
      <c r="AL1029" s="117" t="s">
        <v>1035</v>
      </c>
      <c r="AM1029" s="39">
        <f>584+646</f>
        <v>1230</v>
      </c>
      <c r="AN1029" s="39">
        <f t="shared" si="917"/>
        <v>-22</v>
      </c>
      <c r="AO1029" s="39"/>
      <c r="AP1029" s="39"/>
      <c r="AQ1029" s="39"/>
      <c r="AR1029" s="39"/>
      <c r="AS1029" s="39"/>
      <c r="AT1029" s="39">
        <f t="shared" si="974"/>
        <v>0</v>
      </c>
      <c r="AU1029" s="39"/>
      <c r="AV1029" s="39"/>
      <c r="AW1029" s="39"/>
      <c r="AX1029" s="39"/>
      <c r="AY1029" s="39"/>
      <c r="AZ1029" s="39">
        <f t="shared" si="975"/>
        <v>0</v>
      </c>
      <c r="BA1029" s="39"/>
      <c r="BB1029" s="39"/>
      <c r="BC1029" s="39"/>
      <c r="BD1029" s="39"/>
      <c r="BE1029" s="39"/>
      <c r="BF1029" s="39">
        <f t="shared" si="976"/>
        <v>0</v>
      </c>
      <c r="BG1029" s="39"/>
      <c r="BH1029" s="39"/>
      <c r="BI1029" s="39"/>
      <c r="BJ1029" s="39"/>
      <c r="BK1029" s="39"/>
      <c r="BL1029" s="39">
        <f t="shared" si="919"/>
        <v>0</v>
      </c>
      <c r="BM1029" s="54" t="str">
        <f t="shared" si="977"/>
        <v/>
      </c>
      <c r="BN1029" s="58">
        <v>46156</v>
      </c>
      <c r="BO1029" s="57">
        <v>46184</v>
      </c>
      <c r="BP1029" s="57">
        <v>46182</v>
      </c>
      <c r="BQ1029" s="57">
        <v>46195</v>
      </c>
      <c r="BR1029" s="230"/>
      <c r="BS1029" s="230"/>
      <c r="BT1029" s="39">
        <v>2214</v>
      </c>
      <c r="BU1029" s="39">
        <f>625+555</f>
        <v>1180</v>
      </c>
      <c r="BV1029" s="39"/>
      <c r="BW1029" s="39"/>
      <c r="BX1029" s="39"/>
      <c r="BY1029" s="39"/>
      <c r="BZ1029" s="39">
        <f t="shared" si="920"/>
        <v>1180</v>
      </c>
      <c r="CA1029" s="39">
        <f t="shared" si="978"/>
        <v>-43</v>
      </c>
      <c r="CB1029" s="39">
        <f t="shared" si="979"/>
        <v>0</v>
      </c>
      <c r="CC1029" s="39">
        <f t="shared" si="980"/>
        <v>0</v>
      </c>
      <c r="CD1029" s="39">
        <v>0</v>
      </c>
      <c r="CE1029" s="47">
        <f t="shared" si="981"/>
        <v>0</v>
      </c>
      <c r="CF1029" s="36"/>
      <c r="CG1029" s="39" t="s">
        <v>245</v>
      </c>
      <c r="CH1029" s="39"/>
      <c r="CI1029" s="25">
        <v>1</v>
      </c>
    </row>
    <row r="1030" spans="1:87" ht="24.75" customHeight="1">
      <c r="A1030" s="36" t="s">
        <v>46</v>
      </c>
      <c r="B1030" s="106">
        <v>47442</v>
      </c>
      <c r="C1030" s="227" t="s">
        <v>548</v>
      </c>
      <c r="D1030" s="23" t="s">
        <v>49</v>
      </c>
      <c r="E1030" s="39">
        <v>180</v>
      </c>
      <c r="F1030" s="39" t="s">
        <v>55</v>
      </c>
      <c r="G1030" s="36" t="s">
        <v>413</v>
      </c>
      <c r="H1030" s="39" t="s">
        <v>22</v>
      </c>
      <c r="I1030" s="39">
        <v>2090</v>
      </c>
      <c r="J1030" s="39"/>
      <c r="K1030" s="39"/>
      <c r="L1030" s="39">
        <f t="shared" si="987"/>
        <v>2090</v>
      </c>
      <c r="M1030" s="117">
        <v>46144</v>
      </c>
      <c r="N1030" s="117">
        <v>46156</v>
      </c>
      <c r="O1030" s="39"/>
      <c r="P1030" s="39"/>
      <c r="Q1030" s="39"/>
      <c r="R1030" s="39">
        <f t="shared" si="988"/>
        <v>0</v>
      </c>
      <c r="S1030" s="39" t="s">
        <v>130</v>
      </c>
      <c r="T1030" s="39" t="s">
        <v>1070</v>
      </c>
      <c r="U1030" s="117" t="s">
        <v>1064</v>
      </c>
      <c r="V1030" s="39"/>
      <c r="W1030" s="39"/>
      <c r="X1030" s="39"/>
      <c r="Y1030" s="39">
        <f>850+795+740</f>
        <v>2385</v>
      </c>
      <c r="Z1030" s="39"/>
      <c r="AA1030" s="39"/>
      <c r="AB1030" s="119">
        <f t="shared" si="989"/>
        <v>2385</v>
      </c>
      <c r="AC1030" s="39"/>
      <c r="AD1030" s="39"/>
      <c r="AE1030" s="39"/>
      <c r="AF1030" s="39"/>
      <c r="AG1030" s="39"/>
      <c r="AH1030" s="39">
        <f t="shared" si="918"/>
        <v>0</v>
      </c>
      <c r="AI1030" s="39" t="s">
        <v>163</v>
      </c>
      <c r="AJ1030" s="117" t="s">
        <v>1094</v>
      </c>
      <c r="AK1030" s="39">
        <f>796+719+674</f>
        <v>2189</v>
      </c>
      <c r="AL1030" s="117" t="s">
        <v>1114</v>
      </c>
      <c r="AM1030" s="39">
        <f>786+711+666</f>
        <v>2163</v>
      </c>
      <c r="AN1030" s="39">
        <f t="shared" si="917"/>
        <v>-26</v>
      </c>
      <c r="AO1030" s="39"/>
      <c r="AP1030" s="39"/>
      <c r="AQ1030" s="39"/>
      <c r="AR1030" s="39"/>
      <c r="AS1030" s="39"/>
      <c r="AT1030" s="39">
        <f t="shared" si="974"/>
        <v>0</v>
      </c>
      <c r="AU1030" s="39"/>
      <c r="AV1030" s="39"/>
      <c r="AW1030" s="39"/>
      <c r="AX1030" s="39"/>
      <c r="AY1030" s="39"/>
      <c r="AZ1030" s="39">
        <f t="shared" si="975"/>
        <v>0</v>
      </c>
      <c r="BA1030" s="39"/>
      <c r="BB1030" s="39"/>
      <c r="BC1030" s="39"/>
      <c r="BD1030" s="39"/>
      <c r="BE1030" s="39"/>
      <c r="BF1030" s="39">
        <f t="shared" si="976"/>
        <v>0</v>
      </c>
      <c r="BG1030" s="39" t="s">
        <v>28</v>
      </c>
      <c r="BH1030" s="117" t="s">
        <v>1211</v>
      </c>
      <c r="BI1030" s="39">
        <f>787+708+667</f>
        <v>2162</v>
      </c>
      <c r="BJ1030" s="117" t="s">
        <v>1290</v>
      </c>
      <c r="BK1030" s="39">
        <f>778+702+643</f>
        <v>2123</v>
      </c>
      <c r="BL1030" s="39">
        <f t="shared" si="919"/>
        <v>-39</v>
      </c>
      <c r="BM1030" s="54" t="str">
        <f t="shared" si="977"/>
        <v/>
      </c>
      <c r="BN1030" s="58">
        <v>46156</v>
      </c>
      <c r="BO1030" s="57">
        <v>46181</v>
      </c>
      <c r="BP1030" s="57"/>
      <c r="BQ1030" s="57"/>
      <c r="BR1030" s="229">
        <v>46196</v>
      </c>
      <c r="BS1030" s="229">
        <v>46221</v>
      </c>
      <c r="BT1030" s="39" t="s">
        <v>1329</v>
      </c>
      <c r="BU1030" s="39">
        <f>753+702+25+643</f>
        <v>2123</v>
      </c>
      <c r="BV1030" s="39"/>
      <c r="BW1030" s="39"/>
      <c r="BX1030" s="39"/>
      <c r="BY1030" s="39"/>
      <c r="BZ1030" s="39">
        <f t="shared" si="920"/>
        <v>2123</v>
      </c>
      <c r="CA1030" s="39">
        <f t="shared" si="978"/>
        <v>33</v>
      </c>
      <c r="CB1030" s="39">
        <f t="shared" si="979"/>
        <v>0</v>
      </c>
      <c r="CC1030" s="39">
        <f t="shared" si="980"/>
        <v>0</v>
      </c>
      <c r="CD1030" s="39">
        <f t="shared" si="921"/>
        <v>0</v>
      </c>
      <c r="CE1030" s="47">
        <f t="shared" si="981"/>
        <v>0</v>
      </c>
      <c r="CF1030" s="36"/>
      <c r="CG1030" s="39" t="s">
        <v>245</v>
      </c>
      <c r="CH1030" s="39"/>
      <c r="CI1030" s="25">
        <v>1</v>
      </c>
    </row>
    <row r="1031" spans="1:87" ht="24.75" customHeight="1">
      <c r="A1031" s="36" t="s">
        <v>46</v>
      </c>
      <c r="B1031" s="106">
        <v>47442</v>
      </c>
      <c r="C1031" s="231"/>
      <c r="D1031" s="23" t="s">
        <v>49</v>
      </c>
      <c r="E1031" s="39">
        <v>140</v>
      </c>
      <c r="F1031" s="39" t="s">
        <v>57</v>
      </c>
      <c r="G1031" s="36" t="s">
        <v>549</v>
      </c>
      <c r="H1031" s="39" t="s">
        <v>22</v>
      </c>
      <c r="I1031" s="39">
        <v>124</v>
      </c>
      <c r="J1031" s="39"/>
      <c r="K1031" s="39"/>
      <c r="L1031" s="39">
        <f t="shared" si="987"/>
        <v>124</v>
      </c>
      <c r="M1031" s="117">
        <v>46144</v>
      </c>
      <c r="N1031" s="117">
        <v>46156</v>
      </c>
      <c r="O1031" s="39"/>
      <c r="P1031" s="39"/>
      <c r="Q1031" s="39"/>
      <c r="R1031" s="39">
        <f t="shared" si="988"/>
        <v>0</v>
      </c>
      <c r="S1031" s="39" t="s">
        <v>590</v>
      </c>
      <c r="T1031" s="39"/>
      <c r="U1031" s="39"/>
      <c r="V1031" s="117">
        <v>46157</v>
      </c>
      <c r="W1031" s="39">
        <v>152</v>
      </c>
      <c r="X1031" s="117">
        <v>46219</v>
      </c>
      <c r="Y1031" s="39">
        <v>136</v>
      </c>
      <c r="Z1031" s="39"/>
      <c r="AA1031" s="39"/>
      <c r="AB1031" s="119">
        <f t="shared" si="989"/>
        <v>136</v>
      </c>
      <c r="AC1031" s="39"/>
      <c r="AD1031" s="39"/>
      <c r="AE1031" s="39"/>
      <c r="AF1031" s="39"/>
      <c r="AG1031" s="39"/>
      <c r="AH1031" s="39">
        <f t="shared" si="918"/>
        <v>0</v>
      </c>
      <c r="AI1031" s="39" t="s">
        <v>163</v>
      </c>
      <c r="AJ1031" s="117">
        <v>46219</v>
      </c>
      <c r="AK1031" s="39">
        <v>136</v>
      </c>
      <c r="AL1031" s="117">
        <v>46220</v>
      </c>
      <c r="AM1031" s="39">
        <v>134</v>
      </c>
      <c r="AN1031" s="39">
        <f t="shared" si="917"/>
        <v>-2</v>
      </c>
      <c r="AO1031" s="39"/>
      <c r="AP1031" s="39"/>
      <c r="AQ1031" s="39"/>
      <c r="AR1031" s="39"/>
      <c r="AS1031" s="39"/>
      <c r="AT1031" s="39">
        <f t="shared" si="974"/>
        <v>0</v>
      </c>
      <c r="AU1031" s="39"/>
      <c r="AV1031" s="39"/>
      <c r="AW1031" s="39"/>
      <c r="AX1031" s="39"/>
      <c r="AY1031" s="39"/>
      <c r="AZ1031" s="39">
        <f t="shared" si="975"/>
        <v>0</v>
      </c>
      <c r="BA1031" s="39"/>
      <c r="BB1031" s="39"/>
      <c r="BC1031" s="39"/>
      <c r="BD1031" s="39"/>
      <c r="BE1031" s="39"/>
      <c r="BF1031" s="39">
        <f t="shared" si="976"/>
        <v>0</v>
      </c>
      <c r="BG1031" s="39"/>
      <c r="BH1031" s="39"/>
      <c r="BI1031" s="39"/>
      <c r="BJ1031" s="39"/>
      <c r="BK1031" s="39"/>
      <c r="BL1031" s="39">
        <f t="shared" si="919"/>
        <v>0</v>
      </c>
      <c r="BM1031" s="54" t="str">
        <f t="shared" si="977"/>
        <v/>
      </c>
      <c r="BN1031" s="58">
        <v>46156</v>
      </c>
      <c r="BO1031" s="57">
        <v>46181</v>
      </c>
      <c r="BP1031" s="57"/>
      <c r="BQ1031" s="57"/>
      <c r="BR1031" s="232"/>
      <c r="BS1031" s="232"/>
      <c r="BT1031" s="39">
        <v>2029</v>
      </c>
      <c r="BU1031" s="39">
        <v>129</v>
      </c>
      <c r="BV1031" s="39"/>
      <c r="BW1031" s="39"/>
      <c r="BX1031" s="39"/>
      <c r="BY1031" s="39"/>
      <c r="BZ1031" s="39">
        <f t="shared" si="920"/>
        <v>129</v>
      </c>
      <c r="CA1031" s="39">
        <f t="shared" si="978"/>
        <v>5</v>
      </c>
      <c r="CB1031" s="39">
        <f t="shared" si="979"/>
        <v>0</v>
      </c>
      <c r="CC1031" s="39">
        <f t="shared" si="980"/>
        <v>0</v>
      </c>
      <c r="CD1031" s="39">
        <f t="shared" si="921"/>
        <v>0</v>
      </c>
      <c r="CE1031" s="47">
        <f t="shared" si="981"/>
        <v>0</v>
      </c>
      <c r="CF1031" s="36"/>
      <c r="CG1031" s="39" t="s">
        <v>245</v>
      </c>
      <c r="CH1031" s="39"/>
      <c r="CI1031" s="25">
        <v>1</v>
      </c>
    </row>
    <row r="1032" spans="1:87" ht="24.75" customHeight="1">
      <c r="A1032" s="36" t="s">
        <v>46</v>
      </c>
      <c r="B1032" s="106">
        <v>47442</v>
      </c>
      <c r="C1032" s="228"/>
      <c r="D1032" s="23" t="s">
        <v>110</v>
      </c>
      <c r="E1032" s="39">
        <v>180</v>
      </c>
      <c r="F1032" s="39" t="s">
        <v>57</v>
      </c>
      <c r="G1032" s="36" t="s">
        <v>550</v>
      </c>
      <c r="H1032" s="39" t="s">
        <v>22</v>
      </c>
      <c r="I1032" s="39">
        <v>2821</v>
      </c>
      <c r="J1032" s="39"/>
      <c r="K1032" s="39"/>
      <c r="L1032" s="39">
        <f t="shared" si="987"/>
        <v>2821</v>
      </c>
      <c r="M1032" s="117">
        <v>46144</v>
      </c>
      <c r="N1032" s="117">
        <v>46156</v>
      </c>
      <c r="O1032" s="39"/>
      <c r="P1032" s="39"/>
      <c r="Q1032" s="39"/>
      <c r="R1032" s="39">
        <f t="shared" si="988"/>
        <v>0</v>
      </c>
      <c r="S1032" s="39" t="s">
        <v>590</v>
      </c>
      <c r="T1032" s="39"/>
      <c r="U1032" s="39"/>
      <c r="V1032" s="117" t="s">
        <v>899</v>
      </c>
      <c r="W1032" s="39">
        <f>1971+1250</f>
        <v>3221</v>
      </c>
      <c r="X1032" s="117" t="s">
        <v>1482</v>
      </c>
      <c r="Y1032" s="39">
        <f>5+447+1222+1205</f>
        <v>2879</v>
      </c>
      <c r="Z1032" s="39"/>
      <c r="AA1032" s="39"/>
      <c r="AB1032" s="119">
        <f t="shared" si="989"/>
        <v>2879</v>
      </c>
      <c r="AC1032" s="39" t="s">
        <v>139</v>
      </c>
      <c r="AD1032" s="117" t="s">
        <v>1551</v>
      </c>
      <c r="AE1032" s="39">
        <f>5+459+419-434+1163+1164</f>
        <v>2776</v>
      </c>
      <c r="AF1032" s="117" t="s">
        <v>1588</v>
      </c>
      <c r="AG1032" s="39">
        <f>4+27+1160+419+1175</f>
        <v>2785</v>
      </c>
      <c r="AH1032" s="39">
        <f t="shared" si="918"/>
        <v>9</v>
      </c>
      <c r="AI1032" s="39" t="s">
        <v>163</v>
      </c>
      <c r="AJ1032" s="117" t="s">
        <v>1505</v>
      </c>
      <c r="AK1032" s="39">
        <f>438+1222+1217</f>
        <v>2877</v>
      </c>
      <c r="AL1032" s="117" t="s">
        <v>1533</v>
      </c>
      <c r="AM1032" s="39">
        <f>434+10+1198+1205</f>
        <v>2847</v>
      </c>
      <c r="AN1032" s="39">
        <f t="shared" si="917"/>
        <v>-30</v>
      </c>
      <c r="AO1032" s="39"/>
      <c r="AP1032" s="39"/>
      <c r="AQ1032" s="39"/>
      <c r="AR1032" s="39"/>
      <c r="AS1032" s="39"/>
      <c r="AT1032" s="39">
        <f t="shared" si="974"/>
        <v>0</v>
      </c>
      <c r="AU1032" s="39"/>
      <c r="AV1032" s="39"/>
      <c r="AW1032" s="39"/>
      <c r="AX1032" s="39"/>
      <c r="AY1032" s="39"/>
      <c r="AZ1032" s="39">
        <f t="shared" si="975"/>
        <v>0</v>
      </c>
      <c r="BA1032" s="39"/>
      <c r="BB1032" s="39"/>
      <c r="BC1032" s="39"/>
      <c r="BD1032" s="39"/>
      <c r="BE1032" s="39"/>
      <c r="BF1032" s="39">
        <f t="shared" si="976"/>
        <v>0</v>
      </c>
      <c r="BG1032" s="39"/>
      <c r="BH1032" s="39"/>
      <c r="BI1032" s="39"/>
      <c r="BJ1032" s="39"/>
      <c r="BK1032" s="39"/>
      <c r="BL1032" s="39">
        <f t="shared" si="919"/>
        <v>0</v>
      </c>
      <c r="BM1032" s="54" t="str">
        <f t="shared" si="977"/>
        <v/>
      </c>
      <c r="BN1032" s="58">
        <v>46156</v>
      </c>
      <c r="BO1032" s="57">
        <v>46181</v>
      </c>
      <c r="BP1032" s="57">
        <v>46182</v>
      </c>
      <c r="BQ1032" s="57">
        <v>46193</v>
      </c>
      <c r="BR1032" s="230"/>
      <c r="BS1032" s="230"/>
      <c r="BT1032" s="39" t="s">
        <v>1612</v>
      </c>
      <c r="BU1032" s="39">
        <f>21+90+1070+91+1084+368+51</f>
        <v>2775</v>
      </c>
      <c r="BV1032" s="39"/>
      <c r="BW1032" s="39"/>
      <c r="BX1032" s="39"/>
      <c r="BY1032" s="39"/>
      <c r="BZ1032" s="39">
        <f t="shared" si="920"/>
        <v>2775</v>
      </c>
      <c r="CA1032" s="39">
        <f t="shared" si="978"/>
        <v>-46</v>
      </c>
      <c r="CB1032" s="39">
        <f t="shared" si="979"/>
        <v>0</v>
      </c>
      <c r="CC1032" s="39">
        <f t="shared" si="980"/>
        <v>0</v>
      </c>
      <c r="CD1032" s="39">
        <v>0</v>
      </c>
      <c r="CE1032" s="47">
        <f t="shared" si="981"/>
        <v>0</v>
      </c>
      <c r="CF1032" s="36"/>
      <c r="CG1032" s="39" t="s">
        <v>245</v>
      </c>
      <c r="CH1032" s="39"/>
      <c r="CI1032" s="25">
        <v>1</v>
      </c>
    </row>
    <row r="1033" spans="1:87" ht="24.75" customHeight="1">
      <c r="A1033" s="36" t="s">
        <v>46</v>
      </c>
      <c r="B1033" s="106">
        <v>47443</v>
      </c>
      <c r="C1033" s="227" t="s">
        <v>971</v>
      </c>
      <c r="D1033" s="23" t="s">
        <v>49</v>
      </c>
      <c r="E1033" s="39">
        <v>180</v>
      </c>
      <c r="F1033" s="39" t="s">
        <v>57</v>
      </c>
      <c r="G1033" s="36" t="s">
        <v>372</v>
      </c>
      <c r="H1033" s="36" t="s">
        <v>467</v>
      </c>
      <c r="I1033" s="39">
        <f>2044+59</f>
        <v>2103</v>
      </c>
      <c r="J1033" s="39"/>
      <c r="K1033" s="39"/>
      <c r="L1033" s="39">
        <f t="shared" si="987"/>
        <v>2103</v>
      </c>
      <c r="M1033" s="117">
        <v>46144</v>
      </c>
      <c r="N1033" s="117">
        <v>46186</v>
      </c>
      <c r="O1033" s="39"/>
      <c r="P1033" s="39"/>
      <c r="Q1033" s="39"/>
      <c r="R1033" s="39">
        <f t="shared" si="988"/>
        <v>0</v>
      </c>
      <c r="S1033" s="39" t="s">
        <v>130</v>
      </c>
      <c r="T1033" s="39" t="s">
        <v>1194</v>
      </c>
      <c r="U1033" s="117" t="s">
        <v>1193</v>
      </c>
      <c r="V1033" s="39"/>
      <c r="W1033" s="39"/>
      <c r="X1033" s="39"/>
      <c r="Y1033" s="39">
        <f>1042+178+1062+74</f>
        <v>2356</v>
      </c>
      <c r="Z1033" s="39"/>
      <c r="AA1033" s="39"/>
      <c r="AB1033" s="119">
        <f t="shared" si="989"/>
        <v>2356</v>
      </c>
      <c r="AC1033" s="39"/>
      <c r="AD1033" s="39"/>
      <c r="AE1033" s="39"/>
      <c r="AF1033" s="39"/>
      <c r="AG1033" s="39"/>
      <c r="AH1033" s="39">
        <f t="shared" si="918"/>
        <v>0</v>
      </c>
      <c r="AI1033" s="39" t="s">
        <v>163</v>
      </c>
      <c r="AJ1033" s="117" t="s">
        <v>1192</v>
      </c>
      <c r="AK1033" s="39">
        <f>973+997+166+68</f>
        <v>2204</v>
      </c>
      <c r="AL1033" s="117" t="s">
        <v>1208</v>
      </c>
      <c r="AM1033" s="39">
        <f>960+164+977+67</f>
        <v>2168</v>
      </c>
      <c r="AN1033" s="39">
        <f t="shared" si="917"/>
        <v>-36</v>
      </c>
      <c r="AO1033" s="39"/>
      <c r="AP1033" s="39"/>
      <c r="AQ1033" s="39"/>
      <c r="AR1033" s="39"/>
      <c r="AS1033" s="39"/>
      <c r="AT1033" s="39">
        <f t="shared" si="974"/>
        <v>0</v>
      </c>
      <c r="AU1033" s="39"/>
      <c r="AV1033" s="39"/>
      <c r="AW1033" s="39"/>
      <c r="AX1033" s="39"/>
      <c r="AY1033" s="39"/>
      <c r="AZ1033" s="39">
        <f t="shared" si="975"/>
        <v>0</v>
      </c>
      <c r="BA1033" s="39"/>
      <c r="BB1033" s="39"/>
      <c r="BC1033" s="39"/>
      <c r="BD1033" s="39"/>
      <c r="BE1033" s="39"/>
      <c r="BF1033" s="39">
        <f t="shared" si="976"/>
        <v>0</v>
      </c>
      <c r="BG1033" s="39"/>
      <c r="BH1033" s="39"/>
      <c r="BI1033" s="39"/>
      <c r="BJ1033" s="39"/>
      <c r="BK1033" s="39"/>
      <c r="BL1033" s="39">
        <f t="shared" si="919"/>
        <v>0</v>
      </c>
      <c r="BM1033" s="54" t="str">
        <f t="shared" si="977"/>
        <v/>
      </c>
      <c r="BN1033" s="58">
        <v>46156</v>
      </c>
      <c r="BO1033" s="57">
        <v>46190</v>
      </c>
      <c r="BP1033" s="57"/>
      <c r="BQ1033" s="57"/>
      <c r="BR1033" s="229">
        <v>46185</v>
      </c>
      <c r="BS1033" s="229">
        <v>46210</v>
      </c>
      <c r="BT1033" s="39" t="s">
        <v>1247</v>
      </c>
      <c r="BU1033" s="39">
        <f>20+885+955+66+164</f>
        <v>2090</v>
      </c>
      <c r="BV1033" s="39"/>
      <c r="BW1033" s="39"/>
      <c r="BX1033" s="39"/>
      <c r="BY1033" s="39"/>
      <c r="BZ1033" s="39">
        <f t="shared" si="920"/>
        <v>2090</v>
      </c>
      <c r="CA1033" s="39">
        <f t="shared" si="978"/>
        <v>-13</v>
      </c>
      <c r="CB1033" s="39">
        <f t="shared" si="979"/>
        <v>0</v>
      </c>
      <c r="CC1033" s="39">
        <f t="shared" si="980"/>
        <v>0</v>
      </c>
      <c r="CD1033" s="39">
        <v>0</v>
      </c>
      <c r="CE1033" s="47">
        <f t="shared" si="981"/>
        <v>0</v>
      </c>
      <c r="CF1033" s="36"/>
      <c r="CG1033" s="39" t="s">
        <v>245</v>
      </c>
      <c r="CH1033" s="39"/>
      <c r="CI1033" s="25">
        <v>1</v>
      </c>
    </row>
    <row r="1034" spans="1:87" ht="24.75" customHeight="1">
      <c r="A1034" s="36" t="s">
        <v>46</v>
      </c>
      <c r="B1034" s="106">
        <v>47443</v>
      </c>
      <c r="C1034" s="231"/>
      <c r="D1034" s="23"/>
      <c r="E1034" s="39"/>
      <c r="F1034" s="39"/>
      <c r="G1034" s="36" t="s">
        <v>48</v>
      </c>
      <c r="H1034" s="39">
        <v>2500</v>
      </c>
      <c r="I1034" s="39" t="s">
        <v>90</v>
      </c>
      <c r="J1034" s="39"/>
      <c r="K1034" s="39"/>
      <c r="L1034" s="39">
        <f t="shared" si="987"/>
        <v>0</v>
      </c>
      <c r="M1034" s="117">
        <v>46144</v>
      </c>
      <c r="N1034" s="117">
        <v>46186</v>
      </c>
      <c r="O1034" s="39"/>
      <c r="P1034" s="39"/>
      <c r="Q1034" s="39"/>
      <c r="R1034" s="39">
        <f t="shared" ref="R1034" si="990">SUM(O1034:Q1034)</f>
        <v>0</v>
      </c>
      <c r="S1034" s="39" t="s">
        <v>130</v>
      </c>
      <c r="T1034" s="39"/>
      <c r="U1034" s="39"/>
      <c r="V1034" s="39"/>
      <c r="W1034" s="39"/>
      <c r="X1034" s="39"/>
      <c r="Y1034" s="39"/>
      <c r="Z1034" s="39"/>
      <c r="AA1034" s="39"/>
      <c r="AB1034" s="39">
        <f t="shared" si="989"/>
        <v>0</v>
      </c>
      <c r="AC1034" s="39"/>
      <c r="AD1034" s="39"/>
      <c r="AE1034" s="39"/>
      <c r="AF1034" s="39"/>
      <c r="AG1034" s="39"/>
      <c r="AH1034" s="39">
        <f t="shared" si="918"/>
        <v>0</v>
      </c>
      <c r="AI1034" s="39"/>
      <c r="AJ1034" s="39"/>
      <c r="AK1034" s="39"/>
      <c r="AL1034" s="39"/>
      <c r="AM1034" s="39"/>
      <c r="AN1034" s="39">
        <f t="shared" si="917"/>
        <v>0</v>
      </c>
      <c r="AO1034" s="39"/>
      <c r="AP1034" s="39"/>
      <c r="AQ1034" s="39"/>
      <c r="AR1034" s="39"/>
      <c r="AS1034" s="39"/>
      <c r="AT1034" s="39">
        <f t="shared" si="974"/>
        <v>0</v>
      </c>
      <c r="AU1034" s="39"/>
      <c r="AV1034" s="39"/>
      <c r="AW1034" s="39"/>
      <c r="AX1034" s="39"/>
      <c r="AY1034" s="39"/>
      <c r="AZ1034" s="39">
        <f t="shared" si="975"/>
        <v>0</v>
      </c>
      <c r="BA1034" s="39"/>
      <c r="BB1034" s="39"/>
      <c r="BC1034" s="39"/>
      <c r="BD1034" s="39"/>
      <c r="BE1034" s="39"/>
      <c r="BF1034" s="39">
        <f t="shared" si="976"/>
        <v>0</v>
      </c>
      <c r="BG1034" s="39"/>
      <c r="BH1034" s="39"/>
      <c r="BI1034" s="39"/>
      <c r="BJ1034" s="39"/>
      <c r="BK1034" s="39"/>
      <c r="BL1034" s="39">
        <f t="shared" si="919"/>
        <v>0</v>
      </c>
      <c r="BM1034" s="54" t="e">
        <f t="shared" si="977"/>
        <v>#DIV/0!</v>
      </c>
      <c r="BN1034" s="58">
        <v>46156</v>
      </c>
      <c r="BO1034" s="57">
        <v>46190</v>
      </c>
      <c r="BP1034" s="57"/>
      <c r="BQ1034" s="57"/>
      <c r="BR1034" s="232"/>
      <c r="BS1034" s="232"/>
      <c r="BT1034" s="39"/>
      <c r="BU1034" s="39"/>
      <c r="BV1034" s="39"/>
      <c r="BW1034" s="39"/>
      <c r="BX1034" s="39"/>
      <c r="BY1034" s="39"/>
      <c r="BZ1034" s="39">
        <f t="shared" si="920"/>
        <v>0</v>
      </c>
      <c r="CA1034" s="39" t="e">
        <f t="shared" si="978"/>
        <v>#VALUE!</v>
      </c>
      <c r="CB1034" s="39">
        <f t="shared" si="979"/>
        <v>0</v>
      </c>
      <c r="CC1034" s="39">
        <f t="shared" si="980"/>
        <v>0</v>
      </c>
      <c r="CD1034" s="39">
        <f t="shared" si="921"/>
        <v>0</v>
      </c>
      <c r="CE1034" s="47" t="e">
        <f t="shared" si="981"/>
        <v>#DIV/0!</v>
      </c>
      <c r="CF1034" s="36"/>
      <c r="CG1034" s="39" t="s">
        <v>245</v>
      </c>
      <c r="CH1034" s="39"/>
      <c r="CI1034" s="25">
        <v>1</v>
      </c>
    </row>
    <row r="1035" spans="1:87" ht="24.75" customHeight="1">
      <c r="A1035" s="36" t="s">
        <v>46</v>
      </c>
      <c r="B1035" s="106">
        <v>47443</v>
      </c>
      <c r="C1035" s="228"/>
      <c r="D1035" s="23" t="s">
        <v>110</v>
      </c>
      <c r="E1035" s="39">
        <v>180</v>
      </c>
      <c r="F1035" s="39" t="s">
        <v>55</v>
      </c>
      <c r="G1035" s="36" t="s">
        <v>444</v>
      </c>
      <c r="H1035" s="39" t="s">
        <v>22</v>
      </c>
      <c r="I1035" s="39">
        <f>2351+78</f>
        <v>2429</v>
      </c>
      <c r="J1035" s="39"/>
      <c r="K1035" s="39">
        <v>124</v>
      </c>
      <c r="L1035" s="39">
        <f t="shared" si="987"/>
        <v>2553</v>
      </c>
      <c r="M1035" s="117">
        <v>46144</v>
      </c>
      <c r="N1035" s="117">
        <v>46186</v>
      </c>
      <c r="O1035" s="39"/>
      <c r="P1035" s="39"/>
      <c r="Q1035" s="39"/>
      <c r="R1035" s="39">
        <f t="shared" si="988"/>
        <v>0</v>
      </c>
      <c r="S1035" s="39" t="s">
        <v>28</v>
      </c>
      <c r="T1035" s="39">
        <v>106997</v>
      </c>
      <c r="U1035" s="117">
        <v>46190</v>
      </c>
      <c r="V1035" s="117" t="s">
        <v>910</v>
      </c>
      <c r="W1035" s="39">
        <f>526+155+1202+953</f>
        <v>2836</v>
      </c>
      <c r="X1035" s="117" t="s">
        <v>975</v>
      </c>
      <c r="Y1035" s="39">
        <f>692+707+513+503+99</f>
        <v>2514</v>
      </c>
      <c r="Z1035" s="39"/>
      <c r="AA1035" s="39">
        <f>40+39+33+31</f>
        <v>143</v>
      </c>
      <c r="AB1035" s="119">
        <f t="shared" si="989"/>
        <v>2657</v>
      </c>
      <c r="AC1035" s="39" t="s">
        <v>139</v>
      </c>
      <c r="AD1035" s="117" t="s">
        <v>1174</v>
      </c>
      <c r="AE1035" s="39">
        <f>703+682+503+506+84</f>
        <v>2478</v>
      </c>
      <c r="AF1035" s="117" t="s">
        <v>1615</v>
      </c>
      <c r="AG1035" s="39">
        <f>5+657+428+499+52+390+275+83</f>
        <v>2389</v>
      </c>
      <c r="AH1035" s="39">
        <f t="shared" si="918"/>
        <v>-89</v>
      </c>
      <c r="AI1035" s="39" t="s">
        <v>163</v>
      </c>
      <c r="AJ1035" s="117" t="s">
        <v>1093</v>
      </c>
      <c r="AK1035" s="39">
        <f>690+40+707+42+518+33+506+31+91</f>
        <v>2658</v>
      </c>
      <c r="AL1035" s="117" t="s">
        <v>1113</v>
      </c>
      <c r="AM1035" s="39">
        <f>682+40+695+40+496+31+506+33+89</f>
        <v>2612</v>
      </c>
      <c r="AN1035" s="39">
        <f t="shared" si="917"/>
        <v>-46</v>
      </c>
      <c r="AO1035" s="39"/>
      <c r="AP1035" s="39"/>
      <c r="AQ1035" s="39"/>
      <c r="AR1035" s="39"/>
      <c r="AS1035" s="39"/>
      <c r="AT1035" s="39">
        <f t="shared" si="974"/>
        <v>0</v>
      </c>
      <c r="AU1035" s="39"/>
      <c r="AV1035" s="39"/>
      <c r="AW1035" s="39"/>
      <c r="AX1035" s="39"/>
      <c r="AY1035" s="39"/>
      <c r="AZ1035" s="39">
        <f t="shared" si="975"/>
        <v>0</v>
      </c>
      <c r="BA1035" s="39"/>
      <c r="BB1035" s="39"/>
      <c r="BC1035" s="39"/>
      <c r="BD1035" s="39"/>
      <c r="BE1035" s="39"/>
      <c r="BF1035" s="39">
        <f t="shared" si="976"/>
        <v>0</v>
      </c>
      <c r="BG1035" s="39"/>
      <c r="BH1035" s="39"/>
      <c r="BI1035" s="39"/>
      <c r="BJ1035" s="39"/>
      <c r="BK1035" s="39"/>
      <c r="BL1035" s="39">
        <f t="shared" si="919"/>
        <v>0</v>
      </c>
      <c r="BM1035" s="54" t="str">
        <f t="shared" si="977"/>
        <v/>
      </c>
      <c r="BN1035" s="58">
        <v>46156</v>
      </c>
      <c r="BO1035" s="57">
        <v>46190</v>
      </c>
      <c r="BP1035" s="57">
        <v>46182</v>
      </c>
      <c r="BQ1035" s="57">
        <v>46195</v>
      </c>
      <c r="BR1035" s="230"/>
      <c r="BS1035" s="230"/>
      <c r="BT1035" s="39" t="s">
        <v>1673</v>
      </c>
      <c r="BU1035" s="39">
        <f>84+569+75+423+95+332+63+662+82</f>
        <v>2385</v>
      </c>
      <c r="BV1035" s="39"/>
      <c r="BW1035" s="39"/>
      <c r="BX1035" s="39">
        <v>2138</v>
      </c>
      <c r="BY1035" s="39">
        <f>37+37+32+30</f>
        <v>136</v>
      </c>
      <c r="BZ1035" s="39">
        <f t="shared" si="920"/>
        <v>2521</v>
      </c>
      <c r="CA1035" s="39">
        <f t="shared" si="978"/>
        <v>-44</v>
      </c>
      <c r="CB1035" s="39">
        <f t="shared" si="979"/>
        <v>0</v>
      </c>
      <c r="CC1035" s="39">
        <f t="shared" si="980"/>
        <v>12</v>
      </c>
      <c r="CD1035" s="39">
        <v>0</v>
      </c>
      <c r="CE1035" s="47">
        <f t="shared" si="981"/>
        <v>0</v>
      </c>
      <c r="CF1035" s="36"/>
      <c r="CG1035" s="39" t="s">
        <v>245</v>
      </c>
      <c r="CH1035" s="39"/>
      <c r="CI1035" s="25">
        <v>1</v>
      </c>
    </row>
    <row r="1036" spans="1:87" ht="24.75" customHeight="1">
      <c r="A1036" s="36" t="s">
        <v>46</v>
      </c>
      <c r="B1036" s="106">
        <v>47470</v>
      </c>
      <c r="C1036" s="227" t="s">
        <v>551</v>
      </c>
      <c r="D1036" s="23" t="s">
        <v>98</v>
      </c>
      <c r="E1036" s="39">
        <v>280</v>
      </c>
      <c r="F1036" s="39" t="s">
        <v>58</v>
      </c>
      <c r="G1036" s="36" t="s">
        <v>34</v>
      </c>
      <c r="H1036" s="39" t="s">
        <v>94</v>
      </c>
      <c r="I1036" s="39">
        <v>293</v>
      </c>
      <c r="J1036" s="39">
        <v>66</v>
      </c>
      <c r="K1036" s="39">
        <v>8</v>
      </c>
      <c r="L1036" s="39">
        <f t="shared" si="987"/>
        <v>367</v>
      </c>
      <c r="M1036" s="117">
        <v>46144</v>
      </c>
      <c r="N1036" s="117">
        <v>46155</v>
      </c>
      <c r="O1036" s="39"/>
      <c r="P1036" s="39"/>
      <c r="Q1036" s="39"/>
      <c r="R1036" s="39">
        <f t="shared" si="988"/>
        <v>0</v>
      </c>
      <c r="S1036" s="39" t="s">
        <v>130</v>
      </c>
      <c r="T1036" s="39">
        <v>107408</v>
      </c>
      <c r="U1036" s="117">
        <v>46205</v>
      </c>
      <c r="V1036" s="39"/>
      <c r="W1036" s="39"/>
      <c r="X1036" s="39"/>
      <c r="Y1036" s="39">
        <v>355</v>
      </c>
      <c r="Z1036" s="39">
        <v>80</v>
      </c>
      <c r="AA1036" s="39">
        <v>16</v>
      </c>
      <c r="AB1036" s="119">
        <f t="shared" si="989"/>
        <v>451</v>
      </c>
      <c r="AC1036" s="39"/>
      <c r="AD1036" s="39"/>
      <c r="AE1036" s="39"/>
      <c r="AF1036" s="39"/>
      <c r="AG1036" s="39"/>
      <c r="AH1036" s="39">
        <f t="shared" si="918"/>
        <v>0</v>
      </c>
      <c r="AI1036" s="39" t="s">
        <v>257</v>
      </c>
      <c r="AJ1036" s="117">
        <v>46207</v>
      </c>
      <c r="AK1036" s="39">
        <f>323+71+14</f>
        <v>408</v>
      </c>
      <c r="AL1036" s="117" t="s">
        <v>1467</v>
      </c>
      <c r="AM1036" s="39">
        <f>17+300+71+14</f>
        <v>402</v>
      </c>
      <c r="AN1036" s="39">
        <f t="shared" si="917"/>
        <v>-6</v>
      </c>
      <c r="AO1036" s="39" t="s">
        <v>257</v>
      </c>
      <c r="AP1036" s="117">
        <v>46207</v>
      </c>
      <c r="AQ1036" s="39">
        <v>323</v>
      </c>
      <c r="AR1036" s="117" t="s">
        <v>1467</v>
      </c>
      <c r="AS1036" s="39">
        <f>17+300</f>
        <v>317</v>
      </c>
      <c r="AT1036" s="39">
        <f t="shared" si="974"/>
        <v>-6</v>
      </c>
      <c r="AU1036" s="39"/>
      <c r="AV1036" s="39"/>
      <c r="AW1036" s="39"/>
      <c r="AX1036" s="39"/>
      <c r="AY1036" s="39"/>
      <c r="AZ1036" s="39">
        <f t="shared" si="975"/>
        <v>0</v>
      </c>
      <c r="BA1036" s="39"/>
      <c r="BB1036" s="39"/>
      <c r="BC1036" s="39"/>
      <c r="BD1036" s="39"/>
      <c r="BE1036" s="39"/>
      <c r="BF1036" s="39">
        <f t="shared" si="976"/>
        <v>0</v>
      </c>
      <c r="BG1036" s="39"/>
      <c r="BH1036" s="39"/>
      <c r="BI1036" s="39"/>
      <c r="BJ1036" s="39"/>
      <c r="BK1036" s="39"/>
      <c r="BL1036" s="39">
        <f t="shared" si="919"/>
        <v>0</v>
      </c>
      <c r="BM1036" s="54" t="str">
        <f t="shared" si="977"/>
        <v/>
      </c>
      <c r="BN1036" s="58">
        <v>46156</v>
      </c>
      <c r="BO1036" s="57">
        <v>46181</v>
      </c>
      <c r="BP1036" s="57"/>
      <c r="BQ1036" s="57"/>
      <c r="BR1036" s="229">
        <v>46214</v>
      </c>
      <c r="BS1036" s="229">
        <v>46240</v>
      </c>
      <c r="BT1036" s="39" t="s">
        <v>1871</v>
      </c>
      <c r="BU1036" s="39">
        <f>280+11+17</f>
        <v>308</v>
      </c>
      <c r="BV1036" s="39">
        <v>1596</v>
      </c>
      <c r="BW1036" s="39">
        <v>71</v>
      </c>
      <c r="BX1036" s="39">
        <v>1596</v>
      </c>
      <c r="BY1036" s="39">
        <v>14</v>
      </c>
      <c r="BZ1036" s="39">
        <f t="shared" si="920"/>
        <v>393</v>
      </c>
      <c r="CA1036" s="39">
        <f t="shared" si="978"/>
        <v>15</v>
      </c>
      <c r="CB1036" s="39">
        <f t="shared" si="979"/>
        <v>5</v>
      </c>
      <c r="CC1036" s="39">
        <f t="shared" si="980"/>
        <v>6</v>
      </c>
      <c r="CD1036" s="39">
        <v>0</v>
      </c>
      <c r="CE1036" s="47">
        <f t="shared" si="981"/>
        <v>0</v>
      </c>
      <c r="CF1036" s="36"/>
      <c r="CG1036" s="39" t="s">
        <v>245</v>
      </c>
      <c r="CH1036" s="39" t="s">
        <v>483</v>
      </c>
      <c r="CI1036" s="25">
        <v>1</v>
      </c>
    </row>
    <row r="1037" spans="1:87" ht="24.75" customHeight="1">
      <c r="A1037" s="36" t="s">
        <v>46</v>
      </c>
      <c r="B1037" s="106">
        <v>47470</v>
      </c>
      <c r="C1037" s="231"/>
      <c r="D1037" s="23" t="s">
        <v>83</v>
      </c>
      <c r="E1037" s="39">
        <v>260</v>
      </c>
      <c r="F1037" s="39" t="s">
        <v>53</v>
      </c>
      <c r="G1037" s="36" t="s">
        <v>505</v>
      </c>
      <c r="H1037" s="39" t="s">
        <v>94</v>
      </c>
      <c r="I1037" s="39">
        <v>96</v>
      </c>
      <c r="J1037" s="39"/>
      <c r="K1037" s="39"/>
      <c r="L1037" s="39">
        <f t="shared" si="987"/>
        <v>96</v>
      </c>
      <c r="M1037" s="117">
        <v>46144</v>
      </c>
      <c r="N1037" s="117">
        <v>46155</v>
      </c>
      <c r="O1037" s="39"/>
      <c r="P1037" s="39"/>
      <c r="Q1037" s="39"/>
      <c r="R1037" s="39">
        <f t="shared" si="988"/>
        <v>0</v>
      </c>
      <c r="S1037" s="39" t="s">
        <v>130</v>
      </c>
      <c r="T1037" s="39">
        <v>106896</v>
      </c>
      <c r="U1037" s="117">
        <v>46186</v>
      </c>
      <c r="V1037" s="39"/>
      <c r="W1037" s="39"/>
      <c r="X1037" s="39"/>
      <c r="Y1037" s="39">
        <v>113</v>
      </c>
      <c r="Z1037" s="39"/>
      <c r="AA1037" s="39"/>
      <c r="AB1037" s="119">
        <f t="shared" si="989"/>
        <v>113</v>
      </c>
      <c r="AC1037" s="39" t="s">
        <v>139</v>
      </c>
      <c r="AD1037" s="117">
        <v>46190</v>
      </c>
      <c r="AE1037" s="39">
        <f>45+55</f>
        <v>100</v>
      </c>
      <c r="AF1037" s="117">
        <v>46226</v>
      </c>
      <c r="AG1037" s="39">
        <v>95</v>
      </c>
      <c r="AH1037" s="39">
        <f t="shared" si="918"/>
        <v>-5</v>
      </c>
      <c r="AI1037" s="39"/>
      <c r="AJ1037" s="39"/>
      <c r="AK1037" s="39"/>
      <c r="AL1037" s="39"/>
      <c r="AM1037" s="39"/>
      <c r="AN1037" s="39">
        <f t="shared" si="917"/>
        <v>0</v>
      </c>
      <c r="AO1037" s="39" t="s">
        <v>412</v>
      </c>
      <c r="AP1037" s="117" t="s">
        <v>2054</v>
      </c>
      <c r="AQ1037" s="39">
        <f>110+22</f>
        <v>132</v>
      </c>
      <c r="AR1037" s="117" t="s">
        <v>2061</v>
      </c>
      <c r="AS1037" s="39">
        <f>105+22</f>
        <v>127</v>
      </c>
      <c r="AT1037" s="39">
        <f t="shared" si="974"/>
        <v>-5</v>
      </c>
      <c r="AU1037" s="39" t="s">
        <v>256</v>
      </c>
      <c r="AV1037" s="117">
        <v>46234</v>
      </c>
      <c r="AW1037" s="39">
        <f>22</f>
        <v>22</v>
      </c>
      <c r="AX1037" s="117">
        <v>46234</v>
      </c>
      <c r="AY1037" s="39">
        <f>21</f>
        <v>21</v>
      </c>
      <c r="AZ1037" s="39">
        <f t="shared" si="975"/>
        <v>-1</v>
      </c>
      <c r="BA1037" s="39"/>
      <c r="BB1037" s="39"/>
      <c r="BC1037" s="39"/>
      <c r="BD1037" s="39"/>
      <c r="BE1037" s="39"/>
      <c r="BF1037" s="39">
        <f t="shared" si="976"/>
        <v>0</v>
      </c>
      <c r="BG1037" s="39"/>
      <c r="BH1037" s="39"/>
      <c r="BI1037" s="39"/>
      <c r="BJ1037" s="39"/>
      <c r="BK1037" s="39"/>
      <c r="BL1037" s="39">
        <f t="shared" si="919"/>
        <v>0</v>
      </c>
      <c r="BM1037" s="54">
        <f t="shared" ca="1" si="977"/>
        <v>97</v>
      </c>
      <c r="BN1037" s="58">
        <v>46156</v>
      </c>
      <c r="BO1037" s="57">
        <v>46181</v>
      </c>
      <c r="BP1037" s="57">
        <v>46183</v>
      </c>
      <c r="BQ1037" s="57">
        <v>46193</v>
      </c>
      <c r="BR1037" s="232"/>
      <c r="BS1037" s="232"/>
      <c r="BT1037" s="39" t="s">
        <v>2083</v>
      </c>
      <c r="BU1037" s="39">
        <f>70+10+5</f>
        <v>85</v>
      </c>
      <c r="BV1037" s="39"/>
      <c r="BW1037" s="39"/>
      <c r="BX1037" s="39"/>
      <c r="BY1037" s="39"/>
      <c r="BZ1037" s="39">
        <f t="shared" si="920"/>
        <v>85</v>
      </c>
      <c r="CA1037" s="39">
        <f t="shared" si="978"/>
        <v>-11</v>
      </c>
      <c r="CB1037" s="39">
        <f t="shared" si="979"/>
        <v>0</v>
      </c>
      <c r="CC1037" s="39">
        <f t="shared" si="980"/>
        <v>0</v>
      </c>
      <c r="CD1037" s="39">
        <f t="shared" si="921"/>
        <v>-11</v>
      </c>
      <c r="CE1037" s="47">
        <f t="shared" si="981"/>
        <v>-0.11458333333333333</v>
      </c>
      <c r="CF1037" s="36"/>
      <c r="CG1037" s="39" t="s">
        <v>245</v>
      </c>
      <c r="CH1037" s="39"/>
      <c r="CI1037" s="25">
        <v>1</v>
      </c>
    </row>
    <row r="1038" spans="1:87" ht="24.75" customHeight="1">
      <c r="A1038" s="36" t="s">
        <v>46</v>
      </c>
      <c r="B1038" s="106">
        <v>47470</v>
      </c>
      <c r="C1038" s="231"/>
      <c r="D1038" s="23" t="s">
        <v>37</v>
      </c>
      <c r="E1038" s="39">
        <v>160</v>
      </c>
      <c r="F1038" s="39" t="s">
        <v>53</v>
      </c>
      <c r="G1038" s="36" t="s">
        <v>505</v>
      </c>
      <c r="H1038" s="39" t="s">
        <v>87</v>
      </c>
      <c r="I1038" s="39">
        <v>19</v>
      </c>
      <c r="J1038" s="39"/>
      <c r="K1038" s="39"/>
      <c r="L1038" s="39">
        <f t="shared" si="987"/>
        <v>19</v>
      </c>
      <c r="M1038" s="117">
        <v>46144</v>
      </c>
      <c r="N1038" s="117">
        <v>46155</v>
      </c>
      <c r="O1038" s="39"/>
      <c r="P1038" s="39"/>
      <c r="Q1038" s="39"/>
      <c r="R1038" s="39">
        <f t="shared" si="988"/>
        <v>0</v>
      </c>
      <c r="S1038" s="39" t="s">
        <v>130</v>
      </c>
      <c r="T1038" s="39">
        <v>106897</v>
      </c>
      <c r="U1038" s="117">
        <v>46186</v>
      </c>
      <c r="V1038" s="117"/>
      <c r="W1038" s="39"/>
      <c r="X1038" s="39"/>
      <c r="Y1038" s="39">
        <v>26</v>
      </c>
      <c r="Z1038" s="39"/>
      <c r="AA1038" s="39"/>
      <c r="AB1038" s="119">
        <f t="shared" si="989"/>
        <v>26</v>
      </c>
      <c r="AC1038" s="39" t="s">
        <v>139</v>
      </c>
      <c r="AD1038" s="117">
        <v>46190</v>
      </c>
      <c r="AE1038" s="39">
        <v>26</v>
      </c>
      <c r="AF1038" s="117" t="s">
        <v>1876</v>
      </c>
      <c r="AG1038" s="39">
        <f>5+23</f>
        <v>28</v>
      </c>
      <c r="AH1038" s="39">
        <f t="shared" si="918"/>
        <v>2</v>
      </c>
      <c r="AI1038" s="39" t="s">
        <v>257</v>
      </c>
      <c r="AJ1038" s="117">
        <v>46207</v>
      </c>
      <c r="AK1038" s="39">
        <v>24</v>
      </c>
      <c r="AL1038" s="117">
        <v>46207</v>
      </c>
      <c r="AM1038" s="39">
        <v>23</v>
      </c>
      <c r="AN1038" s="39">
        <f t="shared" si="917"/>
        <v>-1</v>
      </c>
      <c r="AO1038" s="39"/>
      <c r="AP1038" s="39"/>
      <c r="AQ1038" s="39"/>
      <c r="AR1038" s="39"/>
      <c r="AS1038" s="39"/>
      <c r="AT1038" s="39">
        <f t="shared" si="974"/>
        <v>0</v>
      </c>
      <c r="AU1038" s="39"/>
      <c r="AV1038" s="39"/>
      <c r="AW1038" s="39"/>
      <c r="AX1038" s="39"/>
      <c r="AY1038" s="39"/>
      <c r="AZ1038" s="39">
        <f t="shared" si="975"/>
        <v>0</v>
      </c>
      <c r="BA1038" s="39"/>
      <c r="BB1038" s="39"/>
      <c r="BC1038" s="39"/>
      <c r="BD1038" s="39"/>
      <c r="BE1038" s="39"/>
      <c r="BF1038" s="39">
        <f t="shared" si="976"/>
        <v>0</v>
      </c>
      <c r="BG1038" s="39"/>
      <c r="BH1038" s="39"/>
      <c r="BI1038" s="39"/>
      <c r="BJ1038" s="39"/>
      <c r="BK1038" s="39"/>
      <c r="BL1038" s="39">
        <f t="shared" si="919"/>
        <v>0</v>
      </c>
      <c r="BM1038" s="54" t="str">
        <f t="shared" si="977"/>
        <v/>
      </c>
      <c r="BN1038" s="58">
        <v>46156</v>
      </c>
      <c r="BO1038" s="57">
        <v>46181</v>
      </c>
      <c r="BP1038" s="57">
        <v>46183</v>
      </c>
      <c r="BQ1038" s="57">
        <v>46193</v>
      </c>
      <c r="BR1038" s="232"/>
      <c r="BS1038" s="232"/>
      <c r="BT1038" s="39">
        <v>2245</v>
      </c>
      <c r="BU1038" s="39">
        <v>22</v>
      </c>
      <c r="BV1038" s="39"/>
      <c r="BW1038" s="39"/>
      <c r="BX1038" s="39"/>
      <c r="BY1038" s="39"/>
      <c r="BZ1038" s="39">
        <f t="shared" si="920"/>
        <v>22</v>
      </c>
      <c r="CA1038" s="39">
        <f t="shared" si="978"/>
        <v>3</v>
      </c>
      <c r="CB1038" s="39">
        <f t="shared" si="979"/>
        <v>0</v>
      </c>
      <c r="CC1038" s="39">
        <f t="shared" si="980"/>
        <v>0</v>
      </c>
      <c r="CD1038" s="39">
        <f t="shared" si="921"/>
        <v>0</v>
      </c>
      <c r="CE1038" s="47">
        <f t="shared" si="981"/>
        <v>0</v>
      </c>
      <c r="CF1038" s="36"/>
      <c r="CG1038" s="39" t="s">
        <v>245</v>
      </c>
      <c r="CH1038" s="39"/>
      <c r="CI1038" s="25">
        <v>1</v>
      </c>
    </row>
    <row r="1039" spans="1:87" ht="24.75" customHeight="1">
      <c r="A1039" s="36" t="s">
        <v>46</v>
      </c>
      <c r="B1039" s="106">
        <v>47470</v>
      </c>
      <c r="C1039" s="228"/>
      <c r="D1039" s="23" t="s">
        <v>83</v>
      </c>
      <c r="E1039" s="39">
        <v>260</v>
      </c>
      <c r="F1039" s="39" t="s">
        <v>53</v>
      </c>
      <c r="G1039" s="36" t="s">
        <v>505</v>
      </c>
      <c r="H1039" s="39" t="s">
        <v>94</v>
      </c>
      <c r="I1039" s="39">
        <v>286</v>
      </c>
      <c r="J1039" s="39"/>
      <c r="K1039" s="39"/>
      <c r="L1039" s="39">
        <f t="shared" si="987"/>
        <v>286</v>
      </c>
      <c r="M1039" s="117">
        <v>46144</v>
      </c>
      <c r="N1039" s="117">
        <v>46155</v>
      </c>
      <c r="O1039" s="39"/>
      <c r="P1039" s="39"/>
      <c r="Q1039" s="39"/>
      <c r="R1039" s="39">
        <f t="shared" si="988"/>
        <v>0</v>
      </c>
      <c r="S1039" s="39" t="s">
        <v>130</v>
      </c>
      <c r="T1039" s="39">
        <v>106896</v>
      </c>
      <c r="U1039" s="117">
        <v>46186</v>
      </c>
      <c r="V1039" s="39"/>
      <c r="W1039" s="39"/>
      <c r="X1039" s="39"/>
      <c r="Y1039" s="39">
        <v>340</v>
      </c>
      <c r="Z1039" s="39"/>
      <c r="AA1039" s="39"/>
      <c r="AB1039" s="119">
        <f t="shared" si="989"/>
        <v>340</v>
      </c>
      <c r="AC1039" s="39" t="s">
        <v>139</v>
      </c>
      <c r="AD1039" s="117">
        <v>46190</v>
      </c>
      <c r="AE1039" s="39">
        <f>363-55</f>
        <v>308</v>
      </c>
      <c r="AF1039" s="117" t="s">
        <v>2055</v>
      </c>
      <c r="AG1039" s="39">
        <f>13+265+5</f>
        <v>283</v>
      </c>
      <c r="AH1039" s="39">
        <f t="shared" si="918"/>
        <v>-25</v>
      </c>
      <c r="AI1039" s="39"/>
      <c r="AJ1039" s="39"/>
      <c r="AK1039" s="39"/>
      <c r="AL1039" s="39"/>
      <c r="AM1039" s="39"/>
      <c r="AN1039" s="39">
        <f t="shared" si="917"/>
        <v>0</v>
      </c>
      <c r="AO1039" s="39" t="s">
        <v>257</v>
      </c>
      <c r="AP1039" s="117">
        <v>46186</v>
      </c>
      <c r="AQ1039" s="39">
        <v>300</v>
      </c>
      <c r="AR1039" s="117">
        <v>46190</v>
      </c>
      <c r="AS1039" s="39">
        <v>296</v>
      </c>
      <c r="AT1039" s="39">
        <f t="shared" si="974"/>
        <v>-4</v>
      </c>
      <c r="AU1039" s="39"/>
      <c r="AV1039" s="39"/>
      <c r="AW1039" s="39"/>
      <c r="AX1039" s="39"/>
      <c r="AY1039" s="39"/>
      <c r="AZ1039" s="39">
        <f t="shared" si="975"/>
        <v>0</v>
      </c>
      <c r="BA1039" s="39"/>
      <c r="BB1039" s="39"/>
      <c r="BC1039" s="39"/>
      <c r="BD1039" s="39"/>
      <c r="BE1039" s="39"/>
      <c r="BF1039" s="39">
        <f t="shared" si="976"/>
        <v>0</v>
      </c>
      <c r="BG1039" s="39"/>
      <c r="BH1039" s="39"/>
      <c r="BI1039" s="39"/>
      <c r="BJ1039" s="39"/>
      <c r="BK1039" s="39"/>
      <c r="BL1039" s="39">
        <f t="shared" si="919"/>
        <v>0</v>
      </c>
      <c r="BM1039" s="54" t="str">
        <f t="shared" si="977"/>
        <v/>
      </c>
      <c r="BN1039" s="58">
        <v>46156</v>
      </c>
      <c r="BO1039" s="57">
        <v>46181</v>
      </c>
      <c r="BP1039" s="57">
        <v>46183</v>
      </c>
      <c r="BQ1039" s="57">
        <v>46193</v>
      </c>
      <c r="BR1039" s="230"/>
      <c r="BS1039" s="230"/>
      <c r="BT1039" s="39" t="s">
        <v>2139</v>
      </c>
      <c r="BU1039" s="39">
        <f>290-10+7</f>
        <v>287</v>
      </c>
      <c r="BV1039" s="39"/>
      <c r="BW1039" s="39"/>
      <c r="BX1039" s="39"/>
      <c r="BY1039" s="39"/>
      <c r="BZ1039" s="39">
        <f t="shared" si="920"/>
        <v>287</v>
      </c>
      <c r="CA1039" s="39">
        <f t="shared" si="978"/>
        <v>1</v>
      </c>
      <c r="CB1039" s="39">
        <f t="shared" si="979"/>
        <v>0</v>
      </c>
      <c r="CC1039" s="39">
        <f t="shared" si="980"/>
        <v>0</v>
      </c>
      <c r="CD1039" s="39">
        <v>0</v>
      </c>
      <c r="CE1039" s="47">
        <f t="shared" si="981"/>
        <v>0</v>
      </c>
      <c r="CF1039" s="36"/>
      <c r="CG1039" s="39" t="s">
        <v>245</v>
      </c>
      <c r="CH1039" s="39" t="s">
        <v>2005</v>
      </c>
      <c r="CI1039" s="25">
        <v>1</v>
      </c>
    </row>
    <row r="1040" spans="1:87" ht="34.5" customHeight="1">
      <c r="A1040" s="36" t="s">
        <v>46</v>
      </c>
      <c r="B1040" s="106">
        <v>47469</v>
      </c>
      <c r="C1040" s="36" t="s">
        <v>552</v>
      </c>
      <c r="D1040" s="23" t="s">
        <v>83</v>
      </c>
      <c r="E1040" s="39">
        <v>260</v>
      </c>
      <c r="F1040" s="39" t="s">
        <v>53</v>
      </c>
      <c r="G1040" s="36" t="s">
        <v>505</v>
      </c>
      <c r="H1040" s="39" t="s">
        <v>94</v>
      </c>
      <c r="I1040" s="39">
        <v>536</v>
      </c>
      <c r="J1040" s="39"/>
      <c r="K1040" s="39"/>
      <c r="L1040" s="39">
        <f t="shared" si="987"/>
        <v>536</v>
      </c>
      <c r="M1040" s="117">
        <v>46144</v>
      </c>
      <c r="N1040" s="117">
        <v>46155</v>
      </c>
      <c r="O1040" s="39"/>
      <c r="P1040" s="39"/>
      <c r="Q1040" s="39"/>
      <c r="R1040" s="39">
        <f t="shared" si="988"/>
        <v>0</v>
      </c>
      <c r="S1040" s="39" t="s">
        <v>130</v>
      </c>
      <c r="T1040" s="39" t="s">
        <v>1961</v>
      </c>
      <c r="U1040" s="117" t="s">
        <v>1962</v>
      </c>
      <c r="V1040" s="117"/>
      <c r="W1040" s="39"/>
      <c r="X1040" s="39"/>
      <c r="Y1040" s="39">
        <f>644+106</f>
        <v>750</v>
      </c>
      <c r="Z1040" s="39"/>
      <c r="AA1040" s="39"/>
      <c r="AB1040" s="119">
        <f t="shared" si="989"/>
        <v>750</v>
      </c>
      <c r="AC1040" s="39" t="s">
        <v>139</v>
      </c>
      <c r="AD1040" s="117" t="s">
        <v>2119</v>
      </c>
      <c r="AE1040" s="39">
        <f>32+532+24+68</f>
        <v>656</v>
      </c>
      <c r="AF1040" s="117" t="s">
        <v>2122</v>
      </c>
      <c r="AG1040" s="39">
        <f>11+17+487+12+67</f>
        <v>594</v>
      </c>
      <c r="AH1040" s="39">
        <f t="shared" si="918"/>
        <v>-62</v>
      </c>
      <c r="AI1040" s="39"/>
      <c r="AJ1040" s="39"/>
      <c r="AK1040" s="39"/>
      <c r="AL1040" s="39"/>
      <c r="AM1040" s="39"/>
      <c r="AN1040" s="39">
        <f t="shared" si="917"/>
        <v>0</v>
      </c>
      <c r="AO1040" s="39" t="s">
        <v>305</v>
      </c>
      <c r="AP1040" s="117" t="s">
        <v>2054</v>
      </c>
      <c r="AQ1040" s="39">
        <f>32+582+50</f>
        <v>664</v>
      </c>
      <c r="AR1040" s="117" t="s">
        <v>2060</v>
      </c>
      <c r="AS1040" s="39">
        <f>32+578+50</f>
        <v>660</v>
      </c>
      <c r="AT1040" s="39">
        <f t="shared" si="974"/>
        <v>-4</v>
      </c>
      <c r="AU1040" s="39" t="s">
        <v>256</v>
      </c>
      <c r="AV1040" s="117">
        <v>46234</v>
      </c>
      <c r="AW1040" s="39">
        <f>50</f>
        <v>50</v>
      </c>
      <c r="AX1040" s="117">
        <v>46234</v>
      </c>
      <c r="AY1040" s="39">
        <f>49</f>
        <v>49</v>
      </c>
      <c r="AZ1040" s="39">
        <f t="shared" si="975"/>
        <v>-1</v>
      </c>
      <c r="BA1040" s="39"/>
      <c r="BB1040" s="39"/>
      <c r="BC1040" s="39"/>
      <c r="BD1040" s="39"/>
      <c r="BE1040" s="39"/>
      <c r="BF1040" s="39">
        <f t="shared" si="976"/>
        <v>0</v>
      </c>
      <c r="BG1040" s="39"/>
      <c r="BH1040" s="39"/>
      <c r="BI1040" s="39"/>
      <c r="BJ1040" s="39"/>
      <c r="BK1040" s="39"/>
      <c r="BL1040" s="39">
        <f t="shared" si="919"/>
        <v>0</v>
      </c>
      <c r="BM1040" s="54" t="str">
        <f t="shared" si="977"/>
        <v/>
      </c>
      <c r="BN1040" s="58">
        <v>46156</v>
      </c>
      <c r="BO1040" s="57">
        <v>46181</v>
      </c>
      <c r="BP1040" s="57">
        <v>46183</v>
      </c>
      <c r="BQ1040" s="57">
        <v>46193</v>
      </c>
      <c r="BR1040" s="50">
        <v>46227</v>
      </c>
      <c r="BS1040" s="50">
        <v>46240</v>
      </c>
      <c r="BT1040" s="39" t="s">
        <v>2138</v>
      </c>
      <c r="BU1040" s="39">
        <f>58+428+67-7</f>
        <v>546</v>
      </c>
      <c r="BV1040" s="39"/>
      <c r="BW1040" s="39"/>
      <c r="BX1040" s="39"/>
      <c r="BY1040" s="39"/>
      <c r="BZ1040" s="39">
        <f t="shared" si="920"/>
        <v>546</v>
      </c>
      <c r="CA1040" s="39">
        <f t="shared" si="978"/>
        <v>10</v>
      </c>
      <c r="CB1040" s="39">
        <f t="shared" si="979"/>
        <v>0</v>
      </c>
      <c r="CC1040" s="39">
        <f t="shared" si="980"/>
        <v>0</v>
      </c>
      <c r="CD1040" s="39">
        <f t="shared" si="921"/>
        <v>0</v>
      </c>
      <c r="CE1040" s="47">
        <f t="shared" si="981"/>
        <v>0</v>
      </c>
      <c r="CF1040" s="36"/>
      <c r="CG1040" s="39" t="s">
        <v>245</v>
      </c>
      <c r="CH1040" s="39"/>
      <c r="CI1040" s="25">
        <v>1</v>
      </c>
    </row>
    <row r="1041" spans="1:101" ht="24.75" customHeight="1">
      <c r="A1041" s="36" t="s">
        <v>46</v>
      </c>
      <c r="B1041" s="106">
        <v>47326</v>
      </c>
      <c r="C1041" s="227" t="s">
        <v>879</v>
      </c>
      <c r="D1041" s="23" t="s">
        <v>49</v>
      </c>
      <c r="E1041" s="39">
        <v>180</v>
      </c>
      <c r="F1041" s="39" t="s">
        <v>54</v>
      </c>
      <c r="G1041" s="36" t="s">
        <v>389</v>
      </c>
      <c r="H1041" s="36" t="s">
        <v>22</v>
      </c>
      <c r="I1041" s="39">
        <v>30</v>
      </c>
      <c r="J1041" s="39"/>
      <c r="K1041" s="39"/>
      <c r="L1041" s="39">
        <f t="shared" si="987"/>
        <v>30</v>
      </c>
      <c r="M1041" s="39"/>
      <c r="N1041" s="117">
        <v>46165</v>
      </c>
      <c r="O1041" s="39"/>
      <c r="P1041" s="39"/>
      <c r="Q1041" s="39"/>
      <c r="R1041" s="39">
        <f>SUM(O1041:Q1041)</f>
        <v>0</v>
      </c>
      <c r="S1041" s="39" t="s">
        <v>130</v>
      </c>
      <c r="T1041" s="39">
        <v>106848</v>
      </c>
      <c r="U1041" s="117">
        <v>46184</v>
      </c>
      <c r="V1041" s="39"/>
      <c r="W1041" s="39"/>
      <c r="X1041" s="39"/>
      <c r="Y1041" s="39">
        <v>36</v>
      </c>
      <c r="Z1041" s="39"/>
      <c r="AA1041" s="39"/>
      <c r="AB1041" s="119">
        <f>SUM(Y1041:AA1041)</f>
        <v>36</v>
      </c>
      <c r="AC1041" s="39"/>
      <c r="AD1041" s="39"/>
      <c r="AE1041" s="39"/>
      <c r="AF1041" s="39"/>
      <c r="AG1041" s="39"/>
      <c r="AH1041" s="39">
        <f>AG1041-AE1041</f>
        <v>0</v>
      </c>
      <c r="AI1041" s="39" t="s">
        <v>163</v>
      </c>
      <c r="AJ1041" s="117">
        <v>46185</v>
      </c>
      <c r="AK1041" s="39">
        <v>33</v>
      </c>
      <c r="AL1041" s="117">
        <v>46186</v>
      </c>
      <c r="AM1041" s="39">
        <v>32</v>
      </c>
      <c r="AN1041" s="39">
        <f t="shared" si="917"/>
        <v>-1</v>
      </c>
      <c r="AO1041" s="39"/>
      <c r="AP1041" s="39"/>
      <c r="AQ1041" s="39"/>
      <c r="AR1041" s="39"/>
      <c r="AS1041" s="39"/>
      <c r="AT1041" s="39">
        <f t="shared" si="974"/>
        <v>0</v>
      </c>
      <c r="AU1041" s="39"/>
      <c r="AV1041" s="39"/>
      <c r="AW1041" s="39"/>
      <c r="AX1041" s="39"/>
      <c r="AY1041" s="39"/>
      <c r="AZ1041" s="39">
        <f t="shared" si="975"/>
        <v>0</v>
      </c>
      <c r="BA1041" s="39"/>
      <c r="BB1041" s="39"/>
      <c r="BC1041" s="39"/>
      <c r="BD1041" s="39"/>
      <c r="BE1041" s="39"/>
      <c r="BF1041" s="39">
        <f t="shared" si="976"/>
        <v>0</v>
      </c>
      <c r="BG1041" s="39"/>
      <c r="BH1041" s="39"/>
      <c r="BI1041" s="39"/>
      <c r="BJ1041" s="39"/>
      <c r="BK1041" s="39"/>
      <c r="BL1041" s="39">
        <f>BK1041-BI1041</f>
        <v>0</v>
      </c>
      <c r="BM1041" s="54" t="str">
        <f t="shared" si="977"/>
        <v/>
      </c>
      <c r="BN1041" s="58">
        <v>46166</v>
      </c>
      <c r="BO1041" s="57">
        <v>46181</v>
      </c>
      <c r="BP1041" s="57"/>
      <c r="BQ1041" s="57"/>
      <c r="BR1041" s="229">
        <v>46164</v>
      </c>
      <c r="BS1041" s="229">
        <v>46196</v>
      </c>
      <c r="BT1041" s="39">
        <v>2111</v>
      </c>
      <c r="BU1041" s="39">
        <v>32</v>
      </c>
      <c r="BV1041" s="39"/>
      <c r="BW1041" s="39"/>
      <c r="BX1041" s="39"/>
      <c r="BY1041" s="39"/>
      <c r="BZ1041" s="39">
        <f>BU1041+BW1041+BY1041</f>
        <v>32</v>
      </c>
      <c r="CA1041" s="39">
        <f t="shared" si="978"/>
        <v>2</v>
      </c>
      <c r="CB1041" s="39">
        <f t="shared" si="979"/>
        <v>0</v>
      </c>
      <c r="CC1041" s="39">
        <f t="shared" si="980"/>
        <v>0</v>
      </c>
      <c r="CD1041" s="39">
        <f>SUMIF(CA1041:CC1041,"&lt;0")</f>
        <v>0</v>
      </c>
      <c r="CE1041" s="102">
        <f t="shared" si="981"/>
        <v>0</v>
      </c>
      <c r="CF1041" s="36"/>
      <c r="CG1041" s="39" t="s">
        <v>246</v>
      </c>
      <c r="CH1041" s="39"/>
      <c r="CI1041" s="25">
        <v>1</v>
      </c>
      <c r="CJ1041" s="6" t="s">
        <v>19</v>
      </c>
    </row>
    <row r="1042" spans="1:101" ht="24.75" customHeight="1">
      <c r="A1042" s="36" t="s">
        <v>46</v>
      </c>
      <c r="B1042" s="106">
        <v>47326</v>
      </c>
      <c r="C1042" s="228"/>
      <c r="D1042" s="23" t="s">
        <v>110</v>
      </c>
      <c r="E1042" s="39">
        <v>180</v>
      </c>
      <c r="F1042" s="39" t="s">
        <v>57</v>
      </c>
      <c r="G1042" s="36" t="s">
        <v>499</v>
      </c>
      <c r="H1042" s="36" t="s">
        <v>22</v>
      </c>
      <c r="I1042" s="39">
        <v>18</v>
      </c>
      <c r="J1042" s="39"/>
      <c r="K1042" s="39"/>
      <c r="L1042" s="39">
        <f t="shared" si="987"/>
        <v>18</v>
      </c>
      <c r="M1042" s="39"/>
      <c r="N1042" s="117">
        <v>46165</v>
      </c>
      <c r="O1042" s="39"/>
      <c r="P1042" s="39"/>
      <c r="Q1042" s="39"/>
      <c r="R1042" s="39">
        <f>SUM(O1042:Q1042)</f>
        <v>0</v>
      </c>
      <c r="S1042" s="39" t="s">
        <v>130</v>
      </c>
      <c r="T1042" s="39">
        <v>106848</v>
      </c>
      <c r="U1042" s="117">
        <v>46184</v>
      </c>
      <c r="V1042" s="39"/>
      <c r="W1042" s="39"/>
      <c r="X1042" s="39"/>
      <c r="Y1042" s="39">
        <v>23</v>
      </c>
      <c r="Z1042" s="39"/>
      <c r="AA1042" s="39"/>
      <c r="AB1042" s="119">
        <f>SUM(Y1042:AA1042)</f>
        <v>23</v>
      </c>
      <c r="AC1042" s="39"/>
      <c r="AD1042" s="39"/>
      <c r="AE1042" s="39"/>
      <c r="AF1042" s="39"/>
      <c r="AG1042" s="39"/>
      <c r="AH1042" s="39">
        <f>AG1042-AE1042</f>
        <v>0</v>
      </c>
      <c r="AI1042" s="39"/>
      <c r="AJ1042" s="39"/>
      <c r="AK1042" s="39"/>
      <c r="AL1042" s="39"/>
      <c r="AM1042" s="39"/>
      <c r="AN1042" s="39">
        <f t="shared" si="917"/>
        <v>0</v>
      </c>
      <c r="AO1042" s="39"/>
      <c r="AP1042" s="39"/>
      <c r="AQ1042" s="39"/>
      <c r="AR1042" s="39"/>
      <c r="AS1042" s="39"/>
      <c r="AT1042" s="39">
        <f t="shared" si="974"/>
        <v>0</v>
      </c>
      <c r="AU1042" s="39"/>
      <c r="AV1042" s="39"/>
      <c r="AW1042" s="39"/>
      <c r="AX1042" s="39"/>
      <c r="AY1042" s="39"/>
      <c r="AZ1042" s="39">
        <f t="shared" si="975"/>
        <v>0</v>
      </c>
      <c r="BA1042" s="39"/>
      <c r="BB1042" s="39"/>
      <c r="BC1042" s="39"/>
      <c r="BD1042" s="39"/>
      <c r="BE1042" s="39"/>
      <c r="BF1042" s="39">
        <f t="shared" si="976"/>
        <v>0</v>
      </c>
      <c r="BG1042" s="39"/>
      <c r="BH1042" s="39"/>
      <c r="BI1042" s="39"/>
      <c r="BJ1042" s="39"/>
      <c r="BK1042" s="39"/>
      <c r="BL1042" s="39">
        <f>BK1042-BI1042</f>
        <v>0</v>
      </c>
      <c r="BM1042" s="54" t="str">
        <f t="shared" si="977"/>
        <v/>
      </c>
      <c r="BN1042" s="58">
        <v>46166</v>
      </c>
      <c r="BO1042" s="57">
        <v>46181</v>
      </c>
      <c r="BP1042" s="57">
        <v>46181</v>
      </c>
      <c r="BQ1042" s="57">
        <v>46185</v>
      </c>
      <c r="BR1042" s="230"/>
      <c r="BS1042" s="230"/>
      <c r="BT1042" s="39" t="s">
        <v>1140</v>
      </c>
      <c r="BU1042" s="39">
        <f>5+15</f>
        <v>20</v>
      </c>
      <c r="BV1042" s="39"/>
      <c r="BW1042" s="39"/>
      <c r="BX1042" s="39"/>
      <c r="BY1042" s="39"/>
      <c r="BZ1042" s="39">
        <f t="shared" ref="BZ1042" si="991">BU1042+BW1042+BY1042</f>
        <v>20</v>
      </c>
      <c r="CA1042" s="39">
        <f t="shared" si="978"/>
        <v>2</v>
      </c>
      <c r="CB1042" s="39">
        <f t="shared" si="979"/>
        <v>0</v>
      </c>
      <c r="CC1042" s="39">
        <f t="shared" si="980"/>
        <v>0</v>
      </c>
      <c r="CD1042" s="39">
        <f t="shared" ref="CD1042" si="992">SUMIF(CA1042:CC1042,"&lt;0")</f>
        <v>0</v>
      </c>
      <c r="CE1042" s="102">
        <f t="shared" si="981"/>
        <v>0</v>
      </c>
      <c r="CF1042" s="36"/>
      <c r="CG1042" s="39" t="s">
        <v>246</v>
      </c>
      <c r="CH1042" s="39"/>
      <c r="CI1042" s="25">
        <v>1</v>
      </c>
    </row>
    <row r="1043" spans="1:101" ht="24.75" customHeight="1">
      <c r="A1043" s="36" t="s">
        <v>46</v>
      </c>
      <c r="B1043" s="30">
        <v>46880</v>
      </c>
      <c r="C1043" s="227" t="s">
        <v>1034</v>
      </c>
      <c r="D1043" s="23"/>
      <c r="E1043" s="39">
        <v>200</v>
      </c>
      <c r="F1043" s="39" t="s">
        <v>58</v>
      </c>
      <c r="G1043" s="36" t="s">
        <v>125</v>
      </c>
      <c r="H1043" s="39" t="s">
        <v>381</v>
      </c>
      <c r="I1043" s="39">
        <f>1057+290+114</f>
        <v>1461</v>
      </c>
      <c r="J1043" s="39"/>
      <c r="K1043" s="39"/>
      <c r="L1043" s="39">
        <f t="shared" si="973"/>
        <v>1461</v>
      </c>
      <c r="M1043" s="117">
        <v>46144</v>
      </c>
      <c r="N1043" s="117">
        <v>46193</v>
      </c>
      <c r="O1043" s="39"/>
      <c r="P1043" s="39"/>
      <c r="Q1043" s="39"/>
      <c r="R1043" s="39">
        <f t="shared" si="982"/>
        <v>0</v>
      </c>
      <c r="S1043" s="39" t="s">
        <v>130</v>
      </c>
      <c r="T1043" s="39" t="s">
        <v>1359</v>
      </c>
      <c r="U1043" s="117" t="s">
        <v>1360</v>
      </c>
      <c r="V1043" s="39"/>
      <c r="W1043" s="39"/>
      <c r="X1043" s="39"/>
      <c r="Y1043" s="39">
        <f>864+650+119</f>
        <v>1633</v>
      </c>
      <c r="Z1043" s="39"/>
      <c r="AA1043" s="39"/>
      <c r="AB1043" s="119">
        <f t="shared" si="983"/>
        <v>1633</v>
      </c>
      <c r="AC1043" s="39"/>
      <c r="AD1043" s="39"/>
      <c r="AE1043" s="39"/>
      <c r="AF1043" s="39"/>
      <c r="AG1043" s="39"/>
      <c r="AH1043" s="39">
        <f t="shared" si="918"/>
        <v>0</v>
      </c>
      <c r="AI1043" s="39"/>
      <c r="AJ1043" s="39"/>
      <c r="AK1043" s="39"/>
      <c r="AL1043" s="39"/>
      <c r="AM1043" s="39"/>
      <c r="AN1043" s="39">
        <f t="shared" si="917"/>
        <v>0</v>
      </c>
      <c r="AO1043" s="39"/>
      <c r="AP1043" s="39"/>
      <c r="AQ1043" s="39"/>
      <c r="AR1043" s="39"/>
      <c r="AS1043" s="39"/>
      <c r="AT1043" s="39">
        <f t="shared" si="974"/>
        <v>0</v>
      </c>
      <c r="AU1043" s="39"/>
      <c r="AV1043" s="39"/>
      <c r="AW1043" s="39"/>
      <c r="AX1043" s="39"/>
      <c r="AY1043" s="39"/>
      <c r="AZ1043" s="39">
        <f t="shared" si="975"/>
        <v>0</v>
      </c>
      <c r="BA1043" s="39"/>
      <c r="BB1043" s="39"/>
      <c r="BC1043" s="39"/>
      <c r="BD1043" s="39"/>
      <c r="BE1043" s="39"/>
      <c r="BF1043" s="39">
        <f t="shared" si="976"/>
        <v>0</v>
      </c>
      <c r="BG1043" s="39"/>
      <c r="BH1043" s="39"/>
      <c r="BI1043" s="39"/>
      <c r="BJ1043" s="39"/>
      <c r="BK1043" s="39"/>
      <c r="BL1043" s="39">
        <f t="shared" si="919"/>
        <v>0</v>
      </c>
      <c r="BM1043" s="54" t="str">
        <f t="shared" si="977"/>
        <v/>
      </c>
      <c r="BN1043" s="58">
        <v>46178</v>
      </c>
      <c r="BO1043" s="57">
        <v>46203</v>
      </c>
      <c r="BP1043" s="36"/>
      <c r="BQ1043" s="36"/>
      <c r="BR1043" s="229">
        <v>46165</v>
      </c>
      <c r="BS1043" s="229">
        <v>46217</v>
      </c>
      <c r="BT1043" s="39" t="s">
        <v>1402</v>
      </c>
      <c r="BU1043" s="39">
        <f>26+784+364+208+109</f>
        <v>1491</v>
      </c>
      <c r="BV1043" s="39"/>
      <c r="BW1043" s="39"/>
      <c r="BX1043" s="39"/>
      <c r="BY1043" s="39"/>
      <c r="BZ1043" s="39">
        <f t="shared" si="920"/>
        <v>1491</v>
      </c>
      <c r="CA1043" s="39">
        <f t="shared" si="978"/>
        <v>30</v>
      </c>
      <c r="CB1043" s="39">
        <f t="shared" si="979"/>
        <v>0</v>
      </c>
      <c r="CC1043" s="39">
        <f t="shared" si="980"/>
        <v>0</v>
      </c>
      <c r="CD1043" s="39">
        <f t="shared" si="921"/>
        <v>0</v>
      </c>
      <c r="CE1043" s="102">
        <f t="shared" si="981"/>
        <v>0</v>
      </c>
      <c r="CF1043" s="36"/>
      <c r="CG1043" s="39" t="s">
        <v>245</v>
      </c>
      <c r="CH1043" s="39"/>
      <c r="CI1043" s="25">
        <v>1</v>
      </c>
    </row>
    <row r="1044" spans="1:101" ht="24.75" customHeight="1">
      <c r="A1044" s="36" t="s">
        <v>46</v>
      </c>
      <c r="B1044" s="30">
        <v>46880</v>
      </c>
      <c r="C1044" s="231"/>
      <c r="D1044" s="23"/>
      <c r="E1044" s="39">
        <v>200</v>
      </c>
      <c r="F1044" s="39" t="s">
        <v>58</v>
      </c>
      <c r="G1044" s="36" t="s">
        <v>428</v>
      </c>
      <c r="H1044" s="39" t="s">
        <v>381</v>
      </c>
      <c r="I1044" s="39">
        <f>769+287+90</f>
        <v>1146</v>
      </c>
      <c r="J1044" s="39"/>
      <c r="K1044" s="39"/>
      <c r="L1044" s="39">
        <f t="shared" si="973"/>
        <v>1146</v>
      </c>
      <c r="M1044" s="117">
        <v>46144</v>
      </c>
      <c r="N1044" s="117">
        <v>46193</v>
      </c>
      <c r="O1044" s="39"/>
      <c r="P1044" s="39"/>
      <c r="Q1044" s="39"/>
      <c r="R1044" s="39">
        <f t="shared" si="982"/>
        <v>0</v>
      </c>
      <c r="S1044" s="39" t="s">
        <v>270</v>
      </c>
      <c r="T1044" s="39"/>
      <c r="U1044" s="39"/>
      <c r="V1044" s="117" t="s">
        <v>1188</v>
      </c>
      <c r="W1044" s="39">
        <f>1184+113</f>
        <v>1297</v>
      </c>
      <c r="X1044" s="117" t="s">
        <v>1598</v>
      </c>
      <c r="Y1044" s="39">
        <f>1055+87+18</f>
        <v>1160</v>
      </c>
      <c r="Z1044" s="39"/>
      <c r="AA1044" s="39"/>
      <c r="AB1044" s="119">
        <f t="shared" si="983"/>
        <v>1160</v>
      </c>
      <c r="AC1044" s="39"/>
      <c r="AD1044" s="39"/>
      <c r="AE1044" s="39"/>
      <c r="AF1044" s="39"/>
      <c r="AG1044" s="39"/>
      <c r="AH1044" s="39">
        <f t="shared" si="918"/>
        <v>0</v>
      </c>
      <c r="AI1044" s="39"/>
      <c r="AJ1044" s="39"/>
      <c r="AK1044" s="39"/>
      <c r="AL1044" s="39"/>
      <c r="AM1044" s="39"/>
      <c r="AN1044" s="39">
        <f t="shared" si="917"/>
        <v>0</v>
      </c>
      <c r="AO1044" s="39"/>
      <c r="AP1044" s="39"/>
      <c r="AQ1044" s="39"/>
      <c r="AR1044" s="39"/>
      <c r="AS1044" s="39"/>
      <c r="AT1044" s="39">
        <f t="shared" si="974"/>
        <v>0</v>
      </c>
      <c r="AU1044" s="39"/>
      <c r="AV1044" s="39"/>
      <c r="AW1044" s="39"/>
      <c r="AX1044" s="39"/>
      <c r="AY1044" s="39"/>
      <c r="AZ1044" s="39">
        <f t="shared" si="975"/>
        <v>0</v>
      </c>
      <c r="BA1044" s="39"/>
      <c r="BB1044" s="39"/>
      <c r="BC1044" s="39"/>
      <c r="BD1044" s="39"/>
      <c r="BE1044" s="39"/>
      <c r="BF1044" s="39">
        <f t="shared" si="976"/>
        <v>0</v>
      </c>
      <c r="BG1044" s="39"/>
      <c r="BH1044" s="39"/>
      <c r="BI1044" s="39"/>
      <c r="BJ1044" s="39"/>
      <c r="BK1044" s="39"/>
      <c r="BL1044" s="39">
        <f t="shared" si="919"/>
        <v>0</v>
      </c>
      <c r="BM1044" s="54" t="str">
        <f t="shared" si="977"/>
        <v/>
      </c>
      <c r="BN1044" s="58">
        <v>46178</v>
      </c>
      <c r="BO1044" s="57">
        <v>46203</v>
      </c>
      <c r="BP1044" s="36"/>
      <c r="BQ1044" s="36"/>
      <c r="BR1044" s="232"/>
      <c r="BS1044" s="232"/>
      <c r="BT1044" s="39" t="s">
        <v>1631</v>
      </c>
      <c r="BU1044" s="39">
        <f>1055+87+3</f>
        <v>1145</v>
      </c>
      <c r="BV1044" s="39"/>
      <c r="BW1044" s="39"/>
      <c r="BX1044" s="39"/>
      <c r="BY1044" s="39"/>
      <c r="BZ1044" s="39">
        <f t="shared" si="920"/>
        <v>1145</v>
      </c>
      <c r="CA1044" s="39">
        <f t="shared" si="978"/>
        <v>-1</v>
      </c>
      <c r="CB1044" s="39">
        <f t="shared" si="979"/>
        <v>0</v>
      </c>
      <c r="CC1044" s="39">
        <f t="shared" si="980"/>
        <v>0</v>
      </c>
      <c r="CD1044" s="39">
        <v>0</v>
      </c>
      <c r="CE1044" s="102">
        <f t="shared" si="981"/>
        <v>0</v>
      </c>
      <c r="CF1044" s="36"/>
      <c r="CG1044" s="39" t="s">
        <v>245</v>
      </c>
      <c r="CH1044" s="39"/>
      <c r="CI1044" s="25">
        <v>1</v>
      </c>
    </row>
    <row r="1045" spans="1:101" ht="24.75" customHeight="1">
      <c r="A1045" s="36" t="s">
        <v>46</v>
      </c>
      <c r="B1045" s="30">
        <v>46880</v>
      </c>
      <c r="C1045" s="228"/>
      <c r="D1045" s="23"/>
      <c r="E1045" s="39">
        <v>200</v>
      </c>
      <c r="F1045" s="39" t="s">
        <v>58</v>
      </c>
      <c r="G1045" s="36" t="s">
        <v>536</v>
      </c>
      <c r="H1045" s="39" t="s">
        <v>381</v>
      </c>
      <c r="I1045" s="39">
        <f>1066+227+110</f>
        <v>1403</v>
      </c>
      <c r="J1045" s="39"/>
      <c r="K1045" s="39"/>
      <c r="L1045" s="39">
        <f t="shared" si="973"/>
        <v>1403</v>
      </c>
      <c r="M1045" s="117">
        <v>46144</v>
      </c>
      <c r="N1045" s="117">
        <v>46193</v>
      </c>
      <c r="O1045" s="39"/>
      <c r="P1045" s="39"/>
      <c r="Q1045" s="39"/>
      <c r="R1045" s="39">
        <f t="shared" si="982"/>
        <v>0</v>
      </c>
      <c r="S1045" s="39" t="s">
        <v>270</v>
      </c>
      <c r="T1045" s="39"/>
      <c r="U1045" s="39"/>
      <c r="V1045" s="117" t="s">
        <v>1189</v>
      </c>
      <c r="W1045" s="39">
        <f>1455+135</f>
        <v>1590</v>
      </c>
      <c r="X1045" s="117" t="s">
        <v>1488</v>
      </c>
      <c r="Y1045" s="39">
        <f>22+1005+320+62</f>
        <v>1409</v>
      </c>
      <c r="Z1045" s="39"/>
      <c r="AA1045" s="39"/>
      <c r="AB1045" s="119">
        <f t="shared" si="983"/>
        <v>1409</v>
      </c>
      <c r="AC1045" s="39"/>
      <c r="AD1045" s="39"/>
      <c r="AE1045" s="39"/>
      <c r="AF1045" s="39"/>
      <c r="AG1045" s="39"/>
      <c r="AH1045" s="39">
        <f t="shared" si="918"/>
        <v>0</v>
      </c>
      <c r="AI1045" s="39"/>
      <c r="AJ1045" s="39"/>
      <c r="AK1045" s="39"/>
      <c r="AL1045" s="39"/>
      <c r="AM1045" s="39"/>
      <c r="AN1045" s="39">
        <f t="shared" si="917"/>
        <v>0</v>
      </c>
      <c r="AO1045" s="39"/>
      <c r="AP1045" s="39"/>
      <c r="AQ1045" s="39"/>
      <c r="AR1045" s="39"/>
      <c r="AS1045" s="39"/>
      <c r="AT1045" s="39">
        <f t="shared" si="974"/>
        <v>0</v>
      </c>
      <c r="AU1045" s="39"/>
      <c r="AV1045" s="39"/>
      <c r="AW1045" s="39"/>
      <c r="AX1045" s="39"/>
      <c r="AY1045" s="39"/>
      <c r="AZ1045" s="39">
        <f t="shared" si="975"/>
        <v>0</v>
      </c>
      <c r="BA1045" s="39"/>
      <c r="BB1045" s="39"/>
      <c r="BC1045" s="39"/>
      <c r="BD1045" s="39"/>
      <c r="BE1045" s="39"/>
      <c r="BF1045" s="39">
        <f t="shared" si="976"/>
        <v>0</v>
      </c>
      <c r="BG1045" s="39"/>
      <c r="BH1045" s="39"/>
      <c r="BI1045" s="39"/>
      <c r="BJ1045" s="39"/>
      <c r="BK1045" s="39"/>
      <c r="BL1045" s="39">
        <f t="shared" si="919"/>
        <v>0</v>
      </c>
      <c r="BM1045" s="54" t="str">
        <f t="shared" si="977"/>
        <v/>
      </c>
      <c r="BN1045" s="58">
        <v>46178</v>
      </c>
      <c r="BO1045" s="57">
        <v>46203</v>
      </c>
      <c r="BP1045" s="36"/>
      <c r="BQ1045" s="36"/>
      <c r="BR1045" s="230"/>
      <c r="BS1045" s="230"/>
      <c r="BT1045" s="39" t="s">
        <v>1543</v>
      </c>
      <c r="BU1045" s="39">
        <f>1005+22+12+320+62</f>
        <v>1421</v>
      </c>
      <c r="BV1045" s="39"/>
      <c r="BW1045" s="39"/>
      <c r="BX1045" s="39"/>
      <c r="BY1045" s="39"/>
      <c r="BZ1045" s="39">
        <f t="shared" si="920"/>
        <v>1421</v>
      </c>
      <c r="CA1045" s="39">
        <f t="shared" si="978"/>
        <v>18</v>
      </c>
      <c r="CB1045" s="39">
        <f t="shared" si="979"/>
        <v>0</v>
      </c>
      <c r="CC1045" s="39">
        <f t="shared" si="980"/>
        <v>0</v>
      </c>
      <c r="CD1045" s="39">
        <f t="shared" si="921"/>
        <v>0</v>
      </c>
      <c r="CE1045" s="102">
        <f t="shared" si="981"/>
        <v>0</v>
      </c>
      <c r="CF1045" s="36"/>
      <c r="CG1045" s="39" t="s">
        <v>245</v>
      </c>
      <c r="CH1045" s="39"/>
      <c r="CI1045" s="25">
        <v>1</v>
      </c>
    </row>
    <row r="1046" spans="1:101" ht="24.75" customHeight="1">
      <c r="A1046" s="36" t="s">
        <v>46</v>
      </c>
      <c r="B1046" s="30">
        <v>47471</v>
      </c>
      <c r="C1046" s="227" t="s">
        <v>945</v>
      </c>
      <c r="D1046" s="23" t="s">
        <v>98</v>
      </c>
      <c r="E1046" s="39">
        <v>280</v>
      </c>
      <c r="F1046" s="39" t="s">
        <v>58</v>
      </c>
      <c r="G1046" s="36" t="s">
        <v>392</v>
      </c>
      <c r="H1046" s="39" t="s">
        <v>94</v>
      </c>
      <c r="I1046" s="39">
        <v>658</v>
      </c>
      <c r="J1046" s="39">
        <v>125</v>
      </c>
      <c r="K1046" s="39">
        <v>16</v>
      </c>
      <c r="L1046" s="39">
        <f t="shared" si="973"/>
        <v>799</v>
      </c>
      <c r="M1046" s="117">
        <v>46153</v>
      </c>
      <c r="N1046" s="117">
        <v>46164</v>
      </c>
      <c r="O1046" s="39"/>
      <c r="P1046" s="39"/>
      <c r="Q1046" s="39"/>
      <c r="R1046" s="39">
        <f t="shared" si="982"/>
        <v>0</v>
      </c>
      <c r="S1046" s="39" t="s">
        <v>130</v>
      </c>
      <c r="T1046" s="39" t="s">
        <v>1878</v>
      </c>
      <c r="U1046" s="117" t="s">
        <v>1879</v>
      </c>
      <c r="V1046" s="117"/>
      <c r="W1046" s="39"/>
      <c r="X1046" s="39"/>
      <c r="Y1046" s="39">
        <v>799</v>
      </c>
      <c r="Z1046" s="39">
        <v>151</v>
      </c>
      <c r="AA1046" s="39">
        <f>22+25</f>
        <v>47</v>
      </c>
      <c r="AB1046" s="119">
        <f t="shared" si="983"/>
        <v>997</v>
      </c>
      <c r="AC1046" s="39"/>
      <c r="AD1046" s="39"/>
      <c r="AE1046" s="39"/>
      <c r="AF1046" s="39"/>
      <c r="AG1046" s="39"/>
      <c r="AH1046" s="39">
        <f t="shared" si="918"/>
        <v>0</v>
      </c>
      <c r="AI1046" s="39" t="s">
        <v>568</v>
      </c>
      <c r="AJ1046" s="117" t="s">
        <v>1133</v>
      </c>
      <c r="AK1046" s="39">
        <f>737+142+26</f>
        <v>905</v>
      </c>
      <c r="AL1046" s="117" t="s">
        <v>1184</v>
      </c>
      <c r="AM1046" s="39">
        <f>27+702+142+25</f>
        <v>896</v>
      </c>
      <c r="AN1046" s="39">
        <f t="shared" si="917"/>
        <v>-9</v>
      </c>
      <c r="AO1046" s="39" t="s">
        <v>412</v>
      </c>
      <c r="AP1046" s="117" t="s">
        <v>1196</v>
      </c>
      <c r="AQ1046" s="39">
        <f>26+702</f>
        <v>728</v>
      </c>
      <c r="AR1046" s="117" t="s">
        <v>1336</v>
      </c>
      <c r="AS1046" s="39">
        <f>700+25</f>
        <v>725</v>
      </c>
      <c r="AT1046" s="39">
        <f t="shared" si="974"/>
        <v>-3</v>
      </c>
      <c r="AU1046" s="39" t="s">
        <v>257</v>
      </c>
      <c r="AV1046" s="117">
        <v>46200</v>
      </c>
      <c r="AW1046" s="39">
        <f>700+26</f>
        <v>726</v>
      </c>
      <c r="AX1046" s="117" t="s">
        <v>1337</v>
      </c>
      <c r="AY1046" s="39">
        <f>688+25</f>
        <v>713</v>
      </c>
      <c r="AZ1046" s="39">
        <f t="shared" si="975"/>
        <v>-13</v>
      </c>
      <c r="BA1046" s="39"/>
      <c r="BB1046" s="39"/>
      <c r="BC1046" s="39"/>
      <c r="BD1046" s="39"/>
      <c r="BE1046" s="39"/>
      <c r="BF1046" s="39">
        <f t="shared" si="976"/>
        <v>0</v>
      </c>
      <c r="BG1046" s="39"/>
      <c r="BH1046" s="39"/>
      <c r="BI1046" s="39"/>
      <c r="BJ1046" s="39"/>
      <c r="BK1046" s="39"/>
      <c r="BL1046" s="39">
        <f t="shared" si="919"/>
        <v>0</v>
      </c>
      <c r="BM1046" s="54" t="str">
        <f t="shared" si="977"/>
        <v/>
      </c>
      <c r="BN1046" s="58">
        <v>46181</v>
      </c>
      <c r="BO1046" s="57">
        <v>46193</v>
      </c>
      <c r="BP1046" s="36"/>
      <c r="BQ1046" s="36"/>
      <c r="BR1046" s="229">
        <v>46210</v>
      </c>
      <c r="BS1046" s="229">
        <v>46218</v>
      </c>
      <c r="BT1046" s="39" t="s">
        <v>1452</v>
      </c>
      <c r="BU1046" s="39">
        <f>645+24</f>
        <v>669</v>
      </c>
      <c r="BV1046" s="39">
        <v>1578</v>
      </c>
      <c r="BW1046" s="39">
        <v>140</v>
      </c>
      <c r="BX1046" s="39" t="s">
        <v>1884</v>
      </c>
      <c r="BY1046" s="39">
        <f>17+24</f>
        <v>41</v>
      </c>
      <c r="BZ1046" s="39">
        <f t="shared" si="920"/>
        <v>850</v>
      </c>
      <c r="CA1046" s="39">
        <f t="shared" si="978"/>
        <v>11</v>
      </c>
      <c r="CB1046" s="39">
        <f t="shared" si="979"/>
        <v>15</v>
      </c>
      <c r="CC1046" s="39">
        <f t="shared" si="980"/>
        <v>25</v>
      </c>
      <c r="CD1046" s="39">
        <f t="shared" si="921"/>
        <v>0</v>
      </c>
      <c r="CE1046" s="102">
        <f t="shared" si="981"/>
        <v>0</v>
      </c>
      <c r="CF1046" s="36"/>
      <c r="CG1046" s="39" t="s">
        <v>245</v>
      </c>
      <c r="CH1046" s="39"/>
      <c r="CI1046" s="25">
        <v>1</v>
      </c>
      <c r="CW1046" s="103"/>
    </row>
    <row r="1047" spans="1:101" ht="24.75" customHeight="1">
      <c r="A1047" s="36" t="s">
        <v>46</v>
      </c>
      <c r="B1047" s="30">
        <v>47471</v>
      </c>
      <c r="C1047" s="231"/>
      <c r="D1047" s="23" t="s">
        <v>110</v>
      </c>
      <c r="E1047" s="39">
        <v>160</v>
      </c>
      <c r="F1047" s="39" t="s">
        <v>58</v>
      </c>
      <c r="G1047" s="36" t="s">
        <v>505</v>
      </c>
      <c r="H1047" s="39" t="s">
        <v>87</v>
      </c>
      <c r="I1047" s="39">
        <v>20</v>
      </c>
      <c r="J1047" s="39"/>
      <c r="K1047" s="39"/>
      <c r="L1047" s="39">
        <f t="shared" ref="L1047" si="993">SUM(I1047:K1047)</f>
        <v>20</v>
      </c>
      <c r="M1047" s="117">
        <v>46153</v>
      </c>
      <c r="N1047" s="117">
        <v>46164</v>
      </c>
      <c r="O1047" s="39"/>
      <c r="P1047" s="39"/>
      <c r="Q1047" s="39"/>
      <c r="R1047" s="39">
        <f t="shared" ref="R1047" si="994">SUM(O1047:Q1047)</f>
        <v>0</v>
      </c>
      <c r="S1047" s="39" t="s">
        <v>130</v>
      </c>
      <c r="T1047" s="39">
        <v>107051</v>
      </c>
      <c r="U1047" s="117">
        <v>46192</v>
      </c>
      <c r="V1047" s="117"/>
      <c r="W1047" s="39"/>
      <c r="X1047" s="39"/>
      <c r="Y1047" s="39">
        <v>25</v>
      </c>
      <c r="Z1047" s="39"/>
      <c r="AA1047" s="39"/>
      <c r="AB1047" s="119">
        <f t="shared" ref="AB1047:AB1048" si="995">SUM(Y1047:AA1047)</f>
        <v>25</v>
      </c>
      <c r="AC1047" s="39" t="s">
        <v>139</v>
      </c>
      <c r="AD1047" s="117">
        <v>46204</v>
      </c>
      <c r="AE1047" s="39">
        <v>24</v>
      </c>
      <c r="AF1047" s="117">
        <v>46212</v>
      </c>
      <c r="AG1047" s="39">
        <f>5+14</f>
        <v>19</v>
      </c>
      <c r="AH1047" s="39">
        <f t="shared" ref="AH1047:AH1048" si="996">AG1047-AE1047</f>
        <v>-5</v>
      </c>
      <c r="AI1047" s="39" t="s">
        <v>257</v>
      </c>
      <c r="AJ1047" s="117">
        <v>46193</v>
      </c>
      <c r="AK1047" s="39">
        <v>18</v>
      </c>
      <c r="AL1047" s="117">
        <v>46194</v>
      </c>
      <c r="AM1047" s="39">
        <v>18</v>
      </c>
      <c r="AN1047" s="39">
        <f t="shared" ref="AN1047:AN1048" si="997">AM1047-AK1047</f>
        <v>0</v>
      </c>
      <c r="AO1047" s="39"/>
      <c r="AP1047" s="39"/>
      <c r="AQ1047" s="39"/>
      <c r="AR1047" s="39"/>
      <c r="AS1047" s="39"/>
      <c r="AT1047" s="39">
        <f t="shared" ref="AT1047:AT1048" si="998">AS1047-AQ1047</f>
        <v>0</v>
      </c>
      <c r="AU1047" s="39"/>
      <c r="AV1047" s="39"/>
      <c r="AW1047" s="39"/>
      <c r="AX1047" s="39"/>
      <c r="AY1047" s="39"/>
      <c r="AZ1047" s="39">
        <f t="shared" ref="AZ1047:AZ1048" si="999">AY1047-AW1047</f>
        <v>0</v>
      </c>
      <c r="BA1047" s="39"/>
      <c r="BB1047" s="39"/>
      <c r="BC1047" s="39"/>
      <c r="BD1047" s="39"/>
      <c r="BE1047" s="39"/>
      <c r="BF1047" s="39">
        <f t="shared" ref="BF1047:BF1048" si="1000">BE1047-BC1047</f>
        <v>0</v>
      </c>
      <c r="BG1047" s="39"/>
      <c r="BH1047" s="39"/>
      <c r="BI1047" s="39"/>
      <c r="BJ1047" s="39"/>
      <c r="BK1047" s="39"/>
      <c r="BL1047" s="39">
        <f t="shared" ref="BL1047:BL1048" si="1001">BK1047-BI1047</f>
        <v>0</v>
      </c>
      <c r="BM1047" s="54" t="str">
        <f t="shared" ref="BM1047:BM1048" si="1002">IF((BZ1047/L1047)&lt;0.9,$CO$1-U1047,"")</f>
        <v/>
      </c>
      <c r="BN1047" s="58">
        <v>46181</v>
      </c>
      <c r="BO1047" s="57">
        <v>46193</v>
      </c>
      <c r="BP1047" s="57">
        <v>46195</v>
      </c>
      <c r="BQ1047" s="57">
        <v>46200</v>
      </c>
      <c r="BR1047" s="232"/>
      <c r="BS1047" s="232"/>
      <c r="BT1047" s="39" t="s">
        <v>1518</v>
      </c>
      <c r="BU1047" s="39">
        <f>5+14</f>
        <v>19</v>
      </c>
      <c r="BV1047" s="39"/>
      <c r="BW1047" s="39"/>
      <c r="BX1047" s="39"/>
      <c r="BY1047" s="39"/>
      <c r="BZ1047" s="39">
        <f t="shared" ref="BZ1047:BZ1048" si="1003">BU1047+BW1047+BY1047</f>
        <v>19</v>
      </c>
      <c r="CA1047" s="39">
        <f t="shared" ref="CA1047:CA1048" si="1004">BU1047-I1047</f>
        <v>-1</v>
      </c>
      <c r="CB1047" s="39">
        <f t="shared" ref="CB1047:CB1048" si="1005">BW1047-J1047</f>
        <v>0</v>
      </c>
      <c r="CC1047" s="39">
        <f t="shared" ref="CC1047:CC1048" si="1006">BY1047-K1047</f>
        <v>0</v>
      </c>
      <c r="CD1047" s="39">
        <f t="shared" ref="CD1047:CD1048" si="1007">SUMIF(CA1047:CC1047,"&lt;0")</f>
        <v>-1</v>
      </c>
      <c r="CE1047" s="102">
        <f t="shared" ref="CE1047:CE1048" si="1008">CD1047/L1047</f>
        <v>-0.05</v>
      </c>
      <c r="CF1047" s="36"/>
      <c r="CG1047" s="39" t="s">
        <v>245</v>
      </c>
      <c r="CH1047" s="39"/>
      <c r="CI1047" s="25">
        <v>1</v>
      </c>
      <c r="CW1047" s="103"/>
    </row>
    <row r="1048" spans="1:101" ht="24.75" customHeight="1">
      <c r="A1048" s="36" t="s">
        <v>46</v>
      </c>
      <c r="B1048" s="30">
        <v>47471</v>
      </c>
      <c r="C1048" s="231"/>
      <c r="D1048" s="23" t="s">
        <v>49</v>
      </c>
      <c r="E1048" s="39">
        <v>160</v>
      </c>
      <c r="F1048" s="39" t="s">
        <v>58</v>
      </c>
      <c r="G1048" s="36" t="s">
        <v>1058</v>
      </c>
      <c r="H1048" s="39" t="s">
        <v>22</v>
      </c>
      <c r="I1048" s="39">
        <v>30</v>
      </c>
      <c r="J1048" s="39"/>
      <c r="K1048" s="39"/>
      <c r="L1048" s="39">
        <f t="shared" ref="L1048" si="1009">SUM(I1048:K1048)</f>
        <v>30</v>
      </c>
      <c r="M1048" s="117">
        <v>46153</v>
      </c>
      <c r="N1048" s="117">
        <v>46164</v>
      </c>
      <c r="O1048" s="39"/>
      <c r="P1048" s="39"/>
      <c r="Q1048" s="39"/>
      <c r="R1048" s="39">
        <f t="shared" ref="R1048" si="1010">SUM(O1048:Q1048)</f>
        <v>0</v>
      </c>
      <c r="S1048" s="39" t="s">
        <v>130</v>
      </c>
      <c r="T1048" s="39">
        <v>107026</v>
      </c>
      <c r="U1048" s="117">
        <v>46189</v>
      </c>
      <c r="V1048" s="117"/>
      <c r="W1048" s="39"/>
      <c r="X1048" s="39"/>
      <c r="Y1048" s="39">
        <v>42</v>
      </c>
      <c r="Z1048" s="39"/>
      <c r="AA1048" s="39"/>
      <c r="AB1048" s="119">
        <f t="shared" si="995"/>
        <v>42</v>
      </c>
      <c r="AC1048" s="39"/>
      <c r="AD1048" s="39"/>
      <c r="AE1048" s="39"/>
      <c r="AF1048" s="39"/>
      <c r="AG1048" s="39"/>
      <c r="AH1048" s="39">
        <f t="shared" si="996"/>
        <v>0</v>
      </c>
      <c r="AI1048" s="39" t="s">
        <v>163</v>
      </c>
      <c r="AJ1048" s="117">
        <v>46190</v>
      </c>
      <c r="AK1048" s="39">
        <v>38</v>
      </c>
      <c r="AL1048" s="117">
        <v>46190</v>
      </c>
      <c r="AM1048" s="39">
        <v>38</v>
      </c>
      <c r="AN1048" s="39">
        <f t="shared" si="997"/>
        <v>0</v>
      </c>
      <c r="AO1048" s="39"/>
      <c r="AP1048" s="39"/>
      <c r="AQ1048" s="39"/>
      <c r="AR1048" s="39"/>
      <c r="AS1048" s="39"/>
      <c r="AT1048" s="39">
        <f t="shared" si="998"/>
        <v>0</v>
      </c>
      <c r="AU1048" s="39"/>
      <c r="AV1048" s="39"/>
      <c r="AW1048" s="39"/>
      <c r="AX1048" s="39"/>
      <c r="AY1048" s="39"/>
      <c r="AZ1048" s="39">
        <f t="shared" si="999"/>
        <v>0</v>
      </c>
      <c r="BA1048" s="39"/>
      <c r="BB1048" s="39"/>
      <c r="BC1048" s="39"/>
      <c r="BD1048" s="39"/>
      <c r="BE1048" s="39"/>
      <c r="BF1048" s="39">
        <f t="shared" si="1000"/>
        <v>0</v>
      </c>
      <c r="BG1048" s="39"/>
      <c r="BH1048" s="39"/>
      <c r="BI1048" s="39"/>
      <c r="BJ1048" s="39"/>
      <c r="BK1048" s="39"/>
      <c r="BL1048" s="39">
        <f t="shared" si="1001"/>
        <v>0</v>
      </c>
      <c r="BM1048" s="54" t="str">
        <f t="shared" si="1002"/>
        <v/>
      </c>
      <c r="BN1048" s="58">
        <v>46181</v>
      </c>
      <c r="BO1048" s="57">
        <v>46193</v>
      </c>
      <c r="BP1048" s="36"/>
      <c r="BQ1048" s="36"/>
      <c r="BR1048" s="232"/>
      <c r="BS1048" s="232"/>
      <c r="BT1048" s="39">
        <v>1586</v>
      </c>
      <c r="BU1048" s="39">
        <v>37</v>
      </c>
      <c r="BV1048" s="39"/>
      <c r="BW1048" s="39"/>
      <c r="BX1048" s="39"/>
      <c r="BY1048" s="39"/>
      <c r="BZ1048" s="39">
        <f t="shared" si="1003"/>
        <v>37</v>
      </c>
      <c r="CA1048" s="39">
        <f t="shared" si="1004"/>
        <v>7</v>
      </c>
      <c r="CB1048" s="39">
        <f t="shared" si="1005"/>
        <v>0</v>
      </c>
      <c r="CC1048" s="39">
        <f t="shared" si="1006"/>
        <v>0</v>
      </c>
      <c r="CD1048" s="39">
        <f t="shared" si="1007"/>
        <v>0</v>
      </c>
      <c r="CE1048" s="102">
        <f t="shared" si="1008"/>
        <v>0</v>
      </c>
      <c r="CF1048" s="36"/>
      <c r="CG1048" s="39" t="s">
        <v>245</v>
      </c>
      <c r="CH1048" s="39"/>
      <c r="CI1048" s="25">
        <v>1</v>
      </c>
    </row>
    <row r="1049" spans="1:101" ht="24.75" customHeight="1">
      <c r="A1049" s="36" t="s">
        <v>46</v>
      </c>
      <c r="B1049" s="30">
        <v>47471</v>
      </c>
      <c r="C1049" s="228"/>
      <c r="D1049" s="23" t="s">
        <v>98</v>
      </c>
      <c r="E1049" s="39">
        <v>280</v>
      </c>
      <c r="F1049" s="39" t="s">
        <v>58</v>
      </c>
      <c r="G1049" s="36" t="s">
        <v>434</v>
      </c>
      <c r="H1049" s="39" t="s">
        <v>94</v>
      </c>
      <c r="I1049" s="39">
        <v>417</v>
      </c>
      <c r="J1049" s="39"/>
      <c r="K1049" s="39"/>
      <c r="L1049" s="39">
        <f t="shared" si="973"/>
        <v>417</v>
      </c>
      <c r="M1049" s="117">
        <v>46153</v>
      </c>
      <c r="N1049" s="117">
        <v>46164</v>
      </c>
      <c r="O1049" s="39"/>
      <c r="P1049" s="39"/>
      <c r="Q1049" s="39"/>
      <c r="R1049" s="39">
        <f t="shared" ref="R1049" si="1011">SUM(O1049:Q1049)</f>
        <v>0</v>
      </c>
      <c r="S1049" s="39" t="s">
        <v>590</v>
      </c>
      <c r="T1049" s="39">
        <v>108024</v>
      </c>
      <c r="U1049" s="117">
        <v>46229</v>
      </c>
      <c r="V1049" s="117" t="s">
        <v>1019</v>
      </c>
      <c r="W1049" s="39">
        <f>503+22-22</f>
        <v>503</v>
      </c>
      <c r="X1049" s="117" t="s">
        <v>1465</v>
      </c>
      <c r="Y1049" s="39">
        <f>19+432+40</f>
        <v>491</v>
      </c>
      <c r="Z1049" s="39"/>
      <c r="AA1049" s="39"/>
      <c r="AB1049" s="119">
        <f t="shared" ref="AB1049" si="1012">SUM(Y1049:AA1049)</f>
        <v>491</v>
      </c>
      <c r="AC1049" s="39"/>
      <c r="AD1049" s="39"/>
      <c r="AE1049" s="39"/>
      <c r="AF1049" s="39"/>
      <c r="AG1049" s="39"/>
      <c r="AH1049" s="39">
        <f t="shared" si="918"/>
        <v>0</v>
      </c>
      <c r="AI1049" s="39" t="s">
        <v>568</v>
      </c>
      <c r="AJ1049" s="117" t="s">
        <v>1975</v>
      </c>
      <c r="AK1049" s="39">
        <f>20+432+44</f>
        <v>496</v>
      </c>
      <c r="AL1049" s="117" t="s">
        <v>1976</v>
      </c>
      <c r="AM1049" s="39">
        <f>19+426+40</f>
        <v>485</v>
      </c>
      <c r="AN1049" s="39">
        <f t="shared" si="917"/>
        <v>-11</v>
      </c>
      <c r="AO1049" s="39" t="s">
        <v>1977</v>
      </c>
      <c r="AP1049" s="117" t="s">
        <v>1976</v>
      </c>
      <c r="AQ1049" s="39">
        <f>19+426+44</f>
        <v>489</v>
      </c>
      <c r="AR1049" s="117" t="s">
        <v>1978</v>
      </c>
      <c r="AS1049" s="39">
        <f>18+416+40</f>
        <v>474</v>
      </c>
      <c r="AT1049" s="39">
        <f t="shared" si="974"/>
        <v>-15</v>
      </c>
      <c r="AU1049" s="39" t="s">
        <v>257</v>
      </c>
      <c r="AV1049" s="117" t="s">
        <v>1979</v>
      </c>
      <c r="AW1049" s="39">
        <f>426+44</f>
        <v>470</v>
      </c>
      <c r="AX1049" s="117" t="s">
        <v>1980</v>
      </c>
      <c r="AY1049" s="39">
        <f>416+40</f>
        <v>456</v>
      </c>
      <c r="AZ1049" s="39">
        <f t="shared" si="975"/>
        <v>-14</v>
      </c>
      <c r="BA1049" s="39"/>
      <c r="BB1049" s="39"/>
      <c r="BC1049" s="39"/>
      <c r="BD1049" s="39"/>
      <c r="BE1049" s="39"/>
      <c r="BF1049" s="39">
        <f t="shared" si="976"/>
        <v>0</v>
      </c>
      <c r="BG1049" s="39"/>
      <c r="BH1049" s="39"/>
      <c r="BI1049" s="39"/>
      <c r="BJ1049" s="39"/>
      <c r="BK1049" s="39"/>
      <c r="BL1049" s="39">
        <f t="shared" si="919"/>
        <v>0</v>
      </c>
      <c r="BM1049" s="54" t="str">
        <f t="shared" si="977"/>
        <v/>
      </c>
      <c r="BN1049" s="58">
        <v>46181</v>
      </c>
      <c r="BO1049" s="57">
        <v>46193</v>
      </c>
      <c r="BP1049" s="36"/>
      <c r="BQ1049" s="36"/>
      <c r="BR1049" s="230"/>
      <c r="BS1049" s="230"/>
      <c r="BT1049" s="39" t="s">
        <v>2034</v>
      </c>
      <c r="BU1049" s="39">
        <f>380+8+19+36</f>
        <v>443</v>
      </c>
      <c r="BV1049" s="39"/>
      <c r="BW1049" s="39"/>
      <c r="BX1049" s="39"/>
      <c r="BY1049" s="39"/>
      <c r="BZ1049" s="39">
        <f t="shared" si="920"/>
        <v>443</v>
      </c>
      <c r="CA1049" s="39">
        <f t="shared" si="978"/>
        <v>26</v>
      </c>
      <c r="CB1049" s="39">
        <f t="shared" si="979"/>
        <v>0</v>
      </c>
      <c r="CC1049" s="39">
        <f t="shared" si="980"/>
        <v>0</v>
      </c>
      <c r="CD1049" s="39">
        <v>0</v>
      </c>
      <c r="CE1049" s="102">
        <f t="shared" si="981"/>
        <v>0</v>
      </c>
      <c r="CF1049" s="36"/>
      <c r="CG1049" s="39" t="s">
        <v>245</v>
      </c>
      <c r="CH1049" s="39" t="s">
        <v>540</v>
      </c>
      <c r="CI1049" s="25">
        <v>1</v>
      </c>
    </row>
    <row r="1050" spans="1:101" ht="36" customHeight="1">
      <c r="A1050" s="36" t="s">
        <v>46</v>
      </c>
      <c r="B1050" s="30">
        <v>46755</v>
      </c>
      <c r="C1050" s="36" t="s">
        <v>570</v>
      </c>
      <c r="D1050" s="23" t="s">
        <v>109</v>
      </c>
      <c r="E1050" s="39">
        <v>300</v>
      </c>
      <c r="F1050" s="39" t="s">
        <v>62</v>
      </c>
      <c r="G1050" s="36" t="s">
        <v>43</v>
      </c>
      <c r="H1050" s="39" t="s">
        <v>196</v>
      </c>
      <c r="I1050" s="39">
        <v>2259</v>
      </c>
      <c r="J1050" s="39">
        <v>645</v>
      </c>
      <c r="K1050" s="39">
        <v>27</v>
      </c>
      <c r="L1050" s="39">
        <f t="shared" si="973"/>
        <v>2931</v>
      </c>
      <c r="M1050" s="117">
        <v>46146</v>
      </c>
      <c r="N1050" s="117">
        <v>46157</v>
      </c>
      <c r="O1050" s="39"/>
      <c r="P1050" s="39"/>
      <c r="Q1050" s="39"/>
      <c r="R1050" s="39">
        <f t="shared" si="982"/>
        <v>0</v>
      </c>
      <c r="S1050" s="39" t="s">
        <v>130</v>
      </c>
      <c r="T1050" s="39" t="s">
        <v>732</v>
      </c>
      <c r="U1050" s="117" t="s">
        <v>714</v>
      </c>
      <c r="V1050" s="39"/>
      <c r="W1050" s="39"/>
      <c r="X1050" s="39"/>
      <c r="Y1050" s="39">
        <f>851+852+852</f>
        <v>2555</v>
      </c>
      <c r="Z1050" s="39">
        <f>245+237+247</f>
        <v>729</v>
      </c>
      <c r="AA1050" s="39">
        <f>14+14+13</f>
        <v>41</v>
      </c>
      <c r="AB1050" s="119">
        <f t="shared" si="983"/>
        <v>3325</v>
      </c>
      <c r="AC1050" s="39"/>
      <c r="AD1050" s="39"/>
      <c r="AE1050" s="39"/>
      <c r="AF1050" s="39"/>
      <c r="AG1050" s="39"/>
      <c r="AH1050" s="39">
        <f t="shared" si="918"/>
        <v>0</v>
      </c>
      <c r="AI1050" s="39" t="s">
        <v>274</v>
      </c>
      <c r="AJ1050" s="117" t="s">
        <v>744</v>
      </c>
      <c r="AK1050" s="39">
        <f>839+223+13+790+222+16+804+233+11</f>
        <v>3151</v>
      </c>
      <c r="AL1050" s="117" t="s">
        <v>794</v>
      </c>
      <c r="AM1050" s="39">
        <f>16+222+812+220+12+11+233+799</f>
        <v>2325</v>
      </c>
      <c r="AN1050" s="39">
        <f t="shared" si="917"/>
        <v>-826</v>
      </c>
      <c r="AO1050" s="39" t="s">
        <v>274</v>
      </c>
      <c r="AP1050" s="117" t="s">
        <v>744</v>
      </c>
      <c r="AQ1050" s="39">
        <f>839+790+804</f>
        <v>2433</v>
      </c>
      <c r="AR1050" s="117" t="s">
        <v>795</v>
      </c>
      <c r="AS1050" s="39">
        <f>785+812+799</f>
        <v>2396</v>
      </c>
      <c r="AT1050" s="39">
        <f t="shared" si="974"/>
        <v>-37</v>
      </c>
      <c r="AU1050" s="39"/>
      <c r="AV1050" s="39"/>
      <c r="AW1050" s="39"/>
      <c r="AX1050" s="39"/>
      <c r="AY1050" s="39"/>
      <c r="AZ1050" s="39">
        <f t="shared" si="975"/>
        <v>0</v>
      </c>
      <c r="BA1050" s="39"/>
      <c r="BB1050" s="39"/>
      <c r="BC1050" s="39"/>
      <c r="BD1050" s="39"/>
      <c r="BE1050" s="39"/>
      <c r="BF1050" s="39">
        <f t="shared" si="976"/>
        <v>0</v>
      </c>
      <c r="BG1050" s="39" t="s">
        <v>538</v>
      </c>
      <c r="BH1050" s="117" t="s">
        <v>888</v>
      </c>
      <c r="BI1050" s="39">
        <f>781+814+229+12+799+238+11+236+9</f>
        <v>3129</v>
      </c>
      <c r="BJ1050" s="117" t="s">
        <v>1055</v>
      </c>
      <c r="BK1050" s="39">
        <f>793+12+226+767+763+235+11+232+16+32</f>
        <v>3087</v>
      </c>
      <c r="BL1050" s="39">
        <f t="shared" si="919"/>
        <v>-42</v>
      </c>
      <c r="BM1050" s="54" t="str">
        <f t="shared" si="977"/>
        <v/>
      </c>
      <c r="BN1050" s="58">
        <v>46178</v>
      </c>
      <c r="BO1050" s="57">
        <v>46193</v>
      </c>
      <c r="BP1050" s="36"/>
      <c r="BQ1050" s="36"/>
      <c r="BR1050" s="50">
        <v>46160</v>
      </c>
      <c r="BS1050" s="50">
        <v>46204</v>
      </c>
      <c r="BT1050" s="39" t="s">
        <v>926</v>
      </c>
      <c r="BU1050" s="39">
        <f>793+742+25+763</f>
        <v>2323</v>
      </c>
      <c r="BV1050" s="39" t="s">
        <v>1300</v>
      </c>
      <c r="BW1050" s="39">
        <f>235+232+226</f>
        <v>693</v>
      </c>
      <c r="BX1050" s="39" t="s">
        <v>1300</v>
      </c>
      <c r="BY1050" s="39">
        <f>11+16+12</f>
        <v>39</v>
      </c>
      <c r="BZ1050" s="39">
        <f t="shared" si="920"/>
        <v>3055</v>
      </c>
      <c r="CA1050" s="39">
        <f t="shared" si="978"/>
        <v>64</v>
      </c>
      <c r="CB1050" s="39">
        <f t="shared" si="979"/>
        <v>48</v>
      </c>
      <c r="CC1050" s="39">
        <f t="shared" si="980"/>
        <v>12</v>
      </c>
      <c r="CD1050" s="39">
        <f t="shared" si="921"/>
        <v>0</v>
      </c>
      <c r="CE1050" s="102">
        <f t="shared" si="981"/>
        <v>0</v>
      </c>
      <c r="CF1050" s="36"/>
      <c r="CG1050" s="39" t="s">
        <v>244</v>
      </c>
      <c r="CH1050" s="39"/>
      <c r="CI1050" s="25">
        <v>1</v>
      </c>
    </row>
    <row r="1051" spans="1:101" ht="24.75" customHeight="1">
      <c r="A1051" s="36" t="s">
        <v>46</v>
      </c>
      <c r="B1051" s="30">
        <v>47398</v>
      </c>
      <c r="C1051" s="227" t="s">
        <v>1688</v>
      </c>
      <c r="D1051" s="23" t="s">
        <v>108</v>
      </c>
      <c r="E1051" s="39">
        <v>280</v>
      </c>
      <c r="F1051" s="39" t="s">
        <v>65</v>
      </c>
      <c r="G1051" s="36" t="s">
        <v>469</v>
      </c>
      <c r="H1051" s="36" t="s">
        <v>196</v>
      </c>
      <c r="I1051" s="39">
        <f>1854-403</f>
        <v>1451</v>
      </c>
      <c r="J1051" s="39"/>
      <c r="K1051" s="39">
        <v>64</v>
      </c>
      <c r="L1051" s="39">
        <f t="shared" ref="L1051:L1053" si="1013">SUM(I1051:K1051)</f>
        <v>1515</v>
      </c>
      <c r="M1051" s="117">
        <v>46150</v>
      </c>
      <c r="N1051" s="117">
        <v>46167</v>
      </c>
      <c r="O1051" s="39"/>
      <c r="P1051" s="39"/>
      <c r="Q1051" s="39"/>
      <c r="R1051" s="39">
        <f t="shared" ref="R1051:R1054" si="1014">SUM(O1051:Q1051)</f>
        <v>0</v>
      </c>
      <c r="S1051" s="39" t="s">
        <v>100</v>
      </c>
      <c r="T1051" s="39"/>
      <c r="U1051" s="39"/>
      <c r="V1051" s="117" t="s">
        <v>880</v>
      </c>
      <c r="W1051" s="39">
        <f>1721+75+411</f>
        <v>2207</v>
      </c>
      <c r="X1051" s="117" t="s">
        <v>1555</v>
      </c>
      <c r="Y1051" s="39">
        <f>667+1089+110+30</f>
        <v>1896</v>
      </c>
      <c r="Z1051" s="39"/>
      <c r="AA1051" s="39">
        <f>24+39+3</f>
        <v>66</v>
      </c>
      <c r="AB1051" s="119">
        <f t="shared" ref="AB1051:AB1059" si="1015">SUM(Y1051:AA1051)</f>
        <v>1962</v>
      </c>
      <c r="AC1051" s="39"/>
      <c r="AD1051" s="39"/>
      <c r="AE1051" s="39"/>
      <c r="AF1051" s="39"/>
      <c r="AG1051" s="39"/>
      <c r="AH1051" s="39">
        <f t="shared" si="918"/>
        <v>0</v>
      </c>
      <c r="AI1051" s="39"/>
      <c r="AJ1051" s="39"/>
      <c r="AK1051" s="39"/>
      <c r="AL1051" s="39"/>
      <c r="AM1051" s="39"/>
      <c r="AN1051" s="39">
        <f t="shared" si="917"/>
        <v>0</v>
      </c>
      <c r="AO1051" s="39" t="s">
        <v>280</v>
      </c>
      <c r="AP1051" s="117" t="s">
        <v>1562</v>
      </c>
      <c r="AQ1051" s="39">
        <f>666+1090+111+30</f>
        <v>1897</v>
      </c>
      <c r="AR1051" s="117" t="s">
        <v>1622</v>
      </c>
      <c r="AS1051" s="39">
        <f>661+1083+109+30</f>
        <v>1883</v>
      </c>
      <c r="AT1051" s="39">
        <f t="shared" si="974"/>
        <v>-14</v>
      </c>
      <c r="AU1051" s="39" t="s">
        <v>257</v>
      </c>
      <c r="AV1051" s="117" t="s">
        <v>1385</v>
      </c>
      <c r="AW1051" s="39">
        <f>661+111</f>
        <v>772</v>
      </c>
      <c r="AX1051" s="117" t="s">
        <v>1430</v>
      </c>
      <c r="AY1051" s="39">
        <f>650+109</f>
        <v>759</v>
      </c>
      <c r="AZ1051" s="39">
        <f t="shared" si="975"/>
        <v>-13</v>
      </c>
      <c r="BA1051" s="39"/>
      <c r="BB1051" s="39"/>
      <c r="BC1051" s="39"/>
      <c r="BD1051" s="39"/>
      <c r="BE1051" s="39"/>
      <c r="BF1051" s="39">
        <f t="shared" si="976"/>
        <v>0</v>
      </c>
      <c r="BG1051" s="39" t="s">
        <v>28</v>
      </c>
      <c r="BH1051" s="117" t="s">
        <v>1306</v>
      </c>
      <c r="BI1051" s="39">
        <f>650+1086</f>
        <v>1736</v>
      </c>
      <c r="BJ1051" s="117" t="s">
        <v>1382</v>
      </c>
      <c r="BK1051" s="39">
        <f>620+1052</f>
        <v>1672</v>
      </c>
      <c r="BL1051" s="39">
        <f t="shared" si="919"/>
        <v>-64</v>
      </c>
      <c r="BM1051" s="54" t="str">
        <f t="shared" si="977"/>
        <v/>
      </c>
      <c r="BN1051" s="58">
        <v>46179</v>
      </c>
      <c r="BO1051" s="57">
        <v>46195</v>
      </c>
      <c r="BP1051" s="36"/>
      <c r="BQ1051" s="36"/>
      <c r="BR1051" s="229">
        <v>46191</v>
      </c>
      <c r="BS1051" s="229">
        <v>46216</v>
      </c>
      <c r="BT1051" s="39" t="s">
        <v>2136</v>
      </c>
      <c r="BU1051" s="39">
        <f>620+852+202+106</f>
        <v>1780</v>
      </c>
      <c r="BV1051" s="39"/>
      <c r="BW1051" s="39"/>
      <c r="BX1051" s="39" t="s">
        <v>1610</v>
      </c>
      <c r="BY1051" s="39">
        <f>24+39+3</f>
        <v>66</v>
      </c>
      <c r="BZ1051" s="39">
        <f t="shared" si="920"/>
        <v>1846</v>
      </c>
      <c r="CA1051" s="39">
        <f t="shared" si="978"/>
        <v>329</v>
      </c>
      <c r="CB1051" s="39">
        <f t="shared" si="979"/>
        <v>0</v>
      </c>
      <c r="CC1051" s="39">
        <f t="shared" si="980"/>
        <v>2</v>
      </c>
      <c r="CD1051" s="39">
        <v>0</v>
      </c>
      <c r="CE1051" s="102">
        <f t="shared" si="981"/>
        <v>0</v>
      </c>
      <c r="CF1051" s="36"/>
      <c r="CG1051" s="39" t="s">
        <v>238</v>
      </c>
      <c r="CH1051" s="39" t="s">
        <v>1571</v>
      </c>
      <c r="CI1051" s="25">
        <v>1</v>
      </c>
    </row>
    <row r="1052" spans="1:101" ht="24.75" customHeight="1">
      <c r="A1052" s="36" t="s">
        <v>46</v>
      </c>
      <c r="B1052" s="30">
        <v>47398</v>
      </c>
      <c r="C1052" s="231"/>
      <c r="D1052" s="23" t="s">
        <v>108</v>
      </c>
      <c r="E1052" s="39">
        <v>280</v>
      </c>
      <c r="F1052" s="39" t="s">
        <v>65</v>
      </c>
      <c r="G1052" s="36" t="s">
        <v>649</v>
      </c>
      <c r="H1052" s="36" t="s">
        <v>196</v>
      </c>
      <c r="I1052" s="39">
        <v>181</v>
      </c>
      <c r="J1052" s="39"/>
      <c r="K1052" s="39"/>
      <c r="L1052" s="39">
        <f t="shared" si="1013"/>
        <v>181</v>
      </c>
      <c r="M1052" s="117">
        <v>46150</v>
      </c>
      <c r="N1052" s="117">
        <v>46167</v>
      </c>
      <c r="O1052" s="39"/>
      <c r="P1052" s="39"/>
      <c r="Q1052" s="39"/>
      <c r="R1052" s="39">
        <f t="shared" si="1014"/>
        <v>0</v>
      </c>
      <c r="S1052" s="39" t="s">
        <v>100</v>
      </c>
      <c r="T1052" s="39"/>
      <c r="U1052" s="39"/>
      <c r="V1052" s="117">
        <v>46160</v>
      </c>
      <c r="W1052" s="39">
        <v>223</v>
      </c>
      <c r="X1052" s="117">
        <v>46188</v>
      </c>
      <c r="Y1052" s="39">
        <v>191</v>
      </c>
      <c r="Z1052" s="39"/>
      <c r="AA1052" s="39"/>
      <c r="AB1052" s="119">
        <f t="shared" si="1015"/>
        <v>191</v>
      </c>
      <c r="AC1052" s="39"/>
      <c r="AD1052" s="39"/>
      <c r="AE1052" s="39"/>
      <c r="AF1052" s="39"/>
      <c r="AG1052" s="39"/>
      <c r="AH1052" s="39">
        <f t="shared" si="918"/>
        <v>0</v>
      </c>
      <c r="AI1052" s="39"/>
      <c r="AJ1052" s="39"/>
      <c r="AK1052" s="39"/>
      <c r="AL1052" s="39"/>
      <c r="AM1052" s="39"/>
      <c r="AN1052" s="39">
        <f t="shared" si="917"/>
        <v>0</v>
      </c>
      <c r="AO1052" s="39" t="s">
        <v>305</v>
      </c>
      <c r="AP1052" s="117" t="s">
        <v>1874</v>
      </c>
      <c r="AQ1052" s="39">
        <f>177+16</f>
        <v>193</v>
      </c>
      <c r="AR1052" s="117" t="s">
        <v>1877</v>
      </c>
      <c r="AS1052" s="39">
        <f>173+15</f>
        <v>188</v>
      </c>
      <c r="AT1052" s="39">
        <f t="shared" si="974"/>
        <v>-5</v>
      </c>
      <c r="AU1052" s="39" t="s">
        <v>256</v>
      </c>
      <c r="AV1052" s="117">
        <v>46205</v>
      </c>
      <c r="AW1052" s="39">
        <v>173</v>
      </c>
      <c r="AX1052" s="117">
        <v>46205</v>
      </c>
      <c r="AY1052" s="39">
        <v>173</v>
      </c>
      <c r="AZ1052" s="39">
        <f t="shared" si="975"/>
        <v>0</v>
      </c>
      <c r="BA1052" s="39"/>
      <c r="BB1052" s="39"/>
      <c r="BC1052" s="39"/>
      <c r="BD1052" s="39"/>
      <c r="BE1052" s="39"/>
      <c r="BF1052" s="39">
        <f t="shared" si="976"/>
        <v>0</v>
      </c>
      <c r="BG1052" s="39"/>
      <c r="BH1052" s="39"/>
      <c r="BI1052" s="39"/>
      <c r="BJ1052" s="39"/>
      <c r="BK1052" s="39"/>
      <c r="BL1052" s="39">
        <f t="shared" si="919"/>
        <v>0</v>
      </c>
      <c r="BM1052" s="54" t="str">
        <f t="shared" si="977"/>
        <v/>
      </c>
      <c r="BN1052" s="58">
        <v>46179</v>
      </c>
      <c r="BO1052" s="57">
        <v>46195</v>
      </c>
      <c r="BP1052" s="36"/>
      <c r="BQ1052" s="36"/>
      <c r="BR1052" s="232"/>
      <c r="BS1052" s="232"/>
      <c r="BT1052" s="39" t="s">
        <v>1423</v>
      </c>
      <c r="BU1052" s="39">
        <f>17+160</f>
        <v>177</v>
      </c>
      <c r="BV1052" s="39"/>
      <c r="BW1052" s="39"/>
      <c r="BX1052" s="39"/>
      <c r="BY1052" s="39"/>
      <c r="BZ1052" s="39">
        <f t="shared" si="920"/>
        <v>177</v>
      </c>
      <c r="CA1052" s="39">
        <f t="shared" si="978"/>
        <v>-4</v>
      </c>
      <c r="CB1052" s="39">
        <f t="shared" si="979"/>
        <v>0</v>
      </c>
      <c r="CC1052" s="39">
        <f t="shared" si="980"/>
        <v>0</v>
      </c>
      <c r="CD1052" s="39">
        <v>0</v>
      </c>
      <c r="CE1052" s="102">
        <f t="shared" si="981"/>
        <v>0</v>
      </c>
      <c r="CF1052" s="36"/>
      <c r="CG1052" s="39" t="s">
        <v>238</v>
      </c>
      <c r="CH1052" s="39" t="s">
        <v>1571</v>
      </c>
      <c r="CI1052" s="25">
        <v>1</v>
      </c>
    </row>
    <row r="1053" spans="1:101" ht="24.75" customHeight="1">
      <c r="A1053" s="36" t="s">
        <v>46</v>
      </c>
      <c r="B1053" s="30">
        <v>47398</v>
      </c>
      <c r="C1053" s="231"/>
      <c r="D1053" s="23" t="s">
        <v>108</v>
      </c>
      <c r="E1053" s="39">
        <v>280</v>
      </c>
      <c r="F1053" s="39" t="s">
        <v>65</v>
      </c>
      <c r="G1053" s="36" t="s">
        <v>650</v>
      </c>
      <c r="H1053" s="36" t="s">
        <v>196</v>
      </c>
      <c r="I1053" s="39">
        <f>3625-788</f>
        <v>2837</v>
      </c>
      <c r="J1053" s="39"/>
      <c r="K1053" s="39">
        <v>125</v>
      </c>
      <c r="L1053" s="39">
        <f t="shared" si="1013"/>
        <v>2962</v>
      </c>
      <c r="M1053" s="117">
        <v>46150</v>
      </c>
      <c r="N1053" s="117">
        <v>46167</v>
      </c>
      <c r="O1053" s="39"/>
      <c r="P1053" s="39"/>
      <c r="Q1053" s="39"/>
      <c r="R1053" s="39">
        <f t="shared" si="1014"/>
        <v>0</v>
      </c>
      <c r="S1053" s="39" t="s">
        <v>100</v>
      </c>
      <c r="T1053" s="39"/>
      <c r="U1053" s="39"/>
      <c r="V1053" s="117" t="s">
        <v>978</v>
      </c>
      <c r="W1053" s="39">
        <f>2752+153+844+552</f>
        <v>4301</v>
      </c>
      <c r="X1053" s="117" t="s">
        <v>1364</v>
      </c>
      <c r="Y1053" s="39">
        <f>257+1104+1132+560+669</f>
        <v>3722</v>
      </c>
      <c r="Z1053" s="39"/>
      <c r="AA1053" s="39">
        <f>11+39+41+20+25</f>
        <v>136</v>
      </c>
      <c r="AB1053" s="119">
        <f t="shared" si="1015"/>
        <v>3858</v>
      </c>
      <c r="AC1053" s="39"/>
      <c r="AD1053" s="39"/>
      <c r="AE1053" s="39"/>
      <c r="AF1053" s="39"/>
      <c r="AG1053" s="39"/>
      <c r="AH1053" s="39">
        <f t="shared" si="918"/>
        <v>0</v>
      </c>
      <c r="AI1053" s="39"/>
      <c r="AJ1053" s="39"/>
      <c r="AK1053" s="39"/>
      <c r="AL1053" s="39"/>
      <c r="AM1053" s="39"/>
      <c r="AN1053" s="39">
        <f t="shared" si="917"/>
        <v>0</v>
      </c>
      <c r="AO1053" s="39" t="s">
        <v>305</v>
      </c>
      <c r="AP1053" s="117" t="s">
        <v>1386</v>
      </c>
      <c r="AQ1053" s="39">
        <f>1052+1136+257+50+560+667</f>
        <v>3722</v>
      </c>
      <c r="AR1053" s="117" t="s">
        <v>1410</v>
      </c>
      <c r="AS1053" s="39">
        <f>1057+253+51+1135+563+651</f>
        <v>3710</v>
      </c>
      <c r="AT1053" s="39">
        <f t="shared" si="974"/>
        <v>-12</v>
      </c>
      <c r="AU1053" s="39" t="s">
        <v>257</v>
      </c>
      <c r="AV1053" s="117" t="s">
        <v>1387</v>
      </c>
      <c r="AW1053" s="39">
        <f>1057+253+51+1135+563+667</f>
        <v>3726</v>
      </c>
      <c r="AX1053" s="117" t="s">
        <v>1411</v>
      </c>
      <c r="AY1053" s="39">
        <f>1037+248+1115+50+553+651</f>
        <v>3654</v>
      </c>
      <c r="AZ1053" s="39">
        <f t="shared" si="975"/>
        <v>-72</v>
      </c>
      <c r="BA1053" s="39"/>
      <c r="BB1053" s="39"/>
      <c r="BC1053" s="39"/>
      <c r="BD1053" s="39"/>
      <c r="BE1053" s="39"/>
      <c r="BF1053" s="39">
        <f t="shared" si="976"/>
        <v>0</v>
      </c>
      <c r="BG1053" s="39" t="s">
        <v>28</v>
      </c>
      <c r="BH1053" s="117">
        <v>46200</v>
      </c>
      <c r="BI1053" s="39">
        <f>1037</f>
        <v>1037</v>
      </c>
      <c r="BJ1053" s="117">
        <v>46204</v>
      </c>
      <c r="BK1053" s="39">
        <f>998</f>
        <v>998</v>
      </c>
      <c r="BL1053" s="39">
        <f t="shared" si="919"/>
        <v>-39</v>
      </c>
      <c r="BM1053" s="54" t="str">
        <f t="shared" si="977"/>
        <v/>
      </c>
      <c r="BN1053" s="58">
        <v>46179</v>
      </c>
      <c r="BO1053" s="57">
        <v>46195</v>
      </c>
      <c r="BP1053" s="36"/>
      <c r="BQ1053" s="36"/>
      <c r="BR1053" s="232"/>
      <c r="BS1053" s="232"/>
      <c r="BT1053" s="39" t="s">
        <v>1826</v>
      </c>
      <c r="BU1053" s="39">
        <f>49+946+239+131+998+527+366+158+96</f>
        <v>3510</v>
      </c>
      <c r="BV1053" s="39"/>
      <c r="BW1053" s="39"/>
      <c r="BX1053" s="39" t="s">
        <v>1671</v>
      </c>
      <c r="BY1053" s="39">
        <f>11+39+41+25+20</f>
        <v>136</v>
      </c>
      <c r="BZ1053" s="39">
        <f t="shared" si="920"/>
        <v>3646</v>
      </c>
      <c r="CA1053" s="39">
        <f t="shared" si="978"/>
        <v>673</v>
      </c>
      <c r="CB1053" s="39">
        <f t="shared" si="979"/>
        <v>0</v>
      </c>
      <c r="CC1053" s="39">
        <f t="shared" si="980"/>
        <v>11</v>
      </c>
      <c r="CD1053" s="39">
        <v>0</v>
      </c>
      <c r="CE1053" s="102">
        <f t="shared" si="981"/>
        <v>0</v>
      </c>
      <c r="CF1053" s="36"/>
      <c r="CG1053" s="39" t="s">
        <v>238</v>
      </c>
      <c r="CH1053" s="39" t="s">
        <v>1714</v>
      </c>
      <c r="CI1053" s="25">
        <v>1</v>
      </c>
    </row>
    <row r="1054" spans="1:101" ht="24.75" customHeight="1">
      <c r="A1054" s="36" t="s">
        <v>46</v>
      </c>
      <c r="B1054" s="30">
        <v>47398</v>
      </c>
      <c r="C1054" s="228"/>
      <c r="D1054" s="23" t="s">
        <v>108</v>
      </c>
      <c r="E1054" s="39">
        <v>280</v>
      </c>
      <c r="F1054" s="39" t="s">
        <v>65</v>
      </c>
      <c r="G1054" s="36" t="s">
        <v>490</v>
      </c>
      <c r="H1054" s="36" t="s">
        <v>196</v>
      </c>
      <c r="I1054" s="39">
        <v>355</v>
      </c>
      <c r="J1054" s="39"/>
      <c r="K1054" s="39"/>
      <c r="L1054" s="39">
        <f t="shared" ref="L1054:L1057" si="1016">SUM(I1054:K1054)</f>
        <v>355</v>
      </c>
      <c r="M1054" s="117">
        <v>46150</v>
      </c>
      <c r="N1054" s="117">
        <v>46167</v>
      </c>
      <c r="O1054" s="39"/>
      <c r="P1054" s="39"/>
      <c r="Q1054" s="39"/>
      <c r="R1054" s="39">
        <f t="shared" si="1014"/>
        <v>0</v>
      </c>
      <c r="S1054" s="39" t="s">
        <v>100</v>
      </c>
      <c r="T1054" s="39"/>
      <c r="U1054" s="39"/>
      <c r="V1054" s="117">
        <v>46160</v>
      </c>
      <c r="W1054" s="39">
        <v>415</v>
      </c>
      <c r="X1054" s="117">
        <v>46191</v>
      </c>
      <c r="Y1054" s="39">
        <v>392</v>
      </c>
      <c r="Z1054" s="39"/>
      <c r="AA1054" s="39"/>
      <c r="AB1054" s="119">
        <f t="shared" si="1015"/>
        <v>392</v>
      </c>
      <c r="AC1054" s="39"/>
      <c r="AD1054" s="39"/>
      <c r="AE1054" s="39"/>
      <c r="AF1054" s="39"/>
      <c r="AG1054" s="39"/>
      <c r="AH1054" s="39">
        <f t="shared" si="918"/>
        <v>0</v>
      </c>
      <c r="AI1054" s="39"/>
      <c r="AJ1054" s="39"/>
      <c r="AK1054" s="39"/>
      <c r="AL1054" s="39"/>
      <c r="AM1054" s="39"/>
      <c r="AN1054" s="39">
        <f t="shared" si="917"/>
        <v>0</v>
      </c>
      <c r="AO1054" s="39" t="s">
        <v>280</v>
      </c>
      <c r="AP1054" s="117">
        <v>46192</v>
      </c>
      <c r="AQ1054" s="39">
        <v>390</v>
      </c>
      <c r="AR1054" s="117">
        <v>46195</v>
      </c>
      <c r="AS1054" s="39">
        <v>388</v>
      </c>
      <c r="AT1054" s="39">
        <f t="shared" si="974"/>
        <v>-2</v>
      </c>
      <c r="AU1054" s="39" t="s">
        <v>257</v>
      </c>
      <c r="AV1054" s="117">
        <v>46195</v>
      </c>
      <c r="AW1054" s="39">
        <v>388</v>
      </c>
      <c r="AX1054" s="117">
        <v>46196</v>
      </c>
      <c r="AY1054" s="39">
        <v>382</v>
      </c>
      <c r="AZ1054" s="39">
        <f t="shared" si="975"/>
        <v>-6</v>
      </c>
      <c r="BA1054" s="39"/>
      <c r="BB1054" s="39"/>
      <c r="BC1054" s="39"/>
      <c r="BD1054" s="39"/>
      <c r="BE1054" s="39"/>
      <c r="BF1054" s="39">
        <f t="shared" si="976"/>
        <v>0</v>
      </c>
      <c r="BG1054" s="39"/>
      <c r="BH1054" s="39"/>
      <c r="BI1054" s="39"/>
      <c r="BJ1054" s="39"/>
      <c r="BK1054" s="39"/>
      <c r="BL1054" s="39">
        <f t="shared" si="919"/>
        <v>0</v>
      </c>
      <c r="BM1054" s="54" t="str">
        <f t="shared" si="977"/>
        <v/>
      </c>
      <c r="BN1054" s="58">
        <v>46179</v>
      </c>
      <c r="BO1054" s="57">
        <v>46195</v>
      </c>
      <c r="BP1054" s="36"/>
      <c r="BQ1054" s="36"/>
      <c r="BR1054" s="230"/>
      <c r="BS1054" s="230"/>
      <c r="BT1054" s="39" t="s">
        <v>1453</v>
      </c>
      <c r="BU1054" s="39">
        <f>336+37</f>
        <v>373</v>
      </c>
      <c r="BV1054" s="39"/>
      <c r="BW1054" s="39"/>
      <c r="BX1054" s="39"/>
      <c r="BY1054" s="39"/>
      <c r="BZ1054" s="39">
        <f t="shared" si="920"/>
        <v>373</v>
      </c>
      <c r="CA1054" s="39">
        <f t="shared" si="978"/>
        <v>18</v>
      </c>
      <c r="CB1054" s="39">
        <f t="shared" si="979"/>
        <v>0</v>
      </c>
      <c r="CC1054" s="39">
        <f t="shared" si="980"/>
        <v>0</v>
      </c>
      <c r="CD1054" s="39">
        <f t="shared" si="921"/>
        <v>0</v>
      </c>
      <c r="CE1054" s="102">
        <f t="shared" si="981"/>
        <v>0</v>
      </c>
      <c r="CF1054" s="36"/>
      <c r="CG1054" s="39" t="s">
        <v>238</v>
      </c>
      <c r="CH1054" s="39" t="s">
        <v>1571</v>
      </c>
      <c r="CI1054" s="25">
        <v>1</v>
      </c>
    </row>
    <row r="1055" spans="1:101" ht="37.5">
      <c r="A1055" s="36" t="s">
        <v>46</v>
      </c>
      <c r="B1055" s="30">
        <v>47399</v>
      </c>
      <c r="C1055" s="36" t="s">
        <v>651</v>
      </c>
      <c r="D1055" s="23" t="s">
        <v>109</v>
      </c>
      <c r="E1055" s="39">
        <v>300</v>
      </c>
      <c r="F1055" s="39" t="s">
        <v>55</v>
      </c>
      <c r="G1055" s="36" t="s">
        <v>652</v>
      </c>
      <c r="H1055" s="36" t="s">
        <v>196</v>
      </c>
      <c r="I1055" s="39">
        <v>1370</v>
      </c>
      <c r="J1055" s="39"/>
      <c r="K1055" s="39">
        <v>50</v>
      </c>
      <c r="L1055" s="39">
        <f t="shared" si="1016"/>
        <v>1420</v>
      </c>
      <c r="M1055" s="117">
        <v>46153</v>
      </c>
      <c r="N1055" s="117">
        <v>46167</v>
      </c>
      <c r="O1055" s="39"/>
      <c r="P1055" s="39"/>
      <c r="Q1055" s="39"/>
      <c r="R1055" s="39">
        <f t="shared" ref="R1055" si="1017">SUM(O1055:Q1055)</f>
        <v>0</v>
      </c>
      <c r="S1055" s="39" t="s">
        <v>130</v>
      </c>
      <c r="T1055" s="39" t="s">
        <v>772</v>
      </c>
      <c r="U1055" s="117">
        <v>46153</v>
      </c>
      <c r="V1055" s="39"/>
      <c r="W1055" s="39"/>
      <c r="X1055" s="39"/>
      <c r="Y1055" s="39">
        <f>809+809</f>
        <v>1618</v>
      </c>
      <c r="Z1055" s="39"/>
      <c r="AA1055" s="39">
        <f>33+33</f>
        <v>66</v>
      </c>
      <c r="AB1055" s="119">
        <f t="shared" si="1015"/>
        <v>1684</v>
      </c>
      <c r="AC1055" s="39"/>
      <c r="AD1055" s="39"/>
      <c r="AE1055" s="39"/>
      <c r="AF1055" s="39"/>
      <c r="AG1055" s="39"/>
      <c r="AH1055" s="39">
        <f t="shared" si="918"/>
        <v>0</v>
      </c>
      <c r="AI1055" s="39" t="s">
        <v>257</v>
      </c>
      <c r="AJ1055" s="117">
        <v>46155</v>
      </c>
      <c r="AK1055" s="39">
        <f>754+27+742+32</f>
        <v>1555</v>
      </c>
      <c r="AL1055" s="117" t="s">
        <v>977</v>
      </c>
      <c r="AM1055" s="39">
        <f>24+732+26+19+678+31</f>
        <v>1510</v>
      </c>
      <c r="AN1055" s="39">
        <f t="shared" si="917"/>
        <v>-45</v>
      </c>
      <c r="AO1055" s="39" t="s">
        <v>257</v>
      </c>
      <c r="AP1055" s="117">
        <v>46155</v>
      </c>
      <c r="AQ1055" s="39">
        <f>754+742</f>
        <v>1496</v>
      </c>
      <c r="AR1055" s="117" t="s">
        <v>977</v>
      </c>
      <c r="AS1055" s="39">
        <f>24+732+19+678</f>
        <v>1453</v>
      </c>
      <c r="AT1055" s="39">
        <f t="shared" si="974"/>
        <v>-43</v>
      </c>
      <c r="AU1055" s="39"/>
      <c r="AV1055" s="39"/>
      <c r="AW1055" s="39"/>
      <c r="AX1055" s="39"/>
      <c r="AY1055" s="39"/>
      <c r="AZ1055" s="39">
        <f t="shared" si="975"/>
        <v>0</v>
      </c>
      <c r="BA1055" s="39"/>
      <c r="BB1055" s="39"/>
      <c r="BC1055" s="39"/>
      <c r="BD1055" s="39"/>
      <c r="BE1055" s="39"/>
      <c r="BF1055" s="39">
        <f t="shared" si="976"/>
        <v>0</v>
      </c>
      <c r="BG1055" s="39" t="s">
        <v>450</v>
      </c>
      <c r="BH1055" s="117">
        <v>46162</v>
      </c>
      <c r="BI1055" s="39">
        <f>740+27</f>
        <v>767</v>
      </c>
      <c r="BJ1055" s="117">
        <v>46179</v>
      </c>
      <c r="BK1055" s="39">
        <f>714+26</f>
        <v>740</v>
      </c>
      <c r="BL1055" s="39">
        <f t="shared" si="919"/>
        <v>-27</v>
      </c>
      <c r="BM1055" s="54" t="str">
        <f t="shared" si="977"/>
        <v/>
      </c>
      <c r="BN1055" s="58">
        <v>46181</v>
      </c>
      <c r="BO1055" s="57">
        <v>46193</v>
      </c>
      <c r="BP1055" s="36"/>
      <c r="BQ1055" s="36"/>
      <c r="BR1055" s="50">
        <v>46167</v>
      </c>
      <c r="BS1055" s="50">
        <v>46188</v>
      </c>
      <c r="BT1055" s="39" t="s">
        <v>1030</v>
      </c>
      <c r="BU1055" s="39">
        <f>24+689+25+655</f>
        <v>1393</v>
      </c>
      <c r="BV1055" s="39"/>
      <c r="BW1055" s="39"/>
      <c r="BX1055" s="39" t="s">
        <v>1031</v>
      </c>
      <c r="BY1055" s="39">
        <f>26+31</f>
        <v>57</v>
      </c>
      <c r="BZ1055" s="39">
        <f t="shared" si="920"/>
        <v>1450</v>
      </c>
      <c r="CA1055" s="39">
        <f t="shared" si="978"/>
        <v>23</v>
      </c>
      <c r="CB1055" s="39">
        <f t="shared" si="979"/>
        <v>0</v>
      </c>
      <c r="CC1055" s="39">
        <f t="shared" si="980"/>
        <v>7</v>
      </c>
      <c r="CD1055" s="39">
        <f t="shared" si="921"/>
        <v>0</v>
      </c>
      <c r="CE1055" s="102">
        <f t="shared" si="981"/>
        <v>0</v>
      </c>
      <c r="CF1055" s="36"/>
      <c r="CG1055" s="39" t="s">
        <v>238</v>
      </c>
      <c r="CH1055" s="39"/>
      <c r="CI1055" s="25">
        <v>1</v>
      </c>
    </row>
    <row r="1056" spans="1:101" ht="24.75" customHeight="1">
      <c r="A1056" s="36" t="s">
        <v>46</v>
      </c>
      <c r="B1056" s="30">
        <v>47505</v>
      </c>
      <c r="C1056" s="227" t="s">
        <v>1029</v>
      </c>
      <c r="D1056" s="23" t="s">
        <v>108</v>
      </c>
      <c r="E1056" s="39">
        <v>300</v>
      </c>
      <c r="F1056" s="39" t="s">
        <v>65</v>
      </c>
      <c r="G1056" s="36" t="s">
        <v>653</v>
      </c>
      <c r="H1056" s="36" t="s">
        <v>487</v>
      </c>
      <c r="I1056" s="39">
        <f>1050+22</f>
        <v>1072</v>
      </c>
      <c r="J1056" s="39">
        <f>365+8</f>
        <v>373</v>
      </c>
      <c r="K1056" s="39"/>
      <c r="L1056" s="39">
        <f t="shared" si="1016"/>
        <v>1445</v>
      </c>
      <c r="M1056" s="117">
        <v>46153</v>
      </c>
      <c r="N1056" s="117">
        <v>46167</v>
      </c>
      <c r="O1056" s="39"/>
      <c r="P1056" s="39"/>
      <c r="Q1056" s="39"/>
      <c r="R1056" s="39">
        <f t="shared" ref="R1056:R1059" si="1018">SUM(O1056:Q1056)</f>
        <v>0</v>
      </c>
      <c r="S1056" s="39" t="s">
        <v>100</v>
      </c>
      <c r="T1056" s="39"/>
      <c r="U1056" s="39"/>
      <c r="V1056" s="117" t="s">
        <v>982</v>
      </c>
      <c r="W1056" s="39">
        <f>1186+409+26+25+10</f>
        <v>1656</v>
      </c>
      <c r="X1056" s="117" t="s">
        <v>1234</v>
      </c>
      <c r="Y1056" s="39">
        <f>813+279</f>
        <v>1092</v>
      </c>
      <c r="Z1056" s="39">
        <f>94+291</f>
        <v>385</v>
      </c>
      <c r="AA1056" s="39">
        <v>6</v>
      </c>
      <c r="AB1056" s="119">
        <f t="shared" si="1015"/>
        <v>1483</v>
      </c>
      <c r="AC1056" s="39"/>
      <c r="AD1056" s="39"/>
      <c r="AE1056" s="39"/>
      <c r="AF1056" s="39"/>
      <c r="AG1056" s="39"/>
      <c r="AH1056" s="39">
        <f t="shared" si="918"/>
        <v>0</v>
      </c>
      <c r="AI1056" s="39"/>
      <c r="AJ1056" s="39"/>
      <c r="AK1056" s="39"/>
      <c r="AL1056" s="39"/>
      <c r="AM1056" s="39"/>
      <c r="AN1056" s="39">
        <f t="shared" si="917"/>
        <v>0</v>
      </c>
      <c r="AO1056" s="39" t="s">
        <v>280</v>
      </c>
      <c r="AP1056" s="117" t="s">
        <v>1083</v>
      </c>
      <c r="AQ1056" s="39">
        <f>812+280</f>
        <v>1092</v>
      </c>
      <c r="AR1056" s="117">
        <v>46195</v>
      </c>
      <c r="AS1056" s="39">
        <f>800+273</f>
        <v>1073</v>
      </c>
      <c r="AT1056" s="39">
        <f t="shared" si="974"/>
        <v>-19</v>
      </c>
      <c r="AU1056" s="39" t="s">
        <v>257</v>
      </c>
      <c r="AV1056" s="117">
        <v>46195</v>
      </c>
      <c r="AW1056" s="39">
        <f>800+273</f>
        <v>1073</v>
      </c>
      <c r="AX1056" s="117">
        <v>46195</v>
      </c>
      <c r="AY1056" s="39">
        <f>785+268</f>
        <v>1053</v>
      </c>
      <c r="AZ1056" s="39">
        <f t="shared" si="975"/>
        <v>-20</v>
      </c>
      <c r="BA1056" s="39"/>
      <c r="BB1056" s="39"/>
      <c r="BC1056" s="39"/>
      <c r="BD1056" s="39"/>
      <c r="BE1056" s="39"/>
      <c r="BF1056" s="39">
        <f t="shared" si="976"/>
        <v>0</v>
      </c>
      <c r="BG1056" s="39"/>
      <c r="BH1056" s="39"/>
      <c r="BI1056" s="39"/>
      <c r="BJ1056" s="39"/>
      <c r="BK1056" s="39"/>
      <c r="BL1056" s="39">
        <f t="shared" si="919"/>
        <v>0</v>
      </c>
      <c r="BM1056" s="54" t="str">
        <f t="shared" si="977"/>
        <v/>
      </c>
      <c r="BN1056" s="58">
        <v>46179</v>
      </c>
      <c r="BO1056" s="57">
        <v>46198</v>
      </c>
      <c r="BP1056" s="36"/>
      <c r="BQ1056" s="36"/>
      <c r="BR1056" s="229">
        <v>46198</v>
      </c>
      <c r="BS1056" s="229">
        <v>46226</v>
      </c>
      <c r="BT1056" s="39" t="s">
        <v>1200</v>
      </c>
      <c r="BU1056" s="39">
        <f>22+238+759</f>
        <v>1019</v>
      </c>
      <c r="BV1056" s="39" t="s">
        <v>1249</v>
      </c>
      <c r="BW1056" s="39">
        <f>94+291</f>
        <v>385</v>
      </c>
      <c r="BX1056" s="39"/>
      <c r="BY1056" s="39"/>
      <c r="BZ1056" s="39">
        <f t="shared" si="920"/>
        <v>1404</v>
      </c>
      <c r="CA1056" s="39">
        <f t="shared" si="978"/>
        <v>-53</v>
      </c>
      <c r="CB1056" s="39">
        <f t="shared" si="979"/>
        <v>12</v>
      </c>
      <c r="CC1056" s="39">
        <f t="shared" si="980"/>
        <v>0</v>
      </c>
      <c r="CD1056" s="39">
        <v>0</v>
      </c>
      <c r="CE1056" s="102">
        <f t="shared" si="981"/>
        <v>0</v>
      </c>
      <c r="CF1056" s="36"/>
      <c r="CG1056" s="39" t="s">
        <v>238</v>
      </c>
      <c r="CH1056" s="39" t="s">
        <v>1723</v>
      </c>
      <c r="CI1056" s="25">
        <v>1</v>
      </c>
    </row>
    <row r="1057" spans="1:87" ht="24.75" customHeight="1">
      <c r="A1057" s="36" t="s">
        <v>46</v>
      </c>
      <c r="B1057" s="30">
        <v>47505</v>
      </c>
      <c r="C1057" s="231"/>
      <c r="D1057" s="23" t="s">
        <v>108</v>
      </c>
      <c r="E1057" s="39">
        <v>300</v>
      </c>
      <c r="F1057" s="39" t="s">
        <v>65</v>
      </c>
      <c r="G1057" s="36" t="s">
        <v>654</v>
      </c>
      <c r="H1057" s="36" t="s">
        <v>487</v>
      </c>
      <c r="I1057" s="39">
        <f>160+3+4</f>
        <v>167</v>
      </c>
      <c r="J1057" s="39"/>
      <c r="K1057" s="39"/>
      <c r="L1057" s="39">
        <f t="shared" si="1016"/>
        <v>167</v>
      </c>
      <c r="M1057" s="117">
        <v>46153</v>
      </c>
      <c r="N1057" s="117">
        <v>46167</v>
      </c>
      <c r="O1057" s="39"/>
      <c r="P1057" s="39"/>
      <c r="Q1057" s="39"/>
      <c r="R1057" s="39">
        <f t="shared" si="1018"/>
        <v>0</v>
      </c>
      <c r="S1057" s="39" t="s">
        <v>130</v>
      </c>
      <c r="T1057" s="39">
        <v>107137</v>
      </c>
      <c r="U1057" s="117">
        <v>46203</v>
      </c>
      <c r="V1057" s="39"/>
      <c r="W1057" s="39"/>
      <c r="X1057" s="39"/>
      <c r="Y1057" s="39">
        <v>195</v>
      </c>
      <c r="Z1057" s="39"/>
      <c r="AA1057" s="39"/>
      <c r="AB1057" s="119">
        <f t="shared" si="1015"/>
        <v>195</v>
      </c>
      <c r="AC1057" s="39"/>
      <c r="AD1057" s="39"/>
      <c r="AE1057" s="39"/>
      <c r="AF1057" s="39"/>
      <c r="AG1057" s="39"/>
      <c r="AH1057" s="39">
        <f t="shared" si="918"/>
        <v>0</v>
      </c>
      <c r="AI1057" s="39"/>
      <c r="AJ1057" s="39"/>
      <c r="AK1057" s="39"/>
      <c r="AL1057" s="39"/>
      <c r="AM1057" s="39"/>
      <c r="AN1057" s="39">
        <f t="shared" si="917"/>
        <v>0</v>
      </c>
      <c r="AO1057" s="39" t="s">
        <v>256</v>
      </c>
      <c r="AP1057" s="117">
        <v>46204</v>
      </c>
      <c r="AQ1057" s="39">
        <v>177</v>
      </c>
      <c r="AR1057" s="117">
        <v>46206</v>
      </c>
      <c r="AS1057" s="39">
        <v>177</v>
      </c>
      <c r="AT1057" s="39">
        <f t="shared" si="974"/>
        <v>0</v>
      </c>
      <c r="AU1057" s="39"/>
      <c r="AV1057" s="39"/>
      <c r="AW1057" s="39"/>
      <c r="AX1057" s="39"/>
      <c r="AY1057" s="39"/>
      <c r="AZ1057" s="39">
        <f t="shared" si="975"/>
        <v>0</v>
      </c>
      <c r="BA1057" s="39"/>
      <c r="BB1057" s="39"/>
      <c r="BC1057" s="39"/>
      <c r="BD1057" s="39"/>
      <c r="BE1057" s="39"/>
      <c r="BF1057" s="39">
        <f t="shared" si="976"/>
        <v>0</v>
      </c>
      <c r="BG1057" s="39"/>
      <c r="BH1057" s="39"/>
      <c r="BI1057" s="39"/>
      <c r="BJ1057" s="39"/>
      <c r="BK1057" s="39"/>
      <c r="BL1057" s="39">
        <f t="shared" si="919"/>
        <v>0</v>
      </c>
      <c r="BM1057" s="54" t="str">
        <f t="shared" si="977"/>
        <v/>
      </c>
      <c r="BN1057" s="58">
        <v>46179</v>
      </c>
      <c r="BO1057" s="57">
        <v>46198</v>
      </c>
      <c r="BP1057" s="36"/>
      <c r="BQ1057" s="36"/>
      <c r="BR1057" s="232"/>
      <c r="BS1057" s="232"/>
      <c r="BT1057" s="39">
        <v>1570</v>
      </c>
      <c r="BU1057" s="39">
        <v>169</v>
      </c>
      <c r="BV1057" s="39"/>
      <c r="BW1057" s="39"/>
      <c r="BX1057" s="39"/>
      <c r="BY1057" s="39"/>
      <c r="BZ1057" s="39">
        <f t="shared" si="920"/>
        <v>169</v>
      </c>
      <c r="CA1057" s="39">
        <f t="shared" si="978"/>
        <v>2</v>
      </c>
      <c r="CB1057" s="39">
        <f t="shared" si="979"/>
        <v>0</v>
      </c>
      <c r="CC1057" s="39">
        <f t="shared" si="980"/>
        <v>0</v>
      </c>
      <c r="CD1057" s="39">
        <f t="shared" si="921"/>
        <v>0</v>
      </c>
      <c r="CE1057" s="102">
        <f t="shared" si="981"/>
        <v>0</v>
      </c>
      <c r="CF1057" s="36"/>
      <c r="CG1057" s="39" t="s">
        <v>238</v>
      </c>
      <c r="CH1057" s="39"/>
      <c r="CI1057" s="25">
        <v>1</v>
      </c>
    </row>
    <row r="1058" spans="1:87" ht="24.75" customHeight="1">
      <c r="A1058" s="36" t="s">
        <v>46</v>
      </c>
      <c r="B1058" s="30">
        <v>47505</v>
      </c>
      <c r="C1058" s="231"/>
      <c r="D1058" s="23"/>
      <c r="E1058" s="39">
        <v>160</v>
      </c>
      <c r="F1058" s="39" t="s">
        <v>55</v>
      </c>
      <c r="G1058" s="36" t="s">
        <v>655</v>
      </c>
      <c r="H1058" s="36" t="s">
        <v>22</v>
      </c>
      <c r="I1058" s="39">
        <f>50+1+23</f>
        <v>74</v>
      </c>
      <c r="J1058" s="39"/>
      <c r="K1058" s="39"/>
      <c r="L1058" s="39">
        <f t="shared" ref="L1058" si="1019">SUM(I1058:K1058)</f>
        <v>74</v>
      </c>
      <c r="M1058" s="117">
        <v>46153</v>
      </c>
      <c r="N1058" s="117">
        <v>46191</v>
      </c>
      <c r="O1058" s="39"/>
      <c r="P1058" s="39"/>
      <c r="Q1058" s="39"/>
      <c r="R1058" s="39">
        <f t="shared" si="1018"/>
        <v>0</v>
      </c>
      <c r="S1058" s="39" t="s">
        <v>100</v>
      </c>
      <c r="T1058" s="39"/>
      <c r="U1058" s="39"/>
      <c r="V1058" s="117">
        <v>46195</v>
      </c>
      <c r="W1058" s="39">
        <v>90</v>
      </c>
      <c r="X1058" s="117">
        <v>46210</v>
      </c>
      <c r="Y1058" s="39">
        <v>78</v>
      </c>
      <c r="Z1058" s="39"/>
      <c r="AA1058" s="39"/>
      <c r="AB1058" s="119">
        <f t="shared" si="1015"/>
        <v>78</v>
      </c>
      <c r="AC1058" s="39"/>
      <c r="AD1058" s="39"/>
      <c r="AE1058" s="39"/>
      <c r="AF1058" s="39"/>
      <c r="AG1058" s="39"/>
      <c r="AH1058" s="39">
        <f t="shared" si="918"/>
        <v>0</v>
      </c>
      <c r="AI1058" s="39"/>
      <c r="AJ1058" s="39"/>
      <c r="AK1058" s="39"/>
      <c r="AL1058" s="39"/>
      <c r="AM1058" s="39"/>
      <c r="AN1058" s="39">
        <f t="shared" si="917"/>
        <v>0</v>
      </c>
      <c r="AO1058" s="39"/>
      <c r="AP1058" s="39"/>
      <c r="AQ1058" s="39"/>
      <c r="AR1058" s="39"/>
      <c r="AS1058" s="39"/>
      <c r="AT1058" s="39">
        <f t="shared" si="974"/>
        <v>0</v>
      </c>
      <c r="AU1058" s="39"/>
      <c r="AV1058" s="39"/>
      <c r="AW1058" s="39"/>
      <c r="AX1058" s="39"/>
      <c r="AY1058" s="39"/>
      <c r="AZ1058" s="39">
        <f t="shared" si="975"/>
        <v>0</v>
      </c>
      <c r="BA1058" s="39"/>
      <c r="BB1058" s="39"/>
      <c r="BC1058" s="39"/>
      <c r="BD1058" s="39"/>
      <c r="BE1058" s="39"/>
      <c r="BF1058" s="39">
        <f t="shared" si="976"/>
        <v>0</v>
      </c>
      <c r="BG1058" s="39"/>
      <c r="BH1058" s="39"/>
      <c r="BI1058" s="39"/>
      <c r="BJ1058" s="39"/>
      <c r="BK1058" s="39"/>
      <c r="BL1058" s="39">
        <f t="shared" si="919"/>
        <v>0</v>
      </c>
      <c r="BM1058" s="54" t="str">
        <f t="shared" si="977"/>
        <v/>
      </c>
      <c r="BN1058" s="58">
        <v>46179</v>
      </c>
      <c r="BO1058" s="57">
        <v>46198</v>
      </c>
      <c r="BP1058" s="36"/>
      <c r="BQ1058" s="36"/>
      <c r="BR1058" s="232"/>
      <c r="BS1058" s="232"/>
      <c r="BT1058" s="39">
        <v>1771</v>
      </c>
      <c r="BU1058" s="39">
        <v>78</v>
      </c>
      <c r="BV1058" s="39"/>
      <c r="BW1058" s="39"/>
      <c r="BX1058" s="39"/>
      <c r="BY1058" s="39"/>
      <c r="BZ1058" s="39">
        <f t="shared" si="920"/>
        <v>78</v>
      </c>
      <c r="CA1058" s="39">
        <f t="shared" si="978"/>
        <v>4</v>
      </c>
      <c r="CB1058" s="39">
        <f t="shared" si="979"/>
        <v>0</v>
      </c>
      <c r="CC1058" s="39">
        <f t="shared" si="980"/>
        <v>0</v>
      </c>
      <c r="CD1058" s="39">
        <f t="shared" si="921"/>
        <v>0</v>
      </c>
      <c r="CE1058" s="102">
        <f t="shared" si="981"/>
        <v>0</v>
      </c>
      <c r="CF1058" s="36"/>
      <c r="CG1058" s="39" t="s">
        <v>238</v>
      </c>
      <c r="CH1058" s="39"/>
      <c r="CI1058" s="25">
        <v>1</v>
      </c>
    </row>
    <row r="1059" spans="1:87" ht="24.75" customHeight="1">
      <c r="A1059" s="36" t="s">
        <v>46</v>
      </c>
      <c r="B1059" s="30">
        <v>47505</v>
      </c>
      <c r="C1059" s="228"/>
      <c r="D1059" s="23" t="s">
        <v>108</v>
      </c>
      <c r="E1059" s="39">
        <v>300</v>
      </c>
      <c r="F1059" s="39" t="s">
        <v>65</v>
      </c>
      <c r="G1059" s="36" t="s">
        <v>655</v>
      </c>
      <c r="H1059" s="36" t="s">
        <v>487</v>
      </c>
      <c r="I1059" s="39">
        <f>1504+31-47</f>
        <v>1488</v>
      </c>
      <c r="J1059" s="39"/>
      <c r="K1059" s="39">
        <f>71+2</f>
        <v>73</v>
      </c>
      <c r="L1059" s="39">
        <f t="shared" ref="L1059" si="1020">SUM(I1059:K1059)</f>
        <v>1561</v>
      </c>
      <c r="M1059" s="117">
        <v>46153</v>
      </c>
      <c r="N1059" s="117">
        <v>46167</v>
      </c>
      <c r="O1059" s="39"/>
      <c r="P1059" s="39"/>
      <c r="Q1059" s="39"/>
      <c r="R1059" s="39">
        <f t="shared" si="1018"/>
        <v>0</v>
      </c>
      <c r="S1059" s="39" t="s">
        <v>100</v>
      </c>
      <c r="T1059" s="39">
        <v>107947</v>
      </c>
      <c r="U1059" s="117">
        <v>46224</v>
      </c>
      <c r="V1059" s="117" t="s">
        <v>1176</v>
      </c>
      <c r="W1059" s="39">
        <f>901+176+761-90+33</f>
        <v>1781</v>
      </c>
      <c r="X1059" s="117" t="s">
        <v>1429</v>
      </c>
      <c r="Y1059" s="39">
        <f>11+362+1173+42</f>
        <v>1588</v>
      </c>
      <c r="Z1059" s="39"/>
      <c r="AA1059" s="39">
        <f>18+60</f>
        <v>78</v>
      </c>
      <c r="AB1059" s="119">
        <f t="shared" si="1015"/>
        <v>1666</v>
      </c>
      <c r="AC1059" s="39"/>
      <c r="AD1059" s="39"/>
      <c r="AE1059" s="39"/>
      <c r="AF1059" s="39"/>
      <c r="AG1059" s="39"/>
      <c r="AH1059" s="39">
        <f t="shared" si="918"/>
        <v>0</v>
      </c>
      <c r="AI1059" s="39"/>
      <c r="AJ1059" s="39"/>
      <c r="AK1059" s="39"/>
      <c r="AL1059" s="39"/>
      <c r="AM1059" s="39"/>
      <c r="AN1059" s="39">
        <f t="shared" si="917"/>
        <v>0</v>
      </c>
      <c r="AO1059" s="39" t="s">
        <v>412</v>
      </c>
      <c r="AP1059" s="117" t="s">
        <v>1835</v>
      </c>
      <c r="AQ1059" s="39">
        <f>11+363+1175+38</f>
        <v>1587</v>
      </c>
      <c r="AR1059" s="117" t="s">
        <v>1861</v>
      </c>
      <c r="AS1059" s="39">
        <f>10+364+1140+38</f>
        <v>1552</v>
      </c>
      <c r="AT1059" s="39">
        <f t="shared" si="974"/>
        <v>-35</v>
      </c>
      <c r="AU1059" s="39" t="s">
        <v>274</v>
      </c>
      <c r="AV1059" s="117" t="s">
        <v>1522</v>
      </c>
      <c r="AW1059" s="39">
        <f>11+364+1175+351</f>
        <v>1901</v>
      </c>
      <c r="AX1059" s="117" t="s">
        <v>1550</v>
      </c>
      <c r="AY1059" s="39">
        <f>10+360+1140+351</f>
        <v>1861</v>
      </c>
      <c r="AZ1059" s="39">
        <f t="shared" si="975"/>
        <v>-40</v>
      </c>
      <c r="BA1059" s="39"/>
      <c r="BB1059" s="39"/>
      <c r="BC1059" s="39"/>
      <c r="BD1059" s="39"/>
      <c r="BE1059" s="39"/>
      <c r="BF1059" s="39">
        <f t="shared" si="976"/>
        <v>0</v>
      </c>
      <c r="BG1059" s="39"/>
      <c r="BH1059" s="39"/>
      <c r="BI1059" s="39"/>
      <c r="BJ1059" s="39"/>
      <c r="BK1059" s="39"/>
      <c r="BL1059" s="39">
        <f t="shared" si="919"/>
        <v>0</v>
      </c>
      <c r="BM1059" s="54" t="str">
        <f t="shared" si="977"/>
        <v/>
      </c>
      <c r="BN1059" s="58">
        <v>46179</v>
      </c>
      <c r="BO1059" s="57">
        <v>46198</v>
      </c>
      <c r="BP1059" s="36"/>
      <c r="BQ1059" s="36"/>
      <c r="BR1059" s="230"/>
      <c r="BS1059" s="230"/>
      <c r="BT1059" s="39" t="s">
        <v>1867</v>
      </c>
      <c r="BU1059" s="39">
        <f>10+843+270+328+13+37</f>
        <v>1501</v>
      </c>
      <c r="BV1059" s="39"/>
      <c r="BW1059" s="39"/>
      <c r="BX1059" s="39" t="s">
        <v>1458</v>
      </c>
      <c r="BY1059" s="39">
        <f>18+60</f>
        <v>78</v>
      </c>
      <c r="BZ1059" s="39">
        <f t="shared" si="920"/>
        <v>1579</v>
      </c>
      <c r="CA1059" s="39">
        <f t="shared" si="978"/>
        <v>13</v>
      </c>
      <c r="CB1059" s="39">
        <f t="shared" si="979"/>
        <v>0</v>
      </c>
      <c r="CC1059" s="39">
        <f t="shared" si="980"/>
        <v>5</v>
      </c>
      <c r="CD1059" s="39">
        <v>0</v>
      </c>
      <c r="CE1059" s="102">
        <f t="shared" si="981"/>
        <v>0</v>
      </c>
      <c r="CF1059" s="36"/>
      <c r="CG1059" s="39" t="s">
        <v>238</v>
      </c>
      <c r="CH1059" s="39" t="s">
        <v>1477</v>
      </c>
      <c r="CI1059" s="25">
        <v>1</v>
      </c>
    </row>
    <row r="1060" spans="1:87" ht="24.75" customHeight="1">
      <c r="A1060" s="36" t="s">
        <v>46</v>
      </c>
      <c r="B1060" s="30">
        <v>47491</v>
      </c>
      <c r="C1060" s="227" t="s">
        <v>662</v>
      </c>
      <c r="D1060" s="23"/>
      <c r="E1060" s="39">
        <v>280</v>
      </c>
      <c r="F1060" s="39" t="s">
        <v>55</v>
      </c>
      <c r="G1060" s="36" t="s">
        <v>663</v>
      </c>
      <c r="H1060" s="36" t="s">
        <v>212</v>
      </c>
      <c r="I1060" s="39">
        <v>550</v>
      </c>
      <c r="J1060" s="39"/>
      <c r="K1060" s="39">
        <v>10</v>
      </c>
      <c r="L1060" s="39">
        <f t="shared" ref="L1060:L1061" si="1021">SUM(I1060:K1060)</f>
        <v>560</v>
      </c>
      <c r="M1060" s="117">
        <v>46157</v>
      </c>
      <c r="N1060" s="117">
        <v>46168</v>
      </c>
      <c r="O1060" s="39"/>
      <c r="P1060" s="39"/>
      <c r="Q1060" s="39"/>
      <c r="R1060" s="39">
        <f t="shared" ref="R1060:R1063" si="1022">SUM(O1060:Q1060)</f>
        <v>0</v>
      </c>
      <c r="S1060" s="39" t="s">
        <v>28</v>
      </c>
      <c r="T1060" s="39"/>
      <c r="U1060" s="39"/>
      <c r="V1060" s="117">
        <v>46200</v>
      </c>
      <c r="W1060" s="39">
        <f>614+14</f>
        <v>628</v>
      </c>
      <c r="X1060" s="117">
        <v>46210</v>
      </c>
      <c r="Y1060" s="39">
        <v>554</v>
      </c>
      <c r="Z1060" s="39"/>
      <c r="AA1060" s="39">
        <v>13</v>
      </c>
      <c r="AB1060" s="119">
        <f t="shared" ref="AB1060:AB1063" si="1023">SUM(Y1060:AA1060)</f>
        <v>567</v>
      </c>
      <c r="AC1060" s="39"/>
      <c r="AD1060" s="39"/>
      <c r="AE1060" s="39"/>
      <c r="AF1060" s="39"/>
      <c r="AG1060" s="39"/>
      <c r="AH1060" s="39">
        <f t="shared" si="918"/>
        <v>0</v>
      </c>
      <c r="AI1060" s="39"/>
      <c r="AJ1060" s="39"/>
      <c r="AK1060" s="39"/>
      <c r="AL1060" s="39"/>
      <c r="AM1060" s="39"/>
      <c r="AN1060" s="39">
        <f t="shared" si="917"/>
        <v>0</v>
      </c>
      <c r="AO1060" s="39"/>
      <c r="AP1060" s="39"/>
      <c r="AQ1060" s="39"/>
      <c r="AR1060" s="39"/>
      <c r="AS1060" s="39"/>
      <c r="AT1060" s="39">
        <f t="shared" si="974"/>
        <v>0</v>
      </c>
      <c r="AU1060" s="39"/>
      <c r="AV1060" s="39"/>
      <c r="AW1060" s="39"/>
      <c r="AX1060" s="39"/>
      <c r="AY1060" s="39"/>
      <c r="AZ1060" s="39">
        <f t="shared" si="975"/>
        <v>0</v>
      </c>
      <c r="BA1060" s="39"/>
      <c r="BB1060" s="39"/>
      <c r="BC1060" s="39"/>
      <c r="BD1060" s="39"/>
      <c r="BE1060" s="39"/>
      <c r="BF1060" s="39">
        <f t="shared" si="976"/>
        <v>0</v>
      </c>
      <c r="BG1060" s="39"/>
      <c r="BH1060" s="39"/>
      <c r="BI1060" s="39"/>
      <c r="BJ1060" s="39"/>
      <c r="BK1060" s="39"/>
      <c r="BL1060" s="39">
        <f t="shared" si="919"/>
        <v>0</v>
      </c>
      <c r="BM1060" s="54" t="str">
        <f t="shared" si="977"/>
        <v/>
      </c>
      <c r="BN1060" s="58">
        <v>46179</v>
      </c>
      <c r="BO1060" s="57">
        <v>46193</v>
      </c>
      <c r="BP1060" s="36"/>
      <c r="BQ1060" s="36"/>
      <c r="BR1060" s="229">
        <v>46210</v>
      </c>
      <c r="BS1060" s="229">
        <v>46217</v>
      </c>
      <c r="BT1060" s="39">
        <v>1523</v>
      </c>
      <c r="BU1060" s="39">
        <v>554</v>
      </c>
      <c r="BV1060" s="39"/>
      <c r="BW1060" s="39"/>
      <c r="BX1060" s="39">
        <v>1523</v>
      </c>
      <c r="BY1060" s="39">
        <v>13</v>
      </c>
      <c r="BZ1060" s="39">
        <f t="shared" si="920"/>
        <v>567</v>
      </c>
      <c r="CA1060" s="39">
        <f t="shared" si="978"/>
        <v>4</v>
      </c>
      <c r="CB1060" s="39">
        <f t="shared" si="979"/>
        <v>0</v>
      </c>
      <c r="CC1060" s="39">
        <f t="shared" si="980"/>
        <v>3</v>
      </c>
      <c r="CD1060" s="39">
        <f t="shared" si="921"/>
        <v>0</v>
      </c>
      <c r="CE1060" s="102">
        <f t="shared" si="981"/>
        <v>0</v>
      </c>
      <c r="CF1060" s="36"/>
      <c r="CG1060" s="39" t="s">
        <v>240</v>
      </c>
      <c r="CH1060" s="39"/>
      <c r="CI1060" s="25">
        <v>1</v>
      </c>
    </row>
    <row r="1061" spans="1:87" ht="24.75" customHeight="1">
      <c r="A1061" s="36" t="s">
        <v>46</v>
      </c>
      <c r="B1061" s="30">
        <v>47491</v>
      </c>
      <c r="C1061" s="231"/>
      <c r="D1061" s="23"/>
      <c r="E1061" s="39">
        <v>280</v>
      </c>
      <c r="F1061" s="39" t="s">
        <v>55</v>
      </c>
      <c r="G1061" s="36" t="s">
        <v>664</v>
      </c>
      <c r="H1061" s="36" t="s">
        <v>212</v>
      </c>
      <c r="I1061" s="39">
        <v>250</v>
      </c>
      <c r="J1061" s="39"/>
      <c r="K1061" s="39">
        <v>65</v>
      </c>
      <c r="L1061" s="39">
        <f t="shared" si="1021"/>
        <v>315</v>
      </c>
      <c r="M1061" s="117">
        <v>46157</v>
      </c>
      <c r="N1061" s="117">
        <v>46168</v>
      </c>
      <c r="O1061" s="39"/>
      <c r="P1061" s="39"/>
      <c r="Q1061" s="39"/>
      <c r="R1061" s="39">
        <f t="shared" si="1022"/>
        <v>0</v>
      </c>
      <c r="S1061" s="39" t="s">
        <v>130</v>
      </c>
      <c r="T1061" s="39" t="s">
        <v>1880</v>
      </c>
      <c r="U1061" s="117" t="s">
        <v>1881</v>
      </c>
      <c r="V1061" s="39"/>
      <c r="W1061" s="39"/>
      <c r="X1061" s="39"/>
      <c r="Y1061" s="39">
        <f>278+33</f>
        <v>311</v>
      </c>
      <c r="Z1061" s="39"/>
      <c r="AA1061" s="39">
        <v>80</v>
      </c>
      <c r="AB1061" s="119">
        <f t="shared" si="1023"/>
        <v>391</v>
      </c>
      <c r="AC1061" s="39"/>
      <c r="AD1061" s="39"/>
      <c r="AE1061" s="39"/>
      <c r="AF1061" s="39"/>
      <c r="AG1061" s="39"/>
      <c r="AH1061" s="39">
        <f t="shared" si="918"/>
        <v>0</v>
      </c>
      <c r="AI1061" s="39"/>
      <c r="AJ1061" s="39"/>
      <c r="AK1061" s="39"/>
      <c r="AL1061" s="39"/>
      <c r="AM1061" s="39"/>
      <c r="AN1061" s="39">
        <f t="shared" si="917"/>
        <v>0</v>
      </c>
      <c r="AO1061" s="39"/>
      <c r="AP1061" s="39"/>
      <c r="AQ1061" s="39"/>
      <c r="AR1061" s="39"/>
      <c r="AS1061" s="39"/>
      <c r="AT1061" s="39">
        <f t="shared" si="974"/>
        <v>0</v>
      </c>
      <c r="AU1061" s="39"/>
      <c r="AV1061" s="39"/>
      <c r="AW1061" s="39"/>
      <c r="AX1061" s="39"/>
      <c r="AY1061" s="39"/>
      <c r="AZ1061" s="39">
        <f t="shared" si="975"/>
        <v>0</v>
      </c>
      <c r="BA1061" s="39"/>
      <c r="BB1061" s="39"/>
      <c r="BC1061" s="39"/>
      <c r="BD1061" s="39"/>
      <c r="BE1061" s="39"/>
      <c r="BF1061" s="39">
        <f t="shared" si="976"/>
        <v>0</v>
      </c>
      <c r="BG1061" s="39"/>
      <c r="BH1061" s="39"/>
      <c r="BI1061" s="39"/>
      <c r="BJ1061" s="39"/>
      <c r="BK1061" s="39"/>
      <c r="BL1061" s="39">
        <f t="shared" si="919"/>
        <v>0</v>
      </c>
      <c r="BM1061" s="54" t="str">
        <f t="shared" si="977"/>
        <v/>
      </c>
      <c r="BN1061" s="58">
        <v>46179</v>
      </c>
      <c r="BO1061" s="57">
        <v>46193</v>
      </c>
      <c r="BP1061" s="36"/>
      <c r="BQ1061" s="36"/>
      <c r="BR1061" s="232"/>
      <c r="BS1061" s="232"/>
      <c r="BT1061" s="39" t="s">
        <v>1889</v>
      </c>
      <c r="BU1061" s="39">
        <f>239+27</f>
        <v>266</v>
      </c>
      <c r="BV1061" s="39"/>
      <c r="BW1061" s="39"/>
      <c r="BX1061" s="39">
        <v>2024</v>
      </c>
      <c r="BY1061" s="39">
        <v>72</v>
      </c>
      <c r="BZ1061" s="39">
        <f t="shared" si="920"/>
        <v>338</v>
      </c>
      <c r="CA1061" s="39">
        <f t="shared" si="978"/>
        <v>16</v>
      </c>
      <c r="CB1061" s="39">
        <f t="shared" si="979"/>
        <v>0</v>
      </c>
      <c r="CC1061" s="39">
        <f t="shared" si="980"/>
        <v>7</v>
      </c>
      <c r="CD1061" s="39">
        <v>0</v>
      </c>
      <c r="CE1061" s="102">
        <f t="shared" si="981"/>
        <v>0</v>
      </c>
      <c r="CF1061" s="36"/>
      <c r="CG1061" s="39" t="s">
        <v>240</v>
      </c>
      <c r="CH1061" s="39"/>
      <c r="CI1061" s="25">
        <v>1</v>
      </c>
    </row>
    <row r="1062" spans="1:87" ht="24.75" customHeight="1">
      <c r="A1062" s="36" t="s">
        <v>46</v>
      </c>
      <c r="B1062" s="30">
        <v>47491</v>
      </c>
      <c r="C1062" s="228"/>
      <c r="D1062" s="23"/>
      <c r="E1062" s="39"/>
      <c r="F1062" s="39"/>
      <c r="G1062" s="36" t="s">
        <v>665</v>
      </c>
      <c r="H1062" s="36">
        <v>1940</v>
      </c>
      <c r="I1062" s="39" t="s">
        <v>199</v>
      </c>
      <c r="J1062" s="39"/>
      <c r="K1062" s="39"/>
      <c r="L1062" s="39">
        <f t="shared" ref="L1062:L1063" si="1024">SUM(I1062:K1062)</f>
        <v>0</v>
      </c>
      <c r="M1062" s="117">
        <v>46157</v>
      </c>
      <c r="N1062" s="117">
        <v>46168</v>
      </c>
      <c r="O1062" s="39"/>
      <c r="P1062" s="39"/>
      <c r="Q1062" s="39"/>
      <c r="R1062" s="39">
        <f t="shared" si="1022"/>
        <v>0</v>
      </c>
      <c r="S1062" s="39" t="s">
        <v>130</v>
      </c>
      <c r="T1062" s="39"/>
      <c r="U1062" s="39"/>
      <c r="V1062" s="39"/>
      <c r="W1062" s="39"/>
      <c r="X1062" s="39"/>
      <c r="Y1062" s="39"/>
      <c r="Z1062" s="39"/>
      <c r="AA1062" s="39"/>
      <c r="AB1062" s="39">
        <f t="shared" si="1023"/>
        <v>0</v>
      </c>
      <c r="AC1062" s="39"/>
      <c r="AD1062" s="39"/>
      <c r="AE1062" s="39"/>
      <c r="AF1062" s="39"/>
      <c r="AG1062" s="39"/>
      <c r="AH1062" s="39">
        <f t="shared" si="918"/>
        <v>0</v>
      </c>
      <c r="AI1062" s="39"/>
      <c r="AJ1062" s="39"/>
      <c r="AK1062" s="39"/>
      <c r="AL1062" s="39"/>
      <c r="AM1062" s="39"/>
      <c r="AN1062" s="39">
        <f t="shared" si="917"/>
        <v>0</v>
      </c>
      <c r="AO1062" s="39"/>
      <c r="AP1062" s="39"/>
      <c r="AQ1062" s="39"/>
      <c r="AR1062" s="39"/>
      <c r="AS1062" s="39"/>
      <c r="AT1062" s="39">
        <f t="shared" si="974"/>
        <v>0</v>
      </c>
      <c r="AU1062" s="39"/>
      <c r="AV1062" s="39"/>
      <c r="AW1062" s="39"/>
      <c r="AX1062" s="39"/>
      <c r="AY1062" s="39"/>
      <c r="AZ1062" s="39">
        <f t="shared" si="975"/>
        <v>0</v>
      </c>
      <c r="BA1062" s="39"/>
      <c r="BB1062" s="39"/>
      <c r="BC1062" s="39"/>
      <c r="BD1062" s="39"/>
      <c r="BE1062" s="39"/>
      <c r="BF1062" s="39">
        <f t="shared" si="976"/>
        <v>0</v>
      </c>
      <c r="BG1062" s="39"/>
      <c r="BH1062" s="39"/>
      <c r="BI1062" s="39"/>
      <c r="BJ1062" s="39"/>
      <c r="BK1062" s="39"/>
      <c r="BL1062" s="39">
        <f t="shared" si="919"/>
        <v>0</v>
      </c>
      <c r="BM1062" s="54" t="e">
        <f t="shared" si="977"/>
        <v>#DIV/0!</v>
      </c>
      <c r="BN1062" s="58">
        <v>46179</v>
      </c>
      <c r="BO1062" s="57">
        <v>46193</v>
      </c>
      <c r="BP1062" s="36"/>
      <c r="BQ1062" s="36"/>
      <c r="BR1062" s="230"/>
      <c r="BS1062" s="230"/>
      <c r="BT1062" s="39" t="s">
        <v>1479</v>
      </c>
      <c r="BU1062" s="39"/>
      <c r="BV1062" s="39"/>
      <c r="BW1062" s="39"/>
      <c r="BX1062" s="39"/>
      <c r="BY1062" s="39"/>
      <c r="BZ1062" s="39">
        <f t="shared" si="920"/>
        <v>0</v>
      </c>
      <c r="CA1062" s="39" t="e">
        <f t="shared" si="978"/>
        <v>#VALUE!</v>
      </c>
      <c r="CB1062" s="39">
        <f t="shared" si="979"/>
        <v>0</v>
      </c>
      <c r="CC1062" s="39">
        <f t="shared" si="980"/>
        <v>0</v>
      </c>
      <c r="CD1062" s="39">
        <f t="shared" si="921"/>
        <v>0</v>
      </c>
      <c r="CE1062" s="102" t="e">
        <f t="shared" si="981"/>
        <v>#DIV/0!</v>
      </c>
      <c r="CF1062" s="36"/>
      <c r="CG1062" s="39" t="s">
        <v>240</v>
      </c>
      <c r="CH1062" s="39"/>
      <c r="CI1062" s="25">
        <v>1</v>
      </c>
    </row>
    <row r="1063" spans="1:87" ht="33.75" customHeight="1">
      <c r="A1063" s="36" t="s">
        <v>46</v>
      </c>
      <c r="B1063" s="30">
        <v>47497</v>
      </c>
      <c r="C1063" s="36" t="s">
        <v>666</v>
      </c>
      <c r="D1063" s="23"/>
      <c r="E1063" s="39">
        <v>200</v>
      </c>
      <c r="F1063" s="39" t="s">
        <v>58</v>
      </c>
      <c r="G1063" s="36" t="s">
        <v>288</v>
      </c>
      <c r="H1063" s="36" t="s">
        <v>381</v>
      </c>
      <c r="I1063" s="39">
        <v>720</v>
      </c>
      <c r="J1063" s="39"/>
      <c r="K1063" s="39">
        <v>20</v>
      </c>
      <c r="L1063" s="39">
        <f t="shared" si="1024"/>
        <v>740</v>
      </c>
      <c r="M1063" s="117">
        <v>46155</v>
      </c>
      <c r="N1063" s="117">
        <v>46168</v>
      </c>
      <c r="O1063" s="39"/>
      <c r="P1063" s="39"/>
      <c r="Q1063" s="39"/>
      <c r="R1063" s="39">
        <f t="shared" si="1022"/>
        <v>0</v>
      </c>
      <c r="S1063" s="39" t="s">
        <v>130</v>
      </c>
      <c r="T1063" s="39" t="s">
        <v>1564</v>
      </c>
      <c r="U1063" s="117" t="s">
        <v>1563</v>
      </c>
      <c r="V1063" s="39"/>
      <c r="W1063" s="39"/>
      <c r="X1063" s="39"/>
      <c r="Y1063" s="39">
        <f>805+50</f>
        <v>855</v>
      </c>
      <c r="Z1063" s="39"/>
      <c r="AA1063" s="39">
        <v>25</v>
      </c>
      <c r="AB1063" s="119">
        <f t="shared" si="1023"/>
        <v>880</v>
      </c>
      <c r="AC1063" s="39"/>
      <c r="AD1063" s="39"/>
      <c r="AE1063" s="39"/>
      <c r="AF1063" s="39"/>
      <c r="AG1063" s="39"/>
      <c r="AH1063" s="39">
        <f t="shared" si="918"/>
        <v>0</v>
      </c>
      <c r="AI1063" s="39"/>
      <c r="AJ1063" s="39"/>
      <c r="AK1063" s="39"/>
      <c r="AL1063" s="39"/>
      <c r="AM1063" s="39"/>
      <c r="AN1063" s="39">
        <f t="shared" si="917"/>
        <v>0</v>
      </c>
      <c r="AO1063" s="39"/>
      <c r="AP1063" s="39"/>
      <c r="AQ1063" s="39"/>
      <c r="AR1063" s="39"/>
      <c r="AS1063" s="39"/>
      <c r="AT1063" s="39">
        <f t="shared" si="974"/>
        <v>0</v>
      </c>
      <c r="AU1063" s="39"/>
      <c r="AV1063" s="39"/>
      <c r="AW1063" s="39"/>
      <c r="AX1063" s="39"/>
      <c r="AY1063" s="39"/>
      <c r="AZ1063" s="39">
        <f t="shared" si="975"/>
        <v>0</v>
      </c>
      <c r="BA1063" s="39"/>
      <c r="BB1063" s="39"/>
      <c r="BC1063" s="39"/>
      <c r="BD1063" s="39"/>
      <c r="BE1063" s="39"/>
      <c r="BF1063" s="39">
        <f t="shared" si="976"/>
        <v>0</v>
      </c>
      <c r="BG1063" s="39"/>
      <c r="BH1063" s="39"/>
      <c r="BI1063" s="39"/>
      <c r="BJ1063" s="39"/>
      <c r="BK1063" s="39"/>
      <c r="BL1063" s="39">
        <f t="shared" si="919"/>
        <v>0</v>
      </c>
      <c r="BM1063" s="54" t="str">
        <f t="shared" si="977"/>
        <v/>
      </c>
      <c r="BN1063" s="58">
        <v>46179</v>
      </c>
      <c r="BO1063" s="57">
        <v>46197</v>
      </c>
      <c r="BP1063" s="36"/>
      <c r="BQ1063" s="36"/>
      <c r="BR1063" s="50">
        <v>46192</v>
      </c>
      <c r="BS1063" s="50">
        <v>46192</v>
      </c>
      <c r="BT1063" s="39" t="s">
        <v>1099</v>
      </c>
      <c r="BU1063" s="39">
        <f>26+704</f>
        <v>730</v>
      </c>
      <c r="BV1063" s="39"/>
      <c r="BW1063" s="39"/>
      <c r="BX1063" s="39">
        <v>1692</v>
      </c>
      <c r="BY1063" s="39">
        <v>22</v>
      </c>
      <c r="BZ1063" s="39">
        <f t="shared" si="920"/>
        <v>752</v>
      </c>
      <c r="CA1063" s="39">
        <f t="shared" si="978"/>
        <v>10</v>
      </c>
      <c r="CB1063" s="39">
        <f t="shared" si="979"/>
        <v>0</v>
      </c>
      <c r="CC1063" s="39">
        <f t="shared" si="980"/>
        <v>2</v>
      </c>
      <c r="CD1063" s="39">
        <f t="shared" si="921"/>
        <v>0</v>
      </c>
      <c r="CE1063" s="102">
        <f t="shared" si="981"/>
        <v>0</v>
      </c>
      <c r="CF1063" s="36"/>
      <c r="CG1063" s="39" t="s">
        <v>240</v>
      </c>
      <c r="CH1063" s="39"/>
      <c r="CI1063" s="25">
        <v>1</v>
      </c>
    </row>
    <row r="1064" spans="1:87" ht="28.5" customHeight="1">
      <c r="A1064" s="36" t="s">
        <v>46</v>
      </c>
      <c r="B1064" s="30">
        <v>47448</v>
      </c>
      <c r="C1064" s="227" t="s">
        <v>758</v>
      </c>
      <c r="D1064" s="36" t="s">
        <v>108</v>
      </c>
      <c r="E1064" s="39">
        <v>280</v>
      </c>
      <c r="F1064" s="39" t="s">
        <v>55</v>
      </c>
      <c r="G1064" s="36" t="s">
        <v>754</v>
      </c>
      <c r="H1064" s="39" t="s">
        <v>196</v>
      </c>
      <c r="I1064" s="39">
        <v>950</v>
      </c>
      <c r="J1064" s="39"/>
      <c r="K1064" s="39"/>
      <c r="L1064" s="39">
        <f t="shared" ref="L1064" si="1025">SUM(I1064:K1064)</f>
        <v>950</v>
      </c>
      <c r="M1064" s="117">
        <v>46157</v>
      </c>
      <c r="N1064" s="117">
        <v>46167</v>
      </c>
      <c r="O1064" s="39"/>
      <c r="P1064" s="39"/>
      <c r="Q1064" s="39"/>
      <c r="R1064" s="39">
        <f t="shared" ref="R1064" si="1026">SUM(O1064:Q1064)</f>
        <v>0</v>
      </c>
      <c r="S1064" s="39" t="s">
        <v>326</v>
      </c>
      <c r="T1064" s="39"/>
      <c r="U1064" s="39"/>
      <c r="V1064" s="117" t="s">
        <v>1127</v>
      </c>
      <c r="W1064" s="39">
        <f>725+381</f>
        <v>1106</v>
      </c>
      <c r="X1064" s="117" t="s">
        <v>1285</v>
      </c>
      <c r="Y1064" s="39">
        <f>498+506</f>
        <v>1004</v>
      </c>
      <c r="Z1064" s="39"/>
      <c r="AA1064" s="39"/>
      <c r="AB1064" s="119">
        <f t="shared" ref="AB1064" si="1027">SUM(Y1064:AA1064)</f>
        <v>1004</v>
      </c>
      <c r="AC1064" s="39"/>
      <c r="AD1064" s="39"/>
      <c r="AE1064" s="39"/>
      <c r="AF1064" s="39"/>
      <c r="AG1064" s="39"/>
      <c r="AH1064" s="39">
        <f t="shared" ref="AH1064" si="1028">AG1064-AE1064</f>
        <v>0</v>
      </c>
      <c r="AI1064" s="39"/>
      <c r="AJ1064" s="39"/>
      <c r="AK1064" s="39"/>
      <c r="AL1064" s="39"/>
      <c r="AM1064" s="39"/>
      <c r="AN1064" s="39">
        <f t="shared" ref="AN1064" si="1029">AM1064-AK1064</f>
        <v>0</v>
      </c>
      <c r="AO1064" s="39"/>
      <c r="AP1064" s="39"/>
      <c r="AQ1064" s="39"/>
      <c r="AR1064" s="39"/>
      <c r="AS1064" s="39"/>
      <c r="AT1064" s="39">
        <f t="shared" ref="AT1064" si="1030">AS1064-AQ1064</f>
        <v>0</v>
      </c>
      <c r="AU1064" s="39"/>
      <c r="AV1064" s="39"/>
      <c r="AW1064" s="39"/>
      <c r="AX1064" s="39"/>
      <c r="AY1064" s="39"/>
      <c r="AZ1064" s="39">
        <f t="shared" ref="AZ1064" si="1031">AY1064-AW1064</f>
        <v>0</v>
      </c>
      <c r="BA1064" s="39"/>
      <c r="BB1064" s="39"/>
      <c r="BC1064" s="39"/>
      <c r="BD1064" s="39"/>
      <c r="BE1064" s="39"/>
      <c r="BF1064" s="39">
        <f t="shared" ref="BF1064" si="1032">BE1064-BC1064</f>
        <v>0</v>
      </c>
      <c r="BG1064" s="39"/>
      <c r="BH1064" s="39"/>
      <c r="BI1064" s="39"/>
      <c r="BJ1064" s="39"/>
      <c r="BK1064" s="39"/>
      <c r="BL1064" s="39">
        <f t="shared" ref="BL1064" si="1033">BK1064-BI1064</f>
        <v>0</v>
      </c>
      <c r="BM1064" s="54" t="str">
        <f t="shared" ref="BM1064" si="1034">IF((BZ1064/L1064)&lt;0.9,$CO$1-U1064,"")</f>
        <v/>
      </c>
      <c r="BN1064" s="58">
        <v>46179</v>
      </c>
      <c r="BO1064" s="57">
        <v>46191</v>
      </c>
      <c r="BP1064" s="36"/>
      <c r="BQ1064" s="36"/>
      <c r="BR1064" s="233">
        <v>46204</v>
      </c>
      <c r="BS1064" s="233">
        <v>46205</v>
      </c>
      <c r="BT1064" s="39" t="s">
        <v>1299</v>
      </c>
      <c r="BU1064" s="39">
        <f>498+506</f>
        <v>1004</v>
      </c>
      <c r="BV1064" s="39"/>
      <c r="BW1064" s="39"/>
      <c r="BX1064" s="39"/>
      <c r="BY1064" s="39"/>
      <c r="BZ1064" s="39">
        <f t="shared" ref="BZ1064" si="1035">BU1064+BW1064+BY1064</f>
        <v>1004</v>
      </c>
      <c r="CA1064" s="39">
        <f t="shared" ref="CA1064" si="1036">BU1064-I1064</f>
        <v>54</v>
      </c>
      <c r="CB1064" s="39">
        <f t="shared" ref="CB1064" si="1037">BW1064-J1064</f>
        <v>0</v>
      </c>
      <c r="CC1064" s="39">
        <f t="shared" ref="CC1064" si="1038">BY1064-K1064</f>
        <v>0</v>
      </c>
      <c r="CD1064" s="39">
        <f t="shared" ref="CD1064" si="1039">SUMIF(CA1064:CC1064,"&lt;0")</f>
        <v>0</v>
      </c>
      <c r="CE1064" s="102">
        <f t="shared" ref="CE1064" si="1040">CD1064/L1064</f>
        <v>0</v>
      </c>
      <c r="CF1064" s="36"/>
      <c r="CG1064" s="39" t="s">
        <v>240</v>
      </c>
      <c r="CH1064" s="39"/>
      <c r="CI1064" s="25">
        <v>1</v>
      </c>
    </row>
    <row r="1065" spans="1:87" ht="28.5" customHeight="1">
      <c r="A1065" s="36" t="s">
        <v>46</v>
      </c>
      <c r="B1065" s="30">
        <v>47448</v>
      </c>
      <c r="C1065" s="228"/>
      <c r="D1065" s="36"/>
      <c r="E1065" s="39">
        <v>160</v>
      </c>
      <c r="F1065" s="39" t="s">
        <v>64</v>
      </c>
      <c r="G1065" s="36" t="s">
        <v>34</v>
      </c>
      <c r="H1065" s="39" t="s">
        <v>22</v>
      </c>
      <c r="I1065" s="39">
        <v>45</v>
      </c>
      <c r="J1065" s="39"/>
      <c r="K1065" s="39"/>
      <c r="L1065" s="39">
        <f t="shared" ref="L1065:L1069" si="1041">SUM(I1065:K1065)</f>
        <v>45</v>
      </c>
      <c r="M1065" s="117">
        <v>46157</v>
      </c>
      <c r="N1065" s="117">
        <v>46167</v>
      </c>
      <c r="O1065" s="39"/>
      <c r="P1065" s="39"/>
      <c r="Q1065" s="39"/>
      <c r="R1065" s="39">
        <f t="shared" ref="R1065:R1066" si="1042">SUM(O1065:Q1065)</f>
        <v>0</v>
      </c>
      <c r="S1065" s="39" t="s">
        <v>130</v>
      </c>
      <c r="T1065" s="39">
        <v>107127</v>
      </c>
      <c r="U1065" s="117">
        <v>46199</v>
      </c>
      <c r="V1065" s="39"/>
      <c r="W1065" s="39"/>
      <c r="X1065" s="39"/>
      <c r="Y1065" s="39">
        <v>60</v>
      </c>
      <c r="Z1065" s="39"/>
      <c r="AA1065" s="39"/>
      <c r="AB1065" s="119">
        <f t="shared" ref="AB1065:AB1069" si="1043">SUM(Y1065:AA1065)</f>
        <v>60</v>
      </c>
      <c r="AC1065" s="39"/>
      <c r="AD1065" s="39"/>
      <c r="AE1065" s="39"/>
      <c r="AF1065" s="39"/>
      <c r="AG1065" s="39"/>
      <c r="AH1065" s="39">
        <f t="shared" si="918"/>
        <v>0</v>
      </c>
      <c r="AI1065" s="39"/>
      <c r="AJ1065" s="39"/>
      <c r="AK1065" s="39"/>
      <c r="AL1065" s="39"/>
      <c r="AM1065" s="39"/>
      <c r="AN1065" s="39">
        <f t="shared" si="917"/>
        <v>0</v>
      </c>
      <c r="AO1065" s="39"/>
      <c r="AP1065" s="39"/>
      <c r="AQ1065" s="39"/>
      <c r="AR1065" s="39"/>
      <c r="AS1065" s="39"/>
      <c r="AT1065" s="39">
        <f t="shared" si="974"/>
        <v>0</v>
      </c>
      <c r="AU1065" s="39"/>
      <c r="AV1065" s="39"/>
      <c r="AW1065" s="39"/>
      <c r="AX1065" s="39"/>
      <c r="AY1065" s="39"/>
      <c r="AZ1065" s="39">
        <f t="shared" si="975"/>
        <v>0</v>
      </c>
      <c r="BA1065" s="39"/>
      <c r="BB1065" s="39"/>
      <c r="BC1065" s="39"/>
      <c r="BD1065" s="39"/>
      <c r="BE1065" s="39"/>
      <c r="BF1065" s="39">
        <f t="shared" si="976"/>
        <v>0</v>
      </c>
      <c r="BG1065" s="39"/>
      <c r="BH1065" s="39"/>
      <c r="BI1065" s="39"/>
      <c r="BJ1065" s="39"/>
      <c r="BK1065" s="39"/>
      <c r="BL1065" s="39">
        <f t="shared" si="919"/>
        <v>0</v>
      </c>
      <c r="BM1065" s="54" t="str">
        <f t="shared" si="977"/>
        <v/>
      </c>
      <c r="BN1065" s="58">
        <v>46179</v>
      </c>
      <c r="BO1065" s="57">
        <v>46191</v>
      </c>
      <c r="BP1065" s="36"/>
      <c r="BQ1065" s="36"/>
      <c r="BR1065" s="242"/>
      <c r="BS1065" s="242"/>
      <c r="BT1065" s="39">
        <v>2006</v>
      </c>
      <c r="BU1065" s="39">
        <v>53</v>
      </c>
      <c r="BV1065" s="39"/>
      <c r="BW1065" s="39"/>
      <c r="BX1065" s="39"/>
      <c r="BY1065" s="39"/>
      <c r="BZ1065" s="39">
        <f t="shared" si="920"/>
        <v>53</v>
      </c>
      <c r="CA1065" s="39">
        <f t="shared" si="978"/>
        <v>8</v>
      </c>
      <c r="CB1065" s="39">
        <f t="shared" si="979"/>
        <v>0</v>
      </c>
      <c r="CC1065" s="39">
        <f t="shared" si="980"/>
        <v>0</v>
      </c>
      <c r="CD1065" s="39">
        <f t="shared" si="921"/>
        <v>0</v>
      </c>
      <c r="CE1065" s="102">
        <f t="shared" si="981"/>
        <v>0</v>
      </c>
      <c r="CF1065" s="36"/>
      <c r="CG1065" s="39" t="s">
        <v>240</v>
      </c>
      <c r="CH1065" s="39"/>
      <c r="CI1065" s="25">
        <v>1</v>
      </c>
    </row>
    <row r="1066" spans="1:87" ht="26.25" customHeight="1">
      <c r="A1066" s="36" t="s">
        <v>46</v>
      </c>
      <c r="B1066" s="30">
        <v>47494</v>
      </c>
      <c r="C1066" s="227" t="s">
        <v>755</v>
      </c>
      <c r="D1066" s="36" t="s">
        <v>108</v>
      </c>
      <c r="E1066" s="39">
        <v>280</v>
      </c>
      <c r="F1066" s="39" t="s">
        <v>55</v>
      </c>
      <c r="G1066" s="36" t="s">
        <v>23</v>
      </c>
      <c r="H1066" s="39" t="s">
        <v>196</v>
      </c>
      <c r="I1066" s="39">
        <v>1155</v>
      </c>
      <c r="J1066" s="39"/>
      <c r="K1066" s="39">
        <v>35</v>
      </c>
      <c r="L1066" s="39">
        <f t="shared" si="1041"/>
        <v>1190</v>
      </c>
      <c r="M1066" s="117">
        <v>46157</v>
      </c>
      <c r="N1066" s="117">
        <v>46167</v>
      </c>
      <c r="O1066" s="39"/>
      <c r="P1066" s="39"/>
      <c r="Q1066" s="39"/>
      <c r="R1066" s="39">
        <f t="shared" si="1042"/>
        <v>0</v>
      </c>
      <c r="S1066" s="39" t="s">
        <v>326</v>
      </c>
      <c r="T1066" s="39"/>
      <c r="U1066" s="39"/>
      <c r="V1066" s="117" t="s">
        <v>1241</v>
      </c>
      <c r="W1066" s="39">
        <f>968+40+332</f>
        <v>1340</v>
      </c>
      <c r="X1066" s="117" t="s">
        <v>1483</v>
      </c>
      <c r="Y1066" s="39">
        <f>730+437+22</f>
        <v>1189</v>
      </c>
      <c r="Z1066" s="39"/>
      <c r="AA1066" s="39">
        <f>24+13</f>
        <v>37</v>
      </c>
      <c r="AB1066" s="119">
        <f t="shared" si="1043"/>
        <v>1226</v>
      </c>
      <c r="AC1066" s="39"/>
      <c r="AD1066" s="39"/>
      <c r="AE1066" s="39"/>
      <c r="AF1066" s="39"/>
      <c r="AG1066" s="39"/>
      <c r="AH1066" s="39">
        <f t="shared" si="918"/>
        <v>0</v>
      </c>
      <c r="AI1066" s="39"/>
      <c r="AJ1066" s="39"/>
      <c r="AK1066" s="39"/>
      <c r="AL1066" s="39"/>
      <c r="AM1066" s="39"/>
      <c r="AN1066" s="39">
        <f t="shared" si="917"/>
        <v>0</v>
      </c>
      <c r="AO1066" s="39"/>
      <c r="AP1066" s="39"/>
      <c r="AQ1066" s="39"/>
      <c r="AR1066" s="39"/>
      <c r="AS1066" s="39"/>
      <c r="AT1066" s="39">
        <f t="shared" si="974"/>
        <v>0</v>
      </c>
      <c r="AU1066" s="39"/>
      <c r="AV1066" s="39"/>
      <c r="AW1066" s="39"/>
      <c r="AX1066" s="39"/>
      <c r="AY1066" s="39"/>
      <c r="AZ1066" s="39">
        <f t="shared" si="975"/>
        <v>0</v>
      </c>
      <c r="BA1066" s="39"/>
      <c r="BB1066" s="39"/>
      <c r="BC1066" s="39"/>
      <c r="BD1066" s="39"/>
      <c r="BE1066" s="39"/>
      <c r="BF1066" s="39">
        <f t="shared" si="976"/>
        <v>0</v>
      </c>
      <c r="BG1066" s="39"/>
      <c r="BH1066" s="39"/>
      <c r="BI1066" s="39"/>
      <c r="BJ1066" s="39"/>
      <c r="BK1066" s="39"/>
      <c r="BL1066" s="39">
        <f t="shared" si="919"/>
        <v>0</v>
      </c>
      <c r="BM1066" s="54" t="str">
        <f t="shared" si="977"/>
        <v/>
      </c>
      <c r="BN1066" s="58">
        <v>46179</v>
      </c>
      <c r="BO1066" s="57">
        <v>46193</v>
      </c>
      <c r="BP1066" s="36"/>
      <c r="BQ1066" s="36"/>
      <c r="BR1066" s="233">
        <v>46204</v>
      </c>
      <c r="BS1066" s="256"/>
      <c r="BT1066" s="39" t="s">
        <v>1424</v>
      </c>
      <c r="BU1066" s="39">
        <f>730+437+22</f>
        <v>1189</v>
      </c>
      <c r="BV1066" s="39"/>
      <c r="BW1066" s="39"/>
      <c r="BX1066" s="39" t="s">
        <v>1517</v>
      </c>
      <c r="BY1066" s="39">
        <f>24+13</f>
        <v>37</v>
      </c>
      <c r="BZ1066" s="39">
        <f t="shared" si="920"/>
        <v>1226</v>
      </c>
      <c r="CA1066" s="39">
        <f t="shared" si="978"/>
        <v>34</v>
      </c>
      <c r="CB1066" s="39">
        <f t="shared" si="979"/>
        <v>0</v>
      </c>
      <c r="CC1066" s="39">
        <f t="shared" si="980"/>
        <v>2</v>
      </c>
      <c r="CD1066" s="39">
        <f t="shared" si="921"/>
        <v>0</v>
      </c>
      <c r="CE1066" s="102">
        <f t="shared" si="981"/>
        <v>0</v>
      </c>
      <c r="CF1066" s="36"/>
      <c r="CG1066" s="39" t="s">
        <v>240</v>
      </c>
      <c r="CH1066" s="39"/>
      <c r="CI1066" s="25">
        <v>1</v>
      </c>
    </row>
    <row r="1067" spans="1:87" ht="24.75" customHeight="1">
      <c r="A1067" s="36" t="s">
        <v>46</v>
      </c>
      <c r="B1067" s="30">
        <v>47494</v>
      </c>
      <c r="C1067" s="228"/>
      <c r="D1067" s="23"/>
      <c r="E1067" s="39">
        <v>160</v>
      </c>
      <c r="F1067" s="39" t="s">
        <v>64</v>
      </c>
      <c r="G1067" s="36" t="s">
        <v>34</v>
      </c>
      <c r="H1067" s="39" t="s">
        <v>22</v>
      </c>
      <c r="I1067" s="39">
        <v>45</v>
      </c>
      <c r="J1067" s="39"/>
      <c r="K1067" s="39"/>
      <c r="L1067" s="39">
        <f t="shared" si="1041"/>
        <v>45</v>
      </c>
      <c r="M1067" s="117">
        <v>46157</v>
      </c>
      <c r="N1067" s="117">
        <v>46167</v>
      </c>
      <c r="O1067" s="39"/>
      <c r="P1067" s="39"/>
      <c r="Q1067" s="39"/>
      <c r="R1067" s="39">
        <f t="shared" ref="R1067:R1070" si="1044">SUM(O1067:Q1067)</f>
        <v>0</v>
      </c>
      <c r="S1067" s="39" t="s">
        <v>130</v>
      </c>
      <c r="T1067" s="39">
        <v>107126</v>
      </c>
      <c r="U1067" s="117">
        <v>46199</v>
      </c>
      <c r="V1067" s="39"/>
      <c r="W1067" s="39"/>
      <c r="X1067" s="39"/>
      <c r="Y1067" s="39">
        <v>57</v>
      </c>
      <c r="Z1067" s="39"/>
      <c r="AA1067" s="39"/>
      <c r="AB1067" s="119">
        <f t="shared" si="1043"/>
        <v>57</v>
      </c>
      <c r="AC1067" s="39"/>
      <c r="AD1067" s="39"/>
      <c r="AE1067" s="39"/>
      <c r="AF1067" s="39"/>
      <c r="AG1067" s="39"/>
      <c r="AH1067" s="39">
        <f t="shared" si="918"/>
        <v>0</v>
      </c>
      <c r="AI1067" s="39"/>
      <c r="AJ1067" s="39"/>
      <c r="AK1067" s="39"/>
      <c r="AL1067" s="39"/>
      <c r="AM1067" s="39"/>
      <c r="AN1067" s="39">
        <f t="shared" si="917"/>
        <v>0</v>
      </c>
      <c r="AO1067" s="39"/>
      <c r="AP1067" s="39"/>
      <c r="AQ1067" s="39"/>
      <c r="AR1067" s="39"/>
      <c r="AS1067" s="39"/>
      <c r="AT1067" s="39">
        <f t="shared" si="974"/>
        <v>0</v>
      </c>
      <c r="AU1067" s="39"/>
      <c r="AV1067" s="39"/>
      <c r="AW1067" s="39"/>
      <c r="AX1067" s="39"/>
      <c r="AY1067" s="39"/>
      <c r="AZ1067" s="39">
        <f t="shared" si="975"/>
        <v>0</v>
      </c>
      <c r="BA1067" s="39"/>
      <c r="BB1067" s="39"/>
      <c r="BC1067" s="39"/>
      <c r="BD1067" s="39"/>
      <c r="BE1067" s="39"/>
      <c r="BF1067" s="39">
        <f t="shared" si="976"/>
        <v>0</v>
      </c>
      <c r="BG1067" s="39"/>
      <c r="BH1067" s="39"/>
      <c r="BI1067" s="39"/>
      <c r="BJ1067" s="39"/>
      <c r="BK1067" s="39"/>
      <c r="BL1067" s="39">
        <f t="shared" si="919"/>
        <v>0</v>
      </c>
      <c r="BM1067" s="54" t="str">
        <f t="shared" si="977"/>
        <v/>
      </c>
      <c r="BN1067" s="58">
        <v>46179</v>
      </c>
      <c r="BO1067" s="57">
        <v>46193</v>
      </c>
      <c r="BP1067" s="36"/>
      <c r="BQ1067" s="36"/>
      <c r="BR1067" s="242"/>
      <c r="BS1067" s="242"/>
      <c r="BT1067" s="39">
        <v>2003</v>
      </c>
      <c r="BU1067" s="39">
        <v>50</v>
      </c>
      <c r="BV1067" s="39"/>
      <c r="BW1067" s="39"/>
      <c r="BX1067" s="39"/>
      <c r="BY1067" s="39"/>
      <c r="BZ1067" s="39">
        <f t="shared" si="920"/>
        <v>50</v>
      </c>
      <c r="CA1067" s="39">
        <f t="shared" si="978"/>
        <v>5</v>
      </c>
      <c r="CB1067" s="39">
        <f t="shared" si="979"/>
        <v>0</v>
      </c>
      <c r="CC1067" s="39">
        <f t="shared" si="980"/>
        <v>0</v>
      </c>
      <c r="CD1067" s="39">
        <f t="shared" si="921"/>
        <v>0</v>
      </c>
      <c r="CE1067" s="102">
        <f t="shared" si="981"/>
        <v>0</v>
      </c>
      <c r="CF1067" s="36"/>
      <c r="CG1067" s="39" t="s">
        <v>240</v>
      </c>
      <c r="CH1067" s="39"/>
      <c r="CI1067" s="25">
        <v>1</v>
      </c>
    </row>
    <row r="1068" spans="1:87" ht="24.75" customHeight="1">
      <c r="A1068" s="36" t="s">
        <v>46</v>
      </c>
      <c r="B1068" s="30">
        <v>47388</v>
      </c>
      <c r="C1068" s="227" t="s">
        <v>800</v>
      </c>
      <c r="D1068" s="36" t="s">
        <v>799</v>
      </c>
      <c r="E1068" s="39">
        <v>300</v>
      </c>
      <c r="F1068" s="39" t="s">
        <v>56</v>
      </c>
      <c r="G1068" s="36" t="s">
        <v>546</v>
      </c>
      <c r="H1068" s="36" t="s">
        <v>542</v>
      </c>
      <c r="I1068" s="39">
        <f>1256-65</f>
        <v>1191</v>
      </c>
      <c r="J1068" s="39"/>
      <c r="K1068" s="39"/>
      <c r="L1068" s="39">
        <f t="shared" si="1041"/>
        <v>1191</v>
      </c>
      <c r="M1068" s="117">
        <v>46140</v>
      </c>
      <c r="N1068" s="117">
        <v>46160</v>
      </c>
      <c r="O1068" s="39"/>
      <c r="P1068" s="39"/>
      <c r="Q1068" s="39"/>
      <c r="R1068" s="39">
        <f t="shared" si="1044"/>
        <v>0</v>
      </c>
      <c r="S1068" s="39" t="s">
        <v>130</v>
      </c>
      <c r="T1068" s="39" t="s">
        <v>1167</v>
      </c>
      <c r="U1068" s="117" t="s">
        <v>1168</v>
      </c>
      <c r="V1068" s="39"/>
      <c r="W1068" s="39"/>
      <c r="X1068" s="39"/>
      <c r="Y1068" s="39">
        <f>673+675+10</f>
        <v>1358</v>
      </c>
      <c r="Z1068" s="39"/>
      <c r="AA1068" s="39"/>
      <c r="AB1068" s="119">
        <f t="shared" si="1043"/>
        <v>1358</v>
      </c>
      <c r="AC1068" s="39"/>
      <c r="AD1068" s="39"/>
      <c r="AE1068" s="39"/>
      <c r="AF1068" s="39"/>
      <c r="AG1068" s="39"/>
      <c r="AH1068" s="39">
        <f t="shared" si="918"/>
        <v>0</v>
      </c>
      <c r="AI1068" s="39" t="s">
        <v>163</v>
      </c>
      <c r="AJ1068" s="117">
        <v>46199</v>
      </c>
      <c r="AK1068" s="39">
        <f>8</f>
        <v>8</v>
      </c>
      <c r="AL1068" s="117">
        <v>46199</v>
      </c>
      <c r="AM1068" s="39">
        <f>8</f>
        <v>8</v>
      </c>
      <c r="AN1068" s="39">
        <f t="shared" si="917"/>
        <v>0</v>
      </c>
      <c r="AO1068" s="39" t="s">
        <v>280</v>
      </c>
      <c r="AP1068" s="117" t="s">
        <v>1210</v>
      </c>
      <c r="AQ1068" s="39">
        <f>625+622+8</f>
        <v>1255</v>
      </c>
      <c r="AR1068" s="117" t="s">
        <v>1209</v>
      </c>
      <c r="AS1068" s="39">
        <f>23+535+778+8</f>
        <v>1344</v>
      </c>
      <c r="AT1068" s="39">
        <f t="shared" si="974"/>
        <v>89</v>
      </c>
      <c r="AU1068" s="39"/>
      <c r="AV1068" s="39"/>
      <c r="AW1068" s="39"/>
      <c r="AX1068" s="39"/>
      <c r="AY1068" s="39"/>
      <c r="AZ1068" s="39">
        <f t="shared" si="975"/>
        <v>0</v>
      </c>
      <c r="BA1068" s="39"/>
      <c r="BB1068" s="39"/>
      <c r="BC1068" s="39"/>
      <c r="BD1068" s="39"/>
      <c r="BE1068" s="39"/>
      <c r="BF1068" s="39">
        <f t="shared" si="976"/>
        <v>0</v>
      </c>
      <c r="BG1068" s="39"/>
      <c r="BH1068" s="39"/>
      <c r="BI1068" s="39"/>
      <c r="BJ1068" s="39"/>
      <c r="BK1068" s="39"/>
      <c r="BL1068" s="39">
        <f t="shared" si="919"/>
        <v>0</v>
      </c>
      <c r="BM1068" s="54" t="str">
        <f t="shared" si="977"/>
        <v/>
      </c>
      <c r="BN1068" s="58">
        <v>46174</v>
      </c>
      <c r="BO1068" s="57">
        <v>46179</v>
      </c>
      <c r="BP1068" s="36"/>
      <c r="BQ1068" s="36"/>
      <c r="BR1068" s="229">
        <v>46190</v>
      </c>
      <c r="BS1068" s="229">
        <v>46195</v>
      </c>
      <c r="BT1068" s="39" t="s">
        <v>1573</v>
      </c>
      <c r="BU1068" s="39">
        <f>21+28+576+658+4+4</f>
        <v>1291</v>
      </c>
      <c r="BV1068" s="39"/>
      <c r="BW1068" s="39"/>
      <c r="BX1068" s="39"/>
      <c r="BY1068" s="39"/>
      <c r="BZ1068" s="39">
        <f t="shared" si="920"/>
        <v>1291</v>
      </c>
      <c r="CA1068" s="39">
        <f t="shared" si="978"/>
        <v>100</v>
      </c>
      <c r="CB1068" s="39">
        <f t="shared" si="979"/>
        <v>0</v>
      </c>
      <c r="CC1068" s="39">
        <f t="shared" si="980"/>
        <v>0</v>
      </c>
      <c r="CD1068" s="39">
        <f t="shared" si="921"/>
        <v>0</v>
      </c>
      <c r="CE1068" s="47">
        <f t="shared" si="981"/>
        <v>0</v>
      </c>
      <c r="CF1068" s="36"/>
      <c r="CG1068" s="39" t="s">
        <v>238</v>
      </c>
      <c r="CH1068" s="39"/>
      <c r="CI1068" s="25">
        <v>1</v>
      </c>
    </row>
    <row r="1069" spans="1:87" ht="24.75" customHeight="1">
      <c r="A1069" s="36" t="s">
        <v>46</v>
      </c>
      <c r="B1069" s="30">
        <v>47388</v>
      </c>
      <c r="C1069" s="228"/>
      <c r="D1069" s="36" t="s">
        <v>799</v>
      </c>
      <c r="E1069" s="39">
        <v>300</v>
      </c>
      <c r="F1069" s="39" t="s">
        <v>56</v>
      </c>
      <c r="G1069" s="36" t="s">
        <v>541</v>
      </c>
      <c r="H1069" s="36" t="s">
        <v>542</v>
      </c>
      <c r="I1069" s="39">
        <f>600-32</f>
        <v>568</v>
      </c>
      <c r="J1069" s="39"/>
      <c r="K1069" s="39"/>
      <c r="L1069" s="39">
        <f t="shared" si="1041"/>
        <v>568</v>
      </c>
      <c r="M1069" s="117">
        <v>46140</v>
      </c>
      <c r="N1069" s="117">
        <v>46160</v>
      </c>
      <c r="O1069" s="39"/>
      <c r="P1069" s="39"/>
      <c r="Q1069" s="39"/>
      <c r="R1069" s="39">
        <f t="shared" si="1044"/>
        <v>0</v>
      </c>
      <c r="S1069" s="39" t="s">
        <v>130</v>
      </c>
      <c r="T1069" s="39" t="s">
        <v>1169</v>
      </c>
      <c r="U1069" s="117" t="s">
        <v>1170</v>
      </c>
      <c r="V1069" s="39"/>
      <c r="W1069" s="39"/>
      <c r="X1069" s="39"/>
      <c r="Y1069" s="39">
        <f>640+10</f>
        <v>650</v>
      </c>
      <c r="Z1069" s="39"/>
      <c r="AA1069" s="39"/>
      <c r="AB1069" s="119">
        <f t="shared" si="1043"/>
        <v>650</v>
      </c>
      <c r="AC1069" s="39"/>
      <c r="AD1069" s="39"/>
      <c r="AE1069" s="39"/>
      <c r="AF1069" s="39"/>
      <c r="AG1069" s="39"/>
      <c r="AH1069" s="39">
        <f t="shared" si="918"/>
        <v>0</v>
      </c>
      <c r="AI1069" s="39" t="s">
        <v>163</v>
      </c>
      <c r="AJ1069" s="117">
        <v>46199</v>
      </c>
      <c r="AK1069" s="39">
        <f>8</f>
        <v>8</v>
      </c>
      <c r="AL1069" s="117">
        <v>46199</v>
      </c>
      <c r="AM1069" s="39">
        <f>8</f>
        <v>8</v>
      </c>
      <c r="AN1069" s="39">
        <f t="shared" si="917"/>
        <v>0</v>
      </c>
      <c r="AO1069" s="39" t="s">
        <v>280</v>
      </c>
      <c r="AP1069" s="117" t="s">
        <v>1525</v>
      </c>
      <c r="AQ1069" s="39">
        <f>592+8+4</f>
        <v>604</v>
      </c>
      <c r="AR1069" s="117" t="s">
        <v>1534</v>
      </c>
      <c r="AS1069" s="39">
        <f>622+8+3</f>
        <v>633</v>
      </c>
      <c r="AT1069" s="39">
        <f t="shared" si="974"/>
        <v>29</v>
      </c>
      <c r="AU1069" s="39"/>
      <c r="AV1069" s="39"/>
      <c r="AW1069" s="39"/>
      <c r="AX1069" s="39"/>
      <c r="AY1069" s="39"/>
      <c r="AZ1069" s="39">
        <f t="shared" si="975"/>
        <v>0</v>
      </c>
      <c r="BA1069" s="39"/>
      <c r="BB1069" s="39"/>
      <c r="BC1069" s="39"/>
      <c r="BD1069" s="39"/>
      <c r="BE1069" s="39"/>
      <c r="BF1069" s="39">
        <f t="shared" si="976"/>
        <v>0</v>
      </c>
      <c r="BG1069" s="39"/>
      <c r="BH1069" s="39"/>
      <c r="BI1069" s="39"/>
      <c r="BJ1069" s="39"/>
      <c r="BK1069" s="39"/>
      <c r="BL1069" s="39">
        <f t="shared" si="919"/>
        <v>0</v>
      </c>
      <c r="BM1069" s="54" t="str">
        <f t="shared" si="977"/>
        <v/>
      </c>
      <c r="BN1069" s="58">
        <v>46174</v>
      </c>
      <c r="BO1069" s="57">
        <v>46179</v>
      </c>
      <c r="BP1069" s="36"/>
      <c r="BQ1069" s="36"/>
      <c r="BR1069" s="230"/>
      <c r="BS1069" s="230"/>
      <c r="BT1069" s="39" t="s">
        <v>1572</v>
      </c>
      <c r="BU1069" s="39">
        <f>29+558+5+3</f>
        <v>595</v>
      </c>
      <c r="BV1069" s="39"/>
      <c r="BW1069" s="39"/>
      <c r="BX1069" s="39"/>
      <c r="BY1069" s="39"/>
      <c r="BZ1069" s="39">
        <f t="shared" si="920"/>
        <v>595</v>
      </c>
      <c r="CA1069" s="39">
        <f t="shared" si="978"/>
        <v>27</v>
      </c>
      <c r="CB1069" s="39">
        <f t="shared" si="979"/>
        <v>0</v>
      </c>
      <c r="CC1069" s="39">
        <f t="shared" si="980"/>
        <v>0</v>
      </c>
      <c r="CD1069" s="39">
        <f t="shared" si="921"/>
        <v>0</v>
      </c>
      <c r="CE1069" s="47">
        <f t="shared" si="981"/>
        <v>0</v>
      </c>
      <c r="CF1069" s="36"/>
      <c r="CG1069" s="39" t="s">
        <v>238</v>
      </c>
      <c r="CH1069" s="39"/>
      <c r="CI1069" s="25">
        <v>1</v>
      </c>
    </row>
    <row r="1070" spans="1:87" ht="36" customHeight="1">
      <c r="A1070" s="36" t="s">
        <v>46</v>
      </c>
      <c r="B1070" s="30">
        <v>47325</v>
      </c>
      <c r="C1070" s="144" t="s">
        <v>1250</v>
      </c>
      <c r="D1070" s="23" t="s">
        <v>49</v>
      </c>
      <c r="E1070" s="39">
        <v>160</v>
      </c>
      <c r="F1070" s="39" t="s">
        <v>62</v>
      </c>
      <c r="G1070" s="36" t="s">
        <v>21</v>
      </c>
      <c r="H1070" s="36" t="s">
        <v>22</v>
      </c>
      <c r="I1070" s="39">
        <v>106</v>
      </c>
      <c r="J1070" s="39"/>
      <c r="K1070" s="39"/>
      <c r="L1070" s="39">
        <f t="shared" ref="L1070" si="1045">SUM(I1070:K1070)</f>
        <v>106</v>
      </c>
      <c r="M1070" s="117">
        <v>46098</v>
      </c>
      <c r="N1070" s="117">
        <v>46155</v>
      </c>
      <c r="O1070" s="39"/>
      <c r="P1070" s="39"/>
      <c r="Q1070" s="39"/>
      <c r="R1070" s="39">
        <f t="shared" si="1044"/>
        <v>0</v>
      </c>
      <c r="S1070" s="39" t="s">
        <v>130</v>
      </c>
      <c r="T1070" s="39" t="s">
        <v>948</v>
      </c>
      <c r="U1070" s="117"/>
      <c r="V1070" s="39"/>
      <c r="W1070" s="39"/>
      <c r="X1070" s="39"/>
      <c r="Y1070" s="39"/>
      <c r="Z1070" s="39"/>
      <c r="AA1070" s="39"/>
      <c r="AB1070" s="39">
        <f t="shared" ref="AB1070" si="1046">SUM(Y1070:AA1070)</f>
        <v>0</v>
      </c>
      <c r="AC1070" s="39"/>
      <c r="AD1070" s="39"/>
      <c r="AE1070" s="39"/>
      <c r="AF1070" s="39"/>
      <c r="AG1070" s="39"/>
      <c r="AH1070" s="39">
        <f t="shared" si="918"/>
        <v>0</v>
      </c>
      <c r="AI1070" s="39" t="s">
        <v>163</v>
      </c>
      <c r="AJ1070" s="117">
        <v>46183</v>
      </c>
      <c r="AK1070" s="39">
        <v>119</v>
      </c>
      <c r="AL1070" s="117">
        <v>46183</v>
      </c>
      <c r="AM1070" s="39">
        <v>117</v>
      </c>
      <c r="AN1070" s="39">
        <f t="shared" si="917"/>
        <v>-2</v>
      </c>
      <c r="AO1070" s="39"/>
      <c r="AP1070" s="39"/>
      <c r="AQ1070" s="39"/>
      <c r="AR1070" s="39"/>
      <c r="AS1070" s="39"/>
      <c r="AT1070" s="39">
        <f t="shared" si="974"/>
        <v>0</v>
      </c>
      <c r="AU1070" s="39"/>
      <c r="AV1070" s="39"/>
      <c r="AW1070" s="39"/>
      <c r="AX1070" s="39"/>
      <c r="AY1070" s="39"/>
      <c r="AZ1070" s="39">
        <f t="shared" si="975"/>
        <v>0</v>
      </c>
      <c r="BA1070" s="39"/>
      <c r="BB1070" s="39"/>
      <c r="BC1070" s="39"/>
      <c r="BD1070" s="39"/>
      <c r="BE1070" s="39"/>
      <c r="BF1070" s="39">
        <f t="shared" si="976"/>
        <v>0</v>
      </c>
      <c r="BG1070" s="39"/>
      <c r="BH1070" s="117"/>
      <c r="BI1070" s="39"/>
      <c r="BJ1070" s="117"/>
      <c r="BK1070" s="39"/>
      <c r="BL1070" s="39">
        <f t="shared" si="919"/>
        <v>0</v>
      </c>
      <c r="BM1070" s="54" t="str">
        <f t="shared" si="977"/>
        <v/>
      </c>
      <c r="BN1070" s="58" t="s">
        <v>947</v>
      </c>
      <c r="BO1070" s="57"/>
      <c r="BP1070" s="57"/>
      <c r="BQ1070" s="57"/>
      <c r="BR1070" s="150">
        <v>46185</v>
      </c>
      <c r="BS1070" s="150">
        <v>46185</v>
      </c>
      <c r="BT1070" s="39">
        <v>1713</v>
      </c>
      <c r="BU1070" s="39">
        <v>111</v>
      </c>
      <c r="BV1070" s="39"/>
      <c r="BW1070" s="39"/>
      <c r="BX1070" s="39"/>
      <c r="BY1070" s="39"/>
      <c r="BZ1070" s="39">
        <f t="shared" si="920"/>
        <v>111</v>
      </c>
      <c r="CA1070" s="39">
        <f t="shared" si="978"/>
        <v>5</v>
      </c>
      <c r="CB1070" s="39">
        <f t="shared" si="979"/>
        <v>0</v>
      </c>
      <c r="CC1070" s="39">
        <f t="shared" si="980"/>
        <v>0</v>
      </c>
      <c r="CD1070" s="39">
        <f t="shared" si="921"/>
        <v>0</v>
      </c>
      <c r="CE1070" s="102">
        <f t="shared" si="981"/>
        <v>0</v>
      </c>
      <c r="CF1070" s="36"/>
      <c r="CG1070" s="39" t="s">
        <v>246</v>
      </c>
      <c r="CH1070" s="39"/>
      <c r="CI1070" s="25">
        <v>3</v>
      </c>
    </row>
    <row r="1071" spans="1:87" ht="24.75" customHeight="1">
      <c r="A1071" s="36" t="s">
        <v>46</v>
      </c>
      <c r="B1071" s="30"/>
      <c r="C1071" s="36"/>
      <c r="D1071" s="23"/>
      <c r="E1071" s="39"/>
      <c r="F1071" s="39"/>
      <c r="G1071" s="36"/>
      <c r="H1071" s="39"/>
      <c r="I1071" s="39"/>
      <c r="J1071" s="39"/>
      <c r="K1071" s="39"/>
      <c r="L1071" s="39">
        <f t="shared" si="973"/>
        <v>0</v>
      </c>
      <c r="M1071" s="39"/>
      <c r="N1071" s="39"/>
      <c r="O1071" s="39"/>
      <c r="P1071" s="39"/>
      <c r="Q1071" s="39"/>
      <c r="R1071" s="39">
        <f t="shared" si="971"/>
        <v>0</v>
      </c>
      <c r="S1071" s="39"/>
      <c r="T1071" s="39"/>
      <c r="U1071" s="39"/>
      <c r="V1071" s="39"/>
      <c r="W1071" s="39"/>
      <c r="X1071" s="39"/>
      <c r="Y1071" s="39"/>
      <c r="Z1071" s="39"/>
      <c r="AA1071" s="39"/>
      <c r="AB1071" s="39">
        <f t="shared" si="972"/>
        <v>0</v>
      </c>
      <c r="AC1071" s="39"/>
      <c r="AD1071" s="39"/>
      <c r="AE1071" s="39"/>
      <c r="AF1071" s="39"/>
      <c r="AG1071" s="39"/>
      <c r="AH1071" s="39">
        <f t="shared" si="918"/>
        <v>0</v>
      </c>
      <c r="AI1071" s="39"/>
      <c r="AJ1071" s="39"/>
      <c r="AK1071" s="39"/>
      <c r="AL1071" s="39"/>
      <c r="AM1071" s="39"/>
      <c r="AN1071" s="39">
        <f t="shared" si="917"/>
        <v>0</v>
      </c>
      <c r="AO1071" s="39"/>
      <c r="AP1071" s="39"/>
      <c r="AQ1071" s="39"/>
      <c r="AR1071" s="39"/>
      <c r="AS1071" s="39"/>
      <c r="AT1071" s="39">
        <f t="shared" si="974"/>
        <v>0</v>
      </c>
      <c r="AU1071" s="39"/>
      <c r="AV1071" s="39"/>
      <c r="AW1071" s="39"/>
      <c r="AX1071" s="39"/>
      <c r="AY1071" s="39"/>
      <c r="AZ1071" s="39">
        <f t="shared" si="975"/>
        <v>0</v>
      </c>
      <c r="BA1071" s="39"/>
      <c r="BB1071" s="39"/>
      <c r="BC1071" s="39"/>
      <c r="BD1071" s="39"/>
      <c r="BE1071" s="39"/>
      <c r="BF1071" s="39">
        <f t="shared" si="976"/>
        <v>0</v>
      </c>
      <c r="BG1071" s="39"/>
      <c r="BH1071" s="39"/>
      <c r="BI1071" s="39"/>
      <c r="BJ1071" s="39"/>
      <c r="BK1071" s="39"/>
      <c r="BL1071" s="39">
        <f t="shared" si="919"/>
        <v>0</v>
      </c>
      <c r="BM1071" s="54" t="e">
        <f t="shared" si="977"/>
        <v>#DIV/0!</v>
      </c>
      <c r="BN1071" s="64"/>
      <c r="BO1071" s="36"/>
      <c r="BP1071" s="36"/>
      <c r="BQ1071" s="36"/>
      <c r="BR1071" s="40"/>
      <c r="BS1071" s="40"/>
      <c r="BT1071" s="39"/>
      <c r="BU1071" s="39"/>
      <c r="BV1071" s="39"/>
      <c r="BW1071" s="39"/>
      <c r="BX1071" s="39"/>
      <c r="BY1071" s="39"/>
      <c r="BZ1071" s="39">
        <f t="shared" si="920"/>
        <v>0</v>
      </c>
      <c r="CA1071" s="39">
        <f t="shared" si="978"/>
        <v>0</v>
      </c>
      <c r="CB1071" s="39">
        <f t="shared" si="979"/>
        <v>0</v>
      </c>
      <c r="CC1071" s="39">
        <f t="shared" si="980"/>
        <v>0</v>
      </c>
      <c r="CD1071" s="39">
        <f t="shared" si="921"/>
        <v>0</v>
      </c>
      <c r="CE1071" s="47" t="e">
        <f t="shared" si="981"/>
        <v>#DIV/0!</v>
      </c>
      <c r="CF1071" s="36"/>
      <c r="CG1071" s="39"/>
      <c r="CH1071" s="39"/>
      <c r="CI1071" s="25">
        <v>1</v>
      </c>
    </row>
    <row r="1072" spans="1:87" ht="24.75" customHeight="1">
      <c r="A1072" s="36" t="s">
        <v>46</v>
      </c>
      <c r="B1072" s="30"/>
      <c r="C1072" s="36"/>
      <c r="D1072" s="23"/>
      <c r="E1072" s="39"/>
      <c r="F1072" s="39"/>
      <c r="G1072" s="36"/>
      <c r="H1072" s="39"/>
      <c r="I1072" s="39"/>
      <c r="J1072" s="39"/>
      <c r="K1072" s="39"/>
      <c r="L1072" s="39">
        <f t="shared" si="973"/>
        <v>0</v>
      </c>
      <c r="M1072" s="39"/>
      <c r="N1072" s="39"/>
      <c r="O1072" s="39"/>
      <c r="P1072" s="39"/>
      <c r="Q1072" s="39"/>
      <c r="R1072" s="39">
        <f t="shared" si="971"/>
        <v>0</v>
      </c>
      <c r="S1072" s="39"/>
      <c r="T1072" s="39"/>
      <c r="U1072" s="39"/>
      <c r="V1072" s="39"/>
      <c r="W1072" s="39"/>
      <c r="X1072" s="39"/>
      <c r="Y1072" s="39"/>
      <c r="Z1072" s="39"/>
      <c r="AA1072" s="39"/>
      <c r="AB1072" s="39">
        <f t="shared" si="972"/>
        <v>0</v>
      </c>
      <c r="AC1072" s="39"/>
      <c r="AD1072" s="39"/>
      <c r="AE1072" s="39"/>
      <c r="AF1072" s="39"/>
      <c r="AG1072" s="39"/>
      <c r="AH1072" s="39">
        <f t="shared" si="918"/>
        <v>0</v>
      </c>
      <c r="AI1072" s="39"/>
      <c r="AJ1072" s="39"/>
      <c r="AK1072" s="39"/>
      <c r="AL1072" s="39"/>
      <c r="AM1072" s="39"/>
      <c r="AN1072" s="39">
        <f t="shared" si="917"/>
        <v>0</v>
      </c>
      <c r="AO1072" s="39"/>
      <c r="AP1072" s="39"/>
      <c r="AQ1072" s="39"/>
      <c r="AR1072" s="39"/>
      <c r="AS1072" s="39"/>
      <c r="AT1072" s="39">
        <f t="shared" si="974"/>
        <v>0</v>
      </c>
      <c r="AU1072" s="39"/>
      <c r="AV1072" s="39"/>
      <c r="AW1072" s="39"/>
      <c r="AX1072" s="39"/>
      <c r="AY1072" s="39"/>
      <c r="AZ1072" s="39">
        <f t="shared" si="975"/>
        <v>0</v>
      </c>
      <c r="BA1072" s="39"/>
      <c r="BB1072" s="39"/>
      <c r="BC1072" s="39"/>
      <c r="BD1072" s="39"/>
      <c r="BE1072" s="39"/>
      <c r="BF1072" s="39">
        <f t="shared" si="976"/>
        <v>0</v>
      </c>
      <c r="BG1072" s="39"/>
      <c r="BH1072" s="39"/>
      <c r="BI1072" s="39"/>
      <c r="BJ1072" s="39"/>
      <c r="BK1072" s="39"/>
      <c r="BL1072" s="39">
        <f t="shared" si="919"/>
        <v>0</v>
      </c>
      <c r="BM1072" s="54" t="e">
        <f t="shared" si="977"/>
        <v>#DIV/0!</v>
      </c>
      <c r="BN1072" s="64"/>
      <c r="BO1072" s="36"/>
      <c r="BP1072" s="36"/>
      <c r="BQ1072" s="36"/>
      <c r="BR1072" s="40"/>
      <c r="BS1072" s="40"/>
      <c r="BT1072" s="39"/>
      <c r="BU1072" s="39"/>
      <c r="BV1072" s="39"/>
      <c r="BW1072" s="39"/>
      <c r="BX1072" s="39"/>
      <c r="BY1072" s="39"/>
      <c r="BZ1072" s="39">
        <f t="shared" si="920"/>
        <v>0</v>
      </c>
      <c r="CA1072" s="39">
        <f t="shared" si="978"/>
        <v>0</v>
      </c>
      <c r="CB1072" s="39">
        <f t="shared" si="979"/>
        <v>0</v>
      </c>
      <c r="CC1072" s="39">
        <f t="shared" si="980"/>
        <v>0</v>
      </c>
      <c r="CD1072" s="39">
        <f t="shared" si="921"/>
        <v>0</v>
      </c>
      <c r="CE1072" s="47" t="e">
        <f t="shared" si="981"/>
        <v>#DIV/0!</v>
      </c>
      <c r="CF1072" s="36"/>
      <c r="CG1072" s="39"/>
      <c r="CH1072" s="39"/>
      <c r="CI1072" s="25">
        <v>1</v>
      </c>
    </row>
    <row r="1073" spans="1:87" ht="24.75" customHeight="1">
      <c r="A1073" s="36" t="s">
        <v>46</v>
      </c>
      <c r="B1073" s="30"/>
      <c r="C1073" s="36"/>
      <c r="D1073" s="23"/>
      <c r="E1073" s="39"/>
      <c r="F1073" s="39"/>
      <c r="G1073" s="36"/>
      <c r="H1073" s="39"/>
      <c r="I1073" s="39"/>
      <c r="J1073" s="39"/>
      <c r="K1073" s="39"/>
      <c r="L1073" s="39">
        <f t="shared" si="973"/>
        <v>0</v>
      </c>
      <c r="M1073" s="39"/>
      <c r="N1073" s="39"/>
      <c r="O1073" s="39"/>
      <c r="P1073" s="39"/>
      <c r="Q1073" s="39"/>
      <c r="R1073" s="39">
        <f t="shared" si="971"/>
        <v>0</v>
      </c>
      <c r="S1073" s="39"/>
      <c r="T1073" s="39"/>
      <c r="U1073" s="39"/>
      <c r="V1073" s="39"/>
      <c r="W1073" s="39"/>
      <c r="X1073" s="39"/>
      <c r="Y1073" s="39"/>
      <c r="Z1073" s="39"/>
      <c r="AA1073" s="39"/>
      <c r="AB1073" s="39">
        <f t="shared" si="972"/>
        <v>0</v>
      </c>
      <c r="AC1073" s="39"/>
      <c r="AD1073" s="39"/>
      <c r="AE1073" s="39"/>
      <c r="AF1073" s="39"/>
      <c r="AG1073" s="39"/>
      <c r="AH1073" s="39">
        <f t="shared" si="918"/>
        <v>0</v>
      </c>
      <c r="AI1073" s="39"/>
      <c r="AJ1073" s="39"/>
      <c r="AK1073" s="39"/>
      <c r="AL1073" s="39"/>
      <c r="AM1073" s="39"/>
      <c r="AN1073" s="39">
        <f t="shared" si="917"/>
        <v>0</v>
      </c>
      <c r="AO1073" s="39"/>
      <c r="AP1073" s="39"/>
      <c r="AQ1073" s="39"/>
      <c r="AR1073" s="39"/>
      <c r="AS1073" s="39"/>
      <c r="AT1073" s="39">
        <f t="shared" si="974"/>
        <v>0</v>
      </c>
      <c r="AU1073" s="39"/>
      <c r="AV1073" s="39"/>
      <c r="AW1073" s="39"/>
      <c r="AX1073" s="39"/>
      <c r="AY1073" s="39"/>
      <c r="AZ1073" s="39">
        <f t="shared" si="975"/>
        <v>0</v>
      </c>
      <c r="BA1073" s="39"/>
      <c r="BB1073" s="39"/>
      <c r="BC1073" s="39"/>
      <c r="BD1073" s="39"/>
      <c r="BE1073" s="39"/>
      <c r="BF1073" s="39">
        <f t="shared" si="976"/>
        <v>0</v>
      </c>
      <c r="BG1073" s="39"/>
      <c r="BH1073" s="39"/>
      <c r="BI1073" s="39"/>
      <c r="BJ1073" s="39"/>
      <c r="BK1073" s="39"/>
      <c r="BL1073" s="39">
        <f t="shared" si="919"/>
        <v>0</v>
      </c>
      <c r="BM1073" s="54" t="e">
        <f t="shared" si="977"/>
        <v>#DIV/0!</v>
      </c>
      <c r="BN1073" s="64"/>
      <c r="BO1073" s="36"/>
      <c r="BP1073" s="36"/>
      <c r="BQ1073" s="36"/>
      <c r="BR1073" s="40"/>
      <c r="BS1073" s="40"/>
      <c r="BT1073" s="39"/>
      <c r="BU1073" s="39"/>
      <c r="BV1073" s="39"/>
      <c r="BW1073" s="39"/>
      <c r="BX1073" s="39"/>
      <c r="BY1073" s="39"/>
      <c r="BZ1073" s="39">
        <f t="shared" si="920"/>
        <v>0</v>
      </c>
      <c r="CA1073" s="39">
        <f t="shared" si="978"/>
        <v>0</v>
      </c>
      <c r="CB1073" s="39">
        <f t="shared" si="979"/>
        <v>0</v>
      </c>
      <c r="CC1073" s="39">
        <f t="shared" si="980"/>
        <v>0</v>
      </c>
      <c r="CD1073" s="39">
        <f t="shared" si="921"/>
        <v>0</v>
      </c>
      <c r="CE1073" s="47" t="e">
        <f t="shared" si="981"/>
        <v>#DIV/0!</v>
      </c>
      <c r="CF1073" s="36"/>
      <c r="CG1073" s="39"/>
      <c r="CH1073" s="39"/>
      <c r="CI1073" s="25">
        <v>1</v>
      </c>
    </row>
    <row r="1074" spans="1:87" ht="24.75" customHeight="1">
      <c r="A1074" s="36" t="s">
        <v>46</v>
      </c>
      <c r="B1074" s="30"/>
      <c r="C1074" s="36"/>
      <c r="D1074" s="23"/>
      <c r="E1074" s="39"/>
      <c r="F1074" s="39"/>
      <c r="G1074" s="36"/>
      <c r="H1074" s="39"/>
      <c r="I1074" s="39"/>
      <c r="J1074" s="39"/>
      <c r="K1074" s="39"/>
      <c r="L1074" s="39">
        <f t="shared" si="973"/>
        <v>0</v>
      </c>
      <c r="M1074" s="39"/>
      <c r="N1074" s="39"/>
      <c r="O1074" s="39"/>
      <c r="P1074" s="39"/>
      <c r="Q1074" s="39"/>
      <c r="R1074" s="39">
        <f t="shared" si="971"/>
        <v>0</v>
      </c>
      <c r="S1074" s="39"/>
      <c r="T1074" s="39"/>
      <c r="U1074" s="39"/>
      <c r="V1074" s="39"/>
      <c r="W1074" s="39"/>
      <c r="X1074" s="39"/>
      <c r="Y1074" s="39"/>
      <c r="Z1074" s="39"/>
      <c r="AA1074" s="39"/>
      <c r="AB1074" s="39">
        <f t="shared" si="972"/>
        <v>0</v>
      </c>
      <c r="AC1074" s="39"/>
      <c r="AD1074" s="39"/>
      <c r="AE1074" s="39"/>
      <c r="AF1074" s="39"/>
      <c r="AG1074" s="39"/>
      <c r="AH1074" s="39">
        <f t="shared" si="918"/>
        <v>0</v>
      </c>
      <c r="AI1074" s="39"/>
      <c r="AJ1074" s="39"/>
      <c r="AK1074" s="39"/>
      <c r="AL1074" s="39"/>
      <c r="AM1074" s="39"/>
      <c r="AN1074" s="39">
        <f t="shared" si="917"/>
        <v>0</v>
      </c>
      <c r="AO1074" s="39"/>
      <c r="AP1074" s="39"/>
      <c r="AQ1074" s="39"/>
      <c r="AR1074" s="39"/>
      <c r="AS1074" s="39"/>
      <c r="AT1074" s="39">
        <f t="shared" si="974"/>
        <v>0</v>
      </c>
      <c r="AU1074" s="39"/>
      <c r="AV1074" s="39"/>
      <c r="AW1074" s="39"/>
      <c r="AX1074" s="39"/>
      <c r="AY1074" s="39"/>
      <c r="AZ1074" s="39">
        <f t="shared" si="975"/>
        <v>0</v>
      </c>
      <c r="BA1074" s="39"/>
      <c r="BB1074" s="39"/>
      <c r="BC1074" s="39"/>
      <c r="BD1074" s="39"/>
      <c r="BE1074" s="39"/>
      <c r="BF1074" s="39">
        <f t="shared" si="976"/>
        <v>0</v>
      </c>
      <c r="BG1074" s="39"/>
      <c r="BH1074" s="39"/>
      <c r="BI1074" s="39"/>
      <c r="BJ1074" s="39"/>
      <c r="BK1074" s="39"/>
      <c r="BL1074" s="39">
        <f t="shared" si="919"/>
        <v>0</v>
      </c>
      <c r="BM1074" s="54" t="e">
        <f t="shared" si="977"/>
        <v>#DIV/0!</v>
      </c>
      <c r="BN1074" s="64"/>
      <c r="BO1074" s="36"/>
      <c r="BP1074" s="36"/>
      <c r="BQ1074" s="36"/>
      <c r="BR1074" s="40"/>
      <c r="BS1074" s="40"/>
      <c r="BT1074" s="39"/>
      <c r="BU1074" s="39"/>
      <c r="BV1074" s="39"/>
      <c r="BW1074" s="39"/>
      <c r="BX1074" s="39"/>
      <c r="BY1074" s="39"/>
      <c r="BZ1074" s="39">
        <f t="shared" si="920"/>
        <v>0</v>
      </c>
      <c r="CA1074" s="39">
        <f t="shared" si="978"/>
        <v>0</v>
      </c>
      <c r="CB1074" s="39">
        <f t="shared" si="979"/>
        <v>0</v>
      </c>
      <c r="CC1074" s="39">
        <f t="shared" si="980"/>
        <v>0</v>
      </c>
      <c r="CD1074" s="39">
        <f t="shared" si="921"/>
        <v>0</v>
      </c>
      <c r="CE1074" s="47" t="e">
        <f t="shared" si="981"/>
        <v>#DIV/0!</v>
      </c>
      <c r="CF1074" s="36"/>
      <c r="CG1074" s="39"/>
      <c r="CH1074" s="39"/>
      <c r="CI1074" s="25">
        <v>1</v>
      </c>
    </row>
    <row r="1075" spans="1:87" ht="24.75" customHeight="1">
      <c r="A1075" s="36" t="s">
        <v>46</v>
      </c>
      <c r="B1075" s="30"/>
      <c r="C1075" s="36"/>
      <c r="D1075" s="23"/>
      <c r="E1075" s="39"/>
      <c r="F1075" s="39"/>
      <c r="G1075" s="36"/>
      <c r="H1075" s="39"/>
      <c r="I1075" s="39"/>
      <c r="J1075" s="39"/>
      <c r="K1075" s="39"/>
      <c r="L1075" s="39">
        <f t="shared" si="973"/>
        <v>0</v>
      </c>
      <c r="M1075" s="39"/>
      <c r="N1075" s="39"/>
      <c r="O1075" s="39"/>
      <c r="P1075" s="39"/>
      <c r="Q1075" s="39"/>
      <c r="R1075" s="39">
        <f t="shared" si="971"/>
        <v>0</v>
      </c>
      <c r="S1075" s="39"/>
      <c r="T1075" s="39"/>
      <c r="U1075" s="39"/>
      <c r="V1075" s="39"/>
      <c r="W1075" s="39"/>
      <c r="X1075" s="39"/>
      <c r="Y1075" s="39"/>
      <c r="Z1075" s="39"/>
      <c r="AA1075" s="39"/>
      <c r="AB1075" s="39">
        <f t="shared" si="972"/>
        <v>0</v>
      </c>
      <c r="AC1075" s="39"/>
      <c r="AD1075" s="39"/>
      <c r="AE1075" s="39"/>
      <c r="AF1075" s="39"/>
      <c r="AG1075" s="39"/>
      <c r="AH1075" s="39">
        <f t="shared" si="918"/>
        <v>0</v>
      </c>
      <c r="AI1075" s="39"/>
      <c r="AJ1075" s="39"/>
      <c r="AK1075" s="39"/>
      <c r="AL1075" s="39"/>
      <c r="AM1075" s="39"/>
      <c r="AN1075" s="39">
        <f t="shared" si="917"/>
        <v>0</v>
      </c>
      <c r="AO1075" s="39"/>
      <c r="AP1075" s="39"/>
      <c r="AQ1075" s="39"/>
      <c r="AR1075" s="39"/>
      <c r="AS1075" s="39"/>
      <c r="AT1075" s="39">
        <f t="shared" si="974"/>
        <v>0</v>
      </c>
      <c r="AU1075" s="39"/>
      <c r="AV1075" s="39"/>
      <c r="AW1075" s="39"/>
      <c r="AX1075" s="39"/>
      <c r="AY1075" s="39"/>
      <c r="AZ1075" s="39">
        <f t="shared" si="975"/>
        <v>0</v>
      </c>
      <c r="BA1075" s="39"/>
      <c r="BB1075" s="39"/>
      <c r="BC1075" s="39"/>
      <c r="BD1075" s="39"/>
      <c r="BE1075" s="39"/>
      <c r="BF1075" s="39">
        <f t="shared" si="976"/>
        <v>0</v>
      </c>
      <c r="BG1075" s="39"/>
      <c r="BH1075" s="39"/>
      <c r="BI1075" s="39"/>
      <c r="BJ1075" s="39"/>
      <c r="BK1075" s="39"/>
      <c r="BL1075" s="39">
        <f t="shared" si="919"/>
        <v>0</v>
      </c>
      <c r="BM1075" s="54" t="e">
        <f t="shared" si="977"/>
        <v>#DIV/0!</v>
      </c>
      <c r="BN1075" s="64"/>
      <c r="BO1075" s="36"/>
      <c r="BP1075" s="36"/>
      <c r="BQ1075" s="36"/>
      <c r="BR1075" s="40"/>
      <c r="BS1075" s="40"/>
      <c r="BT1075" s="39"/>
      <c r="BU1075" s="39"/>
      <c r="BV1075" s="39"/>
      <c r="BW1075" s="39"/>
      <c r="BX1075" s="39"/>
      <c r="BY1075" s="39"/>
      <c r="BZ1075" s="39">
        <f t="shared" si="920"/>
        <v>0</v>
      </c>
      <c r="CA1075" s="39">
        <f t="shared" si="978"/>
        <v>0</v>
      </c>
      <c r="CB1075" s="39">
        <f t="shared" si="979"/>
        <v>0</v>
      </c>
      <c r="CC1075" s="39">
        <f t="shared" si="980"/>
        <v>0</v>
      </c>
      <c r="CD1075" s="39">
        <f t="shared" si="921"/>
        <v>0</v>
      </c>
      <c r="CE1075" s="47" t="e">
        <f t="shared" si="981"/>
        <v>#DIV/0!</v>
      </c>
      <c r="CF1075" s="36"/>
      <c r="CG1075" s="39"/>
      <c r="CH1075" s="39"/>
      <c r="CI1075" s="25">
        <v>1</v>
      </c>
    </row>
    <row r="1076" spans="1:87" ht="24.75" customHeight="1">
      <c r="A1076" s="36" t="s">
        <v>46</v>
      </c>
      <c r="B1076" s="30"/>
      <c r="C1076" s="36"/>
      <c r="D1076" s="23"/>
      <c r="E1076" s="39"/>
      <c r="F1076" s="39"/>
      <c r="G1076" s="36"/>
      <c r="H1076" s="39"/>
      <c r="I1076" s="39"/>
      <c r="J1076" s="39"/>
      <c r="K1076" s="39"/>
      <c r="L1076" s="39">
        <f t="shared" si="973"/>
        <v>0</v>
      </c>
      <c r="M1076" s="39"/>
      <c r="N1076" s="39"/>
      <c r="O1076" s="39"/>
      <c r="P1076" s="39"/>
      <c r="Q1076" s="39"/>
      <c r="R1076" s="39">
        <f t="shared" si="971"/>
        <v>0</v>
      </c>
      <c r="S1076" s="39"/>
      <c r="T1076" s="39"/>
      <c r="U1076" s="39"/>
      <c r="V1076" s="39"/>
      <c r="W1076" s="39"/>
      <c r="X1076" s="39"/>
      <c r="Y1076" s="39"/>
      <c r="Z1076" s="39"/>
      <c r="AA1076" s="39"/>
      <c r="AB1076" s="39">
        <f t="shared" si="972"/>
        <v>0</v>
      </c>
      <c r="AC1076" s="39"/>
      <c r="AD1076" s="39"/>
      <c r="AE1076" s="39"/>
      <c r="AF1076" s="39"/>
      <c r="AG1076" s="39"/>
      <c r="AH1076" s="39">
        <f t="shared" si="918"/>
        <v>0</v>
      </c>
      <c r="AI1076" s="39"/>
      <c r="AJ1076" s="39"/>
      <c r="AK1076" s="39"/>
      <c r="AL1076" s="39"/>
      <c r="AM1076" s="39"/>
      <c r="AN1076" s="39">
        <f t="shared" si="917"/>
        <v>0</v>
      </c>
      <c r="AO1076" s="39"/>
      <c r="AP1076" s="39"/>
      <c r="AQ1076" s="39"/>
      <c r="AR1076" s="39"/>
      <c r="AS1076" s="39"/>
      <c r="AT1076" s="39">
        <f t="shared" si="974"/>
        <v>0</v>
      </c>
      <c r="AU1076" s="39"/>
      <c r="AV1076" s="39"/>
      <c r="AW1076" s="39"/>
      <c r="AX1076" s="39"/>
      <c r="AY1076" s="39"/>
      <c r="AZ1076" s="39">
        <f t="shared" si="975"/>
        <v>0</v>
      </c>
      <c r="BA1076" s="39"/>
      <c r="BB1076" s="39"/>
      <c r="BC1076" s="39"/>
      <c r="BD1076" s="39"/>
      <c r="BE1076" s="39"/>
      <c r="BF1076" s="39">
        <f t="shared" si="976"/>
        <v>0</v>
      </c>
      <c r="BG1076" s="39"/>
      <c r="BH1076" s="39"/>
      <c r="BI1076" s="39"/>
      <c r="BJ1076" s="39"/>
      <c r="BK1076" s="39"/>
      <c r="BL1076" s="39">
        <f t="shared" si="919"/>
        <v>0</v>
      </c>
      <c r="BM1076" s="54" t="e">
        <f t="shared" si="977"/>
        <v>#DIV/0!</v>
      </c>
      <c r="BN1076" s="64"/>
      <c r="BO1076" s="36"/>
      <c r="BP1076" s="36"/>
      <c r="BQ1076" s="36"/>
      <c r="BR1076" s="40"/>
      <c r="BS1076" s="40"/>
      <c r="BT1076" s="39"/>
      <c r="BU1076" s="39"/>
      <c r="BV1076" s="39"/>
      <c r="BW1076" s="39"/>
      <c r="BX1076" s="39"/>
      <c r="BY1076" s="39"/>
      <c r="BZ1076" s="39">
        <f t="shared" si="920"/>
        <v>0</v>
      </c>
      <c r="CA1076" s="39">
        <f t="shared" si="978"/>
        <v>0</v>
      </c>
      <c r="CB1076" s="39">
        <f t="shared" si="979"/>
        <v>0</v>
      </c>
      <c r="CC1076" s="39">
        <f t="shared" si="980"/>
        <v>0</v>
      </c>
      <c r="CD1076" s="39">
        <f t="shared" si="921"/>
        <v>0</v>
      </c>
      <c r="CE1076" s="47" t="e">
        <f t="shared" si="981"/>
        <v>#DIV/0!</v>
      </c>
      <c r="CF1076" s="36"/>
      <c r="CG1076" s="39"/>
      <c r="CH1076" s="39"/>
      <c r="CI1076" s="25">
        <v>1</v>
      </c>
    </row>
    <row r="1077" spans="1:87" ht="24.75" customHeight="1">
      <c r="A1077" s="36" t="s">
        <v>46</v>
      </c>
      <c r="B1077" s="30"/>
      <c r="C1077" s="36"/>
      <c r="D1077" s="23"/>
      <c r="E1077" s="39"/>
      <c r="F1077" s="39"/>
      <c r="G1077" s="36"/>
      <c r="H1077" s="39"/>
      <c r="I1077" s="39"/>
      <c r="J1077" s="39"/>
      <c r="K1077" s="39"/>
      <c r="L1077" s="39">
        <f t="shared" si="973"/>
        <v>0</v>
      </c>
      <c r="M1077" s="39"/>
      <c r="N1077" s="39"/>
      <c r="O1077" s="39"/>
      <c r="P1077" s="39"/>
      <c r="Q1077" s="39"/>
      <c r="R1077" s="39">
        <f t="shared" si="971"/>
        <v>0</v>
      </c>
      <c r="S1077" s="39"/>
      <c r="T1077" s="39"/>
      <c r="U1077" s="39"/>
      <c r="V1077" s="39"/>
      <c r="W1077" s="39"/>
      <c r="X1077" s="39"/>
      <c r="Y1077" s="39"/>
      <c r="Z1077" s="39"/>
      <c r="AA1077" s="39"/>
      <c r="AB1077" s="39">
        <f t="shared" si="972"/>
        <v>0</v>
      </c>
      <c r="AC1077" s="39"/>
      <c r="AD1077" s="39"/>
      <c r="AE1077" s="39"/>
      <c r="AF1077" s="39"/>
      <c r="AG1077" s="39"/>
      <c r="AH1077" s="39">
        <f t="shared" si="918"/>
        <v>0</v>
      </c>
      <c r="AI1077" s="39"/>
      <c r="AJ1077" s="39"/>
      <c r="AK1077" s="39"/>
      <c r="AL1077" s="39"/>
      <c r="AM1077" s="39"/>
      <c r="AN1077" s="39">
        <f t="shared" ref="AN1077:AN1140" si="1047">AM1077-AK1077</f>
        <v>0</v>
      </c>
      <c r="AO1077" s="39"/>
      <c r="AP1077" s="39"/>
      <c r="AQ1077" s="39"/>
      <c r="AR1077" s="39"/>
      <c r="AS1077" s="39"/>
      <c r="AT1077" s="39">
        <f t="shared" si="974"/>
        <v>0</v>
      </c>
      <c r="AU1077" s="39"/>
      <c r="AV1077" s="39"/>
      <c r="AW1077" s="39"/>
      <c r="AX1077" s="39"/>
      <c r="AY1077" s="39"/>
      <c r="AZ1077" s="39">
        <f t="shared" si="975"/>
        <v>0</v>
      </c>
      <c r="BA1077" s="39"/>
      <c r="BB1077" s="39"/>
      <c r="BC1077" s="39"/>
      <c r="BD1077" s="39"/>
      <c r="BE1077" s="39"/>
      <c r="BF1077" s="39">
        <f t="shared" si="976"/>
        <v>0</v>
      </c>
      <c r="BG1077" s="39"/>
      <c r="BH1077" s="39"/>
      <c r="BI1077" s="39"/>
      <c r="BJ1077" s="39"/>
      <c r="BK1077" s="39"/>
      <c r="BL1077" s="39">
        <f t="shared" si="919"/>
        <v>0</v>
      </c>
      <c r="BM1077" s="54" t="e">
        <f t="shared" si="977"/>
        <v>#DIV/0!</v>
      </c>
      <c r="BN1077" s="64"/>
      <c r="BO1077" s="36"/>
      <c r="BP1077" s="36"/>
      <c r="BQ1077" s="36"/>
      <c r="BR1077" s="40"/>
      <c r="BS1077" s="40"/>
      <c r="BT1077" s="39"/>
      <c r="BU1077" s="39"/>
      <c r="BV1077" s="39"/>
      <c r="BW1077" s="39"/>
      <c r="BX1077" s="39"/>
      <c r="BY1077" s="39"/>
      <c r="BZ1077" s="39">
        <f t="shared" si="920"/>
        <v>0</v>
      </c>
      <c r="CA1077" s="39">
        <f t="shared" si="978"/>
        <v>0</v>
      </c>
      <c r="CB1077" s="39">
        <f t="shared" si="979"/>
        <v>0</v>
      </c>
      <c r="CC1077" s="39">
        <f t="shared" si="980"/>
        <v>0</v>
      </c>
      <c r="CD1077" s="39">
        <f t="shared" si="921"/>
        <v>0</v>
      </c>
      <c r="CE1077" s="47" t="e">
        <f t="shared" si="981"/>
        <v>#DIV/0!</v>
      </c>
      <c r="CF1077" s="36"/>
      <c r="CG1077" s="39"/>
      <c r="CH1077" s="39"/>
      <c r="CI1077" s="25">
        <v>1</v>
      </c>
    </row>
    <row r="1078" spans="1:87" ht="24.75" customHeight="1">
      <c r="A1078" s="36" t="s">
        <v>46</v>
      </c>
      <c r="B1078" s="30"/>
      <c r="C1078" s="36"/>
      <c r="D1078" s="23"/>
      <c r="E1078" s="39"/>
      <c r="F1078" s="39"/>
      <c r="G1078" s="36"/>
      <c r="H1078" s="39"/>
      <c r="I1078" s="39"/>
      <c r="J1078" s="39"/>
      <c r="K1078" s="39"/>
      <c r="L1078" s="39">
        <f t="shared" si="973"/>
        <v>0</v>
      </c>
      <c r="M1078" s="39"/>
      <c r="N1078" s="39"/>
      <c r="O1078" s="39"/>
      <c r="P1078" s="39"/>
      <c r="Q1078" s="39"/>
      <c r="R1078" s="39">
        <f t="shared" si="971"/>
        <v>0</v>
      </c>
      <c r="S1078" s="39"/>
      <c r="T1078" s="39"/>
      <c r="U1078" s="39"/>
      <c r="V1078" s="39"/>
      <c r="W1078" s="39"/>
      <c r="X1078" s="39"/>
      <c r="Y1078" s="39"/>
      <c r="Z1078" s="39"/>
      <c r="AA1078" s="39"/>
      <c r="AB1078" s="39">
        <f t="shared" si="972"/>
        <v>0</v>
      </c>
      <c r="AC1078" s="39"/>
      <c r="AD1078" s="39"/>
      <c r="AE1078" s="39"/>
      <c r="AF1078" s="39"/>
      <c r="AG1078" s="39"/>
      <c r="AH1078" s="39">
        <f t="shared" si="918"/>
        <v>0</v>
      </c>
      <c r="AI1078" s="39"/>
      <c r="AJ1078" s="39"/>
      <c r="AK1078" s="39"/>
      <c r="AL1078" s="39"/>
      <c r="AM1078" s="39"/>
      <c r="AN1078" s="39">
        <f t="shared" si="1047"/>
        <v>0</v>
      </c>
      <c r="AO1078" s="39"/>
      <c r="AP1078" s="39"/>
      <c r="AQ1078" s="39"/>
      <c r="AR1078" s="39"/>
      <c r="AS1078" s="39"/>
      <c r="AT1078" s="39">
        <f t="shared" si="974"/>
        <v>0</v>
      </c>
      <c r="AU1078" s="39"/>
      <c r="AV1078" s="39"/>
      <c r="AW1078" s="39"/>
      <c r="AX1078" s="39"/>
      <c r="AY1078" s="39"/>
      <c r="AZ1078" s="39">
        <f t="shared" si="975"/>
        <v>0</v>
      </c>
      <c r="BA1078" s="39"/>
      <c r="BB1078" s="39"/>
      <c r="BC1078" s="39"/>
      <c r="BD1078" s="39"/>
      <c r="BE1078" s="39"/>
      <c r="BF1078" s="39">
        <f t="shared" si="976"/>
        <v>0</v>
      </c>
      <c r="BG1078" s="39"/>
      <c r="BH1078" s="39"/>
      <c r="BI1078" s="39"/>
      <c r="BJ1078" s="39"/>
      <c r="BK1078" s="39"/>
      <c r="BL1078" s="39">
        <f t="shared" si="919"/>
        <v>0</v>
      </c>
      <c r="BM1078" s="54" t="e">
        <f t="shared" si="977"/>
        <v>#DIV/0!</v>
      </c>
      <c r="BN1078" s="64"/>
      <c r="BO1078" s="36"/>
      <c r="BP1078" s="36"/>
      <c r="BQ1078" s="36"/>
      <c r="BR1078" s="40"/>
      <c r="BS1078" s="40"/>
      <c r="BT1078" s="39"/>
      <c r="BU1078" s="39"/>
      <c r="BV1078" s="39"/>
      <c r="BW1078" s="39"/>
      <c r="BX1078" s="39"/>
      <c r="BY1078" s="39"/>
      <c r="BZ1078" s="39">
        <f t="shared" si="920"/>
        <v>0</v>
      </c>
      <c r="CA1078" s="39">
        <f t="shared" si="978"/>
        <v>0</v>
      </c>
      <c r="CB1078" s="39">
        <f t="shared" si="979"/>
        <v>0</v>
      </c>
      <c r="CC1078" s="39">
        <f t="shared" si="980"/>
        <v>0</v>
      </c>
      <c r="CD1078" s="39">
        <f t="shared" si="921"/>
        <v>0</v>
      </c>
      <c r="CE1078" s="47" t="e">
        <f t="shared" si="981"/>
        <v>#DIV/0!</v>
      </c>
      <c r="CF1078" s="36"/>
      <c r="CG1078" s="39"/>
      <c r="CH1078" s="39"/>
      <c r="CI1078" s="25">
        <v>1</v>
      </c>
    </row>
    <row r="1079" spans="1:87" ht="24.75" customHeight="1">
      <c r="A1079" s="36" t="s">
        <v>46</v>
      </c>
      <c r="B1079" s="30">
        <v>47668</v>
      </c>
      <c r="C1079" s="227" t="s">
        <v>629</v>
      </c>
      <c r="D1079" s="23"/>
      <c r="E1079" s="39">
        <v>200</v>
      </c>
      <c r="F1079" s="39" t="s">
        <v>59</v>
      </c>
      <c r="G1079" s="36" t="s">
        <v>125</v>
      </c>
      <c r="H1079" s="39" t="s">
        <v>381</v>
      </c>
      <c r="I1079" s="39">
        <v>164</v>
      </c>
      <c r="J1079" s="39"/>
      <c r="K1079" s="39"/>
      <c r="L1079" s="39">
        <f t="shared" ref="L1079:L1080" si="1048">SUM(I1079:K1079)</f>
        <v>164</v>
      </c>
      <c r="M1079" s="117">
        <v>46181</v>
      </c>
      <c r="N1079" s="117">
        <v>46190</v>
      </c>
      <c r="O1079" s="39"/>
      <c r="P1079" s="39"/>
      <c r="Q1079" s="39"/>
      <c r="R1079" s="39">
        <f t="shared" ref="R1079:R1080" si="1049">SUM(O1079:Q1079)</f>
        <v>0</v>
      </c>
      <c r="S1079" s="39" t="s">
        <v>130</v>
      </c>
      <c r="T1079" s="39">
        <v>107407</v>
      </c>
      <c r="U1079" s="117">
        <v>46205</v>
      </c>
      <c r="V1079" s="39"/>
      <c r="W1079" s="39"/>
      <c r="X1079" s="39"/>
      <c r="Y1079" s="39">
        <v>205</v>
      </c>
      <c r="Z1079" s="39"/>
      <c r="AA1079" s="39"/>
      <c r="AB1079" s="119">
        <f t="shared" ref="AB1079:AB1083" si="1050">SUM(Y1079:AA1079)</f>
        <v>205</v>
      </c>
      <c r="AC1079" s="39"/>
      <c r="AD1079" s="39"/>
      <c r="AE1079" s="39"/>
      <c r="AF1079" s="39"/>
      <c r="AG1079" s="39"/>
      <c r="AH1079" s="39">
        <f t="shared" ref="AH1079:AH1139" si="1051">AG1079-AE1079</f>
        <v>0</v>
      </c>
      <c r="AI1079" s="39"/>
      <c r="AJ1079" s="39"/>
      <c r="AK1079" s="39"/>
      <c r="AL1079" s="39"/>
      <c r="AM1079" s="39"/>
      <c r="AN1079" s="39">
        <f t="shared" si="1047"/>
        <v>0</v>
      </c>
      <c r="AO1079" s="39"/>
      <c r="AP1079" s="39"/>
      <c r="AQ1079" s="39"/>
      <c r="AR1079" s="39"/>
      <c r="AS1079" s="39"/>
      <c r="AT1079" s="39">
        <f t="shared" ref="AT1079:AT1108" si="1052">AS1079-AQ1079</f>
        <v>0</v>
      </c>
      <c r="AU1079" s="39"/>
      <c r="AV1079" s="39"/>
      <c r="AW1079" s="39"/>
      <c r="AX1079" s="39"/>
      <c r="AY1079" s="39"/>
      <c r="AZ1079" s="39">
        <f t="shared" ref="AZ1079:AZ1108" si="1053">AY1079-AW1079</f>
        <v>0</v>
      </c>
      <c r="BA1079" s="39"/>
      <c r="BB1079" s="39"/>
      <c r="BC1079" s="39"/>
      <c r="BD1079" s="39"/>
      <c r="BE1079" s="39"/>
      <c r="BF1079" s="39">
        <f t="shared" ref="BF1079:BF1108" si="1054">BE1079-BC1079</f>
        <v>0</v>
      </c>
      <c r="BG1079" s="39"/>
      <c r="BH1079" s="39"/>
      <c r="BI1079" s="39"/>
      <c r="BJ1079" s="39"/>
      <c r="BK1079" s="39"/>
      <c r="BL1079" s="39">
        <f t="shared" ref="BL1079:BL1139" si="1055">BK1079-BI1079</f>
        <v>0</v>
      </c>
      <c r="BM1079" s="54" t="str">
        <f t="shared" ref="BM1079:BM1108" si="1056">IF((BZ1079/L1079)&lt;0.9,$CO$1-U1079,"")</f>
        <v/>
      </c>
      <c r="BN1079" s="59">
        <v>46191</v>
      </c>
      <c r="BO1079" s="57">
        <v>46205</v>
      </c>
      <c r="BP1079" s="36"/>
      <c r="BQ1079" s="36"/>
      <c r="BR1079" s="229">
        <v>46196</v>
      </c>
      <c r="BS1079" s="229">
        <v>46212</v>
      </c>
      <c r="BT1079" s="39">
        <v>1586</v>
      </c>
      <c r="BU1079" s="39">
        <v>182</v>
      </c>
      <c r="BV1079" s="39"/>
      <c r="BW1079" s="39"/>
      <c r="BX1079" s="39"/>
      <c r="BY1079" s="39"/>
      <c r="BZ1079" s="39">
        <f t="shared" ref="BZ1079:BZ1139" si="1057">BU1079+BW1079+BY1079</f>
        <v>182</v>
      </c>
      <c r="CA1079" s="39">
        <f t="shared" ref="CA1079:CA1108" si="1058">BU1079-I1079</f>
        <v>18</v>
      </c>
      <c r="CB1079" s="39">
        <f t="shared" ref="CB1079:CB1108" si="1059">BW1079-J1079</f>
        <v>0</v>
      </c>
      <c r="CC1079" s="39">
        <f t="shared" ref="CC1079:CC1108" si="1060">BY1079-K1079</f>
        <v>0</v>
      </c>
      <c r="CD1079" s="39">
        <f t="shared" ref="CD1079:CD1139" si="1061">SUMIF(CA1079:CC1079,"&lt;0")</f>
        <v>0</v>
      </c>
      <c r="CE1079" s="102">
        <f t="shared" ref="CE1079:CE1108" si="1062">CD1079/L1079</f>
        <v>0</v>
      </c>
      <c r="CF1079" s="36"/>
      <c r="CG1079" s="39" t="s">
        <v>246</v>
      </c>
      <c r="CH1079" s="39"/>
      <c r="CI1079" s="25">
        <v>2</v>
      </c>
    </row>
    <row r="1080" spans="1:87" ht="24.75" customHeight="1">
      <c r="A1080" s="36" t="s">
        <v>46</v>
      </c>
      <c r="B1080" s="30">
        <v>47668</v>
      </c>
      <c r="C1080" s="228"/>
      <c r="D1080" s="23"/>
      <c r="E1080" s="39">
        <v>200</v>
      </c>
      <c r="F1080" s="39" t="s">
        <v>59</v>
      </c>
      <c r="G1080" s="36" t="s">
        <v>536</v>
      </c>
      <c r="H1080" s="39" t="s">
        <v>381</v>
      </c>
      <c r="I1080" s="39">
        <v>135</v>
      </c>
      <c r="J1080" s="39"/>
      <c r="K1080" s="39"/>
      <c r="L1080" s="39">
        <f t="shared" si="1048"/>
        <v>135</v>
      </c>
      <c r="M1080" s="117">
        <v>46181</v>
      </c>
      <c r="N1080" s="117">
        <v>46190</v>
      </c>
      <c r="O1080" s="39"/>
      <c r="P1080" s="39"/>
      <c r="Q1080" s="39"/>
      <c r="R1080" s="39">
        <f t="shared" si="1049"/>
        <v>0</v>
      </c>
      <c r="S1080" s="39" t="s">
        <v>270</v>
      </c>
      <c r="T1080" s="39"/>
      <c r="U1080" s="39"/>
      <c r="V1080" s="117">
        <v>46164</v>
      </c>
      <c r="W1080" s="39">
        <v>162</v>
      </c>
      <c r="X1080" s="117">
        <v>46196</v>
      </c>
      <c r="Y1080" s="39">
        <v>152</v>
      </c>
      <c r="Z1080" s="39"/>
      <c r="AA1080" s="39"/>
      <c r="AB1080" s="119">
        <f t="shared" si="1050"/>
        <v>152</v>
      </c>
      <c r="AC1080" s="39"/>
      <c r="AD1080" s="39"/>
      <c r="AE1080" s="39"/>
      <c r="AF1080" s="39"/>
      <c r="AG1080" s="39"/>
      <c r="AH1080" s="39">
        <f t="shared" si="1051"/>
        <v>0</v>
      </c>
      <c r="AI1080" s="39"/>
      <c r="AJ1080" s="39"/>
      <c r="AK1080" s="39"/>
      <c r="AL1080" s="39"/>
      <c r="AM1080" s="39"/>
      <c r="AN1080" s="39">
        <f t="shared" si="1047"/>
        <v>0</v>
      </c>
      <c r="AO1080" s="39"/>
      <c r="AP1080" s="39"/>
      <c r="AQ1080" s="39"/>
      <c r="AR1080" s="39"/>
      <c r="AS1080" s="39"/>
      <c r="AT1080" s="39">
        <f t="shared" si="1052"/>
        <v>0</v>
      </c>
      <c r="AU1080" s="39"/>
      <c r="AV1080" s="39"/>
      <c r="AW1080" s="39"/>
      <c r="AX1080" s="39"/>
      <c r="AY1080" s="39"/>
      <c r="AZ1080" s="39">
        <f t="shared" si="1053"/>
        <v>0</v>
      </c>
      <c r="BA1080" s="39"/>
      <c r="BB1080" s="39"/>
      <c r="BC1080" s="39"/>
      <c r="BD1080" s="39"/>
      <c r="BE1080" s="39"/>
      <c r="BF1080" s="39">
        <f t="shared" si="1054"/>
        <v>0</v>
      </c>
      <c r="BG1080" s="39"/>
      <c r="BH1080" s="39"/>
      <c r="BI1080" s="39"/>
      <c r="BJ1080" s="39"/>
      <c r="BK1080" s="39"/>
      <c r="BL1080" s="39">
        <f t="shared" si="1055"/>
        <v>0</v>
      </c>
      <c r="BM1080" s="54" t="str">
        <f t="shared" si="1056"/>
        <v/>
      </c>
      <c r="BN1080" s="59">
        <v>46191</v>
      </c>
      <c r="BO1080" s="57">
        <v>46205</v>
      </c>
      <c r="BP1080" s="36"/>
      <c r="BQ1080" s="36"/>
      <c r="BR1080" s="230"/>
      <c r="BS1080" s="230"/>
      <c r="BT1080" s="39" t="s">
        <v>1183</v>
      </c>
      <c r="BU1080" s="39">
        <f>127+25</f>
        <v>152</v>
      </c>
      <c r="BV1080" s="39"/>
      <c r="BW1080" s="39"/>
      <c r="BX1080" s="39"/>
      <c r="BY1080" s="39"/>
      <c r="BZ1080" s="39">
        <f t="shared" si="1057"/>
        <v>152</v>
      </c>
      <c r="CA1080" s="39">
        <f t="shared" si="1058"/>
        <v>17</v>
      </c>
      <c r="CB1080" s="39">
        <f t="shared" si="1059"/>
        <v>0</v>
      </c>
      <c r="CC1080" s="39">
        <f t="shared" si="1060"/>
        <v>0</v>
      </c>
      <c r="CD1080" s="39">
        <f t="shared" si="1061"/>
        <v>0</v>
      </c>
      <c r="CE1080" s="102">
        <f t="shared" si="1062"/>
        <v>0</v>
      </c>
      <c r="CF1080" s="36"/>
      <c r="CG1080" s="39" t="s">
        <v>246</v>
      </c>
      <c r="CH1080" s="39"/>
      <c r="CI1080" s="25">
        <v>2</v>
      </c>
    </row>
    <row r="1081" spans="1:87" ht="24.75" customHeight="1">
      <c r="A1081" s="36" t="s">
        <v>46</v>
      </c>
      <c r="B1081" s="30">
        <v>47396</v>
      </c>
      <c r="C1081" s="227" t="s">
        <v>1648</v>
      </c>
      <c r="D1081" s="23" t="s">
        <v>166</v>
      </c>
      <c r="E1081" s="39">
        <v>180</v>
      </c>
      <c r="F1081" s="39" t="s">
        <v>59</v>
      </c>
      <c r="G1081" s="36" t="s">
        <v>656</v>
      </c>
      <c r="H1081" s="36" t="s">
        <v>22</v>
      </c>
      <c r="I1081" s="39">
        <v>764</v>
      </c>
      <c r="J1081" s="39"/>
      <c r="K1081" s="39"/>
      <c r="L1081" s="39">
        <f t="shared" ref="L1081:L1087" si="1063">SUM(I1081:K1081)</f>
        <v>764</v>
      </c>
      <c r="M1081" s="117">
        <v>46162</v>
      </c>
      <c r="N1081" s="117">
        <v>46188</v>
      </c>
      <c r="O1081" s="39"/>
      <c r="P1081" s="39"/>
      <c r="Q1081" s="39"/>
      <c r="R1081" s="39">
        <f t="shared" ref="R1081:R1087" si="1064">SUM(O1081:Q1081)</f>
        <v>0</v>
      </c>
      <c r="S1081" s="39" t="s">
        <v>130</v>
      </c>
      <c r="T1081" s="39">
        <v>107827</v>
      </c>
      <c r="U1081" s="117" t="s">
        <v>1808</v>
      </c>
      <c r="V1081" s="39"/>
      <c r="W1081" s="39"/>
      <c r="X1081" s="39"/>
      <c r="Y1081" s="39">
        <f>20+835</f>
        <v>855</v>
      </c>
      <c r="Z1081" s="39"/>
      <c r="AA1081" s="39"/>
      <c r="AB1081" s="119">
        <f t="shared" si="1050"/>
        <v>855</v>
      </c>
      <c r="AC1081" s="39"/>
      <c r="AD1081" s="39"/>
      <c r="AE1081" s="39"/>
      <c r="AF1081" s="39"/>
      <c r="AG1081" s="39"/>
      <c r="AH1081" s="39">
        <f t="shared" si="1051"/>
        <v>0</v>
      </c>
      <c r="AI1081" s="39" t="s">
        <v>163</v>
      </c>
      <c r="AJ1081" s="117">
        <v>46219</v>
      </c>
      <c r="AK1081" s="39">
        <v>833</v>
      </c>
      <c r="AL1081" s="117">
        <v>46220</v>
      </c>
      <c r="AM1081" s="39">
        <f>20</f>
        <v>20</v>
      </c>
      <c r="AN1081" s="39">
        <f t="shared" si="1047"/>
        <v>-813</v>
      </c>
      <c r="AO1081" s="39"/>
      <c r="AP1081" s="39"/>
      <c r="AQ1081" s="39"/>
      <c r="AR1081" s="39"/>
      <c r="AS1081" s="39"/>
      <c r="AT1081" s="39">
        <f t="shared" si="1052"/>
        <v>0</v>
      </c>
      <c r="AU1081" s="39"/>
      <c r="AV1081" s="39"/>
      <c r="AW1081" s="39"/>
      <c r="AX1081" s="39"/>
      <c r="AY1081" s="39"/>
      <c r="AZ1081" s="39">
        <f t="shared" si="1053"/>
        <v>0</v>
      </c>
      <c r="BA1081" s="39"/>
      <c r="BB1081" s="39"/>
      <c r="BC1081" s="39"/>
      <c r="BD1081" s="39"/>
      <c r="BE1081" s="39"/>
      <c r="BF1081" s="39">
        <f t="shared" si="1054"/>
        <v>0</v>
      </c>
      <c r="BG1081" s="39"/>
      <c r="BH1081" s="39"/>
      <c r="BI1081" s="39"/>
      <c r="BJ1081" s="39"/>
      <c r="BK1081" s="39"/>
      <c r="BL1081" s="39">
        <f t="shared" si="1055"/>
        <v>0</v>
      </c>
      <c r="BM1081" s="54" t="str">
        <f t="shared" si="1056"/>
        <v/>
      </c>
      <c r="BN1081" s="59">
        <v>46188</v>
      </c>
      <c r="BO1081" s="57">
        <v>46209</v>
      </c>
      <c r="BP1081" s="36"/>
      <c r="BQ1081" s="36"/>
      <c r="BR1081" s="229">
        <v>46221</v>
      </c>
      <c r="BS1081" s="229">
        <v>46226</v>
      </c>
      <c r="BT1081" s="39" t="s">
        <v>1795</v>
      </c>
      <c r="BU1081" s="39">
        <f>18+748</f>
        <v>766</v>
      </c>
      <c r="BV1081" s="39"/>
      <c r="BW1081" s="39"/>
      <c r="BX1081" s="39"/>
      <c r="BY1081" s="39"/>
      <c r="BZ1081" s="39">
        <f t="shared" si="1057"/>
        <v>766</v>
      </c>
      <c r="CA1081" s="39">
        <f t="shared" si="1058"/>
        <v>2</v>
      </c>
      <c r="CB1081" s="39">
        <f t="shared" si="1059"/>
        <v>0</v>
      </c>
      <c r="CC1081" s="39">
        <f t="shared" si="1060"/>
        <v>0</v>
      </c>
      <c r="CD1081" s="39">
        <f t="shared" si="1061"/>
        <v>0</v>
      </c>
      <c r="CE1081" s="102">
        <f t="shared" si="1062"/>
        <v>0</v>
      </c>
      <c r="CF1081" s="36"/>
      <c r="CG1081" s="39" t="s">
        <v>238</v>
      </c>
      <c r="CH1081" s="39"/>
      <c r="CI1081" s="25">
        <v>2</v>
      </c>
    </row>
    <row r="1082" spans="1:87" ht="24.75" customHeight="1">
      <c r="A1082" s="36" t="s">
        <v>46</v>
      </c>
      <c r="B1082" s="30">
        <v>47396</v>
      </c>
      <c r="C1082" s="231"/>
      <c r="D1082" s="23" t="s">
        <v>49</v>
      </c>
      <c r="E1082" s="39">
        <v>180</v>
      </c>
      <c r="F1082" s="39" t="s">
        <v>57</v>
      </c>
      <c r="G1082" s="36" t="s">
        <v>338</v>
      </c>
      <c r="H1082" s="36" t="s">
        <v>22</v>
      </c>
      <c r="I1082" s="39">
        <v>314</v>
      </c>
      <c r="J1082" s="39"/>
      <c r="K1082" s="39"/>
      <c r="L1082" s="39">
        <f t="shared" si="1063"/>
        <v>314</v>
      </c>
      <c r="M1082" s="117">
        <v>46162</v>
      </c>
      <c r="N1082" s="117">
        <v>46188</v>
      </c>
      <c r="O1082" s="39"/>
      <c r="P1082" s="39"/>
      <c r="Q1082" s="39"/>
      <c r="R1082" s="39">
        <f t="shared" si="1064"/>
        <v>0</v>
      </c>
      <c r="S1082" s="39" t="s">
        <v>130</v>
      </c>
      <c r="T1082" s="39">
        <v>107597</v>
      </c>
      <c r="U1082" s="117">
        <v>46212</v>
      </c>
      <c r="V1082" s="39"/>
      <c r="W1082" s="39"/>
      <c r="X1082" s="39"/>
      <c r="Y1082" s="39">
        <v>360</v>
      </c>
      <c r="Z1082" s="39"/>
      <c r="AA1082" s="39"/>
      <c r="AB1082" s="119">
        <f t="shared" si="1050"/>
        <v>360</v>
      </c>
      <c r="AC1082" s="39"/>
      <c r="AD1082" s="39"/>
      <c r="AE1082" s="39"/>
      <c r="AF1082" s="39"/>
      <c r="AG1082" s="39"/>
      <c r="AH1082" s="39">
        <f t="shared" si="1051"/>
        <v>0</v>
      </c>
      <c r="AI1082" s="39" t="s">
        <v>163</v>
      </c>
      <c r="AJ1082" s="117">
        <v>46213</v>
      </c>
      <c r="AK1082" s="39">
        <v>323</v>
      </c>
      <c r="AL1082" s="117">
        <v>46216</v>
      </c>
      <c r="AM1082" s="39">
        <v>318</v>
      </c>
      <c r="AN1082" s="39">
        <f t="shared" si="1047"/>
        <v>-5</v>
      </c>
      <c r="AO1082" s="39"/>
      <c r="AP1082" s="39"/>
      <c r="AQ1082" s="39"/>
      <c r="AR1082" s="39"/>
      <c r="AS1082" s="39"/>
      <c r="AT1082" s="39">
        <f t="shared" si="1052"/>
        <v>0</v>
      </c>
      <c r="AU1082" s="39"/>
      <c r="AV1082" s="39"/>
      <c r="AW1082" s="39"/>
      <c r="AX1082" s="39"/>
      <c r="AY1082" s="39"/>
      <c r="AZ1082" s="39">
        <f t="shared" si="1053"/>
        <v>0</v>
      </c>
      <c r="BA1082" s="39"/>
      <c r="BB1082" s="39"/>
      <c r="BC1082" s="39"/>
      <c r="BD1082" s="39"/>
      <c r="BE1082" s="39"/>
      <c r="BF1082" s="39">
        <f t="shared" si="1054"/>
        <v>0</v>
      </c>
      <c r="BG1082" s="39"/>
      <c r="BH1082" s="39"/>
      <c r="BI1082" s="39"/>
      <c r="BJ1082" s="39"/>
      <c r="BK1082" s="39"/>
      <c r="BL1082" s="39">
        <f t="shared" si="1055"/>
        <v>0</v>
      </c>
      <c r="BM1082" s="54" t="str">
        <f t="shared" si="1056"/>
        <v/>
      </c>
      <c r="BN1082" s="59">
        <v>46188</v>
      </c>
      <c r="BO1082" s="57">
        <v>46209</v>
      </c>
      <c r="BP1082" s="36"/>
      <c r="BQ1082" s="36"/>
      <c r="BR1082" s="232"/>
      <c r="BS1082" s="232"/>
      <c r="BT1082" s="39">
        <v>2035</v>
      </c>
      <c r="BU1082" s="39">
        <v>338</v>
      </c>
      <c r="BV1082" s="39"/>
      <c r="BW1082" s="39"/>
      <c r="BX1082" s="39"/>
      <c r="BY1082" s="39"/>
      <c r="BZ1082" s="39">
        <f t="shared" si="1057"/>
        <v>338</v>
      </c>
      <c r="CA1082" s="39">
        <f t="shared" si="1058"/>
        <v>24</v>
      </c>
      <c r="CB1082" s="39">
        <f t="shared" si="1059"/>
        <v>0</v>
      </c>
      <c r="CC1082" s="39">
        <f t="shared" si="1060"/>
        <v>0</v>
      </c>
      <c r="CD1082" s="39">
        <f t="shared" si="1061"/>
        <v>0</v>
      </c>
      <c r="CE1082" s="102">
        <f t="shared" si="1062"/>
        <v>0</v>
      </c>
      <c r="CF1082" s="36"/>
      <c r="CG1082" s="39" t="s">
        <v>238</v>
      </c>
      <c r="CH1082" s="39"/>
      <c r="CI1082" s="25">
        <v>2</v>
      </c>
    </row>
    <row r="1083" spans="1:87" ht="24.75" customHeight="1">
      <c r="A1083" s="36" t="s">
        <v>46</v>
      </c>
      <c r="B1083" s="30">
        <v>47396</v>
      </c>
      <c r="C1083" s="228"/>
      <c r="D1083" s="23" t="s">
        <v>24</v>
      </c>
      <c r="E1083" s="39">
        <v>160</v>
      </c>
      <c r="F1083" s="39" t="s">
        <v>59</v>
      </c>
      <c r="G1083" s="36" t="s">
        <v>657</v>
      </c>
      <c r="H1083" s="36" t="s">
        <v>22</v>
      </c>
      <c r="I1083" s="39">
        <v>17</v>
      </c>
      <c r="J1083" s="39">
        <v>44</v>
      </c>
      <c r="K1083" s="39"/>
      <c r="L1083" s="39">
        <f t="shared" si="1063"/>
        <v>61</v>
      </c>
      <c r="M1083" s="117">
        <v>46162</v>
      </c>
      <c r="N1083" s="117">
        <v>46188</v>
      </c>
      <c r="O1083" s="39"/>
      <c r="P1083" s="39"/>
      <c r="Q1083" s="39"/>
      <c r="R1083" s="39">
        <f t="shared" si="1064"/>
        <v>0</v>
      </c>
      <c r="S1083" s="39" t="s">
        <v>130</v>
      </c>
      <c r="T1083" s="39" t="s">
        <v>2132</v>
      </c>
      <c r="U1083" s="117" t="s">
        <v>2120</v>
      </c>
      <c r="V1083" s="39"/>
      <c r="W1083" s="39"/>
      <c r="X1083" s="39"/>
      <c r="Y1083" s="39">
        <v>18</v>
      </c>
      <c r="Z1083" s="39">
        <f>53+16</f>
        <v>69</v>
      </c>
      <c r="AA1083" s="39"/>
      <c r="AB1083" s="119">
        <f t="shared" si="1050"/>
        <v>87</v>
      </c>
      <c r="AC1083" s="39"/>
      <c r="AD1083" s="39"/>
      <c r="AE1083" s="39"/>
      <c r="AF1083" s="39"/>
      <c r="AG1083" s="39"/>
      <c r="AH1083" s="39">
        <f t="shared" si="1051"/>
        <v>0</v>
      </c>
      <c r="AI1083" s="39"/>
      <c r="AJ1083" s="39"/>
      <c r="AK1083" s="39"/>
      <c r="AL1083" s="39"/>
      <c r="AM1083" s="39"/>
      <c r="AN1083" s="39">
        <f t="shared" si="1047"/>
        <v>0</v>
      </c>
      <c r="AO1083" s="39"/>
      <c r="AP1083" s="39"/>
      <c r="AQ1083" s="39"/>
      <c r="AR1083" s="39"/>
      <c r="AS1083" s="39"/>
      <c r="AT1083" s="39">
        <f t="shared" si="1052"/>
        <v>0</v>
      </c>
      <c r="AU1083" s="39"/>
      <c r="AV1083" s="39"/>
      <c r="AW1083" s="39"/>
      <c r="AX1083" s="39"/>
      <c r="AY1083" s="39"/>
      <c r="AZ1083" s="39">
        <f t="shared" si="1053"/>
        <v>0</v>
      </c>
      <c r="BA1083" s="39"/>
      <c r="BB1083" s="39"/>
      <c r="BC1083" s="39"/>
      <c r="BD1083" s="39"/>
      <c r="BE1083" s="39"/>
      <c r="BF1083" s="39">
        <f t="shared" si="1054"/>
        <v>0</v>
      </c>
      <c r="BG1083" s="39"/>
      <c r="BH1083" s="39"/>
      <c r="BI1083" s="39"/>
      <c r="BJ1083" s="39"/>
      <c r="BK1083" s="39"/>
      <c r="BL1083" s="39">
        <f t="shared" si="1055"/>
        <v>0</v>
      </c>
      <c r="BM1083" s="54" t="str">
        <f t="shared" si="1056"/>
        <v/>
      </c>
      <c r="BN1083" s="59">
        <v>46188</v>
      </c>
      <c r="BO1083" s="57">
        <v>46209</v>
      </c>
      <c r="BP1083" s="36"/>
      <c r="BQ1083" s="36"/>
      <c r="BR1083" s="230"/>
      <c r="BS1083" s="230"/>
      <c r="BT1083" s="39">
        <v>1826</v>
      </c>
      <c r="BU1083" s="39">
        <v>17</v>
      </c>
      <c r="BV1083" s="39" t="s">
        <v>2144</v>
      </c>
      <c r="BW1083" s="39">
        <f>44+15</f>
        <v>59</v>
      </c>
      <c r="BX1083" s="39"/>
      <c r="BY1083" s="39"/>
      <c r="BZ1083" s="39">
        <f t="shared" si="1057"/>
        <v>76</v>
      </c>
      <c r="CA1083" s="39">
        <f t="shared" si="1058"/>
        <v>0</v>
      </c>
      <c r="CB1083" s="39">
        <f t="shared" si="1059"/>
        <v>15</v>
      </c>
      <c r="CC1083" s="39">
        <f t="shared" si="1060"/>
        <v>0</v>
      </c>
      <c r="CD1083" s="39">
        <f t="shared" si="1061"/>
        <v>0</v>
      </c>
      <c r="CE1083" s="102">
        <f t="shared" si="1062"/>
        <v>0</v>
      </c>
      <c r="CF1083" s="36"/>
      <c r="CG1083" s="39" t="s">
        <v>238</v>
      </c>
      <c r="CH1083" s="39"/>
      <c r="CI1083" s="25">
        <v>2</v>
      </c>
    </row>
    <row r="1084" spans="1:87" ht="24.75" customHeight="1">
      <c r="A1084" s="36" t="s">
        <v>46</v>
      </c>
      <c r="B1084" s="30">
        <v>47397</v>
      </c>
      <c r="C1084" s="227" t="s">
        <v>1647</v>
      </c>
      <c r="D1084" s="23" t="s">
        <v>109</v>
      </c>
      <c r="E1084" s="39">
        <v>300</v>
      </c>
      <c r="F1084" s="39" t="s">
        <v>55</v>
      </c>
      <c r="G1084" s="36" t="s">
        <v>927</v>
      </c>
      <c r="H1084" s="36" t="s">
        <v>196</v>
      </c>
      <c r="I1084" s="39">
        <v>1202</v>
      </c>
      <c r="J1084" s="39"/>
      <c r="K1084" s="39"/>
      <c r="L1084" s="39">
        <f t="shared" si="1063"/>
        <v>1202</v>
      </c>
      <c r="M1084" s="117">
        <v>46160</v>
      </c>
      <c r="N1084" s="117">
        <v>46193</v>
      </c>
      <c r="O1084" s="39"/>
      <c r="P1084" s="39"/>
      <c r="Q1084" s="39"/>
      <c r="R1084" s="39">
        <f t="shared" si="1064"/>
        <v>0</v>
      </c>
      <c r="S1084" s="39" t="s">
        <v>130</v>
      </c>
      <c r="T1084" s="39" t="s">
        <v>1567</v>
      </c>
      <c r="U1084" s="117" t="s">
        <v>1524</v>
      </c>
      <c r="V1084" s="117"/>
      <c r="W1084" s="39"/>
      <c r="X1084" s="39"/>
      <c r="Y1084" s="39">
        <f>711+720</f>
        <v>1431</v>
      </c>
      <c r="Z1084" s="39"/>
      <c r="AA1084" s="39"/>
      <c r="AB1084" s="119">
        <f t="shared" ref="AB1084:AB1087" si="1065">SUM(Y1084:AA1084)</f>
        <v>1431</v>
      </c>
      <c r="AC1084" s="39"/>
      <c r="AD1084" s="39"/>
      <c r="AE1084" s="39"/>
      <c r="AF1084" s="39"/>
      <c r="AG1084" s="39"/>
      <c r="AH1084" s="39">
        <f t="shared" si="1051"/>
        <v>0</v>
      </c>
      <c r="AI1084" s="39" t="s">
        <v>257</v>
      </c>
      <c r="AJ1084" s="117">
        <v>46216</v>
      </c>
      <c r="AK1084" s="39">
        <f>649+646</f>
        <v>1295</v>
      </c>
      <c r="AL1084" s="117" t="s">
        <v>1619</v>
      </c>
      <c r="AM1084" s="39">
        <f>622+629</f>
        <v>1251</v>
      </c>
      <c r="AN1084" s="39">
        <f t="shared" si="1047"/>
        <v>-44</v>
      </c>
      <c r="AO1084" s="39" t="s">
        <v>257</v>
      </c>
      <c r="AP1084" s="117">
        <v>46216</v>
      </c>
      <c r="AQ1084" s="39">
        <f>649+646</f>
        <v>1295</v>
      </c>
      <c r="AR1084" s="117" t="s">
        <v>1619</v>
      </c>
      <c r="AS1084" s="39">
        <f>622+629</f>
        <v>1251</v>
      </c>
      <c r="AT1084" s="39">
        <f t="shared" si="1052"/>
        <v>-44</v>
      </c>
      <c r="AU1084" s="39" t="s">
        <v>257</v>
      </c>
      <c r="AV1084" s="117">
        <v>46216</v>
      </c>
      <c r="AW1084" s="39">
        <f>649+646</f>
        <v>1295</v>
      </c>
      <c r="AX1084" s="117" t="s">
        <v>1619</v>
      </c>
      <c r="AY1084" s="39">
        <f>622+629</f>
        <v>1251</v>
      </c>
      <c r="AZ1084" s="39">
        <f t="shared" si="1053"/>
        <v>-44</v>
      </c>
      <c r="BA1084" s="39"/>
      <c r="BB1084" s="39"/>
      <c r="BC1084" s="39"/>
      <c r="BD1084" s="39"/>
      <c r="BE1084" s="39"/>
      <c r="BF1084" s="39">
        <f t="shared" si="1054"/>
        <v>0</v>
      </c>
      <c r="BG1084" s="39"/>
      <c r="BH1084" s="39"/>
      <c r="BI1084" s="39"/>
      <c r="BJ1084" s="39"/>
      <c r="BK1084" s="39"/>
      <c r="BL1084" s="39">
        <f t="shared" si="1055"/>
        <v>0</v>
      </c>
      <c r="BM1084" s="54" t="str">
        <f t="shared" si="1056"/>
        <v/>
      </c>
      <c r="BN1084" s="59">
        <v>46189</v>
      </c>
      <c r="BO1084" s="57">
        <v>46207</v>
      </c>
      <c r="BP1084" s="36"/>
      <c r="BQ1084" s="36"/>
      <c r="BR1084" s="229">
        <v>46220</v>
      </c>
      <c r="BS1084" s="229">
        <v>46221</v>
      </c>
      <c r="BT1084" s="39">
        <v>1816</v>
      </c>
      <c r="BU1084" s="39">
        <f>607+622</f>
        <v>1229</v>
      </c>
      <c r="BV1084" s="39"/>
      <c r="BW1084" s="39"/>
      <c r="BX1084" s="39"/>
      <c r="BY1084" s="39"/>
      <c r="BZ1084" s="39">
        <f t="shared" si="1057"/>
        <v>1229</v>
      </c>
      <c r="CA1084" s="39">
        <f t="shared" si="1058"/>
        <v>27</v>
      </c>
      <c r="CB1084" s="39">
        <f t="shared" si="1059"/>
        <v>0</v>
      </c>
      <c r="CC1084" s="39">
        <f t="shared" si="1060"/>
        <v>0</v>
      </c>
      <c r="CD1084" s="39">
        <f t="shared" si="1061"/>
        <v>0</v>
      </c>
      <c r="CE1084" s="102">
        <f t="shared" si="1062"/>
        <v>0</v>
      </c>
      <c r="CF1084" s="36"/>
      <c r="CG1084" s="39" t="s">
        <v>238</v>
      </c>
      <c r="CH1084" s="39"/>
      <c r="CI1084" s="25">
        <v>2</v>
      </c>
    </row>
    <row r="1085" spans="1:87" ht="24.75" customHeight="1">
      <c r="A1085" s="36" t="s">
        <v>46</v>
      </c>
      <c r="B1085" s="30">
        <v>47397</v>
      </c>
      <c r="C1085" s="231"/>
      <c r="D1085" s="23" t="s">
        <v>109</v>
      </c>
      <c r="E1085" s="39">
        <v>300</v>
      </c>
      <c r="F1085" s="39" t="s">
        <v>55</v>
      </c>
      <c r="G1085" s="36" t="s">
        <v>657</v>
      </c>
      <c r="H1085" s="36" t="s">
        <v>196</v>
      </c>
      <c r="I1085" s="39">
        <v>347</v>
      </c>
      <c r="J1085" s="39"/>
      <c r="K1085" s="39"/>
      <c r="L1085" s="39">
        <f t="shared" si="1063"/>
        <v>347</v>
      </c>
      <c r="M1085" s="117">
        <v>46160</v>
      </c>
      <c r="N1085" s="117">
        <v>46193</v>
      </c>
      <c r="O1085" s="39"/>
      <c r="P1085" s="39"/>
      <c r="Q1085" s="39"/>
      <c r="R1085" s="39">
        <f t="shared" si="1064"/>
        <v>0</v>
      </c>
      <c r="S1085" s="39" t="s">
        <v>130</v>
      </c>
      <c r="T1085" s="39">
        <v>107682</v>
      </c>
      <c r="U1085" s="117">
        <v>46217</v>
      </c>
      <c r="V1085" s="39"/>
      <c r="W1085" s="39"/>
      <c r="X1085" s="39"/>
      <c r="Y1085" s="39">
        <v>404</v>
      </c>
      <c r="Z1085" s="39"/>
      <c r="AA1085" s="39"/>
      <c r="AB1085" s="119">
        <f t="shared" si="1065"/>
        <v>404</v>
      </c>
      <c r="AC1085" s="39"/>
      <c r="AD1085" s="39"/>
      <c r="AE1085" s="39"/>
      <c r="AF1085" s="39"/>
      <c r="AG1085" s="39"/>
      <c r="AH1085" s="39">
        <f t="shared" si="1051"/>
        <v>0</v>
      </c>
      <c r="AI1085" s="39" t="s">
        <v>257</v>
      </c>
      <c r="AJ1085" s="117">
        <v>46218</v>
      </c>
      <c r="AK1085" s="39">
        <v>375</v>
      </c>
      <c r="AL1085" s="117">
        <v>46219</v>
      </c>
      <c r="AM1085" s="39">
        <v>362</v>
      </c>
      <c r="AN1085" s="39">
        <f t="shared" si="1047"/>
        <v>-13</v>
      </c>
      <c r="AO1085" s="39" t="s">
        <v>257</v>
      </c>
      <c r="AP1085" s="117">
        <v>46218</v>
      </c>
      <c r="AQ1085" s="39">
        <v>375</v>
      </c>
      <c r="AR1085" s="117">
        <v>46219</v>
      </c>
      <c r="AS1085" s="39">
        <v>362</v>
      </c>
      <c r="AT1085" s="39">
        <f t="shared" si="1052"/>
        <v>-13</v>
      </c>
      <c r="AU1085" s="39"/>
      <c r="AV1085" s="39"/>
      <c r="AW1085" s="39"/>
      <c r="AX1085" s="39"/>
      <c r="AY1085" s="39"/>
      <c r="AZ1085" s="39">
        <f t="shared" si="1053"/>
        <v>0</v>
      </c>
      <c r="BA1085" s="39"/>
      <c r="BB1085" s="39"/>
      <c r="BC1085" s="39"/>
      <c r="BD1085" s="39"/>
      <c r="BE1085" s="39"/>
      <c r="BF1085" s="39">
        <f t="shared" si="1054"/>
        <v>0</v>
      </c>
      <c r="BG1085" s="39"/>
      <c r="BH1085" s="39"/>
      <c r="BI1085" s="39"/>
      <c r="BJ1085" s="39"/>
      <c r="BK1085" s="39"/>
      <c r="BL1085" s="39">
        <f t="shared" si="1055"/>
        <v>0</v>
      </c>
      <c r="BM1085" s="54" t="str">
        <f t="shared" si="1056"/>
        <v/>
      </c>
      <c r="BN1085" s="59">
        <v>46189</v>
      </c>
      <c r="BO1085" s="57">
        <v>46207</v>
      </c>
      <c r="BP1085" s="36"/>
      <c r="BQ1085" s="36"/>
      <c r="BR1085" s="232"/>
      <c r="BS1085" s="232"/>
      <c r="BT1085" s="39">
        <v>2030</v>
      </c>
      <c r="BU1085" s="39">
        <v>359</v>
      </c>
      <c r="BV1085" s="39"/>
      <c r="BW1085" s="39"/>
      <c r="BX1085" s="39"/>
      <c r="BY1085" s="39"/>
      <c r="BZ1085" s="39">
        <f t="shared" si="1057"/>
        <v>359</v>
      </c>
      <c r="CA1085" s="39">
        <f t="shared" si="1058"/>
        <v>12</v>
      </c>
      <c r="CB1085" s="39">
        <f t="shared" si="1059"/>
        <v>0</v>
      </c>
      <c r="CC1085" s="39">
        <f t="shared" si="1060"/>
        <v>0</v>
      </c>
      <c r="CD1085" s="39">
        <f t="shared" si="1061"/>
        <v>0</v>
      </c>
      <c r="CE1085" s="102">
        <f t="shared" si="1062"/>
        <v>0</v>
      </c>
      <c r="CF1085" s="36"/>
      <c r="CG1085" s="39" t="s">
        <v>238</v>
      </c>
      <c r="CH1085" s="39"/>
      <c r="CI1085" s="25">
        <v>2</v>
      </c>
    </row>
    <row r="1086" spans="1:87" ht="24.75" customHeight="1">
      <c r="A1086" s="36" t="s">
        <v>46</v>
      </c>
      <c r="B1086" s="30">
        <v>47397</v>
      </c>
      <c r="C1086" s="231"/>
      <c r="D1086" s="23" t="s">
        <v>49</v>
      </c>
      <c r="E1086" s="39">
        <v>160</v>
      </c>
      <c r="F1086" s="39" t="s">
        <v>55</v>
      </c>
      <c r="G1086" s="36" t="s">
        <v>657</v>
      </c>
      <c r="H1086" s="36" t="s">
        <v>22</v>
      </c>
      <c r="I1086" s="39">
        <v>131</v>
      </c>
      <c r="J1086" s="39"/>
      <c r="K1086" s="39"/>
      <c r="L1086" s="39">
        <f t="shared" ref="L1086" si="1066">SUM(I1086:K1086)</f>
        <v>131</v>
      </c>
      <c r="M1086" s="117">
        <v>46160</v>
      </c>
      <c r="N1086" s="117">
        <v>46193</v>
      </c>
      <c r="O1086" s="39"/>
      <c r="P1086" s="39"/>
      <c r="Q1086" s="39"/>
      <c r="R1086" s="39">
        <f t="shared" ref="R1086" si="1067">SUM(O1086:Q1086)</f>
        <v>0</v>
      </c>
      <c r="S1086" s="39" t="s">
        <v>130</v>
      </c>
      <c r="T1086" s="39">
        <v>107682</v>
      </c>
      <c r="U1086" s="117">
        <v>46217</v>
      </c>
      <c r="V1086" s="39"/>
      <c r="W1086" s="39"/>
      <c r="X1086" s="39"/>
      <c r="Y1086" s="39">
        <v>158</v>
      </c>
      <c r="Z1086" s="39"/>
      <c r="AA1086" s="39"/>
      <c r="AB1086" s="119">
        <f t="shared" ref="AB1086" si="1068">SUM(Y1086:AA1086)</f>
        <v>158</v>
      </c>
      <c r="AC1086" s="39"/>
      <c r="AD1086" s="39"/>
      <c r="AE1086" s="39"/>
      <c r="AF1086" s="39"/>
      <c r="AG1086" s="39"/>
      <c r="AH1086" s="39">
        <f t="shared" ref="AH1086" si="1069">AG1086-AE1086</f>
        <v>0</v>
      </c>
      <c r="AI1086" s="39" t="s">
        <v>257</v>
      </c>
      <c r="AJ1086" s="117">
        <v>46218</v>
      </c>
      <c r="AK1086" s="39">
        <v>144</v>
      </c>
      <c r="AL1086" s="117">
        <v>46219</v>
      </c>
      <c r="AM1086" s="39">
        <v>142</v>
      </c>
      <c r="AN1086" s="39">
        <f t="shared" ref="AN1086" si="1070">AM1086-AK1086</f>
        <v>-2</v>
      </c>
      <c r="AO1086" s="39"/>
      <c r="AP1086" s="39"/>
      <c r="AQ1086" s="39"/>
      <c r="AR1086" s="39"/>
      <c r="AS1086" s="39"/>
      <c r="AT1086" s="39">
        <f t="shared" ref="AT1086" si="1071">AS1086-AQ1086</f>
        <v>0</v>
      </c>
      <c r="AU1086" s="39"/>
      <c r="AV1086" s="39"/>
      <c r="AW1086" s="39"/>
      <c r="AX1086" s="39"/>
      <c r="AY1086" s="39"/>
      <c r="AZ1086" s="39">
        <f t="shared" ref="AZ1086" si="1072">AY1086-AW1086</f>
        <v>0</v>
      </c>
      <c r="BA1086" s="39"/>
      <c r="BB1086" s="39"/>
      <c r="BC1086" s="39"/>
      <c r="BD1086" s="39"/>
      <c r="BE1086" s="39"/>
      <c r="BF1086" s="39">
        <f t="shared" ref="BF1086" si="1073">BE1086-BC1086</f>
        <v>0</v>
      </c>
      <c r="BG1086" s="39"/>
      <c r="BH1086" s="39"/>
      <c r="BI1086" s="39"/>
      <c r="BJ1086" s="39"/>
      <c r="BK1086" s="39"/>
      <c r="BL1086" s="39">
        <f t="shared" ref="BL1086" si="1074">BK1086-BI1086</f>
        <v>0</v>
      </c>
      <c r="BM1086" s="54" t="str">
        <f t="shared" ref="BM1086" si="1075">IF((BZ1086/L1086)&lt;0.9,$CO$1-U1086,"")</f>
        <v/>
      </c>
      <c r="BN1086" s="59">
        <v>46189</v>
      </c>
      <c r="BO1086" s="57">
        <v>46207</v>
      </c>
      <c r="BP1086" s="36"/>
      <c r="BQ1086" s="36"/>
      <c r="BR1086" s="232"/>
      <c r="BS1086" s="232"/>
      <c r="BT1086" s="39">
        <v>2030</v>
      </c>
      <c r="BU1086" s="39">
        <v>144</v>
      </c>
      <c r="BV1086" s="39"/>
      <c r="BW1086" s="39"/>
      <c r="BX1086" s="39"/>
      <c r="BY1086" s="39"/>
      <c r="BZ1086" s="39">
        <f t="shared" ref="BZ1086" si="1076">BU1086+BW1086+BY1086</f>
        <v>144</v>
      </c>
      <c r="CA1086" s="39">
        <f t="shared" ref="CA1086" si="1077">BU1086-I1086</f>
        <v>13</v>
      </c>
      <c r="CB1086" s="39">
        <f t="shared" ref="CB1086" si="1078">BW1086-J1086</f>
        <v>0</v>
      </c>
      <c r="CC1086" s="39">
        <f t="shared" ref="CC1086" si="1079">BY1086-K1086</f>
        <v>0</v>
      </c>
      <c r="CD1086" s="39">
        <f t="shared" ref="CD1086" si="1080">SUMIF(CA1086:CC1086,"&lt;0")</f>
        <v>0</v>
      </c>
      <c r="CE1086" s="102">
        <f t="shared" ref="CE1086" si="1081">CD1086/L1086</f>
        <v>0</v>
      </c>
      <c r="CF1086" s="36"/>
      <c r="CG1086" s="39" t="s">
        <v>238</v>
      </c>
      <c r="CH1086" s="39"/>
      <c r="CI1086" s="25">
        <v>2</v>
      </c>
    </row>
    <row r="1087" spans="1:87" ht="24.75" customHeight="1">
      <c r="A1087" s="36" t="s">
        <v>46</v>
      </c>
      <c r="B1087" s="30">
        <v>47397</v>
      </c>
      <c r="C1087" s="228"/>
      <c r="D1087" s="23"/>
      <c r="E1087" s="39"/>
      <c r="F1087" s="39"/>
      <c r="G1087" s="36" t="s">
        <v>1602</v>
      </c>
      <c r="H1087" s="36"/>
      <c r="I1087" s="39"/>
      <c r="J1087" s="39"/>
      <c r="K1087" s="39"/>
      <c r="L1087" s="39">
        <f t="shared" si="1063"/>
        <v>0</v>
      </c>
      <c r="M1087" s="117">
        <v>46160</v>
      </c>
      <c r="N1087" s="117">
        <v>46193</v>
      </c>
      <c r="O1087" s="39"/>
      <c r="P1087" s="39"/>
      <c r="Q1087" s="39"/>
      <c r="R1087" s="39">
        <f t="shared" si="1064"/>
        <v>0</v>
      </c>
      <c r="S1087" s="39" t="s">
        <v>130</v>
      </c>
      <c r="T1087" s="39"/>
      <c r="U1087" s="117"/>
      <c r="V1087" s="39"/>
      <c r="W1087" s="39"/>
      <c r="X1087" s="39"/>
      <c r="Y1087" s="39"/>
      <c r="Z1087" s="39"/>
      <c r="AA1087" s="39"/>
      <c r="AB1087" s="39">
        <f t="shared" si="1065"/>
        <v>0</v>
      </c>
      <c r="AC1087" s="39"/>
      <c r="AD1087" s="39"/>
      <c r="AE1087" s="39"/>
      <c r="AF1087" s="39"/>
      <c r="AG1087" s="39"/>
      <c r="AH1087" s="39">
        <f t="shared" si="1051"/>
        <v>0</v>
      </c>
      <c r="AI1087" s="39" t="s">
        <v>257</v>
      </c>
      <c r="AJ1087" s="117">
        <v>46218</v>
      </c>
      <c r="AK1087" s="39">
        <v>144</v>
      </c>
      <c r="AL1087" s="117">
        <v>46219</v>
      </c>
      <c r="AM1087" s="39">
        <v>142</v>
      </c>
      <c r="AN1087" s="39">
        <f t="shared" si="1047"/>
        <v>-2</v>
      </c>
      <c r="AO1087" s="39"/>
      <c r="AP1087" s="39"/>
      <c r="AQ1087" s="39"/>
      <c r="AR1087" s="39"/>
      <c r="AS1087" s="39"/>
      <c r="AT1087" s="39">
        <f t="shared" si="1052"/>
        <v>0</v>
      </c>
      <c r="AU1087" s="39"/>
      <c r="AV1087" s="39"/>
      <c r="AW1087" s="39"/>
      <c r="AX1087" s="39"/>
      <c r="AY1087" s="39"/>
      <c r="AZ1087" s="39">
        <f t="shared" si="1053"/>
        <v>0</v>
      </c>
      <c r="BA1087" s="39"/>
      <c r="BB1087" s="39"/>
      <c r="BC1087" s="39"/>
      <c r="BD1087" s="39"/>
      <c r="BE1087" s="39"/>
      <c r="BF1087" s="39">
        <f t="shared" si="1054"/>
        <v>0</v>
      </c>
      <c r="BG1087" s="39"/>
      <c r="BH1087" s="39"/>
      <c r="BI1087" s="39"/>
      <c r="BJ1087" s="39"/>
      <c r="BK1087" s="39"/>
      <c r="BL1087" s="39">
        <f t="shared" si="1055"/>
        <v>0</v>
      </c>
      <c r="BM1087" s="54" t="e">
        <f t="shared" si="1056"/>
        <v>#DIV/0!</v>
      </c>
      <c r="BN1087" s="59">
        <v>46189</v>
      </c>
      <c r="BO1087" s="57">
        <v>46207</v>
      </c>
      <c r="BP1087" s="36"/>
      <c r="BQ1087" s="36"/>
      <c r="BR1087" s="230"/>
      <c r="BS1087" s="230"/>
      <c r="BT1087" s="39" t="s">
        <v>1692</v>
      </c>
      <c r="BU1087" s="39"/>
      <c r="BV1087" s="39"/>
      <c r="BW1087" s="39"/>
      <c r="BX1087" s="39"/>
      <c r="BY1087" s="39"/>
      <c r="BZ1087" s="39">
        <f t="shared" si="1057"/>
        <v>0</v>
      </c>
      <c r="CA1087" s="39">
        <f t="shared" si="1058"/>
        <v>0</v>
      </c>
      <c r="CB1087" s="39">
        <f t="shared" si="1059"/>
        <v>0</v>
      </c>
      <c r="CC1087" s="39">
        <f t="shared" si="1060"/>
        <v>0</v>
      </c>
      <c r="CD1087" s="39">
        <f t="shared" si="1061"/>
        <v>0</v>
      </c>
      <c r="CE1087" s="102" t="e">
        <f t="shared" si="1062"/>
        <v>#DIV/0!</v>
      </c>
      <c r="CF1087" s="36"/>
      <c r="CG1087" s="39" t="s">
        <v>238</v>
      </c>
      <c r="CH1087" s="39"/>
      <c r="CI1087" s="25">
        <v>2</v>
      </c>
    </row>
    <row r="1088" spans="1:87" ht="24.75" customHeight="1">
      <c r="A1088" s="36" t="s">
        <v>46</v>
      </c>
      <c r="B1088" s="30">
        <v>47495</v>
      </c>
      <c r="C1088" s="227" t="s">
        <v>1649</v>
      </c>
      <c r="D1088" s="23"/>
      <c r="E1088" s="39">
        <v>280</v>
      </c>
      <c r="F1088" s="39" t="s">
        <v>55</v>
      </c>
      <c r="G1088" s="36" t="s">
        <v>23</v>
      </c>
      <c r="H1088" s="39" t="s">
        <v>212</v>
      </c>
      <c r="I1088" s="39">
        <v>725</v>
      </c>
      <c r="J1088" s="39"/>
      <c r="K1088" s="39">
        <v>10</v>
      </c>
      <c r="L1088" s="39">
        <f t="shared" ref="L1088:L1092" si="1082">SUM(I1088:K1088)</f>
        <v>735</v>
      </c>
      <c r="M1088" s="117">
        <v>46179</v>
      </c>
      <c r="N1088" s="117">
        <v>46188</v>
      </c>
      <c r="O1088" s="39"/>
      <c r="P1088" s="39"/>
      <c r="Q1088" s="39"/>
      <c r="R1088" s="39">
        <f t="shared" ref="R1088:R1091" si="1083">SUM(O1088:Q1088)</f>
        <v>0</v>
      </c>
      <c r="S1088" s="39" t="s">
        <v>130</v>
      </c>
      <c r="T1088" s="39">
        <v>107596</v>
      </c>
      <c r="U1088" s="117">
        <v>46212</v>
      </c>
      <c r="V1088" s="39"/>
      <c r="W1088" s="39"/>
      <c r="X1088" s="39"/>
      <c r="Y1088" s="39">
        <v>782</v>
      </c>
      <c r="Z1088" s="39"/>
      <c r="AA1088" s="39">
        <v>14</v>
      </c>
      <c r="AB1088" s="119">
        <f t="shared" ref="AB1088:AB1091" si="1084">SUM(Y1088:AA1088)</f>
        <v>796</v>
      </c>
      <c r="AC1088" s="39"/>
      <c r="AD1088" s="39"/>
      <c r="AE1088" s="39"/>
      <c r="AF1088" s="39"/>
      <c r="AG1088" s="39"/>
      <c r="AH1088" s="39">
        <f t="shared" si="1051"/>
        <v>0</v>
      </c>
      <c r="AI1088" s="39"/>
      <c r="AJ1088" s="39"/>
      <c r="AK1088" s="39"/>
      <c r="AL1088" s="39"/>
      <c r="AM1088" s="39"/>
      <c r="AN1088" s="39">
        <f t="shared" si="1047"/>
        <v>0</v>
      </c>
      <c r="AO1088" s="39"/>
      <c r="AP1088" s="39"/>
      <c r="AQ1088" s="39"/>
      <c r="AR1088" s="39"/>
      <c r="AS1088" s="39"/>
      <c r="AT1088" s="39">
        <f t="shared" si="1052"/>
        <v>0</v>
      </c>
      <c r="AU1088" s="39"/>
      <c r="AV1088" s="39"/>
      <c r="AW1088" s="39"/>
      <c r="AX1088" s="39"/>
      <c r="AY1088" s="39"/>
      <c r="AZ1088" s="39">
        <f t="shared" si="1053"/>
        <v>0</v>
      </c>
      <c r="BA1088" s="39"/>
      <c r="BB1088" s="39"/>
      <c r="BC1088" s="39"/>
      <c r="BD1088" s="39"/>
      <c r="BE1088" s="39"/>
      <c r="BF1088" s="39">
        <f t="shared" si="1054"/>
        <v>0</v>
      </c>
      <c r="BG1088" s="39"/>
      <c r="BH1088" s="39"/>
      <c r="BI1088" s="39"/>
      <c r="BJ1088" s="39"/>
      <c r="BK1088" s="39"/>
      <c r="BL1088" s="39">
        <f t="shared" si="1055"/>
        <v>0</v>
      </c>
      <c r="BM1088" s="54" t="str">
        <f t="shared" si="1056"/>
        <v/>
      </c>
      <c r="BN1088" s="59">
        <v>46189</v>
      </c>
      <c r="BO1088" s="57">
        <v>46198</v>
      </c>
      <c r="BP1088" s="36"/>
      <c r="BQ1088" s="36"/>
      <c r="BR1088" s="229">
        <v>46216</v>
      </c>
      <c r="BS1088" s="229">
        <v>46217</v>
      </c>
      <c r="BT1088" s="39">
        <v>2025</v>
      </c>
      <c r="BU1088" s="39">
        <f>708</f>
        <v>708</v>
      </c>
      <c r="BV1088" s="39"/>
      <c r="BW1088" s="39"/>
      <c r="BX1088" s="39">
        <v>2025</v>
      </c>
      <c r="BY1088" s="39">
        <v>12</v>
      </c>
      <c r="BZ1088" s="39">
        <f t="shared" si="1057"/>
        <v>720</v>
      </c>
      <c r="CA1088" s="39">
        <f t="shared" si="1058"/>
        <v>-17</v>
      </c>
      <c r="CB1088" s="39">
        <f t="shared" si="1059"/>
        <v>0</v>
      </c>
      <c r="CC1088" s="39">
        <f t="shared" si="1060"/>
        <v>2</v>
      </c>
      <c r="CD1088" s="39">
        <v>0</v>
      </c>
      <c r="CE1088" s="102">
        <f t="shared" si="1062"/>
        <v>0</v>
      </c>
      <c r="CF1088" s="36"/>
      <c r="CG1088" s="39" t="s">
        <v>240</v>
      </c>
      <c r="CH1088" s="39"/>
      <c r="CI1088" s="25">
        <v>2</v>
      </c>
    </row>
    <row r="1089" spans="1:88" ht="24.75" customHeight="1">
      <c r="A1089" s="36" t="s">
        <v>46</v>
      </c>
      <c r="B1089" s="30">
        <v>47495</v>
      </c>
      <c r="C1089" s="231"/>
      <c r="D1089" s="23"/>
      <c r="E1089" s="39">
        <v>280</v>
      </c>
      <c r="F1089" s="39" t="s">
        <v>55</v>
      </c>
      <c r="G1089" s="36" t="s">
        <v>34</v>
      </c>
      <c r="H1089" s="39" t="s">
        <v>212</v>
      </c>
      <c r="I1089" s="39">
        <v>350</v>
      </c>
      <c r="J1089" s="39"/>
      <c r="K1089" s="39"/>
      <c r="L1089" s="39">
        <f t="shared" si="1082"/>
        <v>350</v>
      </c>
      <c r="M1089" s="117">
        <v>46179</v>
      </c>
      <c r="N1089" s="117">
        <v>46188</v>
      </c>
      <c r="O1089" s="39"/>
      <c r="P1089" s="39"/>
      <c r="Q1089" s="39"/>
      <c r="R1089" s="39">
        <f t="shared" ref="R1089:R1090" si="1085">SUM(O1089:Q1089)</f>
        <v>0</v>
      </c>
      <c r="S1089" s="39" t="s">
        <v>130</v>
      </c>
      <c r="T1089" s="39">
        <v>107598</v>
      </c>
      <c r="U1089" s="117">
        <v>46213</v>
      </c>
      <c r="V1089" s="39"/>
      <c r="W1089" s="39"/>
      <c r="X1089" s="39"/>
      <c r="Y1089" s="39">
        <v>393</v>
      </c>
      <c r="Z1089" s="39"/>
      <c r="AA1089" s="39"/>
      <c r="AB1089" s="119">
        <f t="shared" ref="AB1089:AB1090" si="1086">SUM(Y1089:AA1089)</f>
        <v>393</v>
      </c>
      <c r="AC1089" s="39"/>
      <c r="AD1089" s="39"/>
      <c r="AE1089" s="39"/>
      <c r="AF1089" s="39"/>
      <c r="AG1089" s="39"/>
      <c r="AH1089" s="39">
        <f t="shared" si="1051"/>
        <v>0</v>
      </c>
      <c r="AI1089" s="39"/>
      <c r="AJ1089" s="39"/>
      <c r="AK1089" s="39"/>
      <c r="AL1089" s="39"/>
      <c r="AM1089" s="39"/>
      <c r="AN1089" s="39">
        <f t="shared" si="1047"/>
        <v>0</v>
      </c>
      <c r="AO1089" s="39"/>
      <c r="AP1089" s="39"/>
      <c r="AQ1089" s="39"/>
      <c r="AR1089" s="39"/>
      <c r="AS1089" s="39"/>
      <c r="AT1089" s="39">
        <f t="shared" si="1052"/>
        <v>0</v>
      </c>
      <c r="AU1089" s="39"/>
      <c r="AV1089" s="39"/>
      <c r="AW1089" s="39"/>
      <c r="AX1089" s="39"/>
      <c r="AY1089" s="39"/>
      <c r="AZ1089" s="39">
        <f t="shared" si="1053"/>
        <v>0</v>
      </c>
      <c r="BA1089" s="39"/>
      <c r="BB1089" s="39"/>
      <c r="BC1089" s="39"/>
      <c r="BD1089" s="39"/>
      <c r="BE1089" s="39"/>
      <c r="BF1089" s="39">
        <f t="shared" si="1054"/>
        <v>0</v>
      </c>
      <c r="BG1089" s="39"/>
      <c r="BH1089" s="39"/>
      <c r="BI1089" s="39"/>
      <c r="BJ1089" s="39"/>
      <c r="BK1089" s="39"/>
      <c r="BL1089" s="39">
        <f t="shared" si="1055"/>
        <v>0</v>
      </c>
      <c r="BM1089" s="54" t="str">
        <f t="shared" si="1056"/>
        <v/>
      </c>
      <c r="BN1089" s="59">
        <v>46189</v>
      </c>
      <c r="BO1089" s="57">
        <v>46198</v>
      </c>
      <c r="BP1089" s="36"/>
      <c r="BQ1089" s="36"/>
      <c r="BR1089" s="232"/>
      <c r="BS1089" s="232"/>
      <c r="BT1089" s="39">
        <v>2020</v>
      </c>
      <c r="BU1089" s="39">
        <v>351</v>
      </c>
      <c r="BV1089" s="39"/>
      <c r="BW1089" s="39"/>
      <c r="BX1089" s="39"/>
      <c r="BY1089" s="39"/>
      <c r="BZ1089" s="39">
        <f t="shared" si="1057"/>
        <v>351</v>
      </c>
      <c r="CA1089" s="39">
        <f t="shared" si="1058"/>
        <v>1</v>
      </c>
      <c r="CB1089" s="39">
        <f t="shared" si="1059"/>
        <v>0</v>
      </c>
      <c r="CC1089" s="39">
        <f t="shared" si="1060"/>
        <v>0</v>
      </c>
      <c r="CD1089" s="39">
        <f t="shared" si="1061"/>
        <v>0</v>
      </c>
      <c r="CE1089" s="102">
        <f t="shared" si="1062"/>
        <v>0</v>
      </c>
      <c r="CF1089" s="36"/>
      <c r="CG1089" s="39" t="s">
        <v>240</v>
      </c>
      <c r="CH1089" s="39"/>
      <c r="CI1089" s="25">
        <v>2</v>
      </c>
    </row>
    <row r="1090" spans="1:88" ht="24.75" customHeight="1">
      <c r="A1090" s="36" t="s">
        <v>46</v>
      </c>
      <c r="B1090" s="30">
        <v>47495</v>
      </c>
      <c r="C1090" s="228"/>
      <c r="D1090" s="23"/>
      <c r="E1090" s="39">
        <v>360</v>
      </c>
      <c r="F1090" s="39"/>
      <c r="G1090" s="36" t="s">
        <v>1343</v>
      </c>
      <c r="H1090" s="39">
        <v>2520</v>
      </c>
      <c r="I1090" s="39" t="s">
        <v>199</v>
      </c>
      <c r="J1090" s="39"/>
      <c r="K1090" s="39"/>
      <c r="L1090" s="39">
        <f t="shared" si="1082"/>
        <v>0</v>
      </c>
      <c r="M1090" s="117">
        <v>46179</v>
      </c>
      <c r="N1090" s="117">
        <v>46188</v>
      </c>
      <c r="O1090" s="39"/>
      <c r="P1090" s="39"/>
      <c r="Q1090" s="39"/>
      <c r="R1090" s="39">
        <f t="shared" si="1085"/>
        <v>0</v>
      </c>
      <c r="S1090" s="39" t="s">
        <v>130</v>
      </c>
      <c r="T1090" s="39"/>
      <c r="U1090" s="39"/>
      <c r="V1090" s="39"/>
      <c r="W1090" s="39"/>
      <c r="X1090" s="39"/>
      <c r="Y1090" s="39"/>
      <c r="Z1090" s="39"/>
      <c r="AA1090" s="39"/>
      <c r="AB1090" s="39">
        <f t="shared" si="1086"/>
        <v>0</v>
      </c>
      <c r="AC1090" s="39"/>
      <c r="AD1090" s="39"/>
      <c r="AE1090" s="39"/>
      <c r="AF1090" s="39"/>
      <c r="AG1090" s="39"/>
      <c r="AH1090" s="39">
        <f t="shared" si="1051"/>
        <v>0</v>
      </c>
      <c r="AI1090" s="39"/>
      <c r="AJ1090" s="39"/>
      <c r="AK1090" s="39"/>
      <c r="AL1090" s="39"/>
      <c r="AM1090" s="39"/>
      <c r="AN1090" s="39">
        <f t="shared" si="1047"/>
        <v>0</v>
      </c>
      <c r="AO1090" s="39"/>
      <c r="AP1090" s="39"/>
      <c r="AQ1090" s="39"/>
      <c r="AR1090" s="39"/>
      <c r="AS1090" s="39"/>
      <c r="AT1090" s="39">
        <f t="shared" si="1052"/>
        <v>0</v>
      </c>
      <c r="AU1090" s="39"/>
      <c r="AV1090" s="39"/>
      <c r="AW1090" s="39"/>
      <c r="AX1090" s="39"/>
      <c r="AY1090" s="39"/>
      <c r="AZ1090" s="39">
        <f t="shared" si="1053"/>
        <v>0</v>
      </c>
      <c r="BA1090" s="39"/>
      <c r="BB1090" s="39"/>
      <c r="BC1090" s="39"/>
      <c r="BD1090" s="39"/>
      <c r="BE1090" s="39"/>
      <c r="BF1090" s="39">
        <f t="shared" si="1054"/>
        <v>0</v>
      </c>
      <c r="BG1090" s="39"/>
      <c r="BH1090" s="39"/>
      <c r="BI1090" s="39"/>
      <c r="BJ1090" s="39"/>
      <c r="BK1090" s="39"/>
      <c r="BL1090" s="39">
        <f t="shared" si="1055"/>
        <v>0</v>
      </c>
      <c r="BM1090" s="54" t="e">
        <f t="shared" si="1056"/>
        <v>#DIV/0!</v>
      </c>
      <c r="BN1090" s="59">
        <v>46189</v>
      </c>
      <c r="BO1090" s="57">
        <v>46198</v>
      </c>
      <c r="BP1090" s="36"/>
      <c r="BQ1090" s="36"/>
      <c r="BR1090" s="230"/>
      <c r="BS1090" s="230"/>
      <c r="BT1090" s="39" t="s">
        <v>1605</v>
      </c>
      <c r="BU1090" s="39"/>
      <c r="BV1090" s="39"/>
      <c r="BW1090" s="39"/>
      <c r="BX1090" s="39"/>
      <c r="BY1090" s="39"/>
      <c r="BZ1090" s="39">
        <f t="shared" si="1057"/>
        <v>0</v>
      </c>
      <c r="CA1090" s="39" t="e">
        <f t="shared" si="1058"/>
        <v>#VALUE!</v>
      </c>
      <c r="CB1090" s="39">
        <f t="shared" si="1059"/>
        <v>0</v>
      </c>
      <c r="CC1090" s="39">
        <f t="shared" si="1060"/>
        <v>0</v>
      </c>
      <c r="CD1090" s="39">
        <f t="shared" si="1061"/>
        <v>0</v>
      </c>
      <c r="CE1090" s="102" t="e">
        <f t="shared" si="1062"/>
        <v>#DIV/0!</v>
      </c>
      <c r="CF1090" s="36"/>
      <c r="CG1090" s="39" t="s">
        <v>240</v>
      </c>
      <c r="CH1090" s="39"/>
      <c r="CI1090" s="25">
        <v>2</v>
      </c>
    </row>
    <row r="1091" spans="1:88" ht="24.75" customHeight="1">
      <c r="A1091" s="36" t="s">
        <v>46</v>
      </c>
      <c r="B1091" s="30">
        <v>47496</v>
      </c>
      <c r="C1091" s="227" t="s">
        <v>1650</v>
      </c>
      <c r="D1091" s="36" t="s">
        <v>108</v>
      </c>
      <c r="E1091" s="39">
        <v>280</v>
      </c>
      <c r="F1091" s="39" t="s">
        <v>55</v>
      </c>
      <c r="G1091" s="36" t="s">
        <v>23</v>
      </c>
      <c r="H1091" s="39" t="s">
        <v>196</v>
      </c>
      <c r="I1091" s="39">
        <v>825</v>
      </c>
      <c r="J1091" s="39">
        <v>205</v>
      </c>
      <c r="K1091" s="39">
        <v>10</v>
      </c>
      <c r="L1091" s="39">
        <f t="shared" si="1082"/>
        <v>1040</v>
      </c>
      <c r="M1091" s="117">
        <v>46179</v>
      </c>
      <c r="N1091" s="117">
        <v>46188</v>
      </c>
      <c r="O1091" s="39"/>
      <c r="P1091" s="39"/>
      <c r="Q1091" s="39"/>
      <c r="R1091" s="39">
        <f t="shared" si="1083"/>
        <v>0</v>
      </c>
      <c r="S1091" s="39" t="s">
        <v>326</v>
      </c>
      <c r="T1091" s="39"/>
      <c r="U1091" s="39"/>
      <c r="V1091" s="117">
        <v>46195</v>
      </c>
      <c r="W1091" s="39">
        <f>929+225+12</f>
        <v>1166</v>
      </c>
      <c r="X1091" s="117" t="s">
        <v>1483</v>
      </c>
      <c r="Y1091" s="39">
        <f>601+257</f>
        <v>858</v>
      </c>
      <c r="Z1091" s="39">
        <f>160+53</f>
        <v>213</v>
      </c>
      <c r="AA1091" s="39">
        <f>8+3</f>
        <v>11</v>
      </c>
      <c r="AB1091" s="119">
        <f t="shared" si="1084"/>
        <v>1082</v>
      </c>
      <c r="AC1091" s="39"/>
      <c r="AD1091" s="39"/>
      <c r="AE1091" s="39"/>
      <c r="AF1091" s="39"/>
      <c r="AG1091" s="39"/>
      <c r="AH1091" s="39">
        <f t="shared" si="1051"/>
        <v>0</v>
      </c>
      <c r="AI1091" s="39"/>
      <c r="AJ1091" s="39"/>
      <c r="AK1091" s="39"/>
      <c r="AL1091" s="39"/>
      <c r="AM1091" s="39"/>
      <c r="AN1091" s="39">
        <f t="shared" si="1047"/>
        <v>0</v>
      </c>
      <c r="AO1091" s="39"/>
      <c r="AP1091" s="39"/>
      <c r="AQ1091" s="39"/>
      <c r="AR1091" s="39"/>
      <c r="AS1091" s="39"/>
      <c r="AT1091" s="39">
        <f t="shared" si="1052"/>
        <v>0</v>
      </c>
      <c r="AU1091" s="39"/>
      <c r="AV1091" s="39"/>
      <c r="AW1091" s="39"/>
      <c r="AX1091" s="39"/>
      <c r="AY1091" s="39"/>
      <c r="AZ1091" s="39">
        <f t="shared" si="1053"/>
        <v>0</v>
      </c>
      <c r="BA1091" s="39"/>
      <c r="BB1091" s="39"/>
      <c r="BC1091" s="39"/>
      <c r="BD1091" s="39"/>
      <c r="BE1091" s="39"/>
      <c r="BF1091" s="39">
        <f t="shared" si="1054"/>
        <v>0</v>
      </c>
      <c r="BG1091" s="39"/>
      <c r="BH1091" s="39"/>
      <c r="BI1091" s="39"/>
      <c r="BJ1091" s="39"/>
      <c r="BK1091" s="39"/>
      <c r="BL1091" s="39">
        <f t="shared" si="1055"/>
        <v>0</v>
      </c>
      <c r="BM1091" s="54" t="str">
        <f t="shared" si="1056"/>
        <v/>
      </c>
      <c r="BN1091" s="59">
        <v>46188</v>
      </c>
      <c r="BO1091" s="57">
        <v>46200</v>
      </c>
      <c r="BP1091" s="36"/>
      <c r="BQ1091" s="36"/>
      <c r="BR1091" s="229">
        <v>46204</v>
      </c>
      <c r="BS1091" s="229">
        <v>46213</v>
      </c>
      <c r="BT1091" s="39" t="s">
        <v>1425</v>
      </c>
      <c r="BU1091" s="39">
        <f>601+257</f>
        <v>858</v>
      </c>
      <c r="BV1091" s="39" t="s">
        <v>1516</v>
      </c>
      <c r="BW1091" s="39">
        <f>160+53</f>
        <v>213</v>
      </c>
      <c r="BX1091" s="39" t="s">
        <v>1515</v>
      </c>
      <c r="BY1091" s="39">
        <f>8+3</f>
        <v>11</v>
      </c>
      <c r="BZ1091" s="39">
        <f t="shared" si="1057"/>
        <v>1082</v>
      </c>
      <c r="CA1091" s="39">
        <f t="shared" si="1058"/>
        <v>33</v>
      </c>
      <c r="CB1091" s="39">
        <f t="shared" si="1059"/>
        <v>8</v>
      </c>
      <c r="CC1091" s="39">
        <f t="shared" si="1060"/>
        <v>1</v>
      </c>
      <c r="CD1091" s="39">
        <f t="shared" si="1061"/>
        <v>0</v>
      </c>
      <c r="CE1091" s="102">
        <f t="shared" si="1062"/>
        <v>0</v>
      </c>
      <c r="CF1091" s="36"/>
      <c r="CG1091" s="39" t="s">
        <v>240</v>
      </c>
      <c r="CH1091" s="39"/>
      <c r="CI1091" s="25">
        <v>2</v>
      </c>
    </row>
    <row r="1092" spans="1:88" ht="24.75" customHeight="1">
      <c r="A1092" s="36" t="s">
        <v>46</v>
      </c>
      <c r="B1092" s="30">
        <v>47496</v>
      </c>
      <c r="C1092" s="228"/>
      <c r="D1092" s="23"/>
      <c r="E1092" s="39">
        <v>160</v>
      </c>
      <c r="F1092" s="39" t="s">
        <v>57</v>
      </c>
      <c r="G1092" s="36" t="s">
        <v>34</v>
      </c>
      <c r="H1092" s="39" t="s">
        <v>22</v>
      </c>
      <c r="I1092" s="39">
        <v>15</v>
      </c>
      <c r="J1092" s="39"/>
      <c r="K1092" s="39"/>
      <c r="L1092" s="39">
        <f t="shared" si="1082"/>
        <v>15</v>
      </c>
      <c r="M1092" s="117">
        <v>46179</v>
      </c>
      <c r="N1092" s="117">
        <v>46188</v>
      </c>
      <c r="O1092" s="39"/>
      <c r="P1092" s="39"/>
      <c r="Q1092" s="39"/>
      <c r="R1092" s="39">
        <f t="shared" ref="R1092" si="1087">SUM(O1092:Q1092)</f>
        <v>0</v>
      </c>
      <c r="S1092" s="39" t="s">
        <v>130</v>
      </c>
      <c r="T1092" s="39">
        <v>107128</v>
      </c>
      <c r="U1092" s="117">
        <v>46199</v>
      </c>
      <c r="V1092" s="39"/>
      <c r="W1092" s="39"/>
      <c r="X1092" s="39"/>
      <c r="Y1092" s="39">
        <v>18</v>
      </c>
      <c r="Z1092" s="39"/>
      <c r="AA1092" s="39"/>
      <c r="AB1092" s="119">
        <f t="shared" ref="AB1092" si="1088">SUM(Y1092:AA1092)</f>
        <v>18</v>
      </c>
      <c r="AC1092" s="39"/>
      <c r="AD1092" s="39"/>
      <c r="AE1092" s="39"/>
      <c r="AF1092" s="39"/>
      <c r="AG1092" s="39"/>
      <c r="AH1092" s="39">
        <f t="shared" si="1051"/>
        <v>0</v>
      </c>
      <c r="AI1092" s="39"/>
      <c r="AJ1092" s="39"/>
      <c r="AK1092" s="39"/>
      <c r="AL1092" s="39"/>
      <c r="AM1092" s="39"/>
      <c r="AN1092" s="39">
        <f t="shared" si="1047"/>
        <v>0</v>
      </c>
      <c r="AO1092" s="39"/>
      <c r="AP1092" s="39"/>
      <c r="AQ1092" s="39"/>
      <c r="AR1092" s="39"/>
      <c r="AS1092" s="39"/>
      <c r="AT1092" s="39">
        <f t="shared" si="1052"/>
        <v>0</v>
      </c>
      <c r="AU1092" s="39"/>
      <c r="AV1092" s="39"/>
      <c r="AW1092" s="39"/>
      <c r="AX1092" s="39"/>
      <c r="AY1092" s="39"/>
      <c r="AZ1092" s="39">
        <f t="shared" si="1053"/>
        <v>0</v>
      </c>
      <c r="BA1092" s="39"/>
      <c r="BB1092" s="39"/>
      <c r="BC1092" s="39"/>
      <c r="BD1092" s="39"/>
      <c r="BE1092" s="39"/>
      <c r="BF1092" s="39">
        <f t="shared" si="1054"/>
        <v>0</v>
      </c>
      <c r="BG1092" s="39"/>
      <c r="BH1092" s="39"/>
      <c r="BI1092" s="39"/>
      <c r="BJ1092" s="39"/>
      <c r="BK1092" s="39"/>
      <c r="BL1092" s="39">
        <f t="shared" si="1055"/>
        <v>0</v>
      </c>
      <c r="BM1092" s="54" t="str">
        <f t="shared" si="1056"/>
        <v/>
      </c>
      <c r="BN1092" s="59">
        <v>46188</v>
      </c>
      <c r="BO1092" s="57">
        <v>46200</v>
      </c>
      <c r="BP1092" s="36"/>
      <c r="BQ1092" s="36"/>
      <c r="BR1092" s="230"/>
      <c r="BS1092" s="230"/>
      <c r="BT1092" s="39">
        <v>2003</v>
      </c>
      <c r="BU1092" s="39">
        <v>16</v>
      </c>
      <c r="BV1092" s="39"/>
      <c r="BW1092" s="39"/>
      <c r="BX1092" s="39"/>
      <c r="BY1092" s="39"/>
      <c r="BZ1092" s="39">
        <f t="shared" si="1057"/>
        <v>16</v>
      </c>
      <c r="CA1092" s="39">
        <f t="shared" si="1058"/>
        <v>1</v>
      </c>
      <c r="CB1092" s="39">
        <f t="shared" si="1059"/>
        <v>0</v>
      </c>
      <c r="CC1092" s="39">
        <f t="shared" si="1060"/>
        <v>0</v>
      </c>
      <c r="CD1092" s="39">
        <f t="shared" si="1061"/>
        <v>0</v>
      </c>
      <c r="CE1092" s="102">
        <f t="shared" si="1062"/>
        <v>0</v>
      </c>
      <c r="CF1092" s="36"/>
      <c r="CG1092" s="39" t="s">
        <v>240</v>
      </c>
      <c r="CH1092" s="39"/>
      <c r="CI1092" s="25">
        <v>2</v>
      </c>
    </row>
    <row r="1093" spans="1:88" ht="33.75" customHeight="1">
      <c r="A1093" s="36" t="s">
        <v>46</v>
      </c>
      <c r="B1093" s="30">
        <v>46754</v>
      </c>
      <c r="C1093" s="36" t="s">
        <v>923</v>
      </c>
      <c r="D1093" s="23" t="s">
        <v>45</v>
      </c>
      <c r="E1093" s="39">
        <v>300</v>
      </c>
      <c r="F1093" s="39" t="s">
        <v>55</v>
      </c>
      <c r="G1093" s="36" t="s">
        <v>357</v>
      </c>
      <c r="H1093" s="36" t="s">
        <v>196</v>
      </c>
      <c r="I1093" s="39">
        <v>1317</v>
      </c>
      <c r="J1093" s="39"/>
      <c r="K1093" s="39"/>
      <c r="L1093" s="39">
        <f t="shared" ref="L1093:L1100" si="1089">SUM(I1093:K1093)</f>
        <v>1317</v>
      </c>
      <c r="M1093" s="39"/>
      <c r="N1093" s="117">
        <v>46182</v>
      </c>
      <c r="O1093" s="39"/>
      <c r="P1093" s="39"/>
      <c r="Q1093" s="39"/>
      <c r="R1093" s="39">
        <f t="shared" ref="R1093:R1100" si="1090">SUM(O1093:Q1093)</f>
        <v>0</v>
      </c>
      <c r="S1093" s="39" t="s">
        <v>100</v>
      </c>
      <c r="T1093" s="39">
        <v>107642</v>
      </c>
      <c r="U1093" s="117">
        <v>46212</v>
      </c>
      <c r="V1093" s="117">
        <v>46183</v>
      </c>
      <c r="W1093" s="39">
        <v>1527</v>
      </c>
      <c r="X1093" s="117">
        <v>46194</v>
      </c>
      <c r="Y1093" s="39">
        <f>695+692+66</f>
        <v>1453</v>
      </c>
      <c r="Z1093" s="39"/>
      <c r="AA1093" s="39"/>
      <c r="AB1093" s="119">
        <f t="shared" ref="AB1093:AB1100" si="1091">SUM(Y1093:AA1093)</f>
        <v>1453</v>
      </c>
      <c r="AC1093" s="39"/>
      <c r="AD1093" s="39"/>
      <c r="AE1093" s="39"/>
      <c r="AF1093" s="39"/>
      <c r="AG1093" s="39"/>
      <c r="AH1093" s="39">
        <f t="shared" si="1051"/>
        <v>0</v>
      </c>
      <c r="AI1093" s="39"/>
      <c r="AJ1093" s="39"/>
      <c r="AK1093" s="39"/>
      <c r="AL1093" s="39"/>
      <c r="AM1093" s="39"/>
      <c r="AN1093" s="39">
        <f t="shared" si="1047"/>
        <v>0</v>
      </c>
      <c r="AO1093" s="39" t="s">
        <v>305</v>
      </c>
      <c r="AP1093" s="117" t="s">
        <v>1493</v>
      </c>
      <c r="AQ1093" s="39">
        <f>692+695+34</f>
        <v>1421</v>
      </c>
      <c r="AR1093" s="117" t="s">
        <v>1494</v>
      </c>
      <c r="AS1093" s="39">
        <f>680+678+33</f>
        <v>1391</v>
      </c>
      <c r="AT1093" s="39">
        <f t="shared" si="1052"/>
        <v>-30</v>
      </c>
      <c r="AU1093" s="39" t="s">
        <v>257</v>
      </c>
      <c r="AV1093" s="117" t="s">
        <v>1494</v>
      </c>
      <c r="AW1093" s="39">
        <f>680+678+34</f>
        <v>1392</v>
      </c>
      <c r="AX1093" s="117" t="s">
        <v>1520</v>
      </c>
      <c r="AY1093" s="39">
        <f>668+667+33</f>
        <v>1368</v>
      </c>
      <c r="AZ1093" s="39">
        <f t="shared" si="1053"/>
        <v>-24</v>
      </c>
      <c r="BA1093" s="39"/>
      <c r="BB1093" s="39"/>
      <c r="BC1093" s="39"/>
      <c r="BD1093" s="39"/>
      <c r="BE1093" s="39"/>
      <c r="BF1093" s="39">
        <f t="shared" si="1054"/>
        <v>0</v>
      </c>
      <c r="BG1093" s="39" t="s">
        <v>28</v>
      </c>
      <c r="BH1093" s="117">
        <v>46200</v>
      </c>
      <c r="BI1093" s="39">
        <f>668+666</f>
        <v>1334</v>
      </c>
      <c r="BJ1093" s="117">
        <v>46203</v>
      </c>
      <c r="BK1093" s="39">
        <f>645+642</f>
        <v>1287</v>
      </c>
      <c r="BL1093" s="39">
        <f t="shared" si="1055"/>
        <v>-47</v>
      </c>
      <c r="BM1093" s="54" t="str">
        <f t="shared" si="1056"/>
        <v/>
      </c>
      <c r="BN1093" s="59">
        <v>46188</v>
      </c>
      <c r="BO1093" s="57">
        <v>46188</v>
      </c>
      <c r="BP1093" s="36"/>
      <c r="BQ1093" s="36"/>
      <c r="BR1093" s="50">
        <v>46204</v>
      </c>
      <c r="BS1093" s="50">
        <v>46205</v>
      </c>
      <c r="BT1093" s="39" t="s">
        <v>1330</v>
      </c>
      <c r="BU1093" s="39">
        <f>642+645</f>
        <v>1287</v>
      </c>
      <c r="BV1093" s="39"/>
      <c r="BW1093" s="39"/>
      <c r="BX1093" s="39"/>
      <c r="BY1093" s="39"/>
      <c r="BZ1093" s="39">
        <f t="shared" si="1057"/>
        <v>1287</v>
      </c>
      <c r="CA1093" s="39">
        <f t="shared" si="1058"/>
        <v>-30</v>
      </c>
      <c r="CB1093" s="39">
        <f t="shared" si="1059"/>
        <v>0</v>
      </c>
      <c r="CC1093" s="39">
        <f t="shared" si="1060"/>
        <v>0</v>
      </c>
      <c r="CD1093" s="39">
        <v>0</v>
      </c>
      <c r="CE1093" s="102">
        <f t="shared" si="1062"/>
        <v>0</v>
      </c>
      <c r="CF1093" s="36"/>
      <c r="CG1093" s="39" t="s">
        <v>244</v>
      </c>
      <c r="CH1093" s="39"/>
      <c r="CI1093" s="25">
        <v>2</v>
      </c>
    </row>
    <row r="1094" spans="1:88" ht="24.75" customHeight="1">
      <c r="A1094" s="36" t="s">
        <v>46</v>
      </c>
      <c r="B1094" s="30">
        <v>47502</v>
      </c>
      <c r="C1094" s="227" t="s">
        <v>1651</v>
      </c>
      <c r="D1094" s="23" t="s">
        <v>104</v>
      </c>
      <c r="E1094" s="39">
        <v>220</v>
      </c>
      <c r="F1094" s="39" t="s">
        <v>53</v>
      </c>
      <c r="G1094" s="36" t="s">
        <v>586</v>
      </c>
      <c r="H1094" s="39" t="s">
        <v>196</v>
      </c>
      <c r="I1094" s="39">
        <f>2100+115</f>
        <v>2215</v>
      </c>
      <c r="J1094" s="39">
        <f>140+5</f>
        <v>145</v>
      </c>
      <c r="K1094" s="39">
        <v>25</v>
      </c>
      <c r="L1094" s="39">
        <f t="shared" si="1089"/>
        <v>2385</v>
      </c>
      <c r="M1094" s="117">
        <v>46144</v>
      </c>
      <c r="N1094" s="117">
        <v>46183</v>
      </c>
      <c r="O1094" s="39"/>
      <c r="P1094" s="39"/>
      <c r="Q1094" s="39"/>
      <c r="R1094" s="39">
        <f t="shared" si="1090"/>
        <v>0</v>
      </c>
      <c r="S1094" s="39" t="s">
        <v>590</v>
      </c>
      <c r="T1094" s="39">
        <v>107176</v>
      </c>
      <c r="U1094" s="117">
        <v>46229</v>
      </c>
      <c r="V1094" s="117" t="s">
        <v>1020</v>
      </c>
      <c r="W1094" s="39">
        <f>2467+155+32-156-70</f>
        <v>2428</v>
      </c>
      <c r="X1094" s="117" t="s">
        <v>1481</v>
      </c>
      <c r="Y1094" s="39">
        <f>1459+742+135</f>
        <v>2336</v>
      </c>
      <c r="Z1094" s="39">
        <v>149</v>
      </c>
      <c r="AA1094" s="39">
        <v>29</v>
      </c>
      <c r="AB1094" s="119">
        <f t="shared" si="1091"/>
        <v>2514</v>
      </c>
      <c r="AC1094" s="39"/>
      <c r="AD1094" s="39"/>
      <c r="AE1094" s="39"/>
      <c r="AF1094" s="39"/>
      <c r="AG1094" s="39"/>
      <c r="AH1094" s="39">
        <f t="shared" si="1051"/>
        <v>0</v>
      </c>
      <c r="AI1094" s="39" t="s">
        <v>568</v>
      </c>
      <c r="AJ1094" s="117" t="s">
        <v>1981</v>
      </c>
      <c r="AK1094" s="39">
        <f>1466+745+216-65+30+121</f>
        <v>2513</v>
      </c>
      <c r="AL1094" s="117" t="s">
        <v>1982</v>
      </c>
      <c r="AM1094" s="39">
        <f>1448+737+29+151+117</f>
        <v>2482</v>
      </c>
      <c r="AN1094" s="39">
        <f t="shared" si="1047"/>
        <v>-31</v>
      </c>
      <c r="AO1094" s="39" t="s">
        <v>305</v>
      </c>
      <c r="AP1094" s="117" t="s">
        <v>1982</v>
      </c>
      <c r="AQ1094" s="39">
        <f>1448+737+121</f>
        <v>2306</v>
      </c>
      <c r="AR1094" s="117" t="s">
        <v>1978</v>
      </c>
      <c r="AS1094" s="39">
        <f>1439+739+17</f>
        <v>2195</v>
      </c>
      <c r="AT1094" s="39">
        <f t="shared" si="1052"/>
        <v>-111</v>
      </c>
      <c r="AU1094" s="39" t="s">
        <v>257</v>
      </c>
      <c r="AV1094" s="117">
        <v>46230</v>
      </c>
      <c r="AW1094" s="39">
        <f>121</f>
        <v>121</v>
      </c>
      <c r="AX1094" s="117">
        <v>46230</v>
      </c>
      <c r="AY1094" s="39">
        <f>117</f>
        <v>117</v>
      </c>
      <c r="AZ1094" s="39">
        <f t="shared" si="1053"/>
        <v>-4</v>
      </c>
      <c r="BA1094" s="39"/>
      <c r="BB1094" s="39"/>
      <c r="BC1094" s="39"/>
      <c r="BD1094" s="39"/>
      <c r="BE1094" s="39"/>
      <c r="BF1094" s="39">
        <f t="shared" si="1054"/>
        <v>0</v>
      </c>
      <c r="BG1094" s="39"/>
      <c r="BH1094" s="39"/>
      <c r="BI1094" s="39"/>
      <c r="BJ1094" s="39"/>
      <c r="BK1094" s="39"/>
      <c r="BL1094" s="39">
        <f t="shared" si="1055"/>
        <v>0</v>
      </c>
      <c r="BM1094" s="54" t="str">
        <f t="shared" si="1056"/>
        <v/>
      </c>
      <c r="BN1094" s="59">
        <v>46158</v>
      </c>
      <c r="BO1094" s="57">
        <v>46189</v>
      </c>
      <c r="BP1094" s="57"/>
      <c r="BQ1094" s="57"/>
      <c r="BR1094" s="229">
        <v>46212</v>
      </c>
      <c r="BS1094" s="229"/>
      <c r="BT1094" s="39" t="s">
        <v>2037</v>
      </c>
      <c r="BU1094" s="39">
        <f>1255+112+709+117</f>
        <v>2193</v>
      </c>
      <c r="BV1094" s="39">
        <v>1821</v>
      </c>
      <c r="BW1094" s="39">
        <f>140</f>
        <v>140</v>
      </c>
      <c r="BX1094" s="39">
        <v>1803</v>
      </c>
      <c r="BY1094" s="39">
        <v>28</v>
      </c>
      <c r="BZ1094" s="39">
        <f t="shared" si="1057"/>
        <v>2361</v>
      </c>
      <c r="CA1094" s="39">
        <f t="shared" si="1058"/>
        <v>-22</v>
      </c>
      <c r="CB1094" s="39">
        <f t="shared" si="1059"/>
        <v>-5</v>
      </c>
      <c r="CC1094" s="39">
        <f t="shared" si="1060"/>
        <v>3</v>
      </c>
      <c r="CD1094" s="39">
        <v>0</v>
      </c>
      <c r="CE1094" s="47">
        <f t="shared" si="1062"/>
        <v>0</v>
      </c>
      <c r="CF1094" s="36"/>
      <c r="CG1094" s="39" t="s">
        <v>240</v>
      </c>
      <c r="CH1094" s="39" t="s">
        <v>114</v>
      </c>
      <c r="CI1094" s="25">
        <v>2</v>
      </c>
    </row>
    <row r="1095" spans="1:88" ht="24.75" customHeight="1">
      <c r="A1095" s="36" t="s">
        <v>46</v>
      </c>
      <c r="B1095" s="30">
        <v>47502</v>
      </c>
      <c r="C1095" s="231"/>
      <c r="D1095" s="23"/>
      <c r="E1095" s="39">
        <v>320</v>
      </c>
      <c r="F1095" s="39" t="s">
        <v>56</v>
      </c>
      <c r="G1095" s="36" t="s">
        <v>586</v>
      </c>
      <c r="H1095" s="39" t="s">
        <v>96</v>
      </c>
      <c r="I1095" s="39">
        <v>60</v>
      </c>
      <c r="J1095" s="39"/>
      <c r="K1095" s="39"/>
      <c r="L1095" s="39">
        <f t="shared" si="1089"/>
        <v>60</v>
      </c>
      <c r="M1095" s="117">
        <v>46144</v>
      </c>
      <c r="N1095" s="117">
        <v>46183</v>
      </c>
      <c r="O1095" s="39"/>
      <c r="P1095" s="39"/>
      <c r="Q1095" s="39"/>
      <c r="R1095" s="39">
        <f t="shared" si="1090"/>
        <v>0</v>
      </c>
      <c r="S1095" s="39" t="s">
        <v>590</v>
      </c>
      <c r="T1095" s="39"/>
      <c r="U1095" s="39"/>
      <c r="V1095" s="117">
        <v>46157</v>
      </c>
      <c r="W1095" s="39">
        <v>70</v>
      </c>
      <c r="X1095" s="117">
        <v>46212</v>
      </c>
      <c r="Y1095" s="39">
        <v>65</v>
      </c>
      <c r="Z1095" s="39"/>
      <c r="AA1095" s="39"/>
      <c r="AB1095" s="119">
        <f t="shared" si="1091"/>
        <v>65</v>
      </c>
      <c r="AC1095" s="39"/>
      <c r="AD1095" s="39"/>
      <c r="AE1095" s="39"/>
      <c r="AF1095" s="39"/>
      <c r="AG1095" s="39"/>
      <c r="AH1095" s="39">
        <f t="shared" si="1051"/>
        <v>0</v>
      </c>
      <c r="AI1095" s="39" t="s">
        <v>163</v>
      </c>
      <c r="AJ1095" s="117">
        <v>46213</v>
      </c>
      <c r="AK1095" s="39">
        <v>65</v>
      </c>
      <c r="AL1095" s="117">
        <v>46215</v>
      </c>
      <c r="AM1095" s="39">
        <v>64</v>
      </c>
      <c r="AN1095" s="39">
        <f t="shared" si="1047"/>
        <v>-1</v>
      </c>
      <c r="AO1095" s="39"/>
      <c r="AP1095" s="39"/>
      <c r="AQ1095" s="39"/>
      <c r="AR1095" s="39"/>
      <c r="AS1095" s="39"/>
      <c r="AT1095" s="39">
        <f t="shared" si="1052"/>
        <v>0</v>
      </c>
      <c r="AU1095" s="39"/>
      <c r="AV1095" s="39"/>
      <c r="AW1095" s="39"/>
      <c r="AX1095" s="39"/>
      <c r="AY1095" s="39"/>
      <c r="AZ1095" s="39">
        <f t="shared" si="1053"/>
        <v>0</v>
      </c>
      <c r="BA1095" s="39"/>
      <c r="BB1095" s="39"/>
      <c r="BC1095" s="39"/>
      <c r="BD1095" s="39"/>
      <c r="BE1095" s="39"/>
      <c r="BF1095" s="39">
        <f t="shared" si="1054"/>
        <v>0</v>
      </c>
      <c r="BG1095" s="39"/>
      <c r="BH1095" s="39"/>
      <c r="BI1095" s="39"/>
      <c r="BJ1095" s="39"/>
      <c r="BK1095" s="39"/>
      <c r="BL1095" s="39">
        <f t="shared" si="1055"/>
        <v>0</v>
      </c>
      <c r="BM1095" s="54" t="str">
        <f t="shared" si="1056"/>
        <v/>
      </c>
      <c r="BN1095" s="59">
        <v>46158</v>
      </c>
      <c r="BO1095" s="57">
        <v>46189</v>
      </c>
      <c r="BP1095" s="57"/>
      <c r="BQ1095" s="57"/>
      <c r="BR1095" s="232"/>
      <c r="BS1095" s="232"/>
      <c r="BT1095" s="39">
        <v>1821</v>
      </c>
      <c r="BU1095" s="39">
        <v>60</v>
      </c>
      <c r="BV1095" s="39"/>
      <c r="BW1095" s="39"/>
      <c r="BX1095" s="39"/>
      <c r="BY1095" s="39"/>
      <c r="BZ1095" s="39">
        <f t="shared" si="1057"/>
        <v>60</v>
      </c>
      <c r="CA1095" s="39">
        <f t="shared" si="1058"/>
        <v>0</v>
      </c>
      <c r="CB1095" s="39">
        <f t="shared" si="1059"/>
        <v>0</v>
      </c>
      <c r="CC1095" s="39">
        <f t="shared" si="1060"/>
        <v>0</v>
      </c>
      <c r="CD1095" s="39">
        <f t="shared" si="1061"/>
        <v>0</v>
      </c>
      <c r="CE1095" s="47">
        <f t="shared" si="1062"/>
        <v>0</v>
      </c>
      <c r="CF1095" s="36"/>
      <c r="CG1095" s="39" t="s">
        <v>240</v>
      </c>
      <c r="CH1095" s="39"/>
      <c r="CI1095" s="25">
        <v>2</v>
      </c>
    </row>
    <row r="1096" spans="1:88" ht="24.75" customHeight="1">
      <c r="A1096" s="36" t="s">
        <v>46</v>
      </c>
      <c r="B1096" s="30">
        <v>47502</v>
      </c>
      <c r="C1096" s="231"/>
      <c r="D1096" s="23"/>
      <c r="E1096" s="39">
        <v>320</v>
      </c>
      <c r="F1096" s="39" t="s">
        <v>56</v>
      </c>
      <c r="G1096" s="36" t="s">
        <v>433</v>
      </c>
      <c r="H1096" s="39" t="s">
        <v>96</v>
      </c>
      <c r="I1096" s="39">
        <v>60</v>
      </c>
      <c r="J1096" s="39"/>
      <c r="K1096" s="39"/>
      <c r="L1096" s="39">
        <f t="shared" si="1089"/>
        <v>60</v>
      </c>
      <c r="M1096" s="117">
        <v>46144</v>
      </c>
      <c r="N1096" s="117">
        <v>46183</v>
      </c>
      <c r="O1096" s="39"/>
      <c r="P1096" s="39"/>
      <c r="Q1096" s="39"/>
      <c r="R1096" s="39">
        <f t="shared" si="1090"/>
        <v>0</v>
      </c>
      <c r="S1096" s="39" t="s">
        <v>590</v>
      </c>
      <c r="T1096" s="39"/>
      <c r="U1096" s="39"/>
      <c r="V1096" s="117">
        <v>46157</v>
      </c>
      <c r="W1096" s="39">
        <v>69</v>
      </c>
      <c r="X1096" s="117" t="s">
        <v>1711</v>
      </c>
      <c r="Y1096" s="39">
        <f>22+40</f>
        <v>62</v>
      </c>
      <c r="Z1096" s="39"/>
      <c r="AA1096" s="39"/>
      <c r="AB1096" s="119">
        <f t="shared" si="1091"/>
        <v>62</v>
      </c>
      <c r="AC1096" s="39"/>
      <c r="AD1096" s="39"/>
      <c r="AE1096" s="39"/>
      <c r="AF1096" s="39"/>
      <c r="AG1096" s="39"/>
      <c r="AH1096" s="39">
        <f t="shared" si="1051"/>
        <v>0</v>
      </c>
      <c r="AI1096" s="39"/>
      <c r="AJ1096" s="39"/>
      <c r="AK1096" s="39"/>
      <c r="AL1096" s="39"/>
      <c r="AM1096" s="39"/>
      <c r="AN1096" s="39">
        <f t="shared" si="1047"/>
        <v>0</v>
      </c>
      <c r="AO1096" s="39"/>
      <c r="AP1096" s="39"/>
      <c r="AQ1096" s="39"/>
      <c r="AR1096" s="39"/>
      <c r="AS1096" s="39"/>
      <c r="AT1096" s="39">
        <f t="shared" si="1052"/>
        <v>0</v>
      </c>
      <c r="AU1096" s="39"/>
      <c r="AV1096" s="39"/>
      <c r="AW1096" s="39"/>
      <c r="AX1096" s="39"/>
      <c r="AY1096" s="39"/>
      <c r="AZ1096" s="39">
        <f t="shared" si="1053"/>
        <v>0</v>
      </c>
      <c r="BA1096" s="39"/>
      <c r="BB1096" s="39"/>
      <c r="BC1096" s="39"/>
      <c r="BD1096" s="39"/>
      <c r="BE1096" s="39"/>
      <c r="BF1096" s="39">
        <f t="shared" si="1054"/>
        <v>0</v>
      </c>
      <c r="BG1096" s="39"/>
      <c r="BH1096" s="39"/>
      <c r="BI1096" s="39"/>
      <c r="BJ1096" s="39"/>
      <c r="BK1096" s="39"/>
      <c r="BL1096" s="39">
        <f t="shared" si="1055"/>
        <v>0</v>
      </c>
      <c r="BM1096" s="54">
        <f t="shared" ca="1" si="1056"/>
        <v>46283</v>
      </c>
      <c r="BN1096" s="59">
        <v>46158</v>
      </c>
      <c r="BO1096" s="57">
        <v>46189</v>
      </c>
      <c r="BP1096" s="57"/>
      <c r="BQ1096" s="57"/>
      <c r="BR1096" s="232"/>
      <c r="BS1096" s="232"/>
      <c r="BT1096" s="39">
        <v>1784</v>
      </c>
      <c r="BU1096" s="39">
        <f>52</f>
        <v>52</v>
      </c>
      <c r="BV1096" s="39"/>
      <c r="BW1096" s="39"/>
      <c r="BX1096" s="39"/>
      <c r="BY1096" s="39"/>
      <c r="BZ1096" s="39">
        <f t="shared" si="1057"/>
        <v>52</v>
      </c>
      <c r="CA1096" s="39">
        <f t="shared" si="1058"/>
        <v>-8</v>
      </c>
      <c r="CB1096" s="39">
        <f t="shared" si="1059"/>
        <v>0</v>
      </c>
      <c r="CC1096" s="39">
        <f t="shared" si="1060"/>
        <v>0</v>
      </c>
      <c r="CD1096" s="39">
        <f t="shared" si="1061"/>
        <v>-8</v>
      </c>
      <c r="CE1096" s="47">
        <f t="shared" si="1062"/>
        <v>-0.13333333333333333</v>
      </c>
      <c r="CF1096" s="36"/>
      <c r="CG1096" s="39" t="s">
        <v>240</v>
      </c>
      <c r="CH1096" s="39"/>
      <c r="CI1096" s="25">
        <v>2</v>
      </c>
    </row>
    <row r="1097" spans="1:88" ht="24.75" customHeight="1">
      <c r="A1097" s="36" t="s">
        <v>46</v>
      </c>
      <c r="B1097" s="30">
        <v>47502</v>
      </c>
      <c r="C1097" s="228"/>
      <c r="D1097" s="23" t="s">
        <v>275</v>
      </c>
      <c r="E1097" s="39">
        <v>220</v>
      </c>
      <c r="F1097" s="39" t="s">
        <v>65</v>
      </c>
      <c r="G1097" s="36" t="s">
        <v>955</v>
      </c>
      <c r="H1097" s="39" t="s">
        <v>196</v>
      </c>
      <c r="I1097" s="39">
        <f>2180+120</f>
        <v>2300</v>
      </c>
      <c r="J1097" s="39">
        <f>145+5</f>
        <v>150</v>
      </c>
      <c r="K1097" s="39"/>
      <c r="L1097" s="39">
        <f t="shared" si="1089"/>
        <v>2450</v>
      </c>
      <c r="M1097" s="117">
        <v>46144</v>
      </c>
      <c r="N1097" s="117">
        <v>46183</v>
      </c>
      <c r="O1097" s="39"/>
      <c r="P1097" s="39"/>
      <c r="Q1097" s="39"/>
      <c r="R1097" s="39">
        <f t="shared" si="1090"/>
        <v>0</v>
      </c>
      <c r="S1097" s="39" t="s">
        <v>326</v>
      </c>
      <c r="T1097" s="39"/>
      <c r="U1097" s="39"/>
      <c r="V1097" s="117" t="s">
        <v>1066</v>
      </c>
      <c r="W1097" s="39">
        <f>161+2696+226+13</f>
        <v>3096</v>
      </c>
      <c r="X1097" s="117" t="s">
        <v>1643</v>
      </c>
      <c r="Y1097" s="39">
        <f>24+567+557+568+582</f>
        <v>2298</v>
      </c>
      <c r="Z1097" s="39">
        <f>42+40+52+41-22</f>
        <v>153</v>
      </c>
      <c r="AA1097" s="39"/>
      <c r="AB1097" s="119">
        <f t="shared" si="1091"/>
        <v>2451</v>
      </c>
      <c r="AC1097" s="39" t="s">
        <v>139</v>
      </c>
      <c r="AD1097" s="117" t="s">
        <v>1506</v>
      </c>
      <c r="AE1097" s="39">
        <f>24+570+558+572+584</f>
        <v>2308</v>
      </c>
      <c r="AF1097" s="117" t="s">
        <v>1678</v>
      </c>
      <c r="AG1097" s="39">
        <f>6+558+546+581+576</f>
        <v>2267</v>
      </c>
      <c r="AH1097" s="39">
        <f t="shared" si="1051"/>
        <v>-41</v>
      </c>
      <c r="AI1097" s="39"/>
      <c r="AJ1097" s="39"/>
      <c r="AK1097" s="39"/>
      <c r="AL1097" s="39"/>
      <c r="AM1097" s="39"/>
      <c r="AN1097" s="39">
        <f t="shared" si="1047"/>
        <v>0</v>
      </c>
      <c r="AO1097" s="39"/>
      <c r="AP1097" s="39"/>
      <c r="AQ1097" s="39"/>
      <c r="AR1097" s="39"/>
      <c r="AS1097" s="39"/>
      <c r="AT1097" s="39">
        <f t="shared" si="1052"/>
        <v>0</v>
      </c>
      <c r="AU1097" s="39"/>
      <c r="AV1097" s="39"/>
      <c r="AW1097" s="39"/>
      <c r="AX1097" s="39"/>
      <c r="AY1097" s="39"/>
      <c r="AZ1097" s="39">
        <f t="shared" si="1053"/>
        <v>0</v>
      </c>
      <c r="BA1097" s="39"/>
      <c r="BB1097" s="39"/>
      <c r="BC1097" s="39"/>
      <c r="BD1097" s="39"/>
      <c r="BE1097" s="39"/>
      <c r="BF1097" s="39">
        <f t="shared" si="1054"/>
        <v>0</v>
      </c>
      <c r="BG1097" s="39"/>
      <c r="BH1097" s="39"/>
      <c r="BI1097" s="39"/>
      <c r="BJ1097" s="39"/>
      <c r="BK1097" s="39"/>
      <c r="BL1097" s="39">
        <f t="shared" si="1055"/>
        <v>0</v>
      </c>
      <c r="BM1097" s="54" t="str">
        <f t="shared" si="1056"/>
        <v/>
      </c>
      <c r="BN1097" s="59">
        <v>46158</v>
      </c>
      <c r="BO1097" s="57">
        <v>46189</v>
      </c>
      <c r="BP1097" s="57">
        <v>46183</v>
      </c>
      <c r="BQ1097" s="57">
        <v>46193</v>
      </c>
      <c r="BR1097" s="230"/>
      <c r="BS1097" s="230"/>
      <c r="BT1097" s="39" t="s">
        <v>1833</v>
      </c>
      <c r="BU1097" s="39">
        <f>55+61+514+538+42+483+46+61+455</f>
        <v>2255</v>
      </c>
      <c r="BV1097" s="39" t="s">
        <v>1860</v>
      </c>
      <c r="BW1097" s="39">
        <f>42+40+41+40</f>
        <v>163</v>
      </c>
      <c r="BX1097" s="39"/>
      <c r="BY1097" s="39"/>
      <c r="BZ1097" s="39">
        <f t="shared" si="1057"/>
        <v>2418</v>
      </c>
      <c r="CA1097" s="39">
        <f t="shared" si="1058"/>
        <v>-45</v>
      </c>
      <c r="CB1097" s="39">
        <f t="shared" si="1059"/>
        <v>13</v>
      </c>
      <c r="CC1097" s="39">
        <f t="shared" si="1060"/>
        <v>0</v>
      </c>
      <c r="CD1097" s="39">
        <v>0</v>
      </c>
      <c r="CE1097" s="47">
        <f t="shared" si="1062"/>
        <v>0</v>
      </c>
      <c r="CF1097" s="36"/>
      <c r="CG1097" s="39" t="s">
        <v>240</v>
      </c>
      <c r="CH1097" s="39"/>
      <c r="CI1097" s="25">
        <v>2</v>
      </c>
    </row>
    <row r="1098" spans="1:88" ht="26.25" customHeight="1">
      <c r="A1098" s="36" t="s">
        <v>46</v>
      </c>
      <c r="B1098" s="30">
        <v>47501</v>
      </c>
      <c r="C1098" s="227" t="s">
        <v>949</v>
      </c>
      <c r="D1098" s="23" t="s">
        <v>104</v>
      </c>
      <c r="E1098" s="39">
        <v>220</v>
      </c>
      <c r="F1098" s="39" t="s">
        <v>53</v>
      </c>
      <c r="G1098" s="36" t="s">
        <v>433</v>
      </c>
      <c r="H1098" s="39" t="s">
        <v>196</v>
      </c>
      <c r="I1098" s="39">
        <f>560+70</f>
        <v>630</v>
      </c>
      <c r="J1098" s="39">
        <f>55+5</f>
        <v>60</v>
      </c>
      <c r="K1098" s="39">
        <v>10</v>
      </c>
      <c r="L1098" s="39">
        <f t="shared" si="1089"/>
        <v>700</v>
      </c>
      <c r="M1098" s="117">
        <v>46144</v>
      </c>
      <c r="N1098" s="117">
        <v>46183</v>
      </c>
      <c r="O1098" s="39"/>
      <c r="P1098" s="39"/>
      <c r="Q1098" s="39"/>
      <c r="R1098" s="39">
        <f t="shared" si="1090"/>
        <v>0</v>
      </c>
      <c r="S1098" s="39" t="s">
        <v>130</v>
      </c>
      <c r="T1098" s="39">
        <v>107820</v>
      </c>
      <c r="U1098" s="117">
        <v>46218</v>
      </c>
      <c r="V1098" s="117"/>
      <c r="W1098" s="39"/>
      <c r="X1098" s="39"/>
      <c r="Y1098" s="39">
        <v>756</v>
      </c>
      <c r="Z1098" s="39">
        <v>74</v>
      </c>
      <c r="AA1098" s="39">
        <v>15</v>
      </c>
      <c r="AB1098" s="119">
        <f t="shared" si="1091"/>
        <v>845</v>
      </c>
      <c r="AC1098" s="39"/>
      <c r="AD1098" s="39"/>
      <c r="AE1098" s="39"/>
      <c r="AF1098" s="39"/>
      <c r="AG1098" s="39"/>
      <c r="AH1098" s="39">
        <f t="shared" si="1051"/>
        <v>0</v>
      </c>
      <c r="AI1098" s="39" t="s">
        <v>163</v>
      </c>
      <c r="AJ1098" s="117">
        <v>46220</v>
      </c>
      <c r="AK1098" s="39">
        <f>701+69+13</f>
        <v>783</v>
      </c>
      <c r="AL1098" s="117">
        <v>46221</v>
      </c>
      <c r="AM1098" s="39">
        <f>693+69+13</f>
        <v>775</v>
      </c>
      <c r="AN1098" s="39">
        <f t="shared" si="1047"/>
        <v>-8</v>
      </c>
      <c r="AO1098" s="39" t="s">
        <v>280</v>
      </c>
      <c r="AP1098" s="117">
        <v>46221</v>
      </c>
      <c r="AQ1098" s="39">
        <v>693</v>
      </c>
      <c r="AR1098" s="117">
        <v>46221</v>
      </c>
      <c r="AS1098" s="39">
        <v>697</v>
      </c>
      <c r="AT1098" s="39">
        <f t="shared" si="1052"/>
        <v>4</v>
      </c>
      <c r="AU1098" s="39"/>
      <c r="AV1098" s="39"/>
      <c r="AW1098" s="39"/>
      <c r="AX1098" s="39"/>
      <c r="AY1098" s="39"/>
      <c r="AZ1098" s="39">
        <f t="shared" si="1053"/>
        <v>0</v>
      </c>
      <c r="BA1098" s="39"/>
      <c r="BB1098" s="39"/>
      <c r="BC1098" s="39"/>
      <c r="BD1098" s="39"/>
      <c r="BE1098" s="39"/>
      <c r="BF1098" s="39">
        <f t="shared" si="1054"/>
        <v>0</v>
      </c>
      <c r="BG1098" s="39"/>
      <c r="BH1098" s="39"/>
      <c r="BI1098" s="39"/>
      <c r="BJ1098" s="39"/>
      <c r="BK1098" s="39"/>
      <c r="BL1098" s="39">
        <f t="shared" si="1055"/>
        <v>0</v>
      </c>
      <c r="BM1098" s="54" t="str">
        <f t="shared" si="1056"/>
        <v/>
      </c>
      <c r="BN1098" s="59">
        <v>46157</v>
      </c>
      <c r="BO1098" s="57">
        <v>46188</v>
      </c>
      <c r="BP1098" s="57"/>
      <c r="BQ1098" s="57"/>
      <c r="BR1098" s="229">
        <v>46218</v>
      </c>
      <c r="BS1098" s="229">
        <v>46225</v>
      </c>
      <c r="BT1098" s="39">
        <v>1824</v>
      </c>
      <c r="BU1098" s="39">
        <v>667</v>
      </c>
      <c r="BV1098" s="39">
        <v>1824</v>
      </c>
      <c r="BW1098" s="39">
        <v>66</v>
      </c>
      <c r="BX1098" s="39">
        <v>1824</v>
      </c>
      <c r="BY1098" s="39">
        <v>13</v>
      </c>
      <c r="BZ1098" s="39">
        <f t="shared" si="1057"/>
        <v>746</v>
      </c>
      <c r="CA1098" s="39">
        <f t="shared" si="1058"/>
        <v>37</v>
      </c>
      <c r="CB1098" s="39">
        <f t="shared" si="1059"/>
        <v>6</v>
      </c>
      <c r="CC1098" s="39">
        <f t="shared" si="1060"/>
        <v>3</v>
      </c>
      <c r="CD1098" s="39">
        <f t="shared" si="1061"/>
        <v>0</v>
      </c>
      <c r="CE1098" s="47">
        <f t="shared" si="1062"/>
        <v>0</v>
      </c>
      <c r="CF1098" s="36"/>
      <c r="CG1098" s="39" t="s">
        <v>240</v>
      </c>
      <c r="CH1098" s="39"/>
      <c r="CI1098" s="25">
        <v>2</v>
      </c>
    </row>
    <row r="1099" spans="1:88" ht="26.25" customHeight="1">
      <c r="A1099" s="36" t="s">
        <v>46</v>
      </c>
      <c r="B1099" s="30">
        <v>47501</v>
      </c>
      <c r="C1099" s="228"/>
      <c r="D1099" s="23" t="s">
        <v>110</v>
      </c>
      <c r="E1099" s="39">
        <v>200</v>
      </c>
      <c r="F1099" s="39" t="s">
        <v>585</v>
      </c>
      <c r="G1099" s="36" t="s">
        <v>950</v>
      </c>
      <c r="H1099" s="39" t="s">
        <v>381</v>
      </c>
      <c r="I1099" s="39">
        <f>480+50</f>
        <v>530</v>
      </c>
      <c r="J1099" s="39">
        <f>45+5</f>
        <v>50</v>
      </c>
      <c r="K1099" s="39"/>
      <c r="L1099" s="39">
        <f t="shared" si="1089"/>
        <v>580</v>
      </c>
      <c r="M1099" s="117">
        <v>46144</v>
      </c>
      <c r="N1099" s="117">
        <v>46183</v>
      </c>
      <c r="O1099" s="39"/>
      <c r="P1099" s="39"/>
      <c r="Q1099" s="39"/>
      <c r="R1099" s="39">
        <f t="shared" si="1090"/>
        <v>0</v>
      </c>
      <c r="S1099" s="39" t="s">
        <v>130</v>
      </c>
      <c r="T1099" s="39" t="s">
        <v>1997</v>
      </c>
      <c r="U1099" s="117" t="s">
        <v>1998</v>
      </c>
      <c r="V1099" s="117"/>
      <c r="W1099" s="39"/>
      <c r="X1099" s="39"/>
      <c r="Y1099" s="39">
        <f>615+55</f>
        <v>670</v>
      </c>
      <c r="Z1099" s="39">
        <v>60</v>
      </c>
      <c r="AA1099" s="39"/>
      <c r="AB1099" s="119">
        <f t="shared" si="1091"/>
        <v>730</v>
      </c>
      <c r="AC1099" s="39" t="s">
        <v>139</v>
      </c>
      <c r="AD1099" s="117" t="s">
        <v>2031</v>
      </c>
      <c r="AE1099" s="39">
        <f>30+22+510-22+49</f>
        <v>589</v>
      </c>
      <c r="AF1099" s="117" t="s">
        <v>2118</v>
      </c>
      <c r="AG1099" s="39">
        <f>506+47</f>
        <v>553</v>
      </c>
      <c r="AH1099" s="39">
        <f t="shared" si="1051"/>
        <v>-36</v>
      </c>
      <c r="AI1099" s="39" t="s">
        <v>163</v>
      </c>
      <c r="AJ1099" s="117" t="s">
        <v>1983</v>
      </c>
      <c r="AK1099" s="39">
        <f>570+56+50</f>
        <v>676</v>
      </c>
      <c r="AL1099" s="117" t="s">
        <v>2021</v>
      </c>
      <c r="AM1099" s="39">
        <f>31+27+505+56+50</f>
        <v>669</v>
      </c>
      <c r="AN1099" s="39">
        <f t="shared" si="1047"/>
        <v>-7</v>
      </c>
      <c r="AO1099" s="39"/>
      <c r="AP1099" s="39"/>
      <c r="AQ1099" s="39"/>
      <c r="AR1099" s="39"/>
      <c r="AS1099" s="39"/>
      <c r="AT1099" s="39">
        <f t="shared" si="1052"/>
        <v>0</v>
      </c>
      <c r="AU1099" s="39"/>
      <c r="AV1099" s="39"/>
      <c r="AW1099" s="39"/>
      <c r="AX1099" s="39"/>
      <c r="AY1099" s="39"/>
      <c r="AZ1099" s="39">
        <f t="shared" si="1053"/>
        <v>0</v>
      </c>
      <c r="BA1099" s="39"/>
      <c r="BB1099" s="39"/>
      <c r="BC1099" s="39"/>
      <c r="BD1099" s="39"/>
      <c r="BE1099" s="39"/>
      <c r="BF1099" s="39">
        <f t="shared" si="1054"/>
        <v>0</v>
      </c>
      <c r="BG1099" s="39"/>
      <c r="BH1099" s="39"/>
      <c r="BI1099" s="39"/>
      <c r="BJ1099" s="39"/>
      <c r="BK1099" s="39"/>
      <c r="BL1099" s="39">
        <f t="shared" si="1055"/>
        <v>0</v>
      </c>
      <c r="BM1099" s="54" t="str">
        <f t="shared" si="1056"/>
        <v/>
      </c>
      <c r="BN1099" s="59">
        <v>46157</v>
      </c>
      <c r="BO1099" s="57">
        <v>46188</v>
      </c>
      <c r="BP1099" s="57">
        <v>46183</v>
      </c>
      <c r="BQ1099" s="57">
        <v>46195</v>
      </c>
      <c r="BR1099" s="230"/>
      <c r="BS1099" s="230"/>
      <c r="BT1099" s="39" t="s">
        <v>2095</v>
      </c>
      <c r="BU1099" s="39">
        <f>506+47</f>
        <v>553</v>
      </c>
      <c r="BV1099" s="39">
        <v>1821</v>
      </c>
      <c r="BW1099" s="39">
        <f>57</f>
        <v>57</v>
      </c>
      <c r="BX1099" s="39"/>
      <c r="BY1099" s="39"/>
      <c r="BZ1099" s="39">
        <f t="shared" si="1057"/>
        <v>610</v>
      </c>
      <c r="CA1099" s="39">
        <f t="shared" si="1058"/>
        <v>23</v>
      </c>
      <c r="CB1099" s="39">
        <f t="shared" si="1059"/>
        <v>7</v>
      </c>
      <c r="CC1099" s="39">
        <f t="shared" si="1060"/>
        <v>0</v>
      </c>
      <c r="CD1099" s="39">
        <v>0</v>
      </c>
      <c r="CE1099" s="47">
        <f t="shared" si="1062"/>
        <v>0</v>
      </c>
      <c r="CF1099" s="36"/>
      <c r="CG1099" s="39" t="s">
        <v>240</v>
      </c>
      <c r="CH1099" s="39"/>
      <c r="CI1099" s="25">
        <v>2</v>
      </c>
    </row>
    <row r="1100" spans="1:88" ht="40.5" customHeight="1">
      <c r="A1100" s="36" t="s">
        <v>46</v>
      </c>
      <c r="B1100" s="30">
        <v>47500</v>
      </c>
      <c r="C1100" s="36" t="s">
        <v>1342</v>
      </c>
      <c r="D1100" s="23" t="s">
        <v>275</v>
      </c>
      <c r="E1100" s="39">
        <v>220</v>
      </c>
      <c r="F1100" s="39" t="s">
        <v>53</v>
      </c>
      <c r="G1100" s="36" t="s">
        <v>591</v>
      </c>
      <c r="H1100" s="39" t="s">
        <v>196</v>
      </c>
      <c r="I1100" s="39">
        <f>3720+180-200</f>
        <v>3700</v>
      </c>
      <c r="J1100" s="39">
        <f>400+30</f>
        <v>430</v>
      </c>
      <c r="K1100" s="39">
        <f>35+5</f>
        <v>40</v>
      </c>
      <c r="L1100" s="39">
        <f t="shared" si="1089"/>
        <v>4170</v>
      </c>
      <c r="M1100" s="117">
        <v>46144</v>
      </c>
      <c r="N1100" s="117">
        <v>46183</v>
      </c>
      <c r="O1100" s="39"/>
      <c r="P1100" s="39"/>
      <c r="Q1100" s="39"/>
      <c r="R1100" s="39">
        <f t="shared" si="1090"/>
        <v>0</v>
      </c>
      <c r="S1100" s="39" t="s">
        <v>130</v>
      </c>
      <c r="T1100" s="39" t="s">
        <v>2058</v>
      </c>
      <c r="U1100" s="117" t="s">
        <v>2059</v>
      </c>
      <c r="V1100" s="117"/>
      <c r="W1100" s="39"/>
      <c r="X1100" s="39"/>
      <c r="Y1100" s="39">
        <f>1079+1077+1075+1078+80</f>
        <v>4389</v>
      </c>
      <c r="Z1100" s="39">
        <f>115+120+118+120</f>
        <v>473</v>
      </c>
      <c r="AA1100" s="39">
        <f>10+13+13+12</f>
        <v>48</v>
      </c>
      <c r="AB1100" s="119">
        <f t="shared" si="1091"/>
        <v>4910</v>
      </c>
      <c r="AC1100" s="39" t="s">
        <v>139</v>
      </c>
      <c r="AD1100" s="117" t="s">
        <v>2141</v>
      </c>
      <c r="AE1100" s="39">
        <f>909+918+935+901-870+458+384+67+23</f>
        <v>3725</v>
      </c>
      <c r="AF1100" s="117" t="s">
        <v>2121</v>
      </c>
      <c r="AG1100" s="39">
        <f>15+10+873+624+223+890+451+392+81+64+83</f>
        <v>3706</v>
      </c>
      <c r="AH1100" s="39">
        <f t="shared" si="1051"/>
        <v>-19</v>
      </c>
      <c r="AI1100" s="39" t="s">
        <v>257</v>
      </c>
      <c r="AJ1100" s="117" t="s">
        <v>2081</v>
      </c>
      <c r="AK1100" s="39">
        <f>983+107+10+995+109+12+994+109+13+997+107+11+73</f>
        <v>4520</v>
      </c>
      <c r="AL1100" s="117" t="s">
        <v>2093</v>
      </c>
      <c r="AM1100" s="39">
        <f>956+108+11+962+107+12+960+106+10+949+10+105+70</f>
        <v>4366</v>
      </c>
      <c r="AN1100" s="39">
        <f t="shared" si="1047"/>
        <v>-154</v>
      </c>
      <c r="AO1100" s="39" t="s">
        <v>257</v>
      </c>
      <c r="AP1100" s="117" t="s">
        <v>2081</v>
      </c>
      <c r="AQ1100" s="39">
        <f>983+995+994+997+73</f>
        <v>4042</v>
      </c>
      <c r="AR1100" s="117" t="s">
        <v>2094</v>
      </c>
      <c r="AS1100" s="39">
        <f>956+962+960+949+70</f>
        <v>3897</v>
      </c>
      <c r="AT1100" s="39">
        <f t="shared" si="1052"/>
        <v>-145</v>
      </c>
      <c r="AU1100" s="39" t="s">
        <v>257</v>
      </c>
      <c r="AV1100" s="117" t="s">
        <v>2081</v>
      </c>
      <c r="AW1100" s="39">
        <f>983+995+994+997+73</f>
        <v>4042</v>
      </c>
      <c r="AX1100" s="117" t="s">
        <v>2094</v>
      </c>
      <c r="AY1100" s="39">
        <f>956+962+960+949+70</f>
        <v>3897</v>
      </c>
      <c r="AZ1100" s="39">
        <f t="shared" si="1053"/>
        <v>-145</v>
      </c>
      <c r="BA1100" s="39"/>
      <c r="BB1100" s="39"/>
      <c r="BC1100" s="39"/>
      <c r="BD1100" s="39"/>
      <c r="BE1100" s="39"/>
      <c r="BF1100" s="39">
        <f t="shared" si="1054"/>
        <v>0</v>
      </c>
      <c r="BG1100" s="39"/>
      <c r="BH1100" s="39"/>
      <c r="BI1100" s="39"/>
      <c r="BJ1100" s="39"/>
      <c r="BK1100" s="39"/>
      <c r="BL1100" s="39">
        <f t="shared" si="1055"/>
        <v>0</v>
      </c>
      <c r="BM1100" s="54" t="str">
        <f t="shared" si="1056"/>
        <v/>
      </c>
      <c r="BN1100" s="59">
        <v>46158</v>
      </c>
      <c r="BO1100" s="57">
        <v>46188</v>
      </c>
      <c r="BP1100" s="57">
        <v>46183</v>
      </c>
      <c r="BQ1100" s="57">
        <v>46200</v>
      </c>
      <c r="BR1100" s="50">
        <v>46227</v>
      </c>
      <c r="BS1100" s="50">
        <v>46235</v>
      </c>
      <c r="BT1100" s="39" t="s">
        <v>2137</v>
      </c>
      <c r="BU1100" s="39">
        <f>15+586+66+492+64+271+366+84+885+256+351+81+44+64+83</f>
        <v>3708</v>
      </c>
      <c r="BV1100" s="39" t="s">
        <v>2099</v>
      </c>
      <c r="BW1100" s="39">
        <f>108+110+109+110</f>
        <v>437</v>
      </c>
      <c r="BX1100" s="39" t="s">
        <v>2099</v>
      </c>
      <c r="BY1100" s="39">
        <f>12+11+10+11</f>
        <v>44</v>
      </c>
      <c r="BZ1100" s="39">
        <f t="shared" si="1057"/>
        <v>4189</v>
      </c>
      <c r="CA1100" s="39">
        <f t="shared" si="1058"/>
        <v>8</v>
      </c>
      <c r="CB1100" s="39">
        <f t="shared" si="1059"/>
        <v>7</v>
      </c>
      <c r="CC1100" s="39">
        <f t="shared" si="1060"/>
        <v>4</v>
      </c>
      <c r="CD1100" s="39">
        <f t="shared" si="1061"/>
        <v>0</v>
      </c>
      <c r="CE1100" s="47">
        <f t="shared" si="1062"/>
        <v>0</v>
      </c>
      <c r="CF1100" s="36"/>
      <c r="CG1100" s="39" t="s">
        <v>240</v>
      </c>
      <c r="CH1100" s="39"/>
      <c r="CI1100" s="25">
        <v>2</v>
      </c>
    </row>
    <row r="1101" spans="1:88" ht="24.75" customHeight="1">
      <c r="A1101" s="36" t="s">
        <v>46</v>
      </c>
      <c r="B1101" s="30">
        <v>47381</v>
      </c>
      <c r="C1101" s="227" t="s">
        <v>967</v>
      </c>
      <c r="D1101" s="23"/>
      <c r="E1101" s="39">
        <v>200</v>
      </c>
      <c r="F1101" s="39" t="s">
        <v>59</v>
      </c>
      <c r="G1101" s="36" t="s">
        <v>418</v>
      </c>
      <c r="H1101" s="36" t="s">
        <v>381</v>
      </c>
      <c r="I1101" s="39">
        <f>894+28</f>
        <v>922</v>
      </c>
      <c r="J1101" s="39"/>
      <c r="K1101" s="39"/>
      <c r="L1101" s="39">
        <f t="shared" ref="L1101:L1108" si="1092">SUM(I1101:K1101)</f>
        <v>922</v>
      </c>
      <c r="M1101" s="117">
        <v>46122</v>
      </c>
      <c r="N1101" s="117">
        <v>46185</v>
      </c>
      <c r="O1101" s="39"/>
      <c r="P1101" s="39"/>
      <c r="Q1101" s="39"/>
      <c r="R1101" s="39">
        <f t="shared" ref="R1101:R1104" si="1093">SUM(O1101:Q1101)</f>
        <v>0</v>
      </c>
      <c r="S1101" s="39" t="s">
        <v>590</v>
      </c>
      <c r="T1101" s="39"/>
      <c r="U1101" s="39"/>
      <c r="V1101" s="117" t="s">
        <v>658</v>
      </c>
      <c r="W1101" s="39">
        <f>538+513</f>
        <v>1051</v>
      </c>
      <c r="X1101" s="117" t="s">
        <v>1157</v>
      </c>
      <c r="Y1101" s="39">
        <f>751+129</f>
        <v>880</v>
      </c>
      <c r="Z1101" s="39"/>
      <c r="AA1101" s="39"/>
      <c r="AB1101" s="120">
        <f t="shared" ref="AB1101:AB1108" si="1094">SUM(Y1101:AA1101)</f>
        <v>880</v>
      </c>
      <c r="AC1101" s="39"/>
      <c r="AD1101" s="39"/>
      <c r="AE1101" s="39"/>
      <c r="AF1101" s="39"/>
      <c r="AG1101" s="39"/>
      <c r="AH1101" s="39">
        <f t="shared" si="1051"/>
        <v>0</v>
      </c>
      <c r="AI1101" s="39"/>
      <c r="AJ1101" s="39"/>
      <c r="AK1101" s="39"/>
      <c r="AL1101" s="39"/>
      <c r="AM1101" s="39"/>
      <c r="AN1101" s="39">
        <f t="shared" si="1047"/>
        <v>0</v>
      </c>
      <c r="AO1101" s="39"/>
      <c r="AP1101" s="39"/>
      <c r="AQ1101" s="39"/>
      <c r="AR1101" s="39"/>
      <c r="AS1101" s="39"/>
      <c r="AT1101" s="39">
        <f t="shared" si="1052"/>
        <v>0</v>
      </c>
      <c r="AU1101" s="39"/>
      <c r="AV1101" s="39"/>
      <c r="AW1101" s="39"/>
      <c r="AX1101" s="39"/>
      <c r="AY1101" s="39"/>
      <c r="AZ1101" s="39">
        <f t="shared" si="1053"/>
        <v>0</v>
      </c>
      <c r="BA1101" s="39"/>
      <c r="BB1101" s="39"/>
      <c r="BC1101" s="39"/>
      <c r="BD1101" s="39"/>
      <c r="BE1101" s="39"/>
      <c r="BF1101" s="39">
        <f t="shared" si="1054"/>
        <v>0</v>
      </c>
      <c r="BG1101" s="39"/>
      <c r="BH1101" s="39"/>
      <c r="BI1101" s="39"/>
      <c r="BJ1101" s="39"/>
      <c r="BK1101" s="39"/>
      <c r="BL1101" s="39">
        <f t="shared" si="1055"/>
        <v>0</v>
      </c>
      <c r="BM1101" s="54" t="str">
        <f t="shared" si="1056"/>
        <v/>
      </c>
      <c r="BN1101" s="59">
        <v>46186</v>
      </c>
      <c r="BO1101" s="57">
        <v>46189</v>
      </c>
      <c r="BP1101" s="57"/>
      <c r="BQ1101" s="57"/>
      <c r="BR1101" s="229">
        <v>46182</v>
      </c>
      <c r="BS1101" s="229">
        <v>46199</v>
      </c>
      <c r="BT1101" s="39" t="s">
        <v>1199</v>
      </c>
      <c r="BU1101" s="39">
        <f>35+726+25+127</f>
        <v>913</v>
      </c>
      <c r="BV1101" s="39"/>
      <c r="BW1101" s="39"/>
      <c r="BX1101" s="39"/>
      <c r="BY1101" s="39"/>
      <c r="BZ1101" s="39">
        <f t="shared" si="1057"/>
        <v>913</v>
      </c>
      <c r="CA1101" s="39">
        <f t="shared" si="1058"/>
        <v>-9</v>
      </c>
      <c r="CB1101" s="39">
        <f t="shared" si="1059"/>
        <v>0</v>
      </c>
      <c r="CC1101" s="39">
        <f t="shared" si="1060"/>
        <v>0</v>
      </c>
      <c r="CD1101" s="39">
        <v>0</v>
      </c>
      <c r="CE1101" s="47">
        <f t="shared" si="1062"/>
        <v>0</v>
      </c>
      <c r="CF1101" s="36"/>
      <c r="CG1101" s="39" t="s">
        <v>245</v>
      </c>
      <c r="CH1101" s="39"/>
      <c r="CI1101" s="25">
        <v>1</v>
      </c>
    </row>
    <row r="1102" spans="1:88" ht="24.75" customHeight="1">
      <c r="A1102" s="36" t="s">
        <v>46</v>
      </c>
      <c r="B1102" s="30">
        <v>47381</v>
      </c>
      <c r="C1102" s="231"/>
      <c r="D1102" s="23" t="s">
        <v>37</v>
      </c>
      <c r="E1102" s="39">
        <v>200</v>
      </c>
      <c r="F1102" s="39" t="s">
        <v>59</v>
      </c>
      <c r="G1102" s="36" t="s">
        <v>532</v>
      </c>
      <c r="H1102" s="36" t="s">
        <v>381</v>
      </c>
      <c r="I1102" s="39">
        <v>1124</v>
      </c>
      <c r="J1102" s="39"/>
      <c r="K1102" s="39"/>
      <c r="L1102" s="39">
        <f t="shared" si="1092"/>
        <v>1124</v>
      </c>
      <c r="M1102" s="117">
        <v>46122</v>
      </c>
      <c r="N1102" s="117">
        <v>46185</v>
      </c>
      <c r="O1102" s="39"/>
      <c r="P1102" s="39"/>
      <c r="Q1102" s="39"/>
      <c r="R1102" s="39">
        <f t="shared" si="1093"/>
        <v>0</v>
      </c>
      <c r="S1102" s="39" t="s">
        <v>590</v>
      </c>
      <c r="T1102" s="39">
        <v>107211</v>
      </c>
      <c r="U1102" s="117">
        <v>46197</v>
      </c>
      <c r="V1102" s="117" t="s">
        <v>730</v>
      </c>
      <c r="W1102" s="39">
        <f>310+888</f>
        <v>1198</v>
      </c>
      <c r="X1102" s="117">
        <v>46150</v>
      </c>
      <c r="Y1102" s="39">
        <f>1070+91</f>
        <v>1161</v>
      </c>
      <c r="Z1102" s="39"/>
      <c r="AA1102" s="39"/>
      <c r="AB1102" s="119">
        <f t="shared" si="1094"/>
        <v>1161</v>
      </c>
      <c r="AC1102" s="39" t="s">
        <v>139</v>
      </c>
      <c r="AD1102" s="117" t="s">
        <v>1175</v>
      </c>
      <c r="AE1102" s="39">
        <f>108+1045+52</f>
        <v>1205</v>
      </c>
      <c r="AF1102" s="117" t="s">
        <v>1332</v>
      </c>
      <c r="AG1102" s="39">
        <f>1041+35+49</f>
        <v>1125</v>
      </c>
      <c r="AH1102" s="39">
        <f t="shared" si="1051"/>
        <v>-80</v>
      </c>
      <c r="AI1102" s="39"/>
      <c r="AJ1102" s="39"/>
      <c r="AK1102" s="39"/>
      <c r="AL1102" s="39"/>
      <c r="AM1102" s="39"/>
      <c r="AN1102" s="39">
        <f t="shared" si="1047"/>
        <v>0</v>
      </c>
      <c r="AO1102" s="39"/>
      <c r="AP1102" s="39"/>
      <c r="AQ1102" s="39"/>
      <c r="AR1102" s="39"/>
      <c r="AS1102" s="39"/>
      <c r="AT1102" s="39">
        <f t="shared" si="1052"/>
        <v>0</v>
      </c>
      <c r="AU1102" s="39"/>
      <c r="AV1102" s="39"/>
      <c r="AW1102" s="39"/>
      <c r="AX1102" s="39"/>
      <c r="AY1102" s="39"/>
      <c r="AZ1102" s="39">
        <f t="shared" si="1053"/>
        <v>0</v>
      </c>
      <c r="BA1102" s="39"/>
      <c r="BB1102" s="39"/>
      <c r="BC1102" s="39"/>
      <c r="BD1102" s="39"/>
      <c r="BE1102" s="39"/>
      <c r="BF1102" s="39">
        <f t="shared" si="1054"/>
        <v>0</v>
      </c>
      <c r="BG1102" s="39"/>
      <c r="BH1102" s="39"/>
      <c r="BI1102" s="39"/>
      <c r="BJ1102" s="39"/>
      <c r="BK1102" s="39"/>
      <c r="BL1102" s="39">
        <f t="shared" si="1055"/>
        <v>0</v>
      </c>
      <c r="BM1102" s="54" t="str">
        <f t="shared" si="1056"/>
        <v/>
      </c>
      <c r="BN1102" s="59">
        <v>46186</v>
      </c>
      <c r="BO1102" s="57">
        <v>46189</v>
      </c>
      <c r="BP1102" s="57">
        <v>46148</v>
      </c>
      <c r="BQ1102" s="57">
        <v>46192</v>
      </c>
      <c r="BR1102" s="232"/>
      <c r="BS1102" s="232"/>
      <c r="BT1102" s="39" t="s">
        <v>1350</v>
      </c>
      <c r="BU1102" s="39">
        <f>1040+24</f>
        <v>1064</v>
      </c>
      <c r="BV1102" s="39"/>
      <c r="BW1102" s="39"/>
      <c r="BX1102" s="39"/>
      <c r="BY1102" s="39"/>
      <c r="BZ1102" s="39">
        <f t="shared" si="1057"/>
        <v>1064</v>
      </c>
      <c r="CA1102" s="39">
        <f t="shared" si="1058"/>
        <v>-60</v>
      </c>
      <c r="CB1102" s="39">
        <f t="shared" si="1059"/>
        <v>0</v>
      </c>
      <c r="CC1102" s="39">
        <f t="shared" si="1060"/>
        <v>0</v>
      </c>
      <c r="CD1102" s="39">
        <v>0</v>
      </c>
      <c r="CE1102" s="47">
        <f t="shared" si="1062"/>
        <v>0</v>
      </c>
      <c r="CF1102" s="36"/>
      <c r="CG1102" s="39" t="s">
        <v>245</v>
      </c>
      <c r="CH1102" s="39" t="s">
        <v>1218</v>
      </c>
      <c r="CI1102" s="25">
        <v>1</v>
      </c>
    </row>
    <row r="1103" spans="1:88" ht="24.75" customHeight="1">
      <c r="A1103" s="36" t="s">
        <v>46</v>
      </c>
      <c r="B1103" s="30">
        <v>47381</v>
      </c>
      <c r="C1103" s="231"/>
      <c r="D1103" s="23"/>
      <c r="E1103" s="39"/>
      <c r="F1103" s="39"/>
      <c r="G1103" s="36" t="s">
        <v>272</v>
      </c>
      <c r="H1103" s="36">
        <v>5500</v>
      </c>
      <c r="I1103" s="39" t="s">
        <v>90</v>
      </c>
      <c r="J1103" s="39"/>
      <c r="K1103" s="39"/>
      <c r="L1103" s="39">
        <f t="shared" si="1092"/>
        <v>0</v>
      </c>
      <c r="M1103" s="117">
        <v>46122</v>
      </c>
      <c r="N1103" s="117">
        <v>46185</v>
      </c>
      <c r="O1103" s="39"/>
      <c r="P1103" s="39"/>
      <c r="Q1103" s="39"/>
      <c r="R1103" s="39">
        <f t="shared" si="1093"/>
        <v>0</v>
      </c>
      <c r="S1103" s="39" t="s">
        <v>130</v>
      </c>
      <c r="T1103" s="39"/>
      <c r="U1103" s="39"/>
      <c r="V1103" s="39"/>
      <c r="W1103" s="39"/>
      <c r="X1103" s="39"/>
      <c r="Y1103" s="39"/>
      <c r="Z1103" s="39"/>
      <c r="AA1103" s="39"/>
      <c r="AB1103" s="39">
        <f t="shared" si="1094"/>
        <v>0</v>
      </c>
      <c r="AC1103" s="39"/>
      <c r="AD1103" s="39"/>
      <c r="AE1103" s="39"/>
      <c r="AF1103" s="39"/>
      <c r="AG1103" s="39"/>
      <c r="AH1103" s="39">
        <f t="shared" si="1051"/>
        <v>0</v>
      </c>
      <c r="AI1103" s="39"/>
      <c r="AJ1103" s="39"/>
      <c r="AK1103" s="39"/>
      <c r="AL1103" s="39"/>
      <c r="AM1103" s="39"/>
      <c r="AN1103" s="39">
        <f t="shared" si="1047"/>
        <v>0</v>
      </c>
      <c r="AO1103" s="39"/>
      <c r="AP1103" s="39"/>
      <c r="AQ1103" s="39"/>
      <c r="AR1103" s="39"/>
      <c r="AS1103" s="39"/>
      <c r="AT1103" s="39">
        <f t="shared" si="1052"/>
        <v>0</v>
      </c>
      <c r="AU1103" s="39"/>
      <c r="AV1103" s="39"/>
      <c r="AW1103" s="39"/>
      <c r="AX1103" s="39"/>
      <c r="AY1103" s="39"/>
      <c r="AZ1103" s="39">
        <f t="shared" si="1053"/>
        <v>0</v>
      </c>
      <c r="BA1103" s="39"/>
      <c r="BB1103" s="39"/>
      <c r="BC1103" s="39"/>
      <c r="BD1103" s="39"/>
      <c r="BE1103" s="39"/>
      <c r="BF1103" s="39">
        <f t="shared" si="1054"/>
        <v>0</v>
      </c>
      <c r="BG1103" s="39"/>
      <c r="BH1103" s="39"/>
      <c r="BI1103" s="39"/>
      <c r="BJ1103" s="39"/>
      <c r="BK1103" s="39"/>
      <c r="BL1103" s="39">
        <f t="shared" si="1055"/>
        <v>0</v>
      </c>
      <c r="BM1103" s="54" t="e">
        <f t="shared" si="1056"/>
        <v>#DIV/0!</v>
      </c>
      <c r="BN1103" s="59">
        <v>46186</v>
      </c>
      <c r="BO1103" s="57">
        <v>46189</v>
      </c>
      <c r="BP1103" s="57"/>
      <c r="BQ1103" s="57"/>
      <c r="BR1103" s="232"/>
      <c r="BS1103" s="232"/>
      <c r="BT1103" s="39"/>
      <c r="BU1103" s="39"/>
      <c r="BV1103" s="39"/>
      <c r="BW1103" s="39"/>
      <c r="BX1103" s="39"/>
      <c r="BY1103" s="39"/>
      <c r="BZ1103" s="39">
        <f t="shared" si="1057"/>
        <v>0</v>
      </c>
      <c r="CA1103" s="39" t="e">
        <f t="shared" si="1058"/>
        <v>#VALUE!</v>
      </c>
      <c r="CB1103" s="39">
        <f t="shared" si="1059"/>
        <v>0</v>
      </c>
      <c r="CC1103" s="39">
        <f t="shared" si="1060"/>
        <v>0</v>
      </c>
      <c r="CD1103" s="39">
        <f t="shared" si="1061"/>
        <v>0</v>
      </c>
      <c r="CE1103" s="47" t="e">
        <f t="shared" si="1062"/>
        <v>#DIV/0!</v>
      </c>
      <c r="CF1103" s="36"/>
      <c r="CG1103" s="39" t="s">
        <v>245</v>
      </c>
      <c r="CH1103" s="39"/>
      <c r="CI1103" s="25">
        <v>1</v>
      </c>
    </row>
    <row r="1104" spans="1:88" ht="24.75" customHeight="1">
      <c r="A1104" s="36" t="s">
        <v>46</v>
      </c>
      <c r="B1104" s="30">
        <v>47381</v>
      </c>
      <c r="C1104" s="228"/>
      <c r="D1104" s="23"/>
      <c r="E1104" s="39"/>
      <c r="F1104" s="39"/>
      <c r="G1104" s="36" t="s">
        <v>534</v>
      </c>
      <c r="H1104" s="36">
        <v>5500</v>
      </c>
      <c r="I1104" s="39" t="s">
        <v>90</v>
      </c>
      <c r="J1104" s="39"/>
      <c r="K1104" s="39"/>
      <c r="L1104" s="39">
        <f t="shared" si="1092"/>
        <v>0</v>
      </c>
      <c r="M1104" s="117">
        <v>46122</v>
      </c>
      <c r="N1104" s="117">
        <v>46185</v>
      </c>
      <c r="O1104" s="39"/>
      <c r="P1104" s="39"/>
      <c r="Q1104" s="39"/>
      <c r="R1104" s="39">
        <f t="shared" si="1093"/>
        <v>0</v>
      </c>
      <c r="S1104" s="39" t="s">
        <v>130</v>
      </c>
      <c r="T1104" s="39"/>
      <c r="U1104" s="39"/>
      <c r="V1104" s="39"/>
      <c r="W1104" s="39"/>
      <c r="X1104" s="39"/>
      <c r="Y1104" s="39"/>
      <c r="Z1104" s="39"/>
      <c r="AA1104" s="39"/>
      <c r="AB1104" s="39">
        <f t="shared" si="1094"/>
        <v>0</v>
      </c>
      <c r="AC1104" s="39"/>
      <c r="AD1104" s="39"/>
      <c r="AE1104" s="39"/>
      <c r="AF1104" s="39"/>
      <c r="AG1104" s="39"/>
      <c r="AH1104" s="39">
        <f t="shared" si="1051"/>
        <v>0</v>
      </c>
      <c r="AI1104" s="39"/>
      <c r="AJ1104" s="39"/>
      <c r="AK1104" s="39"/>
      <c r="AL1104" s="39"/>
      <c r="AM1104" s="39"/>
      <c r="AN1104" s="39">
        <f t="shared" si="1047"/>
        <v>0</v>
      </c>
      <c r="AO1104" s="39"/>
      <c r="AP1104" s="39"/>
      <c r="AQ1104" s="39"/>
      <c r="AR1104" s="39"/>
      <c r="AS1104" s="39"/>
      <c r="AT1104" s="39">
        <f t="shared" si="1052"/>
        <v>0</v>
      </c>
      <c r="AU1104" s="39"/>
      <c r="AV1104" s="39"/>
      <c r="AW1104" s="39"/>
      <c r="AX1104" s="39"/>
      <c r="AY1104" s="39"/>
      <c r="AZ1104" s="39">
        <f t="shared" si="1053"/>
        <v>0</v>
      </c>
      <c r="BA1104" s="39"/>
      <c r="BB1104" s="39"/>
      <c r="BC1104" s="39"/>
      <c r="BD1104" s="39"/>
      <c r="BE1104" s="39"/>
      <c r="BF1104" s="39">
        <f t="shared" si="1054"/>
        <v>0</v>
      </c>
      <c r="BG1104" s="39"/>
      <c r="BH1104" s="39"/>
      <c r="BI1104" s="39"/>
      <c r="BJ1104" s="39"/>
      <c r="BK1104" s="39"/>
      <c r="BL1104" s="39">
        <f t="shared" si="1055"/>
        <v>0</v>
      </c>
      <c r="BM1104" s="54" t="e">
        <f t="shared" si="1056"/>
        <v>#DIV/0!</v>
      </c>
      <c r="BN1104" s="59">
        <v>46186</v>
      </c>
      <c r="BO1104" s="57">
        <v>46189</v>
      </c>
      <c r="BP1104" s="57"/>
      <c r="BQ1104" s="57"/>
      <c r="BR1104" s="230"/>
      <c r="BS1104" s="230"/>
      <c r="BT1104" s="39"/>
      <c r="BU1104" s="39"/>
      <c r="BV1104" s="39"/>
      <c r="BW1104" s="39"/>
      <c r="BX1104" s="39"/>
      <c r="BY1104" s="39"/>
      <c r="BZ1104" s="39">
        <f>BU1104+BW1104+BY1104</f>
        <v>0</v>
      </c>
      <c r="CA1104" s="39" t="e">
        <f t="shared" si="1058"/>
        <v>#VALUE!</v>
      </c>
      <c r="CB1104" s="39">
        <f t="shared" si="1059"/>
        <v>0</v>
      </c>
      <c r="CC1104" s="39">
        <f t="shared" si="1060"/>
        <v>0</v>
      </c>
      <c r="CD1104" s="39">
        <f t="shared" si="1061"/>
        <v>0</v>
      </c>
      <c r="CE1104" s="47" t="e">
        <f t="shared" si="1062"/>
        <v>#DIV/0!</v>
      </c>
      <c r="CF1104" s="36"/>
      <c r="CG1104" s="39" t="s">
        <v>245</v>
      </c>
      <c r="CH1104" s="39"/>
      <c r="CI1104" s="25">
        <v>1</v>
      </c>
      <c r="CJ1104" s="6" t="s">
        <v>19</v>
      </c>
    </row>
    <row r="1105" spans="1:88" ht="24.75" customHeight="1">
      <c r="A1105" s="36" t="s">
        <v>46</v>
      </c>
      <c r="B1105" s="30">
        <v>47379</v>
      </c>
      <c r="C1105" s="227" t="s">
        <v>968</v>
      </c>
      <c r="D1105" s="23" t="s">
        <v>37</v>
      </c>
      <c r="E1105" s="39">
        <v>200</v>
      </c>
      <c r="F1105" s="39" t="s">
        <v>59</v>
      </c>
      <c r="G1105" s="36" t="s">
        <v>532</v>
      </c>
      <c r="H1105" s="36" t="s">
        <v>381</v>
      </c>
      <c r="I1105" s="39">
        <f>1554+41</f>
        <v>1595</v>
      </c>
      <c r="J1105" s="39"/>
      <c r="K1105" s="39"/>
      <c r="L1105" s="39">
        <f t="shared" si="1092"/>
        <v>1595</v>
      </c>
      <c r="M1105" s="117">
        <v>46122</v>
      </c>
      <c r="N1105" s="117">
        <v>46185</v>
      </c>
      <c r="O1105" s="39"/>
      <c r="P1105" s="39"/>
      <c r="Q1105" s="39"/>
      <c r="R1105" s="39">
        <f t="shared" ref="R1105:R1108" si="1095">SUM(O1105:Q1105)</f>
        <v>0</v>
      </c>
      <c r="S1105" s="39" t="s">
        <v>590</v>
      </c>
      <c r="T1105" s="39"/>
      <c r="U1105" s="39"/>
      <c r="V1105" s="117" t="s">
        <v>735</v>
      </c>
      <c r="W1105" s="39">
        <f>1480+278-33</f>
        <v>1725</v>
      </c>
      <c r="X1105" s="117" t="s">
        <v>1160</v>
      </c>
      <c r="Y1105" s="39">
        <f>750+764+39</f>
        <v>1553</v>
      </c>
      <c r="Z1105" s="39"/>
      <c r="AA1105" s="39"/>
      <c r="AB1105" s="120">
        <f t="shared" si="1094"/>
        <v>1553</v>
      </c>
      <c r="AC1105" s="39" t="s">
        <v>139</v>
      </c>
      <c r="AD1105" s="117" t="s">
        <v>1226</v>
      </c>
      <c r="AE1105" s="39">
        <f>754+764+26</f>
        <v>1544</v>
      </c>
      <c r="AF1105" s="117" t="s">
        <v>1333</v>
      </c>
      <c r="AG1105" s="39">
        <f>358+696+384+41+24</f>
        <v>1503</v>
      </c>
      <c r="AH1105" s="39">
        <f t="shared" si="1051"/>
        <v>-41</v>
      </c>
      <c r="AI1105" s="39"/>
      <c r="AJ1105" s="39"/>
      <c r="AK1105" s="39"/>
      <c r="AL1105" s="39"/>
      <c r="AM1105" s="39"/>
      <c r="AN1105" s="39">
        <f t="shared" si="1047"/>
        <v>0</v>
      </c>
      <c r="AO1105" s="39"/>
      <c r="AP1105" s="39"/>
      <c r="AQ1105" s="39"/>
      <c r="AR1105" s="39"/>
      <c r="AS1105" s="39"/>
      <c r="AT1105" s="39">
        <f t="shared" si="1052"/>
        <v>0</v>
      </c>
      <c r="AU1105" s="39"/>
      <c r="AV1105" s="39"/>
      <c r="AW1105" s="39"/>
      <c r="AX1105" s="39"/>
      <c r="AY1105" s="39"/>
      <c r="AZ1105" s="39">
        <f t="shared" si="1053"/>
        <v>0</v>
      </c>
      <c r="BA1105" s="39"/>
      <c r="BB1105" s="39"/>
      <c r="BC1105" s="39"/>
      <c r="BD1105" s="39"/>
      <c r="BE1105" s="39"/>
      <c r="BF1105" s="39">
        <f t="shared" si="1054"/>
        <v>0</v>
      </c>
      <c r="BG1105" s="39"/>
      <c r="BH1105" s="39"/>
      <c r="BI1105" s="39"/>
      <c r="BJ1105" s="39"/>
      <c r="BK1105" s="39"/>
      <c r="BL1105" s="39">
        <f t="shared" si="1055"/>
        <v>0</v>
      </c>
      <c r="BM1105" s="54" t="str">
        <f t="shared" si="1056"/>
        <v/>
      </c>
      <c r="BN1105" s="59">
        <v>46186</v>
      </c>
      <c r="BO1105" s="57">
        <v>46189</v>
      </c>
      <c r="BP1105" s="57">
        <v>46148</v>
      </c>
      <c r="BQ1105" s="57">
        <v>46192</v>
      </c>
      <c r="BR1105" s="229">
        <v>46192</v>
      </c>
      <c r="BS1105" s="229">
        <v>46206</v>
      </c>
      <c r="BT1105" s="39" t="s">
        <v>1349</v>
      </c>
      <c r="BU1105" s="39">
        <f>61+635+357+103+281+41+49</f>
        <v>1527</v>
      </c>
      <c r="BV1105" s="39"/>
      <c r="BW1105" s="39"/>
      <c r="BX1105" s="39"/>
      <c r="BY1105" s="39"/>
      <c r="BZ1105" s="39">
        <f t="shared" ref="BZ1105:BZ1107" si="1096">BU1105+BW1105+BY1105</f>
        <v>1527</v>
      </c>
      <c r="CA1105" s="39">
        <f t="shared" si="1058"/>
        <v>-68</v>
      </c>
      <c r="CB1105" s="39">
        <f t="shared" si="1059"/>
        <v>0</v>
      </c>
      <c r="CC1105" s="39">
        <f t="shared" si="1060"/>
        <v>0</v>
      </c>
      <c r="CD1105" s="39">
        <v>0</v>
      </c>
      <c r="CE1105" s="47">
        <f t="shared" si="1062"/>
        <v>0</v>
      </c>
      <c r="CF1105" s="36"/>
      <c r="CG1105" s="39" t="s">
        <v>245</v>
      </c>
      <c r="CH1105" s="39"/>
      <c r="CI1105" s="25">
        <v>1</v>
      </c>
    </row>
    <row r="1106" spans="1:88" ht="24.75" customHeight="1">
      <c r="A1106" s="36" t="s">
        <v>46</v>
      </c>
      <c r="B1106" s="30">
        <v>47379</v>
      </c>
      <c r="C1106" s="231"/>
      <c r="D1106" s="23"/>
      <c r="E1106" s="39">
        <v>200</v>
      </c>
      <c r="F1106" s="39" t="s">
        <v>59</v>
      </c>
      <c r="G1106" s="36" t="s">
        <v>418</v>
      </c>
      <c r="H1106" s="36" t="s">
        <v>381</v>
      </c>
      <c r="I1106" s="39">
        <v>29</v>
      </c>
      <c r="J1106" s="39"/>
      <c r="K1106" s="39"/>
      <c r="L1106" s="39">
        <f t="shared" si="1092"/>
        <v>29</v>
      </c>
      <c r="M1106" s="117">
        <v>46122</v>
      </c>
      <c r="N1106" s="117">
        <v>46185</v>
      </c>
      <c r="O1106" s="39"/>
      <c r="P1106" s="39"/>
      <c r="Q1106" s="39"/>
      <c r="R1106" s="39">
        <f t="shared" si="1095"/>
        <v>0</v>
      </c>
      <c r="S1106" s="39" t="s">
        <v>590</v>
      </c>
      <c r="T1106" s="39"/>
      <c r="U1106" s="39"/>
      <c r="V1106" s="117">
        <v>46144</v>
      </c>
      <c r="W1106" s="39">
        <v>33</v>
      </c>
      <c r="X1106" s="117">
        <v>46197</v>
      </c>
      <c r="Y1106" s="39">
        <v>28</v>
      </c>
      <c r="Z1106" s="39"/>
      <c r="AA1106" s="39"/>
      <c r="AB1106" s="120">
        <f t="shared" si="1094"/>
        <v>28</v>
      </c>
      <c r="AC1106" s="39"/>
      <c r="AD1106" s="39"/>
      <c r="AE1106" s="39"/>
      <c r="AF1106" s="39"/>
      <c r="AG1106" s="39"/>
      <c r="AH1106" s="39">
        <f t="shared" si="1051"/>
        <v>0</v>
      </c>
      <c r="AI1106" s="39"/>
      <c r="AJ1106" s="39"/>
      <c r="AK1106" s="39"/>
      <c r="AL1106" s="39"/>
      <c r="AM1106" s="39"/>
      <c r="AN1106" s="39">
        <f t="shared" si="1047"/>
        <v>0</v>
      </c>
      <c r="AO1106" s="39"/>
      <c r="AP1106" s="39"/>
      <c r="AQ1106" s="39"/>
      <c r="AR1106" s="39"/>
      <c r="AS1106" s="39"/>
      <c r="AT1106" s="39">
        <f t="shared" si="1052"/>
        <v>0</v>
      </c>
      <c r="AU1106" s="39"/>
      <c r="AV1106" s="39"/>
      <c r="AW1106" s="39"/>
      <c r="AX1106" s="39"/>
      <c r="AY1106" s="39"/>
      <c r="AZ1106" s="39">
        <f t="shared" si="1053"/>
        <v>0</v>
      </c>
      <c r="BA1106" s="39"/>
      <c r="BB1106" s="39"/>
      <c r="BC1106" s="39"/>
      <c r="BD1106" s="39"/>
      <c r="BE1106" s="39"/>
      <c r="BF1106" s="39">
        <f t="shared" si="1054"/>
        <v>0</v>
      </c>
      <c r="BG1106" s="39"/>
      <c r="BH1106" s="39"/>
      <c r="BI1106" s="39"/>
      <c r="BJ1106" s="39"/>
      <c r="BK1106" s="39"/>
      <c r="BL1106" s="39">
        <f t="shared" si="1055"/>
        <v>0</v>
      </c>
      <c r="BM1106" s="54" t="str">
        <f t="shared" si="1056"/>
        <v/>
      </c>
      <c r="BN1106" s="59">
        <v>46186</v>
      </c>
      <c r="BO1106" s="57">
        <v>46189</v>
      </c>
      <c r="BP1106" s="57"/>
      <c r="BQ1106" s="57"/>
      <c r="BR1106" s="232"/>
      <c r="BS1106" s="232"/>
      <c r="BT1106" s="39">
        <v>2126</v>
      </c>
      <c r="BU1106" s="39">
        <v>40</v>
      </c>
      <c r="BV1106" s="39"/>
      <c r="BW1106" s="39"/>
      <c r="BX1106" s="39"/>
      <c r="BY1106" s="39"/>
      <c r="BZ1106" s="39">
        <f t="shared" si="1096"/>
        <v>40</v>
      </c>
      <c r="CA1106" s="39">
        <f t="shared" si="1058"/>
        <v>11</v>
      </c>
      <c r="CB1106" s="39">
        <f t="shared" si="1059"/>
        <v>0</v>
      </c>
      <c r="CC1106" s="39">
        <f t="shared" si="1060"/>
        <v>0</v>
      </c>
      <c r="CD1106" s="39">
        <f t="shared" si="1061"/>
        <v>0</v>
      </c>
      <c r="CE1106" s="47">
        <f t="shared" si="1062"/>
        <v>0</v>
      </c>
      <c r="CF1106" s="36"/>
      <c r="CG1106" s="39" t="s">
        <v>245</v>
      </c>
      <c r="CH1106" s="39"/>
      <c r="CI1106" s="25">
        <v>1</v>
      </c>
    </row>
    <row r="1107" spans="1:88" ht="24.75" customHeight="1">
      <c r="A1107" s="36" t="s">
        <v>46</v>
      </c>
      <c r="B1107" s="30">
        <v>47379</v>
      </c>
      <c r="C1107" s="231"/>
      <c r="D1107" s="23"/>
      <c r="E1107" s="39"/>
      <c r="F1107" s="39"/>
      <c r="G1107" s="36" t="s">
        <v>272</v>
      </c>
      <c r="H1107" s="36">
        <v>3200</v>
      </c>
      <c r="I1107" s="39" t="s">
        <v>90</v>
      </c>
      <c r="J1107" s="39"/>
      <c r="K1107" s="39"/>
      <c r="L1107" s="39">
        <f t="shared" si="1092"/>
        <v>0</v>
      </c>
      <c r="M1107" s="117">
        <v>46122</v>
      </c>
      <c r="N1107" s="117">
        <v>46185</v>
      </c>
      <c r="O1107" s="39"/>
      <c r="P1107" s="39"/>
      <c r="Q1107" s="39"/>
      <c r="R1107" s="39">
        <f t="shared" si="1095"/>
        <v>0</v>
      </c>
      <c r="S1107" s="39" t="s">
        <v>130</v>
      </c>
      <c r="T1107" s="39"/>
      <c r="U1107" s="39"/>
      <c r="V1107" s="39"/>
      <c r="W1107" s="39"/>
      <c r="X1107" s="39"/>
      <c r="Y1107" s="39"/>
      <c r="Z1107" s="39"/>
      <c r="AA1107" s="39"/>
      <c r="AB1107" s="39">
        <f t="shared" si="1094"/>
        <v>0</v>
      </c>
      <c r="AC1107" s="39"/>
      <c r="AD1107" s="39"/>
      <c r="AE1107" s="39"/>
      <c r="AF1107" s="39"/>
      <c r="AG1107" s="39"/>
      <c r="AH1107" s="39">
        <f t="shared" si="1051"/>
        <v>0</v>
      </c>
      <c r="AI1107" s="39"/>
      <c r="AJ1107" s="39"/>
      <c r="AK1107" s="39"/>
      <c r="AL1107" s="39"/>
      <c r="AM1107" s="39"/>
      <c r="AN1107" s="39">
        <f t="shared" si="1047"/>
        <v>0</v>
      </c>
      <c r="AO1107" s="39"/>
      <c r="AP1107" s="39"/>
      <c r="AQ1107" s="39"/>
      <c r="AR1107" s="39"/>
      <c r="AS1107" s="39"/>
      <c r="AT1107" s="39">
        <f t="shared" si="1052"/>
        <v>0</v>
      </c>
      <c r="AU1107" s="39"/>
      <c r="AV1107" s="39"/>
      <c r="AW1107" s="39"/>
      <c r="AX1107" s="39"/>
      <c r="AY1107" s="39"/>
      <c r="AZ1107" s="39">
        <f t="shared" si="1053"/>
        <v>0</v>
      </c>
      <c r="BA1107" s="39"/>
      <c r="BB1107" s="39"/>
      <c r="BC1107" s="39"/>
      <c r="BD1107" s="39"/>
      <c r="BE1107" s="39"/>
      <c r="BF1107" s="39">
        <f t="shared" si="1054"/>
        <v>0</v>
      </c>
      <c r="BG1107" s="39"/>
      <c r="BH1107" s="39"/>
      <c r="BI1107" s="39"/>
      <c r="BJ1107" s="39"/>
      <c r="BK1107" s="39"/>
      <c r="BL1107" s="39">
        <f t="shared" si="1055"/>
        <v>0</v>
      </c>
      <c r="BM1107" s="54" t="e">
        <f t="shared" si="1056"/>
        <v>#DIV/0!</v>
      </c>
      <c r="BN1107" s="59">
        <v>46187</v>
      </c>
      <c r="BO1107" s="57">
        <v>46189</v>
      </c>
      <c r="BP1107" s="57"/>
      <c r="BQ1107" s="57"/>
      <c r="BR1107" s="232"/>
      <c r="BS1107" s="232"/>
      <c r="BT1107" s="39"/>
      <c r="BU1107" s="39"/>
      <c r="BV1107" s="39"/>
      <c r="BW1107" s="39"/>
      <c r="BX1107" s="39"/>
      <c r="BY1107" s="39"/>
      <c r="BZ1107" s="39">
        <f t="shared" si="1096"/>
        <v>0</v>
      </c>
      <c r="CA1107" s="39" t="e">
        <f t="shared" si="1058"/>
        <v>#VALUE!</v>
      </c>
      <c r="CB1107" s="39">
        <f t="shared" si="1059"/>
        <v>0</v>
      </c>
      <c r="CC1107" s="39">
        <f t="shared" si="1060"/>
        <v>0</v>
      </c>
      <c r="CD1107" s="39">
        <f t="shared" si="1061"/>
        <v>0</v>
      </c>
      <c r="CE1107" s="47" t="e">
        <f t="shared" si="1062"/>
        <v>#DIV/0!</v>
      </c>
      <c r="CF1107" s="36"/>
      <c r="CG1107" s="39" t="s">
        <v>245</v>
      </c>
      <c r="CH1107" s="39"/>
      <c r="CI1107" s="25">
        <v>1</v>
      </c>
    </row>
    <row r="1108" spans="1:88" ht="24.75" customHeight="1">
      <c r="A1108" s="36" t="s">
        <v>46</v>
      </c>
      <c r="B1108" s="30">
        <v>47379</v>
      </c>
      <c r="C1108" s="228"/>
      <c r="D1108" s="23"/>
      <c r="E1108" s="39"/>
      <c r="F1108" s="39"/>
      <c r="G1108" s="36" t="s">
        <v>533</v>
      </c>
      <c r="H1108" s="36">
        <v>1200</v>
      </c>
      <c r="I1108" s="39" t="s">
        <v>90</v>
      </c>
      <c r="J1108" s="39"/>
      <c r="K1108" s="39"/>
      <c r="L1108" s="39">
        <f t="shared" si="1092"/>
        <v>0</v>
      </c>
      <c r="M1108" s="117">
        <v>46122</v>
      </c>
      <c r="N1108" s="117">
        <v>46185</v>
      </c>
      <c r="O1108" s="39"/>
      <c r="P1108" s="39"/>
      <c r="Q1108" s="39"/>
      <c r="R1108" s="39">
        <f t="shared" si="1095"/>
        <v>0</v>
      </c>
      <c r="S1108" s="39" t="s">
        <v>130</v>
      </c>
      <c r="T1108" s="39"/>
      <c r="U1108" s="39"/>
      <c r="V1108" s="39"/>
      <c r="W1108" s="39"/>
      <c r="X1108" s="39"/>
      <c r="Y1108" s="39"/>
      <c r="Z1108" s="39"/>
      <c r="AA1108" s="39"/>
      <c r="AB1108" s="39">
        <f t="shared" si="1094"/>
        <v>0</v>
      </c>
      <c r="AC1108" s="39"/>
      <c r="AD1108" s="39"/>
      <c r="AE1108" s="39"/>
      <c r="AF1108" s="39"/>
      <c r="AG1108" s="39"/>
      <c r="AH1108" s="39">
        <f t="shared" si="1051"/>
        <v>0</v>
      </c>
      <c r="AI1108" s="39"/>
      <c r="AJ1108" s="39"/>
      <c r="AK1108" s="39"/>
      <c r="AL1108" s="39"/>
      <c r="AM1108" s="39"/>
      <c r="AN1108" s="39">
        <f t="shared" si="1047"/>
        <v>0</v>
      </c>
      <c r="AO1108" s="39"/>
      <c r="AP1108" s="39"/>
      <c r="AQ1108" s="39"/>
      <c r="AR1108" s="39"/>
      <c r="AS1108" s="39"/>
      <c r="AT1108" s="39">
        <f t="shared" si="1052"/>
        <v>0</v>
      </c>
      <c r="AU1108" s="39"/>
      <c r="AV1108" s="39"/>
      <c r="AW1108" s="39"/>
      <c r="AX1108" s="39"/>
      <c r="AY1108" s="39"/>
      <c r="AZ1108" s="39">
        <f t="shared" si="1053"/>
        <v>0</v>
      </c>
      <c r="BA1108" s="39"/>
      <c r="BB1108" s="39"/>
      <c r="BC1108" s="39"/>
      <c r="BD1108" s="39"/>
      <c r="BE1108" s="39"/>
      <c r="BF1108" s="39">
        <f t="shared" si="1054"/>
        <v>0</v>
      </c>
      <c r="BG1108" s="39"/>
      <c r="BH1108" s="39"/>
      <c r="BI1108" s="39"/>
      <c r="BJ1108" s="39"/>
      <c r="BK1108" s="39"/>
      <c r="BL1108" s="39">
        <f t="shared" si="1055"/>
        <v>0</v>
      </c>
      <c r="BM1108" s="54" t="e">
        <f t="shared" si="1056"/>
        <v>#DIV/0!</v>
      </c>
      <c r="BN1108" s="59">
        <v>46188</v>
      </c>
      <c r="BO1108" s="57">
        <v>46189</v>
      </c>
      <c r="BP1108" s="57"/>
      <c r="BQ1108" s="57"/>
      <c r="BR1108" s="230"/>
      <c r="BS1108" s="230"/>
      <c r="BT1108" s="39"/>
      <c r="BU1108" s="39"/>
      <c r="BV1108" s="39"/>
      <c r="BW1108" s="39"/>
      <c r="BX1108" s="39"/>
      <c r="BY1108" s="39"/>
      <c r="BZ1108" s="39">
        <f>BU1108+BW1108+BY1108</f>
        <v>0</v>
      </c>
      <c r="CA1108" s="39" t="e">
        <f t="shared" si="1058"/>
        <v>#VALUE!</v>
      </c>
      <c r="CB1108" s="39">
        <f t="shared" si="1059"/>
        <v>0</v>
      </c>
      <c r="CC1108" s="39">
        <f t="shared" si="1060"/>
        <v>0</v>
      </c>
      <c r="CD1108" s="39">
        <f t="shared" si="1061"/>
        <v>0</v>
      </c>
      <c r="CE1108" s="47" t="e">
        <f t="shared" si="1062"/>
        <v>#DIV/0!</v>
      </c>
      <c r="CF1108" s="36"/>
      <c r="CG1108" s="39" t="s">
        <v>245</v>
      </c>
      <c r="CH1108" s="39"/>
      <c r="CI1108" s="25">
        <v>1</v>
      </c>
      <c r="CJ1108" s="6" t="s">
        <v>19</v>
      </c>
    </row>
    <row r="1109" spans="1:88" ht="24.75" customHeight="1">
      <c r="A1109" s="36" t="s">
        <v>46</v>
      </c>
      <c r="B1109" s="30"/>
      <c r="C1109" s="36"/>
      <c r="D1109" s="23"/>
      <c r="E1109" s="39"/>
      <c r="F1109" s="39"/>
      <c r="G1109" s="36"/>
      <c r="H1109" s="39"/>
      <c r="I1109" s="39"/>
      <c r="J1109" s="39"/>
      <c r="K1109" s="39"/>
      <c r="L1109" s="39">
        <f t="shared" ref="L1109:L1116" si="1097">SUM(I1109:K1109)</f>
        <v>0</v>
      </c>
      <c r="M1109" s="39"/>
      <c r="N1109" s="39"/>
      <c r="O1109" s="39"/>
      <c r="P1109" s="39"/>
      <c r="Q1109" s="39"/>
      <c r="R1109" s="39">
        <f t="shared" ref="R1109:R1116" si="1098">SUM(O1109:Q1109)</f>
        <v>0</v>
      </c>
      <c r="S1109" s="39"/>
      <c r="T1109" s="39"/>
      <c r="U1109" s="39"/>
      <c r="V1109" s="39"/>
      <c r="W1109" s="39"/>
      <c r="X1109" s="39"/>
      <c r="Y1109" s="39"/>
      <c r="Z1109" s="39"/>
      <c r="AA1109" s="39"/>
      <c r="AB1109" s="39">
        <f t="shared" ref="AB1109:AB1116" si="1099">SUM(Y1109:AA1109)</f>
        <v>0</v>
      </c>
      <c r="AC1109" s="39"/>
      <c r="AD1109" s="39"/>
      <c r="AE1109" s="39"/>
      <c r="AF1109" s="39"/>
      <c r="AG1109" s="39"/>
      <c r="AH1109" s="39">
        <f t="shared" si="1051"/>
        <v>0</v>
      </c>
      <c r="AI1109" s="39"/>
      <c r="AJ1109" s="39"/>
      <c r="AK1109" s="39"/>
      <c r="AL1109" s="39"/>
      <c r="AM1109" s="39"/>
      <c r="AN1109" s="39">
        <f t="shared" si="1047"/>
        <v>0</v>
      </c>
      <c r="AO1109" s="39"/>
      <c r="AP1109" s="39"/>
      <c r="AQ1109" s="39"/>
      <c r="AR1109" s="39"/>
      <c r="AS1109" s="39"/>
      <c r="AT1109" s="39">
        <f t="shared" si="974"/>
        <v>0</v>
      </c>
      <c r="AU1109" s="39"/>
      <c r="AV1109" s="39"/>
      <c r="AW1109" s="39"/>
      <c r="AX1109" s="39"/>
      <c r="AY1109" s="39"/>
      <c r="AZ1109" s="39">
        <f t="shared" si="975"/>
        <v>0</v>
      </c>
      <c r="BA1109" s="39"/>
      <c r="BB1109" s="39"/>
      <c r="BC1109" s="39"/>
      <c r="BD1109" s="39"/>
      <c r="BE1109" s="39"/>
      <c r="BF1109" s="39">
        <f t="shared" si="976"/>
        <v>0</v>
      </c>
      <c r="BG1109" s="39"/>
      <c r="BH1109" s="39"/>
      <c r="BI1109" s="39"/>
      <c r="BJ1109" s="39"/>
      <c r="BK1109" s="39"/>
      <c r="BL1109" s="39">
        <f t="shared" si="1055"/>
        <v>0</v>
      </c>
      <c r="BM1109" s="54" t="e">
        <f t="shared" si="977"/>
        <v>#DIV/0!</v>
      </c>
      <c r="BN1109" s="65"/>
      <c r="BO1109" s="36"/>
      <c r="BP1109" s="36"/>
      <c r="BQ1109" s="36"/>
      <c r="BR1109" s="40"/>
      <c r="BS1109" s="40"/>
      <c r="BT1109" s="39"/>
      <c r="BU1109" s="39"/>
      <c r="BV1109" s="39"/>
      <c r="BW1109" s="39"/>
      <c r="BX1109" s="39"/>
      <c r="BY1109" s="39"/>
      <c r="BZ1109" s="39">
        <f t="shared" si="1057"/>
        <v>0</v>
      </c>
      <c r="CA1109" s="39">
        <f t="shared" si="978"/>
        <v>0</v>
      </c>
      <c r="CB1109" s="39">
        <f t="shared" si="979"/>
        <v>0</v>
      </c>
      <c r="CC1109" s="39">
        <f t="shared" si="980"/>
        <v>0</v>
      </c>
      <c r="CD1109" s="39">
        <f t="shared" si="1061"/>
        <v>0</v>
      </c>
      <c r="CE1109" s="47" t="e">
        <f t="shared" si="981"/>
        <v>#DIV/0!</v>
      </c>
      <c r="CF1109" s="36"/>
      <c r="CG1109" s="39"/>
      <c r="CH1109" s="39"/>
      <c r="CI1109" s="25">
        <v>2</v>
      </c>
    </row>
    <row r="1110" spans="1:88" ht="24.75" customHeight="1">
      <c r="A1110" s="36" t="s">
        <v>46</v>
      </c>
      <c r="B1110" s="30"/>
      <c r="C1110" s="36"/>
      <c r="D1110" s="23"/>
      <c r="E1110" s="39"/>
      <c r="F1110" s="39"/>
      <c r="G1110" s="36"/>
      <c r="H1110" s="39"/>
      <c r="I1110" s="39"/>
      <c r="J1110" s="39"/>
      <c r="K1110" s="39"/>
      <c r="L1110" s="39">
        <f t="shared" si="1097"/>
        <v>0</v>
      </c>
      <c r="M1110" s="39"/>
      <c r="N1110" s="39"/>
      <c r="O1110" s="39"/>
      <c r="P1110" s="39"/>
      <c r="Q1110" s="39"/>
      <c r="R1110" s="39">
        <f t="shared" si="1098"/>
        <v>0</v>
      </c>
      <c r="S1110" s="39"/>
      <c r="T1110" s="39"/>
      <c r="U1110" s="39"/>
      <c r="V1110" s="39"/>
      <c r="W1110" s="39"/>
      <c r="X1110" s="39"/>
      <c r="Y1110" s="39"/>
      <c r="Z1110" s="39"/>
      <c r="AA1110" s="39"/>
      <c r="AB1110" s="39">
        <f t="shared" si="1099"/>
        <v>0</v>
      </c>
      <c r="AC1110" s="39"/>
      <c r="AD1110" s="39"/>
      <c r="AE1110" s="39"/>
      <c r="AF1110" s="39"/>
      <c r="AG1110" s="39"/>
      <c r="AH1110" s="39">
        <f t="shared" si="1051"/>
        <v>0</v>
      </c>
      <c r="AI1110" s="39"/>
      <c r="AJ1110" s="39"/>
      <c r="AK1110" s="39"/>
      <c r="AL1110" s="39"/>
      <c r="AM1110" s="39"/>
      <c r="AN1110" s="39">
        <f t="shared" si="1047"/>
        <v>0</v>
      </c>
      <c r="AO1110" s="39"/>
      <c r="AP1110" s="39"/>
      <c r="AQ1110" s="39"/>
      <c r="AR1110" s="39"/>
      <c r="AS1110" s="39"/>
      <c r="AT1110" s="39">
        <f t="shared" si="974"/>
        <v>0</v>
      </c>
      <c r="AU1110" s="39"/>
      <c r="AV1110" s="39"/>
      <c r="AW1110" s="39"/>
      <c r="AX1110" s="39"/>
      <c r="AY1110" s="39"/>
      <c r="AZ1110" s="39">
        <f t="shared" si="975"/>
        <v>0</v>
      </c>
      <c r="BA1110" s="39"/>
      <c r="BB1110" s="39"/>
      <c r="BC1110" s="39"/>
      <c r="BD1110" s="39"/>
      <c r="BE1110" s="39"/>
      <c r="BF1110" s="39">
        <f t="shared" si="976"/>
        <v>0</v>
      </c>
      <c r="BG1110" s="39"/>
      <c r="BH1110" s="39"/>
      <c r="BI1110" s="39"/>
      <c r="BJ1110" s="39"/>
      <c r="BK1110" s="39"/>
      <c r="BL1110" s="39">
        <f t="shared" si="1055"/>
        <v>0</v>
      </c>
      <c r="BM1110" s="54" t="e">
        <f t="shared" si="977"/>
        <v>#DIV/0!</v>
      </c>
      <c r="BN1110" s="65"/>
      <c r="BO1110" s="36"/>
      <c r="BP1110" s="36"/>
      <c r="BQ1110" s="36"/>
      <c r="BR1110" s="40"/>
      <c r="BS1110" s="40"/>
      <c r="BT1110" s="39"/>
      <c r="BU1110" s="39"/>
      <c r="BV1110" s="39"/>
      <c r="BW1110" s="39"/>
      <c r="BX1110" s="39"/>
      <c r="BY1110" s="39"/>
      <c r="BZ1110" s="39">
        <f t="shared" si="1057"/>
        <v>0</v>
      </c>
      <c r="CA1110" s="39">
        <f t="shared" si="978"/>
        <v>0</v>
      </c>
      <c r="CB1110" s="39">
        <f t="shared" si="979"/>
        <v>0</v>
      </c>
      <c r="CC1110" s="39">
        <f t="shared" si="980"/>
        <v>0</v>
      </c>
      <c r="CD1110" s="39">
        <f t="shared" si="1061"/>
        <v>0</v>
      </c>
      <c r="CE1110" s="47" t="e">
        <f t="shared" si="981"/>
        <v>#DIV/0!</v>
      </c>
      <c r="CF1110" s="36"/>
      <c r="CG1110" s="39"/>
      <c r="CH1110" s="39"/>
      <c r="CI1110" s="25">
        <v>2</v>
      </c>
    </row>
    <row r="1111" spans="1:88" ht="24.75" customHeight="1">
      <c r="A1111" s="36" t="s">
        <v>46</v>
      </c>
      <c r="B1111" s="30"/>
      <c r="C1111" s="36"/>
      <c r="D1111" s="23"/>
      <c r="E1111" s="39"/>
      <c r="F1111" s="39"/>
      <c r="G1111" s="36"/>
      <c r="H1111" s="39"/>
      <c r="I1111" s="39"/>
      <c r="J1111" s="39"/>
      <c r="K1111" s="39"/>
      <c r="L1111" s="39">
        <f t="shared" si="1097"/>
        <v>0</v>
      </c>
      <c r="M1111" s="39"/>
      <c r="N1111" s="39"/>
      <c r="O1111" s="39"/>
      <c r="P1111" s="39"/>
      <c r="Q1111" s="39"/>
      <c r="R1111" s="39">
        <f t="shared" si="1098"/>
        <v>0</v>
      </c>
      <c r="S1111" s="39"/>
      <c r="T1111" s="39"/>
      <c r="U1111" s="39"/>
      <c r="V1111" s="39"/>
      <c r="W1111" s="39"/>
      <c r="X1111" s="39"/>
      <c r="Y1111" s="39"/>
      <c r="Z1111" s="39"/>
      <c r="AA1111" s="39"/>
      <c r="AB1111" s="39">
        <f t="shared" si="1099"/>
        <v>0</v>
      </c>
      <c r="AC1111" s="39"/>
      <c r="AD1111" s="39"/>
      <c r="AE1111" s="39"/>
      <c r="AF1111" s="39"/>
      <c r="AG1111" s="39"/>
      <c r="AH1111" s="39">
        <f t="shared" si="1051"/>
        <v>0</v>
      </c>
      <c r="AI1111" s="39"/>
      <c r="AJ1111" s="39"/>
      <c r="AK1111" s="39"/>
      <c r="AL1111" s="39"/>
      <c r="AM1111" s="39"/>
      <c r="AN1111" s="39">
        <f t="shared" si="1047"/>
        <v>0</v>
      </c>
      <c r="AO1111" s="39"/>
      <c r="AP1111" s="39"/>
      <c r="AQ1111" s="39"/>
      <c r="AR1111" s="39"/>
      <c r="AS1111" s="39"/>
      <c r="AT1111" s="39">
        <f t="shared" si="974"/>
        <v>0</v>
      </c>
      <c r="AU1111" s="39"/>
      <c r="AV1111" s="39"/>
      <c r="AW1111" s="39"/>
      <c r="AX1111" s="39"/>
      <c r="AY1111" s="39"/>
      <c r="AZ1111" s="39">
        <f t="shared" si="975"/>
        <v>0</v>
      </c>
      <c r="BA1111" s="39"/>
      <c r="BB1111" s="39"/>
      <c r="BC1111" s="39"/>
      <c r="BD1111" s="39"/>
      <c r="BE1111" s="39"/>
      <c r="BF1111" s="39">
        <f t="shared" si="976"/>
        <v>0</v>
      </c>
      <c r="BG1111" s="39"/>
      <c r="BH1111" s="39"/>
      <c r="BI1111" s="39"/>
      <c r="BJ1111" s="39"/>
      <c r="BK1111" s="39"/>
      <c r="BL1111" s="39">
        <f t="shared" si="1055"/>
        <v>0</v>
      </c>
      <c r="BM1111" s="54" t="e">
        <f t="shared" si="977"/>
        <v>#DIV/0!</v>
      </c>
      <c r="BN1111" s="65"/>
      <c r="BO1111" s="36"/>
      <c r="BP1111" s="36"/>
      <c r="BQ1111" s="36"/>
      <c r="BR1111" s="40"/>
      <c r="BS1111" s="40"/>
      <c r="BT1111" s="39"/>
      <c r="BU1111" s="39"/>
      <c r="BV1111" s="39"/>
      <c r="BW1111" s="39"/>
      <c r="BX1111" s="39"/>
      <c r="BY1111" s="39"/>
      <c r="BZ1111" s="39">
        <f t="shared" si="1057"/>
        <v>0</v>
      </c>
      <c r="CA1111" s="39">
        <f t="shared" si="978"/>
        <v>0</v>
      </c>
      <c r="CB1111" s="39">
        <f t="shared" si="979"/>
        <v>0</v>
      </c>
      <c r="CC1111" s="39">
        <f t="shared" si="980"/>
        <v>0</v>
      </c>
      <c r="CD1111" s="39">
        <f t="shared" si="1061"/>
        <v>0</v>
      </c>
      <c r="CE1111" s="47" t="e">
        <f t="shared" si="981"/>
        <v>#DIV/0!</v>
      </c>
      <c r="CF1111" s="36"/>
      <c r="CG1111" s="39"/>
      <c r="CH1111" s="39"/>
      <c r="CI1111" s="25">
        <v>2</v>
      </c>
    </row>
    <row r="1112" spans="1:88" ht="24.75" customHeight="1">
      <c r="A1112" s="36" t="s">
        <v>46</v>
      </c>
      <c r="B1112" s="30"/>
      <c r="C1112" s="36"/>
      <c r="D1112" s="23"/>
      <c r="E1112" s="39"/>
      <c r="F1112" s="39"/>
      <c r="G1112" s="36"/>
      <c r="H1112" s="39"/>
      <c r="I1112" s="39"/>
      <c r="J1112" s="39"/>
      <c r="K1112" s="39"/>
      <c r="L1112" s="39">
        <f t="shared" si="1097"/>
        <v>0</v>
      </c>
      <c r="M1112" s="39"/>
      <c r="N1112" s="39"/>
      <c r="O1112" s="39"/>
      <c r="P1112" s="39"/>
      <c r="Q1112" s="39"/>
      <c r="R1112" s="39">
        <f t="shared" si="1098"/>
        <v>0</v>
      </c>
      <c r="S1112" s="39"/>
      <c r="T1112" s="39"/>
      <c r="U1112" s="39"/>
      <c r="V1112" s="39"/>
      <c r="W1112" s="39"/>
      <c r="X1112" s="39"/>
      <c r="Y1112" s="39"/>
      <c r="Z1112" s="39"/>
      <c r="AA1112" s="39"/>
      <c r="AB1112" s="39">
        <f t="shared" si="1099"/>
        <v>0</v>
      </c>
      <c r="AC1112" s="39"/>
      <c r="AD1112" s="39"/>
      <c r="AE1112" s="39"/>
      <c r="AF1112" s="39"/>
      <c r="AG1112" s="39"/>
      <c r="AH1112" s="39">
        <f t="shared" si="1051"/>
        <v>0</v>
      </c>
      <c r="AI1112" s="39"/>
      <c r="AJ1112" s="39"/>
      <c r="AK1112" s="39"/>
      <c r="AL1112" s="39"/>
      <c r="AM1112" s="39"/>
      <c r="AN1112" s="39">
        <f t="shared" si="1047"/>
        <v>0</v>
      </c>
      <c r="AO1112" s="39"/>
      <c r="AP1112" s="39"/>
      <c r="AQ1112" s="39"/>
      <c r="AR1112" s="39"/>
      <c r="AS1112" s="39"/>
      <c r="AT1112" s="39">
        <f t="shared" si="974"/>
        <v>0</v>
      </c>
      <c r="AU1112" s="39"/>
      <c r="AV1112" s="39"/>
      <c r="AW1112" s="39"/>
      <c r="AX1112" s="39"/>
      <c r="AY1112" s="39"/>
      <c r="AZ1112" s="39">
        <f t="shared" si="975"/>
        <v>0</v>
      </c>
      <c r="BA1112" s="39"/>
      <c r="BB1112" s="39"/>
      <c r="BC1112" s="39"/>
      <c r="BD1112" s="39"/>
      <c r="BE1112" s="39"/>
      <c r="BF1112" s="39">
        <f t="shared" si="976"/>
        <v>0</v>
      </c>
      <c r="BG1112" s="39"/>
      <c r="BH1112" s="39"/>
      <c r="BI1112" s="39"/>
      <c r="BJ1112" s="39"/>
      <c r="BK1112" s="39"/>
      <c r="BL1112" s="39">
        <f t="shared" si="1055"/>
        <v>0</v>
      </c>
      <c r="BM1112" s="54" t="e">
        <f t="shared" si="977"/>
        <v>#DIV/0!</v>
      </c>
      <c r="BN1112" s="65"/>
      <c r="BO1112" s="36"/>
      <c r="BP1112" s="36"/>
      <c r="BQ1112" s="36"/>
      <c r="BR1112" s="40"/>
      <c r="BS1112" s="40"/>
      <c r="BT1112" s="39"/>
      <c r="BU1112" s="39"/>
      <c r="BV1112" s="39"/>
      <c r="BW1112" s="39"/>
      <c r="BX1112" s="39"/>
      <c r="BY1112" s="39"/>
      <c r="BZ1112" s="39">
        <f t="shared" si="1057"/>
        <v>0</v>
      </c>
      <c r="CA1112" s="39">
        <f t="shared" si="978"/>
        <v>0</v>
      </c>
      <c r="CB1112" s="39">
        <f t="shared" si="979"/>
        <v>0</v>
      </c>
      <c r="CC1112" s="39">
        <f t="shared" si="980"/>
        <v>0</v>
      </c>
      <c r="CD1112" s="39">
        <f t="shared" si="1061"/>
        <v>0</v>
      </c>
      <c r="CE1112" s="47" t="e">
        <f t="shared" si="981"/>
        <v>#DIV/0!</v>
      </c>
      <c r="CF1112" s="36"/>
      <c r="CG1112" s="39"/>
      <c r="CH1112" s="39"/>
      <c r="CI1112" s="25">
        <v>2</v>
      </c>
    </row>
    <row r="1113" spans="1:88" ht="24.75" customHeight="1">
      <c r="A1113" s="36" t="s">
        <v>46</v>
      </c>
      <c r="B1113" s="30"/>
      <c r="C1113" s="36"/>
      <c r="D1113" s="23"/>
      <c r="E1113" s="39"/>
      <c r="F1113" s="39"/>
      <c r="G1113" s="36"/>
      <c r="H1113" s="39"/>
      <c r="I1113" s="39"/>
      <c r="J1113" s="39"/>
      <c r="K1113" s="39"/>
      <c r="L1113" s="39">
        <f t="shared" si="1097"/>
        <v>0</v>
      </c>
      <c r="M1113" s="39"/>
      <c r="N1113" s="39"/>
      <c r="O1113" s="39"/>
      <c r="P1113" s="39"/>
      <c r="Q1113" s="39"/>
      <c r="R1113" s="39">
        <f t="shared" si="1098"/>
        <v>0</v>
      </c>
      <c r="S1113" s="39"/>
      <c r="T1113" s="39"/>
      <c r="U1113" s="39"/>
      <c r="V1113" s="39"/>
      <c r="W1113" s="39"/>
      <c r="X1113" s="39"/>
      <c r="Y1113" s="39"/>
      <c r="Z1113" s="39"/>
      <c r="AA1113" s="39"/>
      <c r="AB1113" s="39">
        <f t="shared" si="1099"/>
        <v>0</v>
      </c>
      <c r="AC1113" s="39"/>
      <c r="AD1113" s="39"/>
      <c r="AE1113" s="39"/>
      <c r="AF1113" s="39"/>
      <c r="AG1113" s="39"/>
      <c r="AH1113" s="39">
        <f t="shared" si="1051"/>
        <v>0</v>
      </c>
      <c r="AI1113" s="39"/>
      <c r="AJ1113" s="39"/>
      <c r="AK1113" s="39"/>
      <c r="AL1113" s="39"/>
      <c r="AM1113" s="39"/>
      <c r="AN1113" s="39">
        <f t="shared" si="1047"/>
        <v>0</v>
      </c>
      <c r="AO1113" s="39"/>
      <c r="AP1113" s="39"/>
      <c r="AQ1113" s="39"/>
      <c r="AR1113" s="39"/>
      <c r="AS1113" s="39"/>
      <c r="AT1113" s="39">
        <f t="shared" si="974"/>
        <v>0</v>
      </c>
      <c r="AU1113" s="39"/>
      <c r="AV1113" s="39"/>
      <c r="AW1113" s="39"/>
      <c r="AX1113" s="39"/>
      <c r="AY1113" s="39"/>
      <c r="AZ1113" s="39">
        <f t="shared" si="975"/>
        <v>0</v>
      </c>
      <c r="BA1113" s="39"/>
      <c r="BB1113" s="39"/>
      <c r="BC1113" s="39"/>
      <c r="BD1113" s="39"/>
      <c r="BE1113" s="39"/>
      <c r="BF1113" s="39">
        <f t="shared" si="976"/>
        <v>0</v>
      </c>
      <c r="BG1113" s="39"/>
      <c r="BH1113" s="39"/>
      <c r="BI1113" s="39"/>
      <c r="BJ1113" s="39"/>
      <c r="BK1113" s="39"/>
      <c r="BL1113" s="39">
        <f t="shared" si="1055"/>
        <v>0</v>
      </c>
      <c r="BM1113" s="54" t="e">
        <f t="shared" si="977"/>
        <v>#DIV/0!</v>
      </c>
      <c r="BN1113" s="65"/>
      <c r="BO1113" s="36"/>
      <c r="BP1113" s="36"/>
      <c r="BQ1113" s="36"/>
      <c r="BR1113" s="40"/>
      <c r="BS1113" s="40"/>
      <c r="BT1113" s="39"/>
      <c r="BU1113" s="39"/>
      <c r="BV1113" s="39"/>
      <c r="BW1113" s="39"/>
      <c r="BX1113" s="39"/>
      <c r="BY1113" s="39"/>
      <c r="BZ1113" s="39">
        <f t="shared" si="1057"/>
        <v>0</v>
      </c>
      <c r="CA1113" s="39">
        <f t="shared" si="978"/>
        <v>0</v>
      </c>
      <c r="CB1113" s="39">
        <f t="shared" si="979"/>
        <v>0</v>
      </c>
      <c r="CC1113" s="39">
        <f t="shared" si="980"/>
        <v>0</v>
      </c>
      <c r="CD1113" s="39">
        <f t="shared" si="1061"/>
        <v>0</v>
      </c>
      <c r="CE1113" s="47" t="e">
        <f t="shared" si="981"/>
        <v>#DIV/0!</v>
      </c>
      <c r="CF1113" s="36"/>
      <c r="CG1113" s="39"/>
      <c r="CH1113" s="39"/>
      <c r="CI1113" s="25">
        <v>2</v>
      </c>
    </row>
    <row r="1114" spans="1:88" ht="24.75" customHeight="1">
      <c r="A1114" s="36" t="s">
        <v>46</v>
      </c>
      <c r="B1114" s="30"/>
      <c r="C1114" s="36"/>
      <c r="D1114" s="23"/>
      <c r="E1114" s="39"/>
      <c r="F1114" s="39"/>
      <c r="G1114" s="36"/>
      <c r="H1114" s="39"/>
      <c r="I1114" s="39"/>
      <c r="J1114" s="39"/>
      <c r="K1114" s="39"/>
      <c r="L1114" s="39">
        <f t="shared" si="1097"/>
        <v>0</v>
      </c>
      <c r="M1114" s="39"/>
      <c r="N1114" s="39"/>
      <c r="O1114" s="39"/>
      <c r="P1114" s="39"/>
      <c r="Q1114" s="39"/>
      <c r="R1114" s="39">
        <f t="shared" si="1098"/>
        <v>0</v>
      </c>
      <c r="S1114" s="39"/>
      <c r="T1114" s="39"/>
      <c r="U1114" s="39"/>
      <c r="V1114" s="39"/>
      <c r="W1114" s="39"/>
      <c r="X1114" s="39"/>
      <c r="Y1114" s="39"/>
      <c r="Z1114" s="39"/>
      <c r="AA1114" s="39"/>
      <c r="AB1114" s="39">
        <f t="shared" si="1099"/>
        <v>0</v>
      </c>
      <c r="AC1114" s="39"/>
      <c r="AD1114" s="39"/>
      <c r="AE1114" s="39"/>
      <c r="AF1114" s="39"/>
      <c r="AG1114" s="39"/>
      <c r="AH1114" s="39">
        <f t="shared" si="1051"/>
        <v>0</v>
      </c>
      <c r="AI1114" s="39"/>
      <c r="AJ1114" s="39"/>
      <c r="AK1114" s="39"/>
      <c r="AL1114" s="39"/>
      <c r="AM1114" s="39"/>
      <c r="AN1114" s="39">
        <f t="shared" si="1047"/>
        <v>0</v>
      </c>
      <c r="AO1114" s="39"/>
      <c r="AP1114" s="39"/>
      <c r="AQ1114" s="39"/>
      <c r="AR1114" s="39"/>
      <c r="AS1114" s="39"/>
      <c r="AT1114" s="39">
        <f t="shared" si="974"/>
        <v>0</v>
      </c>
      <c r="AU1114" s="39"/>
      <c r="AV1114" s="39"/>
      <c r="AW1114" s="39"/>
      <c r="AX1114" s="39"/>
      <c r="AY1114" s="39"/>
      <c r="AZ1114" s="39">
        <f t="shared" si="975"/>
        <v>0</v>
      </c>
      <c r="BA1114" s="39"/>
      <c r="BB1114" s="39"/>
      <c r="BC1114" s="39"/>
      <c r="BD1114" s="39"/>
      <c r="BE1114" s="39"/>
      <c r="BF1114" s="39">
        <f t="shared" si="976"/>
        <v>0</v>
      </c>
      <c r="BG1114" s="39"/>
      <c r="BH1114" s="39"/>
      <c r="BI1114" s="39"/>
      <c r="BJ1114" s="39"/>
      <c r="BK1114" s="39"/>
      <c r="BL1114" s="39">
        <f t="shared" si="1055"/>
        <v>0</v>
      </c>
      <c r="BM1114" s="54" t="e">
        <f t="shared" si="977"/>
        <v>#DIV/0!</v>
      </c>
      <c r="BN1114" s="65"/>
      <c r="BO1114" s="36"/>
      <c r="BP1114" s="36"/>
      <c r="BQ1114" s="36"/>
      <c r="BR1114" s="40"/>
      <c r="BS1114" s="40"/>
      <c r="BT1114" s="39"/>
      <c r="BU1114" s="39"/>
      <c r="BV1114" s="39"/>
      <c r="BW1114" s="39"/>
      <c r="BX1114" s="39"/>
      <c r="BY1114" s="39"/>
      <c r="BZ1114" s="39">
        <f t="shared" si="1057"/>
        <v>0</v>
      </c>
      <c r="CA1114" s="39">
        <f t="shared" si="978"/>
        <v>0</v>
      </c>
      <c r="CB1114" s="39">
        <f t="shared" si="979"/>
        <v>0</v>
      </c>
      <c r="CC1114" s="39">
        <f t="shared" si="980"/>
        <v>0</v>
      </c>
      <c r="CD1114" s="39">
        <f t="shared" si="1061"/>
        <v>0</v>
      </c>
      <c r="CE1114" s="47" t="e">
        <f t="shared" si="981"/>
        <v>#DIV/0!</v>
      </c>
      <c r="CF1114" s="36"/>
      <c r="CG1114" s="39"/>
      <c r="CH1114" s="39"/>
      <c r="CI1114" s="25">
        <v>2</v>
      </c>
    </row>
    <row r="1115" spans="1:88" ht="24.75" customHeight="1">
      <c r="A1115" s="36" t="s">
        <v>46</v>
      </c>
      <c r="B1115" s="30"/>
      <c r="C1115" s="36"/>
      <c r="D1115" s="23"/>
      <c r="E1115" s="39"/>
      <c r="F1115" s="39"/>
      <c r="G1115" s="36"/>
      <c r="H1115" s="39"/>
      <c r="I1115" s="39"/>
      <c r="J1115" s="39"/>
      <c r="K1115" s="39"/>
      <c r="L1115" s="39">
        <f t="shared" si="1097"/>
        <v>0</v>
      </c>
      <c r="M1115" s="39"/>
      <c r="N1115" s="39"/>
      <c r="O1115" s="39"/>
      <c r="P1115" s="39"/>
      <c r="Q1115" s="39"/>
      <c r="R1115" s="39">
        <f t="shared" si="1098"/>
        <v>0</v>
      </c>
      <c r="S1115" s="39"/>
      <c r="T1115" s="39"/>
      <c r="U1115" s="39"/>
      <c r="V1115" s="39"/>
      <c r="W1115" s="39"/>
      <c r="X1115" s="39"/>
      <c r="Y1115" s="39"/>
      <c r="Z1115" s="39"/>
      <c r="AA1115" s="39"/>
      <c r="AB1115" s="39">
        <f t="shared" si="1099"/>
        <v>0</v>
      </c>
      <c r="AC1115" s="39"/>
      <c r="AD1115" s="39"/>
      <c r="AE1115" s="39"/>
      <c r="AF1115" s="39"/>
      <c r="AG1115" s="39"/>
      <c r="AH1115" s="39">
        <f t="shared" si="1051"/>
        <v>0</v>
      </c>
      <c r="AI1115" s="39"/>
      <c r="AJ1115" s="39"/>
      <c r="AK1115" s="39"/>
      <c r="AL1115" s="39"/>
      <c r="AM1115" s="39"/>
      <c r="AN1115" s="39">
        <f t="shared" si="1047"/>
        <v>0</v>
      </c>
      <c r="AO1115" s="39"/>
      <c r="AP1115" s="39"/>
      <c r="AQ1115" s="39"/>
      <c r="AR1115" s="39"/>
      <c r="AS1115" s="39"/>
      <c r="AT1115" s="39">
        <f t="shared" si="974"/>
        <v>0</v>
      </c>
      <c r="AU1115" s="39"/>
      <c r="AV1115" s="39"/>
      <c r="AW1115" s="39"/>
      <c r="AX1115" s="39"/>
      <c r="AY1115" s="39"/>
      <c r="AZ1115" s="39">
        <f t="shared" si="975"/>
        <v>0</v>
      </c>
      <c r="BA1115" s="39"/>
      <c r="BB1115" s="39"/>
      <c r="BC1115" s="39"/>
      <c r="BD1115" s="39"/>
      <c r="BE1115" s="39"/>
      <c r="BF1115" s="39">
        <f t="shared" si="976"/>
        <v>0</v>
      </c>
      <c r="BG1115" s="39"/>
      <c r="BH1115" s="39"/>
      <c r="BI1115" s="39"/>
      <c r="BJ1115" s="39"/>
      <c r="BK1115" s="39"/>
      <c r="BL1115" s="39">
        <f t="shared" si="1055"/>
        <v>0</v>
      </c>
      <c r="BM1115" s="54" t="e">
        <f t="shared" si="977"/>
        <v>#DIV/0!</v>
      </c>
      <c r="BN1115" s="65"/>
      <c r="BO1115" s="36"/>
      <c r="BP1115" s="36"/>
      <c r="BQ1115" s="36"/>
      <c r="BR1115" s="40"/>
      <c r="BS1115" s="40"/>
      <c r="BT1115" s="39"/>
      <c r="BU1115" s="39"/>
      <c r="BV1115" s="39"/>
      <c r="BW1115" s="39"/>
      <c r="BX1115" s="39"/>
      <c r="BY1115" s="39"/>
      <c r="BZ1115" s="39">
        <f t="shared" si="1057"/>
        <v>0</v>
      </c>
      <c r="CA1115" s="39">
        <f t="shared" si="978"/>
        <v>0</v>
      </c>
      <c r="CB1115" s="39">
        <f t="shared" si="979"/>
        <v>0</v>
      </c>
      <c r="CC1115" s="39">
        <f t="shared" si="980"/>
        <v>0</v>
      </c>
      <c r="CD1115" s="39">
        <f t="shared" si="1061"/>
        <v>0</v>
      </c>
      <c r="CE1115" s="47" t="e">
        <f t="shared" si="981"/>
        <v>#DIV/0!</v>
      </c>
      <c r="CF1115" s="36"/>
      <c r="CG1115" s="39"/>
      <c r="CH1115" s="39"/>
      <c r="CI1115" s="25">
        <v>2</v>
      </c>
    </row>
    <row r="1116" spans="1:88" ht="24.75" customHeight="1">
      <c r="A1116" s="36" t="s">
        <v>46</v>
      </c>
      <c r="B1116" s="30"/>
      <c r="C1116" s="36"/>
      <c r="D1116" s="23"/>
      <c r="E1116" s="39"/>
      <c r="F1116" s="39"/>
      <c r="G1116" s="36"/>
      <c r="H1116" s="39"/>
      <c r="I1116" s="39"/>
      <c r="J1116" s="39"/>
      <c r="K1116" s="39"/>
      <c r="L1116" s="39">
        <f t="shared" si="1097"/>
        <v>0</v>
      </c>
      <c r="M1116" s="39"/>
      <c r="N1116" s="39"/>
      <c r="O1116" s="39"/>
      <c r="P1116" s="39"/>
      <c r="Q1116" s="39"/>
      <c r="R1116" s="39">
        <f t="shared" si="1098"/>
        <v>0</v>
      </c>
      <c r="S1116" s="39"/>
      <c r="T1116" s="39"/>
      <c r="U1116" s="39"/>
      <c r="V1116" s="39"/>
      <c r="W1116" s="39"/>
      <c r="X1116" s="39"/>
      <c r="Y1116" s="39"/>
      <c r="Z1116" s="39"/>
      <c r="AA1116" s="39"/>
      <c r="AB1116" s="39">
        <f t="shared" si="1099"/>
        <v>0</v>
      </c>
      <c r="AC1116" s="39"/>
      <c r="AD1116" s="39"/>
      <c r="AE1116" s="39"/>
      <c r="AF1116" s="39"/>
      <c r="AG1116" s="39"/>
      <c r="AH1116" s="39">
        <f t="shared" si="1051"/>
        <v>0</v>
      </c>
      <c r="AI1116" s="39"/>
      <c r="AJ1116" s="39"/>
      <c r="AK1116" s="39"/>
      <c r="AL1116" s="39"/>
      <c r="AM1116" s="39"/>
      <c r="AN1116" s="39">
        <f t="shared" si="1047"/>
        <v>0</v>
      </c>
      <c r="AO1116" s="39"/>
      <c r="AP1116" s="39"/>
      <c r="AQ1116" s="39"/>
      <c r="AR1116" s="39"/>
      <c r="AS1116" s="39"/>
      <c r="AT1116" s="39">
        <f t="shared" si="974"/>
        <v>0</v>
      </c>
      <c r="AU1116" s="39"/>
      <c r="AV1116" s="39"/>
      <c r="AW1116" s="39"/>
      <c r="AX1116" s="39"/>
      <c r="AY1116" s="39"/>
      <c r="AZ1116" s="39">
        <f t="shared" si="975"/>
        <v>0</v>
      </c>
      <c r="BA1116" s="39"/>
      <c r="BB1116" s="39"/>
      <c r="BC1116" s="39"/>
      <c r="BD1116" s="39"/>
      <c r="BE1116" s="39"/>
      <c r="BF1116" s="39">
        <f t="shared" si="976"/>
        <v>0</v>
      </c>
      <c r="BG1116" s="39"/>
      <c r="BH1116" s="39"/>
      <c r="BI1116" s="39"/>
      <c r="BJ1116" s="39"/>
      <c r="BK1116" s="39"/>
      <c r="BL1116" s="39">
        <f t="shared" si="1055"/>
        <v>0</v>
      </c>
      <c r="BM1116" s="54" t="e">
        <f t="shared" si="977"/>
        <v>#DIV/0!</v>
      </c>
      <c r="BN1116" s="65"/>
      <c r="BO1116" s="36"/>
      <c r="BP1116" s="36"/>
      <c r="BQ1116" s="36"/>
      <c r="BR1116" s="40"/>
      <c r="BS1116" s="40"/>
      <c r="BT1116" s="39"/>
      <c r="BU1116" s="39"/>
      <c r="BV1116" s="39"/>
      <c r="BW1116" s="39"/>
      <c r="BX1116" s="39"/>
      <c r="BY1116" s="39"/>
      <c r="BZ1116" s="39">
        <f t="shared" si="1057"/>
        <v>0</v>
      </c>
      <c r="CA1116" s="39">
        <f t="shared" si="978"/>
        <v>0</v>
      </c>
      <c r="CB1116" s="39">
        <f t="shared" si="979"/>
        <v>0</v>
      </c>
      <c r="CC1116" s="39">
        <f t="shared" si="980"/>
        <v>0</v>
      </c>
      <c r="CD1116" s="39">
        <f t="shared" si="1061"/>
        <v>0</v>
      </c>
      <c r="CE1116" s="47" t="e">
        <f t="shared" si="981"/>
        <v>#DIV/0!</v>
      </c>
      <c r="CF1116" s="36"/>
      <c r="CG1116" s="39"/>
      <c r="CH1116" s="39"/>
      <c r="CI1116" s="25">
        <v>2</v>
      </c>
    </row>
    <row r="1117" spans="1:88" ht="24.75" customHeight="1">
      <c r="A1117" s="36" t="s">
        <v>46</v>
      </c>
      <c r="B1117" s="30">
        <v>47234</v>
      </c>
      <c r="C1117" s="227" t="s">
        <v>1585</v>
      </c>
      <c r="D1117" s="23" t="s">
        <v>110</v>
      </c>
      <c r="E1117" s="39">
        <v>200</v>
      </c>
      <c r="F1117" s="39" t="s">
        <v>65</v>
      </c>
      <c r="G1117" s="36" t="s">
        <v>1018</v>
      </c>
      <c r="H1117" s="36" t="s">
        <v>381</v>
      </c>
      <c r="I1117" s="39">
        <f>2775+55</f>
        <v>2830</v>
      </c>
      <c r="J1117" s="39"/>
      <c r="K1117" s="39"/>
      <c r="L1117" s="39">
        <f t="shared" ref="L1117:L1118" si="1100">SUM(I1117:K1117)</f>
        <v>2830</v>
      </c>
      <c r="M1117" s="117">
        <v>46113</v>
      </c>
      <c r="N1117" s="117">
        <v>46188</v>
      </c>
      <c r="O1117" s="39"/>
      <c r="P1117" s="39"/>
      <c r="Q1117" s="39"/>
      <c r="R1117" s="39">
        <f t="shared" ref="R1117:R1118" si="1101">SUM(O1117:Q1117)</f>
        <v>0</v>
      </c>
      <c r="S1117" s="39" t="s">
        <v>590</v>
      </c>
      <c r="T1117" s="39">
        <v>107764</v>
      </c>
      <c r="U1117" s="117">
        <v>46217</v>
      </c>
      <c r="V1117" s="117" t="s">
        <v>793</v>
      </c>
      <c r="W1117" s="39">
        <f>1773+805+65+579</f>
        <v>3222</v>
      </c>
      <c r="X1117" s="117" t="s">
        <v>1586</v>
      </c>
      <c r="Y1117" s="39">
        <f>1366+1358+69+122</f>
        <v>2915</v>
      </c>
      <c r="Z1117" s="39"/>
      <c r="AA1117" s="39"/>
      <c r="AB1117" s="119">
        <f t="shared" ref="AB1117:AB1118" si="1102">SUM(Y1117:AA1117)</f>
        <v>2915</v>
      </c>
      <c r="AC1117" s="39" t="s">
        <v>139</v>
      </c>
      <c r="AD1117" s="117" t="s">
        <v>1664</v>
      </c>
      <c r="AE1117" s="39">
        <f>3+25+1291+1295+107+66</f>
        <v>2787</v>
      </c>
      <c r="AF1117" s="117" t="s">
        <v>1948</v>
      </c>
      <c r="AG1117" s="39">
        <f>23+1265+596+110+66+678</f>
        <v>2738</v>
      </c>
      <c r="AH1117" s="39">
        <f t="shared" ref="AH1117:AH1120" si="1103">AG1117-AE1117</f>
        <v>-49</v>
      </c>
      <c r="AI1117" s="39" t="s">
        <v>163</v>
      </c>
      <c r="AJ1117" s="117" t="s">
        <v>1587</v>
      </c>
      <c r="AK1117" s="39">
        <f>1377+1365+69</f>
        <v>2811</v>
      </c>
      <c r="AL1117" s="117" t="s">
        <v>1591</v>
      </c>
      <c r="AM1117" s="39">
        <f>1363+1350+69</f>
        <v>2782</v>
      </c>
      <c r="AN1117" s="39">
        <f t="shared" ref="AN1117:AN1120" si="1104">AM1117-AK1117</f>
        <v>-29</v>
      </c>
      <c r="AO1117" s="39"/>
      <c r="AP1117" s="39"/>
      <c r="AQ1117" s="39"/>
      <c r="AR1117" s="39"/>
      <c r="AS1117" s="39"/>
      <c r="AT1117" s="39">
        <f t="shared" si="974"/>
        <v>0</v>
      </c>
      <c r="AU1117" s="39"/>
      <c r="AV1117" s="39"/>
      <c r="AW1117" s="39"/>
      <c r="AX1117" s="39"/>
      <c r="AY1117" s="39"/>
      <c r="AZ1117" s="39">
        <f t="shared" si="975"/>
        <v>0</v>
      </c>
      <c r="BA1117" s="39"/>
      <c r="BB1117" s="39"/>
      <c r="BC1117" s="39"/>
      <c r="BD1117" s="39"/>
      <c r="BE1117" s="39"/>
      <c r="BF1117" s="39">
        <f t="shared" si="976"/>
        <v>0</v>
      </c>
      <c r="BG1117" s="39"/>
      <c r="BH1117" s="39"/>
      <c r="BI1117" s="39"/>
      <c r="BJ1117" s="39"/>
      <c r="BK1117" s="39"/>
      <c r="BL1117" s="39">
        <f t="shared" ref="BL1117:BL1120" si="1105">BK1117-BI1117</f>
        <v>0</v>
      </c>
      <c r="BM1117" s="54" t="str">
        <f t="shared" si="977"/>
        <v/>
      </c>
      <c r="BN1117" s="60">
        <v>46127</v>
      </c>
      <c r="BO1117" s="57">
        <v>46202</v>
      </c>
      <c r="BP1117" s="57">
        <v>46197</v>
      </c>
      <c r="BQ1117" s="57">
        <v>46206</v>
      </c>
      <c r="BR1117" s="229">
        <v>46220</v>
      </c>
      <c r="BS1117" s="229">
        <v>46233</v>
      </c>
      <c r="BT1117" s="39" t="s">
        <v>2053</v>
      </c>
      <c r="BU1117" s="39">
        <f>14+55+452+1174+90+54+623+56+10+29+81+36+52</f>
        <v>2726</v>
      </c>
      <c r="BV1117" s="39"/>
      <c r="BW1117" s="39"/>
      <c r="BX1117" s="39"/>
      <c r="BY1117" s="39"/>
      <c r="BZ1117" s="39">
        <f t="shared" si="1057"/>
        <v>2726</v>
      </c>
      <c r="CA1117" s="39">
        <f t="shared" si="978"/>
        <v>-104</v>
      </c>
      <c r="CB1117" s="39">
        <f t="shared" si="979"/>
        <v>0</v>
      </c>
      <c r="CC1117" s="39">
        <f t="shared" si="980"/>
        <v>0</v>
      </c>
      <c r="CD1117" s="39">
        <v>0</v>
      </c>
      <c r="CE1117" s="47">
        <f t="shared" si="981"/>
        <v>0</v>
      </c>
      <c r="CF1117" s="36"/>
      <c r="CG1117" s="39" t="s">
        <v>240</v>
      </c>
      <c r="CH1117" s="39"/>
      <c r="CI1117" s="25">
        <v>1</v>
      </c>
    </row>
    <row r="1118" spans="1:88" ht="24.75" customHeight="1">
      <c r="A1118" s="36" t="s">
        <v>46</v>
      </c>
      <c r="B1118" s="30">
        <v>47234</v>
      </c>
      <c r="C1118" s="228"/>
      <c r="D1118" s="23"/>
      <c r="E1118" s="39">
        <v>160</v>
      </c>
      <c r="F1118" s="39" t="s">
        <v>57</v>
      </c>
      <c r="G1118" s="36" t="s">
        <v>1123</v>
      </c>
      <c r="H1118" s="36" t="s">
        <v>22</v>
      </c>
      <c r="I1118" s="39">
        <f>135+15</f>
        <v>150</v>
      </c>
      <c r="J1118" s="39"/>
      <c r="K1118" s="39"/>
      <c r="L1118" s="39">
        <f t="shared" si="1100"/>
        <v>150</v>
      </c>
      <c r="M1118" s="117">
        <v>46113</v>
      </c>
      <c r="N1118" s="117">
        <v>46188</v>
      </c>
      <c r="O1118" s="39"/>
      <c r="P1118" s="39"/>
      <c r="Q1118" s="39"/>
      <c r="R1118" s="39">
        <f t="shared" si="1101"/>
        <v>0</v>
      </c>
      <c r="S1118" s="39" t="s">
        <v>590</v>
      </c>
      <c r="T1118" s="39"/>
      <c r="U1118" s="39"/>
      <c r="V1118" s="117">
        <v>46150</v>
      </c>
      <c r="W1118" s="39">
        <v>176</v>
      </c>
      <c r="X1118" s="117">
        <v>46219</v>
      </c>
      <c r="Y1118" s="39">
        <v>155</v>
      </c>
      <c r="Z1118" s="39"/>
      <c r="AA1118" s="39"/>
      <c r="AB1118" s="119">
        <f t="shared" si="1102"/>
        <v>155</v>
      </c>
      <c r="AC1118" s="39"/>
      <c r="AD1118" s="39"/>
      <c r="AE1118" s="39"/>
      <c r="AF1118" s="39"/>
      <c r="AG1118" s="39"/>
      <c r="AH1118" s="39">
        <f t="shared" si="1103"/>
        <v>0</v>
      </c>
      <c r="AI1118" s="39"/>
      <c r="AJ1118" s="39"/>
      <c r="AK1118" s="39"/>
      <c r="AL1118" s="39"/>
      <c r="AM1118" s="39"/>
      <c r="AN1118" s="39">
        <f t="shared" si="1104"/>
        <v>0</v>
      </c>
      <c r="AO1118" s="39"/>
      <c r="AP1118" s="39"/>
      <c r="AQ1118" s="39"/>
      <c r="AR1118" s="39"/>
      <c r="AS1118" s="39"/>
      <c r="AT1118" s="39">
        <f t="shared" si="974"/>
        <v>0</v>
      </c>
      <c r="AU1118" s="39"/>
      <c r="AV1118" s="39"/>
      <c r="AW1118" s="39"/>
      <c r="AX1118" s="39"/>
      <c r="AY1118" s="39"/>
      <c r="AZ1118" s="39">
        <f t="shared" si="975"/>
        <v>0</v>
      </c>
      <c r="BA1118" s="39"/>
      <c r="BB1118" s="39"/>
      <c r="BC1118" s="39"/>
      <c r="BD1118" s="39"/>
      <c r="BE1118" s="39"/>
      <c r="BF1118" s="39">
        <f t="shared" si="976"/>
        <v>0</v>
      </c>
      <c r="BG1118" s="39"/>
      <c r="BH1118" s="39"/>
      <c r="BI1118" s="39"/>
      <c r="BJ1118" s="39"/>
      <c r="BK1118" s="39"/>
      <c r="BL1118" s="39">
        <f t="shared" si="1105"/>
        <v>0</v>
      </c>
      <c r="BM1118" s="54" t="str">
        <f t="shared" si="977"/>
        <v/>
      </c>
      <c r="BN1118" s="60">
        <v>46127</v>
      </c>
      <c r="BO1118" s="57">
        <v>46202</v>
      </c>
      <c r="BP1118" s="57"/>
      <c r="BQ1118" s="57"/>
      <c r="BR1118" s="230"/>
      <c r="BS1118" s="230"/>
      <c r="BT1118" s="39">
        <v>1821</v>
      </c>
      <c r="BU1118" s="39">
        <v>155</v>
      </c>
      <c r="BV1118" s="39"/>
      <c r="BW1118" s="39"/>
      <c r="BX1118" s="39"/>
      <c r="BY1118" s="39"/>
      <c r="BZ1118" s="39">
        <f t="shared" si="1057"/>
        <v>155</v>
      </c>
      <c r="CA1118" s="39">
        <f t="shared" si="978"/>
        <v>5</v>
      </c>
      <c r="CB1118" s="39">
        <f t="shared" si="979"/>
        <v>0</v>
      </c>
      <c r="CC1118" s="39">
        <f t="shared" si="980"/>
        <v>0</v>
      </c>
      <c r="CD1118" s="39">
        <f t="shared" ref="CD1118:CD1120" si="1106">SUMIF(CA1118:CC1118,"&lt;0")</f>
        <v>0</v>
      </c>
      <c r="CE1118" s="47">
        <f t="shared" si="981"/>
        <v>0</v>
      </c>
      <c r="CF1118" s="36"/>
      <c r="CG1118" s="39" t="s">
        <v>240</v>
      </c>
      <c r="CH1118" s="39"/>
      <c r="CI1118" s="25">
        <v>1</v>
      </c>
    </row>
    <row r="1119" spans="1:88" ht="24.75" customHeight="1">
      <c r="A1119" s="36" t="s">
        <v>46</v>
      </c>
      <c r="B1119" s="30">
        <v>47492</v>
      </c>
      <c r="C1119" s="227" t="s">
        <v>1052</v>
      </c>
      <c r="D1119" s="23" t="s">
        <v>108</v>
      </c>
      <c r="E1119" s="39">
        <v>280</v>
      </c>
      <c r="F1119" s="39" t="s">
        <v>55</v>
      </c>
      <c r="G1119" s="36" t="s">
        <v>667</v>
      </c>
      <c r="H1119" s="36" t="s">
        <v>196</v>
      </c>
      <c r="I1119" s="39">
        <v>45</v>
      </c>
      <c r="J1119" s="39"/>
      <c r="K1119" s="39"/>
      <c r="L1119" s="39">
        <f t="shared" ref="L1119:L1120" si="1107">SUM(I1119:K1119)</f>
        <v>45</v>
      </c>
      <c r="M1119" s="117"/>
      <c r="N1119" s="117">
        <v>46193</v>
      </c>
      <c r="O1119" s="39"/>
      <c r="P1119" s="39"/>
      <c r="Q1119" s="39"/>
      <c r="R1119" s="39">
        <f t="shared" ref="R1119:R1120" si="1108">SUM(O1119:Q1119)</f>
        <v>0</v>
      </c>
      <c r="S1119" s="39" t="s">
        <v>130</v>
      </c>
      <c r="T1119" s="39">
        <v>107310</v>
      </c>
      <c r="U1119" s="117">
        <v>46208</v>
      </c>
      <c r="V1119" s="39"/>
      <c r="W1119" s="39"/>
      <c r="X1119" s="39"/>
      <c r="Y1119" s="39">
        <v>61</v>
      </c>
      <c r="Z1119" s="39"/>
      <c r="AA1119" s="39"/>
      <c r="AB1119" s="119">
        <f t="shared" ref="AB1119:AB1120" si="1109">SUM(Y1119:AA1119)</f>
        <v>61</v>
      </c>
      <c r="AC1119" s="39"/>
      <c r="AD1119" s="39"/>
      <c r="AE1119" s="39"/>
      <c r="AF1119" s="39"/>
      <c r="AG1119" s="39"/>
      <c r="AH1119" s="39">
        <f t="shared" si="1103"/>
        <v>0</v>
      </c>
      <c r="AI1119" s="39"/>
      <c r="AJ1119" s="39"/>
      <c r="AK1119" s="39"/>
      <c r="AL1119" s="39"/>
      <c r="AM1119" s="39"/>
      <c r="AN1119" s="39">
        <f t="shared" si="1104"/>
        <v>0</v>
      </c>
      <c r="AO1119" s="39" t="s">
        <v>257</v>
      </c>
      <c r="AP1119" s="117">
        <v>46210</v>
      </c>
      <c r="AQ1119" s="39">
        <v>53</v>
      </c>
      <c r="AR1119" s="117">
        <v>46211</v>
      </c>
      <c r="AS1119" s="39">
        <v>52</v>
      </c>
      <c r="AT1119" s="39">
        <f t="shared" si="974"/>
        <v>-1</v>
      </c>
      <c r="AU1119" s="39"/>
      <c r="AV1119" s="39"/>
      <c r="AW1119" s="39"/>
      <c r="AX1119" s="39"/>
      <c r="AY1119" s="39"/>
      <c r="AZ1119" s="39">
        <f t="shared" si="975"/>
        <v>0</v>
      </c>
      <c r="BA1119" s="39"/>
      <c r="BB1119" s="39"/>
      <c r="BC1119" s="39"/>
      <c r="BD1119" s="39"/>
      <c r="BE1119" s="39"/>
      <c r="BF1119" s="39">
        <f t="shared" si="976"/>
        <v>0</v>
      </c>
      <c r="BG1119" s="39"/>
      <c r="BH1119" s="39"/>
      <c r="BI1119" s="39"/>
      <c r="BJ1119" s="39"/>
      <c r="BK1119" s="39"/>
      <c r="BL1119" s="39">
        <f t="shared" si="1105"/>
        <v>0</v>
      </c>
      <c r="BM1119" s="54" t="str">
        <f t="shared" si="977"/>
        <v/>
      </c>
      <c r="BN1119" s="60">
        <v>46193</v>
      </c>
      <c r="BO1119" s="57">
        <v>46200</v>
      </c>
      <c r="BP1119" s="36"/>
      <c r="BQ1119" s="36"/>
      <c r="BR1119" s="229">
        <v>46210</v>
      </c>
      <c r="BS1119" s="229">
        <v>46213</v>
      </c>
      <c r="BT1119" s="39">
        <v>1592</v>
      </c>
      <c r="BU1119" s="39">
        <v>50</v>
      </c>
      <c r="BV1119" s="39"/>
      <c r="BW1119" s="39"/>
      <c r="BX1119" s="39"/>
      <c r="BY1119" s="39"/>
      <c r="BZ1119" s="39">
        <f t="shared" si="1057"/>
        <v>50</v>
      </c>
      <c r="CA1119" s="39">
        <f t="shared" si="978"/>
        <v>5</v>
      </c>
      <c r="CB1119" s="39">
        <f t="shared" si="979"/>
        <v>0</v>
      </c>
      <c r="CC1119" s="39">
        <f t="shared" si="980"/>
        <v>0</v>
      </c>
      <c r="CD1119" s="39">
        <f t="shared" si="1106"/>
        <v>0</v>
      </c>
      <c r="CE1119" s="102">
        <f t="shared" si="981"/>
        <v>0</v>
      </c>
      <c r="CF1119" s="36"/>
      <c r="CG1119" s="39" t="s">
        <v>240</v>
      </c>
      <c r="CH1119" s="39"/>
      <c r="CI1119" s="25">
        <v>3</v>
      </c>
    </row>
    <row r="1120" spans="1:88" ht="24.75" customHeight="1">
      <c r="A1120" s="36" t="s">
        <v>46</v>
      </c>
      <c r="B1120" s="30">
        <v>47492</v>
      </c>
      <c r="C1120" s="228"/>
      <c r="D1120" s="23"/>
      <c r="E1120" s="39">
        <v>180</v>
      </c>
      <c r="F1120" s="39" t="s">
        <v>55</v>
      </c>
      <c r="G1120" s="36" t="s">
        <v>663</v>
      </c>
      <c r="H1120" s="36" t="s">
        <v>22</v>
      </c>
      <c r="I1120" s="39">
        <v>35</v>
      </c>
      <c r="J1120" s="39"/>
      <c r="K1120" s="39"/>
      <c r="L1120" s="39">
        <f t="shared" si="1107"/>
        <v>35</v>
      </c>
      <c r="M1120" s="117"/>
      <c r="N1120" s="117">
        <v>46193</v>
      </c>
      <c r="O1120" s="39"/>
      <c r="P1120" s="39"/>
      <c r="Q1120" s="39"/>
      <c r="R1120" s="39">
        <f t="shared" si="1108"/>
        <v>0</v>
      </c>
      <c r="S1120" s="39" t="s">
        <v>130</v>
      </c>
      <c r="T1120" s="39">
        <v>107309</v>
      </c>
      <c r="U1120" s="117">
        <v>46209</v>
      </c>
      <c r="V1120" s="39"/>
      <c r="W1120" s="39"/>
      <c r="X1120" s="39"/>
      <c r="Y1120" s="39">
        <v>40</v>
      </c>
      <c r="Z1120" s="39"/>
      <c r="AA1120" s="39"/>
      <c r="AB1120" s="119">
        <f t="shared" si="1109"/>
        <v>40</v>
      </c>
      <c r="AC1120" s="39"/>
      <c r="AD1120" s="39"/>
      <c r="AE1120" s="39"/>
      <c r="AF1120" s="39"/>
      <c r="AG1120" s="39"/>
      <c r="AH1120" s="39">
        <f t="shared" si="1103"/>
        <v>0</v>
      </c>
      <c r="AI1120" s="39"/>
      <c r="AJ1120" s="39"/>
      <c r="AK1120" s="39"/>
      <c r="AL1120" s="39"/>
      <c r="AM1120" s="39"/>
      <c r="AN1120" s="39">
        <f t="shared" si="1104"/>
        <v>0</v>
      </c>
      <c r="AO1120" s="39"/>
      <c r="AP1120" s="39"/>
      <c r="AQ1120" s="39"/>
      <c r="AR1120" s="39"/>
      <c r="AS1120" s="39"/>
      <c r="AT1120" s="39">
        <f t="shared" si="974"/>
        <v>0</v>
      </c>
      <c r="AU1120" s="39"/>
      <c r="AV1120" s="39"/>
      <c r="AW1120" s="39"/>
      <c r="AX1120" s="39"/>
      <c r="AY1120" s="39"/>
      <c r="AZ1120" s="39">
        <f t="shared" si="975"/>
        <v>0</v>
      </c>
      <c r="BA1120" s="39"/>
      <c r="BB1120" s="39"/>
      <c r="BC1120" s="39"/>
      <c r="BD1120" s="39"/>
      <c r="BE1120" s="39"/>
      <c r="BF1120" s="39">
        <f t="shared" si="976"/>
        <v>0</v>
      </c>
      <c r="BG1120" s="39"/>
      <c r="BH1120" s="39"/>
      <c r="BI1120" s="39"/>
      <c r="BJ1120" s="39"/>
      <c r="BK1120" s="39"/>
      <c r="BL1120" s="39">
        <f t="shared" si="1105"/>
        <v>0</v>
      </c>
      <c r="BM1120" s="54" t="str">
        <f t="shared" si="977"/>
        <v/>
      </c>
      <c r="BN1120" s="60">
        <v>46193</v>
      </c>
      <c r="BO1120" s="57">
        <v>46200</v>
      </c>
      <c r="BP1120" s="36"/>
      <c r="BQ1120" s="36"/>
      <c r="BR1120" s="230"/>
      <c r="BS1120" s="230"/>
      <c r="BT1120" s="39">
        <v>1580</v>
      </c>
      <c r="BU1120" s="39">
        <v>36</v>
      </c>
      <c r="BV1120" s="39"/>
      <c r="BW1120" s="39"/>
      <c r="BX1120" s="39"/>
      <c r="BY1120" s="39"/>
      <c r="BZ1120" s="39">
        <f t="shared" si="1057"/>
        <v>36</v>
      </c>
      <c r="CA1120" s="39">
        <f t="shared" si="978"/>
        <v>1</v>
      </c>
      <c r="CB1120" s="39">
        <f t="shared" si="979"/>
        <v>0</v>
      </c>
      <c r="CC1120" s="39">
        <f t="shared" si="980"/>
        <v>0</v>
      </c>
      <c r="CD1120" s="39">
        <f t="shared" si="1106"/>
        <v>0</v>
      </c>
      <c r="CE1120" s="102">
        <f t="shared" si="981"/>
        <v>0</v>
      </c>
      <c r="CF1120" s="36"/>
      <c r="CG1120" s="39" t="s">
        <v>240</v>
      </c>
      <c r="CH1120" s="39"/>
      <c r="CI1120" s="25">
        <v>3</v>
      </c>
    </row>
    <row r="1121" spans="1:101" ht="37.5" customHeight="1">
      <c r="A1121" s="36" t="s">
        <v>46</v>
      </c>
      <c r="B1121" s="30">
        <v>46756</v>
      </c>
      <c r="C1121" s="49" t="s">
        <v>1165</v>
      </c>
      <c r="D1121" s="23" t="s">
        <v>110</v>
      </c>
      <c r="E1121" s="39">
        <v>220</v>
      </c>
      <c r="F1121" s="39" t="s">
        <v>64</v>
      </c>
      <c r="G1121" s="36" t="s">
        <v>566</v>
      </c>
      <c r="H1121" s="39" t="s">
        <v>1067</v>
      </c>
      <c r="I1121" s="39">
        <v>121</v>
      </c>
      <c r="J1121" s="39"/>
      <c r="K1121" s="39"/>
      <c r="L1121" s="39">
        <f t="shared" ref="L1121:L1139" si="1110">SUM(I1121:K1121)</f>
        <v>121</v>
      </c>
      <c r="M1121" s="39"/>
      <c r="N1121" s="39"/>
      <c r="O1121" s="39"/>
      <c r="P1121" s="39"/>
      <c r="Q1121" s="39"/>
      <c r="R1121" s="39">
        <f t="shared" ref="R1121:R1139" si="1111">SUM(O1121:Q1121)</f>
        <v>0</v>
      </c>
      <c r="S1121" s="39" t="s">
        <v>130</v>
      </c>
      <c r="T1121" s="39" t="s">
        <v>1153</v>
      </c>
      <c r="U1121" s="117">
        <v>46196</v>
      </c>
      <c r="V1121" s="39"/>
      <c r="W1121" s="39"/>
      <c r="X1121" s="39"/>
      <c r="Y1121" s="39">
        <v>152</v>
      </c>
      <c r="Z1121" s="39"/>
      <c r="AA1121" s="39"/>
      <c r="AB1121" s="119">
        <f t="shared" ref="AB1121:AB1139" si="1112">SUM(Y1121:AA1121)</f>
        <v>152</v>
      </c>
      <c r="AC1121" s="39" t="s">
        <v>268</v>
      </c>
      <c r="AD1121" s="117">
        <v>46198</v>
      </c>
      <c r="AE1121" s="39">
        <v>124</v>
      </c>
      <c r="AF1121" s="117">
        <v>46203</v>
      </c>
      <c r="AG1121" s="39">
        <v>124</v>
      </c>
      <c r="AH1121" s="39">
        <f t="shared" si="1051"/>
        <v>0</v>
      </c>
      <c r="AI1121" s="39" t="s">
        <v>163</v>
      </c>
      <c r="AJ1121" s="117">
        <v>46196</v>
      </c>
      <c r="AK1121" s="39">
        <v>172</v>
      </c>
      <c r="AL1121" s="117">
        <v>46196</v>
      </c>
      <c r="AM1121" s="39">
        <v>171</v>
      </c>
      <c r="AN1121" s="39">
        <f t="shared" si="1047"/>
        <v>-1</v>
      </c>
      <c r="AO1121" s="39"/>
      <c r="AP1121" s="39"/>
      <c r="AQ1121" s="39"/>
      <c r="AR1121" s="39"/>
      <c r="AS1121" s="39"/>
      <c r="AT1121" s="39">
        <f t="shared" si="974"/>
        <v>0</v>
      </c>
      <c r="AU1121" s="39"/>
      <c r="AV1121" s="39"/>
      <c r="AW1121" s="39"/>
      <c r="AX1121" s="39"/>
      <c r="AY1121" s="39"/>
      <c r="AZ1121" s="39">
        <f t="shared" si="975"/>
        <v>0</v>
      </c>
      <c r="BA1121" s="39"/>
      <c r="BB1121" s="39"/>
      <c r="BC1121" s="39"/>
      <c r="BD1121" s="39"/>
      <c r="BE1121" s="39"/>
      <c r="BF1121" s="39">
        <f t="shared" si="976"/>
        <v>0</v>
      </c>
      <c r="BG1121" s="39"/>
      <c r="BH1121" s="39"/>
      <c r="BI1121" s="39"/>
      <c r="BJ1121" s="39"/>
      <c r="BK1121" s="39"/>
      <c r="BL1121" s="39">
        <f t="shared" si="1055"/>
        <v>0</v>
      </c>
      <c r="BM1121" s="54" t="str">
        <f t="shared" si="977"/>
        <v/>
      </c>
      <c r="BN1121" s="61" t="s">
        <v>1068</v>
      </c>
      <c r="BO1121" s="36"/>
      <c r="BP1121" s="36"/>
      <c r="BQ1121" s="36"/>
      <c r="BR1121" s="50">
        <v>46205</v>
      </c>
      <c r="BS1121" s="50">
        <v>46205</v>
      </c>
      <c r="BT1121" s="39" t="s">
        <v>2096</v>
      </c>
      <c r="BU1121" s="39">
        <f>124+45</f>
        <v>169</v>
      </c>
      <c r="BV1121" s="39"/>
      <c r="BW1121" s="39"/>
      <c r="BX1121" s="39"/>
      <c r="BY1121" s="39"/>
      <c r="BZ1121" s="39">
        <f t="shared" si="1057"/>
        <v>169</v>
      </c>
      <c r="CA1121" s="39">
        <f t="shared" si="978"/>
        <v>48</v>
      </c>
      <c r="CB1121" s="39">
        <f t="shared" si="979"/>
        <v>0</v>
      </c>
      <c r="CC1121" s="39">
        <f t="shared" si="980"/>
        <v>0</v>
      </c>
      <c r="CD1121" s="39">
        <f t="shared" si="1061"/>
        <v>0</v>
      </c>
      <c r="CE1121" s="47">
        <f t="shared" si="981"/>
        <v>0</v>
      </c>
      <c r="CF1121" s="36"/>
      <c r="CG1121" s="39" t="s">
        <v>244</v>
      </c>
      <c r="CH1121" s="39"/>
      <c r="CI1121" s="25">
        <v>3</v>
      </c>
    </row>
    <row r="1122" spans="1:101" ht="41.25" customHeight="1">
      <c r="A1122" s="36" t="s">
        <v>46</v>
      </c>
      <c r="B1122" s="30">
        <v>47471</v>
      </c>
      <c r="C1122" s="116" t="s">
        <v>1126</v>
      </c>
      <c r="D1122" s="23" t="s">
        <v>49</v>
      </c>
      <c r="E1122" s="39">
        <v>160</v>
      </c>
      <c r="F1122" s="39" t="s">
        <v>58</v>
      </c>
      <c r="G1122" s="36" t="s">
        <v>392</v>
      </c>
      <c r="H1122" s="36" t="s">
        <v>87</v>
      </c>
      <c r="I1122" s="39">
        <v>32</v>
      </c>
      <c r="J1122" s="39"/>
      <c r="K1122" s="39"/>
      <c r="L1122" s="39">
        <f t="shared" si="1110"/>
        <v>32</v>
      </c>
      <c r="M1122" s="39"/>
      <c r="N1122" s="117">
        <v>46199</v>
      </c>
      <c r="O1122" s="39"/>
      <c r="P1122" s="39"/>
      <c r="Q1122" s="39"/>
      <c r="R1122" s="39">
        <f t="shared" si="1111"/>
        <v>0</v>
      </c>
      <c r="S1122" s="39" t="s">
        <v>130</v>
      </c>
      <c r="T1122" s="39">
        <v>107656</v>
      </c>
      <c r="U1122" s="117">
        <v>46214</v>
      </c>
      <c r="V1122" s="39"/>
      <c r="W1122" s="39"/>
      <c r="X1122" s="39"/>
      <c r="Y1122" s="39">
        <v>44</v>
      </c>
      <c r="Z1122" s="39"/>
      <c r="AA1122" s="39"/>
      <c r="AB1122" s="119">
        <f t="shared" si="1112"/>
        <v>44</v>
      </c>
      <c r="AC1122" s="39"/>
      <c r="AD1122" s="39"/>
      <c r="AE1122" s="39"/>
      <c r="AF1122" s="39"/>
      <c r="AG1122" s="39"/>
      <c r="AH1122" s="39">
        <f t="shared" si="1051"/>
        <v>0</v>
      </c>
      <c r="AI1122" s="39" t="s">
        <v>257</v>
      </c>
      <c r="AJ1122" s="117">
        <v>46216</v>
      </c>
      <c r="AK1122" s="39">
        <v>42</v>
      </c>
      <c r="AL1122" s="117">
        <v>46217</v>
      </c>
      <c r="AM1122" s="39">
        <v>40</v>
      </c>
      <c r="AN1122" s="39">
        <f t="shared" si="1047"/>
        <v>-2</v>
      </c>
      <c r="AO1122" s="39"/>
      <c r="AP1122" s="39"/>
      <c r="AQ1122" s="39"/>
      <c r="AR1122" s="39"/>
      <c r="AS1122" s="39"/>
      <c r="AT1122" s="39">
        <f t="shared" si="974"/>
        <v>0</v>
      </c>
      <c r="AU1122" s="39"/>
      <c r="AV1122" s="39"/>
      <c r="AW1122" s="39"/>
      <c r="AX1122" s="39"/>
      <c r="AY1122" s="39"/>
      <c r="AZ1122" s="39">
        <f t="shared" si="975"/>
        <v>0</v>
      </c>
      <c r="BA1122" s="39"/>
      <c r="BB1122" s="39"/>
      <c r="BC1122" s="39"/>
      <c r="BD1122" s="39"/>
      <c r="BE1122" s="39"/>
      <c r="BF1122" s="39">
        <f t="shared" si="976"/>
        <v>0</v>
      </c>
      <c r="BG1122" s="39"/>
      <c r="BH1122" s="39"/>
      <c r="BI1122" s="39"/>
      <c r="BJ1122" s="39"/>
      <c r="BK1122" s="39"/>
      <c r="BL1122" s="39">
        <f t="shared" si="1055"/>
        <v>0</v>
      </c>
      <c r="BM1122" s="54" t="str">
        <f t="shared" si="977"/>
        <v/>
      </c>
      <c r="BN1122" s="60">
        <v>46195</v>
      </c>
      <c r="BO1122" s="57">
        <v>46205</v>
      </c>
      <c r="BP1122" s="36"/>
      <c r="BQ1122" s="36"/>
      <c r="BR1122" s="50">
        <v>46221</v>
      </c>
      <c r="BS1122" s="50">
        <v>46221</v>
      </c>
      <c r="BT1122" s="39">
        <v>2029</v>
      </c>
      <c r="BU1122" s="39">
        <v>41</v>
      </c>
      <c r="BV1122" s="39"/>
      <c r="BW1122" s="39"/>
      <c r="BX1122" s="39"/>
      <c r="BY1122" s="39"/>
      <c r="BZ1122" s="39">
        <f t="shared" si="1057"/>
        <v>41</v>
      </c>
      <c r="CA1122" s="39">
        <f t="shared" si="978"/>
        <v>9</v>
      </c>
      <c r="CB1122" s="39">
        <f t="shared" si="979"/>
        <v>0</v>
      </c>
      <c r="CC1122" s="39">
        <f t="shared" si="980"/>
        <v>0</v>
      </c>
      <c r="CD1122" s="39">
        <f t="shared" si="1061"/>
        <v>0</v>
      </c>
      <c r="CE1122" s="102">
        <f t="shared" si="981"/>
        <v>0</v>
      </c>
      <c r="CF1122" s="36"/>
      <c r="CG1122" s="39" t="s">
        <v>242</v>
      </c>
      <c r="CH1122" s="39"/>
      <c r="CI1122" s="25">
        <v>3</v>
      </c>
    </row>
    <row r="1123" spans="1:101" ht="42" customHeight="1">
      <c r="A1123" s="36" t="s">
        <v>46</v>
      </c>
      <c r="B1123" s="30">
        <v>47470</v>
      </c>
      <c r="C1123" s="148" t="s">
        <v>1148</v>
      </c>
      <c r="D1123" s="23" t="s">
        <v>49</v>
      </c>
      <c r="E1123" s="39">
        <v>160</v>
      </c>
      <c r="F1123" s="39" t="s">
        <v>58</v>
      </c>
      <c r="G1123" s="36" t="s">
        <v>392</v>
      </c>
      <c r="H1123" s="36" t="s">
        <v>87</v>
      </c>
      <c r="I1123" s="39">
        <v>16</v>
      </c>
      <c r="J1123" s="39"/>
      <c r="K1123" s="39"/>
      <c r="L1123" s="39">
        <f t="shared" si="1110"/>
        <v>16</v>
      </c>
      <c r="M1123" s="39"/>
      <c r="N1123" s="117">
        <v>46199</v>
      </c>
      <c r="O1123" s="39"/>
      <c r="P1123" s="39"/>
      <c r="Q1123" s="39"/>
      <c r="R1123" s="39">
        <f>SUM(O1123:Q1123)</f>
        <v>0</v>
      </c>
      <c r="S1123" s="39" t="s">
        <v>130</v>
      </c>
      <c r="T1123" s="39">
        <v>107279</v>
      </c>
      <c r="U1123" s="117">
        <v>46203</v>
      </c>
      <c r="V1123" s="39"/>
      <c r="W1123" s="39"/>
      <c r="X1123" s="39"/>
      <c r="Y1123" s="39">
        <v>26</v>
      </c>
      <c r="Z1123" s="39"/>
      <c r="AA1123" s="39"/>
      <c r="AB1123" s="119">
        <f>SUM(Y1123:AA1123)</f>
        <v>26</v>
      </c>
      <c r="AC1123" s="39"/>
      <c r="AD1123" s="39"/>
      <c r="AE1123" s="39"/>
      <c r="AF1123" s="39"/>
      <c r="AG1123" s="39"/>
      <c r="AH1123" s="39">
        <f>AG1123-AE1123</f>
        <v>0</v>
      </c>
      <c r="AI1123" s="39"/>
      <c r="AJ1123" s="39"/>
      <c r="AK1123" s="39"/>
      <c r="AL1123" s="39"/>
      <c r="AM1123" s="39"/>
      <c r="AN1123" s="39">
        <f t="shared" si="1047"/>
        <v>0</v>
      </c>
      <c r="AO1123" s="39"/>
      <c r="AP1123" s="39"/>
      <c r="AQ1123" s="39"/>
      <c r="AR1123" s="39"/>
      <c r="AS1123" s="39"/>
      <c r="AT1123" s="39">
        <f t="shared" si="974"/>
        <v>0</v>
      </c>
      <c r="AU1123" s="39"/>
      <c r="AV1123" s="39"/>
      <c r="AW1123" s="39"/>
      <c r="AX1123" s="39"/>
      <c r="AY1123" s="39"/>
      <c r="AZ1123" s="39">
        <f t="shared" si="975"/>
        <v>0</v>
      </c>
      <c r="BA1123" s="39"/>
      <c r="BB1123" s="39"/>
      <c r="BC1123" s="39"/>
      <c r="BD1123" s="39"/>
      <c r="BE1123" s="39"/>
      <c r="BF1123" s="39">
        <f t="shared" si="976"/>
        <v>0</v>
      </c>
      <c r="BG1123" s="39"/>
      <c r="BH1123" s="39"/>
      <c r="BI1123" s="39"/>
      <c r="BJ1123" s="39"/>
      <c r="BK1123" s="39"/>
      <c r="BL1123" s="39">
        <f>BK1123-BI1123</f>
        <v>0</v>
      </c>
      <c r="BM1123" s="54" t="str">
        <f t="shared" si="977"/>
        <v/>
      </c>
      <c r="BN1123" s="61"/>
      <c r="BO1123" s="57">
        <v>46203</v>
      </c>
      <c r="BP1123" s="36"/>
      <c r="BQ1123" s="57"/>
      <c r="BR1123" s="50">
        <v>46227</v>
      </c>
      <c r="BS1123" s="50">
        <v>46227</v>
      </c>
      <c r="BT1123" s="39">
        <v>1834</v>
      </c>
      <c r="BU1123" s="39">
        <v>22</v>
      </c>
      <c r="BV1123" s="39"/>
      <c r="BW1123" s="39"/>
      <c r="BX1123" s="39"/>
      <c r="BY1123" s="39"/>
      <c r="BZ1123" s="39">
        <f>BU1123+BW1123+BY1123</f>
        <v>22</v>
      </c>
      <c r="CA1123" s="39">
        <f t="shared" si="978"/>
        <v>6</v>
      </c>
      <c r="CB1123" s="39">
        <f t="shared" si="979"/>
        <v>0</v>
      </c>
      <c r="CC1123" s="39">
        <f t="shared" si="980"/>
        <v>0</v>
      </c>
      <c r="CD1123" s="39">
        <f>SUMIF(CA1123:CC1123,"&lt;0")</f>
        <v>0</v>
      </c>
      <c r="CE1123" s="102">
        <f t="shared" si="981"/>
        <v>0</v>
      </c>
      <c r="CF1123" s="36"/>
      <c r="CG1123" s="39" t="s">
        <v>242</v>
      </c>
      <c r="CH1123" s="39"/>
      <c r="CI1123" s="25">
        <v>3</v>
      </c>
      <c r="CJ1123" s="6" t="s">
        <v>19</v>
      </c>
    </row>
    <row r="1124" spans="1:101" ht="24.75" customHeight="1">
      <c r="A1124" s="36" t="s">
        <v>46</v>
      </c>
      <c r="B1124" s="30"/>
      <c r="C1124" s="36"/>
      <c r="D1124" s="23"/>
      <c r="E1124" s="39"/>
      <c r="F1124" s="39"/>
      <c r="G1124" s="36"/>
      <c r="H1124" s="39"/>
      <c r="I1124" s="39"/>
      <c r="J1124" s="39"/>
      <c r="K1124" s="39"/>
      <c r="L1124" s="39">
        <f t="shared" si="1110"/>
        <v>0</v>
      </c>
      <c r="M1124" s="39"/>
      <c r="N1124" s="39"/>
      <c r="O1124" s="39"/>
      <c r="P1124" s="39"/>
      <c r="Q1124" s="39"/>
      <c r="R1124" s="39">
        <f t="shared" si="1111"/>
        <v>0</v>
      </c>
      <c r="S1124" s="39"/>
      <c r="T1124" s="39"/>
      <c r="U1124" s="39"/>
      <c r="V1124" s="39"/>
      <c r="W1124" s="39"/>
      <c r="X1124" s="39"/>
      <c r="Y1124" s="39"/>
      <c r="Z1124" s="39"/>
      <c r="AA1124" s="39"/>
      <c r="AB1124" s="39">
        <f t="shared" si="1112"/>
        <v>0</v>
      </c>
      <c r="AC1124" s="39"/>
      <c r="AD1124" s="39"/>
      <c r="AE1124" s="39"/>
      <c r="AF1124" s="39"/>
      <c r="AG1124" s="39"/>
      <c r="AH1124" s="39">
        <f t="shared" si="1051"/>
        <v>0</v>
      </c>
      <c r="AI1124" s="39"/>
      <c r="AJ1124" s="39"/>
      <c r="AK1124" s="39"/>
      <c r="AL1124" s="39"/>
      <c r="AM1124" s="39"/>
      <c r="AN1124" s="39">
        <f t="shared" si="1047"/>
        <v>0</v>
      </c>
      <c r="AO1124" s="39"/>
      <c r="AP1124" s="39"/>
      <c r="AQ1124" s="39"/>
      <c r="AR1124" s="39"/>
      <c r="AS1124" s="39"/>
      <c r="AT1124" s="39">
        <f t="shared" si="974"/>
        <v>0</v>
      </c>
      <c r="AU1124" s="39"/>
      <c r="AV1124" s="39"/>
      <c r="AW1124" s="39"/>
      <c r="AX1124" s="39"/>
      <c r="AY1124" s="39"/>
      <c r="AZ1124" s="39">
        <f t="shared" si="975"/>
        <v>0</v>
      </c>
      <c r="BA1124" s="39"/>
      <c r="BB1124" s="39"/>
      <c r="BC1124" s="39"/>
      <c r="BD1124" s="39"/>
      <c r="BE1124" s="39"/>
      <c r="BF1124" s="39">
        <f t="shared" si="976"/>
        <v>0</v>
      </c>
      <c r="BG1124" s="39"/>
      <c r="BH1124" s="39"/>
      <c r="BI1124" s="39"/>
      <c r="BJ1124" s="39"/>
      <c r="BK1124" s="39"/>
      <c r="BL1124" s="39">
        <f t="shared" si="1055"/>
        <v>0</v>
      </c>
      <c r="BM1124" s="54" t="e">
        <f t="shared" si="977"/>
        <v>#DIV/0!</v>
      </c>
      <c r="BN1124" s="60"/>
      <c r="BO1124" s="36"/>
      <c r="BP1124" s="36"/>
      <c r="BQ1124" s="36"/>
      <c r="BR1124" s="40"/>
      <c r="BS1124" s="40"/>
      <c r="BT1124" s="39"/>
      <c r="BU1124" s="39"/>
      <c r="BV1124" s="39"/>
      <c r="BW1124" s="39"/>
      <c r="BX1124" s="39"/>
      <c r="BY1124" s="39"/>
      <c r="BZ1124" s="39">
        <f t="shared" si="1057"/>
        <v>0</v>
      </c>
      <c r="CA1124" s="39">
        <f t="shared" si="978"/>
        <v>0</v>
      </c>
      <c r="CB1124" s="39">
        <f t="shared" si="979"/>
        <v>0</v>
      </c>
      <c r="CC1124" s="39">
        <f t="shared" si="980"/>
        <v>0</v>
      </c>
      <c r="CD1124" s="39">
        <f t="shared" si="1061"/>
        <v>0</v>
      </c>
      <c r="CE1124" s="47" t="e">
        <f t="shared" si="981"/>
        <v>#DIV/0!</v>
      </c>
      <c r="CF1124" s="36"/>
      <c r="CG1124" s="39"/>
      <c r="CH1124" s="39"/>
      <c r="CI1124" s="25">
        <v>3</v>
      </c>
    </row>
    <row r="1125" spans="1:101" ht="24.75" customHeight="1">
      <c r="A1125" s="36" t="s">
        <v>46</v>
      </c>
      <c r="B1125" s="30"/>
      <c r="C1125" s="36"/>
      <c r="D1125" s="23"/>
      <c r="E1125" s="39"/>
      <c r="F1125" s="39"/>
      <c r="G1125" s="36"/>
      <c r="H1125" s="39"/>
      <c r="I1125" s="39"/>
      <c r="J1125" s="39"/>
      <c r="K1125" s="39"/>
      <c r="L1125" s="39">
        <f t="shared" si="1110"/>
        <v>0</v>
      </c>
      <c r="M1125" s="39"/>
      <c r="N1125" s="39"/>
      <c r="O1125" s="39"/>
      <c r="P1125" s="39"/>
      <c r="Q1125" s="39"/>
      <c r="R1125" s="39">
        <f t="shared" si="1111"/>
        <v>0</v>
      </c>
      <c r="S1125" s="39"/>
      <c r="T1125" s="39"/>
      <c r="U1125" s="39"/>
      <c r="V1125" s="39"/>
      <c r="W1125" s="39"/>
      <c r="X1125" s="39"/>
      <c r="Y1125" s="39"/>
      <c r="Z1125" s="39"/>
      <c r="AA1125" s="39"/>
      <c r="AB1125" s="39">
        <f t="shared" si="1112"/>
        <v>0</v>
      </c>
      <c r="AC1125" s="39"/>
      <c r="AD1125" s="39"/>
      <c r="AE1125" s="39"/>
      <c r="AF1125" s="39"/>
      <c r="AG1125" s="39"/>
      <c r="AH1125" s="39">
        <f t="shared" si="1051"/>
        <v>0</v>
      </c>
      <c r="AI1125" s="39"/>
      <c r="AJ1125" s="39"/>
      <c r="AK1125" s="39"/>
      <c r="AL1125" s="39"/>
      <c r="AM1125" s="39"/>
      <c r="AN1125" s="39">
        <f t="shared" si="1047"/>
        <v>0</v>
      </c>
      <c r="AO1125" s="39"/>
      <c r="AP1125" s="39"/>
      <c r="AQ1125" s="39"/>
      <c r="AR1125" s="39"/>
      <c r="AS1125" s="39"/>
      <c r="AT1125" s="39">
        <f t="shared" si="974"/>
        <v>0</v>
      </c>
      <c r="AU1125" s="39"/>
      <c r="AV1125" s="39"/>
      <c r="AW1125" s="39"/>
      <c r="AX1125" s="39"/>
      <c r="AY1125" s="39"/>
      <c r="AZ1125" s="39">
        <f t="shared" si="975"/>
        <v>0</v>
      </c>
      <c r="BA1125" s="39"/>
      <c r="BB1125" s="39"/>
      <c r="BC1125" s="39"/>
      <c r="BD1125" s="39"/>
      <c r="BE1125" s="39"/>
      <c r="BF1125" s="39">
        <f t="shared" si="976"/>
        <v>0</v>
      </c>
      <c r="BG1125" s="39"/>
      <c r="BH1125" s="39"/>
      <c r="BI1125" s="39"/>
      <c r="BJ1125" s="39"/>
      <c r="BK1125" s="39"/>
      <c r="BL1125" s="39">
        <f t="shared" si="1055"/>
        <v>0</v>
      </c>
      <c r="BM1125" s="54" t="e">
        <f t="shared" si="977"/>
        <v>#DIV/0!</v>
      </c>
      <c r="BN1125" s="61"/>
      <c r="BO1125" s="36"/>
      <c r="BP1125" s="36"/>
      <c r="BQ1125" s="36"/>
      <c r="BR1125" s="40"/>
      <c r="BS1125" s="40"/>
      <c r="BT1125" s="39"/>
      <c r="BU1125" s="39"/>
      <c r="BV1125" s="39"/>
      <c r="BW1125" s="39"/>
      <c r="BX1125" s="39"/>
      <c r="BY1125" s="39"/>
      <c r="BZ1125" s="39">
        <f t="shared" si="1057"/>
        <v>0</v>
      </c>
      <c r="CA1125" s="39">
        <f t="shared" si="978"/>
        <v>0</v>
      </c>
      <c r="CB1125" s="39">
        <f t="shared" si="979"/>
        <v>0</v>
      </c>
      <c r="CC1125" s="39">
        <f t="shared" si="980"/>
        <v>0</v>
      </c>
      <c r="CD1125" s="39">
        <f t="shared" si="1061"/>
        <v>0</v>
      </c>
      <c r="CE1125" s="47" t="e">
        <f t="shared" si="981"/>
        <v>#DIV/0!</v>
      </c>
      <c r="CF1125" s="36"/>
      <c r="CG1125" s="39"/>
      <c r="CH1125" s="39"/>
      <c r="CI1125" s="25">
        <v>3</v>
      </c>
    </row>
    <row r="1126" spans="1:101" ht="24.75" customHeight="1">
      <c r="A1126" s="36" t="s">
        <v>46</v>
      </c>
      <c r="B1126" s="30"/>
      <c r="C1126" s="36"/>
      <c r="D1126" s="23"/>
      <c r="E1126" s="39"/>
      <c r="F1126" s="39"/>
      <c r="G1126" s="36"/>
      <c r="H1126" s="39"/>
      <c r="I1126" s="39"/>
      <c r="J1126" s="39"/>
      <c r="K1126" s="39"/>
      <c r="L1126" s="39">
        <f t="shared" si="1110"/>
        <v>0</v>
      </c>
      <c r="M1126" s="39"/>
      <c r="N1126" s="39"/>
      <c r="O1126" s="39"/>
      <c r="P1126" s="39"/>
      <c r="Q1126" s="39"/>
      <c r="R1126" s="39">
        <f t="shared" si="1111"/>
        <v>0</v>
      </c>
      <c r="S1126" s="39"/>
      <c r="T1126" s="39"/>
      <c r="U1126" s="39"/>
      <c r="V1126" s="39"/>
      <c r="W1126" s="39"/>
      <c r="X1126" s="39"/>
      <c r="Y1126" s="39"/>
      <c r="Z1126" s="39"/>
      <c r="AA1126" s="39"/>
      <c r="AB1126" s="39">
        <f t="shared" si="1112"/>
        <v>0</v>
      </c>
      <c r="AC1126" s="39"/>
      <c r="AD1126" s="39"/>
      <c r="AE1126" s="39"/>
      <c r="AF1126" s="39"/>
      <c r="AG1126" s="39"/>
      <c r="AH1126" s="39">
        <f t="shared" si="1051"/>
        <v>0</v>
      </c>
      <c r="AI1126" s="39"/>
      <c r="AJ1126" s="39"/>
      <c r="AK1126" s="39"/>
      <c r="AL1126" s="39"/>
      <c r="AM1126" s="39"/>
      <c r="AN1126" s="39">
        <f t="shared" si="1047"/>
        <v>0</v>
      </c>
      <c r="AO1126" s="39"/>
      <c r="AP1126" s="39"/>
      <c r="AQ1126" s="39"/>
      <c r="AR1126" s="39"/>
      <c r="AS1126" s="39"/>
      <c r="AT1126" s="39">
        <f t="shared" si="974"/>
        <v>0</v>
      </c>
      <c r="AU1126" s="39"/>
      <c r="AV1126" s="39"/>
      <c r="AW1126" s="39"/>
      <c r="AX1126" s="39"/>
      <c r="AY1126" s="39"/>
      <c r="AZ1126" s="39">
        <f t="shared" si="975"/>
        <v>0</v>
      </c>
      <c r="BA1126" s="39"/>
      <c r="BB1126" s="39"/>
      <c r="BC1126" s="39"/>
      <c r="BD1126" s="39"/>
      <c r="BE1126" s="39"/>
      <c r="BF1126" s="39">
        <f t="shared" si="976"/>
        <v>0</v>
      </c>
      <c r="BG1126" s="39"/>
      <c r="BH1126" s="39"/>
      <c r="BI1126" s="39"/>
      <c r="BJ1126" s="39"/>
      <c r="BK1126" s="39"/>
      <c r="BL1126" s="39">
        <f t="shared" si="1055"/>
        <v>0</v>
      </c>
      <c r="BM1126" s="54" t="e">
        <f t="shared" si="977"/>
        <v>#DIV/0!</v>
      </c>
      <c r="BN1126" s="61"/>
      <c r="BO1126" s="36"/>
      <c r="BP1126" s="36"/>
      <c r="BQ1126" s="36"/>
      <c r="BR1126" s="40"/>
      <c r="BS1126" s="40"/>
      <c r="BT1126" s="39"/>
      <c r="BU1126" s="39"/>
      <c r="BV1126" s="39"/>
      <c r="BW1126" s="39"/>
      <c r="BX1126" s="39"/>
      <c r="BY1126" s="39"/>
      <c r="BZ1126" s="39">
        <f t="shared" si="1057"/>
        <v>0</v>
      </c>
      <c r="CA1126" s="39">
        <f t="shared" si="978"/>
        <v>0</v>
      </c>
      <c r="CB1126" s="39">
        <f t="shared" si="979"/>
        <v>0</v>
      </c>
      <c r="CC1126" s="39">
        <f t="shared" si="980"/>
        <v>0</v>
      </c>
      <c r="CD1126" s="39">
        <f t="shared" si="1061"/>
        <v>0</v>
      </c>
      <c r="CE1126" s="47" t="e">
        <f t="shared" si="981"/>
        <v>#DIV/0!</v>
      </c>
      <c r="CF1126" s="36"/>
      <c r="CG1126" s="39"/>
      <c r="CH1126" s="39"/>
      <c r="CI1126" s="25">
        <v>3</v>
      </c>
    </row>
    <row r="1127" spans="1:101" ht="24.75" customHeight="1">
      <c r="A1127" s="36" t="s">
        <v>46</v>
      </c>
      <c r="B1127" s="30"/>
      <c r="C1127" s="36"/>
      <c r="D1127" s="23"/>
      <c r="E1127" s="39"/>
      <c r="F1127" s="39"/>
      <c r="G1127" s="36"/>
      <c r="H1127" s="39"/>
      <c r="I1127" s="39"/>
      <c r="J1127" s="39"/>
      <c r="K1127" s="39"/>
      <c r="L1127" s="39">
        <f t="shared" si="1110"/>
        <v>0</v>
      </c>
      <c r="M1127" s="39"/>
      <c r="N1127" s="39"/>
      <c r="O1127" s="39"/>
      <c r="P1127" s="39"/>
      <c r="Q1127" s="39"/>
      <c r="R1127" s="39">
        <f t="shared" si="1111"/>
        <v>0</v>
      </c>
      <c r="S1127" s="39"/>
      <c r="T1127" s="39"/>
      <c r="U1127" s="39"/>
      <c r="V1127" s="39"/>
      <c r="W1127" s="39"/>
      <c r="X1127" s="39"/>
      <c r="Y1127" s="39"/>
      <c r="Z1127" s="39"/>
      <c r="AA1127" s="39"/>
      <c r="AB1127" s="39">
        <f t="shared" si="1112"/>
        <v>0</v>
      </c>
      <c r="AC1127" s="39"/>
      <c r="AD1127" s="39"/>
      <c r="AE1127" s="39"/>
      <c r="AF1127" s="39"/>
      <c r="AG1127" s="39"/>
      <c r="AH1127" s="39">
        <f t="shared" si="1051"/>
        <v>0</v>
      </c>
      <c r="AI1127" s="39"/>
      <c r="AJ1127" s="39"/>
      <c r="AK1127" s="39"/>
      <c r="AL1127" s="39"/>
      <c r="AM1127" s="39"/>
      <c r="AN1127" s="39">
        <f t="shared" si="1047"/>
        <v>0</v>
      </c>
      <c r="AO1127" s="39"/>
      <c r="AP1127" s="39"/>
      <c r="AQ1127" s="39"/>
      <c r="AR1127" s="39"/>
      <c r="AS1127" s="39"/>
      <c r="AT1127" s="39">
        <f t="shared" si="974"/>
        <v>0</v>
      </c>
      <c r="AU1127" s="39"/>
      <c r="AV1127" s="39"/>
      <c r="AW1127" s="39"/>
      <c r="AX1127" s="39"/>
      <c r="AY1127" s="39"/>
      <c r="AZ1127" s="39">
        <f t="shared" si="975"/>
        <v>0</v>
      </c>
      <c r="BA1127" s="39"/>
      <c r="BB1127" s="39"/>
      <c r="BC1127" s="39"/>
      <c r="BD1127" s="39"/>
      <c r="BE1127" s="39"/>
      <c r="BF1127" s="39">
        <f t="shared" si="976"/>
        <v>0</v>
      </c>
      <c r="BG1127" s="39"/>
      <c r="BH1127" s="39"/>
      <c r="BI1127" s="39"/>
      <c r="BJ1127" s="39"/>
      <c r="BK1127" s="39"/>
      <c r="BL1127" s="39">
        <f t="shared" si="1055"/>
        <v>0</v>
      </c>
      <c r="BM1127" s="54" t="e">
        <f t="shared" si="977"/>
        <v>#DIV/0!</v>
      </c>
      <c r="BN1127" s="61"/>
      <c r="BO1127" s="36"/>
      <c r="BP1127" s="36"/>
      <c r="BQ1127" s="36"/>
      <c r="BR1127" s="40"/>
      <c r="BS1127" s="40"/>
      <c r="BT1127" s="39"/>
      <c r="BU1127" s="39"/>
      <c r="BV1127" s="39"/>
      <c r="BW1127" s="39"/>
      <c r="BX1127" s="39"/>
      <c r="BY1127" s="39"/>
      <c r="BZ1127" s="39">
        <f t="shared" si="1057"/>
        <v>0</v>
      </c>
      <c r="CA1127" s="39">
        <f t="shared" si="978"/>
        <v>0</v>
      </c>
      <c r="CB1127" s="39">
        <f t="shared" si="979"/>
        <v>0</v>
      </c>
      <c r="CC1127" s="39">
        <f t="shared" si="980"/>
        <v>0</v>
      </c>
      <c r="CD1127" s="39">
        <f t="shared" si="1061"/>
        <v>0</v>
      </c>
      <c r="CE1127" s="47" t="e">
        <f t="shared" si="981"/>
        <v>#DIV/0!</v>
      </c>
      <c r="CF1127" s="36"/>
      <c r="CG1127" s="39"/>
      <c r="CH1127" s="39"/>
      <c r="CI1127" s="25">
        <v>3</v>
      </c>
    </row>
    <row r="1128" spans="1:101" ht="24.75" customHeight="1">
      <c r="A1128" s="36" t="s">
        <v>46</v>
      </c>
      <c r="B1128" s="30"/>
      <c r="C1128" s="36"/>
      <c r="D1128" s="23"/>
      <c r="E1128" s="39"/>
      <c r="F1128" s="39"/>
      <c r="G1128" s="36"/>
      <c r="H1128" s="39"/>
      <c r="I1128" s="39"/>
      <c r="J1128" s="39"/>
      <c r="K1128" s="39"/>
      <c r="L1128" s="39">
        <f t="shared" si="1110"/>
        <v>0</v>
      </c>
      <c r="M1128" s="39"/>
      <c r="N1128" s="39"/>
      <c r="O1128" s="39"/>
      <c r="P1128" s="39"/>
      <c r="Q1128" s="39"/>
      <c r="R1128" s="39">
        <f t="shared" si="1111"/>
        <v>0</v>
      </c>
      <c r="S1128" s="39"/>
      <c r="T1128" s="39"/>
      <c r="U1128" s="39"/>
      <c r="V1128" s="39"/>
      <c r="W1128" s="39"/>
      <c r="X1128" s="39"/>
      <c r="Y1128" s="39"/>
      <c r="Z1128" s="39"/>
      <c r="AA1128" s="39"/>
      <c r="AB1128" s="39">
        <f t="shared" si="1112"/>
        <v>0</v>
      </c>
      <c r="AC1128" s="39"/>
      <c r="AD1128" s="39"/>
      <c r="AE1128" s="39"/>
      <c r="AF1128" s="39"/>
      <c r="AG1128" s="39"/>
      <c r="AH1128" s="39">
        <f t="shared" si="1051"/>
        <v>0</v>
      </c>
      <c r="AI1128" s="39"/>
      <c r="AJ1128" s="39"/>
      <c r="AK1128" s="39"/>
      <c r="AL1128" s="39"/>
      <c r="AM1128" s="39"/>
      <c r="AN1128" s="39">
        <f t="shared" si="1047"/>
        <v>0</v>
      </c>
      <c r="AO1128" s="39"/>
      <c r="AP1128" s="39"/>
      <c r="AQ1128" s="39"/>
      <c r="AR1128" s="39"/>
      <c r="AS1128" s="39"/>
      <c r="AT1128" s="39">
        <f t="shared" si="974"/>
        <v>0</v>
      </c>
      <c r="AU1128" s="39"/>
      <c r="AV1128" s="39"/>
      <c r="AW1128" s="39"/>
      <c r="AX1128" s="39"/>
      <c r="AY1128" s="39"/>
      <c r="AZ1128" s="39">
        <f t="shared" si="975"/>
        <v>0</v>
      </c>
      <c r="BA1128" s="39"/>
      <c r="BB1128" s="39"/>
      <c r="BC1128" s="39"/>
      <c r="BD1128" s="39"/>
      <c r="BE1128" s="39"/>
      <c r="BF1128" s="39">
        <f t="shared" si="976"/>
        <v>0</v>
      </c>
      <c r="BG1128" s="39"/>
      <c r="BH1128" s="39"/>
      <c r="BI1128" s="39"/>
      <c r="BJ1128" s="39"/>
      <c r="BK1128" s="39"/>
      <c r="BL1128" s="39">
        <f t="shared" si="1055"/>
        <v>0</v>
      </c>
      <c r="BM1128" s="54" t="e">
        <f t="shared" si="977"/>
        <v>#DIV/0!</v>
      </c>
      <c r="BN1128" s="61"/>
      <c r="BO1128" s="36"/>
      <c r="BP1128" s="36"/>
      <c r="BQ1128" s="36"/>
      <c r="BR1128" s="40"/>
      <c r="BS1128" s="40"/>
      <c r="BT1128" s="39"/>
      <c r="BU1128" s="39"/>
      <c r="BV1128" s="39"/>
      <c r="BW1128" s="39"/>
      <c r="BX1128" s="39"/>
      <c r="BY1128" s="39"/>
      <c r="BZ1128" s="39">
        <f t="shared" si="1057"/>
        <v>0</v>
      </c>
      <c r="CA1128" s="39">
        <f t="shared" si="978"/>
        <v>0</v>
      </c>
      <c r="CB1128" s="39">
        <f t="shared" si="979"/>
        <v>0</v>
      </c>
      <c r="CC1128" s="39">
        <f t="shared" si="980"/>
        <v>0</v>
      </c>
      <c r="CD1128" s="39">
        <f t="shared" si="1061"/>
        <v>0</v>
      </c>
      <c r="CE1128" s="47" t="e">
        <f t="shared" si="981"/>
        <v>#DIV/0!</v>
      </c>
      <c r="CF1128" s="36"/>
      <c r="CG1128" s="39"/>
      <c r="CH1128" s="39"/>
      <c r="CI1128" s="25">
        <v>3</v>
      </c>
    </row>
    <row r="1129" spans="1:101" ht="24.75" customHeight="1">
      <c r="A1129" s="36" t="s">
        <v>46</v>
      </c>
      <c r="B1129" s="30"/>
      <c r="C1129" s="36"/>
      <c r="D1129" s="23"/>
      <c r="E1129" s="39"/>
      <c r="F1129" s="39"/>
      <c r="G1129" s="36"/>
      <c r="H1129" s="39"/>
      <c r="I1129" s="39"/>
      <c r="J1129" s="39"/>
      <c r="K1129" s="39"/>
      <c r="L1129" s="39">
        <f t="shared" si="1110"/>
        <v>0</v>
      </c>
      <c r="M1129" s="39"/>
      <c r="N1129" s="39"/>
      <c r="O1129" s="39"/>
      <c r="P1129" s="39"/>
      <c r="Q1129" s="39"/>
      <c r="R1129" s="39">
        <f t="shared" si="1111"/>
        <v>0</v>
      </c>
      <c r="S1129" s="39"/>
      <c r="T1129" s="39"/>
      <c r="U1129" s="39"/>
      <c r="V1129" s="39"/>
      <c r="W1129" s="39"/>
      <c r="X1129" s="39"/>
      <c r="Y1129" s="39"/>
      <c r="Z1129" s="39"/>
      <c r="AA1129" s="39"/>
      <c r="AB1129" s="39">
        <f t="shared" si="1112"/>
        <v>0</v>
      </c>
      <c r="AC1129" s="39"/>
      <c r="AD1129" s="39"/>
      <c r="AE1129" s="39"/>
      <c r="AF1129" s="39"/>
      <c r="AG1129" s="39"/>
      <c r="AH1129" s="39">
        <f t="shared" si="1051"/>
        <v>0</v>
      </c>
      <c r="AI1129" s="39"/>
      <c r="AJ1129" s="39"/>
      <c r="AK1129" s="39"/>
      <c r="AL1129" s="39"/>
      <c r="AM1129" s="39"/>
      <c r="AN1129" s="39">
        <f t="shared" si="1047"/>
        <v>0</v>
      </c>
      <c r="AO1129" s="39"/>
      <c r="AP1129" s="39"/>
      <c r="AQ1129" s="39"/>
      <c r="AR1129" s="39"/>
      <c r="AS1129" s="39"/>
      <c r="AT1129" s="39">
        <f t="shared" si="974"/>
        <v>0</v>
      </c>
      <c r="AU1129" s="39"/>
      <c r="AV1129" s="39"/>
      <c r="AW1129" s="39"/>
      <c r="AX1129" s="39"/>
      <c r="AY1129" s="39"/>
      <c r="AZ1129" s="39">
        <f t="shared" si="975"/>
        <v>0</v>
      </c>
      <c r="BA1129" s="39"/>
      <c r="BB1129" s="39"/>
      <c r="BC1129" s="39"/>
      <c r="BD1129" s="39"/>
      <c r="BE1129" s="39"/>
      <c r="BF1129" s="39">
        <f t="shared" si="976"/>
        <v>0</v>
      </c>
      <c r="BG1129" s="39"/>
      <c r="BH1129" s="39"/>
      <c r="BI1129" s="39"/>
      <c r="BJ1129" s="39"/>
      <c r="BK1129" s="39"/>
      <c r="BL1129" s="39">
        <f t="shared" si="1055"/>
        <v>0</v>
      </c>
      <c r="BM1129" s="54" t="e">
        <f t="shared" si="977"/>
        <v>#DIV/0!</v>
      </c>
      <c r="BN1129" s="61"/>
      <c r="BO1129" s="36"/>
      <c r="BP1129" s="36"/>
      <c r="BQ1129" s="36"/>
      <c r="BR1129" s="40"/>
      <c r="BS1129" s="40"/>
      <c r="BT1129" s="39"/>
      <c r="BU1129" s="39"/>
      <c r="BV1129" s="39"/>
      <c r="BW1129" s="39"/>
      <c r="BX1129" s="39"/>
      <c r="BY1129" s="39"/>
      <c r="BZ1129" s="39">
        <f t="shared" si="1057"/>
        <v>0</v>
      </c>
      <c r="CA1129" s="39">
        <f t="shared" si="978"/>
        <v>0</v>
      </c>
      <c r="CB1129" s="39">
        <f t="shared" si="979"/>
        <v>0</v>
      </c>
      <c r="CC1129" s="39">
        <f t="shared" si="980"/>
        <v>0</v>
      </c>
      <c r="CD1129" s="39">
        <f t="shared" si="1061"/>
        <v>0</v>
      </c>
      <c r="CE1129" s="47" t="e">
        <f t="shared" si="981"/>
        <v>#DIV/0!</v>
      </c>
      <c r="CF1129" s="36"/>
      <c r="CG1129" s="39"/>
      <c r="CH1129" s="39"/>
      <c r="CI1129" s="25">
        <v>3</v>
      </c>
      <c r="CV1129" s="191"/>
      <c r="CW1129" s="191"/>
    </row>
    <row r="1130" spans="1:101" ht="24.75" customHeight="1">
      <c r="A1130" s="36" t="s">
        <v>46</v>
      </c>
      <c r="B1130" s="30"/>
      <c r="C1130" s="36"/>
      <c r="D1130" s="23"/>
      <c r="E1130" s="39"/>
      <c r="F1130" s="39"/>
      <c r="G1130" s="36"/>
      <c r="H1130" s="39"/>
      <c r="I1130" s="39"/>
      <c r="J1130" s="39"/>
      <c r="K1130" s="39"/>
      <c r="L1130" s="39">
        <f t="shared" si="1110"/>
        <v>0</v>
      </c>
      <c r="M1130" s="39"/>
      <c r="N1130" s="39"/>
      <c r="O1130" s="39"/>
      <c r="P1130" s="39"/>
      <c r="Q1130" s="39"/>
      <c r="R1130" s="39">
        <f t="shared" si="1111"/>
        <v>0</v>
      </c>
      <c r="S1130" s="39"/>
      <c r="T1130" s="39"/>
      <c r="U1130" s="39"/>
      <c r="V1130" s="39"/>
      <c r="W1130" s="39"/>
      <c r="X1130" s="39"/>
      <c r="Y1130" s="39"/>
      <c r="Z1130" s="39"/>
      <c r="AA1130" s="39"/>
      <c r="AB1130" s="39">
        <f t="shared" si="1112"/>
        <v>0</v>
      </c>
      <c r="AC1130" s="39"/>
      <c r="AD1130" s="39"/>
      <c r="AE1130" s="39"/>
      <c r="AF1130" s="39"/>
      <c r="AG1130" s="39"/>
      <c r="AH1130" s="39">
        <f t="shared" si="1051"/>
        <v>0</v>
      </c>
      <c r="AI1130" s="39"/>
      <c r="AJ1130" s="39"/>
      <c r="AK1130" s="39"/>
      <c r="AL1130" s="39"/>
      <c r="AM1130" s="39"/>
      <c r="AN1130" s="39">
        <f t="shared" si="1047"/>
        <v>0</v>
      </c>
      <c r="AO1130" s="39"/>
      <c r="AP1130" s="39"/>
      <c r="AQ1130" s="39"/>
      <c r="AR1130" s="39"/>
      <c r="AS1130" s="39"/>
      <c r="AT1130" s="39">
        <f t="shared" si="974"/>
        <v>0</v>
      </c>
      <c r="AU1130" s="39"/>
      <c r="AV1130" s="39"/>
      <c r="AW1130" s="39"/>
      <c r="AX1130" s="39"/>
      <c r="AY1130" s="39"/>
      <c r="AZ1130" s="39">
        <f t="shared" si="975"/>
        <v>0</v>
      </c>
      <c r="BA1130" s="39"/>
      <c r="BB1130" s="39"/>
      <c r="BC1130" s="39"/>
      <c r="BD1130" s="39"/>
      <c r="BE1130" s="39"/>
      <c r="BF1130" s="39">
        <f t="shared" si="976"/>
        <v>0</v>
      </c>
      <c r="BG1130" s="39"/>
      <c r="BH1130" s="39"/>
      <c r="BI1130" s="39"/>
      <c r="BJ1130" s="39"/>
      <c r="BK1130" s="39"/>
      <c r="BL1130" s="39">
        <f t="shared" si="1055"/>
        <v>0</v>
      </c>
      <c r="BM1130" s="54" t="e">
        <f t="shared" si="977"/>
        <v>#DIV/0!</v>
      </c>
      <c r="BN1130" s="61"/>
      <c r="BO1130" s="36"/>
      <c r="BP1130" s="36"/>
      <c r="BQ1130" s="36"/>
      <c r="BR1130" s="40"/>
      <c r="BS1130" s="40"/>
      <c r="BT1130" s="39"/>
      <c r="BU1130" s="39"/>
      <c r="BV1130" s="39"/>
      <c r="BW1130" s="39"/>
      <c r="BX1130" s="39"/>
      <c r="BY1130" s="39"/>
      <c r="BZ1130" s="39">
        <f t="shared" si="1057"/>
        <v>0</v>
      </c>
      <c r="CA1130" s="39">
        <f t="shared" si="978"/>
        <v>0</v>
      </c>
      <c r="CB1130" s="39">
        <f t="shared" si="979"/>
        <v>0</v>
      </c>
      <c r="CC1130" s="39">
        <f t="shared" si="980"/>
        <v>0</v>
      </c>
      <c r="CD1130" s="39">
        <f t="shared" si="1061"/>
        <v>0</v>
      </c>
      <c r="CE1130" s="47" t="e">
        <f t="shared" si="981"/>
        <v>#DIV/0!</v>
      </c>
      <c r="CF1130" s="36"/>
      <c r="CG1130" s="39"/>
      <c r="CH1130" s="39"/>
      <c r="CI1130" s="25">
        <v>3</v>
      </c>
    </row>
    <row r="1131" spans="1:101" ht="24.75" customHeight="1">
      <c r="A1131" s="36" t="s">
        <v>46</v>
      </c>
      <c r="B1131" s="30"/>
      <c r="C1131" s="36"/>
      <c r="D1131" s="23"/>
      <c r="E1131" s="39"/>
      <c r="F1131" s="39"/>
      <c r="G1131" s="36"/>
      <c r="H1131" s="39"/>
      <c r="I1131" s="39"/>
      <c r="J1131" s="39"/>
      <c r="K1131" s="39"/>
      <c r="L1131" s="39">
        <f t="shared" si="1110"/>
        <v>0</v>
      </c>
      <c r="M1131" s="39"/>
      <c r="N1131" s="39"/>
      <c r="O1131" s="39"/>
      <c r="P1131" s="39"/>
      <c r="Q1131" s="39"/>
      <c r="R1131" s="39">
        <f t="shared" si="1111"/>
        <v>0</v>
      </c>
      <c r="S1131" s="39"/>
      <c r="T1131" s="39"/>
      <c r="U1131" s="39"/>
      <c r="V1131" s="39"/>
      <c r="W1131" s="39"/>
      <c r="X1131" s="39"/>
      <c r="Y1131" s="39"/>
      <c r="Z1131" s="39"/>
      <c r="AA1131" s="39"/>
      <c r="AB1131" s="39">
        <f t="shared" si="1112"/>
        <v>0</v>
      </c>
      <c r="AC1131" s="39"/>
      <c r="AD1131" s="39"/>
      <c r="AE1131" s="39"/>
      <c r="AF1131" s="39"/>
      <c r="AG1131" s="39"/>
      <c r="AH1131" s="39">
        <f t="shared" si="1051"/>
        <v>0</v>
      </c>
      <c r="AI1131" s="39"/>
      <c r="AJ1131" s="39"/>
      <c r="AK1131" s="39"/>
      <c r="AL1131" s="39"/>
      <c r="AM1131" s="39"/>
      <c r="AN1131" s="39">
        <f t="shared" si="1047"/>
        <v>0</v>
      </c>
      <c r="AO1131" s="39"/>
      <c r="AP1131" s="39"/>
      <c r="AQ1131" s="39"/>
      <c r="AR1131" s="39"/>
      <c r="AS1131" s="39"/>
      <c r="AT1131" s="39">
        <f t="shared" si="974"/>
        <v>0</v>
      </c>
      <c r="AU1131" s="39"/>
      <c r="AV1131" s="39"/>
      <c r="AW1131" s="39"/>
      <c r="AX1131" s="39"/>
      <c r="AY1131" s="39"/>
      <c r="AZ1131" s="39">
        <f t="shared" si="975"/>
        <v>0</v>
      </c>
      <c r="BA1131" s="39"/>
      <c r="BB1131" s="39"/>
      <c r="BC1131" s="39"/>
      <c r="BD1131" s="39"/>
      <c r="BE1131" s="39"/>
      <c r="BF1131" s="39">
        <f t="shared" si="976"/>
        <v>0</v>
      </c>
      <c r="BG1131" s="39"/>
      <c r="BH1131" s="39"/>
      <c r="BI1131" s="39"/>
      <c r="BJ1131" s="39"/>
      <c r="BK1131" s="39"/>
      <c r="BL1131" s="39">
        <f t="shared" si="1055"/>
        <v>0</v>
      </c>
      <c r="BM1131" s="54" t="e">
        <f t="shared" si="977"/>
        <v>#DIV/0!</v>
      </c>
      <c r="BN1131" s="61"/>
      <c r="BO1131" s="36"/>
      <c r="BP1131" s="36"/>
      <c r="BQ1131" s="36"/>
      <c r="BR1131" s="40"/>
      <c r="BS1131" s="40"/>
      <c r="BT1131" s="39"/>
      <c r="BU1131" s="39"/>
      <c r="BV1131" s="39"/>
      <c r="BW1131" s="39"/>
      <c r="BX1131" s="39"/>
      <c r="BY1131" s="39"/>
      <c r="BZ1131" s="39">
        <f t="shared" si="1057"/>
        <v>0</v>
      </c>
      <c r="CA1131" s="39">
        <f t="shared" si="978"/>
        <v>0</v>
      </c>
      <c r="CB1131" s="39">
        <f t="shared" si="979"/>
        <v>0</v>
      </c>
      <c r="CC1131" s="39">
        <f t="shared" si="980"/>
        <v>0</v>
      </c>
      <c r="CD1131" s="39">
        <f t="shared" si="1061"/>
        <v>0</v>
      </c>
      <c r="CE1131" s="47" t="e">
        <f t="shared" si="981"/>
        <v>#DIV/0!</v>
      </c>
      <c r="CF1131" s="36"/>
      <c r="CG1131" s="39"/>
      <c r="CH1131" s="39"/>
      <c r="CI1131" s="25">
        <v>3</v>
      </c>
    </row>
    <row r="1132" spans="1:101" ht="24.75" customHeight="1">
      <c r="A1132" s="36" t="s">
        <v>46</v>
      </c>
      <c r="B1132" s="30"/>
      <c r="C1132" s="36"/>
      <c r="D1132" s="23"/>
      <c r="E1132" s="39"/>
      <c r="F1132" s="39"/>
      <c r="G1132" s="36"/>
      <c r="H1132" s="39"/>
      <c r="I1132" s="39"/>
      <c r="J1132" s="39"/>
      <c r="K1132" s="39"/>
      <c r="L1132" s="39">
        <f t="shared" si="1110"/>
        <v>0</v>
      </c>
      <c r="M1132" s="39"/>
      <c r="N1132" s="39"/>
      <c r="O1132" s="39"/>
      <c r="P1132" s="39"/>
      <c r="Q1132" s="39"/>
      <c r="R1132" s="39">
        <f t="shared" si="1111"/>
        <v>0</v>
      </c>
      <c r="S1132" s="39"/>
      <c r="T1132" s="39"/>
      <c r="U1132" s="39"/>
      <c r="V1132" s="39"/>
      <c r="W1132" s="39"/>
      <c r="X1132" s="39"/>
      <c r="Y1132" s="39"/>
      <c r="Z1132" s="39"/>
      <c r="AA1132" s="39"/>
      <c r="AB1132" s="39">
        <f t="shared" si="1112"/>
        <v>0</v>
      </c>
      <c r="AC1132" s="39"/>
      <c r="AD1132" s="39"/>
      <c r="AE1132" s="39"/>
      <c r="AF1132" s="39"/>
      <c r="AG1132" s="39"/>
      <c r="AH1132" s="39">
        <f t="shared" si="1051"/>
        <v>0</v>
      </c>
      <c r="AI1132" s="39"/>
      <c r="AJ1132" s="39"/>
      <c r="AK1132" s="39"/>
      <c r="AL1132" s="39"/>
      <c r="AM1132" s="39"/>
      <c r="AN1132" s="39">
        <f t="shared" si="1047"/>
        <v>0</v>
      </c>
      <c r="AO1132" s="39"/>
      <c r="AP1132" s="39"/>
      <c r="AQ1132" s="39"/>
      <c r="AR1132" s="39"/>
      <c r="AS1132" s="39"/>
      <c r="AT1132" s="39">
        <f t="shared" si="974"/>
        <v>0</v>
      </c>
      <c r="AU1132" s="39"/>
      <c r="AV1132" s="39"/>
      <c r="AW1132" s="39"/>
      <c r="AX1132" s="39"/>
      <c r="AY1132" s="39"/>
      <c r="AZ1132" s="39">
        <f t="shared" si="975"/>
        <v>0</v>
      </c>
      <c r="BA1132" s="39"/>
      <c r="BB1132" s="39"/>
      <c r="BC1132" s="39"/>
      <c r="BD1132" s="39"/>
      <c r="BE1132" s="39"/>
      <c r="BF1132" s="39">
        <f t="shared" si="976"/>
        <v>0</v>
      </c>
      <c r="BG1132" s="39"/>
      <c r="BH1132" s="39"/>
      <c r="BI1132" s="39"/>
      <c r="BJ1132" s="39"/>
      <c r="BK1132" s="39"/>
      <c r="BL1132" s="39">
        <f t="shared" si="1055"/>
        <v>0</v>
      </c>
      <c r="BM1132" s="54" t="e">
        <f t="shared" si="977"/>
        <v>#DIV/0!</v>
      </c>
      <c r="BN1132" s="61"/>
      <c r="BO1132" s="36"/>
      <c r="BP1132" s="36"/>
      <c r="BQ1132" s="36"/>
      <c r="BR1132" s="40"/>
      <c r="BS1132" s="40"/>
      <c r="BT1132" s="39"/>
      <c r="BU1132" s="39"/>
      <c r="BV1132" s="39"/>
      <c r="BW1132" s="39"/>
      <c r="BX1132" s="39"/>
      <c r="BY1132" s="39"/>
      <c r="BZ1132" s="39">
        <f t="shared" si="1057"/>
        <v>0</v>
      </c>
      <c r="CA1132" s="39">
        <f t="shared" si="978"/>
        <v>0</v>
      </c>
      <c r="CB1132" s="39">
        <f t="shared" si="979"/>
        <v>0</v>
      </c>
      <c r="CC1132" s="39">
        <f t="shared" si="980"/>
        <v>0</v>
      </c>
      <c r="CD1132" s="39">
        <f t="shared" si="1061"/>
        <v>0</v>
      </c>
      <c r="CE1132" s="47" t="e">
        <f t="shared" si="981"/>
        <v>#DIV/0!</v>
      </c>
      <c r="CF1132" s="36"/>
      <c r="CG1132" s="39"/>
      <c r="CH1132" s="39"/>
      <c r="CI1132" s="25">
        <v>3</v>
      </c>
    </row>
    <row r="1133" spans="1:101" ht="24.75" customHeight="1">
      <c r="A1133" s="36" t="s">
        <v>46</v>
      </c>
      <c r="B1133" s="30"/>
      <c r="C1133" s="36"/>
      <c r="D1133" s="23"/>
      <c r="E1133" s="39"/>
      <c r="F1133" s="39"/>
      <c r="G1133" s="36"/>
      <c r="H1133" s="39"/>
      <c r="I1133" s="39"/>
      <c r="J1133" s="39"/>
      <c r="K1133" s="39"/>
      <c r="L1133" s="39">
        <f t="shared" si="1110"/>
        <v>0</v>
      </c>
      <c r="M1133" s="39"/>
      <c r="N1133" s="39"/>
      <c r="O1133" s="39"/>
      <c r="P1133" s="39"/>
      <c r="Q1133" s="39"/>
      <c r="R1133" s="39">
        <f t="shared" si="1111"/>
        <v>0</v>
      </c>
      <c r="S1133" s="39"/>
      <c r="T1133" s="39"/>
      <c r="U1133" s="39"/>
      <c r="V1133" s="39"/>
      <c r="W1133" s="39"/>
      <c r="X1133" s="39"/>
      <c r="Y1133" s="39"/>
      <c r="Z1133" s="39"/>
      <c r="AA1133" s="39"/>
      <c r="AB1133" s="39">
        <f t="shared" si="1112"/>
        <v>0</v>
      </c>
      <c r="AC1133" s="39"/>
      <c r="AD1133" s="39"/>
      <c r="AE1133" s="39"/>
      <c r="AF1133" s="39"/>
      <c r="AG1133" s="39"/>
      <c r="AH1133" s="39">
        <f t="shared" si="1051"/>
        <v>0</v>
      </c>
      <c r="AI1133" s="39"/>
      <c r="AJ1133" s="39"/>
      <c r="AK1133" s="39"/>
      <c r="AL1133" s="39"/>
      <c r="AM1133" s="39"/>
      <c r="AN1133" s="39">
        <f t="shared" si="1047"/>
        <v>0</v>
      </c>
      <c r="AO1133" s="39"/>
      <c r="AP1133" s="39"/>
      <c r="AQ1133" s="39"/>
      <c r="AR1133" s="39"/>
      <c r="AS1133" s="39"/>
      <c r="AT1133" s="39">
        <f t="shared" si="974"/>
        <v>0</v>
      </c>
      <c r="AU1133" s="39"/>
      <c r="AV1133" s="39"/>
      <c r="AW1133" s="39"/>
      <c r="AX1133" s="39"/>
      <c r="AY1133" s="39"/>
      <c r="AZ1133" s="39">
        <f t="shared" si="975"/>
        <v>0</v>
      </c>
      <c r="BA1133" s="39"/>
      <c r="BB1133" s="39"/>
      <c r="BC1133" s="39"/>
      <c r="BD1133" s="39"/>
      <c r="BE1133" s="39"/>
      <c r="BF1133" s="39">
        <f t="shared" si="976"/>
        <v>0</v>
      </c>
      <c r="BG1133" s="39"/>
      <c r="BH1133" s="39"/>
      <c r="BI1133" s="39"/>
      <c r="BJ1133" s="39"/>
      <c r="BK1133" s="39"/>
      <c r="BL1133" s="39">
        <f t="shared" si="1055"/>
        <v>0</v>
      </c>
      <c r="BM1133" s="54" t="e">
        <f t="shared" si="977"/>
        <v>#DIV/0!</v>
      </c>
      <c r="BN1133" s="61"/>
      <c r="BO1133" s="36"/>
      <c r="BP1133" s="36"/>
      <c r="BQ1133" s="36"/>
      <c r="BR1133" s="40"/>
      <c r="BS1133" s="40"/>
      <c r="BT1133" s="39"/>
      <c r="BU1133" s="39"/>
      <c r="BV1133" s="39"/>
      <c r="BW1133" s="39"/>
      <c r="BX1133" s="39"/>
      <c r="BY1133" s="39"/>
      <c r="BZ1133" s="39">
        <f t="shared" si="1057"/>
        <v>0</v>
      </c>
      <c r="CA1133" s="39">
        <f t="shared" si="978"/>
        <v>0</v>
      </c>
      <c r="CB1133" s="39">
        <f t="shared" si="979"/>
        <v>0</v>
      </c>
      <c r="CC1133" s="39">
        <f t="shared" si="980"/>
        <v>0</v>
      </c>
      <c r="CD1133" s="39">
        <f t="shared" si="1061"/>
        <v>0</v>
      </c>
      <c r="CE1133" s="47" t="e">
        <f t="shared" si="981"/>
        <v>#DIV/0!</v>
      </c>
      <c r="CF1133" s="36"/>
      <c r="CG1133" s="39"/>
      <c r="CH1133" s="39"/>
      <c r="CI1133" s="25">
        <v>3</v>
      </c>
    </row>
    <row r="1134" spans="1:101" ht="24.75" customHeight="1">
      <c r="A1134" s="36" t="s">
        <v>46</v>
      </c>
      <c r="B1134" s="30"/>
      <c r="C1134" s="36"/>
      <c r="D1134" s="23"/>
      <c r="E1134" s="39"/>
      <c r="F1134" s="39"/>
      <c r="G1134" s="36"/>
      <c r="H1134" s="39"/>
      <c r="I1134" s="39"/>
      <c r="J1134" s="39"/>
      <c r="K1134" s="39"/>
      <c r="L1134" s="39">
        <f t="shared" si="1110"/>
        <v>0</v>
      </c>
      <c r="M1134" s="39"/>
      <c r="N1134" s="39"/>
      <c r="O1134" s="39"/>
      <c r="P1134" s="39"/>
      <c r="Q1134" s="39"/>
      <c r="R1134" s="39">
        <f t="shared" si="1111"/>
        <v>0</v>
      </c>
      <c r="S1134" s="39"/>
      <c r="T1134" s="39"/>
      <c r="U1134" s="39"/>
      <c r="V1134" s="39"/>
      <c r="W1134" s="39"/>
      <c r="X1134" s="39"/>
      <c r="Y1134" s="39"/>
      <c r="Z1134" s="39"/>
      <c r="AA1134" s="39"/>
      <c r="AB1134" s="39">
        <f t="shared" si="1112"/>
        <v>0</v>
      </c>
      <c r="AC1134" s="39"/>
      <c r="AD1134" s="39"/>
      <c r="AE1134" s="39"/>
      <c r="AF1134" s="39"/>
      <c r="AG1134" s="39"/>
      <c r="AH1134" s="39">
        <f t="shared" si="1051"/>
        <v>0</v>
      </c>
      <c r="AI1134" s="39"/>
      <c r="AJ1134" s="39"/>
      <c r="AK1134" s="39"/>
      <c r="AL1134" s="39"/>
      <c r="AM1134" s="39"/>
      <c r="AN1134" s="39">
        <f t="shared" si="1047"/>
        <v>0</v>
      </c>
      <c r="AO1134" s="39"/>
      <c r="AP1134" s="39"/>
      <c r="AQ1134" s="39"/>
      <c r="AR1134" s="39"/>
      <c r="AS1134" s="39"/>
      <c r="AT1134" s="39">
        <f t="shared" si="974"/>
        <v>0</v>
      </c>
      <c r="AU1134" s="39"/>
      <c r="AV1134" s="39"/>
      <c r="AW1134" s="39"/>
      <c r="AX1134" s="39"/>
      <c r="AY1134" s="39"/>
      <c r="AZ1134" s="39">
        <f t="shared" si="975"/>
        <v>0</v>
      </c>
      <c r="BA1134" s="39"/>
      <c r="BB1134" s="39"/>
      <c r="BC1134" s="39"/>
      <c r="BD1134" s="39"/>
      <c r="BE1134" s="39"/>
      <c r="BF1134" s="39">
        <f t="shared" si="976"/>
        <v>0</v>
      </c>
      <c r="BG1134" s="39"/>
      <c r="BH1134" s="39"/>
      <c r="BI1134" s="39"/>
      <c r="BJ1134" s="39"/>
      <c r="BK1134" s="39"/>
      <c r="BL1134" s="39">
        <f t="shared" si="1055"/>
        <v>0</v>
      </c>
      <c r="BM1134" s="54" t="e">
        <f t="shared" si="977"/>
        <v>#DIV/0!</v>
      </c>
      <c r="BN1134" s="61"/>
      <c r="BO1134" s="36"/>
      <c r="BP1134" s="36"/>
      <c r="BQ1134" s="36"/>
      <c r="BR1134" s="40"/>
      <c r="BS1134" s="40"/>
      <c r="BT1134" s="39"/>
      <c r="BU1134" s="39"/>
      <c r="BV1134" s="39"/>
      <c r="BW1134" s="39"/>
      <c r="BX1134" s="39"/>
      <c r="BY1134" s="39"/>
      <c r="BZ1134" s="39">
        <f t="shared" si="1057"/>
        <v>0</v>
      </c>
      <c r="CA1134" s="39">
        <f t="shared" si="978"/>
        <v>0</v>
      </c>
      <c r="CB1134" s="39">
        <f t="shared" si="979"/>
        <v>0</v>
      </c>
      <c r="CC1134" s="39">
        <f t="shared" si="980"/>
        <v>0</v>
      </c>
      <c r="CD1134" s="39">
        <f t="shared" si="1061"/>
        <v>0</v>
      </c>
      <c r="CE1134" s="47" t="e">
        <f t="shared" si="981"/>
        <v>#DIV/0!</v>
      </c>
      <c r="CF1134" s="36"/>
      <c r="CG1134" s="39"/>
      <c r="CH1134" s="39"/>
      <c r="CI1134" s="25">
        <v>3</v>
      </c>
    </row>
    <row r="1135" spans="1:101" ht="24.75" customHeight="1">
      <c r="A1135" s="36" t="s">
        <v>46</v>
      </c>
      <c r="B1135" s="30"/>
      <c r="C1135" s="36"/>
      <c r="D1135" s="23"/>
      <c r="E1135" s="39"/>
      <c r="F1135" s="39"/>
      <c r="G1135" s="36"/>
      <c r="H1135" s="39"/>
      <c r="I1135" s="39"/>
      <c r="J1135" s="39"/>
      <c r="K1135" s="39"/>
      <c r="L1135" s="39">
        <f t="shared" si="1110"/>
        <v>0</v>
      </c>
      <c r="M1135" s="39"/>
      <c r="N1135" s="39"/>
      <c r="O1135" s="39"/>
      <c r="P1135" s="39"/>
      <c r="Q1135" s="39"/>
      <c r="R1135" s="39">
        <f t="shared" si="1111"/>
        <v>0</v>
      </c>
      <c r="S1135" s="39"/>
      <c r="T1135" s="39"/>
      <c r="U1135" s="39"/>
      <c r="V1135" s="39"/>
      <c r="W1135" s="39"/>
      <c r="X1135" s="39"/>
      <c r="Y1135" s="39"/>
      <c r="Z1135" s="39"/>
      <c r="AA1135" s="39"/>
      <c r="AB1135" s="39">
        <f t="shared" si="1112"/>
        <v>0</v>
      </c>
      <c r="AC1135" s="39"/>
      <c r="AD1135" s="39"/>
      <c r="AE1135" s="39"/>
      <c r="AF1135" s="39"/>
      <c r="AG1135" s="39"/>
      <c r="AH1135" s="39">
        <f t="shared" si="1051"/>
        <v>0</v>
      </c>
      <c r="AI1135" s="39"/>
      <c r="AJ1135" s="39"/>
      <c r="AK1135" s="39"/>
      <c r="AL1135" s="39"/>
      <c r="AM1135" s="39"/>
      <c r="AN1135" s="39">
        <f t="shared" si="1047"/>
        <v>0</v>
      </c>
      <c r="AO1135" s="39"/>
      <c r="AP1135" s="39"/>
      <c r="AQ1135" s="39"/>
      <c r="AR1135" s="39"/>
      <c r="AS1135" s="39"/>
      <c r="AT1135" s="39">
        <f t="shared" si="974"/>
        <v>0</v>
      </c>
      <c r="AU1135" s="39"/>
      <c r="AV1135" s="39"/>
      <c r="AW1135" s="39"/>
      <c r="AX1135" s="39"/>
      <c r="AY1135" s="39"/>
      <c r="AZ1135" s="39">
        <f t="shared" si="975"/>
        <v>0</v>
      </c>
      <c r="BA1135" s="39"/>
      <c r="BB1135" s="39"/>
      <c r="BC1135" s="39"/>
      <c r="BD1135" s="39"/>
      <c r="BE1135" s="39"/>
      <c r="BF1135" s="39">
        <f t="shared" si="976"/>
        <v>0</v>
      </c>
      <c r="BG1135" s="39"/>
      <c r="BH1135" s="39"/>
      <c r="BI1135" s="39"/>
      <c r="BJ1135" s="39"/>
      <c r="BK1135" s="39"/>
      <c r="BL1135" s="39">
        <f t="shared" si="1055"/>
        <v>0</v>
      </c>
      <c r="BM1135" s="54" t="e">
        <f t="shared" si="977"/>
        <v>#DIV/0!</v>
      </c>
      <c r="BN1135" s="61"/>
      <c r="BO1135" s="36"/>
      <c r="BP1135" s="36"/>
      <c r="BQ1135" s="36"/>
      <c r="BR1135" s="40"/>
      <c r="BS1135" s="40"/>
      <c r="BT1135" s="39"/>
      <c r="BU1135" s="39"/>
      <c r="BV1135" s="39"/>
      <c r="BW1135" s="39"/>
      <c r="BX1135" s="39"/>
      <c r="BY1135" s="39"/>
      <c r="BZ1135" s="39">
        <f t="shared" si="1057"/>
        <v>0</v>
      </c>
      <c r="CA1135" s="39">
        <f t="shared" si="978"/>
        <v>0</v>
      </c>
      <c r="CB1135" s="39">
        <f t="shared" si="979"/>
        <v>0</v>
      </c>
      <c r="CC1135" s="39">
        <f t="shared" si="980"/>
        <v>0</v>
      </c>
      <c r="CD1135" s="39">
        <f t="shared" si="1061"/>
        <v>0</v>
      </c>
      <c r="CE1135" s="47" t="e">
        <f t="shared" si="981"/>
        <v>#DIV/0!</v>
      </c>
      <c r="CF1135" s="36"/>
      <c r="CG1135" s="39"/>
      <c r="CH1135" s="39"/>
      <c r="CI1135" s="25">
        <v>3</v>
      </c>
    </row>
    <row r="1136" spans="1:101" ht="24.75" customHeight="1">
      <c r="A1136" s="36" t="s">
        <v>46</v>
      </c>
      <c r="B1136" s="30"/>
      <c r="C1136" s="36"/>
      <c r="D1136" s="23"/>
      <c r="E1136" s="39"/>
      <c r="F1136" s="39"/>
      <c r="G1136" s="36"/>
      <c r="H1136" s="39"/>
      <c r="I1136" s="39"/>
      <c r="J1136" s="39"/>
      <c r="K1136" s="39"/>
      <c r="L1136" s="39">
        <f t="shared" si="1110"/>
        <v>0</v>
      </c>
      <c r="M1136" s="39"/>
      <c r="N1136" s="39"/>
      <c r="O1136" s="39"/>
      <c r="P1136" s="39"/>
      <c r="Q1136" s="39"/>
      <c r="R1136" s="39">
        <f t="shared" si="1111"/>
        <v>0</v>
      </c>
      <c r="S1136" s="39"/>
      <c r="T1136" s="39"/>
      <c r="U1136" s="39"/>
      <c r="V1136" s="39"/>
      <c r="W1136" s="39"/>
      <c r="X1136" s="39"/>
      <c r="Y1136" s="39"/>
      <c r="Z1136" s="39"/>
      <c r="AA1136" s="39"/>
      <c r="AB1136" s="39">
        <f t="shared" si="1112"/>
        <v>0</v>
      </c>
      <c r="AC1136" s="39"/>
      <c r="AD1136" s="39"/>
      <c r="AE1136" s="39"/>
      <c r="AF1136" s="39"/>
      <c r="AG1136" s="39"/>
      <c r="AH1136" s="39">
        <f t="shared" si="1051"/>
        <v>0</v>
      </c>
      <c r="AI1136" s="39"/>
      <c r="AJ1136" s="39"/>
      <c r="AK1136" s="39"/>
      <c r="AL1136" s="39"/>
      <c r="AM1136" s="39"/>
      <c r="AN1136" s="39">
        <f t="shared" si="1047"/>
        <v>0</v>
      </c>
      <c r="AO1136" s="39"/>
      <c r="AP1136" s="39"/>
      <c r="AQ1136" s="39"/>
      <c r="AR1136" s="39"/>
      <c r="AS1136" s="39"/>
      <c r="AT1136" s="39">
        <f t="shared" si="974"/>
        <v>0</v>
      </c>
      <c r="AU1136" s="39"/>
      <c r="AV1136" s="39"/>
      <c r="AW1136" s="39"/>
      <c r="AX1136" s="39"/>
      <c r="AY1136" s="39"/>
      <c r="AZ1136" s="39">
        <f t="shared" si="975"/>
        <v>0</v>
      </c>
      <c r="BA1136" s="39"/>
      <c r="BB1136" s="39"/>
      <c r="BC1136" s="39"/>
      <c r="BD1136" s="39"/>
      <c r="BE1136" s="39"/>
      <c r="BF1136" s="39">
        <f t="shared" si="976"/>
        <v>0</v>
      </c>
      <c r="BG1136" s="39"/>
      <c r="BH1136" s="39"/>
      <c r="BI1136" s="39"/>
      <c r="BJ1136" s="39"/>
      <c r="BK1136" s="39"/>
      <c r="BL1136" s="39">
        <f t="shared" si="1055"/>
        <v>0</v>
      </c>
      <c r="BM1136" s="54" t="e">
        <f t="shared" si="977"/>
        <v>#DIV/0!</v>
      </c>
      <c r="BN1136" s="61"/>
      <c r="BO1136" s="36"/>
      <c r="BP1136" s="36"/>
      <c r="BQ1136" s="36"/>
      <c r="BR1136" s="40"/>
      <c r="BS1136" s="40"/>
      <c r="BT1136" s="39"/>
      <c r="BU1136" s="39"/>
      <c r="BV1136" s="39"/>
      <c r="BW1136" s="39"/>
      <c r="BX1136" s="39"/>
      <c r="BY1136" s="39"/>
      <c r="BZ1136" s="39">
        <f t="shared" si="1057"/>
        <v>0</v>
      </c>
      <c r="CA1136" s="39">
        <f t="shared" si="978"/>
        <v>0</v>
      </c>
      <c r="CB1136" s="39">
        <f t="shared" si="979"/>
        <v>0</v>
      </c>
      <c r="CC1136" s="39">
        <f t="shared" si="980"/>
        <v>0</v>
      </c>
      <c r="CD1136" s="39">
        <f t="shared" si="1061"/>
        <v>0</v>
      </c>
      <c r="CE1136" s="47" t="e">
        <f t="shared" si="981"/>
        <v>#DIV/0!</v>
      </c>
      <c r="CF1136" s="36"/>
      <c r="CG1136" s="39"/>
      <c r="CH1136" s="39"/>
      <c r="CI1136" s="25">
        <v>3</v>
      </c>
    </row>
    <row r="1137" spans="1:147" ht="24.75" customHeight="1">
      <c r="A1137" s="36" t="s">
        <v>46</v>
      </c>
      <c r="B1137" s="30"/>
      <c r="C1137" s="36"/>
      <c r="D1137" s="23"/>
      <c r="E1137" s="39"/>
      <c r="F1137" s="39"/>
      <c r="G1137" s="36"/>
      <c r="H1137" s="39"/>
      <c r="I1137" s="39"/>
      <c r="J1137" s="39"/>
      <c r="K1137" s="39"/>
      <c r="L1137" s="39">
        <f t="shared" si="1110"/>
        <v>0</v>
      </c>
      <c r="M1137" s="39"/>
      <c r="N1137" s="39"/>
      <c r="O1137" s="39"/>
      <c r="P1137" s="39"/>
      <c r="Q1137" s="39"/>
      <c r="R1137" s="39">
        <f t="shared" si="1111"/>
        <v>0</v>
      </c>
      <c r="S1137" s="39"/>
      <c r="T1137" s="39"/>
      <c r="U1137" s="39"/>
      <c r="V1137" s="39"/>
      <c r="W1137" s="39"/>
      <c r="X1137" s="39"/>
      <c r="Y1137" s="39"/>
      <c r="Z1137" s="39"/>
      <c r="AA1137" s="39"/>
      <c r="AB1137" s="39">
        <f t="shared" si="1112"/>
        <v>0</v>
      </c>
      <c r="AC1137" s="39"/>
      <c r="AD1137" s="39"/>
      <c r="AE1137" s="39"/>
      <c r="AF1137" s="39"/>
      <c r="AG1137" s="39"/>
      <c r="AH1137" s="39">
        <f t="shared" si="1051"/>
        <v>0</v>
      </c>
      <c r="AI1137" s="39"/>
      <c r="AJ1137" s="39"/>
      <c r="AK1137" s="39"/>
      <c r="AL1137" s="39"/>
      <c r="AM1137" s="39"/>
      <c r="AN1137" s="39">
        <f t="shared" si="1047"/>
        <v>0</v>
      </c>
      <c r="AO1137" s="39"/>
      <c r="AP1137" s="39"/>
      <c r="AQ1137" s="39"/>
      <c r="AR1137" s="39"/>
      <c r="AS1137" s="39"/>
      <c r="AT1137" s="39">
        <f t="shared" si="974"/>
        <v>0</v>
      </c>
      <c r="AU1137" s="39"/>
      <c r="AV1137" s="39"/>
      <c r="AW1137" s="39"/>
      <c r="AX1137" s="39"/>
      <c r="AY1137" s="39"/>
      <c r="AZ1137" s="39">
        <f t="shared" si="975"/>
        <v>0</v>
      </c>
      <c r="BA1137" s="39"/>
      <c r="BB1137" s="39"/>
      <c r="BC1137" s="39"/>
      <c r="BD1137" s="39"/>
      <c r="BE1137" s="39"/>
      <c r="BF1137" s="39">
        <f t="shared" si="976"/>
        <v>0</v>
      </c>
      <c r="BG1137" s="39"/>
      <c r="BH1137" s="39"/>
      <c r="BI1137" s="39"/>
      <c r="BJ1137" s="39"/>
      <c r="BK1137" s="39"/>
      <c r="BL1137" s="39">
        <f t="shared" si="1055"/>
        <v>0</v>
      </c>
      <c r="BM1137" s="54" t="e">
        <f t="shared" si="977"/>
        <v>#DIV/0!</v>
      </c>
      <c r="BN1137" s="61"/>
      <c r="BO1137" s="36"/>
      <c r="BP1137" s="36"/>
      <c r="BQ1137" s="36"/>
      <c r="BR1137" s="40"/>
      <c r="BS1137" s="40"/>
      <c r="BT1137" s="39"/>
      <c r="BU1137" s="39"/>
      <c r="BV1137" s="39"/>
      <c r="BW1137" s="39"/>
      <c r="BX1137" s="39"/>
      <c r="BY1137" s="39"/>
      <c r="BZ1137" s="39">
        <f t="shared" si="1057"/>
        <v>0</v>
      </c>
      <c r="CA1137" s="39">
        <f t="shared" si="978"/>
        <v>0</v>
      </c>
      <c r="CB1137" s="39">
        <f t="shared" si="979"/>
        <v>0</v>
      </c>
      <c r="CC1137" s="39">
        <f t="shared" si="980"/>
        <v>0</v>
      </c>
      <c r="CD1137" s="39">
        <f t="shared" si="1061"/>
        <v>0</v>
      </c>
      <c r="CE1137" s="47" t="e">
        <f t="shared" si="981"/>
        <v>#DIV/0!</v>
      </c>
      <c r="CF1137" s="36"/>
      <c r="CG1137" s="39"/>
      <c r="CH1137" s="39"/>
      <c r="CI1137" s="25">
        <v>3</v>
      </c>
    </row>
    <row r="1138" spans="1:147" ht="24.75" customHeight="1">
      <c r="A1138" s="36" t="s">
        <v>46</v>
      </c>
      <c r="B1138" s="30"/>
      <c r="C1138" s="36"/>
      <c r="D1138" s="23"/>
      <c r="E1138" s="39"/>
      <c r="F1138" s="39"/>
      <c r="G1138" s="36"/>
      <c r="H1138" s="39"/>
      <c r="I1138" s="39"/>
      <c r="J1138" s="39"/>
      <c r="K1138" s="39"/>
      <c r="L1138" s="39">
        <f t="shared" si="1110"/>
        <v>0</v>
      </c>
      <c r="M1138" s="39"/>
      <c r="N1138" s="39"/>
      <c r="O1138" s="39"/>
      <c r="P1138" s="39"/>
      <c r="Q1138" s="39"/>
      <c r="R1138" s="39">
        <f t="shared" si="1111"/>
        <v>0</v>
      </c>
      <c r="S1138" s="39"/>
      <c r="T1138" s="39"/>
      <c r="U1138" s="39"/>
      <c r="V1138" s="39"/>
      <c r="W1138" s="39"/>
      <c r="X1138" s="39"/>
      <c r="Y1138" s="39"/>
      <c r="Z1138" s="39"/>
      <c r="AA1138" s="39"/>
      <c r="AB1138" s="39">
        <f t="shared" si="1112"/>
        <v>0</v>
      </c>
      <c r="AC1138" s="39"/>
      <c r="AD1138" s="39"/>
      <c r="AE1138" s="39"/>
      <c r="AF1138" s="39"/>
      <c r="AG1138" s="39"/>
      <c r="AH1138" s="39">
        <f t="shared" si="1051"/>
        <v>0</v>
      </c>
      <c r="AI1138" s="39"/>
      <c r="AJ1138" s="39"/>
      <c r="AK1138" s="39"/>
      <c r="AL1138" s="39"/>
      <c r="AM1138" s="39"/>
      <c r="AN1138" s="39">
        <f t="shared" si="1047"/>
        <v>0</v>
      </c>
      <c r="AO1138" s="39"/>
      <c r="AP1138" s="39"/>
      <c r="AQ1138" s="39"/>
      <c r="AR1138" s="39"/>
      <c r="AS1138" s="39"/>
      <c r="AT1138" s="39">
        <f t="shared" si="974"/>
        <v>0</v>
      </c>
      <c r="AU1138" s="39"/>
      <c r="AV1138" s="39"/>
      <c r="AW1138" s="39"/>
      <c r="AX1138" s="39"/>
      <c r="AY1138" s="39"/>
      <c r="AZ1138" s="39">
        <f t="shared" si="975"/>
        <v>0</v>
      </c>
      <c r="BA1138" s="39"/>
      <c r="BB1138" s="39"/>
      <c r="BC1138" s="39"/>
      <c r="BD1138" s="39"/>
      <c r="BE1138" s="39"/>
      <c r="BF1138" s="39">
        <f t="shared" si="976"/>
        <v>0</v>
      </c>
      <c r="BG1138" s="39"/>
      <c r="BH1138" s="39"/>
      <c r="BI1138" s="39"/>
      <c r="BJ1138" s="39"/>
      <c r="BK1138" s="39"/>
      <c r="BL1138" s="39">
        <f t="shared" si="1055"/>
        <v>0</v>
      </c>
      <c r="BM1138" s="54" t="e">
        <f t="shared" si="977"/>
        <v>#DIV/0!</v>
      </c>
      <c r="BN1138" s="61"/>
      <c r="BO1138" s="36"/>
      <c r="BP1138" s="36"/>
      <c r="BQ1138" s="36"/>
      <c r="BR1138" s="40"/>
      <c r="BS1138" s="40"/>
      <c r="BT1138" s="39"/>
      <c r="BU1138" s="39"/>
      <c r="BV1138" s="39"/>
      <c r="BW1138" s="39"/>
      <c r="BX1138" s="39"/>
      <c r="BY1138" s="39"/>
      <c r="BZ1138" s="39">
        <f t="shared" si="1057"/>
        <v>0</v>
      </c>
      <c r="CA1138" s="39">
        <f t="shared" si="978"/>
        <v>0</v>
      </c>
      <c r="CB1138" s="39">
        <f t="shared" si="979"/>
        <v>0</v>
      </c>
      <c r="CC1138" s="39">
        <f t="shared" si="980"/>
        <v>0</v>
      </c>
      <c r="CD1138" s="39">
        <f t="shared" si="1061"/>
        <v>0</v>
      </c>
      <c r="CE1138" s="47" t="e">
        <f t="shared" si="981"/>
        <v>#DIV/0!</v>
      </c>
      <c r="CF1138" s="36"/>
      <c r="CG1138" s="39"/>
      <c r="CH1138" s="39"/>
      <c r="CI1138" s="25">
        <v>3</v>
      </c>
    </row>
    <row r="1139" spans="1:147" ht="24.75" customHeight="1">
      <c r="A1139" s="36" t="s">
        <v>46</v>
      </c>
      <c r="B1139" s="30"/>
      <c r="C1139" s="36"/>
      <c r="D1139" s="23"/>
      <c r="E1139" s="39"/>
      <c r="F1139" s="39"/>
      <c r="G1139" s="36"/>
      <c r="H1139" s="39"/>
      <c r="I1139" s="39"/>
      <c r="J1139" s="39"/>
      <c r="K1139" s="39"/>
      <c r="L1139" s="39">
        <f t="shared" si="1110"/>
        <v>0</v>
      </c>
      <c r="M1139" s="39"/>
      <c r="N1139" s="39"/>
      <c r="O1139" s="39"/>
      <c r="P1139" s="39"/>
      <c r="Q1139" s="39"/>
      <c r="R1139" s="39">
        <f t="shared" si="1111"/>
        <v>0</v>
      </c>
      <c r="S1139" s="39"/>
      <c r="T1139" s="39"/>
      <c r="U1139" s="39"/>
      <c r="V1139" s="39"/>
      <c r="W1139" s="39"/>
      <c r="X1139" s="39"/>
      <c r="Y1139" s="39"/>
      <c r="Z1139" s="39"/>
      <c r="AA1139" s="39"/>
      <c r="AB1139" s="39">
        <f t="shared" si="1112"/>
        <v>0</v>
      </c>
      <c r="AC1139" s="39"/>
      <c r="AD1139" s="39"/>
      <c r="AE1139" s="39"/>
      <c r="AF1139" s="39"/>
      <c r="AG1139" s="39"/>
      <c r="AH1139" s="39">
        <f t="shared" si="1051"/>
        <v>0</v>
      </c>
      <c r="AI1139" s="39"/>
      <c r="AJ1139" s="39"/>
      <c r="AK1139" s="39"/>
      <c r="AL1139" s="39"/>
      <c r="AM1139" s="39"/>
      <c r="AN1139" s="39">
        <f t="shared" si="1047"/>
        <v>0</v>
      </c>
      <c r="AO1139" s="39"/>
      <c r="AP1139" s="39"/>
      <c r="AQ1139" s="39"/>
      <c r="AR1139" s="39"/>
      <c r="AS1139" s="39"/>
      <c r="AT1139" s="39">
        <f t="shared" si="974"/>
        <v>0</v>
      </c>
      <c r="AU1139" s="39"/>
      <c r="AV1139" s="39"/>
      <c r="AW1139" s="39"/>
      <c r="AX1139" s="39"/>
      <c r="AY1139" s="39"/>
      <c r="AZ1139" s="39">
        <f t="shared" si="975"/>
        <v>0</v>
      </c>
      <c r="BA1139" s="39"/>
      <c r="BB1139" s="39"/>
      <c r="BC1139" s="39"/>
      <c r="BD1139" s="39"/>
      <c r="BE1139" s="39"/>
      <c r="BF1139" s="39">
        <f t="shared" si="976"/>
        <v>0</v>
      </c>
      <c r="BG1139" s="39"/>
      <c r="BH1139" s="39"/>
      <c r="BI1139" s="39"/>
      <c r="BJ1139" s="39"/>
      <c r="BK1139" s="39"/>
      <c r="BL1139" s="39">
        <f t="shared" si="1055"/>
        <v>0</v>
      </c>
      <c r="BM1139" s="54" t="e">
        <f t="shared" si="977"/>
        <v>#DIV/0!</v>
      </c>
      <c r="BN1139" s="61"/>
      <c r="BO1139" s="36"/>
      <c r="BP1139" s="36"/>
      <c r="BQ1139" s="36"/>
      <c r="BR1139" s="40"/>
      <c r="BS1139" s="40"/>
      <c r="BT1139" s="39"/>
      <c r="BU1139" s="39"/>
      <c r="BV1139" s="39"/>
      <c r="BW1139" s="39"/>
      <c r="BX1139" s="39"/>
      <c r="BY1139" s="39"/>
      <c r="BZ1139" s="39">
        <f t="shared" si="1057"/>
        <v>0</v>
      </c>
      <c r="CA1139" s="39">
        <f t="shared" si="978"/>
        <v>0</v>
      </c>
      <c r="CB1139" s="39">
        <f t="shared" si="979"/>
        <v>0</v>
      </c>
      <c r="CC1139" s="39">
        <f t="shared" si="980"/>
        <v>0</v>
      </c>
      <c r="CD1139" s="39">
        <f t="shared" si="1061"/>
        <v>0</v>
      </c>
      <c r="CE1139" s="47" t="e">
        <f t="shared" si="981"/>
        <v>#DIV/0!</v>
      </c>
      <c r="CF1139" s="36"/>
      <c r="CG1139" s="39"/>
      <c r="CH1139" s="39"/>
      <c r="CI1139" s="25">
        <v>3</v>
      </c>
    </row>
    <row r="1140" spans="1:147" ht="24.75" customHeight="1">
      <c r="A1140" s="36" t="s">
        <v>46</v>
      </c>
      <c r="B1140" s="30"/>
      <c r="C1140" s="36"/>
      <c r="D1140" s="23"/>
      <c r="E1140" s="39"/>
      <c r="F1140" s="39"/>
      <c r="G1140" s="36"/>
      <c r="H1140" s="39"/>
      <c r="I1140" s="39"/>
      <c r="J1140" s="39"/>
      <c r="K1140" s="39"/>
      <c r="L1140" s="39">
        <f>SUM(I1140:K1140)</f>
        <v>0</v>
      </c>
      <c r="M1140" s="39"/>
      <c r="N1140" s="39"/>
      <c r="O1140" s="39"/>
      <c r="P1140" s="39"/>
      <c r="Q1140" s="39"/>
      <c r="R1140" s="39">
        <f>SUM(O1140:Q1140)</f>
        <v>0</v>
      </c>
      <c r="S1140" s="39"/>
      <c r="T1140" s="39"/>
      <c r="U1140" s="39"/>
      <c r="V1140" s="39"/>
      <c r="W1140" s="39"/>
      <c r="X1140" s="39"/>
      <c r="Y1140" s="39"/>
      <c r="Z1140" s="39"/>
      <c r="AA1140" s="39"/>
      <c r="AB1140" s="39">
        <f>SUM(Y1140:AA1140)</f>
        <v>0</v>
      </c>
      <c r="AC1140" s="39"/>
      <c r="AD1140" s="39"/>
      <c r="AE1140" s="39"/>
      <c r="AF1140" s="39"/>
      <c r="AG1140" s="39"/>
      <c r="AH1140" s="39">
        <f>AG1140-AE1140</f>
        <v>0</v>
      </c>
      <c r="AI1140" s="39"/>
      <c r="AJ1140" s="39"/>
      <c r="AK1140" s="39"/>
      <c r="AL1140" s="39"/>
      <c r="AM1140" s="39"/>
      <c r="AN1140" s="39">
        <f t="shared" si="1047"/>
        <v>0</v>
      </c>
      <c r="AO1140" s="39"/>
      <c r="AP1140" s="39"/>
      <c r="AQ1140" s="39"/>
      <c r="AR1140" s="39"/>
      <c r="AS1140" s="39"/>
      <c r="AT1140" s="39">
        <f t="shared" si="974"/>
        <v>0</v>
      </c>
      <c r="AU1140" s="39"/>
      <c r="AV1140" s="39"/>
      <c r="AW1140" s="39"/>
      <c r="AX1140" s="39"/>
      <c r="AY1140" s="39"/>
      <c r="AZ1140" s="39">
        <f t="shared" si="975"/>
        <v>0</v>
      </c>
      <c r="BA1140" s="39"/>
      <c r="BB1140" s="39"/>
      <c r="BC1140" s="39"/>
      <c r="BD1140" s="39"/>
      <c r="BE1140" s="39"/>
      <c r="BF1140" s="39">
        <f t="shared" si="976"/>
        <v>0</v>
      </c>
      <c r="BG1140" s="39"/>
      <c r="BH1140" s="39"/>
      <c r="BI1140" s="39"/>
      <c r="BJ1140" s="39"/>
      <c r="BK1140" s="39"/>
      <c r="BL1140" s="39">
        <f>BK1140-BI1140</f>
        <v>0</v>
      </c>
      <c r="BM1140" s="54" t="e">
        <f t="shared" si="977"/>
        <v>#DIV/0!</v>
      </c>
      <c r="BN1140" s="61"/>
      <c r="BO1140" s="36"/>
      <c r="BP1140" s="36"/>
      <c r="BQ1140" s="36"/>
      <c r="BR1140" s="40"/>
      <c r="BS1140" s="40"/>
      <c r="BT1140" s="39"/>
      <c r="BU1140" s="39"/>
      <c r="BV1140" s="39"/>
      <c r="BW1140" s="39"/>
      <c r="BX1140" s="39"/>
      <c r="BY1140" s="39"/>
      <c r="BZ1140" s="39">
        <f>BU1140+BW1140+BY1140</f>
        <v>0</v>
      </c>
      <c r="CA1140" s="39">
        <f t="shared" si="978"/>
        <v>0</v>
      </c>
      <c r="CB1140" s="39">
        <f t="shared" si="979"/>
        <v>0</v>
      </c>
      <c r="CC1140" s="39">
        <f t="shared" si="980"/>
        <v>0</v>
      </c>
      <c r="CD1140" s="39">
        <f>SUMIF(CA1140:CC1140,"&lt;0")</f>
        <v>0</v>
      </c>
      <c r="CE1140" s="47" t="e">
        <f t="shared" si="981"/>
        <v>#DIV/0!</v>
      </c>
      <c r="CF1140" s="36"/>
      <c r="CG1140" s="39"/>
      <c r="CH1140" s="39"/>
      <c r="CI1140" s="25">
        <v>3</v>
      </c>
      <c r="CJ1140" s="6" t="s">
        <v>19</v>
      </c>
    </row>
    <row r="1141" spans="1:147" ht="12" customHeight="1">
      <c r="BU1141" s="191"/>
      <c r="BV1141" s="191"/>
      <c r="BW1141" s="191"/>
      <c r="BX1141" s="191"/>
      <c r="BY1141" s="191"/>
      <c r="CA1141" s="191"/>
      <c r="CB1141" s="191"/>
      <c r="CC1141" s="191"/>
    </row>
    <row r="1142" spans="1:147" ht="12" customHeight="1">
      <c r="BH1142" s="17" t="s">
        <v>19</v>
      </c>
      <c r="CA1142" s="6" t="s">
        <v>19</v>
      </c>
      <c r="CB1142" s="6" t="s">
        <v>19</v>
      </c>
    </row>
    <row r="1143" spans="1:147" ht="12" customHeight="1">
      <c r="B1143" s="33" t="s">
        <v>19</v>
      </c>
      <c r="AQ1143" s="22"/>
    </row>
    <row r="1145" spans="1:147" s="20" customFormat="1" ht="24.75" customHeight="1">
      <c r="A1145" s="5" t="s">
        <v>172</v>
      </c>
      <c r="B1145" s="209">
        <f>SUBTOTAL(9,L8:L1140)</f>
        <v>336799</v>
      </c>
      <c r="C1145" s="209"/>
      <c r="D1145" s="6"/>
      <c r="E1145" s="6"/>
      <c r="F1145" s="6"/>
      <c r="G1145" s="107"/>
      <c r="H1145" s="6"/>
      <c r="I1145" s="6"/>
      <c r="J1145" s="6"/>
      <c r="K1145" s="6"/>
      <c r="M1145" s="6"/>
      <c r="N1145" s="6"/>
      <c r="O1145" s="6"/>
      <c r="P1145" s="6"/>
      <c r="Q1145" s="6"/>
      <c r="S1145" s="6"/>
      <c r="T1145" s="6"/>
      <c r="U1145" s="17"/>
      <c r="V1145" s="17"/>
      <c r="W1145" s="6"/>
      <c r="X1145" s="17"/>
      <c r="Y1145" s="6"/>
      <c r="Z1145" s="6"/>
      <c r="AA1145" s="6"/>
      <c r="AB1145" s="6"/>
      <c r="AC1145" s="6"/>
      <c r="AD1145" s="17"/>
      <c r="AE1145" s="6"/>
      <c r="AF1145" s="17"/>
      <c r="AG1145" s="6"/>
      <c r="AH1145" s="6"/>
      <c r="AI1145" s="6"/>
      <c r="AJ1145" s="17"/>
      <c r="AK1145" s="6"/>
      <c r="AL1145" s="17"/>
      <c r="AM1145" s="6"/>
      <c r="AN1145" s="6"/>
      <c r="AO1145" s="6"/>
      <c r="AP1145" s="17"/>
      <c r="AQ1145" s="6"/>
      <c r="AR1145" s="17"/>
      <c r="AS1145" s="6"/>
      <c r="AT1145" s="6"/>
      <c r="AU1145" s="6"/>
      <c r="AV1145" s="17"/>
      <c r="AW1145" s="6"/>
      <c r="AX1145" s="17"/>
      <c r="AY1145" s="6"/>
      <c r="AZ1145" s="6"/>
      <c r="BA1145" s="6"/>
      <c r="BB1145" s="17"/>
      <c r="BC1145" s="6"/>
      <c r="BD1145" s="17"/>
      <c r="BE1145" s="6"/>
      <c r="BF1145" s="6"/>
      <c r="BG1145" s="6"/>
      <c r="BH1145" s="17"/>
      <c r="BI1145" s="6"/>
      <c r="BJ1145" s="17"/>
      <c r="BK1145" s="6"/>
      <c r="BL1145" s="6"/>
      <c r="BM1145" s="6"/>
      <c r="BN1145" s="6"/>
      <c r="BO1145" s="6"/>
      <c r="BP1145" s="6"/>
      <c r="BQ1145" s="6"/>
      <c r="BR1145" s="6"/>
      <c r="BS1145" s="6"/>
      <c r="BT1145" s="6"/>
      <c r="BU1145" s="6"/>
      <c r="BV1145" s="6"/>
      <c r="BW1145" s="6"/>
      <c r="BX1145" s="6"/>
      <c r="BY1145" s="6"/>
      <c r="BZ1145" s="6"/>
      <c r="CA1145" s="6"/>
      <c r="CB1145" s="6"/>
      <c r="CC1145" s="6"/>
      <c r="CD1145" s="6"/>
      <c r="CE1145" s="6"/>
      <c r="CF1145" s="6"/>
      <c r="CG1145" s="6"/>
      <c r="CH1145" s="6"/>
      <c r="CI1145" s="18"/>
      <c r="CJ1145" s="6"/>
      <c r="CK1145" s="6"/>
      <c r="CL1145" s="6"/>
      <c r="CM1145" s="6"/>
      <c r="CN1145" s="6"/>
      <c r="CO1145" s="6"/>
      <c r="CP1145" s="6"/>
      <c r="CQ1145" s="6"/>
      <c r="CR1145" s="6"/>
      <c r="CS1145" s="6"/>
      <c r="CT1145" s="6"/>
      <c r="CU1145" s="6"/>
      <c r="CV1145" s="6"/>
      <c r="CW1145" s="6"/>
      <c r="CX1145" s="6"/>
      <c r="CY1145" s="6"/>
      <c r="CZ1145" s="6"/>
      <c r="DA1145" s="6"/>
      <c r="DB1145" s="6"/>
      <c r="DC1145" s="6"/>
      <c r="DD1145" s="6"/>
      <c r="DE1145" s="6"/>
      <c r="DF1145" s="6"/>
      <c r="DG1145" s="6"/>
      <c r="DH1145" s="6"/>
      <c r="DI1145" s="6"/>
      <c r="DJ1145" s="6"/>
      <c r="DK1145" s="6"/>
      <c r="DL1145" s="6"/>
      <c r="DM1145" s="6"/>
      <c r="DN1145" s="6"/>
      <c r="DO1145" s="6"/>
      <c r="DP1145" s="6"/>
      <c r="DQ1145" s="6"/>
      <c r="DR1145" s="6"/>
      <c r="DS1145" s="6"/>
      <c r="DT1145" s="6"/>
      <c r="DU1145" s="6"/>
      <c r="DV1145" s="6"/>
      <c r="DW1145" s="6"/>
      <c r="DX1145" s="6"/>
      <c r="DY1145" s="6"/>
      <c r="DZ1145" s="6"/>
      <c r="EA1145" s="6"/>
      <c r="EB1145" s="6"/>
      <c r="EC1145" s="6"/>
      <c r="ED1145" s="6"/>
      <c r="EE1145" s="6"/>
      <c r="EF1145" s="6"/>
      <c r="EG1145" s="6"/>
      <c r="EH1145" s="6"/>
      <c r="EI1145" s="6"/>
      <c r="EJ1145" s="6"/>
      <c r="EK1145" s="6"/>
      <c r="EL1145" s="6"/>
      <c r="EM1145" s="6"/>
      <c r="EN1145" s="6"/>
      <c r="EO1145" s="6"/>
      <c r="EP1145" s="6"/>
      <c r="EQ1145" s="6"/>
    </row>
    <row r="1146" spans="1:147" s="20" customFormat="1" ht="24.75" customHeight="1">
      <c r="A1146" s="5" t="s">
        <v>173</v>
      </c>
      <c r="B1146" s="210">
        <f>SUBTOTAL(9,CD8:CD1140)</f>
        <v>-1042</v>
      </c>
      <c r="C1146" s="211"/>
      <c r="D1146" s="6"/>
      <c r="E1146" s="6"/>
      <c r="F1146" s="6"/>
      <c r="G1146" s="107"/>
      <c r="H1146" s="6"/>
      <c r="I1146" s="6"/>
      <c r="J1146" s="6"/>
      <c r="K1146" s="6"/>
      <c r="M1146" s="6"/>
      <c r="N1146" s="6"/>
      <c r="O1146" s="6"/>
      <c r="P1146" s="6"/>
      <c r="Q1146" s="6"/>
      <c r="S1146" s="6"/>
      <c r="T1146" s="6"/>
      <c r="U1146" s="17"/>
      <c r="V1146" s="17"/>
      <c r="W1146" s="6"/>
      <c r="X1146" s="17"/>
      <c r="Y1146" s="6"/>
      <c r="Z1146" s="6"/>
      <c r="AA1146" s="6"/>
      <c r="AB1146" s="6"/>
      <c r="AC1146" s="6"/>
      <c r="AD1146" s="17"/>
      <c r="AE1146" s="6"/>
      <c r="AF1146" s="17"/>
      <c r="AG1146" s="6"/>
      <c r="AH1146" s="6"/>
      <c r="AI1146" s="6"/>
      <c r="AJ1146" s="17"/>
      <c r="AK1146" s="6"/>
      <c r="AL1146" s="17"/>
      <c r="AM1146" s="6"/>
      <c r="AN1146" s="6"/>
      <c r="AO1146" s="6"/>
      <c r="AP1146" s="17"/>
      <c r="AQ1146" s="6"/>
      <c r="AR1146" s="17"/>
      <c r="AS1146" s="6"/>
      <c r="AT1146" s="6"/>
      <c r="AU1146" s="6"/>
      <c r="AV1146" s="17"/>
      <c r="AW1146" s="6"/>
      <c r="AX1146" s="17"/>
      <c r="AY1146" s="6"/>
      <c r="AZ1146" s="6"/>
      <c r="BA1146" s="6"/>
      <c r="BB1146" s="17"/>
      <c r="BC1146" s="6"/>
      <c r="BD1146" s="17"/>
      <c r="BE1146" s="6"/>
      <c r="BF1146" s="6"/>
      <c r="BG1146" s="6"/>
      <c r="BH1146" s="17"/>
      <c r="BI1146" s="6"/>
      <c r="BJ1146" s="17"/>
      <c r="BK1146" s="6"/>
      <c r="BL1146" s="6"/>
      <c r="BM1146" s="6"/>
      <c r="BN1146" s="6"/>
      <c r="BO1146" s="6"/>
      <c r="BP1146" s="6"/>
      <c r="BQ1146" s="6"/>
      <c r="BR1146" s="6"/>
      <c r="BS1146" s="6"/>
      <c r="BT1146" s="6"/>
      <c r="BU1146" s="6"/>
      <c r="BV1146" s="6"/>
      <c r="BW1146" s="6"/>
      <c r="BX1146" s="6"/>
      <c r="BY1146" s="6"/>
      <c r="BZ1146" s="6"/>
      <c r="CA1146" s="6"/>
      <c r="CB1146" s="6"/>
      <c r="CC1146" s="6"/>
      <c r="CD1146" s="6"/>
      <c r="CE1146" s="6"/>
      <c r="CF1146" s="6"/>
      <c r="CG1146" s="6"/>
      <c r="CH1146" s="6"/>
      <c r="CI1146" s="18"/>
      <c r="CJ1146" s="6"/>
      <c r="CK1146" s="6"/>
      <c r="CL1146" s="6"/>
      <c r="CM1146" s="6"/>
      <c r="CN1146" s="6"/>
      <c r="CO1146" s="6"/>
      <c r="CP1146" s="6"/>
      <c r="CQ1146" s="6"/>
      <c r="CR1146" s="6"/>
      <c r="CS1146" s="6"/>
      <c r="CT1146" s="6"/>
      <c r="CU1146" s="6"/>
      <c r="CV1146" s="6"/>
      <c r="CW1146" s="6"/>
      <c r="CX1146" s="6"/>
      <c r="CY1146" s="6"/>
      <c r="CZ1146" s="6"/>
      <c r="DA1146" s="6"/>
      <c r="DB1146" s="6"/>
      <c r="DC1146" s="6"/>
      <c r="DD1146" s="6"/>
      <c r="DE1146" s="6"/>
      <c r="DF1146" s="6"/>
      <c r="DG1146" s="6"/>
      <c r="DH1146" s="6"/>
      <c r="DI1146" s="6"/>
      <c r="DJ1146" s="6"/>
      <c r="DK1146" s="6"/>
      <c r="DL1146" s="6"/>
      <c r="DM1146" s="6"/>
      <c r="DN1146" s="6"/>
      <c r="DO1146" s="6"/>
      <c r="DP1146" s="6"/>
      <c r="DQ1146" s="6"/>
      <c r="DR1146" s="6"/>
      <c r="DS1146" s="6"/>
      <c r="DT1146" s="6"/>
      <c r="DU1146" s="6"/>
      <c r="DV1146" s="6"/>
      <c r="DW1146" s="6"/>
      <c r="DX1146" s="6"/>
      <c r="DY1146" s="6"/>
      <c r="DZ1146" s="6"/>
      <c r="EA1146" s="6"/>
      <c r="EB1146" s="6"/>
      <c r="EC1146" s="6"/>
      <c r="ED1146" s="6"/>
      <c r="EE1146" s="6"/>
      <c r="EF1146" s="6"/>
      <c r="EG1146" s="6"/>
      <c r="EH1146" s="6"/>
      <c r="EI1146" s="6"/>
      <c r="EJ1146" s="6"/>
      <c r="EK1146" s="6"/>
      <c r="EL1146" s="6"/>
      <c r="EM1146" s="6"/>
      <c r="EN1146" s="6"/>
      <c r="EO1146" s="6"/>
      <c r="EP1146" s="6"/>
      <c r="EQ1146" s="6"/>
    </row>
    <row r="1149" spans="1:147" s="20" customFormat="1" ht="26.25" customHeight="1">
      <c r="A1149" s="5" t="s">
        <v>131</v>
      </c>
      <c r="B1149" s="25">
        <v>1</v>
      </c>
      <c r="C1149" s="25">
        <v>2</v>
      </c>
      <c r="D1149" s="25">
        <v>3</v>
      </c>
      <c r="E1149" s="6"/>
      <c r="F1149" s="6"/>
      <c r="G1149" s="107"/>
      <c r="H1149" s="6"/>
      <c r="I1149" s="6"/>
      <c r="J1149" s="6"/>
      <c r="K1149" s="6"/>
      <c r="M1149" s="6"/>
      <c r="N1149" s="6"/>
      <c r="O1149" s="6"/>
      <c r="P1149" s="6"/>
      <c r="Q1149" s="6"/>
      <c r="S1149" s="6"/>
      <c r="T1149" s="6"/>
      <c r="U1149" s="17"/>
      <c r="V1149" s="17"/>
      <c r="W1149" s="6"/>
      <c r="X1149" s="17"/>
      <c r="Y1149" s="6"/>
      <c r="Z1149" s="6"/>
      <c r="AA1149" s="6"/>
      <c r="AB1149" s="6"/>
      <c r="AC1149" s="6"/>
      <c r="AD1149" s="17"/>
      <c r="AE1149" s="6"/>
      <c r="AF1149" s="17"/>
      <c r="AG1149" s="6"/>
      <c r="AH1149" s="6"/>
      <c r="AI1149" s="6"/>
      <c r="AJ1149" s="17"/>
      <c r="AK1149" s="6"/>
      <c r="AL1149" s="17"/>
      <c r="AM1149" s="6"/>
      <c r="AN1149" s="6"/>
      <c r="AO1149" s="6"/>
      <c r="AP1149" s="17"/>
      <c r="AQ1149" s="6"/>
      <c r="AR1149" s="17"/>
      <c r="AS1149" s="6"/>
      <c r="AT1149" s="6"/>
      <c r="AU1149" s="6"/>
      <c r="AV1149" s="17"/>
      <c r="AW1149" s="6"/>
      <c r="AX1149" s="17"/>
      <c r="AY1149" s="6"/>
      <c r="AZ1149" s="6"/>
      <c r="BA1149" s="6"/>
      <c r="BB1149" s="17"/>
      <c r="BC1149" s="6"/>
      <c r="BD1149" s="17"/>
      <c r="BE1149" s="6"/>
      <c r="BF1149" s="6"/>
      <c r="BG1149" s="6"/>
      <c r="BH1149" s="17"/>
      <c r="BI1149" s="6"/>
      <c r="BJ1149" s="17"/>
      <c r="BK1149" s="6"/>
      <c r="BL1149" s="6"/>
      <c r="BM1149" s="6"/>
      <c r="BN1149" s="6"/>
      <c r="BO1149" s="6"/>
      <c r="BP1149" s="6"/>
      <c r="BQ1149" s="6"/>
      <c r="BR1149" s="6"/>
      <c r="BS1149" s="6"/>
      <c r="BT1149" s="6"/>
      <c r="BU1149" s="6"/>
      <c r="BV1149" s="6"/>
      <c r="BW1149" s="6"/>
      <c r="BX1149" s="6"/>
      <c r="BY1149" s="6"/>
      <c r="BZ1149" s="6"/>
      <c r="CA1149" s="6"/>
      <c r="CB1149" s="6"/>
      <c r="CC1149" s="6"/>
      <c r="CD1149" s="6"/>
      <c r="CE1149" s="6"/>
      <c r="CF1149" s="6"/>
      <c r="CG1149" s="6"/>
      <c r="CH1149" s="6"/>
      <c r="CI1149" s="18"/>
      <c r="CJ1149" s="6"/>
      <c r="CK1149" s="6"/>
      <c r="CL1149" s="6"/>
      <c r="CM1149" s="6"/>
      <c r="CN1149" s="6"/>
      <c r="CO1149" s="6"/>
      <c r="CP1149" s="6"/>
      <c r="CQ1149" s="6"/>
      <c r="CR1149" s="6"/>
      <c r="CS1149" s="6"/>
      <c r="CT1149" s="6"/>
      <c r="CU1149" s="6"/>
      <c r="CV1149" s="6"/>
      <c r="CW1149" s="6"/>
      <c r="CX1149" s="6"/>
      <c r="CY1149" s="6"/>
      <c r="CZ1149" s="6"/>
      <c r="DA1149" s="6"/>
      <c r="DB1149" s="6"/>
      <c r="DC1149" s="6"/>
      <c r="DD1149" s="6"/>
      <c r="DE1149" s="6"/>
      <c r="DF1149" s="6"/>
      <c r="DG1149" s="6"/>
      <c r="DH1149" s="6"/>
      <c r="DI1149" s="6"/>
      <c r="DJ1149" s="6"/>
      <c r="DK1149" s="6"/>
      <c r="DL1149" s="6"/>
      <c r="DM1149" s="6"/>
      <c r="DN1149" s="6"/>
      <c r="DO1149" s="6"/>
      <c r="DP1149" s="6"/>
      <c r="DQ1149" s="6"/>
      <c r="DR1149" s="6"/>
      <c r="DS1149" s="6"/>
      <c r="DT1149" s="6"/>
      <c r="DU1149" s="6"/>
      <c r="DV1149" s="6"/>
      <c r="DW1149" s="6"/>
      <c r="DX1149" s="6"/>
      <c r="DY1149" s="6"/>
      <c r="DZ1149" s="6"/>
      <c r="EA1149" s="6"/>
      <c r="EB1149" s="6"/>
      <c r="EC1149" s="6"/>
      <c r="ED1149" s="6"/>
      <c r="EE1149" s="6"/>
      <c r="EF1149" s="6"/>
      <c r="EG1149" s="6"/>
      <c r="EH1149" s="6"/>
      <c r="EI1149" s="6"/>
      <c r="EJ1149" s="6"/>
      <c r="EK1149" s="6"/>
      <c r="EL1149" s="6"/>
      <c r="EM1149" s="6"/>
      <c r="EN1149" s="6"/>
      <c r="EO1149" s="6"/>
      <c r="EP1149" s="6"/>
      <c r="EQ1149" s="6"/>
    </row>
    <row r="1151" spans="1:147" s="20" customFormat="1" ht="18.75" customHeight="1">
      <c r="A1151" s="6"/>
      <c r="B1151" s="212" t="s">
        <v>77</v>
      </c>
      <c r="C1151" s="212"/>
      <c r="D1151" s="175" t="s">
        <v>78</v>
      </c>
      <c r="E1151" s="175"/>
      <c r="F1151" s="175"/>
      <c r="G1151" s="175" t="s">
        <v>79</v>
      </c>
      <c r="H1151" s="175"/>
      <c r="I1151" s="175" t="s">
        <v>181</v>
      </c>
      <c r="J1151" s="175"/>
      <c r="K1151" s="175"/>
      <c r="L1151" s="175"/>
      <c r="M1151" s="6"/>
      <c r="N1151" s="6"/>
      <c r="O1151" s="6"/>
      <c r="P1151" s="6"/>
      <c r="Q1151" s="6"/>
      <c r="S1151" s="6"/>
      <c r="T1151" s="6"/>
      <c r="U1151" s="17"/>
      <c r="V1151" s="17"/>
      <c r="W1151" s="6"/>
      <c r="X1151" s="17"/>
      <c r="Y1151" s="6"/>
      <c r="Z1151" s="6"/>
      <c r="AA1151" s="6"/>
      <c r="AB1151" s="6"/>
      <c r="AC1151" s="6"/>
      <c r="AD1151" s="17"/>
      <c r="AE1151" s="6"/>
      <c r="AF1151" s="17"/>
      <c r="AG1151" s="6"/>
      <c r="AH1151" s="6"/>
      <c r="AI1151" s="6"/>
      <c r="AJ1151" s="17"/>
      <c r="AK1151" s="6"/>
      <c r="AL1151" s="17"/>
      <c r="AM1151" s="6"/>
      <c r="AN1151" s="6"/>
      <c r="AO1151" s="6"/>
      <c r="AP1151" s="17"/>
      <c r="AQ1151" s="6"/>
      <c r="AR1151" s="17"/>
      <c r="AS1151" s="6"/>
      <c r="AT1151" s="6"/>
      <c r="AU1151" s="6"/>
      <c r="AV1151" s="17"/>
      <c r="AW1151" s="6"/>
      <c r="AX1151" s="17"/>
      <c r="AY1151" s="6"/>
      <c r="AZ1151" s="6"/>
      <c r="BA1151" s="6"/>
      <c r="BB1151" s="17"/>
      <c r="BC1151" s="6"/>
      <c r="BD1151" s="17"/>
      <c r="BE1151" s="6"/>
      <c r="BF1151" s="6"/>
      <c r="BG1151" s="6"/>
      <c r="BH1151" s="17"/>
      <c r="BI1151" s="6"/>
      <c r="BJ1151" s="17"/>
      <c r="BK1151" s="6"/>
      <c r="BL1151" s="6"/>
      <c r="BM1151" s="6"/>
      <c r="BN1151" s="6"/>
      <c r="BO1151" s="6"/>
      <c r="BP1151" s="6"/>
      <c r="BQ1151" s="6"/>
      <c r="BR1151" s="6"/>
      <c r="BS1151" s="6"/>
      <c r="BT1151" s="6"/>
      <c r="BU1151" s="6"/>
      <c r="BV1151" s="6"/>
      <c r="BW1151" s="6"/>
      <c r="BX1151" s="6"/>
      <c r="BY1151" s="6"/>
      <c r="BZ1151" s="6"/>
      <c r="CA1151" s="6"/>
      <c r="CB1151" s="6"/>
      <c r="CC1151" s="6"/>
      <c r="CD1151" s="6"/>
      <c r="CE1151" s="6"/>
      <c r="CF1151" s="6"/>
      <c r="CG1151" s="6"/>
      <c r="CH1151" s="6"/>
      <c r="CI1151" s="18"/>
      <c r="CJ1151" s="6"/>
      <c r="CK1151" s="6"/>
      <c r="CL1151" s="6"/>
      <c r="CM1151" s="6"/>
      <c r="CN1151" s="6"/>
      <c r="CO1151" s="6"/>
      <c r="CP1151" s="6"/>
      <c r="CQ1151" s="6"/>
      <c r="CR1151" s="6"/>
      <c r="CS1151" s="6"/>
      <c r="CT1151" s="6"/>
      <c r="CU1151" s="6"/>
      <c r="CV1151" s="6"/>
      <c r="CW1151" s="6"/>
      <c r="CX1151" s="6"/>
      <c r="CY1151" s="6"/>
      <c r="CZ1151" s="6"/>
      <c r="DA1151" s="6"/>
      <c r="DB1151" s="6"/>
      <c r="DC1151" s="6"/>
      <c r="DD1151" s="6"/>
      <c r="DE1151" s="6"/>
      <c r="DF1151" s="6"/>
      <c r="DG1151" s="6"/>
      <c r="DH1151" s="6"/>
      <c r="DI1151" s="6"/>
      <c r="DJ1151" s="6"/>
      <c r="DK1151" s="6"/>
      <c r="DL1151" s="6"/>
      <c r="DM1151" s="6"/>
      <c r="DN1151" s="6"/>
      <c r="DO1151" s="6"/>
      <c r="DP1151" s="6"/>
      <c r="DQ1151" s="6"/>
      <c r="DR1151" s="6"/>
      <c r="DS1151" s="6"/>
      <c r="DT1151" s="6"/>
      <c r="DU1151" s="6"/>
      <c r="DV1151" s="6"/>
      <c r="DW1151" s="6"/>
      <c r="DX1151" s="6"/>
      <c r="DY1151" s="6"/>
      <c r="DZ1151" s="6"/>
      <c r="EA1151" s="6"/>
      <c r="EB1151" s="6"/>
      <c r="EC1151" s="6"/>
      <c r="ED1151" s="6"/>
      <c r="EE1151" s="6"/>
      <c r="EF1151" s="6"/>
      <c r="EG1151" s="6"/>
      <c r="EH1151" s="6"/>
      <c r="EI1151" s="6"/>
      <c r="EJ1151" s="6"/>
      <c r="EK1151" s="6"/>
      <c r="EL1151" s="6"/>
      <c r="EM1151" s="6"/>
      <c r="EN1151" s="6"/>
      <c r="EO1151" s="6"/>
      <c r="EP1151" s="6"/>
      <c r="EQ1151" s="6"/>
    </row>
    <row r="1152" spans="1:147" s="20" customFormat="1" ht="24.75" customHeight="1">
      <c r="A1152" s="5" t="s">
        <v>176</v>
      </c>
      <c r="B1152" s="43" t="s">
        <v>177</v>
      </c>
      <c r="C1152" s="5" t="s">
        <v>178</v>
      </c>
      <c r="D1152" s="43" t="s">
        <v>177</v>
      </c>
      <c r="E1152" s="208" t="s">
        <v>178</v>
      </c>
      <c r="F1152" s="208"/>
      <c r="G1152" s="109" t="s">
        <v>177</v>
      </c>
      <c r="H1152" s="5" t="s">
        <v>178</v>
      </c>
      <c r="I1152" s="207" t="s">
        <v>179</v>
      </c>
      <c r="J1152" s="207"/>
      <c r="K1152" s="205" t="s">
        <v>180</v>
      </c>
      <c r="L1152" s="206"/>
      <c r="M1152" s="6"/>
      <c r="N1152" s="6"/>
      <c r="O1152" s="6"/>
      <c r="P1152" s="6"/>
      <c r="Q1152" s="6"/>
      <c r="S1152" s="6"/>
      <c r="T1152" s="6"/>
      <c r="U1152" s="17"/>
      <c r="V1152" s="17"/>
      <c r="W1152" s="6"/>
      <c r="X1152" s="17"/>
      <c r="Y1152" s="6"/>
      <c r="Z1152" s="6"/>
      <c r="AA1152" s="6"/>
      <c r="AB1152" s="6"/>
      <c r="AC1152" s="6"/>
      <c r="AD1152" s="17"/>
      <c r="AE1152" s="6"/>
      <c r="AF1152" s="17"/>
      <c r="AG1152" s="6"/>
      <c r="AH1152" s="6"/>
      <c r="AI1152" s="6"/>
      <c r="AJ1152" s="17"/>
      <c r="AK1152" s="6"/>
      <c r="AL1152" s="17"/>
      <c r="AM1152" s="6"/>
      <c r="AN1152" s="6"/>
      <c r="AO1152" s="6"/>
      <c r="AP1152" s="17"/>
      <c r="AQ1152" s="6"/>
      <c r="AR1152" s="17"/>
      <c r="AS1152" s="6"/>
      <c r="AT1152" s="6"/>
      <c r="AU1152" s="6"/>
      <c r="AV1152" s="17"/>
      <c r="AW1152" s="6"/>
      <c r="AX1152" s="17"/>
      <c r="AY1152" s="6"/>
      <c r="AZ1152" s="6"/>
      <c r="BA1152" s="6"/>
      <c r="BB1152" s="17"/>
      <c r="BC1152" s="6"/>
      <c r="BD1152" s="17"/>
      <c r="BE1152" s="6"/>
      <c r="BF1152" s="6"/>
      <c r="BG1152" s="6"/>
      <c r="BH1152" s="17"/>
      <c r="BI1152" s="6"/>
      <c r="BJ1152" s="17"/>
      <c r="BK1152" s="6"/>
      <c r="BL1152" s="6"/>
      <c r="BM1152" s="6"/>
      <c r="BN1152" s="6"/>
      <c r="BO1152" s="6"/>
      <c r="BP1152" s="6"/>
      <c r="BQ1152" s="6"/>
      <c r="BR1152" s="6"/>
      <c r="BS1152" s="6"/>
      <c r="BT1152" s="6"/>
      <c r="BU1152" s="6"/>
      <c r="BV1152" s="6"/>
      <c r="BW1152" s="6"/>
      <c r="BX1152" s="6"/>
      <c r="BY1152" s="6"/>
      <c r="BZ1152" s="6"/>
      <c r="CA1152" s="6"/>
      <c r="CB1152" s="6"/>
      <c r="CC1152" s="6"/>
      <c r="CD1152" s="6"/>
      <c r="CE1152" s="6"/>
      <c r="CF1152" s="6"/>
      <c r="CG1152" s="6"/>
      <c r="CH1152" s="6"/>
      <c r="CI1152" s="18"/>
      <c r="CJ1152" s="6"/>
      <c r="CK1152" s="6"/>
      <c r="CL1152" s="6"/>
      <c r="CM1152" s="6"/>
      <c r="CN1152" s="6"/>
      <c r="CO1152" s="6"/>
      <c r="CP1152" s="6"/>
      <c r="CQ1152" s="6"/>
      <c r="CR1152" s="6"/>
      <c r="CS1152" s="6"/>
      <c r="CT1152" s="6"/>
      <c r="CU1152" s="6"/>
      <c r="CV1152" s="6"/>
      <c r="CW1152" s="6"/>
      <c r="CX1152" s="6"/>
      <c r="CY1152" s="6"/>
      <c r="CZ1152" s="6"/>
      <c r="DA1152" s="6"/>
      <c r="DB1152" s="6"/>
      <c r="DC1152" s="6"/>
      <c r="DD1152" s="6"/>
      <c r="DE1152" s="6"/>
      <c r="DF1152" s="6"/>
      <c r="DG1152" s="6"/>
      <c r="DH1152" s="6"/>
      <c r="DI1152" s="6"/>
      <c r="DJ1152" s="6"/>
      <c r="DK1152" s="6"/>
      <c r="DL1152" s="6"/>
      <c r="DM1152" s="6"/>
      <c r="DN1152" s="6"/>
      <c r="DO1152" s="6"/>
      <c r="DP1152" s="6"/>
      <c r="DQ1152" s="6"/>
      <c r="DR1152" s="6"/>
      <c r="DS1152" s="6"/>
      <c r="DT1152" s="6"/>
      <c r="DU1152" s="6"/>
      <c r="DV1152" s="6"/>
      <c r="DW1152" s="6"/>
      <c r="DX1152" s="6"/>
      <c r="DY1152" s="6"/>
      <c r="DZ1152" s="6"/>
      <c r="EA1152" s="6"/>
      <c r="EB1152" s="6"/>
      <c r="EC1152" s="6"/>
      <c r="ED1152" s="6"/>
      <c r="EE1152" s="6"/>
      <c r="EF1152" s="6"/>
      <c r="EG1152" s="6"/>
      <c r="EH1152" s="6"/>
      <c r="EI1152" s="6"/>
      <c r="EJ1152" s="6"/>
      <c r="EK1152" s="6"/>
      <c r="EL1152" s="6"/>
      <c r="EM1152" s="6"/>
      <c r="EN1152" s="6"/>
      <c r="EO1152" s="6"/>
      <c r="EP1152" s="6"/>
      <c r="EQ1152" s="6"/>
    </row>
    <row r="1153" spans="1:147" s="20" customFormat="1" ht="21.75" customHeight="1">
      <c r="A1153" s="34" t="s">
        <v>130</v>
      </c>
      <c r="B1153" s="34">
        <f>SUMIFS(L8:L1140,S8:S1140,A1153,CI8:CI1140,B1149)</f>
        <v>75876</v>
      </c>
      <c r="C1153" s="34">
        <f>SUMIFS(CD8:CD1140,S8:S1140,A1153,CI8:CI1140,B1149)</f>
        <v>-535</v>
      </c>
      <c r="D1153" s="34">
        <f>SUMIFS(L8:L1140,S8:S1140,A1153,CI8:CI1140,C1149)</f>
        <v>85160</v>
      </c>
      <c r="E1153" s="203">
        <f>SUMIFS(CD8:CD1140,S8:S1140,A1153,CI8:CI1140,C1149)</f>
        <v>-215</v>
      </c>
      <c r="F1153" s="177"/>
      <c r="G1153" s="112">
        <f>SUMIFS(L8:L1140,S8:S1140,A1153,CI8:CI1140,D1149)</f>
        <v>38764</v>
      </c>
      <c r="H1153" s="34">
        <f>SUMIFS(CD8:CD1140,S8:S1140,A1153,CI8:CI1140,D1149)</f>
        <v>-99</v>
      </c>
      <c r="I1153" s="204">
        <f>B1153+D1153+G1153</f>
        <v>199800</v>
      </c>
      <c r="J1153" s="204"/>
      <c r="K1153" s="203">
        <f>C1153+E1153+H1153</f>
        <v>-849</v>
      </c>
      <c r="L1153" s="177"/>
      <c r="M1153" s="6"/>
      <c r="N1153" s="6"/>
      <c r="O1153" s="6"/>
      <c r="P1153" s="6"/>
      <c r="Q1153" s="6"/>
      <c r="S1153" s="6"/>
      <c r="T1153" s="6"/>
      <c r="U1153" s="17"/>
      <c r="V1153" s="17"/>
      <c r="W1153" s="6"/>
      <c r="X1153" s="17"/>
      <c r="Y1153" s="6"/>
      <c r="Z1153" s="6"/>
      <c r="AA1153" s="6"/>
      <c r="AB1153" s="6"/>
      <c r="AC1153" s="6"/>
      <c r="AD1153" s="17"/>
      <c r="AE1153" s="6"/>
      <c r="AF1153" s="17"/>
      <c r="AG1153" s="6"/>
      <c r="AH1153" s="6"/>
      <c r="AI1153" s="6"/>
      <c r="AJ1153" s="17"/>
      <c r="AK1153" s="6"/>
      <c r="AL1153" s="17"/>
      <c r="AM1153" s="6"/>
      <c r="AN1153" s="6"/>
      <c r="AO1153" s="6"/>
      <c r="AP1153" s="17"/>
      <c r="AQ1153" s="6"/>
      <c r="AR1153" s="17"/>
      <c r="AS1153" s="6"/>
      <c r="AT1153" s="6"/>
      <c r="AU1153" s="6"/>
      <c r="AV1153" s="17"/>
      <c r="AW1153" s="6"/>
      <c r="AX1153" s="17"/>
      <c r="AY1153" s="6"/>
      <c r="AZ1153" s="6"/>
      <c r="BA1153" s="6"/>
      <c r="BB1153" s="17"/>
      <c r="BC1153" s="6"/>
      <c r="BD1153" s="17"/>
      <c r="BE1153" s="6"/>
      <c r="BF1153" s="6"/>
      <c r="BG1153" s="6"/>
      <c r="BH1153" s="17"/>
      <c r="BI1153" s="6"/>
      <c r="BJ1153" s="17"/>
      <c r="BK1153" s="6"/>
      <c r="BL1153" s="6"/>
      <c r="BM1153" s="6"/>
      <c r="BN1153" s="6"/>
      <c r="BO1153" s="6"/>
      <c r="BP1153" s="6"/>
      <c r="BQ1153" s="6"/>
      <c r="BR1153" s="6"/>
      <c r="BS1153" s="6"/>
      <c r="BT1153" s="6"/>
      <c r="BU1153" s="6"/>
      <c r="BV1153" s="6"/>
      <c r="BW1153" s="6"/>
      <c r="BX1153" s="6"/>
      <c r="BY1153" s="6"/>
      <c r="BZ1153" s="6"/>
      <c r="CA1153" s="6"/>
      <c r="CB1153" s="6"/>
      <c r="CC1153" s="6"/>
      <c r="CD1153" s="6"/>
      <c r="CE1153" s="6"/>
      <c r="CF1153" s="6"/>
      <c r="CG1153" s="6"/>
      <c r="CH1153" s="6"/>
      <c r="CI1153" s="18"/>
      <c r="CJ1153" s="6"/>
      <c r="CK1153" s="6"/>
      <c r="CL1153" s="6"/>
      <c r="CM1153" s="6"/>
      <c r="CN1153" s="6"/>
      <c r="CO1153" s="6"/>
      <c r="CP1153" s="6"/>
      <c r="CQ1153" s="6"/>
      <c r="CR1153" s="6"/>
      <c r="CS1153" s="6"/>
      <c r="CT1153" s="6"/>
      <c r="CU1153" s="6"/>
      <c r="CV1153" s="6"/>
      <c r="CW1153" s="6"/>
      <c r="CX1153" s="6"/>
      <c r="CY1153" s="6"/>
      <c r="CZ1153" s="6"/>
      <c r="DA1153" s="6"/>
      <c r="DB1153" s="6"/>
      <c r="DC1153" s="6"/>
      <c r="DD1153" s="6"/>
      <c r="DE1153" s="6"/>
      <c r="DF1153" s="6"/>
      <c r="DG1153" s="6"/>
      <c r="DH1153" s="6"/>
      <c r="DI1153" s="6"/>
      <c r="DJ1153" s="6"/>
      <c r="DK1153" s="6"/>
      <c r="DL1153" s="6"/>
      <c r="DM1153" s="6"/>
      <c r="DN1153" s="6"/>
      <c r="DO1153" s="6"/>
      <c r="DP1153" s="6"/>
      <c r="DQ1153" s="6"/>
      <c r="DR1153" s="6"/>
      <c r="DS1153" s="6"/>
      <c r="DT1153" s="6"/>
      <c r="DU1153" s="6"/>
      <c r="DV1153" s="6"/>
      <c r="DW1153" s="6"/>
      <c r="DX1153" s="6"/>
      <c r="DY1153" s="6"/>
      <c r="DZ1153" s="6"/>
      <c r="EA1153" s="6"/>
      <c r="EB1153" s="6"/>
      <c r="EC1153" s="6"/>
      <c r="ED1153" s="6"/>
      <c r="EE1153" s="6"/>
      <c r="EF1153" s="6"/>
      <c r="EG1153" s="6"/>
      <c r="EH1153" s="6"/>
      <c r="EI1153" s="6"/>
      <c r="EJ1153" s="6"/>
      <c r="EK1153" s="6"/>
      <c r="EL1153" s="6"/>
      <c r="EM1153" s="6"/>
      <c r="EN1153" s="6"/>
      <c r="EO1153" s="6"/>
      <c r="EP1153" s="6"/>
      <c r="EQ1153" s="6"/>
    </row>
    <row r="1154" spans="1:147" s="20" customFormat="1" ht="21.75" customHeight="1">
      <c r="A1154" s="34" t="s">
        <v>31</v>
      </c>
      <c r="B1154" s="34">
        <f>SUMIFS(L8:L1140,S8:S1140,A1154,CI8:CI1140,B1149)</f>
        <v>4212</v>
      </c>
      <c r="C1154" s="34">
        <f>SUMIFS(CD8:CD1140,S8:S1140,A1154,CI8:CI1140,B1149)</f>
        <v>-57</v>
      </c>
      <c r="D1154" s="34">
        <f>SUMIFS(L8:L1140,S8:S1140,A1154,CI8:CI1140,C1149)</f>
        <v>3532</v>
      </c>
      <c r="E1154" s="203">
        <f>SUMIFS(CD8:CD1140,S8:S1140,A1154,CI8:CI1140,C1149)</f>
        <v>0</v>
      </c>
      <c r="F1154" s="177"/>
      <c r="G1154" s="112">
        <f>SUMIFS(L8:L1140,S8:S1140,A1154,CI8:CI1140,D1149)</f>
        <v>1295</v>
      </c>
      <c r="H1154" s="34">
        <f>SUMIFS(CD8:CD1140,S8:S1140,A1154,CI8:CI1140,D1149)</f>
        <v>-12</v>
      </c>
      <c r="I1154" s="204">
        <f t="shared" ref="I1154:I1159" si="1113">B1154+D1154+G1154</f>
        <v>9039</v>
      </c>
      <c r="J1154" s="204"/>
      <c r="K1154" s="203">
        <f t="shared" ref="K1154:K1160" si="1114">C1154+E1154+H1154</f>
        <v>-69</v>
      </c>
      <c r="L1154" s="177"/>
      <c r="M1154" s="6"/>
      <c r="N1154" s="6"/>
      <c r="O1154" s="6"/>
      <c r="P1154" s="6"/>
      <c r="Q1154" s="6"/>
      <c r="S1154" s="6"/>
      <c r="T1154" s="6"/>
      <c r="U1154" s="17"/>
      <c r="V1154" s="17"/>
      <c r="W1154" s="6"/>
      <c r="X1154" s="17"/>
      <c r="Y1154" s="6"/>
      <c r="Z1154" s="6"/>
      <c r="AA1154" s="6"/>
      <c r="AB1154" s="6"/>
      <c r="AC1154" s="6"/>
      <c r="AD1154" s="17"/>
      <c r="AE1154" s="6"/>
      <c r="AF1154" s="17"/>
      <c r="AG1154" s="6"/>
      <c r="AH1154" s="6"/>
      <c r="AI1154" s="6"/>
      <c r="AJ1154" s="17"/>
      <c r="AK1154" s="6"/>
      <c r="AL1154" s="17"/>
      <c r="AM1154" s="6"/>
      <c r="AN1154" s="6"/>
      <c r="AO1154" s="6"/>
      <c r="AP1154" s="17"/>
      <c r="AQ1154" s="6"/>
      <c r="AR1154" s="17"/>
      <c r="AS1154" s="6"/>
      <c r="AT1154" s="6"/>
      <c r="AU1154" s="6"/>
      <c r="AV1154" s="17"/>
      <c r="AW1154" s="6"/>
      <c r="AX1154" s="17"/>
      <c r="AY1154" s="6"/>
      <c r="AZ1154" s="6"/>
      <c r="BA1154" s="6"/>
      <c r="BB1154" s="17"/>
      <c r="BC1154" s="6"/>
      <c r="BD1154" s="17"/>
      <c r="BE1154" s="6"/>
      <c r="BF1154" s="6"/>
      <c r="BG1154" s="6"/>
      <c r="BH1154" s="17"/>
      <c r="BI1154" s="6"/>
      <c r="BJ1154" s="17"/>
      <c r="BK1154" s="6"/>
      <c r="BL1154" s="6"/>
      <c r="BM1154" s="6"/>
      <c r="BN1154" s="6"/>
      <c r="BO1154" s="6"/>
      <c r="BP1154" s="6"/>
      <c r="BQ1154" s="6"/>
      <c r="BR1154" s="6"/>
      <c r="BS1154" s="6"/>
      <c r="BT1154" s="6"/>
      <c r="BU1154" s="6"/>
      <c r="BV1154" s="6"/>
      <c r="BW1154" s="6"/>
      <c r="BX1154" s="6"/>
      <c r="BY1154" s="6"/>
      <c r="BZ1154" s="6"/>
      <c r="CA1154" s="6"/>
      <c r="CB1154" s="6"/>
      <c r="CC1154" s="6"/>
      <c r="CD1154" s="6"/>
      <c r="CE1154" s="6"/>
      <c r="CF1154" s="6"/>
      <c r="CG1154" s="6"/>
      <c r="CH1154" s="6"/>
      <c r="CI1154" s="18"/>
      <c r="CJ1154" s="6"/>
      <c r="CK1154" s="6"/>
      <c r="CL1154" s="6"/>
      <c r="CM1154" s="6"/>
      <c r="CN1154" s="6"/>
      <c r="CO1154" s="6"/>
      <c r="CP1154" s="6"/>
      <c r="CQ1154" s="6"/>
      <c r="CR1154" s="6"/>
      <c r="CS1154" s="6"/>
      <c r="CT1154" s="6"/>
      <c r="CU1154" s="6"/>
      <c r="CV1154" s="6"/>
      <c r="CW1154" s="6"/>
      <c r="CX1154" s="6"/>
      <c r="CY1154" s="6"/>
      <c r="CZ1154" s="6"/>
      <c r="DA1154" s="6"/>
      <c r="DB1154" s="6"/>
      <c r="DC1154" s="6"/>
      <c r="DD1154" s="6"/>
      <c r="DE1154" s="6"/>
      <c r="DF1154" s="6"/>
      <c r="DG1154" s="6"/>
      <c r="DH1154" s="6"/>
      <c r="DI1154" s="6"/>
      <c r="DJ1154" s="6"/>
      <c r="DK1154" s="6"/>
      <c r="DL1154" s="6"/>
      <c r="DM1154" s="6"/>
      <c r="DN1154" s="6"/>
      <c r="DO1154" s="6"/>
      <c r="DP1154" s="6"/>
      <c r="DQ1154" s="6"/>
      <c r="DR1154" s="6"/>
      <c r="DS1154" s="6"/>
      <c r="DT1154" s="6"/>
      <c r="DU1154" s="6"/>
      <c r="DV1154" s="6"/>
      <c r="DW1154" s="6"/>
      <c r="DX1154" s="6"/>
      <c r="DY1154" s="6"/>
      <c r="DZ1154" s="6"/>
      <c r="EA1154" s="6"/>
      <c r="EB1154" s="6"/>
      <c r="EC1154" s="6"/>
      <c r="ED1154" s="6"/>
      <c r="EE1154" s="6"/>
      <c r="EF1154" s="6"/>
      <c r="EG1154" s="6"/>
      <c r="EH1154" s="6"/>
      <c r="EI1154" s="6"/>
      <c r="EJ1154" s="6"/>
      <c r="EK1154" s="6"/>
      <c r="EL1154" s="6"/>
      <c r="EM1154" s="6"/>
      <c r="EN1154" s="6"/>
      <c r="EO1154" s="6"/>
      <c r="EP1154" s="6"/>
      <c r="EQ1154" s="6"/>
    </row>
    <row r="1155" spans="1:147" s="20" customFormat="1" ht="21.75" customHeight="1">
      <c r="A1155" s="34" t="s">
        <v>100</v>
      </c>
      <c r="B1155" s="34">
        <f>SUMIFS(L8:L1140,S8:S1140,A1155,CI8:CI1140,B1149)</f>
        <v>13415</v>
      </c>
      <c r="C1155" s="34">
        <f>SUMIFS(CD8:CD1140,S8:S1140,A1155,CI8:CI1140,B1149)</f>
        <v>0</v>
      </c>
      <c r="D1155" s="34">
        <f>SUMIFS(L8:L1140,S8:S1140,A1155,CI8:CI1140,C1149)</f>
        <v>7375</v>
      </c>
      <c r="E1155" s="203">
        <f>SUMIFS(CD8:CD1140,S8:S1140,A1155,CI8:CI1140,C1149)</f>
        <v>0</v>
      </c>
      <c r="F1155" s="177"/>
      <c r="G1155" s="112">
        <f>SUMIFS(L8:L1140,S8:S1140,A1155,CI8:CI1140,D1149)</f>
        <v>11906</v>
      </c>
      <c r="H1155" s="34">
        <f>SUMIFS(CD8:CD1140,S8:S1140,A1155,CI8:CI1140,D1149)</f>
        <v>0</v>
      </c>
      <c r="I1155" s="204">
        <f t="shared" si="1113"/>
        <v>32696</v>
      </c>
      <c r="J1155" s="204"/>
      <c r="K1155" s="203">
        <f t="shared" si="1114"/>
        <v>0</v>
      </c>
      <c r="L1155" s="177"/>
      <c r="M1155" s="6"/>
      <c r="N1155" s="6"/>
      <c r="O1155" s="6"/>
      <c r="P1155" s="6"/>
      <c r="Q1155" s="6"/>
      <c r="S1155" s="6"/>
      <c r="T1155" s="6"/>
      <c r="U1155" s="17"/>
      <c r="V1155" s="17"/>
      <c r="W1155" s="6"/>
      <c r="X1155" s="17"/>
      <c r="Y1155" s="6"/>
      <c r="Z1155" s="6"/>
      <c r="AA1155" s="6"/>
      <c r="AB1155" s="6"/>
      <c r="AC1155" s="6"/>
      <c r="AD1155" s="17"/>
      <c r="AE1155" s="6"/>
      <c r="AF1155" s="17"/>
      <c r="AG1155" s="6"/>
      <c r="AH1155" s="6"/>
      <c r="AI1155" s="6"/>
      <c r="AJ1155" s="17"/>
      <c r="AK1155" s="6"/>
      <c r="AL1155" s="17"/>
      <c r="AM1155" s="6"/>
      <c r="AN1155" s="6"/>
      <c r="AO1155" s="6"/>
      <c r="AP1155" s="17"/>
      <c r="AQ1155" s="6"/>
      <c r="AR1155" s="17"/>
      <c r="AS1155" s="6"/>
      <c r="AT1155" s="6"/>
      <c r="AU1155" s="6"/>
      <c r="AV1155" s="17"/>
      <c r="AW1155" s="6"/>
      <c r="AX1155" s="17"/>
      <c r="AY1155" s="6"/>
      <c r="AZ1155" s="6"/>
      <c r="BA1155" s="6"/>
      <c r="BB1155" s="17"/>
      <c r="BC1155" s="6"/>
      <c r="BD1155" s="17"/>
      <c r="BE1155" s="6"/>
      <c r="BF1155" s="6"/>
      <c r="BG1155" s="6"/>
      <c r="BH1155" s="17"/>
      <c r="BI1155" s="6"/>
      <c r="BJ1155" s="17"/>
      <c r="BK1155" s="6"/>
      <c r="BL1155" s="6"/>
      <c r="BM1155" s="6"/>
      <c r="BN1155" s="6"/>
      <c r="BO1155" s="6"/>
      <c r="BP1155" s="6"/>
      <c r="BQ1155" s="6"/>
      <c r="BR1155" s="6"/>
      <c r="BS1155" s="6"/>
      <c r="BT1155" s="6"/>
      <c r="BU1155" s="6"/>
      <c r="BV1155" s="6"/>
      <c r="BW1155" s="6"/>
      <c r="BX1155" s="6"/>
      <c r="BY1155" s="6"/>
      <c r="BZ1155" s="6"/>
      <c r="CA1155" s="6"/>
      <c r="CB1155" s="6"/>
      <c r="CC1155" s="6"/>
      <c r="CD1155" s="6"/>
      <c r="CE1155" s="6"/>
      <c r="CF1155" s="6"/>
      <c r="CG1155" s="6"/>
      <c r="CH1155" s="6"/>
      <c r="CI1155" s="18"/>
      <c r="CJ1155" s="6"/>
      <c r="CK1155" s="6"/>
      <c r="CL1155" s="6"/>
      <c r="CM1155" s="6"/>
      <c r="CN1155" s="6"/>
      <c r="CO1155" s="6"/>
      <c r="CP1155" s="6"/>
      <c r="CQ1155" s="6"/>
      <c r="CR1155" s="6"/>
      <c r="CS1155" s="6"/>
      <c r="CT1155" s="6"/>
      <c r="CU1155" s="6"/>
      <c r="CV1155" s="6"/>
      <c r="CW1155" s="6"/>
      <c r="CX1155" s="6"/>
      <c r="CY1155" s="6"/>
      <c r="CZ1155" s="6"/>
      <c r="DA1155" s="6"/>
      <c r="DB1155" s="6"/>
      <c r="DC1155" s="6"/>
      <c r="DD1155" s="6"/>
      <c r="DE1155" s="6"/>
      <c r="DF1155" s="6"/>
      <c r="DG1155" s="6"/>
      <c r="DH1155" s="6"/>
      <c r="DI1155" s="6"/>
      <c r="DJ1155" s="6"/>
      <c r="DK1155" s="6"/>
      <c r="DL1155" s="6"/>
      <c r="DM1155" s="6"/>
      <c r="DN1155" s="6"/>
      <c r="DO1155" s="6"/>
      <c r="DP1155" s="6"/>
      <c r="DQ1155" s="6"/>
      <c r="DR1155" s="6"/>
      <c r="DS1155" s="6"/>
      <c r="DT1155" s="6"/>
      <c r="DU1155" s="6"/>
      <c r="DV1155" s="6"/>
      <c r="DW1155" s="6"/>
      <c r="DX1155" s="6"/>
      <c r="DY1155" s="6"/>
      <c r="DZ1155" s="6"/>
      <c r="EA1155" s="6"/>
      <c r="EB1155" s="6"/>
      <c r="EC1155" s="6"/>
      <c r="ED1155" s="6"/>
      <c r="EE1155" s="6"/>
      <c r="EF1155" s="6"/>
      <c r="EG1155" s="6"/>
      <c r="EH1155" s="6"/>
      <c r="EI1155" s="6"/>
      <c r="EJ1155" s="6"/>
      <c r="EK1155" s="6"/>
      <c r="EL1155" s="6"/>
      <c r="EM1155" s="6"/>
      <c r="EN1155" s="6"/>
      <c r="EO1155" s="6"/>
      <c r="EP1155" s="6"/>
      <c r="EQ1155" s="6"/>
    </row>
    <row r="1156" spans="1:147" s="20" customFormat="1" ht="21.75" customHeight="1">
      <c r="A1156" s="1" t="s">
        <v>590</v>
      </c>
      <c r="B1156" s="34">
        <f>SUMIFS(L8:L1140,S8:S1140,A1156,CI8:CI1140,B1149)</f>
        <v>15107</v>
      </c>
      <c r="C1156" s="34">
        <f>SUMIFS(CD8:CD1140,S8:S1140,A1156,CI8:CI1140,B1149)</f>
        <v>-38</v>
      </c>
      <c r="D1156" s="34">
        <f>SUMIFS(L8:L1140,S8:S1140,A1156,CI8:CI1140,C1149)</f>
        <v>4020</v>
      </c>
      <c r="E1156" s="203">
        <f>SUMIFS(CD8:CD1140,S8:S1140,A1156,CI8:CI1140,C1149)</f>
        <v>-18</v>
      </c>
      <c r="F1156" s="177"/>
      <c r="G1156" s="112">
        <f>SUMIFS(L8:L1140,S8:S1140,A1156,CI8:CI1140,D1149)</f>
        <v>0</v>
      </c>
      <c r="H1156" s="34">
        <f>SUMIFS(CD8:CD1140,S8:S1140,A1156,CI8:CI1140,D1149)</f>
        <v>0</v>
      </c>
      <c r="I1156" s="204">
        <f t="shared" si="1113"/>
        <v>19127</v>
      </c>
      <c r="J1156" s="204"/>
      <c r="K1156" s="203">
        <f t="shared" si="1114"/>
        <v>-56</v>
      </c>
      <c r="L1156" s="177"/>
      <c r="M1156" s="6"/>
      <c r="N1156" s="6"/>
      <c r="O1156" s="6"/>
      <c r="P1156" s="6"/>
      <c r="Q1156" s="6"/>
      <c r="S1156" s="6"/>
      <c r="T1156" s="6"/>
      <c r="U1156" s="17"/>
      <c r="V1156" s="17"/>
      <c r="W1156" s="6"/>
      <c r="X1156" s="17"/>
      <c r="Y1156" s="6"/>
      <c r="Z1156" s="6"/>
      <c r="AA1156" s="6"/>
      <c r="AB1156" s="6"/>
      <c r="AC1156" s="6"/>
      <c r="AD1156" s="17"/>
      <c r="AE1156" s="6"/>
      <c r="AF1156" s="17"/>
      <c r="AG1156" s="6"/>
      <c r="AH1156" s="6"/>
      <c r="AI1156" s="6"/>
      <c r="AJ1156" s="17"/>
      <c r="AK1156" s="6"/>
      <c r="AL1156" s="17"/>
      <c r="AM1156" s="6"/>
      <c r="AN1156" s="6"/>
      <c r="AO1156" s="6"/>
      <c r="AP1156" s="17"/>
      <c r="AQ1156" s="6"/>
      <c r="AR1156" s="17"/>
      <c r="AS1156" s="6"/>
      <c r="AT1156" s="6"/>
      <c r="AU1156" s="6"/>
      <c r="AV1156" s="17"/>
      <c r="AW1156" s="6"/>
      <c r="AX1156" s="17"/>
      <c r="AY1156" s="6"/>
      <c r="AZ1156" s="6"/>
      <c r="BA1156" s="6"/>
      <c r="BB1156" s="17"/>
      <c r="BC1156" s="6"/>
      <c r="BD1156" s="17"/>
      <c r="BE1156" s="6"/>
      <c r="BF1156" s="6"/>
      <c r="BG1156" s="6"/>
      <c r="BH1156" s="17"/>
      <c r="BI1156" s="6"/>
      <c r="BJ1156" s="17"/>
      <c r="BK1156" s="6"/>
      <c r="BL1156" s="6"/>
      <c r="BM1156" s="6"/>
      <c r="BN1156" s="6"/>
      <c r="BO1156" s="6"/>
      <c r="BP1156" s="6"/>
      <c r="BQ1156" s="6"/>
      <c r="BR1156" s="6"/>
      <c r="BS1156" s="6"/>
      <c r="BT1156" s="6"/>
      <c r="BU1156" s="6"/>
      <c r="BV1156" s="6"/>
      <c r="BW1156" s="6"/>
      <c r="BX1156" s="6"/>
      <c r="BY1156" s="6"/>
      <c r="BZ1156" s="6"/>
      <c r="CA1156" s="6"/>
      <c r="CB1156" s="6"/>
      <c r="CC1156" s="6"/>
      <c r="CD1156" s="6"/>
      <c r="CE1156" s="6"/>
      <c r="CF1156" s="6"/>
      <c r="CG1156" s="6"/>
      <c r="CH1156" s="6"/>
      <c r="CI1156" s="18"/>
      <c r="CJ1156" s="6"/>
      <c r="CK1156" s="6"/>
      <c r="CL1156" s="6"/>
      <c r="CM1156" s="6"/>
      <c r="CN1156" s="6"/>
      <c r="CO1156" s="6"/>
      <c r="CP1156" s="6"/>
      <c r="CQ1156" s="6"/>
      <c r="CR1156" s="6"/>
      <c r="CS1156" s="6"/>
      <c r="CT1156" s="6"/>
      <c r="CU1156" s="6"/>
      <c r="CV1156" s="6"/>
      <c r="CW1156" s="6"/>
      <c r="CX1156" s="6"/>
      <c r="CY1156" s="6"/>
      <c r="CZ1156" s="6"/>
      <c r="DA1156" s="6"/>
      <c r="DB1156" s="6"/>
      <c r="DC1156" s="6"/>
      <c r="DD1156" s="6"/>
      <c r="DE1156" s="6"/>
      <c r="DF1156" s="6"/>
      <c r="DG1156" s="6"/>
      <c r="DH1156" s="6"/>
      <c r="DI1156" s="6"/>
      <c r="DJ1156" s="6"/>
      <c r="DK1156" s="6"/>
      <c r="DL1156" s="6"/>
      <c r="DM1156" s="6"/>
      <c r="DN1156" s="6"/>
      <c r="DO1156" s="6"/>
      <c r="DP1156" s="6"/>
      <c r="DQ1156" s="6"/>
      <c r="DR1156" s="6"/>
      <c r="DS1156" s="6"/>
      <c r="DT1156" s="6"/>
      <c r="DU1156" s="6"/>
      <c r="DV1156" s="6"/>
      <c r="DW1156" s="6"/>
      <c r="DX1156" s="6"/>
      <c r="DY1156" s="6"/>
      <c r="DZ1156" s="6"/>
      <c r="EA1156" s="6"/>
      <c r="EB1156" s="6"/>
      <c r="EC1156" s="6"/>
      <c r="ED1156" s="6"/>
      <c r="EE1156" s="6"/>
      <c r="EF1156" s="6"/>
      <c r="EG1156" s="6"/>
      <c r="EH1156" s="6"/>
      <c r="EI1156" s="6"/>
      <c r="EJ1156" s="6"/>
      <c r="EK1156" s="6"/>
      <c r="EL1156" s="6"/>
      <c r="EM1156" s="6"/>
      <c r="EN1156" s="6"/>
      <c r="EO1156" s="6"/>
      <c r="EP1156" s="6"/>
      <c r="EQ1156" s="6"/>
    </row>
    <row r="1157" spans="1:147" s="20" customFormat="1" ht="21.75" customHeight="1">
      <c r="A1157" s="34" t="s">
        <v>28</v>
      </c>
      <c r="B1157" s="34">
        <f>SUMIFS(L8:L1140,S8:S1140,A1157,CI8:CI1140,B1149)</f>
        <v>7941</v>
      </c>
      <c r="C1157" s="34">
        <f>SUMIFS(CD8:CD1140,S8:S1140,A1157,CI8:CI1140,B1149)</f>
        <v>0</v>
      </c>
      <c r="D1157" s="34">
        <f>SUMIFS(L8:L1140,S8:S1140,A1157,CI8:CI1140,C1149)</f>
        <v>12014</v>
      </c>
      <c r="E1157" s="203">
        <f>SUMIFS(CD8:CD1140,S8:S1140,A1157,CI8:CI1140,C1149)</f>
        <v>-38</v>
      </c>
      <c r="F1157" s="177"/>
      <c r="G1157" s="112">
        <f>SUMIFS(L8:L1140,S8:S1140,A1157,CI8:CI1140,D1149)</f>
        <v>2907</v>
      </c>
      <c r="H1157" s="34">
        <f>SUMIFS(CD8:CD1140,S8:S1140,A1157,CI8:CI1140,D1149)</f>
        <v>0</v>
      </c>
      <c r="I1157" s="204">
        <f t="shared" si="1113"/>
        <v>22862</v>
      </c>
      <c r="J1157" s="204"/>
      <c r="K1157" s="203">
        <f t="shared" si="1114"/>
        <v>-38</v>
      </c>
      <c r="L1157" s="177"/>
      <c r="M1157" s="6"/>
      <c r="N1157" s="6"/>
      <c r="O1157" s="6"/>
      <c r="P1157" s="6"/>
      <c r="Q1157" s="6"/>
      <c r="S1157" s="6"/>
      <c r="T1157" s="6"/>
      <c r="U1157" s="17"/>
      <c r="V1157" s="17"/>
      <c r="W1157" s="6"/>
      <c r="X1157" s="17"/>
      <c r="Y1157" s="6"/>
      <c r="Z1157" s="6"/>
      <c r="AA1157" s="6"/>
      <c r="AB1157" s="6"/>
      <c r="AC1157" s="6"/>
      <c r="AD1157" s="17"/>
      <c r="AE1157" s="6"/>
      <c r="AF1157" s="17"/>
      <c r="AG1157" s="6"/>
      <c r="AH1157" s="6"/>
      <c r="AI1157" s="6"/>
      <c r="AJ1157" s="17"/>
      <c r="AK1157" s="6"/>
      <c r="AL1157" s="17"/>
      <c r="AM1157" s="6"/>
      <c r="AN1157" s="6"/>
      <c r="AO1157" s="6"/>
      <c r="AP1157" s="17"/>
      <c r="AQ1157" s="6"/>
      <c r="AR1157" s="17"/>
      <c r="AS1157" s="6"/>
      <c r="AT1157" s="6"/>
      <c r="AU1157" s="6"/>
      <c r="AV1157" s="17"/>
      <c r="AW1157" s="6"/>
      <c r="AX1157" s="17"/>
      <c r="AY1157" s="6"/>
      <c r="AZ1157" s="6"/>
      <c r="BA1157" s="6"/>
      <c r="BB1157" s="17"/>
      <c r="BC1157" s="6"/>
      <c r="BD1157" s="17"/>
      <c r="BE1157" s="6"/>
      <c r="BF1157" s="6"/>
      <c r="BG1157" s="6"/>
      <c r="BH1157" s="17"/>
      <c r="BI1157" s="6"/>
      <c r="BJ1157" s="17"/>
      <c r="BK1157" s="6"/>
      <c r="BL1157" s="6"/>
      <c r="BM1157" s="6"/>
      <c r="BN1157" s="6"/>
      <c r="BO1157" s="6"/>
      <c r="BP1157" s="6"/>
      <c r="BQ1157" s="6"/>
      <c r="BR1157" s="6"/>
      <c r="BS1157" s="6"/>
      <c r="BT1157" s="6"/>
      <c r="BU1157" s="6"/>
      <c r="BV1157" s="6"/>
      <c r="BW1157" s="6"/>
      <c r="BX1157" s="6"/>
      <c r="BY1157" s="6"/>
      <c r="BZ1157" s="6"/>
      <c r="CA1157" s="6"/>
      <c r="CB1157" s="6"/>
      <c r="CC1157" s="6"/>
      <c r="CD1157" s="6"/>
      <c r="CE1157" s="6"/>
      <c r="CF1157" s="6"/>
      <c r="CG1157" s="6"/>
      <c r="CH1157" s="6"/>
      <c r="CI1157" s="18"/>
      <c r="CJ1157" s="6"/>
      <c r="CK1157" s="6"/>
      <c r="CL1157" s="6"/>
      <c r="CM1157" s="6"/>
      <c r="CN1157" s="6"/>
      <c r="CO1157" s="6"/>
      <c r="CP1157" s="6"/>
      <c r="CQ1157" s="6"/>
      <c r="CR1157" s="6"/>
      <c r="CS1157" s="6"/>
      <c r="CT1157" s="6"/>
      <c r="CU1157" s="6"/>
      <c r="CV1157" s="6"/>
      <c r="CW1157" s="6"/>
      <c r="CX1157" s="6"/>
      <c r="CY1157" s="6"/>
      <c r="CZ1157" s="6"/>
      <c r="DA1157" s="6"/>
      <c r="DB1157" s="6"/>
      <c r="DC1157" s="6"/>
      <c r="DD1157" s="6"/>
      <c r="DE1157" s="6"/>
      <c r="DF1157" s="6"/>
      <c r="DG1157" s="6"/>
      <c r="DH1157" s="6"/>
      <c r="DI1157" s="6"/>
      <c r="DJ1157" s="6"/>
      <c r="DK1157" s="6"/>
      <c r="DL1157" s="6"/>
      <c r="DM1157" s="6"/>
      <c r="DN1157" s="6"/>
      <c r="DO1157" s="6"/>
      <c r="DP1157" s="6"/>
      <c r="DQ1157" s="6"/>
      <c r="DR1157" s="6"/>
      <c r="DS1157" s="6"/>
      <c r="DT1157" s="6"/>
      <c r="DU1157" s="6"/>
      <c r="DV1157" s="6"/>
      <c r="DW1157" s="6"/>
      <c r="DX1157" s="6"/>
      <c r="DY1157" s="6"/>
      <c r="DZ1157" s="6"/>
      <c r="EA1157" s="6"/>
      <c r="EB1157" s="6"/>
      <c r="EC1157" s="6"/>
      <c r="ED1157" s="6"/>
      <c r="EE1157" s="6"/>
      <c r="EF1157" s="6"/>
      <c r="EG1157" s="6"/>
      <c r="EH1157" s="6"/>
      <c r="EI1157" s="6"/>
      <c r="EJ1157" s="6"/>
      <c r="EK1157" s="6"/>
      <c r="EL1157" s="6"/>
      <c r="EM1157" s="6"/>
      <c r="EN1157" s="6"/>
      <c r="EO1157" s="6"/>
      <c r="EP1157" s="6"/>
      <c r="EQ1157" s="6"/>
    </row>
    <row r="1158" spans="1:147" s="20" customFormat="1" ht="21.75" customHeight="1">
      <c r="A1158" s="34" t="s">
        <v>113</v>
      </c>
      <c r="B1158" s="34">
        <f>SUMIFS(L8:L1140,S8:S1140,A1158,CI8:CI1140,B1149)</f>
        <v>0</v>
      </c>
      <c r="C1158" s="34">
        <f>SUMIFS(CD8:CD1140,S8:S1140,A1158,CI8:CI1140,B1149)</f>
        <v>0</v>
      </c>
      <c r="D1158" s="34">
        <f>SUMIFS(L8:L1140,S8:S1140,A1158,CI8:CI1140,C1149)</f>
        <v>0</v>
      </c>
      <c r="E1158" s="203">
        <f>SUMIFS(CD8:CD1140,S8:S1140,A1158,CI8:CI1140,C1149)</f>
        <v>0</v>
      </c>
      <c r="F1158" s="177"/>
      <c r="G1158" s="112">
        <f>SUMIFS(L8:L1140,S8:S1140,A1158,CI8:CI1140,D1149)</f>
        <v>0</v>
      </c>
      <c r="H1158" s="34">
        <f>SUMIFS(CD8:CD1140,S8:S1140,A1158,CI8:CI1140,D1149)</f>
        <v>0</v>
      </c>
      <c r="I1158" s="204">
        <f t="shared" si="1113"/>
        <v>0</v>
      </c>
      <c r="J1158" s="204"/>
      <c r="K1158" s="203">
        <f t="shared" si="1114"/>
        <v>0</v>
      </c>
      <c r="L1158" s="177"/>
      <c r="M1158" s="6"/>
      <c r="N1158" s="6"/>
      <c r="O1158" s="6"/>
      <c r="P1158" s="6"/>
      <c r="Q1158" s="6"/>
      <c r="S1158" s="6"/>
      <c r="T1158" s="6"/>
      <c r="U1158" s="17"/>
      <c r="V1158" s="17"/>
      <c r="W1158" s="6"/>
      <c r="X1158" s="17"/>
      <c r="Y1158" s="6"/>
      <c r="Z1158" s="6"/>
      <c r="AA1158" s="6"/>
      <c r="AB1158" s="6"/>
      <c r="AC1158" s="6"/>
      <c r="AD1158" s="17"/>
      <c r="AE1158" s="6"/>
      <c r="AF1158" s="17"/>
      <c r="AG1158" s="6"/>
      <c r="AH1158" s="6"/>
      <c r="AI1158" s="6"/>
      <c r="AJ1158" s="17"/>
      <c r="AK1158" s="6"/>
      <c r="AL1158" s="17"/>
      <c r="AM1158" s="6"/>
      <c r="AN1158" s="6"/>
      <c r="AO1158" s="6"/>
      <c r="AP1158" s="17"/>
      <c r="AQ1158" s="6"/>
      <c r="AR1158" s="17"/>
      <c r="AS1158" s="6"/>
      <c r="AT1158" s="6"/>
      <c r="AU1158" s="6"/>
      <c r="AV1158" s="17"/>
      <c r="AW1158" s="6"/>
      <c r="AX1158" s="17"/>
      <c r="AY1158" s="6"/>
      <c r="AZ1158" s="6"/>
      <c r="BA1158" s="6"/>
      <c r="BB1158" s="17"/>
      <c r="BC1158" s="6"/>
      <c r="BD1158" s="17"/>
      <c r="BE1158" s="6"/>
      <c r="BF1158" s="6"/>
      <c r="BG1158" s="6"/>
      <c r="BH1158" s="17"/>
      <c r="BI1158" s="6"/>
      <c r="BJ1158" s="17"/>
      <c r="BK1158" s="6"/>
      <c r="BL1158" s="6"/>
      <c r="BM1158" s="6"/>
      <c r="BN1158" s="6"/>
      <c r="BO1158" s="6"/>
      <c r="BP1158" s="6"/>
      <c r="BQ1158" s="6"/>
      <c r="BR1158" s="6"/>
      <c r="BS1158" s="6"/>
      <c r="BT1158" s="6"/>
      <c r="BU1158" s="6"/>
      <c r="BV1158" s="6"/>
      <c r="BW1158" s="6"/>
      <c r="BX1158" s="6"/>
      <c r="BY1158" s="6"/>
      <c r="BZ1158" s="6"/>
      <c r="CA1158" s="6"/>
      <c r="CB1158" s="6"/>
      <c r="CC1158" s="6"/>
      <c r="CD1158" s="6"/>
      <c r="CE1158" s="6"/>
      <c r="CF1158" s="6"/>
      <c r="CG1158" s="6"/>
      <c r="CH1158" s="6"/>
      <c r="CI1158" s="18"/>
      <c r="CJ1158" s="6"/>
      <c r="CK1158" s="6"/>
      <c r="CL1158" s="6"/>
      <c r="CM1158" s="6"/>
      <c r="CN1158" s="6"/>
      <c r="CO1158" s="6"/>
      <c r="CP1158" s="6"/>
      <c r="CQ1158" s="6"/>
      <c r="CR1158" s="6"/>
      <c r="CS1158" s="6"/>
      <c r="CT1158" s="6"/>
      <c r="CU1158" s="6"/>
      <c r="CV1158" s="6"/>
      <c r="CW1158" s="6"/>
      <c r="CX1158" s="6"/>
      <c r="CY1158" s="6"/>
      <c r="CZ1158" s="6"/>
      <c r="DA1158" s="6"/>
      <c r="DB1158" s="6"/>
      <c r="DC1158" s="6"/>
      <c r="DD1158" s="6"/>
      <c r="DE1158" s="6"/>
      <c r="DF1158" s="6"/>
      <c r="DG1158" s="6"/>
      <c r="DH1158" s="6"/>
      <c r="DI1158" s="6"/>
      <c r="DJ1158" s="6"/>
      <c r="DK1158" s="6"/>
      <c r="DL1158" s="6"/>
      <c r="DM1158" s="6"/>
      <c r="DN1158" s="6"/>
      <c r="DO1158" s="6"/>
      <c r="DP1158" s="6"/>
      <c r="DQ1158" s="6"/>
      <c r="DR1158" s="6"/>
      <c r="DS1158" s="6"/>
      <c r="DT1158" s="6"/>
      <c r="DU1158" s="6"/>
      <c r="DV1158" s="6"/>
      <c r="DW1158" s="6"/>
      <c r="DX1158" s="6"/>
      <c r="DY1158" s="6"/>
      <c r="DZ1158" s="6"/>
      <c r="EA1158" s="6"/>
      <c r="EB1158" s="6"/>
      <c r="EC1158" s="6"/>
      <c r="ED1158" s="6"/>
      <c r="EE1158" s="6"/>
      <c r="EF1158" s="6"/>
      <c r="EG1158" s="6"/>
      <c r="EH1158" s="6"/>
      <c r="EI1158" s="6"/>
      <c r="EJ1158" s="6"/>
      <c r="EK1158" s="6"/>
      <c r="EL1158" s="6"/>
      <c r="EM1158" s="6"/>
      <c r="EN1158" s="6"/>
      <c r="EO1158" s="6"/>
      <c r="EP1158" s="6"/>
      <c r="EQ1158" s="6"/>
    </row>
    <row r="1159" spans="1:147" s="20" customFormat="1" ht="21.75" customHeight="1">
      <c r="A1159" s="34" t="s">
        <v>270</v>
      </c>
      <c r="B1159" s="34">
        <f>SUMIFS(L8:L1140,S8:S1140,A1159,CI8:CI1140,B1149)</f>
        <v>9038</v>
      </c>
      <c r="C1159" s="34">
        <f>SUMIFS(CD8:CD1140,S8:S1140,A1159,CI8:CI1140,B1149)</f>
        <v>0</v>
      </c>
      <c r="D1159" s="34">
        <f>SUMIFS(L8:L1140,S8:S1140,A1159,CI8:CI1140,C1149)</f>
        <v>27473</v>
      </c>
      <c r="E1159" s="203">
        <f>SUMIFS(CD8:CD1140,S8:S1140,A1159,CI8:CI1140,C1149)</f>
        <v>0</v>
      </c>
      <c r="F1159" s="177"/>
      <c r="G1159" s="112">
        <f>SUMIFS(L8:L1140,S8:S1140,A1159,CI8:CI1140,D1149)</f>
        <v>1753</v>
      </c>
      <c r="H1159" s="34">
        <f>SUMIFS(CD8:CD1140,S8:S1140,A1159,CI8:CI1140,D1149)</f>
        <v>0</v>
      </c>
      <c r="I1159" s="204">
        <f t="shared" si="1113"/>
        <v>38264</v>
      </c>
      <c r="J1159" s="204"/>
      <c r="K1159" s="203">
        <f t="shared" si="1114"/>
        <v>0</v>
      </c>
      <c r="L1159" s="177"/>
      <c r="M1159" s="6"/>
      <c r="N1159" s="6"/>
      <c r="O1159" s="6"/>
      <c r="P1159" s="6"/>
      <c r="Q1159" s="6" t="s">
        <v>19</v>
      </c>
      <c r="S1159" s="6"/>
      <c r="T1159" s="6"/>
      <c r="U1159" s="17"/>
      <c r="V1159" s="17"/>
      <c r="W1159" s="6"/>
      <c r="X1159" s="17"/>
      <c r="Y1159" s="6"/>
      <c r="Z1159" s="6"/>
      <c r="AA1159" s="6"/>
      <c r="AB1159" s="6"/>
      <c r="AC1159" s="6"/>
      <c r="AD1159" s="17"/>
      <c r="AE1159" s="6"/>
      <c r="AF1159" s="17"/>
      <c r="AG1159" s="6"/>
      <c r="AH1159" s="6"/>
      <c r="AI1159" s="6"/>
      <c r="AJ1159" s="17"/>
      <c r="AK1159" s="6"/>
      <c r="AL1159" s="17"/>
      <c r="AM1159" s="6"/>
      <c r="AN1159" s="6"/>
      <c r="AO1159" s="6"/>
      <c r="AP1159" s="17"/>
      <c r="AQ1159" s="6"/>
      <c r="AR1159" s="17"/>
      <c r="AS1159" s="6"/>
      <c r="AT1159" s="6"/>
      <c r="AU1159" s="6"/>
      <c r="AV1159" s="17"/>
      <c r="AW1159" s="6"/>
      <c r="AX1159" s="17"/>
      <c r="AY1159" s="6"/>
      <c r="AZ1159" s="6"/>
      <c r="BA1159" s="6"/>
      <c r="BB1159" s="17"/>
      <c r="BC1159" s="6"/>
      <c r="BD1159" s="17"/>
      <c r="BE1159" s="6"/>
      <c r="BF1159" s="6"/>
      <c r="BG1159" s="6"/>
      <c r="BH1159" s="17"/>
      <c r="BI1159" s="6"/>
      <c r="BJ1159" s="17"/>
      <c r="BK1159" s="6"/>
      <c r="BL1159" s="6"/>
      <c r="BM1159" s="6"/>
      <c r="BN1159" s="6"/>
      <c r="BO1159" s="6"/>
      <c r="BP1159" s="6"/>
      <c r="BQ1159" s="6"/>
      <c r="BR1159" s="6"/>
      <c r="BS1159" s="6"/>
      <c r="BT1159" s="6"/>
      <c r="BU1159" s="6"/>
      <c r="BV1159" s="6"/>
      <c r="BW1159" s="6"/>
      <c r="BX1159" s="6"/>
      <c r="BY1159" s="6"/>
      <c r="BZ1159" s="6"/>
      <c r="CA1159" s="6"/>
      <c r="CB1159" s="6"/>
      <c r="CC1159" s="6"/>
      <c r="CD1159" s="6"/>
      <c r="CE1159" s="6"/>
      <c r="CF1159" s="6"/>
      <c r="CG1159" s="6"/>
      <c r="CH1159" s="6"/>
      <c r="CI1159" s="18"/>
      <c r="CJ1159" s="6"/>
      <c r="CK1159" s="6"/>
      <c r="CL1159" s="6"/>
      <c r="CM1159" s="6"/>
      <c r="CN1159" s="6"/>
      <c r="CO1159" s="6"/>
      <c r="CP1159" s="6"/>
      <c r="CQ1159" s="6"/>
      <c r="CR1159" s="6"/>
      <c r="CS1159" s="6"/>
      <c r="CT1159" s="6"/>
      <c r="CU1159" s="6"/>
      <c r="CV1159" s="6"/>
      <c r="CW1159" s="6"/>
      <c r="CX1159" s="6"/>
      <c r="CY1159" s="6"/>
      <c r="CZ1159" s="6"/>
      <c r="DA1159" s="6"/>
      <c r="DB1159" s="6"/>
      <c r="DC1159" s="6"/>
      <c r="DD1159" s="6"/>
      <c r="DE1159" s="6"/>
      <c r="DF1159" s="6"/>
      <c r="DG1159" s="6"/>
      <c r="DH1159" s="6"/>
      <c r="DI1159" s="6"/>
      <c r="DJ1159" s="6"/>
      <c r="DK1159" s="6"/>
      <c r="DL1159" s="6"/>
      <c r="DM1159" s="6"/>
      <c r="DN1159" s="6"/>
      <c r="DO1159" s="6"/>
      <c r="DP1159" s="6"/>
      <c r="DQ1159" s="6"/>
      <c r="DR1159" s="6"/>
      <c r="DS1159" s="6"/>
      <c r="DT1159" s="6"/>
      <c r="DU1159" s="6"/>
      <c r="DV1159" s="6"/>
      <c r="DW1159" s="6"/>
      <c r="DX1159" s="6"/>
      <c r="DY1159" s="6"/>
      <c r="DZ1159" s="6"/>
      <c r="EA1159" s="6"/>
      <c r="EB1159" s="6"/>
      <c r="EC1159" s="6"/>
      <c r="ED1159" s="6"/>
      <c r="EE1159" s="6"/>
      <c r="EF1159" s="6"/>
      <c r="EG1159" s="6"/>
      <c r="EH1159" s="6"/>
      <c r="EI1159" s="6"/>
      <c r="EJ1159" s="6"/>
      <c r="EK1159" s="6"/>
      <c r="EL1159" s="6"/>
      <c r="EM1159" s="6"/>
      <c r="EN1159" s="6"/>
      <c r="EO1159" s="6"/>
      <c r="EP1159" s="6"/>
      <c r="EQ1159" s="6"/>
    </row>
    <row r="1160" spans="1:147" ht="21.75" customHeight="1">
      <c r="A1160" s="1" t="s">
        <v>326</v>
      </c>
      <c r="B1160" s="34">
        <f>SUMIFS(L8:L1140,S8:S1140,A1160,CI8:CI1140,B1149)</f>
        <v>7126</v>
      </c>
      <c r="C1160" s="34">
        <f>SUMIFS(CD8:CD1140,S8:S1140,A1160,CI8:CI1140,B1149)</f>
        <v>-19</v>
      </c>
      <c r="D1160" s="34">
        <f>SUMIFS(L8:L1140,S8:S1140,A1160,CI8:CI1140,C1149)</f>
        <v>5846</v>
      </c>
      <c r="E1160" s="203">
        <f>SUMIFS(CD8:CD1140,S8:S1140,A1160,CI8:CI1140,C1149)</f>
        <v>0</v>
      </c>
      <c r="F1160" s="177"/>
      <c r="G1160" s="112">
        <f>SUMIFS(L8:L1140,S8:S1140,A1160,CI8:CI1140,D1149)</f>
        <v>2039</v>
      </c>
      <c r="H1160" s="34">
        <f>SUMIFS(CD8:CD1140,S8:S1140,A1160,CI8:CI1140,D1149)</f>
        <v>-11</v>
      </c>
      <c r="I1160" s="204">
        <f>B1160+D1160+G1160</f>
        <v>15011</v>
      </c>
      <c r="J1160" s="204"/>
      <c r="K1160" s="203">
        <f t="shared" si="1114"/>
        <v>-30</v>
      </c>
      <c r="L1160" s="177"/>
      <c r="O1160" s="6" t="s">
        <v>19</v>
      </c>
      <c r="P1160" s="6" t="s">
        <v>19</v>
      </c>
    </row>
    <row r="1161" spans="1:147" s="20" customFormat="1" ht="21.75" customHeight="1">
      <c r="A1161" s="5" t="s">
        <v>203</v>
      </c>
      <c r="B1161" s="5">
        <f>SUM(B1154:B1160)</f>
        <v>56839</v>
      </c>
      <c r="C1161" s="5">
        <f>SUM(C1154:C1160)</f>
        <v>-114</v>
      </c>
      <c r="D1161" s="5">
        <f>SUM(D1154:D1160)</f>
        <v>60260</v>
      </c>
      <c r="E1161" s="205">
        <f>SUM(E1154:F1160)</f>
        <v>-56</v>
      </c>
      <c r="F1161" s="206"/>
      <c r="G1161" s="113">
        <f>SUM(G1154:G1160)</f>
        <v>19900</v>
      </c>
      <c r="H1161" s="5">
        <f>SUM(H1154:H1160)</f>
        <v>-23</v>
      </c>
      <c r="I1161" s="207">
        <f>SUM(I1154:J1160)</f>
        <v>136999</v>
      </c>
      <c r="J1161" s="207"/>
      <c r="K1161" s="207">
        <f>SUM(K1154:L1160)</f>
        <v>-193</v>
      </c>
      <c r="L1161" s="207"/>
      <c r="M1161" s="6"/>
      <c r="N1161" s="6"/>
      <c r="O1161" s="6" t="s">
        <v>19</v>
      </c>
      <c r="P1161" s="6" t="s">
        <v>19</v>
      </c>
      <c r="Q1161" s="6"/>
      <c r="S1161" s="6"/>
      <c r="T1161" s="6"/>
      <c r="U1161" s="17"/>
      <c r="V1161" s="17"/>
      <c r="W1161" s="6"/>
      <c r="X1161" s="17"/>
      <c r="Y1161" s="6"/>
      <c r="Z1161" s="6"/>
      <c r="AA1161" s="6"/>
      <c r="AB1161" s="6"/>
      <c r="AC1161" s="6"/>
      <c r="AD1161" s="17"/>
      <c r="AE1161" s="6"/>
      <c r="AF1161" s="17"/>
      <c r="AG1161" s="6"/>
      <c r="AH1161" s="6"/>
      <c r="AI1161" s="6"/>
      <c r="AJ1161" s="17"/>
      <c r="AK1161" s="6"/>
      <c r="AL1161" s="17"/>
      <c r="AM1161" s="6"/>
      <c r="AN1161" s="6"/>
      <c r="AO1161" s="6"/>
      <c r="AP1161" s="17"/>
      <c r="AQ1161" s="6"/>
      <c r="AR1161" s="17"/>
      <c r="AS1161" s="6"/>
      <c r="AT1161" s="6"/>
      <c r="AU1161" s="6"/>
      <c r="AV1161" s="17"/>
      <c r="AW1161" s="6"/>
      <c r="AX1161" s="17"/>
      <c r="AY1161" s="6"/>
      <c r="AZ1161" s="6"/>
      <c r="BA1161" s="6"/>
      <c r="BB1161" s="17"/>
      <c r="BC1161" s="6"/>
      <c r="BD1161" s="17"/>
      <c r="BE1161" s="6"/>
      <c r="BF1161" s="6"/>
      <c r="BG1161" s="6"/>
      <c r="BH1161" s="17"/>
      <c r="BI1161" s="6"/>
      <c r="BJ1161" s="17"/>
      <c r="BK1161" s="6"/>
      <c r="BL1161" s="6"/>
      <c r="BM1161" s="6"/>
      <c r="BN1161" s="6"/>
      <c r="BO1161" s="6"/>
      <c r="BP1161" s="6"/>
      <c r="BQ1161" s="6"/>
      <c r="BR1161" s="6"/>
      <c r="BS1161" s="6"/>
      <c r="BT1161" s="6"/>
      <c r="BU1161" s="6"/>
      <c r="BV1161" s="6"/>
      <c r="BW1161" s="6"/>
      <c r="BX1161" s="6"/>
      <c r="BY1161" s="6"/>
      <c r="BZ1161" s="6"/>
      <c r="CA1161" s="6"/>
      <c r="CB1161" s="6"/>
      <c r="CC1161" s="6"/>
      <c r="CD1161" s="6"/>
      <c r="CE1161" s="6"/>
      <c r="CF1161" s="6"/>
      <c r="CG1161" s="6"/>
      <c r="CH1161" s="6"/>
      <c r="CI1161" s="18"/>
      <c r="CJ1161" s="6"/>
      <c r="CK1161" s="6"/>
      <c r="CL1161" s="6"/>
      <c r="CM1161" s="6"/>
      <c r="CN1161" s="6"/>
      <c r="CO1161" s="6"/>
      <c r="CP1161" s="6"/>
      <c r="CQ1161" s="6"/>
      <c r="CR1161" s="6"/>
      <c r="CS1161" s="6"/>
      <c r="CT1161" s="6"/>
      <c r="CU1161" s="6"/>
      <c r="CV1161" s="6"/>
      <c r="CW1161" s="6"/>
      <c r="CX1161" s="6"/>
      <c r="CY1161" s="6"/>
      <c r="CZ1161" s="6"/>
      <c r="DA1161" s="6"/>
      <c r="DB1161" s="6"/>
      <c r="DC1161" s="6"/>
      <c r="DD1161" s="6"/>
      <c r="DE1161" s="6"/>
      <c r="DF1161" s="6"/>
      <c r="DG1161" s="6"/>
      <c r="DH1161" s="6"/>
      <c r="DI1161" s="6"/>
      <c r="DJ1161" s="6"/>
      <c r="DK1161" s="6"/>
      <c r="DL1161" s="6"/>
      <c r="DM1161" s="6"/>
      <c r="DN1161" s="6"/>
      <c r="DO1161" s="6"/>
      <c r="DP1161" s="6"/>
      <c r="DQ1161" s="6"/>
      <c r="DR1161" s="6"/>
      <c r="DS1161" s="6"/>
      <c r="DT1161" s="6"/>
    </row>
    <row r="1162" spans="1:147" ht="21.75" customHeight="1">
      <c r="A1162" s="5" t="s">
        <v>182</v>
      </c>
      <c r="B1162" s="5">
        <f>SUM(B1153:B1160)</f>
        <v>132715</v>
      </c>
      <c r="C1162" s="5">
        <f>SUM(C1153:C1160)</f>
        <v>-649</v>
      </c>
      <c r="D1162" s="5">
        <f>SUM(D1153:D1160)</f>
        <v>145420</v>
      </c>
      <c r="E1162" s="205">
        <f>SUM(E1153:F1160)</f>
        <v>-271</v>
      </c>
      <c r="F1162" s="206"/>
      <c r="G1162" s="113">
        <f>SUM(G1153:G1160)</f>
        <v>58664</v>
      </c>
      <c r="H1162" s="5">
        <f>SUM(H1153:H1160)</f>
        <v>-122</v>
      </c>
      <c r="I1162" s="205">
        <f>SUM(I1153:J1160)</f>
        <v>336799</v>
      </c>
      <c r="J1162" s="206"/>
      <c r="K1162" s="205">
        <f>SUM(K1153:L1160)</f>
        <v>-1042</v>
      </c>
      <c r="L1162" s="206"/>
    </row>
    <row r="1165" spans="1:147" ht="30.75" customHeight="1">
      <c r="A1165" s="5" t="s">
        <v>98</v>
      </c>
      <c r="B1165" s="43" t="s">
        <v>37</v>
      </c>
      <c r="C1165" s="5" t="s">
        <v>24</v>
      </c>
      <c r="D1165" s="5" t="s">
        <v>189</v>
      </c>
      <c r="E1165" s="45"/>
      <c r="F1165" s="45"/>
      <c r="G1165" s="110"/>
      <c r="H1165" s="45"/>
      <c r="I1165" s="45"/>
      <c r="J1165" s="45"/>
      <c r="K1165" s="45"/>
      <c r="L1165" s="46"/>
    </row>
    <row r="1166" spans="1:147" ht="30.75" customHeight="1">
      <c r="A1166" s="5">
        <f>B1185+B1186+B1187+B1188+B1189+B1190+B1192+B1193+B1194+B1195+B1196+B1197+B1198+B1199+B1200+B1201+B1202+B1204+B1206+B1208+B1205</f>
        <v>122947</v>
      </c>
      <c r="B1166" s="5">
        <f>B1184+B1187+B1188+B1190+B1195+B1196+B1203+B1207</f>
        <v>36261</v>
      </c>
      <c r="C1166" s="5">
        <f>B1191+B1192+B1197+B1198+B1203</f>
        <v>11000</v>
      </c>
      <c r="D1166" s="5">
        <f>(I1153+I1153*12%)-B1209</f>
        <v>-8743</v>
      </c>
      <c r="E1166" s="45"/>
      <c r="F1166" s="45"/>
      <c r="G1166" s="110"/>
      <c r="H1166" s="45"/>
      <c r="I1166" s="45"/>
      <c r="J1166" s="45"/>
      <c r="K1166" s="45"/>
      <c r="L1166" s="46"/>
    </row>
    <row r="1167" spans="1:147" ht="12" customHeight="1">
      <c r="E1167" s="6" t="s">
        <v>19</v>
      </c>
    </row>
    <row r="1184" spans="1:2" ht="24.75" customHeight="1">
      <c r="A1184" s="44" t="s">
        <v>37</v>
      </c>
      <c r="B1184" s="5">
        <f>SUMIFS(I8:I1140,D8:D1140,A1184)</f>
        <v>11947</v>
      </c>
    </row>
    <row r="1185" spans="1:2" ht="24.75" customHeight="1">
      <c r="A1185" s="44" t="s">
        <v>49</v>
      </c>
      <c r="B1185" s="5">
        <f>SUMIFS(L8:L1140,D8:D1140,A1185)</f>
        <v>7731</v>
      </c>
    </row>
    <row r="1186" spans="1:2" ht="24.75" customHeight="1">
      <c r="A1186" s="44" t="s">
        <v>45</v>
      </c>
      <c r="B1186" s="5">
        <f>SUMIFS(I8:I1140,D8:D1140,A1186)</f>
        <v>60653</v>
      </c>
    </row>
    <row r="1187" spans="1:2" ht="24.75" customHeight="1">
      <c r="A1187" s="44" t="s">
        <v>110</v>
      </c>
      <c r="B1187" s="5">
        <f>SUMIFS(I8:I1140,D8:D1140,A1187)</f>
        <v>11623</v>
      </c>
    </row>
    <row r="1188" spans="1:2" ht="24.75" customHeight="1">
      <c r="A1188" s="112" t="s">
        <v>83</v>
      </c>
      <c r="B1188" s="5">
        <f>SUMIFS(I8:I1140,D8:D1140,A1188)</f>
        <v>6149</v>
      </c>
    </row>
    <row r="1189" spans="1:2" ht="24.75" customHeight="1">
      <c r="A1189" s="44" t="s">
        <v>98</v>
      </c>
      <c r="B1189" s="5">
        <f>SUMIFS(I8:I1140,D8:D1140,A1189)</f>
        <v>4311</v>
      </c>
    </row>
    <row r="1190" spans="1:2" ht="24.75" customHeight="1">
      <c r="A1190" s="44" t="s">
        <v>143</v>
      </c>
      <c r="B1190" s="5">
        <f>SUMIFS(I8:I1140,D8:D1140,A1190)</f>
        <v>542</v>
      </c>
    </row>
    <row r="1191" spans="1:2" ht="24.75" customHeight="1">
      <c r="A1191" s="112" t="s">
        <v>24</v>
      </c>
      <c r="B1191" s="5">
        <f>SUMIFS(L8:L1140,D8:D1140,A1191)</f>
        <v>8246</v>
      </c>
    </row>
    <row r="1192" spans="1:2" ht="24.75" customHeight="1">
      <c r="A1192" s="112" t="s">
        <v>166</v>
      </c>
      <c r="B1192" s="5">
        <f>SUMIFS(L8:L1140,D8:D1140,A1192)</f>
        <v>764</v>
      </c>
    </row>
    <row r="1193" spans="1:2" ht="24.75" customHeight="1">
      <c r="A1193" s="112" t="s">
        <v>104</v>
      </c>
      <c r="B1193" s="5">
        <f>SUMIFS(L8:L1140,D8:D1140,A1193)</f>
        <v>3085</v>
      </c>
    </row>
    <row r="1194" spans="1:2" ht="24.75" customHeight="1">
      <c r="A1194" s="112" t="s">
        <v>82</v>
      </c>
      <c r="B1194" s="5">
        <f>SUMIFS(I8:I1140,D8:D1140,A1194)</f>
        <v>2636</v>
      </c>
    </row>
    <row r="1195" spans="1:2" ht="24.75" customHeight="1">
      <c r="A1195" s="112" t="s">
        <v>275</v>
      </c>
      <c r="B1195" s="5">
        <f>SUMIFS(I8:I1140,D8:D1140,A1195)</f>
        <v>6000</v>
      </c>
    </row>
    <row r="1196" spans="1:2" ht="24.75" customHeight="1">
      <c r="A1196" s="112" t="s">
        <v>278</v>
      </c>
      <c r="B1196" s="5">
        <f>SUMIFS(I8:I1140,D8:D1140,A1196)</f>
        <v>0</v>
      </c>
    </row>
    <row r="1197" spans="1:2" ht="24.75" customHeight="1">
      <c r="A1197" s="112" t="s">
        <v>107</v>
      </c>
      <c r="B1197" s="5">
        <f>SUMIFS(I8:I1140,D8:D1140,A1197)</f>
        <v>1990</v>
      </c>
    </row>
    <row r="1198" spans="1:2" ht="24.75" customHeight="1">
      <c r="A1198" s="112" t="s">
        <v>164</v>
      </c>
      <c r="B1198" s="5">
        <f>SUMIFS(L8:L1140,D8:D1140,A1198)</f>
        <v>0</v>
      </c>
    </row>
    <row r="1199" spans="1:2" ht="24.75" customHeight="1">
      <c r="A1199" s="44" t="s">
        <v>108</v>
      </c>
      <c r="B1199" s="5">
        <f>SUMIFS(I8:I1140,D8:D1140,A1199)</f>
        <v>10526</v>
      </c>
    </row>
    <row r="1200" spans="1:2" ht="24.75" customHeight="1">
      <c r="A1200" s="112" t="s">
        <v>263</v>
      </c>
      <c r="B1200" s="5">
        <f>SUMIFS(L8:L1140,D8:D1140,A1200)</f>
        <v>0</v>
      </c>
    </row>
    <row r="1201" spans="1:71" ht="24.75" customHeight="1">
      <c r="A1201" s="44" t="s">
        <v>126</v>
      </c>
      <c r="B1201" s="5">
        <f>SUMIFS(I8:I1140,D8:D1140,A1201)</f>
        <v>0</v>
      </c>
    </row>
    <row r="1202" spans="1:71" ht="24.75" customHeight="1">
      <c r="A1202" s="44" t="s">
        <v>109</v>
      </c>
      <c r="B1202" s="5">
        <f>SUMIFS(I8:I1140,D8:D1140,A1202)</f>
        <v>5178</v>
      </c>
    </row>
    <row r="1203" spans="1:71" ht="24.75" customHeight="1">
      <c r="A1203" s="34" t="s">
        <v>81</v>
      </c>
      <c r="B1203" s="5">
        <f>SUMIFS(I8:I1140,D8:D1140,A1203)</f>
        <v>0</v>
      </c>
    </row>
    <row r="1204" spans="1:71" ht="26.25" customHeight="1">
      <c r="A1204" s="112" t="s">
        <v>271</v>
      </c>
      <c r="B1204" s="5">
        <f>SUMIFS(I8:I1140,D8:D1140,A1204)</f>
        <v>0</v>
      </c>
    </row>
    <row r="1205" spans="1:71" ht="26.25" customHeight="1">
      <c r="A1205" s="112" t="s">
        <v>799</v>
      </c>
      <c r="B1205" s="5">
        <f>SUMIFS(I9:I1141,D9:D1141,A1205)</f>
        <v>1759</v>
      </c>
    </row>
    <row r="1206" spans="1:71" ht="26.25" customHeight="1">
      <c r="A1206" s="112" t="s">
        <v>195</v>
      </c>
      <c r="B1206" s="5">
        <f>SUMIFS(I8:I1140,D8:D1140,A1206)</f>
        <v>0</v>
      </c>
    </row>
    <row r="1207" spans="1:71" ht="26.25" customHeight="1">
      <c r="A1207" s="112" t="s">
        <v>276</v>
      </c>
      <c r="B1207" s="5">
        <f>SUMIFS(I8:I1140,D8:D1140,A1207)</f>
        <v>0</v>
      </c>
    </row>
    <row r="1208" spans="1:71" ht="26.25" customHeight="1">
      <c r="A1208" s="112" t="s">
        <v>277</v>
      </c>
      <c r="B1208" s="5">
        <f>SUMIFS(I8:I1140,D8:D1140,A1208)</f>
        <v>0</v>
      </c>
    </row>
    <row r="1209" spans="1:71" ht="26.25" customHeight="1">
      <c r="A1209" s="34" t="s">
        <v>188</v>
      </c>
      <c r="B1209" s="5">
        <f>SUMIF(S8:S1140,A1153,AB8:AB1140)</f>
        <v>232519</v>
      </c>
    </row>
    <row r="1210" spans="1:71" ht="26.25" customHeight="1">
      <c r="A1210" s="132" t="s">
        <v>375</v>
      </c>
      <c r="B1210" s="133">
        <f>SUMIFS(I:I,H:H, "*/J*")</f>
        <v>123424</v>
      </c>
      <c r="BR1210" s="129"/>
      <c r="BS1210" s="129"/>
    </row>
    <row r="1211" spans="1:71" ht="26.25" customHeight="1">
      <c r="A1211" s="34" t="s">
        <v>26</v>
      </c>
      <c r="B1211" s="5">
        <f>SUMIFS(I:I,H:H, "*Slub*",E:E, "&lt;200")</f>
        <v>3309</v>
      </c>
      <c r="BR1211" s="129"/>
      <c r="BS1211" s="129"/>
    </row>
    <row r="1212" spans="1:71" ht="26.25" customHeight="1">
      <c r="A1212" s="34" t="s">
        <v>376</v>
      </c>
      <c r="B1212" s="5">
        <f>SUMIFS(I:I,H:H, "*Slub*",E:E, "&gt;=200")</f>
        <v>0</v>
      </c>
      <c r="BR1212" s="129"/>
      <c r="BS1212" s="129"/>
    </row>
    <row r="1213" spans="1:71" ht="26.25" customHeight="1">
      <c r="A1213" s="34" t="s">
        <v>377</v>
      </c>
      <c r="B1213" s="5">
        <f>SUMIFS(I:I,H:H, "L/S/J",E:E, "&lt;200")</f>
        <v>54777</v>
      </c>
      <c r="BR1213" s="129"/>
      <c r="BS1213" s="129"/>
    </row>
    <row r="1214" spans="1:71" ht="26.25" customHeight="1">
      <c r="A1214" s="34" t="s">
        <v>29</v>
      </c>
      <c r="B1214" s="5">
        <f>SUMIFS(I:I,H:H, "*CVC S/J*")</f>
        <v>2103</v>
      </c>
      <c r="BR1214" s="129"/>
      <c r="BS1214" s="129"/>
    </row>
    <row r="1215" spans="1:71" ht="26.25" customHeight="1">
      <c r="A1215" s="112" t="s">
        <v>378</v>
      </c>
      <c r="B1215" s="5">
        <f>SUMIFS(I:I,H:H, "*/J*",E:E, "&gt;=200",E:E, "&lt;=240")</f>
        <v>20844</v>
      </c>
      <c r="BR1215" s="129"/>
      <c r="BS1215" s="129"/>
    </row>
    <row r="1216" spans="1:71" ht="26.25" customHeight="1">
      <c r="A1216" s="34" t="s">
        <v>379</v>
      </c>
      <c r="B1216" s="5">
        <f>SUMIFS(I:I,H:H, "*/J*",E:E, "&gt;=300")</f>
        <v>2011</v>
      </c>
      <c r="BR1216" s="129"/>
      <c r="BS1216" s="129"/>
    </row>
    <row r="1217" spans="1:71" ht="26.25" customHeight="1">
      <c r="A1217" s="34" t="s">
        <v>380</v>
      </c>
      <c r="B1217" s="5">
        <f>SUMIFS(I:I,H:H, "*Rib*")</f>
        <v>51978</v>
      </c>
      <c r="BR1217" s="129"/>
      <c r="BS1217" s="129"/>
    </row>
    <row r="1218" spans="1:71" ht="26.25" customHeight="1">
      <c r="A1218" s="34" t="s">
        <v>196</v>
      </c>
      <c r="B1218" s="5">
        <f>SUMIFS(I:I,H:H, "*Fleece*",H:H, "&lt;&gt;*CVC*")</f>
        <v>39307</v>
      </c>
      <c r="BR1218" s="129"/>
      <c r="BS1218" s="129"/>
    </row>
    <row r="1219" spans="1:71" ht="26.25" customHeight="1">
      <c r="A1219" s="34" t="s">
        <v>32</v>
      </c>
      <c r="B1219" s="5">
        <f>SUMIFS(I:I,H:H, "*CVC Fleece*")</f>
        <v>59704</v>
      </c>
      <c r="BR1219" s="129"/>
      <c r="BS1219" s="129"/>
    </row>
    <row r="1220" spans="1:71" ht="26.25" customHeight="1">
      <c r="A1220" s="34" t="s">
        <v>25</v>
      </c>
      <c r="B1220" s="5">
        <f>SUMIFS(I:I,H:H, "*Terry*",H:H, "&lt;&gt;*Design Terry*",H:H, "&lt;&gt;*CVC Terry*")</f>
        <v>4765</v>
      </c>
      <c r="BR1220" s="129"/>
      <c r="BS1220" s="129"/>
    </row>
    <row r="1221" spans="1:71" ht="26.25" customHeight="1">
      <c r="A1221" s="34" t="s">
        <v>33</v>
      </c>
      <c r="B1221" s="5">
        <f>SUMIFS(I:I,H:H, "*CVC Terry*")</f>
        <v>26970</v>
      </c>
      <c r="BR1221" s="129"/>
      <c r="BS1221" s="129"/>
    </row>
    <row r="1222" spans="1:71" ht="26.25" customHeight="1">
      <c r="A1222" s="34" t="s">
        <v>346</v>
      </c>
      <c r="B1222" s="5">
        <f>SUMIFS(I:I,H:H, "*Design Terry*")</f>
        <v>0</v>
      </c>
      <c r="BR1222" s="129"/>
      <c r="BS1222" s="129"/>
    </row>
    <row r="1223" spans="1:71" ht="26.25" customHeight="1">
      <c r="A1223" s="34" t="s">
        <v>381</v>
      </c>
      <c r="B1223" s="5">
        <f>SUMIFS(I:I,H:H, "*Interlock*")</f>
        <v>21909</v>
      </c>
      <c r="BR1223" s="129"/>
      <c r="BS1223" s="129"/>
    </row>
    <row r="1224" spans="1:71" ht="26.25" customHeight="1">
      <c r="A1224" s="34" t="s">
        <v>371</v>
      </c>
      <c r="B1224" s="5">
        <f>SUMIFS(I:I,H:H, "*waffle*")</f>
        <v>0</v>
      </c>
      <c r="BR1224" s="129"/>
      <c r="BS1224" s="129"/>
    </row>
    <row r="1225" spans="1:71" ht="26.25" customHeight="1"/>
    <row r="1229" spans="1:71" ht="12" customHeight="1">
      <c r="B1229" s="45"/>
    </row>
  </sheetData>
  <autoFilter ref="A7:CI1140" xr:uid="{00000000-0009-0000-0000-000003000000}"/>
  <mergeCells count="788">
    <mergeCell ref="C550:C551"/>
    <mergeCell ref="C541:C549"/>
    <mergeCell ref="BR534:BR540"/>
    <mergeCell ref="BS534:BS540"/>
    <mergeCell ref="BR611:BR613"/>
    <mergeCell ref="BS586:BS587"/>
    <mergeCell ref="T659:U660"/>
    <mergeCell ref="BR614:BR617"/>
    <mergeCell ref="BS592:BS593"/>
    <mergeCell ref="C596:C597"/>
    <mergeCell ref="BS596:BS597"/>
    <mergeCell ref="C609:C610"/>
    <mergeCell ref="BS609:BS610"/>
    <mergeCell ref="C659:C660"/>
    <mergeCell ref="C642:C643"/>
    <mergeCell ref="BS611:BS613"/>
    <mergeCell ref="C586:C587"/>
    <mergeCell ref="C592:C593"/>
    <mergeCell ref="BR590:BR591"/>
    <mergeCell ref="C590:C591"/>
    <mergeCell ref="C611:C613"/>
    <mergeCell ref="BR659:BR660"/>
    <mergeCell ref="BS552:BS553"/>
    <mergeCell ref="BR550:BR551"/>
    <mergeCell ref="C421:C423"/>
    <mergeCell ref="C432:C433"/>
    <mergeCell ref="BR450:BR451"/>
    <mergeCell ref="BR421:BR423"/>
    <mergeCell ref="C410:C411"/>
    <mergeCell ref="C418:C420"/>
    <mergeCell ref="C412:C414"/>
    <mergeCell ref="C402:C405"/>
    <mergeCell ref="C415:C417"/>
    <mergeCell ref="C509:C513"/>
    <mergeCell ref="C484:C488"/>
    <mergeCell ref="C499:C500"/>
    <mergeCell ref="C520:C525"/>
    <mergeCell ref="C240:C241"/>
    <mergeCell ref="C221:C222"/>
    <mergeCell ref="BR154:BR155"/>
    <mergeCell ref="C154:C155"/>
    <mergeCell ref="C227:C230"/>
    <mergeCell ref="C258:C260"/>
    <mergeCell ref="BR351:BR356"/>
    <mergeCell ref="C282:C285"/>
    <mergeCell ref="C289:C290"/>
    <mergeCell ref="C506:C508"/>
    <mergeCell ref="BR506:BR508"/>
    <mergeCell ref="C518:C519"/>
    <mergeCell ref="BR499:BR500"/>
    <mergeCell ref="C501:C502"/>
    <mergeCell ref="BR501:BR502"/>
    <mergeCell ref="BR509:BR513"/>
    <mergeCell ref="BR375:BR380"/>
    <mergeCell ref="C514:C517"/>
    <mergeCell ref="C398:C400"/>
    <mergeCell ref="BR398:BR400"/>
    <mergeCell ref="BR170:BR171"/>
    <mergeCell ref="BR198:BR199"/>
    <mergeCell ref="BS198:BS199"/>
    <mergeCell ref="BR160:BR166"/>
    <mergeCell ref="BR176:BR179"/>
    <mergeCell ref="BS208:BS209"/>
    <mergeCell ref="BS194:BS195"/>
    <mergeCell ref="BS196:BS197"/>
    <mergeCell ref="BS170:BS171"/>
    <mergeCell ref="BR172:BR174"/>
    <mergeCell ref="BR240:BR241"/>
    <mergeCell ref="C269:C271"/>
    <mergeCell ref="BS261:BS262"/>
    <mergeCell ref="C223:C224"/>
    <mergeCell ref="BS238:BS239"/>
    <mergeCell ref="BS251:BS252"/>
    <mergeCell ref="C235:C237"/>
    <mergeCell ref="BR235:BR237"/>
    <mergeCell ref="BS231:BS234"/>
    <mergeCell ref="C225:C226"/>
    <mergeCell ref="C245:C247"/>
    <mergeCell ref="BS245:BS247"/>
    <mergeCell ref="BR238:BR239"/>
    <mergeCell ref="BR227:BR230"/>
    <mergeCell ref="C231:C234"/>
    <mergeCell ref="BR248:BR250"/>
    <mergeCell ref="BS248:BS250"/>
    <mergeCell ref="BS243:BS244"/>
    <mergeCell ref="C243:C244"/>
    <mergeCell ref="BS240:BS241"/>
    <mergeCell ref="C238:C239"/>
    <mergeCell ref="BR269:BR271"/>
    <mergeCell ref="C251:C252"/>
    <mergeCell ref="BS258:BS260"/>
    <mergeCell ref="C253:C254"/>
    <mergeCell ref="C450:C451"/>
    <mergeCell ref="BR389:BR391"/>
    <mergeCell ref="BS389:BS391"/>
    <mergeCell ref="BR329:BR330"/>
    <mergeCell ref="C408:C409"/>
    <mergeCell ref="C312:C315"/>
    <mergeCell ref="BR312:BR315"/>
    <mergeCell ref="BS432:BS433"/>
    <mergeCell ref="BS396:BS397"/>
    <mergeCell ref="BR347:BR350"/>
    <mergeCell ref="BR316:BR318"/>
    <mergeCell ref="C389:C391"/>
    <mergeCell ref="C373:C374"/>
    <mergeCell ref="C316:C318"/>
    <mergeCell ref="C326:C328"/>
    <mergeCell ref="BR326:BR328"/>
    <mergeCell ref="C329:C330"/>
    <mergeCell ref="BR359:BR361"/>
    <mergeCell ref="C347:C350"/>
    <mergeCell ref="C375:C380"/>
    <mergeCell ref="C359:C361"/>
    <mergeCell ref="C351:C356"/>
    <mergeCell ref="BS275:BS281"/>
    <mergeCell ref="BS479:BS480"/>
    <mergeCell ref="BS469:BS470"/>
    <mergeCell ref="BR415:BR417"/>
    <mergeCell ref="BR418:BR420"/>
    <mergeCell ref="BR396:BR397"/>
    <mergeCell ref="BS424:BS426"/>
    <mergeCell ref="BS421:BS423"/>
    <mergeCell ref="BS477:BS478"/>
    <mergeCell ref="C497:C498"/>
    <mergeCell ref="BR484:BR488"/>
    <mergeCell ref="BR412:BR414"/>
    <mergeCell ref="BR457:BR458"/>
    <mergeCell ref="C396:C397"/>
    <mergeCell ref="BR410:BR411"/>
    <mergeCell ref="BR469:BR470"/>
    <mergeCell ref="C479:C480"/>
    <mergeCell ref="BS484:BS488"/>
    <mergeCell ref="C467:C468"/>
    <mergeCell ref="BS412:BS414"/>
    <mergeCell ref="BS467:BS468"/>
    <mergeCell ref="C455:C456"/>
    <mergeCell ref="C452:C453"/>
    <mergeCell ref="C427:C428"/>
    <mergeCell ref="C424:C426"/>
    <mergeCell ref="BS1041:BS1042"/>
    <mergeCell ref="C489:C496"/>
    <mergeCell ref="BR752:BR753"/>
    <mergeCell ref="BS998:BS1003"/>
    <mergeCell ref="BR1004:BR1005"/>
    <mergeCell ref="BS1004:BS1005"/>
    <mergeCell ref="BS903:BS905"/>
    <mergeCell ref="BR916:BR919"/>
    <mergeCell ref="BR402:BR405"/>
    <mergeCell ref="C429:C431"/>
    <mergeCell ref="C503:C505"/>
    <mergeCell ref="BR503:BR505"/>
    <mergeCell ref="BR471:BR476"/>
    <mergeCell ref="BR424:BR426"/>
    <mergeCell ref="BR427:BR428"/>
    <mergeCell ref="C471:C476"/>
    <mergeCell ref="C477:C478"/>
    <mergeCell ref="C469:C470"/>
    <mergeCell ref="C482:C483"/>
    <mergeCell ref="BR791:BR793"/>
    <mergeCell ref="BR914:BR915"/>
    <mergeCell ref="BS550:BS551"/>
    <mergeCell ref="C671:C672"/>
    <mergeCell ref="BR671:BR672"/>
    <mergeCell ref="C1060:C1062"/>
    <mergeCell ref="BS1094:BS1097"/>
    <mergeCell ref="C1094:C1097"/>
    <mergeCell ref="BR1088:BR1090"/>
    <mergeCell ref="BS1060:BS1062"/>
    <mergeCell ref="BS1056:BS1059"/>
    <mergeCell ref="BS1051:BS1054"/>
    <mergeCell ref="BS1066:BS1067"/>
    <mergeCell ref="C1088:C1090"/>
    <mergeCell ref="BS1088:BS1090"/>
    <mergeCell ref="C1066:C1067"/>
    <mergeCell ref="C1079:C1080"/>
    <mergeCell ref="C1081:C1083"/>
    <mergeCell ref="BS1064:BS1065"/>
    <mergeCell ref="C1064:C1065"/>
    <mergeCell ref="BR1084:BR1087"/>
    <mergeCell ref="BS1084:BS1087"/>
    <mergeCell ref="BR1066:BR1067"/>
    <mergeCell ref="C1084:C1087"/>
    <mergeCell ref="BS1068:BS1069"/>
    <mergeCell ref="BS1081:BS1083"/>
    <mergeCell ref="C1117:C1118"/>
    <mergeCell ref="C838:C845"/>
    <mergeCell ref="C1051:C1054"/>
    <mergeCell ref="C914:C915"/>
    <mergeCell ref="C985:C986"/>
    <mergeCell ref="C1033:C1035"/>
    <mergeCell ref="C1046:C1049"/>
    <mergeCell ref="C994:C995"/>
    <mergeCell ref="C990:C991"/>
    <mergeCell ref="C1056:C1059"/>
    <mergeCell ref="C1068:C1069"/>
    <mergeCell ref="C1021:C1023"/>
    <mergeCell ref="C1043:C1045"/>
    <mergeCell ref="C998:C1003"/>
    <mergeCell ref="C992:C993"/>
    <mergeCell ref="C1091:C1092"/>
    <mergeCell ref="C1024:C1027"/>
    <mergeCell ref="C894:C895"/>
    <mergeCell ref="C888:C889"/>
    <mergeCell ref="C1098:C1099"/>
    <mergeCell ref="C907:C908"/>
    <mergeCell ref="C909:C910"/>
    <mergeCell ref="C1041:C1042"/>
    <mergeCell ref="C954:C962"/>
    <mergeCell ref="B1146:C1146"/>
    <mergeCell ref="BR846:BR852"/>
    <mergeCell ref="BR808:BR810"/>
    <mergeCell ref="BR966:BR967"/>
    <mergeCell ref="C900:C901"/>
    <mergeCell ref="C931:C934"/>
    <mergeCell ref="BR931:BR934"/>
    <mergeCell ref="C811:C814"/>
    <mergeCell ref="C979:C984"/>
    <mergeCell ref="C946:C953"/>
    <mergeCell ref="BR1119:BR1120"/>
    <mergeCell ref="BR1060:BR1062"/>
    <mergeCell ref="BR1068:BR1069"/>
    <mergeCell ref="BR964:BR965"/>
    <mergeCell ref="BR998:BR1003"/>
    <mergeCell ref="BR1105:BR1108"/>
    <mergeCell ref="BR1094:BR1097"/>
    <mergeCell ref="BR1056:BR1059"/>
    <mergeCell ref="BR1117:BR1118"/>
    <mergeCell ref="BR1033:BR1035"/>
    <mergeCell ref="BR990:BR991"/>
    <mergeCell ref="BR994:BR995"/>
    <mergeCell ref="BR1051:BR1054"/>
    <mergeCell ref="C1004:C1005"/>
    <mergeCell ref="K1157:L1157"/>
    <mergeCell ref="I1156:J1156"/>
    <mergeCell ref="K1156:L1156"/>
    <mergeCell ref="E1156:F1156"/>
    <mergeCell ref="E1155:F1155"/>
    <mergeCell ref="E1153:F1153"/>
    <mergeCell ref="I1155:J1155"/>
    <mergeCell ref="C1101:C1104"/>
    <mergeCell ref="C1105:C1108"/>
    <mergeCell ref="K1152:L1152"/>
    <mergeCell ref="D1151:F1151"/>
    <mergeCell ref="I1151:L1151"/>
    <mergeCell ref="G1151:H1151"/>
    <mergeCell ref="K1155:L1155"/>
    <mergeCell ref="I1153:J1153"/>
    <mergeCell ref="K1153:L1153"/>
    <mergeCell ref="E1154:F1154"/>
    <mergeCell ref="I1154:J1154"/>
    <mergeCell ref="K1154:L1154"/>
    <mergeCell ref="B1151:C1151"/>
    <mergeCell ref="B1145:C1145"/>
    <mergeCell ref="E1152:F1152"/>
    <mergeCell ref="I1152:J1152"/>
    <mergeCell ref="C1119:C1120"/>
    <mergeCell ref="E1162:F1162"/>
    <mergeCell ref="I1162:J1162"/>
    <mergeCell ref="K1162:L1162"/>
    <mergeCell ref="E1159:F1159"/>
    <mergeCell ref="I1159:J1159"/>
    <mergeCell ref="K1159:L1159"/>
    <mergeCell ref="E1160:F1160"/>
    <mergeCell ref="I1160:J1160"/>
    <mergeCell ref="K1160:L1160"/>
    <mergeCell ref="E1161:F1161"/>
    <mergeCell ref="I1161:J1161"/>
    <mergeCell ref="K1161:L1161"/>
    <mergeCell ref="E1158:F1158"/>
    <mergeCell ref="I1158:J1158"/>
    <mergeCell ref="K1158:L1158"/>
    <mergeCell ref="E1157:F1157"/>
    <mergeCell ref="I1157:J1157"/>
    <mergeCell ref="BR596:BR597"/>
    <mergeCell ref="BR482:BR483"/>
    <mergeCell ref="BS200:BS201"/>
    <mergeCell ref="BR225:BR226"/>
    <mergeCell ref="BR289:BR290"/>
    <mergeCell ref="BR1098:BR1099"/>
    <mergeCell ref="BR1101:BR1104"/>
    <mergeCell ref="BR992:BR993"/>
    <mergeCell ref="BR1041:BR1042"/>
    <mergeCell ref="BR1064:BR1065"/>
    <mergeCell ref="BR1079:BR1080"/>
    <mergeCell ref="BS779:BS785"/>
    <mergeCell ref="BR552:BR553"/>
    <mergeCell ref="BS791:BS793"/>
    <mergeCell ref="BS1098:BS1099"/>
    <mergeCell ref="BS815:BS818"/>
    <mergeCell ref="BS794:BS797"/>
    <mergeCell ref="BS824:BS837"/>
    <mergeCell ref="BS954:BS962"/>
    <mergeCell ref="BS717:BS718"/>
    <mergeCell ref="BR460:BR462"/>
    <mergeCell ref="BR467:BR468"/>
    <mergeCell ref="BS398:BS400"/>
    <mergeCell ref="BS373:BS374"/>
    <mergeCell ref="BR429:BR431"/>
    <mergeCell ref="BR373:BR374"/>
    <mergeCell ref="BS408:BS409"/>
    <mergeCell ref="BR408:BR409"/>
    <mergeCell ref="BS375:BS380"/>
    <mergeCell ref="BS460:BS462"/>
    <mergeCell ref="BS482:BS483"/>
    <mergeCell ref="BR520:BR525"/>
    <mergeCell ref="BR712:BR713"/>
    <mergeCell ref="BS659:BS660"/>
    <mergeCell ref="BS661:BS662"/>
    <mergeCell ref="BS471:BS476"/>
    <mergeCell ref="BS518:BS519"/>
    <mergeCell ref="BS712:BS713"/>
    <mergeCell ref="BS514:BS517"/>
    <mergeCell ref="BR514:BR517"/>
    <mergeCell ref="BR518:BR519"/>
    <mergeCell ref="BR455:BR456"/>
    <mergeCell ref="BS457:BS458"/>
    <mergeCell ref="CA1141:CC1141"/>
    <mergeCell ref="BR888:BR889"/>
    <mergeCell ref="BS888:BS889"/>
    <mergeCell ref="BR1043:BR1045"/>
    <mergeCell ref="BS1043:BS1045"/>
    <mergeCell ref="BR1046:BR1049"/>
    <mergeCell ref="BS1046:BS1049"/>
    <mergeCell ref="BS1021:BS1023"/>
    <mergeCell ref="BR1091:BR1092"/>
    <mergeCell ref="BS1091:BS1092"/>
    <mergeCell ref="BR907:BR908"/>
    <mergeCell ref="BS907:BS908"/>
    <mergeCell ref="BR909:BR910"/>
    <mergeCell ref="BS909:BS910"/>
    <mergeCell ref="BR894:BR895"/>
    <mergeCell ref="BR1081:BR1083"/>
    <mergeCell ref="BR944:BR945"/>
    <mergeCell ref="BR923:BR924"/>
    <mergeCell ref="BS1119:BS1120"/>
    <mergeCell ref="BS994:BS995"/>
    <mergeCell ref="BS1101:BS1104"/>
    <mergeCell ref="BS1105:BS1108"/>
    <mergeCell ref="BS1117:BS1118"/>
    <mergeCell ref="BS1079:BS1080"/>
    <mergeCell ref="C131:C132"/>
    <mergeCell ref="BS752:BS753"/>
    <mergeCell ref="BU1141:BY1141"/>
    <mergeCell ref="DC7:DE7"/>
    <mergeCell ref="CV1129:CW1129"/>
    <mergeCell ref="BR642:BR643"/>
    <mergeCell ref="BS642:BS643"/>
    <mergeCell ref="BS872:BS873"/>
    <mergeCell ref="BR872:BR873"/>
    <mergeCell ref="BR452:BR453"/>
    <mergeCell ref="BS452:BS453"/>
    <mergeCell ref="BS694:BS696"/>
    <mergeCell ref="BR561:BR562"/>
    <mergeCell ref="BS561:BS562"/>
    <mergeCell ref="BR1021:BR1023"/>
    <mergeCell ref="BR694:BR696"/>
    <mergeCell ref="BS392:BS393"/>
    <mergeCell ref="BR40:BR42"/>
    <mergeCell ref="BS40:BS42"/>
    <mergeCell ref="BR44:BR45"/>
    <mergeCell ref="BS44:BS45"/>
    <mergeCell ref="BS63:BS64"/>
    <mergeCell ref="BR50:BR52"/>
    <mergeCell ref="C8:C9"/>
    <mergeCell ref="BS964:BS965"/>
    <mergeCell ref="BS102:BS103"/>
    <mergeCell ref="BS131:BS132"/>
    <mergeCell ref="C91:C92"/>
    <mergeCell ref="C65:C66"/>
    <mergeCell ref="BS67:BS69"/>
    <mergeCell ref="C72:C73"/>
    <mergeCell ref="BR72:BR73"/>
    <mergeCell ref="BS72:BS73"/>
    <mergeCell ref="BR70:BR71"/>
    <mergeCell ref="C129:C130"/>
    <mergeCell ref="C137:C138"/>
    <mergeCell ref="BR100:BR101"/>
    <mergeCell ref="BS100:BS101"/>
    <mergeCell ref="BR84:BR88"/>
    <mergeCell ref="BS84:BS88"/>
    <mergeCell ref="BR89:BR90"/>
    <mergeCell ref="BS89:BS90"/>
    <mergeCell ref="BR580:BR581"/>
    <mergeCell ref="BR541:BR549"/>
    <mergeCell ref="BS520:BS525"/>
    <mergeCell ref="BS117:BS123"/>
    <mergeCell ref="C70:C71"/>
    <mergeCell ref="C124:C125"/>
    <mergeCell ref="CZ7:DB7"/>
    <mergeCell ref="C24:C25"/>
    <mergeCell ref="BR24:BR25"/>
    <mergeCell ref="BS24:BS25"/>
    <mergeCell ref="C26:C27"/>
    <mergeCell ref="BR26:BR27"/>
    <mergeCell ref="BS26:BS27"/>
    <mergeCell ref="BS30:BS32"/>
    <mergeCell ref="C33:C34"/>
    <mergeCell ref="BR33:BR34"/>
    <mergeCell ref="BS33:BS34"/>
    <mergeCell ref="C30:C32"/>
    <mergeCell ref="BR30:BR32"/>
    <mergeCell ref="C10:C11"/>
    <mergeCell ref="BR10:BR11"/>
    <mergeCell ref="BS10:BS11"/>
    <mergeCell ref="C12:C13"/>
    <mergeCell ref="BR12:BR13"/>
    <mergeCell ref="BS12:BS13"/>
    <mergeCell ref="C14:C15"/>
    <mergeCell ref="BR14:BR15"/>
    <mergeCell ref="BS14:BS15"/>
    <mergeCell ref="C20:C23"/>
    <mergeCell ref="BS20:BS23"/>
    <mergeCell ref="BS46:BS47"/>
    <mergeCell ref="BR48:BR49"/>
    <mergeCell ref="BS48:BS49"/>
    <mergeCell ref="C60:C62"/>
    <mergeCell ref="BR60:BR62"/>
    <mergeCell ref="BS60:BS62"/>
    <mergeCell ref="C56:C59"/>
    <mergeCell ref="BS53:BS55"/>
    <mergeCell ref="BR56:BR59"/>
    <mergeCell ref="BS56:BS59"/>
    <mergeCell ref="C50:C52"/>
    <mergeCell ref="C126:C127"/>
    <mergeCell ref="BS91:BS92"/>
    <mergeCell ref="C79:C80"/>
    <mergeCell ref="C97:C99"/>
    <mergeCell ref="BR97:BR99"/>
    <mergeCell ref="C100:C101"/>
    <mergeCell ref="BS70:BS71"/>
    <mergeCell ref="BR79:BR80"/>
    <mergeCell ref="BS79:BS80"/>
    <mergeCell ref="BR91:BR92"/>
    <mergeCell ref="C117:C123"/>
    <mergeCell ref="BR102:BR103"/>
    <mergeCell ref="BS109:BS115"/>
    <mergeCell ref="BR104:BR106"/>
    <mergeCell ref="BR76:BR78"/>
    <mergeCell ref="BS97:BS99"/>
    <mergeCell ref="BS129:BS130"/>
    <mergeCell ref="CT1:CU6"/>
    <mergeCell ref="B2:CH2"/>
    <mergeCell ref="B3:CH3"/>
    <mergeCell ref="I5:L6"/>
    <mergeCell ref="M5:N5"/>
    <mergeCell ref="O5:R5"/>
    <mergeCell ref="S5:AB6"/>
    <mergeCell ref="AC5:AH6"/>
    <mergeCell ref="AI5:AN6"/>
    <mergeCell ref="BT5:BZ6"/>
    <mergeCell ref="CA5:CD6"/>
    <mergeCell ref="CH5:CH6"/>
    <mergeCell ref="CI5:CI6"/>
    <mergeCell ref="M6:N6"/>
    <mergeCell ref="BN6:BQ6"/>
    <mergeCell ref="AO5:AT6"/>
    <mergeCell ref="B1:CH1"/>
    <mergeCell ref="BR5:BS6"/>
    <mergeCell ref="BA5:BF6"/>
    <mergeCell ref="BG5:BL6"/>
    <mergeCell ref="BN5:BQ5"/>
    <mergeCell ref="AU5:AZ6"/>
    <mergeCell ref="BR63:BR64"/>
    <mergeCell ref="BR20:BR23"/>
    <mergeCell ref="C104:C106"/>
    <mergeCell ref="C84:C88"/>
    <mergeCell ref="C67:C69"/>
    <mergeCell ref="BR65:BR66"/>
    <mergeCell ref="BS65:BS66"/>
    <mergeCell ref="BS104:BS106"/>
    <mergeCell ref="C102:C103"/>
    <mergeCell ref="BS76:BS78"/>
    <mergeCell ref="BR93:BR94"/>
    <mergeCell ref="BS93:BS94"/>
    <mergeCell ref="C74:C75"/>
    <mergeCell ref="BR74:BR75"/>
    <mergeCell ref="BS74:BS75"/>
    <mergeCell ref="C93:C94"/>
    <mergeCell ref="C89:C90"/>
    <mergeCell ref="C35:C36"/>
    <mergeCell ref="BR35:BR36"/>
    <mergeCell ref="BS35:BS36"/>
    <mergeCell ref="C40:C42"/>
    <mergeCell ref="C44:C45"/>
    <mergeCell ref="C46:C47"/>
    <mergeCell ref="BS38:BS39"/>
    <mergeCell ref="BS50:BS52"/>
    <mergeCell ref="BR8:BR9"/>
    <mergeCell ref="BS8:BS9"/>
    <mergeCell ref="O6:R6"/>
    <mergeCell ref="C275:C281"/>
    <mergeCell ref="BR275:BR281"/>
    <mergeCell ref="BR131:BR132"/>
    <mergeCell ref="BR124:BR125"/>
    <mergeCell ref="BS124:BS125"/>
    <mergeCell ref="BR126:BR127"/>
    <mergeCell ref="BS126:BS127"/>
    <mergeCell ref="BR129:BR130"/>
    <mergeCell ref="BS146:BS147"/>
    <mergeCell ref="BS144:BS145"/>
    <mergeCell ref="BR146:BR147"/>
    <mergeCell ref="BR137:BR138"/>
    <mergeCell ref="BS137:BS138"/>
    <mergeCell ref="BR144:BR145"/>
    <mergeCell ref="C135:C136"/>
    <mergeCell ref="BS135:BS136"/>
    <mergeCell ref="BR135:BR136"/>
    <mergeCell ref="BR208:BR209"/>
    <mergeCell ref="C16:C19"/>
    <mergeCell ref="BR16:BR19"/>
    <mergeCell ref="BS16:BS19"/>
    <mergeCell ref="BS455:BS456"/>
    <mergeCell ref="BS253:BS254"/>
    <mergeCell ref="BR251:BR252"/>
    <mergeCell ref="BR253:BR254"/>
    <mergeCell ref="BR243:BR244"/>
    <mergeCell ref="BS410:BS411"/>
    <mergeCell ref="BS415:BS417"/>
    <mergeCell ref="BS359:BS361"/>
    <mergeCell ref="BR368:BR371"/>
    <mergeCell ref="BS429:BS431"/>
    <mergeCell ref="BS450:BS451"/>
    <mergeCell ref="BS292:BS293"/>
    <mergeCell ref="BR258:BR260"/>
    <mergeCell ref="BS351:BS356"/>
    <mergeCell ref="BS289:BS290"/>
    <mergeCell ref="BS286:BS288"/>
    <mergeCell ref="BR286:BR288"/>
    <mergeCell ref="BS269:BS271"/>
    <mergeCell ref="BS402:BS405"/>
    <mergeCell ref="BR292:BR293"/>
    <mergeCell ref="BS427:BS428"/>
    <mergeCell ref="BS368:BS371"/>
    <mergeCell ref="BR432:BR433"/>
    <mergeCell ref="BS341:BS342"/>
    <mergeCell ref="C292:C293"/>
    <mergeCell ref="C286:C288"/>
    <mergeCell ref="BS316:BS318"/>
    <mergeCell ref="BR336:BR340"/>
    <mergeCell ref="BS336:BS340"/>
    <mergeCell ref="BS334:BS335"/>
    <mergeCell ref="BR282:BR285"/>
    <mergeCell ref="BS282:BS285"/>
    <mergeCell ref="BS326:BS328"/>
    <mergeCell ref="BS331:BS333"/>
    <mergeCell ref="C306:C309"/>
    <mergeCell ref="BR306:BR309"/>
    <mergeCell ref="BS306:BS309"/>
    <mergeCell ref="BS329:BS330"/>
    <mergeCell ref="C331:C333"/>
    <mergeCell ref="BR331:BR333"/>
    <mergeCell ref="C336:C340"/>
    <mergeCell ref="BS312:BS315"/>
    <mergeCell ref="C295:C298"/>
    <mergeCell ref="BR295:BR298"/>
    <mergeCell ref="BS295:BS298"/>
    <mergeCell ref="BS532:BS533"/>
    <mergeCell ref="BR489:BR496"/>
    <mergeCell ref="BR497:BR498"/>
    <mergeCell ref="BS489:BS496"/>
    <mergeCell ref="BS497:BS498"/>
    <mergeCell ref="BS503:BS505"/>
    <mergeCell ref="BS499:BS500"/>
    <mergeCell ref="BS501:BS502"/>
    <mergeCell ref="BS509:BS513"/>
    <mergeCell ref="BS506:BS508"/>
    <mergeCell ref="BR979:BR984"/>
    <mergeCell ref="C923:C924"/>
    <mergeCell ref="BS992:BS993"/>
    <mergeCell ref="BR985:BR986"/>
    <mergeCell ref="C966:C967"/>
    <mergeCell ref="C920:C921"/>
    <mergeCell ref="BR920:BR921"/>
    <mergeCell ref="BS946:BS953"/>
    <mergeCell ref="C938:C943"/>
    <mergeCell ref="C944:C945"/>
    <mergeCell ref="BS944:BS945"/>
    <mergeCell ref="BS935:BS937"/>
    <mergeCell ref="BS923:BS924"/>
    <mergeCell ref="BR928:BR930"/>
    <mergeCell ref="C964:C965"/>
    <mergeCell ref="BS928:BS930"/>
    <mergeCell ref="BS966:BS967"/>
    <mergeCell ref="BS990:BS991"/>
    <mergeCell ref="BS931:BS934"/>
    <mergeCell ref="BS979:BS984"/>
    <mergeCell ref="BS985:BS986"/>
    <mergeCell ref="BR946:BR953"/>
    <mergeCell ref="BS920:BS921"/>
    <mergeCell ref="BS938:BS943"/>
    <mergeCell ref="BR1024:BR1027"/>
    <mergeCell ref="BS1024:BS1027"/>
    <mergeCell ref="C1028:C1029"/>
    <mergeCell ref="BR1028:BR1029"/>
    <mergeCell ref="C1030:C1032"/>
    <mergeCell ref="BR1030:BR1032"/>
    <mergeCell ref="BS1030:BS1032"/>
    <mergeCell ref="C1036:C1039"/>
    <mergeCell ref="BR1036:BR1039"/>
    <mergeCell ref="BS1036:BS1039"/>
    <mergeCell ref="BS1028:BS1029"/>
    <mergeCell ref="BS1033:BS1035"/>
    <mergeCell ref="C752:C753"/>
    <mergeCell ref="BR954:BR962"/>
    <mergeCell ref="C791:C793"/>
    <mergeCell ref="C786:C790"/>
    <mergeCell ref="BR786:BR790"/>
    <mergeCell ref="BR900:BR901"/>
    <mergeCell ref="BR798:BR802"/>
    <mergeCell ref="BR838:BR845"/>
    <mergeCell ref="BR896:BR899"/>
    <mergeCell ref="BR903:BR905"/>
    <mergeCell ref="C794:C797"/>
    <mergeCell ref="C824:C837"/>
    <mergeCell ref="BR938:BR943"/>
    <mergeCell ref="C935:C937"/>
    <mergeCell ref="C928:C930"/>
    <mergeCell ref="BR935:BR937"/>
    <mergeCell ref="BS786:BS790"/>
    <mergeCell ref="C808:C810"/>
    <mergeCell ref="C916:C919"/>
    <mergeCell ref="C815:C818"/>
    <mergeCell ref="C798:C802"/>
    <mergeCell ref="C903:C905"/>
    <mergeCell ref="BR811:BR814"/>
    <mergeCell ref="BS811:BS814"/>
    <mergeCell ref="BS838:BS845"/>
    <mergeCell ref="BS846:BS852"/>
    <mergeCell ref="BS798:BS802"/>
    <mergeCell ref="BS914:BS915"/>
    <mergeCell ref="BS894:BS895"/>
    <mergeCell ref="BS896:BS899"/>
    <mergeCell ref="C896:C899"/>
    <mergeCell ref="BS900:BS901"/>
    <mergeCell ref="BS916:BS919"/>
    <mergeCell ref="C872:C873"/>
    <mergeCell ref="C846:C852"/>
    <mergeCell ref="BR794:BR797"/>
    <mergeCell ref="BR815:BR818"/>
    <mergeCell ref="BR824:BR837"/>
    <mergeCell ref="C721:C724"/>
    <mergeCell ref="BR721:BR724"/>
    <mergeCell ref="BS721:BS724"/>
    <mergeCell ref="C465:C466"/>
    <mergeCell ref="BR465:BR466"/>
    <mergeCell ref="BS465:BS466"/>
    <mergeCell ref="C561:C562"/>
    <mergeCell ref="BR582:BR585"/>
    <mergeCell ref="BR532:BR533"/>
    <mergeCell ref="BR565:BR567"/>
    <mergeCell ref="BR588:BR589"/>
    <mergeCell ref="BR586:BR587"/>
    <mergeCell ref="BR592:BR593"/>
    <mergeCell ref="BS590:BS591"/>
    <mergeCell ref="BS588:BS589"/>
    <mergeCell ref="C588:C589"/>
    <mergeCell ref="C580:C581"/>
    <mergeCell ref="C552:C553"/>
    <mergeCell ref="BS565:BS567"/>
    <mergeCell ref="C582:C585"/>
    <mergeCell ref="BS582:BS585"/>
    <mergeCell ref="BS580:BS581"/>
    <mergeCell ref="BR609:BR610"/>
    <mergeCell ref="C614:C617"/>
    <mergeCell ref="C712:C713"/>
    <mergeCell ref="BS671:BS672"/>
    <mergeCell ref="BS210:BS218"/>
    <mergeCell ref="BS235:BS237"/>
    <mergeCell ref="BS418:BS420"/>
    <mergeCell ref="C248:C250"/>
    <mergeCell ref="BR245:BR247"/>
    <mergeCell ref="C261:C262"/>
    <mergeCell ref="BR261:BR262"/>
    <mergeCell ref="C709:C710"/>
    <mergeCell ref="BS709:BS710"/>
    <mergeCell ref="T671:V672"/>
    <mergeCell ref="C697:C699"/>
    <mergeCell ref="C701:C702"/>
    <mergeCell ref="BS701:BS702"/>
    <mergeCell ref="BR701:BR702"/>
    <mergeCell ref="BS697:BS699"/>
    <mergeCell ref="C694:C696"/>
    <mergeCell ref="C341:C342"/>
    <mergeCell ref="BR341:BR342"/>
    <mergeCell ref="C532:C533"/>
    <mergeCell ref="C534:C540"/>
    <mergeCell ref="C565:C567"/>
    <mergeCell ref="BS541:BS549"/>
    <mergeCell ref="BR231:BR234"/>
    <mergeCell ref="C191:C192"/>
    <mergeCell ref="BR191:BR192"/>
    <mergeCell ref="BS191:BS192"/>
    <mergeCell ref="BS172:BS174"/>
    <mergeCell ref="BS176:BS179"/>
    <mergeCell ref="C172:C174"/>
    <mergeCell ref="BS227:BS230"/>
    <mergeCell ref="BR223:BR224"/>
    <mergeCell ref="BS223:BS224"/>
    <mergeCell ref="C210:C218"/>
    <mergeCell ref="BS225:BS226"/>
    <mergeCell ref="BS202:BS206"/>
    <mergeCell ref="BR202:BR206"/>
    <mergeCell ref="BS189:BS190"/>
    <mergeCell ref="BR200:BR201"/>
    <mergeCell ref="BR221:BR222"/>
    <mergeCell ref="BS221:BS222"/>
    <mergeCell ref="C392:C393"/>
    <mergeCell ref="BS347:BS350"/>
    <mergeCell ref="BS343:BS346"/>
    <mergeCell ref="C334:C335"/>
    <mergeCell ref="BR334:BR335"/>
    <mergeCell ref="BR343:BR346"/>
    <mergeCell ref="C368:C371"/>
    <mergeCell ref="C357:C358"/>
    <mergeCell ref="BR357:BR358"/>
    <mergeCell ref="BS357:BS358"/>
    <mergeCell ref="C343:C346"/>
    <mergeCell ref="BR392:BR393"/>
    <mergeCell ref="C38:C39"/>
    <mergeCell ref="BR38:BR39"/>
    <mergeCell ref="C148:C149"/>
    <mergeCell ref="C150:C151"/>
    <mergeCell ref="C208:C209"/>
    <mergeCell ref="C202:C206"/>
    <mergeCell ref="C200:C201"/>
    <mergeCell ref="C176:C179"/>
    <mergeCell ref="BR152:BR153"/>
    <mergeCell ref="C53:C55"/>
    <mergeCell ref="BR67:BR69"/>
    <mergeCell ref="BR148:BR149"/>
    <mergeCell ref="BR117:BR123"/>
    <mergeCell ref="C48:C49"/>
    <mergeCell ref="BR189:BR190"/>
    <mergeCell ref="C194:C195"/>
    <mergeCell ref="BR194:BR195"/>
    <mergeCell ref="C76:C78"/>
    <mergeCell ref="C63:C64"/>
    <mergeCell ref="BR53:BR55"/>
    <mergeCell ref="BR46:BR47"/>
    <mergeCell ref="C189:C190"/>
    <mergeCell ref="C196:C197"/>
    <mergeCell ref="BR196:BR197"/>
    <mergeCell ref="C133:C134"/>
    <mergeCell ref="BR133:BR134"/>
    <mergeCell ref="BS160:BS166"/>
    <mergeCell ref="C167:C168"/>
    <mergeCell ref="BR167:BR168"/>
    <mergeCell ref="BS167:BS168"/>
    <mergeCell ref="BS133:BS134"/>
    <mergeCell ref="C156:C157"/>
    <mergeCell ref="BS142:BS143"/>
    <mergeCell ref="BS158:BS159"/>
    <mergeCell ref="C142:C143"/>
    <mergeCell ref="BR142:BR143"/>
    <mergeCell ref="BR158:BR159"/>
    <mergeCell ref="BS148:BS149"/>
    <mergeCell ref="BR150:BR151"/>
    <mergeCell ref="BS150:BS151"/>
    <mergeCell ref="C152:C153"/>
    <mergeCell ref="BS156:BS157"/>
    <mergeCell ref="C146:C147"/>
    <mergeCell ref="BS152:BS153"/>
    <mergeCell ref="BS154:BS155"/>
    <mergeCell ref="BR156:BR157"/>
    <mergeCell ref="C719:C720"/>
    <mergeCell ref="BR719:BR720"/>
    <mergeCell ref="BS719:BS720"/>
    <mergeCell ref="C158:C159"/>
    <mergeCell ref="C109:C115"/>
    <mergeCell ref="BR109:BR115"/>
    <mergeCell ref="BS808:BS810"/>
    <mergeCell ref="BR661:BR662"/>
    <mergeCell ref="BR779:BR785"/>
    <mergeCell ref="C779:C785"/>
    <mergeCell ref="BR717:BR718"/>
    <mergeCell ref="C717:C718"/>
    <mergeCell ref="C170:C171"/>
    <mergeCell ref="C198:C199"/>
    <mergeCell ref="C160:C166"/>
    <mergeCell ref="BS614:BS617"/>
    <mergeCell ref="BR697:BR699"/>
    <mergeCell ref="BR709:BR710"/>
    <mergeCell ref="C457:C458"/>
    <mergeCell ref="C460:C462"/>
    <mergeCell ref="BR477:BR478"/>
    <mergeCell ref="BR479:BR480"/>
    <mergeCell ref="C144:C145"/>
    <mergeCell ref="BR210:BR218"/>
  </mergeCells>
  <conditionalFormatting sqref="BM730 BM715:BM716 BM706:BM707 BM861 BM866 BM666:BM670 BM367 BM963:BM964 BM874:BM887 BM704 BM645:BM659 BM568:BM580 BM434:BM448 BM170 BM251 BM1109:BM1116 BM1056:BM1059 BM1071:BM1078 BM291:BM292 BM316 BM186 BM180:BM181 BM263:BM268 BM582 BM586 BM712:BM713 BM550 BM499 BM607:BM608 BM618:BM626 BM1006:BM1020 BM373 BM351 BM319:BM325 BM968:BM978 BM501 BM531 BM503 BM554:BM560 BM304:BM305 BM294:BM295 BM727:BM728 BM673:BM674 BM1121 BM1124:BM1140 BM381:BM388">
    <cfRule type="cellIs" dxfId="3642" priority="1333" operator="between">
      <formula>8</formula>
      <formula>60</formula>
    </cfRule>
  </conditionalFormatting>
  <conditionalFormatting sqref="BM663:BM665">
    <cfRule type="cellIs" dxfId="3641" priority="1332" operator="between">
      <formula>8</formula>
      <formula>60</formula>
    </cfRule>
  </conditionalFormatting>
  <conditionalFormatting sqref="CE730 CE715:CE716 CE706:CE707 CE861 CE866 CE367 CE1071:CE1078 CE963:CE965 CE874:CE887 CE704 CE645:CE660 CE568:CE587 CE434:CE448 CE170:CE171 CE251:CE252 CE1109:CE1116 CE291:CE296 CE316:CE325 CE186 CE712:CE713 CE180:CE181 CE550:CE551 CE263:CE268 CE607:CE608 CE618:CE626 CE1006:CE1020 CE373:CE374 CE351:CE352 CE531 CE499:CE504 CE304:CE305 CE663:CE670 CE727:CE728 CE968:CE978 CE673:CE674 CE1121 CE554:CE560 CE1124:CE1140 CE381:CE388">
    <cfRule type="cellIs" dxfId="3640" priority="1331" operator="between">
      <formula>-0.04</formula>
      <formula>-1</formula>
    </cfRule>
  </conditionalFormatting>
  <conditionalFormatting sqref="BM675:BM677">
    <cfRule type="cellIs" dxfId="3639" priority="1330" operator="between">
      <formula>8</formula>
      <formula>60</formula>
    </cfRule>
  </conditionalFormatting>
  <conditionalFormatting sqref="CE675:CE677">
    <cfRule type="cellIs" dxfId="3638" priority="1329" operator="between">
      <formula>-0.04</formula>
      <formula>-1</formula>
    </cfRule>
  </conditionalFormatting>
  <conditionalFormatting sqref="BM681:BM682">
    <cfRule type="cellIs" dxfId="3637" priority="1328" operator="between">
      <formula>8</formula>
      <formula>60</formula>
    </cfRule>
  </conditionalFormatting>
  <conditionalFormatting sqref="CE681:CE682">
    <cfRule type="cellIs" dxfId="3636" priority="1327" operator="between">
      <formula>-0.04</formula>
      <formula>-1</formula>
    </cfRule>
  </conditionalFormatting>
  <conditionalFormatting sqref="BM678:BM679">
    <cfRule type="cellIs" dxfId="3635" priority="1326" operator="between">
      <formula>8</formula>
      <formula>60</formula>
    </cfRule>
  </conditionalFormatting>
  <conditionalFormatting sqref="CE678:CE679">
    <cfRule type="cellIs" dxfId="3634" priority="1325" operator="between">
      <formula>-0.04</formula>
      <formula>-1</formula>
    </cfRule>
  </conditionalFormatting>
  <conditionalFormatting sqref="BM686:BM687">
    <cfRule type="cellIs" dxfId="3633" priority="1324" operator="between">
      <formula>8</formula>
      <formula>60</formula>
    </cfRule>
  </conditionalFormatting>
  <conditionalFormatting sqref="CE686:CE687">
    <cfRule type="cellIs" dxfId="3632" priority="1323" operator="between">
      <formula>-0.04</formula>
      <formula>-1</formula>
    </cfRule>
  </conditionalFormatting>
  <conditionalFormatting sqref="BM683:BM684">
    <cfRule type="cellIs" dxfId="3631" priority="1322" operator="between">
      <formula>8</formula>
      <formula>60</formula>
    </cfRule>
  </conditionalFormatting>
  <conditionalFormatting sqref="CE683:CE684">
    <cfRule type="cellIs" dxfId="3630" priority="1321" operator="between">
      <formula>-0.04</formula>
      <formula>-1</formula>
    </cfRule>
  </conditionalFormatting>
  <conditionalFormatting sqref="BM692:BM693">
    <cfRule type="cellIs" dxfId="3629" priority="1320" operator="between">
      <formula>8</formula>
      <formula>60</formula>
    </cfRule>
  </conditionalFormatting>
  <conditionalFormatting sqref="CE692:CE693">
    <cfRule type="cellIs" dxfId="3628" priority="1319" operator="between">
      <formula>-0.04</formula>
      <formula>-1</formula>
    </cfRule>
  </conditionalFormatting>
  <conditionalFormatting sqref="BM689 BM691">
    <cfRule type="cellIs" dxfId="3627" priority="1318" operator="between">
      <formula>8</formula>
      <formula>60</formula>
    </cfRule>
  </conditionalFormatting>
  <conditionalFormatting sqref="CE689 CE691">
    <cfRule type="cellIs" dxfId="3626" priority="1317" operator="between">
      <formula>-0.04</formula>
      <formula>-1</formula>
    </cfRule>
  </conditionalFormatting>
  <conditionalFormatting sqref="BM735">
    <cfRule type="cellIs" dxfId="3625" priority="1316" operator="between">
      <formula>8</formula>
      <formula>60</formula>
    </cfRule>
  </conditionalFormatting>
  <conditionalFormatting sqref="CE735">
    <cfRule type="cellIs" dxfId="3624" priority="1315" operator="between">
      <formula>-0.04</formula>
      <formula>-1</formula>
    </cfRule>
  </conditionalFormatting>
  <conditionalFormatting sqref="BM733:BM734">
    <cfRule type="cellIs" dxfId="3623" priority="1314" operator="between">
      <formula>8</formula>
      <formula>60</formula>
    </cfRule>
  </conditionalFormatting>
  <conditionalFormatting sqref="CE733:CE734">
    <cfRule type="cellIs" dxfId="3622" priority="1313" operator="between">
      <formula>-0.04</formula>
      <formula>-1</formula>
    </cfRule>
  </conditionalFormatting>
  <conditionalFormatting sqref="BM731:BM732">
    <cfRule type="cellIs" dxfId="3621" priority="1312" operator="between">
      <formula>8</formula>
      <formula>60</formula>
    </cfRule>
  </conditionalFormatting>
  <conditionalFormatting sqref="CE731:CE732">
    <cfRule type="cellIs" dxfId="3620" priority="1311" operator="between">
      <formula>-0.04</formula>
      <formula>-1</formula>
    </cfRule>
  </conditionalFormatting>
  <conditionalFormatting sqref="BM740">
    <cfRule type="cellIs" dxfId="3619" priority="1310" operator="between">
      <formula>8</formula>
      <formula>60</formula>
    </cfRule>
  </conditionalFormatting>
  <conditionalFormatting sqref="CE740">
    <cfRule type="cellIs" dxfId="3618" priority="1309" operator="between">
      <formula>-0.04</formula>
      <formula>-1</formula>
    </cfRule>
  </conditionalFormatting>
  <conditionalFormatting sqref="BM738:BM739">
    <cfRule type="cellIs" dxfId="3617" priority="1308" operator="between">
      <formula>8</formula>
      <formula>60</formula>
    </cfRule>
  </conditionalFormatting>
  <conditionalFormatting sqref="CE738:CE739">
    <cfRule type="cellIs" dxfId="3616" priority="1307" operator="between">
      <formula>-0.04</formula>
      <formula>-1</formula>
    </cfRule>
  </conditionalFormatting>
  <conditionalFormatting sqref="BM736:BM737">
    <cfRule type="cellIs" dxfId="3615" priority="1306" operator="between">
      <formula>8</formula>
      <formula>60</formula>
    </cfRule>
  </conditionalFormatting>
  <conditionalFormatting sqref="CE736:CE737">
    <cfRule type="cellIs" dxfId="3614" priority="1305" operator="between">
      <formula>-0.04</formula>
      <formula>-1</formula>
    </cfRule>
  </conditionalFormatting>
  <conditionalFormatting sqref="BM745">
    <cfRule type="cellIs" dxfId="3613" priority="1304" operator="between">
      <formula>8</formula>
      <formula>60</formula>
    </cfRule>
  </conditionalFormatting>
  <conditionalFormatting sqref="CE745">
    <cfRule type="cellIs" dxfId="3612" priority="1303" operator="between">
      <formula>-0.04</formula>
      <formula>-1</formula>
    </cfRule>
  </conditionalFormatting>
  <conditionalFormatting sqref="BM743:BM744">
    <cfRule type="cellIs" dxfId="3611" priority="1302" operator="between">
      <formula>8</formula>
      <formula>60</formula>
    </cfRule>
  </conditionalFormatting>
  <conditionalFormatting sqref="CE743:CE744">
    <cfRule type="cellIs" dxfId="3610" priority="1301" operator="between">
      <formula>-0.04</formula>
      <formula>-1</formula>
    </cfRule>
  </conditionalFormatting>
  <conditionalFormatting sqref="BM741:BM742">
    <cfRule type="cellIs" dxfId="3609" priority="1300" operator="between">
      <formula>8</formula>
      <formula>60</formula>
    </cfRule>
  </conditionalFormatting>
  <conditionalFormatting sqref="CE741:CE742">
    <cfRule type="cellIs" dxfId="3608" priority="1299" operator="between">
      <formula>-0.04</formula>
      <formula>-1</formula>
    </cfRule>
  </conditionalFormatting>
  <conditionalFormatting sqref="BM750">
    <cfRule type="cellIs" dxfId="3607" priority="1298" operator="between">
      <formula>8</formula>
      <formula>60</formula>
    </cfRule>
  </conditionalFormatting>
  <conditionalFormatting sqref="CE750">
    <cfRule type="cellIs" dxfId="3606" priority="1297" operator="between">
      <formula>-0.04</formula>
      <formula>-1</formula>
    </cfRule>
  </conditionalFormatting>
  <conditionalFormatting sqref="BM748:BM749">
    <cfRule type="cellIs" dxfId="3605" priority="1296" operator="between">
      <formula>8</formula>
      <formula>60</formula>
    </cfRule>
  </conditionalFormatting>
  <conditionalFormatting sqref="CE748:CE749">
    <cfRule type="cellIs" dxfId="3604" priority="1295" operator="between">
      <formula>-0.04</formula>
      <formula>-1</formula>
    </cfRule>
  </conditionalFormatting>
  <conditionalFormatting sqref="BM746:BM747">
    <cfRule type="cellIs" dxfId="3603" priority="1294" operator="between">
      <formula>8</formula>
      <formula>60</formula>
    </cfRule>
  </conditionalFormatting>
  <conditionalFormatting sqref="CE746:CE747">
    <cfRule type="cellIs" dxfId="3602" priority="1293" operator="between">
      <formula>-0.04</formula>
      <formula>-1</formula>
    </cfRule>
  </conditionalFormatting>
  <conditionalFormatting sqref="BM758">
    <cfRule type="cellIs" dxfId="3601" priority="1292" operator="between">
      <formula>8</formula>
      <formula>60</formula>
    </cfRule>
  </conditionalFormatting>
  <conditionalFormatting sqref="CE758">
    <cfRule type="cellIs" dxfId="3600" priority="1291" operator="between">
      <formula>-0.04</formula>
      <formula>-1</formula>
    </cfRule>
  </conditionalFormatting>
  <conditionalFormatting sqref="BM756:BM757">
    <cfRule type="cellIs" dxfId="3599" priority="1290" operator="between">
      <formula>8</formula>
      <formula>60</formula>
    </cfRule>
  </conditionalFormatting>
  <conditionalFormatting sqref="CE756:CE757">
    <cfRule type="cellIs" dxfId="3598" priority="1289" operator="between">
      <formula>-0.04</formula>
      <formula>-1</formula>
    </cfRule>
  </conditionalFormatting>
  <conditionalFormatting sqref="BM754:BM755">
    <cfRule type="cellIs" dxfId="3597" priority="1288" operator="between">
      <formula>8</formula>
      <formula>60</formula>
    </cfRule>
  </conditionalFormatting>
  <conditionalFormatting sqref="CE754:CE755">
    <cfRule type="cellIs" dxfId="3596" priority="1287" operator="between">
      <formula>-0.04</formula>
      <formula>-1</formula>
    </cfRule>
  </conditionalFormatting>
  <conditionalFormatting sqref="BM763">
    <cfRule type="cellIs" dxfId="3595" priority="1286" operator="between">
      <formula>8</formula>
      <formula>60</formula>
    </cfRule>
  </conditionalFormatting>
  <conditionalFormatting sqref="CE763">
    <cfRule type="cellIs" dxfId="3594" priority="1285" operator="between">
      <formula>-0.04</formula>
      <formula>-1</formula>
    </cfRule>
  </conditionalFormatting>
  <conditionalFormatting sqref="BM761:BM762">
    <cfRule type="cellIs" dxfId="3593" priority="1284" operator="between">
      <formula>8</formula>
      <formula>60</formula>
    </cfRule>
  </conditionalFormatting>
  <conditionalFormatting sqref="CE761:CE762">
    <cfRule type="cellIs" dxfId="3592" priority="1283" operator="between">
      <formula>-0.04</formula>
      <formula>-1</formula>
    </cfRule>
  </conditionalFormatting>
  <conditionalFormatting sqref="BM759:BM760">
    <cfRule type="cellIs" dxfId="3591" priority="1282" operator="between">
      <formula>8</formula>
      <formula>60</formula>
    </cfRule>
  </conditionalFormatting>
  <conditionalFormatting sqref="CE759:CE760">
    <cfRule type="cellIs" dxfId="3590" priority="1281" operator="between">
      <formula>-0.04</formula>
      <formula>-1</formula>
    </cfRule>
  </conditionalFormatting>
  <conditionalFormatting sqref="BM768">
    <cfRule type="cellIs" dxfId="3589" priority="1280" operator="between">
      <formula>8</formula>
      <formula>60</formula>
    </cfRule>
  </conditionalFormatting>
  <conditionalFormatting sqref="CE768">
    <cfRule type="cellIs" dxfId="3588" priority="1279" operator="between">
      <formula>-0.04</formula>
      <formula>-1</formula>
    </cfRule>
  </conditionalFormatting>
  <conditionalFormatting sqref="BM766:BM767">
    <cfRule type="cellIs" dxfId="3587" priority="1278" operator="between">
      <formula>8</formula>
      <formula>60</formula>
    </cfRule>
  </conditionalFormatting>
  <conditionalFormatting sqref="CE766:CE767">
    <cfRule type="cellIs" dxfId="3586" priority="1277" operator="between">
      <formula>-0.04</formula>
      <formula>-1</formula>
    </cfRule>
  </conditionalFormatting>
  <conditionalFormatting sqref="BM764:BM765">
    <cfRule type="cellIs" dxfId="3585" priority="1276" operator="between">
      <formula>8</formula>
      <formula>60</formula>
    </cfRule>
  </conditionalFormatting>
  <conditionalFormatting sqref="CE764:CE765">
    <cfRule type="cellIs" dxfId="3584" priority="1275" operator="between">
      <formula>-0.04</formula>
      <formula>-1</formula>
    </cfRule>
  </conditionalFormatting>
  <conditionalFormatting sqref="BM773">
    <cfRule type="cellIs" dxfId="3583" priority="1274" operator="between">
      <formula>8</formula>
      <formula>60</formula>
    </cfRule>
  </conditionalFormatting>
  <conditionalFormatting sqref="CE773">
    <cfRule type="cellIs" dxfId="3582" priority="1273" operator="between">
      <formula>-0.04</formula>
      <formula>-1</formula>
    </cfRule>
  </conditionalFormatting>
  <conditionalFormatting sqref="BM771:BM772">
    <cfRule type="cellIs" dxfId="3581" priority="1272" operator="between">
      <formula>8</formula>
      <formula>60</formula>
    </cfRule>
  </conditionalFormatting>
  <conditionalFormatting sqref="CE771:CE772">
    <cfRule type="cellIs" dxfId="3580" priority="1271" operator="between">
      <formula>-0.04</formula>
      <formula>-1</formula>
    </cfRule>
  </conditionalFormatting>
  <conditionalFormatting sqref="BM769:BM770">
    <cfRule type="cellIs" dxfId="3579" priority="1270" operator="between">
      <formula>8</formula>
      <formula>60</formula>
    </cfRule>
  </conditionalFormatting>
  <conditionalFormatting sqref="CE769:CE770">
    <cfRule type="cellIs" dxfId="3578" priority="1269" operator="between">
      <formula>-0.04</formula>
      <formula>-1</formula>
    </cfRule>
  </conditionalFormatting>
  <conditionalFormatting sqref="BM778">
    <cfRule type="cellIs" dxfId="3577" priority="1268" operator="between">
      <formula>8</formula>
      <formula>60</formula>
    </cfRule>
  </conditionalFormatting>
  <conditionalFormatting sqref="CE778">
    <cfRule type="cellIs" dxfId="3576" priority="1267" operator="between">
      <formula>-0.04</formula>
      <formula>-1</formula>
    </cfRule>
  </conditionalFormatting>
  <conditionalFormatting sqref="BM776:BM777">
    <cfRule type="cellIs" dxfId="3575" priority="1266" operator="between">
      <formula>8</formula>
      <formula>60</formula>
    </cfRule>
  </conditionalFormatting>
  <conditionalFormatting sqref="CE776:CE777">
    <cfRule type="cellIs" dxfId="3574" priority="1265" operator="between">
      <formula>-0.04</formula>
      <formula>-1</formula>
    </cfRule>
  </conditionalFormatting>
  <conditionalFormatting sqref="BM774:BM775">
    <cfRule type="cellIs" dxfId="3573" priority="1264" operator="between">
      <formula>8</formula>
      <formula>60</formula>
    </cfRule>
  </conditionalFormatting>
  <conditionalFormatting sqref="CE774:CE775">
    <cfRule type="cellIs" dxfId="3572" priority="1263" operator="between">
      <formula>-0.04</formula>
      <formula>-1</formula>
    </cfRule>
  </conditionalFormatting>
  <conditionalFormatting sqref="BM807">
    <cfRule type="cellIs" dxfId="3571" priority="1262" operator="between">
      <formula>8</formula>
      <formula>60</formula>
    </cfRule>
  </conditionalFormatting>
  <conditionalFormatting sqref="CE807">
    <cfRule type="cellIs" dxfId="3570" priority="1261" operator="between">
      <formula>-0.04</formula>
      <formula>-1</formula>
    </cfRule>
  </conditionalFormatting>
  <conditionalFormatting sqref="BM805:BM806">
    <cfRule type="cellIs" dxfId="3569" priority="1260" operator="between">
      <formula>8</formula>
      <formula>60</formula>
    </cfRule>
  </conditionalFormatting>
  <conditionalFormatting sqref="CE805:CE806">
    <cfRule type="cellIs" dxfId="3568" priority="1259" operator="between">
      <formula>-0.04</formula>
      <formula>-1</formula>
    </cfRule>
  </conditionalFormatting>
  <conditionalFormatting sqref="BM803:BM804">
    <cfRule type="cellIs" dxfId="3567" priority="1258" operator="between">
      <formula>8</formula>
      <formula>60</formula>
    </cfRule>
  </conditionalFormatting>
  <conditionalFormatting sqref="CE803:CE804">
    <cfRule type="cellIs" dxfId="3566" priority="1257" operator="between">
      <formula>-0.04</formula>
      <formula>-1</formula>
    </cfRule>
  </conditionalFormatting>
  <conditionalFormatting sqref="BM823">
    <cfRule type="cellIs" dxfId="3565" priority="1256" operator="between">
      <formula>8</formula>
      <formula>60</formula>
    </cfRule>
  </conditionalFormatting>
  <conditionalFormatting sqref="CE823">
    <cfRule type="cellIs" dxfId="3564" priority="1255" operator="between">
      <formula>-0.04</formula>
      <formula>-1</formula>
    </cfRule>
  </conditionalFormatting>
  <conditionalFormatting sqref="BM821:BM822">
    <cfRule type="cellIs" dxfId="3563" priority="1254" operator="between">
      <formula>8</formula>
      <formula>60</formula>
    </cfRule>
  </conditionalFormatting>
  <conditionalFormatting sqref="CE821:CE822">
    <cfRule type="cellIs" dxfId="3562" priority="1253" operator="between">
      <formula>-0.04</formula>
      <formula>-1</formula>
    </cfRule>
  </conditionalFormatting>
  <conditionalFormatting sqref="BM819:BM820">
    <cfRule type="cellIs" dxfId="3561" priority="1252" operator="between">
      <formula>8</formula>
      <formula>60</formula>
    </cfRule>
  </conditionalFormatting>
  <conditionalFormatting sqref="CE819:CE820">
    <cfRule type="cellIs" dxfId="3560" priority="1251" operator="between">
      <formula>-0.04</formula>
      <formula>-1</formula>
    </cfRule>
  </conditionalFormatting>
  <conditionalFormatting sqref="BM856">
    <cfRule type="cellIs" dxfId="3559" priority="1250" operator="between">
      <formula>8</formula>
      <formula>60</formula>
    </cfRule>
  </conditionalFormatting>
  <conditionalFormatting sqref="CE856">
    <cfRule type="cellIs" dxfId="3558" priority="1249" operator="between">
      <formula>-0.04</formula>
      <formula>-1</formula>
    </cfRule>
  </conditionalFormatting>
  <conditionalFormatting sqref="BM854:BM855">
    <cfRule type="cellIs" dxfId="3557" priority="1248" operator="between">
      <formula>8</formula>
      <formula>60</formula>
    </cfRule>
  </conditionalFormatting>
  <conditionalFormatting sqref="CE854:CE855">
    <cfRule type="cellIs" dxfId="3556" priority="1247" operator="between">
      <formula>-0.04</formula>
      <formula>-1</formula>
    </cfRule>
  </conditionalFormatting>
  <conditionalFormatting sqref="BM853">
    <cfRule type="cellIs" dxfId="3555" priority="1246" operator="between">
      <formula>8</formula>
      <formula>60</formula>
    </cfRule>
  </conditionalFormatting>
  <conditionalFormatting sqref="CE853">
    <cfRule type="cellIs" dxfId="3554" priority="1245" operator="between">
      <formula>-0.04</formula>
      <formula>-1</formula>
    </cfRule>
  </conditionalFormatting>
  <conditionalFormatting sqref="BM870:BM871">
    <cfRule type="cellIs" dxfId="3553" priority="1244" operator="between">
      <formula>8</formula>
      <formula>60</formula>
    </cfRule>
  </conditionalFormatting>
  <conditionalFormatting sqref="CE870:CE871">
    <cfRule type="cellIs" dxfId="3552" priority="1243" operator="between">
      <formula>-0.04</formula>
      <formula>-1</formula>
    </cfRule>
  </conditionalFormatting>
  <conditionalFormatting sqref="BM859:BM860">
    <cfRule type="cellIs" dxfId="3551" priority="1242" operator="between">
      <formula>8</formula>
      <formula>60</formula>
    </cfRule>
  </conditionalFormatting>
  <conditionalFormatting sqref="CE859:CE860">
    <cfRule type="cellIs" dxfId="3550" priority="1241" operator="between">
      <formula>-0.04</formula>
      <formula>-1</formula>
    </cfRule>
  </conditionalFormatting>
  <conditionalFormatting sqref="BM857:BM858">
    <cfRule type="cellIs" dxfId="3549" priority="1240" operator="between">
      <formula>8</formula>
      <formula>60</formula>
    </cfRule>
  </conditionalFormatting>
  <conditionalFormatting sqref="CE857:CE858">
    <cfRule type="cellIs" dxfId="3548" priority="1239" operator="between">
      <formula>-0.04</formula>
      <formula>-1</formula>
    </cfRule>
  </conditionalFormatting>
  <conditionalFormatting sqref="BM864:BM865">
    <cfRule type="cellIs" dxfId="3547" priority="1238" operator="between">
      <formula>8</formula>
      <formula>60</formula>
    </cfRule>
  </conditionalFormatting>
  <conditionalFormatting sqref="CE864:CE865">
    <cfRule type="cellIs" dxfId="3546" priority="1237" operator="between">
      <formula>-0.04</formula>
      <formula>-1</formula>
    </cfRule>
  </conditionalFormatting>
  <conditionalFormatting sqref="BM862:BM863">
    <cfRule type="cellIs" dxfId="3545" priority="1236" operator="between">
      <formula>8</formula>
      <formula>60</formula>
    </cfRule>
  </conditionalFormatting>
  <conditionalFormatting sqref="CE862:CE863">
    <cfRule type="cellIs" dxfId="3544" priority="1235" operator="between">
      <formula>-0.04</formula>
      <formula>-1</formula>
    </cfRule>
  </conditionalFormatting>
  <conditionalFormatting sqref="BM869">
    <cfRule type="cellIs" dxfId="3543" priority="1234" operator="between">
      <formula>8</formula>
      <formula>60</formula>
    </cfRule>
  </conditionalFormatting>
  <conditionalFormatting sqref="CE869">
    <cfRule type="cellIs" dxfId="3542" priority="1233" operator="between">
      <formula>-0.04</formula>
      <formula>-1</formula>
    </cfRule>
  </conditionalFormatting>
  <conditionalFormatting sqref="BM867:BM868">
    <cfRule type="cellIs" dxfId="3541" priority="1232" operator="between">
      <formula>8</formula>
      <formula>60</formula>
    </cfRule>
  </conditionalFormatting>
  <conditionalFormatting sqref="CE867:CE868">
    <cfRule type="cellIs" dxfId="3540" priority="1231" operator="between">
      <formula>-0.04</formula>
      <formula>-1</formula>
    </cfRule>
  </conditionalFormatting>
  <conditionalFormatting sqref="BM729">
    <cfRule type="cellIs" dxfId="3539" priority="1230" operator="between">
      <formula>8</formula>
      <formula>60</formula>
    </cfRule>
  </conditionalFormatting>
  <conditionalFormatting sqref="CE729">
    <cfRule type="cellIs" dxfId="3538" priority="1229" operator="between">
      <formula>-0.04</formula>
      <formula>-1</formula>
    </cfRule>
  </conditionalFormatting>
  <conditionalFormatting sqref="BM714">
    <cfRule type="cellIs" dxfId="3537" priority="1228" operator="between">
      <formula>8</formula>
      <formula>60</formula>
    </cfRule>
  </conditionalFormatting>
  <conditionalFormatting sqref="CE714">
    <cfRule type="cellIs" dxfId="3536" priority="1227" operator="between">
      <formula>-0.04</formula>
      <formula>-1</formula>
    </cfRule>
  </conditionalFormatting>
  <conditionalFormatting sqref="BM705">
    <cfRule type="cellIs" dxfId="3535" priority="1226" operator="between">
      <formula>8</formula>
      <formula>60</formula>
    </cfRule>
  </conditionalFormatting>
  <conditionalFormatting sqref="CE705">
    <cfRule type="cellIs" dxfId="3534" priority="1225" operator="between">
      <formula>-0.04</formula>
      <formula>-1</formula>
    </cfRule>
  </conditionalFormatting>
  <conditionalFormatting sqref="BM690">
    <cfRule type="cellIs" dxfId="3533" priority="1224" operator="between">
      <formula>8</formula>
      <formula>60</formula>
    </cfRule>
  </conditionalFormatting>
  <conditionalFormatting sqref="CE690">
    <cfRule type="cellIs" dxfId="3532" priority="1223" operator="between">
      <formula>-0.04</formula>
      <formula>-1</formula>
    </cfRule>
  </conditionalFormatting>
  <conditionalFormatting sqref="BM685">
    <cfRule type="cellIs" dxfId="3531" priority="1222" operator="between">
      <formula>8</formula>
      <formula>60</formula>
    </cfRule>
  </conditionalFormatting>
  <conditionalFormatting sqref="CE685">
    <cfRule type="cellIs" dxfId="3530" priority="1221" operator="between">
      <formula>-0.04</formula>
      <formula>-1</formula>
    </cfRule>
  </conditionalFormatting>
  <conditionalFormatting sqref="BM680">
    <cfRule type="cellIs" dxfId="3529" priority="1220" operator="between">
      <formula>8</formula>
      <formula>60</formula>
    </cfRule>
  </conditionalFormatting>
  <conditionalFormatting sqref="CE680">
    <cfRule type="cellIs" dxfId="3528" priority="1219" operator="between">
      <formula>-0.04</formula>
      <formula>-1</formula>
    </cfRule>
  </conditionalFormatting>
  <conditionalFormatting sqref="BM362">
    <cfRule type="cellIs" dxfId="3527" priority="1216" operator="between">
      <formula>8</formula>
      <formula>60</formula>
    </cfRule>
  </conditionalFormatting>
  <conditionalFormatting sqref="CE353:CE356 CE360">
    <cfRule type="cellIs" dxfId="3526" priority="1217" operator="between">
      <formula>-0.04</formula>
      <formula>-1</formula>
    </cfRule>
  </conditionalFormatting>
  <conditionalFormatting sqref="CE361:CE362">
    <cfRule type="cellIs" dxfId="3525" priority="1215" operator="between">
      <formula>-0.04</formula>
      <formula>-1</formula>
    </cfRule>
  </conditionalFormatting>
  <conditionalFormatting sqref="BM631">
    <cfRule type="cellIs" dxfId="3524" priority="1214" operator="between">
      <formula>8</formula>
      <formula>60</formula>
    </cfRule>
  </conditionalFormatting>
  <conditionalFormatting sqref="CE631">
    <cfRule type="cellIs" dxfId="3523" priority="1213" operator="between">
      <formula>-0.04</formula>
      <formula>-1</formula>
    </cfRule>
  </conditionalFormatting>
  <conditionalFormatting sqref="BM629:BM630">
    <cfRule type="cellIs" dxfId="3522" priority="1212" operator="between">
      <formula>8</formula>
      <formula>60</formula>
    </cfRule>
  </conditionalFormatting>
  <conditionalFormatting sqref="CE629:CE630">
    <cfRule type="cellIs" dxfId="3521" priority="1211" operator="between">
      <formula>-0.04</formula>
      <formula>-1</formula>
    </cfRule>
  </conditionalFormatting>
  <conditionalFormatting sqref="BM627:BM628">
    <cfRule type="cellIs" dxfId="3520" priority="1210" operator="between">
      <formula>8</formula>
      <formula>60</formula>
    </cfRule>
  </conditionalFormatting>
  <conditionalFormatting sqref="CE627:CE628">
    <cfRule type="cellIs" dxfId="3519" priority="1209" operator="between">
      <formula>-0.04</formula>
      <formula>-1</formula>
    </cfRule>
  </conditionalFormatting>
  <conditionalFormatting sqref="BM636">
    <cfRule type="cellIs" dxfId="3518" priority="1208" operator="between">
      <formula>8</formula>
      <formula>60</formula>
    </cfRule>
  </conditionalFormatting>
  <conditionalFormatting sqref="CE636">
    <cfRule type="cellIs" dxfId="3517" priority="1207" operator="between">
      <formula>-0.04</formula>
      <formula>-1</formula>
    </cfRule>
  </conditionalFormatting>
  <conditionalFormatting sqref="BM634:BM635">
    <cfRule type="cellIs" dxfId="3516" priority="1206" operator="between">
      <formula>8</formula>
      <formula>60</formula>
    </cfRule>
  </conditionalFormatting>
  <conditionalFormatting sqref="CE634:CE635">
    <cfRule type="cellIs" dxfId="3515" priority="1205" operator="between">
      <formula>-0.04</formula>
      <formula>-1</formula>
    </cfRule>
  </conditionalFormatting>
  <conditionalFormatting sqref="BM632:BM633">
    <cfRule type="cellIs" dxfId="3514" priority="1204" operator="between">
      <formula>8</formula>
      <formula>60</formula>
    </cfRule>
  </conditionalFormatting>
  <conditionalFormatting sqref="CE632:CE633">
    <cfRule type="cellIs" dxfId="3513" priority="1203" operator="between">
      <formula>-0.04</formula>
      <formula>-1</formula>
    </cfRule>
  </conditionalFormatting>
  <conditionalFormatting sqref="BM641">
    <cfRule type="cellIs" dxfId="3512" priority="1202" operator="between">
      <formula>8</formula>
      <formula>60</formula>
    </cfRule>
  </conditionalFormatting>
  <conditionalFormatting sqref="CE641">
    <cfRule type="cellIs" dxfId="3511" priority="1201" operator="between">
      <formula>-0.04</formula>
      <formula>-1</formula>
    </cfRule>
  </conditionalFormatting>
  <conditionalFormatting sqref="BM639:BM640">
    <cfRule type="cellIs" dxfId="3510" priority="1200" operator="between">
      <formula>8</formula>
      <formula>60</formula>
    </cfRule>
  </conditionalFormatting>
  <conditionalFormatting sqref="CE639:CE640">
    <cfRule type="cellIs" dxfId="3509" priority="1199" operator="between">
      <formula>-0.04</formula>
      <formula>-1</formula>
    </cfRule>
  </conditionalFormatting>
  <conditionalFormatting sqref="BM637:BM638">
    <cfRule type="cellIs" dxfId="3508" priority="1198" operator="between">
      <formula>8</formula>
      <formula>60</formula>
    </cfRule>
  </conditionalFormatting>
  <conditionalFormatting sqref="CE637:CE638">
    <cfRule type="cellIs" dxfId="3507" priority="1197" operator="between">
      <formula>-0.04</formula>
      <formula>-1</formula>
    </cfRule>
  </conditionalFormatting>
  <conditionalFormatting sqref="BM1021 BM1043 BM1046 BM1050">
    <cfRule type="cellIs" dxfId="3506" priority="1196" operator="between">
      <formula>8</formula>
      <formula>60</formula>
    </cfRule>
  </conditionalFormatting>
  <conditionalFormatting sqref="CE1049:CE1050 CE1021:CE1023 CE1043:CE1046">
    <cfRule type="cellIs" dxfId="3505" priority="1195" operator="between">
      <formula>-0.04</formula>
      <formula>-1</formula>
    </cfRule>
  </conditionalFormatting>
  <conditionalFormatting sqref="BM1022:BM1023">
    <cfRule type="cellIs" dxfId="3504" priority="1194" operator="between">
      <formula>8</formula>
      <formula>60</formula>
    </cfRule>
  </conditionalFormatting>
  <conditionalFormatting sqref="BM1044:BM1045">
    <cfRule type="cellIs" dxfId="3503" priority="1193" operator="between">
      <formula>8</formula>
      <formula>60</formula>
    </cfRule>
  </conditionalFormatting>
  <conditionalFormatting sqref="BM1049">
    <cfRule type="cellIs" dxfId="3502" priority="1192" operator="between">
      <formula>8</formula>
      <formula>60</formula>
    </cfRule>
  </conditionalFormatting>
  <conditionalFormatting sqref="BM888">
    <cfRule type="cellIs" dxfId="3501" priority="1191" operator="between">
      <formula>8</formula>
      <formula>60</formula>
    </cfRule>
  </conditionalFormatting>
  <conditionalFormatting sqref="CE888:CE889">
    <cfRule type="cellIs" dxfId="3500" priority="1190" operator="between">
      <formula>-0.04</formula>
      <formula>-1</formula>
    </cfRule>
  </conditionalFormatting>
  <conditionalFormatting sqref="BM889">
    <cfRule type="cellIs" dxfId="3499" priority="1189" operator="between">
      <formula>8</formula>
      <formula>60</formula>
    </cfRule>
  </conditionalFormatting>
  <conditionalFormatting sqref="BM872">
    <cfRule type="cellIs" dxfId="3498" priority="1188" operator="between">
      <formula>8</formula>
      <formula>60</formula>
    </cfRule>
  </conditionalFormatting>
  <conditionalFormatting sqref="CE872:CE873">
    <cfRule type="cellIs" dxfId="3497" priority="1187" operator="between">
      <formula>-0.04</formula>
      <formula>-1</formula>
    </cfRule>
  </conditionalFormatting>
  <conditionalFormatting sqref="BM873">
    <cfRule type="cellIs" dxfId="3496" priority="1186" operator="between">
      <formula>8</formula>
      <formula>60</formula>
    </cfRule>
  </conditionalFormatting>
  <conditionalFormatting sqref="BM694 BM697">
    <cfRule type="cellIs" dxfId="3495" priority="1185" operator="between">
      <formula>8</formula>
      <formula>60</formula>
    </cfRule>
  </conditionalFormatting>
  <conditionalFormatting sqref="CE694:CE695 CE697">
    <cfRule type="cellIs" dxfId="3494" priority="1184" operator="between">
      <formula>-0.04</formula>
      <formula>-1</formula>
    </cfRule>
  </conditionalFormatting>
  <conditionalFormatting sqref="CE696">
    <cfRule type="cellIs" dxfId="3493" priority="1183" operator="between">
      <formula>-0.04</formula>
      <formula>-1</formula>
    </cfRule>
  </conditionalFormatting>
  <conditionalFormatting sqref="CE699">
    <cfRule type="cellIs" dxfId="3492" priority="1182" operator="between">
      <formula>-0.04</formula>
      <formula>-1</formula>
    </cfRule>
  </conditionalFormatting>
  <conditionalFormatting sqref="BM695:BM696">
    <cfRule type="cellIs" dxfId="3491" priority="1181" operator="between">
      <formula>8</formula>
      <formula>60</formula>
    </cfRule>
  </conditionalFormatting>
  <conditionalFormatting sqref="BM699">
    <cfRule type="cellIs" dxfId="3490" priority="1180" operator="between">
      <formula>8</formula>
      <formula>60</formula>
    </cfRule>
  </conditionalFormatting>
  <conditionalFormatting sqref="CE698">
    <cfRule type="cellIs" dxfId="3489" priority="1179" operator="between">
      <formula>-0.04</formula>
      <formula>-1</formula>
    </cfRule>
  </conditionalFormatting>
  <conditionalFormatting sqref="BM698">
    <cfRule type="cellIs" dxfId="3488" priority="1178" operator="between">
      <formula>8</formula>
      <formula>60</formula>
    </cfRule>
  </conditionalFormatting>
  <conditionalFormatting sqref="CE642:CE644">
    <cfRule type="cellIs" dxfId="3487" priority="1177" operator="between">
      <formula>-0.04</formula>
      <formula>-1</formula>
    </cfRule>
  </conditionalFormatting>
  <conditionalFormatting sqref="BM642 BM644">
    <cfRule type="cellIs" dxfId="3486" priority="1176" operator="between">
      <formula>8</formula>
      <formula>60</formula>
    </cfRule>
  </conditionalFormatting>
  <conditionalFormatting sqref="BM643">
    <cfRule type="cellIs" dxfId="3485" priority="1175" operator="between">
      <formula>8</formula>
      <formula>60</formula>
    </cfRule>
  </conditionalFormatting>
  <conditionalFormatting sqref="BM452">
    <cfRule type="cellIs" dxfId="3484" priority="1171" operator="between">
      <formula>8</formula>
      <formula>60</formula>
    </cfRule>
  </conditionalFormatting>
  <conditionalFormatting sqref="BM449">
    <cfRule type="cellIs" dxfId="3483" priority="1174" operator="between">
      <formula>8</formula>
      <formula>60</formula>
    </cfRule>
  </conditionalFormatting>
  <conditionalFormatting sqref="CE453">
    <cfRule type="cellIs" dxfId="3482" priority="1172" operator="between">
      <formula>-0.04</formula>
      <formula>-1</formula>
    </cfRule>
  </conditionalFormatting>
  <conditionalFormatting sqref="CE452">
    <cfRule type="cellIs" dxfId="3481" priority="1170" operator="between">
      <formula>-0.04</formula>
      <formula>-1</formula>
    </cfRule>
  </conditionalFormatting>
  <conditionalFormatting sqref="CE449">
    <cfRule type="cellIs" dxfId="3480" priority="1173" operator="between">
      <formula>-0.04</formula>
      <formula>-1</formula>
    </cfRule>
  </conditionalFormatting>
  <conditionalFormatting sqref="BM453">
    <cfRule type="cellIs" dxfId="3479" priority="1169" operator="between">
      <formula>8</formula>
      <formula>60</formula>
    </cfRule>
  </conditionalFormatting>
  <conditionalFormatting sqref="CE562">
    <cfRule type="cellIs" dxfId="3478" priority="1168" operator="between">
      <formula>-0.04</formula>
      <formula>-1</formula>
    </cfRule>
  </conditionalFormatting>
  <conditionalFormatting sqref="CE561">
    <cfRule type="cellIs" dxfId="3477" priority="1166" operator="between">
      <formula>-0.04</formula>
      <formula>-1</formula>
    </cfRule>
  </conditionalFormatting>
  <conditionalFormatting sqref="BM561">
    <cfRule type="cellIs" dxfId="3476" priority="1167" operator="between">
      <formula>8</formula>
      <formula>60</formula>
    </cfRule>
  </conditionalFormatting>
  <conditionalFormatting sqref="BM562">
    <cfRule type="cellIs" dxfId="3475" priority="1165" operator="between">
      <formula>8</formula>
      <formula>60</formula>
    </cfRule>
  </conditionalFormatting>
  <conditionalFormatting sqref="CE393">
    <cfRule type="cellIs" dxfId="3474" priority="1164" operator="between">
      <formula>-0.04</formula>
      <formula>-1</formula>
    </cfRule>
  </conditionalFormatting>
  <conditionalFormatting sqref="BM392">
    <cfRule type="cellIs" dxfId="3473" priority="1163" operator="between">
      <formula>8</formula>
      <formula>60</formula>
    </cfRule>
  </conditionalFormatting>
  <conditionalFormatting sqref="CE392">
    <cfRule type="cellIs" dxfId="3472" priority="1162" operator="between">
      <formula>-0.04</formula>
      <formula>-1</formula>
    </cfRule>
  </conditionalFormatting>
  <conditionalFormatting sqref="BM391">
    <cfRule type="cellIs" dxfId="3471" priority="1161" operator="between">
      <formula>8</formula>
      <formula>60</formula>
    </cfRule>
  </conditionalFormatting>
  <conditionalFormatting sqref="CE391">
    <cfRule type="cellIs" dxfId="3470" priority="1160" operator="between">
      <formula>-0.04</formula>
      <formula>-1</formula>
    </cfRule>
  </conditionalFormatting>
  <conditionalFormatting sqref="BM390">
    <cfRule type="cellIs" dxfId="3469" priority="1159" operator="between">
      <formula>8</formula>
      <formula>60</formula>
    </cfRule>
  </conditionalFormatting>
  <conditionalFormatting sqref="CE390">
    <cfRule type="cellIs" dxfId="3468" priority="1158" operator="between">
      <formula>-0.04</formula>
      <formula>-1</formula>
    </cfRule>
  </conditionalFormatting>
  <conditionalFormatting sqref="BM389:BM391">
    <cfRule type="cellIs" dxfId="3467" priority="1157" operator="between">
      <formula>8</formula>
      <formula>60</formula>
    </cfRule>
  </conditionalFormatting>
  <conditionalFormatting sqref="CE389">
    <cfRule type="cellIs" dxfId="3466" priority="1156" operator="between">
      <formula>-0.04</formula>
      <formula>-1</formula>
    </cfRule>
  </conditionalFormatting>
  <conditionalFormatting sqref="BM393">
    <cfRule type="cellIs" dxfId="3465" priority="1155" operator="between">
      <formula>8</formula>
      <formula>60</formula>
    </cfRule>
  </conditionalFormatting>
  <conditionalFormatting sqref="BM454">
    <cfRule type="cellIs" dxfId="3464" priority="1151" operator="between">
      <formula>8</formula>
      <formula>60</formula>
    </cfRule>
  </conditionalFormatting>
  <conditionalFormatting sqref="BM455">
    <cfRule type="cellIs" dxfId="3463" priority="1154" operator="between">
      <formula>8</formula>
      <formula>60</formula>
    </cfRule>
  </conditionalFormatting>
  <conditionalFormatting sqref="CE456">
    <cfRule type="cellIs" dxfId="3462" priority="1152" operator="between">
      <formula>-0.04</formula>
      <formula>-1</formula>
    </cfRule>
  </conditionalFormatting>
  <conditionalFormatting sqref="CE455">
    <cfRule type="cellIs" dxfId="3461" priority="1153" operator="between">
      <formula>-0.04</formula>
      <formula>-1</formula>
    </cfRule>
  </conditionalFormatting>
  <conditionalFormatting sqref="CE454">
    <cfRule type="cellIs" dxfId="3460" priority="1150" operator="between">
      <formula>-0.04</formula>
      <formula>-1</formula>
    </cfRule>
  </conditionalFormatting>
  <conditionalFormatting sqref="BM456">
    <cfRule type="cellIs" dxfId="3459" priority="1149" operator="between">
      <formula>8</formula>
      <formula>60</formula>
    </cfRule>
  </conditionalFormatting>
  <conditionalFormatting sqref="BM396 BM398:BM400">
    <cfRule type="cellIs" dxfId="3458" priority="1148" operator="between">
      <formula>8</formula>
      <formula>60</formula>
    </cfRule>
  </conditionalFormatting>
  <conditionalFormatting sqref="CE396:CE400">
    <cfRule type="cellIs" dxfId="3457" priority="1147" operator="between">
      <formula>-0.04</formula>
      <formula>-1</formula>
    </cfRule>
  </conditionalFormatting>
  <conditionalFormatting sqref="BM397">
    <cfRule type="cellIs" dxfId="3456" priority="1146" operator="between">
      <formula>8</formula>
      <formula>60</formula>
    </cfRule>
  </conditionalFormatting>
  <conditionalFormatting sqref="BM44 BM46">
    <cfRule type="cellIs" dxfId="3455" priority="1145" operator="between">
      <formula>8</formula>
      <formula>60</formula>
    </cfRule>
  </conditionalFormatting>
  <conditionalFormatting sqref="CE44:CE46">
    <cfRule type="cellIs" dxfId="3454" priority="1144" operator="between">
      <formula>-0.04</formula>
      <formula>-1</formula>
    </cfRule>
  </conditionalFormatting>
  <conditionalFormatting sqref="BM43">
    <cfRule type="cellIs" dxfId="3453" priority="1143" operator="between">
      <formula>8</formula>
      <formula>60</formula>
    </cfRule>
  </conditionalFormatting>
  <conditionalFormatting sqref="CE43">
    <cfRule type="cellIs" dxfId="3452" priority="1142" operator="between">
      <formula>-0.04</formula>
      <formula>-1</formula>
    </cfRule>
  </conditionalFormatting>
  <conditionalFormatting sqref="BM40">
    <cfRule type="cellIs" dxfId="3451" priority="1141" operator="between">
      <formula>8</formula>
      <formula>60</formula>
    </cfRule>
  </conditionalFormatting>
  <conditionalFormatting sqref="CE40:CE42">
    <cfRule type="cellIs" dxfId="3450" priority="1140" operator="between">
      <formula>-0.04</formula>
      <formula>-1</formula>
    </cfRule>
  </conditionalFormatting>
  <conditionalFormatting sqref="BM53">
    <cfRule type="cellIs" dxfId="3449" priority="1139" operator="between">
      <formula>8</formula>
      <formula>60</formula>
    </cfRule>
  </conditionalFormatting>
  <conditionalFormatting sqref="CE51:CE53">
    <cfRule type="cellIs" dxfId="3448" priority="1138" operator="between">
      <formula>-0.04</formula>
      <formula>-1</formula>
    </cfRule>
  </conditionalFormatting>
  <conditionalFormatting sqref="BM50">
    <cfRule type="cellIs" dxfId="3447" priority="1137" operator="between">
      <formula>8</formula>
      <formula>60</formula>
    </cfRule>
  </conditionalFormatting>
  <conditionalFormatting sqref="CE50">
    <cfRule type="cellIs" dxfId="3446" priority="1136" operator="between">
      <formula>-0.04</formula>
      <formula>-1</formula>
    </cfRule>
  </conditionalFormatting>
  <conditionalFormatting sqref="BM48">
    <cfRule type="cellIs" dxfId="3445" priority="1135" operator="between">
      <formula>8</formula>
      <formula>60</formula>
    </cfRule>
  </conditionalFormatting>
  <conditionalFormatting sqref="CE47:CE49">
    <cfRule type="cellIs" dxfId="3444" priority="1134" operator="between">
      <formula>-0.04</formula>
      <formula>-1</formula>
    </cfRule>
  </conditionalFormatting>
  <conditionalFormatting sqref="BM8">
    <cfRule type="cellIs" dxfId="3443" priority="1133" operator="between">
      <formula>8</formula>
      <formula>60</formula>
    </cfRule>
  </conditionalFormatting>
  <conditionalFormatting sqref="CE8:CE9">
    <cfRule type="cellIs" dxfId="3442" priority="1132" operator="between">
      <formula>-0.04</formula>
      <formula>-1</formula>
    </cfRule>
  </conditionalFormatting>
  <conditionalFormatting sqref="BM9">
    <cfRule type="cellIs" dxfId="3441" priority="1131" operator="between">
      <formula>8</formula>
      <formula>60</formula>
    </cfRule>
  </conditionalFormatting>
  <conditionalFormatting sqref="BM41:BM42">
    <cfRule type="cellIs" dxfId="3440" priority="1130" operator="between">
      <formula>8</formula>
      <formula>60</formula>
    </cfRule>
  </conditionalFormatting>
  <conditionalFormatting sqref="BM45">
    <cfRule type="cellIs" dxfId="3439" priority="1129" operator="between">
      <formula>8</formula>
      <formula>60</formula>
    </cfRule>
  </conditionalFormatting>
  <conditionalFormatting sqref="BM47">
    <cfRule type="cellIs" dxfId="3438" priority="1128" operator="between">
      <formula>8</formula>
      <formula>60</formula>
    </cfRule>
  </conditionalFormatting>
  <conditionalFormatting sqref="CE57:CE59">
    <cfRule type="cellIs" dxfId="3437" priority="1127" operator="between">
      <formula>-0.04</formula>
      <formula>-1</formula>
    </cfRule>
  </conditionalFormatting>
  <conditionalFormatting sqref="BM56">
    <cfRule type="cellIs" dxfId="3436" priority="1126" operator="between">
      <formula>8</formula>
      <formula>60</formula>
    </cfRule>
  </conditionalFormatting>
  <conditionalFormatting sqref="CE56">
    <cfRule type="cellIs" dxfId="3435" priority="1125" operator="between">
      <formula>-0.04</formula>
      <formula>-1</formula>
    </cfRule>
  </conditionalFormatting>
  <conditionalFormatting sqref="CE54:CE55">
    <cfRule type="cellIs" dxfId="3434" priority="1124" operator="between">
      <formula>-0.04</formula>
      <formula>-1</formula>
    </cfRule>
  </conditionalFormatting>
  <conditionalFormatting sqref="BM49">
    <cfRule type="cellIs" dxfId="3433" priority="1123" operator="between">
      <formula>8</formula>
      <formula>60</formula>
    </cfRule>
  </conditionalFormatting>
  <conditionalFormatting sqref="BM51:BM52">
    <cfRule type="cellIs" dxfId="3432" priority="1122" operator="between">
      <formula>8</formula>
      <formula>60</formula>
    </cfRule>
  </conditionalFormatting>
  <conditionalFormatting sqref="BM54:BM55">
    <cfRule type="cellIs" dxfId="3431" priority="1121" operator="between">
      <formula>8</formula>
      <formula>60</formula>
    </cfRule>
  </conditionalFormatting>
  <conditionalFormatting sqref="BM57:BM58">
    <cfRule type="cellIs" dxfId="3430" priority="1117" operator="between">
      <formula>8</formula>
      <formula>60</formula>
    </cfRule>
  </conditionalFormatting>
  <conditionalFormatting sqref="CE61:CE62">
    <cfRule type="cellIs" dxfId="3429" priority="1120" operator="between">
      <formula>-0.04</formula>
      <formula>-1</formula>
    </cfRule>
  </conditionalFormatting>
  <conditionalFormatting sqref="BM60">
    <cfRule type="cellIs" dxfId="3428" priority="1119" operator="between">
      <formula>8</formula>
      <formula>60</formula>
    </cfRule>
  </conditionalFormatting>
  <conditionalFormatting sqref="CE60">
    <cfRule type="cellIs" dxfId="3427" priority="1118" operator="between">
      <formula>-0.04</formula>
      <formula>-1</formula>
    </cfRule>
  </conditionalFormatting>
  <conditionalFormatting sqref="BM59">
    <cfRule type="cellIs" dxfId="3426" priority="1116" operator="between">
      <formula>8</formula>
      <formula>60</formula>
    </cfRule>
  </conditionalFormatting>
  <conditionalFormatting sqref="BM61:BM62">
    <cfRule type="cellIs" dxfId="3425" priority="1115" operator="between">
      <formula>8</formula>
      <formula>60</formula>
    </cfRule>
  </conditionalFormatting>
  <conditionalFormatting sqref="BM187">
    <cfRule type="cellIs" dxfId="3424" priority="1114" operator="between">
      <formula>8</formula>
      <formula>60</formula>
    </cfRule>
  </conditionalFormatting>
  <conditionalFormatting sqref="CE187">
    <cfRule type="cellIs" dxfId="3423" priority="1113" operator="between">
      <formula>-0.04</formula>
      <formula>-1</formula>
    </cfRule>
  </conditionalFormatting>
  <conditionalFormatting sqref="BM401:BM402 BM406:BM407">
    <cfRule type="cellIs" dxfId="3422" priority="1111" operator="between">
      <formula>8</formula>
      <formula>60</formula>
    </cfRule>
  </conditionalFormatting>
  <conditionalFormatting sqref="CE401:CE407">
    <cfRule type="cellIs" dxfId="3421" priority="1110" operator="between">
      <formula>-0.04</formula>
      <formula>-1</formula>
    </cfRule>
  </conditionalFormatting>
  <conditionalFormatting sqref="BM403:BM405">
    <cfRule type="cellIs" dxfId="3420" priority="1109" operator="between">
      <formula>8</formula>
      <formula>60</formula>
    </cfRule>
  </conditionalFormatting>
  <conditionalFormatting sqref="BM1079">
    <cfRule type="cellIs" dxfId="3419" priority="1105" operator="between">
      <formula>8</formula>
      <formula>60</formula>
    </cfRule>
  </conditionalFormatting>
  <conditionalFormatting sqref="CE1079:CE1080">
    <cfRule type="cellIs" dxfId="3418" priority="1104" operator="between">
      <formula>-0.04</formula>
      <formula>-1</formula>
    </cfRule>
  </conditionalFormatting>
  <conditionalFormatting sqref="BM1080">
    <cfRule type="cellIs" dxfId="3417" priority="1103" operator="between">
      <formula>8</formula>
      <formula>60</formula>
    </cfRule>
  </conditionalFormatting>
  <conditionalFormatting sqref="BM63">
    <cfRule type="cellIs" dxfId="3416" priority="1099" operator="between">
      <formula>8</formula>
      <formula>60</formula>
    </cfRule>
  </conditionalFormatting>
  <conditionalFormatting sqref="CE64">
    <cfRule type="cellIs" dxfId="3415" priority="1100" operator="between">
      <formula>-0.04</formula>
      <formula>-1</formula>
    </cfRule>
  </conditionalFormatting>
  <conditionalFormatting sqref="CE63">
    <cfRule type="cellIs" dxfId="3414" priority="1098" operator="between">
      <formula>-0.04</formula>
      <formula>-1</formula>
    </cfRule>
  </conditionalFormatting>
  <conditionalFormatting sqref="BM70">
    <cfRule type="cellIs" dxfId="3413" priority="1092" operator="between">
      <formula>8</formula>
      <formula>60</formula>
    </cfRule>
  </conditionalFormatting>
  <conditionalFormatting sqref="BM65">
    <cfRule type="cellIs" dxfId="3412" priority="1083" operator="between">
      <formula>8</formula>
      <formula>60</formula>
    </cfRule>
  </conditionalFormatting>
  <conditionalFormatting sqref="BM64">
    <cfRule type="cellIs" dxfId="3411" priority="1095" operator="between">
      <formula>8</formula>
      <formula>60</formula>
    </cfRule>
  </conditionalFormatting>
  <conditionalFormatting sqref="CE70">
    <cfRule type="cellIs" dxfId="3410" priority="1091" operator="between">
      <formula>-0.04</formula>
      <formula>-1</formula>
    </cfRule>
  </conditionalFormatting>
  <conditionalFormatting sqref="BM67:BM69">
    <cfRule type="cellIs" dxfId="3409" priority="1086" operator="between">
      <formula>8</formula>
      <formula>60</formula>
    </cfRule>
  </conditionalFormatting>
  <conditionalFormatting sqref="BM69">
    <cfRule type="cellIs" dxfId="3408" priority="1090" operator="between">
      <formula>8</formula>
      <formula>60</formula>
    </cfRule>
  </conditionalFormatting>
  <conditionalFormatting sqref="BM68">
    <cfRule type="cellIs" dxfId="3407" priority="1088" operator="between">
      <formula>8</formula>
      <formula>60</formula>
    </cfRule>
  </conditionalFormatting>
  <conditionalFormatting sqref="CE69">
    <cfRule type="cellIs" dxfId="3406" priority="1089" operator="between">
      <formula>-0.04</formula>
      <formula>-1</formula>
    </cfRule>
  </conditionalFormatting>
  <conditionalFormatting sqref="CE68">
    <cfRule type="cellIs" dxfId="3405" priority="1087" operator="between">
      <formula>-0.04</formula>
      <formula>-1</formula>
    </cfRule>
  </conditionalFormatting>
  <conditionalFormatting sqref="CE67">
    <cfRule type="cellIs" dxfId="3404" priority="1085" operator="between">
      <formula>-0.04</formula>
      <formula>-1</formula>
    </cfRule>
  </conditionalFormatting>
  <conditionalFormatting sqref="BM71">
    <cfRule type="cellIs" dxfId="3403" priority="1073" operator="between">
      <formula>8</formula>
      <formula>60</formula>
    </cfRule>
  </conditionalFormatting>
  <conditionalFormatting sqref="CE66">
    <cfRule type="cellIs" dxfId="3402" priority="1084" operator="between">
      <formula>-0.04</formula>
      <formula>-1</formula>
    </cfRule>
  </conditionalFormatting>
  <conditionalFormatting sqref="CE65">
    <cfRule type="cellIs" dxfId="3401" priority="1082" operator="between">
      <formula>-0.04</formula>
      <formula>-1</formula>
    </cfRule>
  </conditionalFormatting>
  <conditionalFormatting sqref="BM66">
    <cfRule type="cellIs" dxfId="3400" priority="1081" operator="between">
      <formula>8</formula>
      <formula>60</formula>
    </cfRule>
  </conditionalFormatting>
  <conditionalFormatting sqref="BM74">
    <cfRule type="cellIs" dxfId="3399" priority="1079" operator="between">
      <formula>8</formula>
      <formula>60</formula>
    </cfRule>
  </conditionalFormatting>
  <conditionalFormatting sqref="CE75">
    <cfRule type="cellIs" dxfId="3398" priority="1080" operator="between">
      <formula>-0.04</formula>
      <formula>-1</formula>
    </cfRule>
  </conditionalFormatting>
  <conditionalFormatting sqref="CE74">
    <cfRule type="cellIs" dxfId="3397" priority="1078" operator="between">
      <formula>-0.04</formula>
      <formula>-1</formula>
    </cfRule>
  </conditionalFormatting>
  <conditionalFormatting sqref="CE73">
    <cfRule type="cellIs" dxfId="3396" priority="1077" operator="between">
      <formula>-0.04</formula>
      <formula>-1</formula>
    </cfRule>
  </conditionalFormatting>
  <conditionalFormatting sqref="BM72">
    <cfRule type="cellIs" dxfId="3395" priority="1076" operator="between">
      <formula>8</formula>
      <formula>60</formula>
    </cfRule>
  </conditionalFormatting>
  <conditionalFormatting sqref="CE72">
    <cfRule type="cellIs" dxfId="3394" priority="1075" operator="between">
      <formula>-0.04</formula>
      <formula>-1</formula>
    </cfRule>
  </conditionalFormatting>
  <conditionalFormatting sqref="BM75">
    <cfRule type="cellIs" dxfId="3393" priority="1071" operator="between">
      <formula>8</formula>
      <formula>60</formula>
    </cfRule>
  </conditionalFormatting>
  <conditionalFormatting sqref="CE71">
    <cfRule type="cellIs" dxfId="3392" priority="1074" operator="between">
      <formula>-0.04</formula>
      <formula>-1</formula>
    </cfRule>
  </conditionalFormatting>
  <conditionalFormatting sqref="BM73">
    <cfRule type="cellIs" dxfId="3391" priority="1072" operator="between">
      <formula>8</formula>
      <formula>60</formula>
    </cfRule>
  </conditionalFormatting>
  <conditionalFormatting sqref="BM189">
    <cfRule type="cellIs" dxfId="3390" priority="1070" operator="between">
      <formula>8</formula>
      <formula>60</formula>
    </cfRule>
  </conditionalFormatting>
  <conditionalFormatting sqref="BM188">
    <cfRule type="cellIs" dxfId="3389" priority="1067" operator="between">
      <formula>8</formula>
      <formula>60</formula>
    </cfRule>
  </conditionalFormatting>
  <conditionalFormatting sqref="CE189">
    <cfRule type="cellIs" dxfId="3388" priority="1069" operator="between">
      <formula>-0.04</formula>
      <formula>-1</formula>
    </cfRule>
  </conditionalFormatting>
  <conditionalFormatting sqref="CE190">
    <cfRule type="cellIs" dxfId="3387" priority="1068" operator="between">
      <formula>-0.04</formula>
      <formula>-1</formula>
    </cfRule>
  </conditionalFormatting>
  <conditionalFormatting sqref="CE188">
    <cfRule type="cellIs" dxfId="3386" priority="1066" operator="between">
      <formula>-0.04</formula>
      <formula>-1</formula>
    </cfRule>
  </conditionalFormatting>
  <conditionalFormatting sqref="BM190">
    <cfRule type="cellIs" dxfId="3385" priority="1065" operator="between">
      <formula>8</formula>
      <formula>60</formula>
    </cfRule>
  </conditionalFormatting>
  <conditionalFormatting sqref="CE409">
    <cfRule type="cellIs" dxfId="3384" priority="1064" operator="between">
      <formula>-0.04</formula>
      <formula>-1</formula>
    </cfRule>
  </conditionalFormatting>
  <conditionalFormatting sqref="BM408">
    <cfRule type="cellIs" dxfId="3383" priority="1063" operator="between">
      <formula>8</formula>
      <formula>60</formula>
    </cfRule>
  </conditionalFormatting>
  <conditionalFormatting sqref="CE408">
    <cfRule type="cellIs" dxfId="3382" priority="1062" operator="between">
      <formula>-0.04</formula>
      <formula>-1</formula>
    </cfRule>
  </conditionalFormatting>
  <conditionalFormatting sqref="BM409">
    <cfRule type="cellIs" dxfId="3381" priority="1061" operator="between">
      <formula>8</formula>
      <formula>60</formula>
    </cfRule>
  </conditionalFormatting>
  <conditionalFormatting sqref="BM463">
    <cfRule type="cellIs" dxfId="3380" priority="1060" operator="between">
      <formula>8</formula>
      <formula>60</formula>
    </cfRule>
  </conditionalFormatting>
  <conditionalFormatting sqref="CE463">
    <cfRule type="cellIs" dxfId="3379" priority="1059" operator="between">
      <formula>-0.04</formula>
      <formula>-1</formula>
    </cfRule>
  </conditionalFormatting>
  <conditionalFormatting sqref="BM460">
    <cfRule type="cellIs" dxfId="3378" priority="1057" operator="between">
      <formula>8</formula>
      <formula>60</formula>
    </cfRule>
  </conditionalFormatting>
  <conditionalFormatting sqref="CE462">
    <cfRule type="cellIs" dxfId="3377" priority="1058" operator="between">
      <formula>-0.04</formula>
      <formula>-1</formula>
    </cfRule>
  </conditionalFormatting>
  <conditionalFormatting sqref="CE461">
    <cfRule type="cellIs" dxfId="3376" priority="1055" operator="between">
      <formula>-0.04</formula>
      <formula>-1</formula>
    </cfRule>
  </conditionalFormatting>
  <conditionalFormatting sqref="CE460">
    <cfRule type="cellIs" dxfId="3375" priority="1056" operator="between">
      <formula>-0.04</formula>
      <formula>-1</formula>
    </cfRule>
  </conditionalFormatting>
  <conditionalFormatting sqref="BM457">
    <cfRule type="cellIs" dxfId="3374" priority="1051" operator="between">
      <formula>8</formula>
      <formula>60</formula>
    </cfRule>
  </conditionalFormatting>
  <conditionalFormatting sqref="BM459">
    <cfRule type="cellIs" dxfId="3373" priority="1054" operator="between">
      <formula>8</formula>
      <formula>60</formula>
    </cfRule>
  </conditionalFormatting>
  <conditionalFormatting sqref="CE459">
    <cfRule type="cellIs" dxfId="3372" priority="1053" operator="between">
      <formula>-0.04</formula>
      <formula>-1</formula>
    </cfRule>
  </conditionalFormatting>
  <conditionalFormatting sqref="BM458">
    <cfRule type="cellIs" dxfId="3371" priority="1049" operator="between">
      <formula>8</formula>
      <formula>60</formula>
    </cfRule>
  </conditionalFormatting>
  <conditionalFormatting sqref="CE458">
    <cfRule type="cellIs" dxfId="3370" priority="1052" operator="between">
      <formula>-0.04</formula>
      <formula>-1</formula>
    </cfRule>
  </conditionalFormatting>
  <conditionalFormatting sqref="CE457">
    <cfRule type="cellIs" dxfId="3369" priority="1050" operator="between">
      <formula>-0.04</formula>
      <formula>-1</formula>
    </cfRule>
  </conditionalFormatting>
  <conditionalFormatting sqref="BM462">
    <cfRule type="cellIs" dxfId="3368" priority="1048" operator="between">
      <formula>8</formula>
      <formula>60</formula>
    </cfRule>
  </conditionalFormatting>
  <conditionalFormatting sqref="BM461">
    <cfRule type="cellIs" dxfId="3367" priority="1047" operator="between">
      <formula>8</formula>
      <formula>60</formula>
    </cfRule>
  </conditionalFormatting>
  <conditionalFormatting sqref="BM464">
    <cfRule type="cellIs" dxfId="3366" priority="1046" operator="between">
      <formula>8</formula>
      <formula>60</formula>
    </cfRule>
  </conditionalFormatting>
  <conditionalFormatting sqref="CE464">
    <cfRule type="cellIs" dxfId="3365" priority="1045" operator="between">
      <formula>-0.04</formula>
      <formula>-1</formula>
    </cfRule>
  </conditionalFormatting>
  <conditionalFormatting sqref="BM1055">
    <cfRule type="cellIs" dxfId="3364" priority="1044" operator="between">
      <formula>8</formula>
      <formula>60</formula>
    </cfRule>
  </conditionalFormatting>
  <conditionalFormatting sqref="CE1055">
    <cfRule type="cellIs" dxfId="3363" priority="1043" operator="between">
      <formula>-0.04</formula>
      <formula>-1</formula>
    </cfRule>
  </conditionalFormatting>
  <conditionalFormatting sqref="BM1051:BM1054">
    <cfRule type="cellIs" dxfId="3362" priority="1042" operator="between">
      <formula>8</formula>
      <formula>60</formula>
    </cfRule>
  </conditionalFormatting>
  <conditionalFormatting sqref="CE1051">
    <cfRule type="cellIs" dxfId="3361" priority="1041" operator="between">
      <formula>-0.04</formula>
      <formula>-1</formula>
    </cfRule>
  </conditionalFormatting>
  <conditionalFormatting sqref="BM1054">
    <cfRule type="cellIs" dxfId="3360" priority="1040" operator="between">
      <formula>8</formula>
      <formula>60</formula>
    </cfRule>
  </conditionalFormatting>
  <conditionalFormatting sqref="CE1054">
    <cfRule type="cellIs" dxfId="3359" priority="1039" operator="between">
      <formula>-0.04</formula>
      <formula>-1</formula>
    </cfRule>
  </conditionalFormatting>
  <conditionalFormatting sqref="BM1053">
    <cfRule type="cellIs" dxfId="3358" priority="1038" operator="between">
      <formula>8</formula>
      <formula>60</formula>
    </cfRule>
  </conditionalFormatting>
  <conditionalFormatting sqref="CE1053">
    <cfRule type="cellIs" dxfId="3357" priority="1037" operator="between">
      <formula>-0.04</formula>
      <formula>-1</formula>
    </cfRule>
  </conditionalFormatting>
  <conditionalFormatting sqref="BM1052">
    <cfRule type="cellIs" dxfId="3356" priority="1036" operator="between">
      <formula>8</formula>
      <formula>60</formula>
    </cfRule>
  </conditionalFormatting>
  <conditionalFormatting sqref="CE1052">
    <cfRule type="cellIs" dxfId="3355" priority="1035" operator="between">
      <formula>-0.04</formula>
      <formula>-1</formula>
    </cfRule>
  </conditionalFormatting>
  <conditionalFormatting sqref="BM1057">
    <cfRule type="cellIs" dxfId="3354" priority="1034" operator="between">
      <formula>8</formula>
      <formula>60</formula>
    </cfRule>
  </conditionalFormatting>
  <conditionalFormatting sqref="CE1057">
    <cfRule type="cellIs" dxfId="3353" priority="1033" operator="between">
      <formula>-0.04</formula>
      <formula>-1</formula>
    </cfRule>
  </conditionalFormatting>
  <conditionalFormatting sqref="CE1056">
    <cfRule type="cellIs" dxfId="3352" priority="1031" operator="between">
      <formula>-0.04</formula>
      <formula>-1</formula>
    </cfRule>
  </conditionalFormatting>
  <conditionalFormatting sqref="BM1059">
    <cfRule type="cellIs" dxfId="3351" priority="1030" operator="between">
      <formula>8</formula>
      <formula>60</formula>
    </cfRule>
  </conditionalFormatting>
  <conditionalFormatting sqref="CE1059">
    <cfRule type="cellIs" dxfId="3350" priority="1029" operator="between">
      <formula>-0.04</formula>
      <formula>-1</formula>
    </cfRule>
  </conditionalFormatting>
  <conditionalFormatting sqref="BM1058">
    <cfRule type="cellIs" dxfId="3349" priority="1026" operator="between">
      <formula>8</formula>
      <formula>60</formula>
    </cfRule>
  </conditionalFormatting>
  <conditionalFormatting sqref="CE1058">
    <cfRule type="cellIs" dxfId="3348" priority="1025" operator="between">
      <formula>-0.04</formula>
      <formula>-1</formula>
    </cfRule>
  </conditionalFormatting>
  <conditionalFormatting sqref="BM1082">
    <cfRule type="cellIs" dxfId="3347" priority="1024" operator="between">
      <formula>8</formula>
      <formula>60</formula>
    </cfRule>
  </conditionalFormatting>
  <conditionalFormatting sqref="BM1081:BM1083">
    <cfRule type="cellIs" dxfId="3346" priority="1022" operator="between">
      <formula>8</formula>
      <formula>60</formula>
    </cfRule>
  </conditionalFormatting>
  <conditionalFormatting sqref="BM1084">
    <cfRule type="cellIs" dxfId="3345" priority="1019" operator="between">
      <formula>8</formula>
      <formula>60</formula>
    </cfRule>
  </conditionalFormatting>
  <conditionalFormatting sqref="BM1083">
    <cfRule type="cellIs" dxfId="3344" priority="1017" operator="between">
      <formula>8</formula>
      <formula>60</formula>
    </cfRule>
  </conditionalFormatting>
  <conditionalFormatting sqref="CE1082">
    <cfRule type="cellIs" dxfId="3343" priority="1023" operator="between">
      <formula>-0.04</formula>
      <formula>-1</formula>
    </cfRule>
  </conditionalFormatting>
  <conditionalFormatting sqref="CE1081">
    <cfRule type="cellIs" dxfId="3342" priority="1021" operator="between">
      <formula>-0.04</formula>
      <formula>-1</formula>
    </cfRule>
  </conditionalFormatting>
  <conditionalFormatting sqref="CE1087">
    <cfRule type="cellIs" dxfId="3341" priority="1020" operator="between">
      <formula>-0.04</formula>
      <formula>-1</formula>
    </cfRule>
  </conditionalFormatting>
  <conditionalFormatting sqref="CE1084">
    <cfRule type="cellIs" dxfId="3340" priority="1018" operator="between">
      <formula>-0.04</formula>
      <formula>-1</formula>
    </cfRule>
  </conditionalFormatting>
  <conditionalFormatting sqref="CE1083">
    <cfRule type="cellIs" dxfId="3339" priority="1016" operator="between">
      <formula>-0.04</formula>
      <formula>-1</formula>
    </cfRule>
  </conditionalFormatting>
  <conditionalFormatting sqref="BM1087">
    <cfRule type="cellIs" dxfId="3338" priority="1015" operator="between">
      <formula>8</formula>
      <formula>60</formula>
    </cfRule>
  </conditionalFormatting>
  <conditionalFormatting sqref="CE1085">
    <cfRule type="cellIs" dxfId="3337" priority="1014" operator="between">
      <formula>-0.04</formula>
      <formula>-1</formula>
    </cfRule>
  </conditionalFormatting>
  <conditionalFormatting sqref="BM1085">
    <cfRule type="cellIs" dxfId="3336" priority="1013" operator="between">
      <formula>8</formula>
      <formula>60</formula>
    </cfRule>
  </conditionalFormatting>
  <conditionalFormatting sqref="CE563">
    <cfRule type="cellIs" dxfId="3335" priority="1011" operator="between">
      <formula>-0.04</formula>
      <formula>-1</formula>
    </cfRule>
  </conditionalFormatting>
  <conditionalFormatting sqref="BM563">
    <cfRule type="cellIs" dxfId="3334" priority="1012" operator="between">
      <formula>8</formula>
      <formula>60</formula>
    </cfRule>
  </conditionalFormatting>
  <conditionalFormatting sqref="BM1061">
    <cfRule type="cellIs" dxfId="3333" priority="1010" operator="between">
      <formula>8</formula>
      <formula>60</formula>
    </cfRule>
  </conditionalFormatting>
  <conditionalFormatting sqref="CE1061">
    <cfRule type="cellIs" dxfId="3332" priority="1009" operator="between">
      <formula>-0.04</formula>
      <formula>-1</formula>
    </cfRule>
  </conditionalFormatting>
  <conditionalFormatting sqref="BM1060:BM1062">
    <cfRule type="cellIs" dxfId="3331" priority="1008" operator="between">
      <formula>8</formula>
      <formula>60</formula>
    </cfRule>
  </conditionalFormatting>
  <conditionalFormatting sqref="CE1060">
    <cfRule type="cellIs" dxfId="3330" priority="1007" operator="between">
      <formula>-0.04</formula>
      <formula>-1</formula>
    </cfRule>
  </conditionalFormatting>
  <conditionalFormatting sqref="BM1063">
    <cfRule type="cellIs" dxfId="3329" priority="1006" operator="between">
      <formula>8</formula>
      <formula>60</formula>
    </cfRule>
  </conditionalFormatting>
  <conditionalFormatting sqref="CE1063">
    <cfRule type="cellIs" dxfId="3328" priority="1005" operator="between">
      <formula>-0.04</formula>
      <formula>-1</formula>
    </cfRule>
  </conditionalFormatting>
  <conditionalFormatting sqref="BM1062">
    <cfRule type="cellIs" dxfId="3327" priority="1004" operator="between">
      <formula>8</formula>
      <formula>60</formula>
    </cfRule>
  </conditionalFormatting>
  <conditionalFormatting sqref="CE1062">
    <cfRule type="cellIs" dxfId="3326" priority="1003" operator="between">
      <formula>-0.04</formula>
      <formula>-1</formula>
    </cfRule>
  </conditionalFormatting>
  <conditionalFormatting sqref="BM1047">
    <cfRule type="cellIs" dxfId="3325" priority="1002" operator="between">
      <formula>8</formula>
      <formula>60</formula>
    </cfRule>
  </conditionalFormatting>
  <conditionalFormatting sqref="CE1047">
    <cfRule type="cellIs" dxfId="3324" priority="1001" operator="between">
      <formula>-0.04</formula>
      <formula>-1</formula>
    </cfRule>
  </conditionalFormatting>
  <conditionalFormatting sqref="BM269:BM271">
    <cfRule type="cellIs" dxfId="3323" priority="1000" operator="between">
      <formula>8</formula>
      <formula>60</formula>
    </cfRule>
  </conditionalFormatting>
  <conditionalFormatting sqref="CE269">
    <cfRule type="cellIs" dxfId="3322" priority="999" operator="between">
      <formula>-0.04</formula>
      <formula>-1</formula>
    </cfRule>
  </conditionalFormatting>
  <conditionalFormatting sqref="BM271">
    <cfRule type="cellIs" dxfId="3321" priority="998" operator="between">
      <formula>8</formula>
      <formula>60</formula>
    </cfRule>
  </conditionalFormatting>
  <conditionalFormatting sqref="CE271">
    <cfRule type="cellIs" dxfId="3320" priority="997" operator="between">
      <formula>-0.04</formula>
      <formula>-1</formula>
    </cfRule>
  </conditionalFormatting>
  <conditionalFormatting sqref="BM270">
    <cfRule type="cellIs" dxfId="3319" priority="996" operator="between">
      <formula>8</formula>
      <formula>60</formula>
    </cfRule>
  </conditionalFormatting>
  <conditionalFormatting sqref="CE270">
    <cfRule type="cellIs" dxfId="3318" priority="995" operator="between">
      <formula>-0.04</formula>
      <formula>-1</formula>
    </cfRule>
  </conditionalFormatting>
  <conditionalFormatting sqref="BM207">
    <cfRule type="cellIs" dxfId="3317" priority="994" operator="between">
      <formula>8</formula>
      <formula>60</formula>
    </cfRule>
  </conditionalFormatting>
  <conditionalFormatting sqref="BM208">
    <cfRule type="cellIs" dxfId="3316" priority="992" operator="between">
      <formula>8</formula>
      <formula>60</formula>
    </cfRule>
  </conditionalFormatting>
  <conditionalFormatting sqref="CE207">
    <cfRule type="cellIs" dxfId="3315" priority="993" operator="between">
      <formula>-0.04</formula>
      <formula>-1</formula>
    </cfRule>
  </conditionalFormatting>
  <conditionalFormatting sqref="CE208">
    <cfRule type="cellIs" dxfId="3314" priority="991" operator="between">
      <formula>-0.04</formula>
      <formula>-1</formula>
    </cfRule>
  </conditionalFormatting>
  <conditionalFormatting sqref="CE209">
    <cfRule type="cellIs" dxfId="3313" priority="990" operator="between">
      <formula>-0.04</formula>
      <formula>-1</formula>
    </cfRule>
  </conditionalFormatting>
  <conditionalFormatting sqref="BM209">
    <cfRule type="cellIs" dxfId="3312" priority="989" operator="between">
      <formula>8</formula>
      <formula>60</formula>
    </cfRule>
  </conditionalFormatting>
  <conditionalFormatting sqref="CE80">
    <cfRule type="cellIs" dxfId="3311" priority="988" operator="between">
      <formula>-0.04</formula>
      <formula>-1</formula>
    </cfRule>
  </conditionalFormatting>
  <conditionalFormatting sqref="BM77">
    <cfRule type="cellIs" dxfId="3310" priority="983" operator="between">
      <formula>8</formula>
      <formula>60</formula>
    </cfRule>
  </conditionalFormatting>
  <conditionalFormatting sqref="BM79">
    <cfRule type="cellIs" dxfId="3309" priority="987" operator="between">
      <formula>8</formula>
      <formula>60</formula>
    </cfRule>
  </conditionalFormatting>
  <conditionalFormatting sqref="BM78">
    <cfRule type="cellIs" dxfId="3308" priority="985" operator="between">
      <formula>8</formula>
      <formula>60</formula>
    </cfRule>
  </conditionalFormatting>
  <conditionalFormatting sqref="CE79">
    <cfRule type="cellIs" dxfId="3307" priority="986" operator="between">
      <formula>-0.04</formula>
      <formula>-1</formula>
    </cfRule>
  </conditionalFormatting>
  <conditionalFormatting sqref="CE78">
    <cfRule type="cellIs" dxfId="3306" priority="984" operator="between">
      <formula>-0.04</formula>
      <formula>-1</formula>
    </cfRule>
  </conditionalFormatting>
  <conditionalFormatting sqref="CE77">
    <cfRule type="cellIs" dxfId="3305" priority="982" operator="between">
      <formula>-0.04</formula>
      <formula>-1</formula>
    </cfRule>
  </conditionalFormatting>
  <conditionalFormatting sqref="BM76:BM78">
    <cfRule type="cellIs" dxfId="3304" priority="981" operator="between">
      <formula>8</formula>
      <formula>60</formula>
    </cfRule>
  </conditionalFormatting>
  <conditionalFormatting sqref="CE76">
    <cfRule type="cellIs" dxfId="3303" priority="980" operator="between">
      <formula>-0.04</formula>
      <formula>-1</formula>
    </cfRule>
  </conditionalFormatting>
  <conditionalFormatting sqref="BM80">
    <cfRule type="cellIs" dxfId="3302" priority="979" operator="between">
      <formula>8</formula>
      <formula>60</formula>
    </cfRule>
  </conditionalFormatting>
  <conditionalFormatting sqref="BM82:BM83">
    <cfRule type="cellIs" dxfId="3301" priority="978" operator="between">
      <formula>8</formula>
      <formula>60</formula>
    </cfRule>
  </conditionalFormatting>
  <conditionalFormatting sqref="CE82:CE83 CE90">
    <cfRule type="cellIs" dxfId="3300" priority="977" operator="between">
      <formula>-0.04</formula>
      <formula>-1</formula>
    </cfRule>
  </conditionalFormatting>
  <conditionalFormatting sqref="BM81">
    <cfRule type="cellIs" dxfId="3299" priority="976" operator="between">
      <formula>8</formula>
      <formula>60</formula>
    </cfRule>
  </conditionalFormatting>
  <conditionalFormatting sqref="CE81">
    <cfRule type="cellIs" dxfId="3298" priority="975" operator="between">
      <formula>-0.04</formula>
      <formula>-1</formula>
    </cfRule>
  </conditionalFormatting>
  <conditionalFormatting sqref="BM92">
    <cfRule type="cellIs" dxfId="3297" priority="974" operator="between">
      <formula>8</formula>
      <formula>60</formula>
    </cfRule>
  </conditionalFormatting>
  <conditionalFormatting sqref="CE92">
    <cfRule type="cellIs" dxfId="3296" priority="973" operator="between">
      <formula>-0.04</formula>
      <formula>-1</formula>
    </cfRule>
  </conditionalFormatting>
  <conditionalFormatting sqref="BM91">
    <cfRule type="cellIs" dxfId="3295" priority="972" operator="between">
      <formula>8</formula>
      <formula>60</formula>
    </cfRule>
  </conditionalFormatting>
  <conditionalFormatting sqref="CE91">
    <cfRule type="cellIs" dxfId="3294" priority="971" operator="between">
      <formula>-0.04</formula>
      <formula>-1</formula>
    </cfRule>
  </conditionalFormatting>
  <conditionalFormatting sqref="BM89">
    <cfRule type="cellIs" dxfId="3293" priority="970" operator="between">
      <formula>8</formula>
      <formula>60</formula>
    </cfRule>
  </conditionalFormatting>
  <conditionalFormatting sqref="CE89">
    <cfRule type="cellIs" dxfId="3292" priority="969" operator="between">
      <formula>-0.04</formula>
      <formula>-1</formula>
    </cfRule>
  </conditionalFormatting>
  <conditionalFormatting sqref="BM84">
    <cfRule type="cellIs" dxfId="3291" priority="967" operator="between">
      <formula>8</formula>
      <formula>60</formula>
    </cfRule>
  </conditionalFormatting>
  <conditionalFormatting sqref="CE88">
    <cfRule type="cellIs" dxfId="3290" priority="968" operator="between">
      <formula>-0.04</formula>
      <formula>-1</formula>
    </cfRule>
  </conditionalFormatting>
  <conditionalFormatting sqref="BM85:BM88">
    <cfRule type="cellIs" dxfId="3289" priority="963" operator="between">
      <formula>8</formula>
      <formula>60</formula>
    </cfRule>
  </conditionalFormatting>
  <conditionalFormatting sqref="CE84">
    <cfRule type="cellIs" dxfId="3288" priority="966" operator="between">
      <formula>-0.04</formula>
      <formula>-1</formula>
    </cfRule>
  </conditionalFormatting>
  <conditionalFormatting sqref="CE86:CE87">
    <cfRule type="cellIs" dxfId="3287" priority="965" operator="between">
      <formula>-0.04</formula>
      <formula>-1</formula>
    </cfRule>
  </conditionalFormatting>
  <conditionalFormatting sqref="CE85">
    <cfRule type="cellIs" dxfId="3286" priority="964" operator="between">
      <formula>-0.04</formula>
      <formula>-1</formula>
    </cfRule>
  </conditionalFormatting>
  <conditionalFormatting sqref="BM90">
    <cfRule type="cellIs" dxfId="3285" priority="962" operator="between">
      <formula>8</formula>
      <formula>60</formula>
    </cfRule>
  </conditionalFormatting>
  <conditionalFormatting sqref="BM100">
    <cfRule type="cellIs" dxfId="3284" priority="960" operator="between">
      <formula>8</formula>
      <formula>60</formula>
    </cfRule>
  </conditionalFormatting>
  <conditionalFormatting sqref="BM97">
    <cfRule type="cellIs" dxfId="3283" priority="956" operator="between">
      <formula>8</formula>
      <formula>60</formula>
    </cfRule>
  </conditionalFormatting>
  <conditionalFormatting sqref="CE101">
    <cfRule type="cellIs" dxfId="3282" priority="961" operator="between">
      <formula>-0.04</formula>
      <formula>-1</formula>
    </cfRule>
  </conditionalFormatting>
  <conditionalFormatting sqref="CE100">
    <cfRule type="cellIs" dxfId="3281" priority="959" operator="between">
      <formula>-0.04</formula>
      <formula>-1</formula>
    </cfRule>
  </conditionalFormatting>
  <conditionalFormatting sqref="CE99">
    <cfRule type="cellIs" dxfId="3280" priority="958" operator="between">
      <formula>-0.04</formula>
      <formula>-1</formula>
    </cfRule>
  </conditionalFormatting>
  <conditionalFormatting sqref="BM96">
    <cfRule type="cellIs" dxfId="3279" priority="954" operator="between">
      <formula>8</formula>
      <formula>60</formula>
    </cfRule>
  </conditionalFormatting>
  <conditionalFormatting sqref="BM94">
    <cfRule type="cellIs" dxfId="3278" priority="950" operator="between">
      <formula>8</formula>
      <formula>60</formula>
    </cfRule>
  </conditionalFormatting>
  <conditionalFormatting sqref="BM93">
    <cfRule type="cellIs" dxfId="3277" priority="948" operator="between">
      <formula>8</formula>
      <formula>60</formula>
    </cfRule>
  </conditionalFormatting>
  <conditionalFormatting sqref="CE98">
    <cfRule type="cellIs" dxfId="3276" priority="957" operator="between">
      <formula>-0.04</formula>
      <formula>-1</formula>
    </cfRule>
  </conditionalFormatting>
  <conditionalFormatting sqref="CE97">
    <cfRule type="cellIs" dxfId="3275" priority="955" operator="between">
      <formula>-0.04</formula>
      <formula>-1</formula>
    </cfRule>
  </conditionalFormatting>
  <conditionalFormatting sqref="CE96">
    <cfRule type="cellIs" dxfId="3274" priority="953" operator="between">
      <formula>-0.04</formula>
      <formula>-1</formula>
    </cfRule>
  </conditionalFormatting>
  <conditionalFormatting sqref="BM95">
    <cfRule type="cellIs" dxfId="3273" priority="952" operator="between">
      <formula>8</formula>
      <formula>60</formula>
    </cfRule>
  </conditionalFormatting>
  <conditionalFormatting sqref="CE95">
    <cfRule type="cellIs" dxfId="3272" priority="951" operator="between">
      <formula>-0.04</formula>
      <formula>-1</formula>
    </cfRule>
  </conditionalFormatting>
  <conditionalFormatting sqref="CE94">
    <cfRule type="cellIs" dxfId="3271" priority="949" operator="between">
      <formula>-0.04</formula>
      <formula>-1</formula>
    </cfRule>
  </conditionalFormatting>
  <conditionalFormatting sqref="CE93">
    <cfRule type="cellIs" dxfId="3270" priority="947" operator="between">
      <formula>-0.04</formula>
      <formula>-1</formula>
    </cfRule>
  </conditionalFormatting>
  <conditionalFormatting sqref="BM98:BM99">
    <cfRule type="cellIs" dxfId="3269" priority="946" operator="between">
      <formula>8</formula>
      <formula>60</formula>
    </cfRule>
  </conditionalFormatting>
  <conditionalFormatting sqref="BM101">
    <cfRule type="cellIs" dxfId="3268" priority="945" operator="between">
      <formula>8</formula>
      <formula>60</formula>
    </cfRule>
  </conditionalFormatting>
  <conditionalFormatting sqref="CE234">
    <cfRule type="cellIs" dxfId="3267" priority="944" operator="between">
      <formula>-0.04</formula>
      <formula>-1</formula>
    </cfRule>
  </conditionalFormatting>
  <conditionalFormatting sqref="BM223 BM225">
    <cfRule type="cellIs" dxfId="3266" priority="943" operator="between">
      <formula>8</formula>
      <formula>60</formula>
    </cfRule>
  </conditionalFormatting>
  <conditionalFormatting sqref="CE222:CE226 CE233">
    <cfRule type="cellIs" dxfId="3265" priority="942" operator="between">
      <formula>-0.04</formula>
      <formula>-1</formula>
    </cfRule>
  </conditionalFormatting>
  <conditionalFormatting sqref="BM219:BM221">
    <cfRule type="cellIs" dxfId="3264" priority="941" operator="between">
      <formula>8</formula>
      <formula>60</formula>
    </cfRule>
  </conditionalFormatting>
  <conditionalFormatting sqref="CE216:CE221">
    <cfRule type="cellIs" dxfId="3263" priority="940" operator="between">
      <formula>-0.04</formula>
      <formula>-1</formula>
    </cfRule>
  </conditionalFormatting>
  <conditionalFormatting sqref="BM210">
    <cfRule type="cellIs" dxfId="3262" priority="939" operator="between">
      <formula>8</formula>
      <formula>60</formula>
    </cfRule>
  </conditionalFormatting>
  <conditionalFormatting sqref="CE210:CE215">
    <cfRule type="cellIs" dxfId="3261" priority="938" operator="between">
      <formula>-0.04</formula>
      <formula>-1</formula>
    </cfRule>
  </conditionalFormatting>
  <conditionalFormatting sqref="BM211:BM218">
    <cfRule type="cellIs" dxfId="3260" priority="937" operator="between">
      <formula>8</formula>
      <formula>60</formula>
    </cfRule>
  </conditionalFormatting>
  <conditionalFormatting sqref="BM222">
    <cfRule type="cellIs" dxfId="3259" priority="936" operator="between">
      <formula>8</formula>
      <formula>60</formula>
    </cfRule>
  </conditionalFormatting>
  <conditionalFormatting sqref="BM224">
    <cfRule type="cellIs" dxfId="3258" priority="935" operator="between">
      <formula>8</formula>
      <formula>60</formula>
    </cfRule>
  </conditionalFormatting>
  <conditionalFormatting sqref="BM226">
    <cfRule type="cellIs" dxfId="3257" priority="934" operator="between">
      <formula>8</formula>
      <formula>60</formula>
    </cfRule>
  </conditionalFormatting>
  <conditionalFormatting sqref="BM231">
    <cfRule type="cellIs" dxfId="3256" priority="933" operator="between">
      <formula>8</formula>
      <formula>60</formula>
    </cfRule>
  </conditionalFormatting>
  <conditionalFormatting sqref="CE228:CE232">
    <cfRule type="cellIs" dxfId="3255" priority="932" operator="between">
      <formula>-0.04</formula>
      <formula>-1</formula>
    </cfRule>
  </conditionalFormatting>
  <conditionalFormatting sqref="BM227">
    <cfRule type="cellIs" dxfId="3254" priority="931" operator="between">
      <formula>8</formula>
      <formula>60</formula>
    </cfRule>
  </conditionalFormatting>
  <conditionalFormatting sqref="CE227">
    <cfRule type="cellIs" dxfId="3253" priority="930" operator="between">
      <formula>-0.04</formula>
      <formula>-1</formula>
    </cfRule>
  </conditionalFormatting>
  <conditionalFormatting sqref="BM228:BM230">
    <cfRule type="cellIs" dxfId="3252" priority="929" operator="between">
      <formula>8</formula>
      <formula>60</formula>
    </cfRule>
  </conditionalFormatting>
  <conditionalFormatting sqref="BM232:BM234">
    <cfRule type="cellIs" dxfId="3251" priority="928" operator="between">
      <formula>8</formula>
      <formula>60</formula>
    </cfRule>
  </conditionalFormatting>
  <conditionalFormatting sqref="BM272:BM275">
    <cfRule type="cellIs" dxfId="3250" priority="927" operator="between">
      <formula>8</formula>
      <formula>60</formula>
    </cfRule>
  </conditionalFormatting>
  <conditionalFormatting sqref="CE272:CE278">
    <cfRule type="cellIs" dxfId="3249" priority="926" operator="between">
      <formula>-0.04</formula>
      <formula>-1</formula>
    </cfRule>
  </conditionalFormatting>
  <conditionalFormatting sqref="BM282">
    <cfRule type="cellIs" dxfId="3248" priority="925" operator="between">
      <formula>8</formula>
      <formula>60</formula>
    </cfRule>
  </conditionalFormatting>
  <conditionalFormatting sqref="CE279 CE281:CE285">
    <cfRule type="cellIs" dxfId="3247" priority="924" operator="between">
      <formula>-0.04</formula>
      <formula>-1</formula>
    </cfRule>
  </conditionalFormatting>
  <conditionalFormatting sqref="BM276:BM279 BM281">
    <cfRule type="cellIs" dxfId="3246" priority="923" operator="between">
      <formula>8</formula>
      <formula>60</formula>
    </cfRule>
  </conditionalFormatting>
  <conditionalFormatting sqref="CE280">
    <cfRule type="cellIs" dxfId="3245" priority="922" operator="between">
      <formula>-0.04</formula>
      <formula>-1</formula>
    </cfRule>
  </conditionalFormatting>
  <conditionalFormatting sqref="BM280">
    <cfRule type="cellIs" dxfId="3244" priority="921" operator="between">
      <formula>8</formula>
      <formula>60</formula>
    </cfRule>
  </conditionalFormatting>
  <conditionalFormatting sqref="BM283:BM285">
    <cfRule type="cellIs" dxfId="3243" priority="920" operator="between">
      <formula>8</formula>
      <formula>60</formula>
    </cfRule>
  </conditionalFormatting>
  <conditionalFormatting sqref="CE470">
    <cfRule type="cellIs" dxfId="3242" priority="919" operator="between">
      <formula>-0.04</formula>
      <formula>-1</formula>
    </cfRule>
  </conditionalFormatting>
  <conditionalFormatting sqref="BM469">
    <cfRule type="cellIs" dxfId="3241" priority="918" operator="between">
      <formula>8</formula>
      <formula>60</formula>
    </cfRule>
  </conditionalFormatting>
  <conditionalFormatting sqref="CE469">
    <cfRule type="cellIs" dxfId="3240" priority="917" operator="between">
      <formula>-0.04</formula>
      <formula>-1</formula>
    </cfRule>
  </conditionalFormatting>
  <conditionalFormatting sqref="BM467">
    <cfRule type="cellIs" dxfId="3239" priority="916" operator="between">
      <formula>8</formula>
      <formula>60</formula>
    </cfRule>
  </conditionalFormatting>
  <conditionalFormatting sqref="CE468">
    <cfRule type="cellIs" dxfId="3238" priority="914" operator="between">
      <formula>-0.04</formula>
      <formula>-1</formula>
    </cfRule>
  </conditionalFormatting>
  <conditionalFormatting sqref="CE467">
    <cfRule type="cellIs" dxfId="3237" priority="915" operator="between">
      <formula>-0.04</formula>
      <formula>-1</formula>
    </cfRule>
  </conditionalFormatting>
  <conditionalFormatting sqref="CE466">
    <cfRule type="cellIs" dxfId="3236" priority="913" operator="between">
      <formula>-0.04</formula>
      <formula>-1</formula>
    </cfRule>
  </conditionalFormatting>
  <conditionalFormatting sqref="BM465">
    <cfRule type="cellIs" dxfId="3235" priority="912" operator="between">
      <formula>8</formula>
      <formula>60</formula>
    </cfRule>
  </conditionalFormatting>
  <conditionalFormatting sqref="CE465">
    <cfRule type="cellIs" dxfId="3234" priority="911" operator="between">
      <formula>-0.04</formula>
      <formula>-1</formula>
    </cfRule>
  </conditionalFormatting>
  <conditionalFormatting sqref="BM466">
    <cfRule type="cellIs" dxfId="3233" priority="910" operator="between">
      <formula>8</formula>
      <formula>60</formula>
    </cfRule>
  </conditionalFormatting>
  <conditionalFormatting sqref="BM468">
    <cfRule type="cellIs" dxfId="3232" priority="909" operator="between">
      <formula>8</formula>
      <formula>60</formula>
    </cfRule>
  </conditionalFormatting>
  <conditionalFormatting sqref="BM470">
    <cfRule type="cellIs" dxfId="3231" priority="908" operator="between">
      <formula>8</formula>
      <formula>60</formula>
    </cfRule>
  </conditionalFormatting>
  <conditionalFormatting sqref="CE411">
    <cfRule type="cellIs" dxfId="3230" priority="907" operator="between">
      <formula>-0.04</formula>
      <formula>-1</formula>
    </cfRule>
  </conditionalFormatting>
  <conditionalFormatting sqref="BM410">
    <cfRule type="cellIs" dxfId="3229" priority="906" operator="between">
      <formula>8</formula>
      <formula>60</formula>
    </cfRule>
  </conditionalFormatting>
  <conditionalFormatting sqref="CE410">
    <cfRule type="cellIs" dxfId="3228" priority="905" operator="between">
      <formula>-0.04</formula>
      <formula>-1</formula>
    </cfRule>
  </conditionalFormatting>
  <conditionalFormatting sqref="BM411">
    <cfRule type="cellIs" dxfId="3227" priority="904" operator="between">
      <formula>8</formula>
      <formula>60</formula>
    </cfRule>
  </conditionalFormatting>
  <conditionalFormatting sqref="BM112:BM113 BM115">
    <cfRule type="cellIs" dxfId="3226" priority="899" operator="between">
      <formula>8</formula>
      <formula>60</formula>
    </cfRule>
  </conditionalFormatting>
  <conditionalFormatting sqref="BM115">
    <cfRule type="cellIs" dxfId="3225" priority="903" operator="between">
      <formula>8</formula>
      <formula>60</formula>
    </cfRule>
  </conditionalFormatting>
  <conditionalFormatting sqref="BM113">
    <cfRule type="cellIs" dxfId="3224" priority="901" operator="between">
      <formula>8</formula>
      <formula>60</formula>
    </cfRule>
  </conditionalFormatting>
  <conditionalFormatting sqref="CE115">
    <cfRule type="cellIs" dxfId="3223" priority="902" operator="between">
      <formula>-0.04</formula>
      <formula>-1</formula>
    </cfRule>
  </conditionalFormatting>
  <conditionalFormatting sqref="CE113">
    <cfRule type="cellIs" dxfId="3222" priority="900" operator="between">
      <formula>-0.04</formula>
      <formula>-1</formula>
    </cfRule>
  </conditionalFormatting>
  <conditionalFormatting sqref="CE112">
    <cfRule type="cellIs" dxfId="3221" priority="898" operator="between">
      <formula>-0.04</formula>
      <formula>-1</formula>
    </cfRule>
  </conditionalFormatting>
  <conditionalFormatting sqref="BM102">
    <cfRule type="cellIs" dxfId="3220" priority="897" operator="between">
      <formula>8</formula>
      <formula>60</formula>
    </cfRule>
  </conditionalFormatting>
  <conditionalFormatting sqref="CE102">
    <cfRule type="cellIs" dxfId="3219" priority="896" operator="between">
      <formula>-0.04</formula>
      <formula>-1</formula>
    </cfRule>
  </conditionalFormatting>
  <conditionalFormatting sqref="BM111">
    <cfRule type="cellIs" dxfId="3218" priority="895" operator="between">
      <formula>8</formula>
      <formula>60</formula>
    </cfRule>
  </conditionalFormatting>
  <conditionalFormatting sqref="CE111">
    <cfRule type="cellIs" dxfId="3217" priority="894" operator="between">
      <formula>-0.04</formula>
      <formula>-1</formula>
    </cfRule>
  </conditionalFormatting>
  <conditionalFormatting sqref="BM108">
    <cfRule type="cellIs" dxfId="3216" priority="889" operator="between">
      <formula>8</formula>
      <formula>60</formula>
    </cfRule>
  </conditionalFormatting>
  <conditionalFormatting sqref="BM110">
    <cfRule type="cellIs" dxfId="3215" priority="893" operator="between">
      <formula>8</formula>
      <formula>60</formula>
    </cfRule>
  </conditionalFormatting>
  <conditionalFormatting sqref="BM109:BM113 BM115">
    <cfRule type="cellIs" dxfId="3214" priority="891" operator="between">
      <formula>8</formula>
      <formula>60</formula>
    </cfRule>
  </conditionalFormatting>
  <conditionalFormatting sqref="CE110">
    <cfRule type="cellIs" dxfId="3213" priority="892" operator="between">
      <formula>-0.04</formula>
      <formula>-1</formula>
    </cfRule>
  </conditionalFormatting>
  <conditionalFormatting sqref="CE109">
    <cfRule type="cellIs" dxfId="3212" priority="890" operator="between">
      <formula>-0.04</formula>
      <formula>-1</formula>
    </cfRule>
  </conditionalFormatting>
  <conditionalFormatting sqref="CE108">
    <cfRule type="cellIs" dxfId="3211" priority="888" operator="between">
      <formula>-0.04</formula>
      <formula>-1</formula>
    </cfRule>
  </conditionalFormatting>
  <conditionalFormatting sqref="BM107">
    <cfRule type="cellIs" dxfId="3210" priority="887" operator="between">
      <formula>8</formula>
      <formula>60</formula>
    </cfRule>
  </conditionalFormatting>
  <conditionalFormatting sqref="CE107">
    <cfRule type="cellIs" dxfId="3209" priority="886" operator="between">
      <formula>-0.04</formula>
      <formula>-1</formula>
    </cfRule>
  </conditionalFormatting>
  <conditionalFormatting sqref="BM116">
    <cfRule type="cellIs" dxfId="3208" priority="845" operator="between">
      <formula>8</formula>
      <formula>60</formula>
    </cfRule>
  </conditionalFormatting>
  <conditionalFormatting sqref="CE106">
    <cfRule type="cellIs" dxfId="3207" priority="885" operator="between">
      <formula>-0.04</formula>
      <formula>-1</formula>
    </cfRule>
  </conditionalFormatting>
  <conditionalFormatting sqref="BM105">
    <cfRule type="cellIs" dxfId="3206" priority="879" operator="between">
      <formula>8</formula>
      <formula>60</formula>
    </cfRule>
  </conditionalFormatting>
  <conditionalFormatting sqref="BM104">
    <cfRule type="cellIs" dxfId="3205" priority="883" operator="between">
      <formula>8</formula>
      <formula>60</formula>
    </cfRule>
  </conditionalFormatting>
  <conditionalFormatting sqref="BM103">
    <cfRule type="cellIs" dxfId="3204" priority="880" operator="between">
      <formula>8</formula>
      <formula>60</formula>
    </cfRule>
  </conditionalFormatting>
  <conditionalFormatting sqref="CE105">
    <cfRule type="cellIs" dxfId="3203" priority="884" operator="between">
      <formula>-0.04</formula>
      <formula>-1</formula>
    </cfRule>
  </conditionalFormatting>
  <conditionalFormatting sqref="CE104">
    <cfRule type="cellIs" dxfId="3202" priority="882" operator="between">
      <formula>-0.04</formula>
      <formula>-1</formula>
    </cfRule>
  </conditionalFormatting>
  <conditionalFormatting sqref="CE103">
    <cfRule type="cellIs" dxfId="3201" priority="881" operator="between">
      <formula>-0.04</formula>
      <formula>-1</formula>
    </cfRule>
  </conditionalFormatting>
  <conditionalFormatting sqref="BM118">
    <cfRule type="cellIs" dxfId="3200" priority="849" operator="between">
      <formula>8</formula>
      <formula>60</formula>
    </cfRule>
  </conditionalFormatting>
  <conditionalFormatting sqref="BM114">
    <cfRule type="cellIs" dxfId="3199" priority="875" operator="between">
      <formula>8</formula>
      <formula>60</formula>
    </cfRule>
  </conditionalFormatting>
  <conditionalFormatting sqref="BM106">
    <cfRule type="cellIs" dxfId="3198" priority="878" operator="between">
      <formula>8</formula>
      <formula>60</formula>
    </cfRule>
  </conditionalFormatting>
  <conditionalFormatting sqref="BM128">
    <cfRule type="cellIs" dxfId="3197" priority="867" operator="between">
      <formula>8</formula>
      <formula>60</formula>
    </cfRule>
  </conditionalFormatting>
  <conditionalFormatting sqref="BM114">
    <cfRule type="cellIs" dxfId="3196" priority="877" operator="between">
      <formula>8</formula>
      <formula>60</formula>
    </cfRule>
  </conditionalFormatting>
  <conditionalFormatting sqref="CE114">
    <cfRule type="cellIs" dxfId="3195" priority="876" operator="between">
      <formula>-0.04</formula>
      <formula>-1</formula>
    </cfRule>
  </conditionalFormatting>
  <conditionalFormatting sqref="BM114">
    <cfRule type="cellIs" dxfId="3194" priority="874" operator="between">
      <formula>8</formula>
      <formula>60</formula>
    </cfRule>
  </conditionalFormatting>
  <conditionalFormatting sqref="BM129">
    <cfRule type="cellIs" dxfId="3193" priority="869" operator="between">
      <formula>8</formula>
      <formula>60</formula>
    </cfRule>
  </conditionalFormatting>
  <conditionalFormatting sqref="BM131">
    <cfRule type="cellIs" dxfId="3192" priority="872" operator="between">
      <formula>8</formula>
      <formula>60</formula>
    </cfRule>
  </conditionalFormatting>
  <conditionalFormatting sqref="CE132">
    <cfRule type="cellIs" dxfId="3191" priority="873" operator="between">
      <formula>-0.04</formula>
      <formula>-1</formula>
    </cfRule>
  </conditionalFormatting>
  <conditionalFormatting sqref="CE131">
    <cfRule type="cellIs" dxfId="3190" priority="871" operator="between">
      <formula>-0.04</formula>
      <formula>-1</formula>
    </cfRule>
  </conditionalFormatting>
  <conditionalFormatting sqref="CE130">
    <cfRule type="cellIs" dxfId="3189" priority="870" operator="between">
      <formula>-0.04</formula>
      <formula>-1</formula>
    </cfRule>
  </conditionalFormatting>
  <conditionalFormatting sqref="BM122">
    <cfRule type="cellIs" dxfId="3188" priority="857" operator="between">
      <formula>8</formula>
      <formula>60</formula>
    </cfRule>
  </conditionalFormatting>
  <conditionalFormatting sqref="CE129">
    <cfRule type="cellIs" dxfId="3187" priority="868" operator="between">
      <formula>-0.04</formula>
      <formula>-1</formula>
    </cfRule>
  </conditionalFormatting>
  <conditionalFormatting sqref="CE128">
    <cfRule type="cellIs" dxfId="3186" priority="866" operator="between">
      <formula>-0.04</formula>
      <formula>-1</formula>
    </cfRule>
  </conditionalFormatting>
  <conditionalFormatting sqref="BM130">
    <cfRule type="cellIs" dxfId="3185" priority="841" operator="between">
      <formula>8</formula>
      <formula>60</formula>
    </cfRule>
  </conditionalFormatting>
  <conditionalFormatting sqref="CE127">
    <cfRule type="cellIs" dxfId="3184" priority="865" operator="between">
      <formula>-0.04</formula>
      <formula>-1</formula>
    </cfRule>
  </conditionalFormatting>
  <conditionalFormatting sqref="BM124">
    <cfRule type="cellIs" dxfId="3183" priority="861" operator="between">
      <formula>8</formula>
      <formula>60</formula>
    </cfRule>
  </conditionalFormatting>
  <conditionalFormatting sqref="BM126">
    <cfRule type="cellIs" dxfId="3182" priority="864" operator="between">
      <formula>8</formula>
      <formula>60</formula>
    </cfRule>
  </conditionalFormatting>
  <conditionalFormatting sqref="BM147">
    <cfRule type="cellIs" dxfId="3181" priority="798" operator="between">
      <formula>8</formula>
      <formula>60</formula>
    </cfRule>
  </conditionalFormatting>
  <conditionalFormatting sqref="CE126">
    <cfRule type="cellIs" dxfId="3180" priority="863" operator="between">
      <formula>-0.04</formula>
      <formula>-1</formula>
    </cfRule>
  </conditionalFormatting>
  <conditionalFormatting sqref="CE125">
    <cfRule type="cellIs" dxfId="3179" priority="862" operator="between">
      <formula>-0.04</formula>
      <formula>-1</formula>
    </cfRule>
  </conditionalFormatting>
  <conditionalFormatting sqref="CE124">
    <cfRule type="cellIs" dxfId="3178" priority="860" operator="between">
      <formula>-0.04</formula>
      <formula>-1</formula>
    </cfRule>
  </conditionalFormatting>
  <conditionalFormatting sqref="BM123">
    <cfRule type="cellIs" dxfId="3177" priority="859" operator="between">
      <formula>8</formula>
      <formula>60</formula>
    </cfRule>
  </conditionalFormatting>
  <conditionalFormatting sqref="CE123">
    <cfRule type="cellIs" dxfId="3176" priority="858" operator="between">
      <formula>-0.04</formula>
      <formula>-1</formula>
    </cfRule>
  </conditionalFormatting>
  <conditionalFormatting sqref="CE122">
    <cfRule type="cellIs" dxfId="3175" priority="856" operator="between">
      <formula>-0.04</formula>
      <formula>-1</formula>
    </cfRule>
  </conditionalFormatting>
  <conditionalFormatting sqref="BM120">
    <cfRule type="cellIs" dxfId="3174" priority="853" operator="between">
      <formula>8</formula>
      <formula>60</formula>
    </cfRule>
  </conditionalFormatting>
  <conditionalFormatting sqref="BM121">
    <cfRule type="cellIs" dxfId="3173" priority="855" operator="between">
      <formula>8</formula>
      <formula>60</formula>
    </cfRule>
  </conditionalFormatting>
  <conditionalFormatting sqref="CE121">
    <cfRule type="cellIs" dxfId="3172" priority="854" operator="between">
      <formula>-0.04</formula>
      <formula>-1</formula>
    </cfRule>
  </conditionalFormatting>
  <conditionalFormatting sqref="BM119">
    <cfRule type="cellIs" dxfId="3171" priority="851" operator="between">
      <formula>8</formula>
      <formula>60</formula>
    </cfRule>
  </conditionalFormatting>
  <conditionalFormatting sqref="CE120">
    <cfRule type="cellIs" dxfId="3170" priority="852" operator="between">
      <formula>-0.04</formula>
      <formula>-1</formula>
    </cfRule>
  </conditionalFormatting>
  <conditionalFormatting sqref="CE119">
    <cfRule type="cellIs" dxfId="3169" priority="850" operator="between">
      <formula>-0.04</formula>
      <formula>-1</formula>
    </cfRule>
  </conditionalFormatting>
  <conditionalFormatting sqref="CE118">
    <cfRule type="cellIs" dxfId="3168" priority="848" operator="between">
      <formula>-0.04</formula>
      <formula>-1</formula>
    </cfRule>
  </conditionalFormatting>
  <conditionalFormatting sqref="BM117:BM123">
    <cfRule type="cellIs" dxfId="3167" priority="847" operator="between">
      <formula>8</formula>
      <formula>60</formula>
    </cfRule>
  </conditionalFormatting>
  <conditionalFormatting sqref="CE117">
    <cfRule type="cellIs" dxfId="3166" priority="846" operator="between">
      <formula>-0.04</formula>
      <formula>-1</formula>
    </cfRule>
  </conditionalFormatting>
  <conditionalFormatting sqref="CE116">
    <cfRule type="cellIs" dxfId="3165" priority="844" operator="between">
      <formula>-0.04</formula>
      <formula>-1</formula>
    </cfRule>
  </conditionalFormatting>
  <conditionalFormatting sqref="BM125">
    <cfRule type="cellIs" dxfId="3164" priority="843" operator="between">
      <formula>8</formula>
      <formula>60</formula>
    </cfRule>
  </conditionalFormatting>
  <conditionalFormatting sqref="BM140">
    <cfRule type="cellIs" dxfId="3163" priority="830" operator="between">
      <formula>8</formula>
      <formula>60</formula>
    </cfRule>
  </conditionalFormatting>
  <conditionalFormatting sqref="BM150">
    <cfRule type="cellIs" dxfId="3162" priority="832" operator="between">
      <formula>8</formula>
      <formula>60</formula>
    </cfRule>
  </conditionalFormatting>
  <conditionalFormatting sqref="BM145">
    <cfRule type="cellIs" dxfId="3161" priority="799" operator="between">
      <formula>8</formula>
      <formula>60</formula>
    </cfRule>
  </conditionalFormatting>
  <conditionalFormatting sqref="BM127">
    <cfRule type="cellIs" dxfId="3160" priority="842" operator="between">
      <formula>8</formula>
      <formula>60</formula>
    </cfRule>
  </conditionalFormatting>
  <conditionalFormatting sqref="BM132">
    <cfRule type="cellIs" dxfId="3159" priority="840" operator="between">
      <formula>8</formula>
      <formula>60</formula>
    </cfRule>
  </conditionalFormatting>
  <conditionalFormatting sqref="BM154">
    <cfRule type="cellIs" dxfId="3158" priority="838" operator="between">
      <formula>8</formula>
      <formula>60</formula>
    </cfRule>
  </conditionalFormatting>
  <conditionalFormatting sqref="CE155">
    <cfRule type="cellIs" dxfId="3157" priority="839" operator="between">
      <formula>-0.04</formula>
      <formula>-1</formula>
    </cfRule>
  </conditionalFormatting>
  <conditionalFormatting sqref="BM152">
    <cfRule type="cellIs" dxfId="3156" priority="835" operator="between">
      <formula>8</formula>
      <formula>60</formula>
    </cfRule>
  </conditionalFormatting>
  <conditionalFormatting sqref="BM143">
    <cfRule type="cellIs" dxfId="3155" priority="800" operator="between">
      <formula>8</formula>
      <formula>60</formula>
    </cfRule>
  </conditionalFormatting>
  <conditionalFormatting sqref="CE154">
    <cfRule type="cellIs" dxfId="3154" priority="837" operator="between">
      <formula>-0.04</formula>
      <formula>-1</formula>
    </cfRule>
  </conditionalFormatting>
  <conditionalFormatting sqref="CE153">
    <cfRule type="cellIs" dxfId="3153" priority="836" operator="between">
      <formula>-0.04</formula>
      <formula>-1</formula>
    </cfRule>
  </conditionalFormatting>
  <conditionalFormatting sqref="CE152">
    <cfRule type="cellIs" dxfId="3152" priority="834" operator="between">
      <formula>-0.04</formula>
      <formula>-1</formula>
    </cfRule>
  </conditionalFormatting>
  <conditionalFormatting sqref="BM133">
    <cfRule type="cellIs" dxfId="3151" priority="819" operator="between">
      <formula>8</formula>
      <formula>60</formula>
    </cfRule>
  </conditionalFormatting>
  <conditionalFormatting sqref="CE151">
    <cfRule type="cellIs" dxfId="3150" priority="833" operator="between">
      <formula>-0.04</formula>
      <formula>-1</formula>
    </cfRule>
  </conditionalFormatting>
  <conditionalFormatting sqref="CE150">
    <cfRule type="cellIs" dxfId="3149" priority="831" operator="between">
      <formula>-0.04</formula>
      <formula>-1</formula>
    </cfRule>
  </conditionalFormatting>
  <conditionalFormatting sqref="BM136">
    <cfRule type="cellIs" dxfId="3148" priority="816" operator="between">
      <formula>8</formula>
      <formula>60</formula>
    </cfRule>
  </conditionalFormatting>
  <conditionalFormatting sqref="CE140">
    <cfRule type="cellIs" dxfId="3147" priority="829" operator="between">
      <formula>-0.04</formula>
      <formula>-1</formula>
    </cfRule>
  </conditionalFormatting>
  <conditionalFormatting sqref="BM137">
    <cfRule type="cellIs" dxfId="3146" priority="825" operator="between">
      <formula>8</formula>
      <formula>60</formula>
    </cfRule>
  </conditionalFormatting>
  <conditionalFormatting sqref="BM139">
    <cfRule type="cellIs" dxfId="3145" priority="828" operator="between">
      <formula>8</formula>
      <formula>60</formula>
    </cfRule>
  </conditionalFormatting>
  <conditionalFormatting sqref="CE139">
    <cfRule type="cellIs" dxfId="3144" priority="827" operator="between">
      <formula>-0.04</formula>
      <formula>-1</formula>
    </cfRule>
  </conditionalFormatting>
  <conditionalFormatting sqref="BM135">
    <cfRule type="cellIs" dxfId="3143" priority="822" operator="between">
      <formula>8</formula>
      <formula>60</formula>
    </cfRule>
  </conditionalFormatting>
  <conditionalFormatting sqref="BM142">
    <cfRule type="cellIs" dxfId="3142" priority="804" operator="between">
      <formula>8</formula>
      <formula>60</formula>
    </cfRule>
  </conditionalFormatting>
  <conditionalFormatting sqref="CE138">
    <cfRule type="cellIs" dxfId="3141" priority="826" operator="between">
      <formula>-0.04</formula>
      <formula>-1</formula>
    </cfRule>
  </conditionalFormatting>
  <conditionalFormatting sqref="CE137">
    <cfRule type="cellIs" dxfId="3140" priority="824" operator="between">
      <formula>-0.04</formula>
      <formula>-1</formula>
    </cfRule>
  </conditionalFormatting>
  <conditionalFormatting sqref="CE136">
    <cfRule type="cellIs" dxfId="3139" priority="823" operator="between">
      <formula>-0.04</formula>
      <formula>-1</formula>
    </cfRule>
  </conditionalFormatting>
  <conditionalFormatting sqref="CE135">
    <cfRule type="cellIs" dxfId="3138" priority="821" operator="between">
      <formula>-0.04</formula>
      <formula>-1</formula>
    </cfRule>
  </conditionalFormatting>
  <conditionalFormatting sqref="BM151">
    <cfRule type="cellIs" dxfId="3137" priority="796" operator="between">
      <formula>8</formula>
      <formula>60</formula>
    </cfRule>
  </conditionalFormatting>
  <conditionalFormatting sqref="CE134">
    <cfRule type="cellIs" dxfId="3136" priority="820" operator="between">
      <formula>-0.04</formula>
      <formula>-1</formula>
    </cfRule>
  </conditionalFormatting>
  <conditionalFormatting sqref="CE133">
    <cfRule type="cellIs" dxfId="3135" priority="818" operator="between">
      <formula>-0.04</formula>
      <formula>-1</formula>
    </cfRule>
  </conditionalFormatting>
  <conditionalFormatting sqref="BM134">
    <cfRule type="cellIs" dxfId="3134" priority="817" operator="between">
      <formula>8</formula>
      <formula>60</formula>
    </cfRule>
  </conditionalFormatting>
  <conditionalFormatting sqref="BM155">
    <cfRule type="cellIs" dxfId="3133" priority="794" operator="between">
      <formula>8</formula>
      <formula>60</formula>
    </cfRule>
  </conditionalFormatting>
  <conditionalFormatting sqref="BM138">
    <cfRule type="cellIs" dxfId="3132" priority="815" operator="between">
      <formula>8</formula>
      <formula>60</formula>
    </cfRule>
  </conditionalFormatting>
  <conditionalFormatting sqref="CE149">
    <cfRule type="cellIs" dxfId="3131" priority="814" operator="between">
      <formula>-0.04</formula>
      <formula>-1</formula>
    </cfRule>
  </conditionalFormatting>
  <conditionalFormatting sqref="BM148">
    <cfRule type="cellIs" dxfId="3130" priority="813" operator="between">
      <formula>8</formula>
      <formula>60</formula>
    </cfRule>
  </conditionalFormatting>
  <conditionalFormatting sqref="CE148">
    <cfRule type="cellIs" dxfId="3129" priority="812" operator="between">
      <formula>-0.04</formula>
      <formula>-1</formula>
    </cfRule>
  </conditionalFormatting>
  <conditionalFormatting sqref="BM144">
    <cfRule type="cellIs" dxfId="3128" priority="807" operator="between">
      <formula>8</formula>
      <formula>60</formula>
    </cfRule>
  </conditionalFormatting>
  <conditionalFormatting sqref="CE147">
    <cfRule type="cellIs" dxfId="3127" priority="811" operator="between">
      <formula>-0.04</formula>
      <formula>-1</formula>
    </cfRule>
  </conditionalFormatting>
  <conditionalFormatting sqref="BM146">
    <cfRule type="cellIs" dxfId="3126" priority="810" operator="between">
      <formula>8</formula>
      <formula>60</formula>
    </cfRule>
  </conditionalFormatting>
  <conditionalFormatting sqref="CE146">
    <cfRule type="cellIs" dxfId="3125" priority="809" operator="between">
      <formula>-0.04</formula>
      <formula>-1</formula>
    </cfRule>
  </conditionalFormatting>
  <conditionalFormatting sqref="CE145">
    <cfRule type="cellIs" dxfId="3124" priority="808" operator="between">
      <formula>-0.04</formula>
      <formula>-1</formula>
    </cfRule>
  </conditionalFormatting>
  <conditionalFormatting sqref="CE144">
    <cfRule type="cellIs" dxfId="3123" priority="806" operator="between">
      <formula>-0.04</formula>
      <formula>-1</formula>
    </cfRule>
  </conditionalFormatting>
  <conditionalFormatting sqref="CE143">
    <cfRule type="cellIs" dxfId="3122" priority="805" operator="between">
      <formula>-0.04</formula>
      <formula>-1</formula>
    </cfRule>
  </conditionalFormatting>
  <conditionalFormatting sqref="CE142">
    <cfRule type="cellIs" dxfId="3121" priority="803" operator="between">
      <formula>-0.04</formula>
      <formula>-1</formula>
    </cfRule>
  </conditionalFormatting>
  <conditionalFormatting sqref="BM141">
    <cfRule type="cellIs" dxfId="3120" priority="802" operator="between">
      <formula>8</formula>
      <formula>60</formula>
    </cfRule>
  </conditionalFormatting>
  <conditionalFormatting sqref="CE141">
    <cfRule type="cellIs" dxfId="3119" priority="801" operator="between">
      <formula>-0.04</formula>
      <formula>-1</formula>
    </cfRule>
  </conditionalFormatting>
  <conditionalFormatting sqref="BM149">
    <cfRule type="cellIs" dxfId="3118" priority="797" operator="between">
      <formula>8</formula>
      <formula>60</formula>
    </cfRule>
  </conditionalFormatting>
  <conditionalFormatting sqref="BM153">
    <cfRule type="cellIs" dxfId="3117" priority="795" operator="between">
      <formula>8</formula>
      <formula>60</formula>
    </cfRule>
  </conditionalFormatting>
  <conditionalFormatting sqref="BM158">
    <cfRule type="cellIs" dxfId="3116" priority="792" operator="between">
      <formula>8</formula>
      <formula>60</formula>
    </cfRule>
  </conditionalFormatting>
  <conditionalFormatting sqref="BM156">
    <cfRule type="cellIs" dxfId="3115" priority="789" operator="between">
      <formula>8</formula>
      <formula>60</formula>
    </cfRule>
  </conditionalFormatting>
  <conditionalFormatting sqref="CE159">
    <cfRule type="cellIs" dxfId="3114" priority="793" operator="between">
      <formula>-0.04</formula>
      <formula>-1</formula>
    </cfRule>
  </conditionalFormatting>
  <conditionalFormatting sqref="CE158">
    <cfRule type="cellIs" dxfId="3113" priority="791" operator="between">
      <formula>-0.04</formula>
      <formula>-1</formula>
    </cfRule>
  </conditionalFormatting>
  <conditionalFormatting sqref="CE157">
    <cfRule type="cellIs" dxfId="3112" priority="790" operator="between">
      <formula>-0.04</formula>
      <formula>-1</formula>
    </cfRule>
  </conditionalFormatting>
  <conditionalFormatting sqref="CE156">
    <cfRule type="cellIs" dxfId="3111" priority="788" operator="between">
      <formula>-0.04</formula>
      <formula>-1</formula>
    </cfRule>
  </conditionalFormatting>
  <conditionalFormatting sqref="BM157">
    <cfRule type="cellIs" dxfId="3110" priority="787" operator="between">
      <formula>8</formula>
      <formula>60</formula>
    </cfRule>
  </conditionalFormatting>
  <conditionalFormatting sqref="BM159">
    <cfRule type="cellIs" dxfId="3109" priority="786" operator="between">
      <formula>8</formula>
      <formula>60</formula>
    </cfRule>
  </conditionalFormatting>
  <conditionalFormatting sqref="BM235:BM237">
    <cfRule type="cellIs" dxfId="3108" priority="781" operator="between">
      <formula>8</formula>
      <formula>60</formula>
    </cfRule>
  </conditionalFormatting>
  <conditionalFormatting sqref="BM237">
    <cfRule type="cellIs" dxfId="3107" priority="785" operator="between">
      <formula>8</formula>
      <formula>60</formula>
    </cfRule>
  </conditionalFormatting>
  <conditionalFormatting sqref="CE237">
    <cfRule type="cellIs" dxfId="3106" priority="784" operator="between">
      <formula>-0.04</formula>
      <formula>-1</formula>
    </cfRule>
  </conditionalFormatting>
  <conditionalFormatting sqref="BM236">
    <cfRule type="cellIs" dxfId="3105" priority="783" operator="between">
      <formula>8</formula>
      <formula>60</formula>
    </cfRule>
  </conditionalFormatting>
  <conditionalFormatting sqref="CE236">
    <cfRule type="cellIs" dxfId="3104" priority="782" operator="between">
      <formula>-0.04</formula>
      <formula>-1</formula>
    </cfRule>
  </conditionalFormatting>
  <conditionalFormatting sqref="CE235">
    <cfRule type="cellIs" dxfId="3103" priority="780" operator="between">
      <formula>-0.04</formula>
      <formula>-1</formula>
    </cfRule>
  </conditionalFormatting>
  <conditionalFormatting sqref="BM247">
    <cfRule type="cellIs" dxfId="3102" priority="779" operator="between">
      <formula>8</formula>
      <formula>60</formula>
    </cfRule>
  </conditionalFormatting>
  <conditionalFormatting sqref="BM246">
    <cfRule type="cellIs" dxfId="3101" priority="771" operator="between">
      <formula>8</formula>
      <formula>60</formula>
    </cfRule>
  </conditionalFormatting>
  <conditionalFormatting sqref="BM242">
    <cfRule type="cellIs" dxfId="3100" priority="755" operator="between">
      <formula>8</formula>
      <formula>60</formula>
    </cfRule>
  </conditionalFormatting>
  <conditionalFormatting sqref="BM240">
    <cfRule type="cellIs" dxfId="3099" priority="753" operator="between">
      <formula>8</formula>
      <formula>60</formula>
    </cfRule>
  </conditionalFormatting>
  <conditionalFormatting sqref="BM250">
    <cfRule type="cellIs" dxfId="3098" priority="775" operator="between">
      <formula>8</formula>
      <formula>60</formula>
    </cfRule>
  </conditionalFormatting>
  <conditionalFormatting sqref="BM248:BM250">
    <cfRule type="cellIs" dxfId="3097" priority="773" operator="between">
      <formula>8</formula>
      <formula>60</formula>
    </cfRule>
  </conditionalFormatting>
  <conditionalFormatting sqref="CE247">
    <cfRule type="cellIs" dxfId="3096" priority="778" operator="between">
      <formula>-0.04</formula>
      <formula>-1</formula>
    </cfRule>
  </conditionalFormatting>
  <conditionalFormatting sqref="BM249">
    <cfRule type="cellIs" dxfId="3095" priority="777" operator="between">
      <formula>8</formula>
      <formula>60</formula>
    </cfRule>
  </conditionalFormatting>
  <conditionalFormatting sqref="CE249">
    <cfRule type="cellIs" dxfId="3094" priority="776" operator="between">
      <formula>-0.04</formula>
      <formula>-1</formula>
    </cfRule>
  </conditionalFormatting>
  <conditionalFormatting sqref="CE250">
    <cfRule type="cellIs" dxfId="3093" priority="774" operator="between">
      <formula>-0.04</formula>
      <formula>-1</formula>
    </cfRule>
  </conditionalFormatting>
  <conditionalFormatting sqref="CE248">
    <cfRule type="cellIs" dxfId="3092" priority="772" operator="between">
      <formula>-0.04</formula>
      <formula>-1</formula>
    </cfRule>
  </conditionalFormatting>
  <conditionalFormatting sqref="CE246">
    <cfRule type="cellIs" dxfId="3091" priority="770" operator="between">
      <formula>-0.04</formula>
      <formula>-1</formula>
    </cfRule>
  </conditionalFormatting>
  <conditionalFormatting sqref="BM245:BM247">
    <cfRule type="cellIs" dxfId="3090" priority="769" operator="between">
      <formula>8</formula>
      <formula>60</formula>
    </cfRule>
  </conditionalFormatting>
  <conditionalFormatting sqref="CE245">
    <cfRule type="cellIs" dxfId="3089" priority="768" operator="between">
      <formula>-0.04</formula>
      <formula>-1</formula>
    </cfRule>
  </conditionalFormatting>
  <conditionalFormatting sqref="BM243">
    <cfRule type="cellIs" dxfId="3088" priority="765" operator="between">
      <formula>8</formula>
      <formula>60</formula>
    </cfRule>
  </conditionalFormatting>
  <conditionalFormatting sqref="CE243">
    <cfRule type="cellIs" dxfId="3087" priority="764" operator="between">
      <formula>-0.04</formula>
      <formula>-1</formula>
    </cfRule>
  </conditionalFormatting>
  <conditionalFormatting sqref="CE244">
    <cfRule type="cellIs" dxfId="3086" priority="763" operator="between">
      <formula>-0.04</formula>
      <formula>-1</formula>
    </cfRule>
  </conditionalFormatting>
  <conditionalFormatting sqref="BM238">
    <cfRule type="cellIs" dxfId="3085" priority="751" operator="between">
      <formula>8</formula>
      <formula>60</formula>
    </cfRule>
  </conditionalFormatting>
  <conditionalFormatting sqref="CE239">
    <cfRule type="cellIs" dxfId="3084" priority="757" operator="between">
      <formula>-0.04</formula>
      <formula>-1</formula>
    </cfRule>
  </conditionalFormatting>
  <conditionalFormatting sqref="CE241">
    <cfRule type="cellIs" dxfId="3083" priority="756" operator="between">
      <formula>-0.04</formula>
      <formula>-1</formula>
    </cfRule>
  </conditionalFormatting>
  <conditionalFormatting sqref="CE242">
    <cfRule type="cellIs" dxfId="3082" priority="754" operator="between">
      <formula>-0.04</formula>
      <formula>-1</formula>
    </cfRule>
  </conditionalFormatting>
  <conditionalFormatting sqref="CE240">
    <cfRule type="cellIs" dxfId="3081" priority="752" operator="between">
      <formula>-0.04</formula>
      <formula>-1</formula>
    </cfRule>
  </conditionalFormatting>
  <conditionalFormatting sqref="CE238">
    <cfRule type="cellIs" dxfId="3080" priority="750" operator="between">
      <formula>-0.04</formula>
      <formula>-1</formula>
    </cfRule>
  </conditionalFormatting>
  <conditionalFormatting sqref="BM239">
    <cfRule type="cellIs" dxfId="3079" priority="749" operator="between">
      <formula>8</formula>
      <formula>60</formula>
    </cfRule>
  </conditionalFormatting>
  <conditionalFormatting sqref="BM241">
    <cfRule type="cellIs" dxfId="3078" priority="748" operator="between">
      <formula>8</formula>
      <formula>60</formula>
    </cfRule>
  </conditionalFormatting>
  <conditionalFormatting sqref="BM244">
    <cfRule type="cellIs" dxfId="3077" priority="746" operator="between">
      <formula>8</formula>
      <formula>60</formula>
    </cfRule>
  </conditionalFormatting>
  <conditionalFormatting sqref="BM287:BM288">
    <cfRule type="cellIs" dxfId="3076" priority="745" operator="between">
      <formula>8</formula>
      <formula>60</formula>
    </cfRule>
  </conditionalFormatting>
  <conditionalFormatting sqref="BM286:BM288">
    <cfRule type="cellIs" dxfId="3075" priority="743" operator="between">
      <formula>8</formula>
      <formula>60</formula>
    </cfRule>
  </conditionalFormatting>
  <conditionalFormatting sqref="CE287:CE288">
    <cfRule type="cellIs" dxfId="3074" priority="744" operator="between">
      <formula>-0.04</formula>
      <formula>-1</formula>
    </cfRule>
  </conditionalFormatting>
  <conditionalFormatting sqref="CE286">
    <cfRule type="cellIs" dxfId="3073" priority="742" operator="between">
      <formula>-0.04</formula>
      <formula>-1</formula>
    </cfRule>
  </conditionalFormatting>
  <conditionalFormatting sqref="BM306:BM309">
    <cfRule type="cellIs" dxfId="3072" priority="741" operator="between">
      <formula>8</formula>
      <formula>60</formula>
    </cfRule>
  </conditionalFormatting>
  <conditionalFormatting sqref="CE306">
    <cfRule type="cellIs" dxfId="3071" priority="740" operator="between">
      <formula>-0.04</formula>
      <formula>-1</formula>
    </cfRule>
  </conditionalFormatting>
  <conditionalFormatting sqref="BM307">
    <cfRule type="cellIs" dxfId="3070" priority="739" operator="between">
      <formula>8</formula>
      <formula>60</formula>
    </cfRule>
  </conditionalFormatting>
  <conditionalFormatting sqref="CE307">
    <cfRule type="cellIs" dxfId="3069" priority="738" operator="between">
      <formula>-0.04</formula>
      <formula>-1</formula>
    </cfRule>
  </conditionalFormatting>
  <conditionalFormatting sqref="BM309">
    <cfRule type="cellIs" dxfId="3068" priority="737" operator="between">
      <formula>8</formula>
      <formula>60</formula>
    </cfRule>
  </conditionalFormatting>
  <conditionalFormatting sqref="CE309">
    <cfRule type="cellIs" dxfId="3067" priority="736" operator="between">
      <formula>-0.04</formula>
      <formula>-1</formula>
    </cfRule>
  </conditionalFormatting>
  <conditionalFormatting sqref="BM308">
    <cfRule type="cellIs" dxfId="3066" priority="735" operator="between">
      <formula>8</formula>
      <formula>60</formula>
    </cfRule>
  </conditionalFormatting>
  <conditionalFormatting sqref="CE308">
    <cfRule type="cellIs" dxfId="3065" priority="734" operator="between">
      <formula>-0.04</formula>
      <formula>-1</formula>
    </cfRule>
  </conditionalFormatting>
  <conditionalFormatting sqref="BM700:BM701">
    <cfRule type="cellIs" dxfId="3064" priority="733" operator="between">
      <formula>8</formula>
      <formula>60</formula>
    </cfRule>
  </conditionalFormatting>
  <conditionalFormatting sqref="CE700:CE701">
    <cfRule type="cellIs" dxfId="3063" priority="732" operator="between">
      <formula>-0.04</formula>
      <formula>-1</formula>
    </cfRule>
  </conditionalFormatting>
  <conditionalFormatting sqref="CE702">
    <cfRule type="cellIs" dxfId="3062" priority="731" operator="between">
      <formula>-0.04</formula>
      <formula>-1</formula>
    </cfRule>
  </conditionalFormatting>
  <conditionalFormatting sqref="BM702">
    <cfRule type="cellIs" dxfId="3061" priority="730" operator="between">
      <formula>8</formula>
      <formula>60</formula>
    </cfRule>
  </conditionalFormatting>
  <conditionalFormatting sqref="BM785">
    <cfRule type="cellIs" dxfId="3060" priority="729" operator="between">
      <formula>8</formula>
      <formula>60</formula>
    </cfRule>
  </conditionalFormatting>
  <conditionalFormatting sqref="CE785">
    <cfRule type="cellIs" dxfId="3059" priority="728" operator="between">
      <formula>-0.04</formula>
      <formula>-1</formula>
    </cfRule>
  </conditionalFormatting>
  <conditionalFormatting sqref="BM782">
    <cfRule type="cellIs" dxfId="3058" priority="723" operator="between">
      <formula>8</formula>
      <formula>60</formula>
    </cfRule>
  </conditionalFormatting>
  <conditionalFormatting sqref="BM780">
    <cfRule type="cellIs" dxfId="3057" priority="725" operator="between">
      <formula>8</formula>
      <formula>60</formula>
    </cfRule>
  </conditionalFormatting>
  <conditionalFormatting sqref="BM781">
    <cfRule type="cellIs" dxfId="3056" priority="727" operator="between">
      <formula>8</formula>
      <formula>60</formula>
    </cfRule>
  </conditionalFormatting>
  <conditionalFormatting sqref="CE781">
    <cfRule type="cellIs" dxfId="3055" priority="726" operator="between">
      <formula>-0.04</formula>
      <formula>-1</formula>
    </cfRule>
  </conditionalFormatting>
  <conditionalFormatting sqref="CE780">
    <cfRule type="cellIs" dxfId="3054" priority="724" operator="between">
      <formula>-0.04</formula>
      <formula>-1</formula>
    </cfRule>
  </conditionalFormatting>
  <conditionalFormatting sqref="BM783">
    <cfRule type="cellIs" dxfId="3053" priority="719" operator="between">
      <formula>8</formula>
      <formula>60</formula>
    </cfRule>
  </conditionalFormatting>
  <conditionalFormatting sqref="CE782">
    <cfRule type="cellIs" dxfId="3052" priority="722" operator="between">
      <formula>-0.04</formula>
      <formula>-1</formula>
    </cfRule>
  </conditionalFormatting>
  <conditionalFormatting sqref="BM784">
    <cfRule type="cellIs" dxfId="3051" priority="721" operator="between">
      <formula>8</formula>
      <formula>60</formula>
    </cfRule>
  </conditionalFormatting>
  <conditionalFormatting sqref="CE784">
    <cfRule type="cellIs" dxfId="3050" priority="720" operator="between">
      <formula>-0.04</formula>
      <formula>-1</formula>
    </cfRule>
  </conditionalFormatting>
  <conditionalFormatting sqref="CE783">
    <cfRule type="cellIs" dxfId="3049" priority="718" operator="between">
      <formula>-0.04</formula>
      <formula>-1</formula>
    </cfRule>
  </conditionalFormatting>
  <conditionalFormatting sqref="BM779:BM785">
    <cfRule type="cellIs" dxfId="3048" priority="717" operator="between">
      <formula>8</formula>
      <formula>60</formula>
    </cfRule>
  </conditionalFormatting>
  <conditionalFormatting sqref="CE779">
    <cfRule type="cellIs" dxfId="3047" priority="716" operator="between">
      <formula>-0.04</formula>
      <formula>-1</formula>
    </cfRule>
  </conditionalFormatting>
  <conditionalFormatting sqref="BM412:BM414">
    <cfRule type="cellIs" dxfId="3046" priority="715" operator="between">
      <formula>8</formula>
      <formula>60</formula>
    </cfRule>
  </conditionalFormatting>
  <conditionalFormatting sqref="CE412">
    <cfRule type="cellIs" dxfId="3045" priority="714" operator="between">
      <formula>-0.04</formula>
      <formula>-1</formula>
    </cfRule>
  </conditionalFormatting>
  <conditionalFormatting sqref="BM414">
    <cfRule type="cellIs" dxfId="3044" priority="713" operator="between">
      <formula>8</formula>
      <formula>60</formula>
    </cfRule>
  </conditionalFormatting>
  <conditionalFormatting sqref="CE414">
    <cfRule type="cellIs" dxfId="3043" priority="712" operator="between">
      <formula>-0.04</formula>
      <formula>-1</formula>
    </cfRule>
  </conditionalFormatting>
  <conditionalFormatting sqref="BM413">
    <cfRule type="cellIs" dxfId="3042" priority="711" operator="between">
      <formula>8</formula>
      <formula>60</formula>
    </cfRule>
  </conditionalFormatting>
  <conditionalFormatting sqref="CE413">
    <cfRule type="cellIs" dxfId="3041" priority="710" operator="between">
      <formula>-0.04</formula>
      <formula>-1</formula>
    </cfRule>
  </conditionalFormatting>
  <conditionalFormatting sqref="BM419">
    <cfRule type="cellIs" dxfId="3040" priority="709" operator="between">
      <formula>8</formula>
      <formula>60</formula>
    </cfRule>
  </conditionalFormatting>
  <conditionalFormatting sqref="CE419">
    <cfRule type="cellIs" dxfId="3039" priority="708" operator="between">
      <formula>-0.04</formula>
      <formula>-1</formula>
    </cfRule>
  </conditionalFormatting>
  <conditionalFormatting sqref="BM418:BM420">
    <cfRule type="cellIs" dxfId="3038" priority="707" operator="between">
      <formula>8</formula>
      <formula>60</formula>
    </cfRule>
  </conditionalFormatting>
  <conditionalFormatting sqref="CE418">
    <cfRule type="cellIs" dxfId="3037" priority="706" operator="between">
      <formula>-0.04</formula>
      <formula>-1</formula>
    </cfRule>
  </conditionalFormatting>
  <conditionalFormatting sqref="BM420">
    <cfRule type="cellIs" dxfId="3036" priority="705" operator="between">
      <formula>8</formula>
      <formula>60</formula>
    </cfRule>
  </conditionalFormatting>
  <conditionalFormatting sqref="CE420">
    <cfRule type="cellIs" dxfId="3035" priority="704" operator="between">
      <formula>-0.04</formula>
      <formula>-1</formula>
    </cfRule>
  </conditionalFormatting>
  <conditionalFormatting sqref="BM417">
    <cfRule type="cellIs" dxfId="3034" priority="703" operator="between">
      <formula>8</formula>
      <formula>60</formula>
    </cfRule>
  </conditionalFormatting>
  <conditionalFormatting sqref="CE417">
    <cfRule type="cellIs" dxfId="3033" priority="702" operator="between">
      <formula>-0.04</formula>
      <formula>-1</formula>
    </cfRule>
  </conditionalFormatting>
  <conditionalFormatting sqref="BM416">
    <cfRule type="cellIs" dxfId="3032" priority="701" operator="between">
      <formula>8</formula>
      <formula>60</formula>
    </cfRule>
  </conditionalFormatting>
  <conditionalFormatting sqref="CE416">
    <cfRule type="cellIs" dxfId="3031" priority="700" operator="between">
      <formula>-0.04</formula>
      <formula>-1</formula>
    </cfRule>
  </conditionalFormatting>
  <conditionalFormatting sqref="BM415:BM417">
    <cfRule type="cellIs" dxfId="3030" priority="699" operator="between">
      <formula>8</formula>
      <formula>60</formula>
    </cfRule>
  </conditionalFormatting>
  <conditionalFormatting sqref="CE415">
    <cfRule type="cellIs" dxfId="3029" priority="698" operator="between">
      <formula>-0.04</formula>
      <formula>-1</formula>
    </cfRule>
  </conditionalFormatting>
  <conditionalFormatting sqref="BM423">
    <cfRule type="cellIs" dxfId="3028" priority="697" operator="between">
      <formula>8</formula>
      <formula>60</formula>
    </cfRule>
  </conditionalFormatting>
  <conditionalFormatting sqref="CE423">
    <cfRule type="cellIs" dxfId="3027" priority="696" operator="between">
      <formula>-0.04</formula>
      <formula>-1</formula>
    </cfRule>
  </conditionalFormatting>
  <conditionalFormatting sqref="BM422">
    <cfRule type="cellIs" dxfId="3026" priority="695" operator="between">
      <formula>8</formula>
      <formula>60</formula>
    </cfRule>
  </conditionalFormatting>
  <conditionalFormatting sqref="CE422">
    <cfRule type="cellIs" dxfId="3025" priority="694" operator="between">
      <formula>-0.04</formula>
      <formula>-1</formula>
    </cfRule>
  </conditionalFormatting>
  <conditionalFormatting sqref="BM421:BM423">
    <cfRule type="cellIs" dxfId="3024" priority="693" operator="between">
      <formula>8</formula>
      <formula>60</formula>
    </cfRule>
  </conditionalFormatting>
  <conditionalFormatting sqref="CE421">
    <cfRule type="cellIs" dxfId="3023" priority="692" operator="between">
      <formula>-0.04</formula>
      <formula>-1</formula>
    </cfRule>
  </conditionalFormatting>
  <conditionalFormatting sqref="BM1065:BM1066">
    <cfRule type="cellIs" dxfId="3022" priority="689" operator="between">
      <formula>8</formula>
      <formula>60</formula>
    </cfRule>
  </conditionalFormatting>
  <conditionalFormatting sqref="CE1065:CE1066">
    <cfRule type="cellIs" dxfId="3021" priority="688" operator="between">
      <formula>-0.04</formula>
      <formula>-1</formula>
    </cfRule>
  </conditionalFormatting>
  <conditionalFormatting sqref="CE1067">
    <cfRule type="cellIs" dxfId="3020" priority="687" operator="between">
      <formula>-0.04</formula>
      <formula>-1</formula>
    </cfRule>
  </conditionalFormatting>
  <conditionalFormatting sqref="BM1067">
    <cfRule type="cellIs" dxfId="3019" priority="685" operator="between">
      <formula>8</formula>
      <formula>60</formula>
    </cfRule>
  </conditionalFormatting>
  <conditionalFormatting sqref="BM1088 BM1091">
    <cfRule type="cellIs" dxfId="3018" priority="684" operator="between">
      <formula>8</formula>
      <formula>60</formula>
    </cfRule>
  </conditionalFormatting>
  <conditionalFormatting sqref="CE1088:CE1092">
    <cfRule type="cellIs" dxfId="3017" priority="683" operator="between">
      <formula>-0.04</formula>
      <formula>-1</formula>
    </cfRule>
  </conditionalFormatting>
  <conditionalFormatting sqref="BM1089:BM1090">
    <cfRule type="cellIs" dxfId="3016" priority="682" operator="between">
      <formula>8</formula>
      <formula>60</formula>
    </cfRule>
  </conditionalFormatting>
  <conditionalFormatting sqref="BM1092">
    <cfRule type="cellIs" dxfId="3015" priority="681" operator="between">
      <formula>8</formula>
      <formula>60</formula>
    </cfRule>
  </conditionalFormatting>
  <conditionalFormatting sqref="BM1064">
    <cfRule type="cellIs" dxfId="3014" priority="673" operator="between">
      <formula>8</formula>
      <formula>60</formula>
    </cfRule>
  </conditionalFormatting>
  <conditionalFormatting sqref="CE1064">
    <cfRule type="cellIs" dxfId="3013" priority="672" operator="between">
      <formula>-0.04</formula>
      <formula>-1</formula>
    </cfRule>
  </conditionalFormatting>
  <conditionalFormatting sqref="BM310">
    <cfRule type="cellIs" dxfId="3012" priority="671" operator="between">
      <formula>8</formula>
      <formula>60</formula>
    </cfRule>
  </conditionalFormatting>
  <conditionalFormatting sqref="CE310">
    <cfRule type="cellIs" dxfId="3011" priority="670" operator="between">
      <formula>-0.04</formula>
      <formula>-1</formula>
    </cfRule>
  </conditionalFormatting>
  <conditionalFormatting sqref="BM165">
    <cfRule type="cellIs" dxfId="3010" priority="662" operator="between">
      <formula>8</formula>
      <formula>60</formula>
    </cfRule>
  </conditionalFormatting>
  <conditionalFormatting sqref="BM160:BM166">
    <cfRule type="cellIs" dxfId="3009" priority="652" operator="between">
      <formula>8</formula>
      <formula>60</formula>
    </cfRule>
  </conditionalFormatting>
  <conditionalFormatting sqref="BM169">
    <cfRule type="cellIs" dxfId="3008" priority="669" operator="between">
      <formula>8</formula>
      <formula>60</formula>
    </cfRule>
  </conditionalFormatting>
  <conditionalFormatting sqref="BM167">
    <cfRule type="cellIs" dxfId="3007" priority="666" operator="between">
      <formula>8</formula>
      <formula>60</formula>
    </cfRule>
  </conditionalFormatting>
  <conditionalFormatting sqref="BM164">
    <cfRule type="cellIs" dxfId="3006" priority="660" operator="between">
      <formula>8</formula>
      <formula>60</formula>
    </cfRule>
  </conditionalFormatting>
  <conditionalFormatting sqref="BM163">
    <cfRule type="cellIs" dxfId="3005" priority="658" operator="between">
      <formula>8</formula>
      <formula>60</formula>
    </cfRule>
  </conditionalFormatting>
  <conditionalFormatting sqref="CE169">
    <cfRule type="cellIs" dxfId="3004" priority="668" operator="between">
      <formula>-0.04</formula>
      <formula>-1</formula>
    </cfRule>
  </conditionalFormatting>
  <conditionalFormatting sqref="BM166">
    <cfRule type="cellIs" dxfId="3003" priority="664" operator="between">
      <formula>8</formula>
      <formula>60</formula>
    </cfRule>
  </conditionalFormatting>
  <conditionalFormatting sqref="CE168">
    <cfRule type="cellIs" dxfId="3002" priority="667" operator="between">
      <formula>-0.04</formula>
      <formula>-1</formula>
    </cfRule>
  </conditionalFormatting>
  <conditionalFormatting sqref="CE167">
    <cfRule type="cellIs" dxfId="3001" priority="665" operator="between">
      <formula>-0.04</formula>
      <formula>-1</formula>
    </cfRule>
  </conditionalFormatting>
  <conditionalFormatting sqref="CE166">
    <cfRule type="cellIs" dxfId="3000" priority="663" operator="between">
      <formula>-0.04</formula>
      <formula>-1</formula>
    </cfRule>
  </conditionalFormatting>
  <conditionalFormatting sqref="CE165">
    <cfRule type="cellIs" dxfId="2999" priority="661" operator="between">
      <formula>-0.04</formula>
      <formula>-1</formula>
    </cfRule>
  </conditionalFormatting>
  <conditionalFormatting sqref="CE164">
    <cfRule type="cellIs" dxfId="2998" priority="659" operator="between">
      <formula>-0.04</formula>
      <formula>-1</formula>
    </cfRule>
  </conditionalFormatting>
  <conditionalFormatting sqref="CE163">
    <cfRule type="cellIs" dxfId="2997" priority="657" operator="between">
      <formula>-0.04</formula>
      <formula>-1</formula>
    </cfRule>
  </conditionalFormatting>
  <conditionalFormatting sqref="BM162">
    <cfRule type="cellIs" dxfId="2996" priority="656" operator="between">
      <formula>8</formula>
      <formula>60</formula>
    </cfRule>
  </conditionalFormatting>
  <conditionalFormatting sqref="CE162">
    <cfRule type="cellIs" dxfId="2995" priority="655" operator="between">
      <formula>-0.04</formula>
      <formula>-1</formula>
    </cfRule>
  </conditionalFormatting>
  <conditionalFormatting sqref="BM161">
    <cfRule type="cellIs" dxfId="2994" priority="654" operator="between">
      <formula>8</formula>
      <formula>60</formula>
    </cfRule>
  </conditionalFormatting>
  <conditionalFormatting sqref="CE161">
    <cfRule type="cellIs" dxfId="2993" priority="653" operator="between">
      <formula>-0.04</formula>
      <formula>-1</formula>
    </cfRule>
  </conditionalFormatting>
  <conditionalFormatting sqref="CE160">
    <cfRule type="cellIs" dxfId="2992" priority="651" operator="between">
      <formula>-0.04</formula>
      <formula>-1</formula>
    </cfRule>
  </conditionalFormatting>
  <conditionalFormatting sqref="BM168">
    <cfRule type="cellIs" dxfId="2991" priority="650" operator="between">
      <formula>8</formula>
      <formula>60</formula>
    </cfRule>
  </conditionalFormatting>
  <conditionalFormatting sqref="BM252">
    <cfRule type="cellIs" dxfId="2990" priority="649" operator="between">
      <formula>8</formula>
      <formula>60</formula>
    </cfRule>
  </conditionalFormatting>
  <conditionalFormatting sqref="BM253">
    <cfRule type="cellIs" dxfId="2989" priority="648" operator="between">
      <formula>8</formula>
      <formula>60</formula>
    </cfRule>
  </conditionalFormatting>
  <conditionalFormatting sqref="CE253:CE254">
    <cfRule type="cellIs" dxfId="2988" priority="647" operator="between">
      <formula>-0.04</formula>
      <formula>-1</formula>
    </cfRule>
  </conditionalFormatting>
  <conditionalFormatting sqref="BM254">
    <cfRule type="cellIs" dxfId="2987" priority="646" operator="between">
      <formula>8</formula>
      <formula>60</formula>
    </cfRule>
  </conditionalFormatting>
  <conditionalFormatting sqref="BM171">
    <cfRule type="cellIs" dxfId="2986" priority="645" operator="between">
      <formula>8</formula>
      <formula>60</formula>
    </cfRule>
  </conditionalFormatting>
  <conditionalFormatting sqref="BM182:BM185">
    <cfRule type="cellIs" dxfId="2985" priority="643" operator="between">
      <formula>8</formula>
      <formula>60</formula>
    </cfRule>
  </conditionalFormatting>
  <conditionalFormatting sqref="CE182:CE185">
    <cfRule type="cellIs" dxfId="2984" priority="642" operator="between">
      <formula>-0.04</formula>
      <formula>-1</formula>
    </cfRule>
  </conditionalFormatting>
  <conditionalFormatting sqref="BM660">
    <cfRule type="cellIs" dxfId="2983" priority="639" operator="between">
      <formula>8</formula>
      <formula>60</formula>
    </cfRule>
  </conditionalFormatting>
  <conditionalFormatting sqref="BM581">
    <cfRule type="cellIs" dxfId="2982" priority="638" operator="between">
      <formula>8</formula>
      <formula>60</formula>
    </cfRule>
  </conditionalFormatting>
  <conditionalFormatting sqref="BM583:BM585">
    <cfRule type="cellIs" dxfId="2981" priority="637" operator="between">
      <formula>8</formula>
      <formula>60</formula>
    </cfRule>
  </conditionalFormatting>
  <conditionalFormatting sqref="BM751">
    <cfRule type="cellIs" dxfId="2980" priority="636" operator="between">
      <formula>8</formula>
      <formula>60</formula>
    </cfRule>
  </conditionalFormatting>
  <conditionalFormatting sqref="CE751">
    <cfRule type="cellIs" dxfId="2979" priority="635" operator="between">
      <formula>-0.04</formula>
      <formula>-1</formula>
    </cfRule>
  </conditionalFormatting>
  <conditionalFormatting sqref="BM752">
    <cfRule type="cellIs" dxfId="2978" priority="634" operator="between">
      <formula>8</formula>
      <formula>60</formula>
    </cfRule>
  </conditionalFormatting>
  <conditionalFormatting sqref="CE752:CE753">
    <cfRule type="cellIs" dxfId="2977" priority="633" operator="between">
      <formula>-0.04</formula>
      <formula>-1</formula>
    </cfRule>
  </conditionalFormatting>
  <conditionalFormatting sqref="BM753">
    <cfRule type="cellIs" dxfId="2976" priority="632" operator="between">
      <formula>8</formula>
      <formula>60</formula>
    </cfRule>
  </conditionalFormatting>
  <conditionalFormatting sqref="BM708">
    <cfRule type="cellIs" dxfId="2975" priority="631" operator="between">
      <formula>8</formula>
      <formula>60</formula>
    </cfRule>
  </conditionalFormatting>
  <conditionalFormatting sqref="CE708">
    <cfRule type="cellIs" dxfId="2974" priority="630" operator="between">
      <formula>-0.04</formula>
      <formula>-1</formula>
    </cfRule>
  </conditionalFormatting>
  <conditionalFormatting sqref="CE290">
    <cfRule type="cellIs" dxfId="2973" priority="629" operator="between">
      <formula>-0.04</formula>
      <formula>-1</formula>
    </cfRule>
  </conditionalFormatting>
  <conditionalFormatting sqref="BM289">
    <cfRule type="cellIs" dxfId="2972" priority="628" operator="between">
      <formula>8</formula>
      <formula>60</formula>
    </cfRule>
  </conditionalFormatting>
  <conditionalFormatting sqref="CE289">
    <cfRule type="cellIs" dxfId="2971" priority="627" operator="between">
      <formula>-0.04</formula>
      <formula>-1</formula>
    </cfRule>
  </conditionalFormatting>
  <conditionalFormatting sqref="BM290">
    <cfRule type="cellIs" dxfId="2970" priority="626" operator="between">
      <formula>8</formula>
      <formula>60</formula>
    </cfRule>
  </conditionalFormatting>
  <conditionalFormatting sqref="BM175">
    <cfRule type="cellIs" dxfId="2969" priority="625" operator="between">
      <formula>8</formula>
      <formula>60</formula>
    </cfRule>
  </conditionalFormatting>
  <conditionalFormatting sqref="CE175">
    <cfRule type="cellIs" dxfId="2968" priority="624" operator="between">
      <formula>-0.04</formula>
      <formula>-1</formula>
    </cfRule>
  </conditionalFormatting>
  <conditionalFormatting sqref="BM174">
    <cfRule type="cellIs" dxfId="2967" priority="623" operator="between">
      <formula>8</formula>
      <formula>60</formula>
    </cfRule>
  </conditionalFormatting>
  <conditionalFormatting sqref="CE174">
    <cfRule type="cellIs" dxfId="2966" priority="622" operator="between">
      <formula>-0.04</formula>
      <formula>-1</formula>
    </cfRule>
  </conditionalFormatting>
  <conditionalFormatting sqref="BM173">
    <cfRule type="cellIs" dxfId="2965" priority="621" operator="between">
      <formula>8</formula>
      <formula>60</formula>
    </cfRule>
  </conditionalFormatting>
  <conditionalFormatting sqref="CE173">
    <cfRule type="cellIs" dxfId="2964" priority="620" operator="between">
      <formula>-0.04</formula>
      <formula>-1</formula>
    </cfRule>
  </conditionalFormatting>
  <conditionalFormatting sqref="BM172:BM174">
    <cfRule type="cellIs" dxfId="2963" priority="619" operator="between">
      <formula>8</formula>
      <formula>60</formula>
    </cfRule>
  </conditionalFormatting>
  <conditionalFormatting sqref="CE172">
    <cfRule type="cellIs" dxfId="2962" priority="618" operator="between">
      <formula>-0.04</formula>
      <formula>-1</formula>
    </cfRule>
  </conditionalFormatting>
  <conditionalFormatting sqref="BM801">
    <cfRule type="cellIs" dxfId="2961" priority="613" operator="between">
      <formula>8</formula>
      <formula>60</formula>
    </cfRule>
  </conditionalFormatting>
  <conditionalFormatting sqref="BM799">
    <cfRule type="cellIs" dxfId="2960" priority="615" operator="between">
      <formula>8</formula>
      <formula>60</formula>
    </cfRule>
  </conditionalFormatting>
  <conditionalFormatting sqref="BM800">
    <cfRule type="cellIs" dxfId="2959" priority="617" operator="between">
      <formula>8</formula>
      <formula>60</formula>
    </cfRule>
  </conditionalFormatting>
  <conditionalFormatting sqref="CE800">
    <cfRule type="cellIs" dxfId="2958" priority="616" operator="between">
      <formula>-0.04</formula>
      <formula>-1</formula>
    </cfRule>
  </conditionalFormatting>
  <conditionalFormatting sqref="CE799">
    <cfRule type="cellIs" dxfId="2957" priority="614" operator="between">
      <formula>-0.04</formula>
      <formula>-1</formula>
    </cfRule>
  </conditionalFormatting>
  <conditionalFormatting sqref="BM802">
    <cfRule type="cellIs" dxfId="2956" priority="611" operator="between">
      <formula>8</formula>
      <formula>60</formula>
    </cfRule>
  </conditionalFormatting>
  <conditionalFormatting sqref="CE801">
    <cfRule type="cellIs" dxfId="2955" priority="612" operator="between">
      <formula>-0.04</formula>
      <formula>-1</formula>
    </cfRule>
  </conditionalFormatting>
  <conditionalFormatting sqref="CE802">
    <cfRule type="cellIs" dxfId="2954" priority="610" operator="between">
      <formula>-0.04</formula>
      <formula>-1</formula>
    </cfRule>
  </conditionalFormatting>
  <conditionalFormatting sqref="BM796">
    <cfRule type="cellIs" dxfId="2953" priority="607" operator="between">
      <formula>8</formula>
      <formula>60</formula>
    </cfRule>
  </conditionalFormatting>
  <conditionalFormatting sqref="BM797">
    <cfRule type="cellIs" dxfId="2952" priority="609" operator="between">
      <formula>8</formula>
      <formula>60</formula>
    </cfRule>
  </conditionalFormatting>
  <conditionalFormatting sqref="CE797">
    <cfRule type="cellIs" dxfId="2951" priority="608" operator="between">
      <formula>-0.04</formula>
      <formula>-1</formula>
    </cfRule>
  </conditionalFormatting>
  <conditionalFormatting sqref="CE796">
    <cfRule type="cellIs" dxfId="2950" priority="606" operator="between">
      <formula>-0.04</formula>
      <formula>-1</formula>
    </cfRule>
  </conditionalFormatting>
  <conditionalFormatting sqref="BM798:BM802">
    <cfRule type="cellIs" dxfId="2949" priority="605" operator="between">
      <formula>8</formula>
      <formula>60</formula>
    </cfRule>
  </conditionalFormatting>
  <conditionalFormatting sqref="CE798">
    <cfRule type="cellIs" dxfId="2948" priority="604" operator="between">
      <formula>-0.04</formula>
      <formula>-1</formula>
    </cfRule>
  </conditionalFormatting>
  <conditionalFormatting sqref="BM786:BM787 BM790">
    <cfRule type="cellIs" dxfId="2947" priority="591" operator="between">
      <formula>8</formula>
      <formula>60</formula>
    </cfRule>
  </conditionalFormatting>
  <conditionalFormatting sqref="BM793">
    <cfRule type="cellIs" dxfId="2946" priority="599" operator="between">
      <formula>8</formula>
      <formula>60</formula>
    </cfRule>
  </conditionalFormatting>
  <conditionalFormatting sqref="BM791:BM793">
    <cfRule type="cellIs" dxfId="2945" priority="601" operator="between">
      <formula>8</formula>
      <formula>60</formula>
    </cfRule>
  </conditionalFormatting>
  <conditionalFormatting sqref="BM792">
    <cfRule type="cellIs" dxfId="2944" priority="603" operator="between">
      <formula>8</formula>
      <formula>60</formula>
    </cfRule>
  </conditionalFormatting>
  <conditionalFormatting sqref="CE792">
    <cfRule type="cellIs" dxfId="2943" priority="602" operator="between">
      <formula>-0.04</formula>
      <formula>-1</formula>
    </cfRule>
  </conditionalFormatting>
  <conditionalFormatting sqref="CE791">
    <cfRule type="cellIs" dxfId="2942" priority="600" operator="between">
      <formula>-0.04</formula>
      <formula>-1</formula>
    </cfRule>
  </conditionalFormatting>
  <conditionalFormatting sqref="BM794:BM797">
    <cfRule type="cellIs" dxfId="2941" priority="595" operator="between">
      <formula>8</formula>
      <formula>60</formula>
    </cfRule>
  </conditionalFormatting>
  <conditionalFormatting sqref="CE793">
    <cfRule type="cellIs" dxfId="2940" priority="598" operator="between">
      <formula>-0.04</formula>
      <formula>-1</formula>
    </cfRule>
  </conditionalFormatting>
  <conditionalFormatting sqref="BM795">
    <cfRule type="cellIs" dxfId="2939" priority="597" operator="between">
      <formula>8</formula>
      <formula>60</formula>
    </cfRule>
  </conditionalFormatting>
  <conditionalFormatting sqref="CE795">
    <cfRule type="cellIs" dxfId="2938" priority="596" operator="between">
      <formula>-0.04</formula>
      <formula>-1</formula>
    </cfRule>
  </conditionalFormatting>
  <conditionalFormatting sqref="CE794">
    <cfRule type="cellIs" dxfId="2937" priority="594" operator="between">
      <formula>-0.04</formula>
      <formula>-1</formula>
    </cfRule>
  </conditionalFormatting>
  <conditionalFormatting sqref="BM787">
    <cfRule type="cellIs" dxfId="2936" priority="593" operator="between">
      <formula>8</formula>
      <formula>60</formula>
    </cfRule>
  </conditionalFormatting>
  <conditionalFormatting sqref="CE787">
    <cfRule type="cellIs" dxfId="2935" priority="592" operator="between">
      <formula>-0.04</formula>
      <formula>-1</formula>
    </cfRule>
  </conditionalFormatting>
  <conditionalFormatting sqref="CE786">
    <cfRule type="cellIs" dxfId="2934" priority="590" operator="between">
      <formula>-0.04</formula>
      <formula>-1</formula>
    </cfRule>
  </conditionalFormatting>
  <conditionalFormatting sqref="BM790">
    <cfRule type="cellIs" dxfId="2933" priority="589" operator="between">
      <formula>8</formula>
      <formula>60</formula>
    </cfRule>
  </conditionalFormatting>
  <conditionalFormatting sqref="CE790">
    <cfRule type="cellIs" dxfId="2932" priority="588" operator="between">
      <formula>-0.04</formula>
      <formula>-1</formula>
    </cfRule>
  </conditionalFormatting>
  <conditionalFormatting sqref="BM811:BM814">
    <cfRule type="cellIs" dxfId="2931" priority="577" operator="between">
      <formula>8</formula>
      <formula>60</formula>
    </cfRule>
  </conditionalFormatting>
  <conditionalFormatting sqref="BM809">
    <cfRule type="cellIs" dxfId="2930" priority="583" operator="between">
      <formula>8</formula>
      <formula>60</formula>
    </cfRule>
  </conditionalFormatting>
  <conditionalFormatting sqref="BM810">
    <cfRule type="cellIs" dxfId="2929" priority="587" operator="between">
      <formula>8</formula>
      <formula>60</formula>
    </cfRule>
  </conditionalFormatting>
  <conditionalFormatting sqref="CE810">
    <cfRule type="cellIs" dxfId="2928" priority="586" operator="between">
      <formula>-0.04</formula>
      <formula>-1</formula>
    </cfRule>
  </conditionalFormatting>
  <conditionalFormatting sqref="BM808:BM810">
    <cfRule type="cellIs" dxfId="2927" priority="585" operator="between">
      <formula>8</formula>
      <formula>60</formula>
    </cfRule>
  </conditionalFormatting>
  <conditionalFormatting sqref="CE808">
    <cfRule type="cellIs" dxfId="2926" priority="584" operator="between">
      <formula>-0.04</formula>
      <formula>-1</formula>
    </cfRule>
  </conditionalFormatting>
  <conditionalFormatting sqref="CE809">
    <cfRule type="cellIs" dxfId="2925" priority="582" operator="between">
      <formula>-0.04</formula>
      <formula>-1</formula>
    </cfRule>
  </conditionalFormatting>
  <conditionalFormatting sqref="BM814">
    <cfRule type="cellIs" dxfId="2924" priority="581" operator="between">
      <formula>8</formula>
      <formula>60</formula>
    </cfRule>
  </conditionalFormatting>
  <conditionalFormatting sqref="CE814">
    <cfRule type="cellIs" dxfId="2923" priority="580" operator="between">
      <formula>-0.04</formula>
      <formula>-1</formula>
    </cfRule>
  </conditionalFormatting>
  <conditionalFormatting sqref="BM813">
    <cfRule type="cellIs" dxfId="2922" priority="579" operator="between">
      <formula>8</formula>
      <formula>60</formula>
    </cfRule>
  </conditionalFormatting>
  <conditionalFormatting sqref="CE813">
    <cfRule type="cellIs" dxfId="2921" priority="578" operator="between">
      <formula>-0.04</formula>
      <formula>-1</formula>
    </cfRule>
  </conditionalFormatting>
  <conditionalFormatting sqref="CE811">
    <cfRule type="cellIs" dxfId="2920" priority="576" operator="between">
      <formula>-0.04</formula>
      <formula>-1</formula>
    </cfRule>
  </conditionalFormatting>
  <conditionalFormatting sqref="BM812">
    <cfRule type="cellIs" dxfId="2919" priority="575" operator="between">
      <formula>8</formula>
      <formula>60</formula>
    </cfRule>
  </conditionalFormatting>
  <conditionalFormatting sqref="CE812">
    <cfRule type="cellIs" dxfId="2918" priority="574" operator="between">
      <formula>-0.04</formula>
      <formula>-1</formula>
    </cfRule>
  </conditionalFormatting>
  <conditionalFormatting sqref="BM471:BM476">
    <cfRule type="cellIs" dxfId="2917" priority="573" operator="between">
      <formula>8</formula>
      <formula>60</formula>
    </cfRule>
  </conditionalFormatting>
  <conditionalFormatting sqref="CE471">
    <cfRule type="cellIs" dxfId="2916" priority="572" operator="between">
      <formula>-0.04</formula>
      <formula>-1</formula>
    </cfRule>
  </conditionalFormatting>
  <conditionalFormatting sqref="BM474">
    <cfRule type="cellIs" dxfId="2915" priority="569" operator="between">
      <formula>8</formula>
      <formula>60</formula>
    </cfRule>
  </conditionalFormatting>
  <conditionalFormatting sqref="BM476">
    <cfRule type="cellIs" dxfId="2914" priority="571" operator="between">
      <formula>8</formula>
      <formula>60</formula>
    </cfRule>
  </conditionalFormatting>
  <conditionalFormatting sqref="CE476">
    <cfRule type="cellIs" dxfId="2913" priority="570" operator="between">
      <formula>-0.04</formula>
      <formula>-1</formula>
    </cfRule>
  </conditionalFormatting>
  <conditionalFormatting sqref="BM475">
    <cfRule type="cellIs" dxfId="2912" priority="567" operator="between">
      <formula>8</formula>
      <formula>60</formula>
    </cfRule>
  </conditionalFormatting>
  <conditionalFormatting sqref="CE475">
    <cfRule type="cellIs" dxfId="2911" priority="566" operator="between">
      <formula>-0.04</formula>
      <formula>-1</formula>
    </cfRule>
  </conditionalFormatting>
  <conditionalFormatting sqref="CE474">
    <cfRule type="cellIs" dxfId="2910" priority="568" operator="between">
      <formula>-0.04</formula>
      <formula>-1</formula>
    </cfRule>
  </conditionalFormatting>
  <conditionalFormatting sqref="BM473">
    <cfRule type="cellIs" dxfId="2909" priority="565" operator="between">
      <formula>8</formula>
      <formula>60</formula>
    </cfRule>
  </conditionalFormatting>
  <conditionalFormatting sqref="CE473">
    <cfRule type="cellIs" dxfId="2908" priority="564" operator="between">
      <formula>-0.04</formula>
      <formula>-1</formula>
    </cfRule>
  </conditionalFormatting>
  <conditionalFormatting sqref="BM472">
    <cfRule type="cellIs" dxfId="2907" priority="563" operator="between">
      <formula>8</formula>
      <formula>60</formula>
    </cfRule>
  </conditionalFormatting>
  <conditionalFormatting sqref="CE472">
    <cfRule type="cellIs" dxfId="2906" priority="562" operator="between">
      <formula>-0.04</formula>
      <formula>-1</formula>
    </cfRule>
  </conditionalFormatting>
  <conditionalFormatting sqref="CE532">
    <cfRule type="cellIs" dxfId="2905" priority="561" operator="between">
      <formula>-0.04</formula>
      <formula>-1</formula>
    </cfRule>
  </conditionalFormatting>
  <conditionalFormatting sqref="BM532:BM533">
    <cfRule type="cellIs" dxfId="2904" priority="560" operator="between">
      <formula>8</formula>
      <formula>60</formula>
    </cfRule>
  </conditionalFormatting>
  <conditionalFormatting sqref="BM533">
    <cfRule type="cellIs" dxfId="2903" priority="559" operator="between">
      <formula>8</formula>
      <formula>60</formula>
    </cfRule>
  </conditionalFormatting>
  <conditionalFormatting sqref="CE533">
    <cfRule type="cellIs" dxfId="2902" priority="558" operator="between">
      <formula>-0.04</formula>
      <formula>-1</formula>
    </cfRule>
  </conditionalFormatting>
  <conditionalFormatting sqref="BM587">
    <cfRule type="cellIs" dxfId="2901" priority="556" operator="between">
      <formula>8</formula>
      <formula>60</formula>
    </cfRule>
  </conditionalFormatting>
  <conditionalFormatting sqref="BM703">
    <cfRule type="cellIs" dxfId="2900" priority="554" operator="between">
      <formula>8</formula>
      <formula>60</formula>
    </cfRule>
  </conditionalFormatting>
  <conditionalFormatting sqref="CE703">
    <cfRule type="cellIs" dxfId="2899" priority="555" operator="between">
      <formula>-0.04</formula>
      <formula>-1</formula>
    </cfRule>
  </conditionalFormatting>
  <conditionalFormatting sqref="CE1068:CE1069">
    <cfRule type="cellIs" dxfId="2898" priority="553" operator="between">
      <formula>-0.04</formula>
      <formula>-1</formula>
    </cfRule>
  </conditionalFormatting>
  <conditionalFormatting sqref="BM1068">
    <cfRule type="cellIs" dxfId="2897" priority="552" operator="between">
      <formula>8</formula>
      <formula>60</formula>
    </cfRule>
  </conditionalFormatting>
  <conditionalFormatting sqref="BM1069">
    <cfRule type="cellIs" dxfId="2896" priority="551" operator="between">
      <formula>8</formula>
      <formula>60</formula>
    </cfRule>
  </conditionalFormatting>
  <conditionalFormatting sqref="BM315">
    <cfRule type="cellIs" dxfId="2895" priority="550" operator="between">
      <formula>8</formula>
      <formula>60</formula>
    </cfRule>
  </conditionalFormatting>
  <conditionalFormatting sqref="CE315">
    <cfRule type="cellIs" dxfId="2894" priority="549" operator="between">
      <formula>-0.04</formula>
      <formula>-1</formula>
    </cfRule>
  </conditionalFormatting>
  <conditionalFormatting sqref="BM314">
    <cfRule type="cellIs" dxfId="2893" priority="548" operator="between">
      <formula>8</formula>
      <formula>60</formula>
    </cfRule>
  </conditionalFormatting>
  <conditionalFormatting sqref="CE314">
    <cfRule type="cellIs" dxfId="2892" priority="547" operator="between">
      <formula>-0.04</formula>
      <formula>-1</formula>
    </cfRule>
  </conditionalFormatting>
  <conditionalFormatting sqref="CE313">
    <cfRule type="cellIs" dxfId="2891" priority="546" operator="between">
      <formula>-0.04</formula>
      <formula>-1</formula>
    </cfRule>
  </conditionalFormatting>
  <conditionalFormatting sqref="BM311:BM312">
    <cfRule type="cellIs" dxfId="2890" priority="545" operator="between">
      <formula>8</formula>
      <formula>60</formula>
    </cfRule>
  </conditionalFormatting>
  <conditionalFormatting sqref="CE311:CE312">
    <cfRule type="cellIs" dxfId="2889" priority="544" operator="between">
      <formula>-0.04</formula>
      <formula>-1</formula>
    </cfRule>
  </conditionalFormatting>
  <conditionalFormatting sqref="BM313:BM315">
    <cfRule type="cellIs" dxfId="2888" priority="543" operator="between">
      <formula>8</formula>
      <formula>60</formula>
    </cfRule>
  </conditionalFormatting>
  <conditionalFormatting sqref="BM255">
    <cfRule type="cellIs" dxfId="2887" priority="542" operator="between">
      <formula>8</formula>
      <formula>60</formula>
    </cfRule>
  </conditionalFormatting>
  <conditionalFormatting sqref="CE255">
    <cfRule type="cellIs" dxfId="2886" priority="541" operator="between">
      <formula>-0.04</formula>
      <formula>-1</formula>
    </cfRule>
  </conditionalFormatting>
  <conditionalFormatting sqref="BM177">
    <cfRule type="cellIs" dxfId="2885" priority="540" operator="between">
      <formula>8</formula>
      <formula>60</formula>
    </cfRule>
  </conditionalFormatting>
  <conditionalFormatting sqref="BM176:BM179">
    <cfRule type="cellIs" dxfId="2884" priority="538" operator="between">
      <formula>8</formula>
      <formula>60</formula>
    </cfRule>
  </conditionalFormatting>
  <conditionalFormatting sqref="CE177">
    <cfRule type="cellIs" dxfId="2883" priority="539" operator="between">
      <formula>-0.04</formula>
      <formula>-1</formula>
    </cfRule>
  </conditionalFormatting>
  <conditionalFormatting sqref="CE176">
    <cfRule type="cellIs" dxfId="2882" priority="537" operator="between">
      <formula>-0.04</formula>
      <formula>-1</formula>
    </cfRule>
  </conditionalFormatting>
  <conditionalFormatting sqref="BM179">
    <cfRule type="cellIs" dxfId="2881" priority="536" operator="between">
      <formula>8</formula>
      <formula>60</formula>
    </cfRule>
  </conditionalFormatting>
  <conditionalFormatting sqref="CE179">
    <cfRule type="cellIs" dxfId="2880" priority="535" operator="between">
      <formula>-0.04</formula>
      <formula>-1</formula>
    </cfRule>
  </conditionalFormatting>
  <conditionalFormatting sqref="BM178">
    <cfRule type="cellIs" dxfId="2879" priority="534" operator="between">
      <formula>8</formula>
      <formula>60</formula>
    </cfRule>
  </conditionalFormatting>
  <conditionalFormatting sqref="CE178">
    <cfRule type="cellIs" dxfId="2878" priority="533" operator="between">
      <formula>-0.04</formula>
      <formula>-1</formula>
    </cfRule>
  </conditionalFormatting>
  <conditionalFormatting sqref="BM592">
    <cfRule type="cellIs" dxfId="2877" priority="532" operator="between">
      <formula>8</formula>
      <formula>60</formula>
    </cfRule>
  </conditionalFormatting>
  <conditionalFormatting sqref="CE592">
    <cfRule type="cellIs" dxfId="2876" priority="531" operator="between">
      <formula>-0.04</formula>
      <formula>-1</formula>
    </cfRule>
  </conditionalFormatting>
  <conditionalFormatting sqref="CE593">
    <cfRule type="cellIs" dxfId="2875" priority="530" operator="between">
      <formula>-0.04</formula>
      <formula>-1</formula>
    </cfRule>
  </conditionalFormatting>
  <conditionalFormatting sqref="BM588">
    <cfRule type="cellIs" dxfId="2874" priority="529" operator="between">
      <formula>8</formula>
      <formula>60</formula>
    </cfRule>
  </conditionalFormatting>
  <conditionalFormatting sqref="BM590:BM591">
    <cfRule type="cellIs" dxfId="2873" priority="524" operator="between">
      <formula>8</formula>
      <formula>60</formula>
    </cfRule>
  </conditionalFormatting>
  <conditionalFormatting sqref="BM591">
    <cfRule type="cellIs" dxfId="2872" priority="527" operator="between">
      <formula>8</formula>
      <formula>60</formula>
    </cfRule>
  </conditionalFormatting>
  <conditionalFormatting sqref="CE588">
    <cfRule type="cellIs" dxfId="2871" priority="528" operator="between">
      <formula>-0.04</formula>
      <formula>-1</formula>
    </cfRule>
  </conditionalFormatting>
  <conditionalFormatting sqref="CE591">
    <cfRule type="cellIs" dxfId="2870" priority="526" operator="between">
      <formula>-0.04</formula>
      <formula>-1</formula>
    </cfRule>
  </conditionalFormatting>
  <conditionalFormatting sqref="CE589">
    <cfRule type="cellIs" dxfId="2869" priority="525" operator="between">
      <formula>-0.04</formula>
      <formula>-1</formula>
    </cfRule>
  </conditionalFormatting>
  <conditionalFormatting sqref="CE590">
    <cfRule type="cellIs" dxfId="2868" priority="523" operator="between">
      <formula>-0.04</formula>
      <formula>-1</formula>
    </cfRule>
  </conditionalFormatting>
  <conditionalFormatting sqref="BM589">
    <cfRule type="cellIs" dxfId="2867" priority="522" operator="between">
      <formula>8</formula>
      <formula>60</formula>
    </cfRule>
  </conditionalFormatting>
  <conditionalFormatting sqref="BM593">
    <cfRule type="cellIs" dxfId="2866" priority="521" operator="between">
      <formula>8</formula>
      <formula>60</formula>
    </cfRule>
  </conditionalFormatting>
  <conditionalFormatting sqref="BM596">
    <cfRule type="cellIs" dxfId="2865" priority="520" operator="between">
      <formula>8</formula>
      <formula>60</formula>
    </cfRule>
  </conditionalFormatting>
  <conditionalFormatting sqref="CE596">
    <cfRule type="cellIs" dxfId="2864" priority="519" operator="between">
      <formula>-0.04</formula>
      <formula>-1</formula>
    </cfRule>
  </conditionalFormatting>
  <conditionalFormatting sqref="BM595">
    <cfRule type="cellIs" dxfId="2863" priority="516" operator="between">
      <formula>8</formula>
      <formula>60</formula>
    </cfRule>
  </conditionalFormatting>
  <conditionalFormatting sqref="CE595">
    <cfRule type="cellIs" dxfId="2862" priority="515" operator="between">
      <formula>-0.04</formula>
      <formula>-1</formula>
    </cfRule>
  </conditionalFormatting>
  <conditionalFormatting sqref="BM594">
    <cfRule type="cellIs" dxfId="2861" priority="518" operator="between">
      <formula>8</formula>
      <formula>60</formula>
    </cfRule>
  </conditionalFormatting>
  <conditionalFormatting sqref="CE594">
    <cfRule type="cellIs" dxfId="2860" priority="517" operator="between">
      <formula>-0.04</formula>
      <formula>-1</formula>
    </cfRule>
  </conditionalFormatting>
  <conditionalFormatting sqref="BM597">
    <cfRule type="cellIs" dxfId="2859" priority="514" operator="between">
      <formula>8</formula>
      <formula>60</formula>
    </cfRule>
  </conditionalFormatting>
  <conditionalFormatting sqref="CE597">
    <cfRule type="cellIs" dxfId="2858" priority="513" operator="between">
      <formula>-0.04</formula>
      <formula>-1</formula>
    </cfRule>
  </conditionalFormatting>
  <conditionalFormatting sqref="BM605:BM606">
    <cfRule type="cellIs" dxfId="2857" priority="512" operator="between">
      <formula>8</formula>
      <formula>60</formula>
    </cfRule>
  </conditionalFormatting>
  <conditionalFormatting sqref="CE605:CE606">
    <cfRule type="cellIs" dxfId="2856" priority="511" operator="between">
      <formula>-0.04</formula>
      <formula>-1</formula>
    </cfRule>
  </conditionalFormatting>
  <conditionalFormatting sqref="BM603:BM604">
    <cfRule type="cellIs" dxfId="2855" priority="510" operator="between">
      <formula>8</formula>
      <formula>60</formula>
    </cfRule>
  </conditionalFormatting>
  <conditionalFormatting sqref="CE603:CE604">
    <cfRule type="cellIs" dxfId="2854" priority="509" operator="between">
      <formula>-0.04</formula>
      <formula>-1</formula>
    </cfRule>
  </conditionalFormatting>
  <conditionalFormatting sqref="BM601:BM602">
    <cfRule type="cellIs" dxfId="2853" priority="508" operator="between">
      <formula>8</formula>
      <formula>60</formula>
    </cfRule>
  </conditionalFormatting>
  <conditionalFormatting sqref="CE601:CE602">
    <cfRule type="cellIs" dxfId="2852" priority="507" operator="between">
      <formula>-0.04</formula>
      <formula>-1</formula>
    </cfRule>
  </conditionalFormatting>
  <conditionalFormatting sqref="BM613:BM617">
    <cfRule type="cellIs" dxfId="2851" priority="506" operator="between">
      <formula>8</formula>
      <formula>60</formula>
    </cfRule>
  </conditionalFormatting>
  <conditionalFormatting sqref="BM612">
    <cfRule type="cellIs" dxfId="2850" priority="502" operator="between">
      <formula>8</formula>
      <formula>60</formula>
    </cfRule>
  </conditionalFormatting>
  <conditionalFormatting sqref="CE613:CE614">
    <cfRule type="cellIs" dxfId="2849" priority="505" operator="between">
      <formula>-0.04</formula>
      <formula>-1</formula>
    </cfRule>
  </conditionalFormatting>
  <conditionalFormatting sqref="BM611:BM613">
    <cfRule type="cellIs" dxfId="2848" priority="504" operator="between">
      <formula>8</formula>
      <formula>60</formula>
    </cfRule>
  </conditionalFormatting>
  <conditionalFormatting sqref="CE611">
    <cfRule type="cellIs" dxfId="2847" priority="503" operator="between">
      <formula>-0.04</formula>
      <formula>-1</formula>
    </cfRule>
  </conditionalFormatting>
  <conditionalFormatting sqref="CE612">
    <cfRule type="cellIs" dxfId="2846" priority="501" operator="between">
      <formula>-0.04</formula>
      <formula>-1</formula>
    </cfRule>
  </conditionalFormatting>
  <conditionalFormatting sqref="BM609:BM610">
    <cfRule type="cellIs" dxfId="2845" priority="500" operator="between">
      <formula>8</formula>
      <formula>60</formula>
    </cfRule>
  </conditionalFormatting>
  <conditionalFormatting sqref="CE609:CE610">
    <cfRule type="cellIs" dxfId="2844" priority="499" operator="between">
      <formula>-0.04</formula>
      <formula>-1</formula>
    </cfRule>
  </conditionalFormatting>
  <conditionalFormatting sqref="BM616">
    <cfRule type="cellIs" dxfId="2843" priority="494" operator="between">
      <formula>8</formula>
      <formula>60</formula>
    </cfRule>
  </conditionalFormatting>
  <conditionalFormatting sqref="CE616">
    <cfRule type="cellIs" dxfId="2842" priority="493" operator="between">
      <formula>-0.04</formula>
      <formula>-1</formula>
    </cfRule>
  </conditionalFormatting>
  <conditionalFormatting sqref="BM615">
    <cfRule type="cellIs" dxfId="2841" priority="498" operator="between">
      <formula>8</formula>
      <formula>60</formula>
    </cfRule>
  </conditionalFormatting>
  <conditionalFormatting sqref="CE615">
    <cfRule type="cellIs" dxfId="2840" priority="497" operator="between">
      <formula>-0.04</formula>
      <formula>-1</formula>
    </cfRule>
  </conditionalFormatting>
  <conditionalFormatting sqref="BM617">
    <cfRule type="cellIs" dxfId="2839" priority="496" operator="between">
      <formula>8</formula>
      <formula>60</formula>
    </cfRule>
  </conditionalFormatting>
  <conditionalFormatting sqref="CE617">
    <cfRule type="cellIs" dxfId="2838" priority="495" operator="between">
      <formula>-0.04</formula>
      <formula>-1</formula>
    </cfRule>
  </conditionalFormatting>
  <conditionalFormatting sqref="CE890">
    <cfRule type="cellIs" dxfId="2837" priority="492" operator="between">
      <formula>-0.04</formula>
      <formula>-1</formula>
    </cfRule>
  </conditionalFormatting>
  <conditionalFormatting sqref="BM896:BM899">
    <cfRule type="cellIs" dxfId="2836" priority="491" operator="between">
      <formula>8</formula>
      <formula>60</formula>
    </cfRule>
  </conditionalFormatting>
  <conditionalFormatting sqref="CE896">
    <cfRule type="cellIs" dxfId="2835" priority="490" operator="between">
      <formula>-0.04</formula>
      <formula>-1</formula>
    </cfRule>
  </conditionalFormatting>
  <conditionalFormatting sqref="BM897:BM898">
    <cfRule type="cellIs" dxfId="2834" priority="489" operator="between">
      <formula>8</formula>
      <formula>60</formula>
    </cfRule>
  </conditionalFormatting>
  <conditionalFormatting sqref="CE897:CE898">
    <cfRule type="cellIs" dxfId="2833" priority="488" operator="between">
      <formula>-0.04</formula>
      <formula>-1</formula>
    </cfRule>
  </conditionalFormatting>
  <conditionalFormatting sqref="CE910">
    <cfRule type="cellIs" dxfId="2832" priority="487" operator="between">
      <formula>-0.04</formula>
      <formula>-1</formula>
    </cfRule>
  </conditionalFormatting>
  <conditionalFormatting sqref="BM899">
    <cfRule type="cellIs" dxfId="2831" priority="486" operator="between">
      <formula>8</formula>
      <formula>60</formula>
    </cfRule>
  </conditionalFormatting>
  <conditionalFormatting sqref="CE899">
    <cfRule type="cellIs" dxfId="2830" priority="485" operator="between">
      <formula>-0.04</formula>
      <formula>-1</formula>
    </cfRule>
  </conditionalFormatting>
  <conditionalFormatting sqref="BM894">
    <cfRule type="cellIs" dxfId="2829" priority="482" operator="between">
      <formula>8</formula>
      <formula>60</formula>
    </cfRule>
  </conditionalFormatting>
  <conditionalFormatting sqref="CE895">
    <cfRule type="cellIs" dxfId="2828" priority="484" operator="between">
      <formula>-0.04</formula>
      <formula>-1</formula>
    </cfRule>
  </conditionalFormatting>
  <conditionalFormatting sqref="BM890">
    <cfRule type="cellIs" dxfId="2827" priority="483" operator="between">
      <formula>8</formula>
      <formula>60</formula>
    </cfRule>
  </conditionalFormatting>
  <conditionalFormatting sqref="CE894">
    <cfRule type="cellIs" dxfId="2826" priority="481" operator="between">
      <formula>-0.04</formula>
      <formula>-1</formula>
    </cfRule>
  </conditionalFormatting>
  <conditionalFormatting sqref="BM892:BM893">
    <cfRule type="cellIs" dxfId="2825" priority="480" operator="between">
      <formula>8</formula>
      <formula>60</formula>
    </cfRule>
  </conditionalFormatting>
  <conditionalFormatting sqref="CE892:CE893">
    <cfRule type="cellIs" dxfId="2824" priority="479" operator="between">
      <formula>-0.04</formula>
      <formula>-1</formula>
    </cfRule>
  </conditionalFormatting>
  <conditionalFormatting sqref="BM891">
    <cfRule type="cellIs" dxfId="2823" priority="478" operator="between">
      <formula>8</formula>
      <formula>60</formula>
    </cfRule>
  </conditionalFormatting>
  <conditionalFormatting sqref="CE891">
    <cfRule type="cellIs" dxfId="2822" priority="477" operator="between">
      <formula>-0.04</formula>
      <formula>-1</formula>
    </cfRule>
  </conditionalFormatting>
  <conditionalFormatting sqref="CE900">
    <cfRule type="cellIs" dxfId="2821" priority="476" operator="between">
      <formula>-0.04</formula>
      <formula>-1</formula>
    </cfRule>
  </conditionalFormatting>
  <conditionalFormatting sqref="BM906">
    <cfRule type="cellIs" dxfId="2820" priority="475" operator="between">
      <formula>8</formula>
      <formula>60</formula>
    </cfRule>
  </conditionalFormatting>
  <conditionalFormatting sqref="CE906">
    <cfRule type="cellIs" dxfId="2819" priority="474" operator="between">
      <formula>-0.04</formula>
      <formula>-1</formula>
    </cfRule>
  </conditionalFormatting>
  <conditionalFormatting sqref="BM907">
    <cfRule type="cellIs" dxfId="2818" priority="473" operator="between">
      <formula>8</formula>
      <formula>60</formula>
    </cfRule>
  </conditionalFormatting>
  <conditionalFormatting sqref="CE907:CE908">
    <cfRule type="cellIs" dxfId="2817" priority="472" operator="between">
      <formula>-0.04</formula>
      <formula>-1</formula>
    </cfRule>
  </conditionalFormatting>
  <conditionalFormatting sqref="BM909">
    <cfRule type="cellIs" dxfId="2816" priority="471" operator="between">
      <formula>8</formula>
      <formula>60</formula>
    </cfRule>
  </conditionalFormatting>
  <conditionalFormatting sqref="CE909">
    <cfRule type="cellIs" dxfId="2815" priority="470" operator="between">
      <formula>-0.04</formula>
      <formula>-1</formula>
    </cfRule>
  </conditionalFormatting>
  <conditionalFormatting sqref="BM900">
    <cfRule type="cellIs" dxfId="2814" priority="468" operator="between">
      <formula>8</formula>
      <formula>60</formula>
    </cfRule>
  </conditionalFormatting>
  <conditionalFormatting sqref="CE905">
    <cfRule type="cellIs" dxfId="2813" priority="469" operator="between">
      <formula>-0.04</formula>
      <formula>-1</formula>
    </cfRule>
  </conditionalFormatting>
  <conditionalFormatting sqref="CE904">
    <cfRule type="cellIs" dxfId="2812" priority="467" operator="between">
      <formula>-0.04</formula>
      <formula>-1</formula>
    </cfRule>
  </conditionalFormatting>
  <conditionalFormatting sqref="BM902:BM903">
    <cfRule type="cellIs" dxfId="2811" priority="466" operator="between">
      <formula>8</formula>
      <formula>60</formula>
    </cfRule>
  </conditionalFormatting>
  <conditionalFormatting sqref="CE902:CE903">
    <cfRule type="cellIs" dxfId="2810" priority="465" operator="between">
      <formula>-0.04</formula>
      <formula>-1</formula>
    </cfRule>
  </conditionalFormatting>
  <conditionalFormatting sqref="CE901">
    <cfRule type="cellIs" dxfId="2809" priority="464" operator="between">
      <formula>-0.04</formula>
      <formula>-1</formula>
    </cfRule>
  </conditionalFormatting>
  <conditionalFormatting sqref="BM895">
    <cfRule type="cellIs" dxfId="2808" priority="463" operator="between">
      <formula>8</formula>
      <formula>60</formula>
    </cfRule>
  </conditionalFormatting>
  <conditionalFormatting sqref="BM901">
    <cfRule type="cellIs" dxfId="2807" priority="462" operator="between">
      <formula>8</formula>
      <formula>60</formula>
    </cfRule>
  </conditionalFormatting>
  <conditionalFormatting sqref="BM905">
    <cfRule type="cellIs" dxfId="2806" priority="461" operator="between">
      <formula>8</formula>
      <formula>60</formula>
    </cfRule>
  </conditionalFormatting>
  <conditionalFormatting sqref="BM904">
    <cfRule type="cellIs" dxfId="2805" priority="460" operator="between">
      <formula>8</formula>
      <formula>60</formula>
    </cfRule>
  </conditionalFormatting>
  <conditionalFormatting sqref="BM908">
    <cfRule type="cellIs" dxfId="2804" priority="459" operator="between">
      <formula>8</formula>
      <formula>60</formula>
    </cfRule>
  </conditionalFormatting>
  <conditionalFormatting sqref="BM910">
    <cfRule type="cellIs" dxfId="2803" priority="458" operator="between">
      <formula>8</formula>
      <formula>60</formula>
    </cfRule>
  </conditionalFormatting>
  <conditionalFormatting sqref="BM598">
    <cfRule type="cellIs" dxfId="2802" priority="455" operator="between">
      <formula>8</formula>
      <formula>60</formula>
    </cfRule>
  </conditionalFormatting>
  <conditionalFormatting sqref="BM599">
    <cfRule type="cellIs" dxfId="2801" priority="457" operator="between">
      <formula>8</formula>
      <formula>60</formula>
    </cfRule>
  </conditionalFormatting>
  <conditionalFormatting sqref="CE599">
    <cfRule type="cellIs" dxfId="2800" priority="456" operator="between">
      <formula>-0.04</formula>
      <formula>-1</formula>
    </cfRule>
  </conditionalFormatting>
  <conditionalFormatting sqref="CE598">
    <cfRule type="cellIs" dxfId="2799" priority="454" operator="between">
      <formula>-0.04</formula>
      <formula>-1</formula>
    </cfRule>
  </conditionalFormatting>
  <conditionalFormatting sqref="CE564">
    <cfRule type="cellIs" dxfId="2798" priority="452" operator="between">
      <formula>-0.04</formula>
      <formula>-1</formula>
    </cfRule>
  </conditionalFormatting>
  <conditionalFormatting sqref="BM564">
    <cfRule type="cellIs" dxfId="2797" priority="453" operator="between">
      <formula>8</formula>
      <formula>60</formula>
    </cfRule>
  </conditionalFormatting>
  <conditionalFormatting sqref="CE480">
    <cfRule type="cellIs" dxfId="2796" priority="451" operator="between">
      <formula>-0.04</formula>
      <formula>-1</formula>
    </cfRule>
  </conditionalFormatting>
  <conditionalFormatting sqref="BM479">
    <cfRule type="cellIs" dxfId="2795" priority="450" operator="between">
      <formula>8</formula>
      <formula>60</formula>
    </cfRule>
  </conditionalFormatting>
  <conditionalFormatting sqref="CE479">
    <cfRule type="cellIs" dxfId="2794" priority="449" operator="between">
      <formula>-0.04</formula>
      <formula>-1</formula>
    </cfRule>
  </conditionalFormatting>
  <conditionalFormatting sqref="BM477">
    <cfRule type="cellIs" dxfId="2793" priority="447" operator="between">
      <formula>8</formula>
      <formula>60</formula>
    </cfRule>
  </conditionalFormatting>
  <conditionalFormatting sqref="CE478">
    <cfRule type="cellIs" dxfId="2792" priority="448" operator="between">
      <formula>-0.04</formula>
      <formula>-1</formula>
    </cfRule>
  </conditionalFormatting>
  <conditionalFormatting sqref="CE477">
    <cfRule type="cellIs" dxfId="2791" priority="446" operator="between">
      <formula>-0.04</formula>
      <formula>-1</formula>
    </cfRule>
  </conditionalFormatting>
  <conditionalFormatting sqref="BM478">
    <cfRule type="cellIs" dxfId="2790" priority="445" operator="between">
      <formula>8</formula>
      <formula>60</formula>
    </cfRule>
  </conditionalFormatting>
  <conditionalFormatting sqref="BM480">
    <cfRule type="cellIs" dxfId="2789" priority="444" operator="between">
      <formula>8</formula>
      <formula>60</formula>
    </cfRule>
  </conditionalFormatting>
  <conditionalFormatting sqref="BM431">
    <cfRule type="cellIs" dxfId="2788" priority="443" operator="between">
      <formula>8</formula>
      <formula>60</formula>
    </cfRule>
  </conditionalFormatting>
  <conditionalFormatting sqref="CE431">
    <cfRule type="cellIs" dxfId="2787" priority="442" operator="between">
      <formula>-0.04</formula>
      <formula>-1</formula>
    </cfRule>
  </conditionalFormatting>
  <conditionalFormatting sqref="BM430">
    <cfRule type="cellIs" dxfId="2786" priority="441" operator="between">
      <formula>8</formula>
      <formula>60</formula>
    </cfRule>
  </conditionalFormatting>
  <conditionalFormatting sqref="CE430">
    <cfRule type="cellIs" dxfId="2785" priority="440" operator="between">
      <formula>-0.04</formula>
      <formula>-1</formula>
    </cfRule>
  </conditionalFormatting>
  <conditionalFormatting sqref="BM429:BM431">
    <cfRule type="cellIs" dxfId="2784" priority="439" operator="between">
      <formula>8</formula>
      <formula>60</formula>
    </cfRule>
  </conditionalFormatting>
  <conditionalFormatting sqref="CE429">
    <cfRule type="cellIs" dxfId="2783" priority="438" operator="between">
      <formula>-0.04</formula>
      <formula>-1</formula>
    </cfRule>
  </conditionalFormatting>
  <conditionalFormatting sqref="CE428">
    <cfRule type="cellIs" dxfId="2782" priority="437" operator="between">
      <formula>-0.04</formula>
      <formula>-1</formula>
    </cfRule>
  </conditionalFormatting>
  <conditionalFormatting sqref="BM427">
    <cfRule type="cellIs" dxfId="2781" priority="436" operator="between">
      <formula>8</formula>
      <formula>60</formula>
    </cfRule>
  </conditionalFormatting>
  <conditionalFormatting sqref="CE427">
    <cfRule type="cellIs" dxfId="2780" priority="435" operator="between">
      <formula>-0.04</formula>
      <formula>-1</formula>
    </cfRule>
  </conditionalFormatting>
  <conditionalFormatting sqref="BM426">
    <cfRule type="cellIs" dxfId="2779" priority="434" operator="between">
      <formula>8</formula>
      <formula>60</formula>
    </cfRule>
  </conditionalFormatting>
  <conditionalFormatting sqref="CE426">
    <cfRule type="cellIs" dxfId="2778" priority="433" operator="between">
      <formula>-0.04</formula>
      <formula>-1</formula>
    </cfRule>
  </conditionalFormatting>
  <conditionalFormatting sqref="BM425">
    <cfRule type="cellIs" dxfId="2777" priority="432" operator="between">
      <formula>8</formula>
      <formula>60</formula>
    </cfRule>
  </conditionalFormatting>
  <conditionalFormatting sqref="CE425">
    <cfRule type="cellIs" dxfId="2776" priority="431" operator="between">
      <formula>-0.04</formula>
      <formula>-1</formula>
    </cfRule>
  </conditionalFormatting>
  <conditionalFormatting sqref="BM424:BM426">
    <cfRule type="cellIs" dxfId="2775" priority="430" operator="between">
      <formula>8</formula>
      <formula>60</formula>
    </cfRule>
  </conditionalFormatting>
  <conditionalFormatting sqref="CE424">
    <cfRule type="cellIs" dxfId="2774" priority="429" operator="between">
      <formula>-0.04</formula>
      <formula>-1</formula>
    </cfRule>
  </conditionalFormatting>
  <conditionalFormatting sqref="BM428">
    <cfRule type="cellIs" dxfId="2773" priority="428" operator="between">
      <formula>8</formula>
      <formula>60</formula>
    </cfRule>
  </conditionalFormatting>
  <conditionalFormatting sqref="CE911">
    <cfRule type="cellIs" dxfId="2772" priority="427" operator="between">
      <formula>-0.04</formula>
      <formula>-1</formula>
    </cfRule>
  </conditionalFormatting>
  <conditionalFormatting sqref="BM911">
    <cfRule type="cellIs" dxfId="2771" priority="426" operator="between">
      <formula>8</formula>
      <formula>60</formula>
    </cfRule>
  </conditionalFormatting>
  <conditionalFormatting sqref="BM912:BM914 BM916 BM920 BM922:BM923 BM925">
    <cfRule type="cellIs" dxfId="2770" priority="425" operator="between">
      <formula>8</formula>
      <formula>60</formula>
    </cfRule>
  </conditionalFormatting>
  <conditionalFormatting sqref="CE912:CE925 CE949">
    <cfRule type="cellIs" dxfId="2769" priority="424" operator="between">
      <formula>-0.04</formula>
      <formula>-1</formula>
    </cfRule>
  </conditionalFormatting>
  <conditionalFormatting sqref="BM926:BM928 BM931">
    <cfRule type="cellIs" dxfId="2768" priority="423" operator="between">
      <formula>8</formula>
      <formula>60</formula>
    </cfRule>
  </conditionalFormatting>
  <conditionalFormatting sqref="CE926:CE939">
    <cfRule type="cellIs" dxfId="2767" priority="422" operator="between">
      <formula>-0.04</formula>
      <formula>-1</formula>
    </cfRule>
  </conditionalFormatting>
  <conditionalFormatting sqref="BM915">
    <cfRule type="cellIs" dxfId="2766" priority="421" operator="between">
      <formula>8</formula>
      <formula>60</formula>
    </cfRule>
  </conditionalFormatting>
  <conditionalFormatting sqref="BM917:BM919">
    <cfRule type="cellIs" dxfId="2765" priority="420" operator="between">
      <formula>8</formula>
      <formula>60</formula>
    </cfRule>
  </conditionalFormatting>
  <conditionalFormatting sqref="BM921">
    <cfRule type="cellIs" dxfId="2764" priority="419" operator="between">
      <formula>8</formula>
      <formula>60</formula>
    </cfRule>
  </conditionalFormatting>
  <conditionalFormatting sqref="BM924">
    <cfRule type="cellIs" dxfId="2763" priority="418" operator="between">
      <formula>8</formula>
      <formula>60</formula>
    </cfRule>
  </conditionalFormatting>
  <conditionalFormatting sqref="BM929:BM930">
    <cfRule type="cellIs" dxfId="2762" priority="417" operator="between">
      <formula>8</formula>
      <formula>60</formula>
    </cfRule>
  </conditionalFormatting>
  <conditionalFormatting sqref="BM944 BM946">
    <cfRule type="cellIs" dxfId="2761" priority="416" operator="between">
      <formula>8</formula>
      <formula>60</formula>
    </cfRule>
  </conditionalFormatting>
  <conditionalFormatting sqref="CE940:CE948">
    <cfRule type="cellIs" dxfId="2760" priority="415" operator="between">
      <formula>-0.04</formula>
      <formula>-1</formula>
    </cfRule>
  </conditionalFormatting>
  <conditionalFormatting sqref="BM932:BM938">
    <cfRule type="cellIs" dxfId="2759" priority="414" operator="between">
      <formula>8</formula>
      <formula>60</formula>
    </cfRule>
  </conditionalFormatting>
  <conditionalFormatting sqref="BM939:BM943">
    <cfRule type="cellIs" dxfId="2758" priority="412" operator="between">
      <formula>8</formula>
      <formula>60</formula>
    </cfRule>
  </conditionalFormatting>
  <conditionalFormatting sqref="BM954">
    <cfRule type="cellIs" dxfId="2757" priority="411" operator="between">
      <formula>8</formula>
      <formula>60</formula>
    </cfRule>
  </conditionalFormatting>
  <conditionalFormatting sqref="CE950:CE954">
    <cfRule type="cellIs" dxfId="2756" priority="410" operator="between">
      <formula>-0.04</formula>
      <formula>-1</formula>
    </cfRule>
  </conditionalFormatting>
  <conditionalFormatting sqref="BM945">
    <cfRule type="cellIs" dxfId="2755" priority="409" operator="between">
      <formula>8</formula>
      <formula>60</formula>
    </cfRule>
  </conditionalFormatting>
  <conditionalFormatting sqref="CE958">
    <cfRule type="cellIs" dxfId="2754" priority="408" operator="between">
      <formula>-0.04</formula>
      <formula>-1</formula>
    </cfRule>
  </conditionalFormatting>
  <conditionalFormatting sqref="CE955:CE957">
    <cfRule type="cellIs" dxfId="2753" priority="407" operator="between">
      <formula>-0.04</formula>
      <formula>-1</formula>
    </cfRule>
  </conditionalFormatting>
  <conditionalFormatting sqref="CE959:CE962">
    <cfRule type="cellIs" dxfId="2752" priority="406" operator="between">
      <formula>-0.04</formula>
      <formula>-1</formula>
    </cfRule>
  </conditionalFormatting>
  <conditionalFormatting sqref="BM947:BM953">
    <cfRule type="cellIs" dxfId="2751" priority="405" operator="between">
      <formula>8</formula>
      <formula>60</formula>
    </cfRule>
  </conditionalFormatting>
  <conditionalFormatting sqref="BM955:BM962">
    <cfRule type="cellIs" dxfId="2750" priority="404" operator="between">
      <formula>8</formula>
      <formula>60</formula>
    </cfRule>
  </conditionalFormatting>
  <conditionalFormatting sqref="BM979">
    <cfRule type="cellIs" dxfId="2749" priority="403" operator="between">
      <formula>8</formula>
      <formula>60</formula>
    </cfRule>
  </conditionalFormatting>
  <conditionalFormatting sqref="CE979:CE984">
    <cfRule type="cellIs" dxfId="2748" priority="402" operator="between">
      <formula>-0.04</formula>
      <formula>-1</formula>
    </cfRule>
  </conditionalFormatting>
  <conditionalFormatting sqref="BM980:BM984">
    <cfRule type="cellIs" dxfId="2747" priority="401" operator="between">
      <formula>8</formula>
      <formula>60</formula>
    </cfRule>
  </conditionalFormatting>
  <conditionalFormatting sqref="BM600">
    <cfRule type="cellIs" dxfId="2746" priority="396" operator="between">
      <formula>8</formula>
      <formula>60</formula>
    </cfRule>
  </conditionalFormatting>
  <conditionalFormatting sqref="CE600">
    <cfRule type="cellIs" dxfId="2745" priority="395" operator="between">
      <formula>-0.04</formula>
      <formula>-1</formula>
    </cfRule>
  </conditionalFormatting>
  <conditionalFormatting sqref="BM534">
    <cfRule type="cellIs" dxfId="2744" priority="394" operator="between">
      <formula>8</formula>
      <formula>60</formula>
    </cfRule>
  </conditionalFormatting>
  <conditionalFormatting sqref="CE534:CE539">
    <cfRule type="cellIs" dxfId="2743" priority="393" operator="between">
      <formula>-0.04</formula>
      <formula>-1</formula>
    </cfRule>
  </conditionalFormatting>
  <conditionalFormatting sqref="CE540">
    <cfRule type="cellIs" dxfId="2742" priority="392" operator="between">
      <formula>-0.04</formula>
      <formula>-1</formula>
    </cfRule>
  </conditionalFormatting>
  <conditionalFormatting sqref="BM535:BM539">
    <cfRule type="cellIs" dxfId="2741" priority="391" operator="between">
      <formula>8</formula>
      <formula>60</formula>
    </cfRule>
  </conditionalFormatting>
  <conditionalFormatting sqref="BM540">
    <cfRule type="cellIs" dxfId="2740" priority="390" operator="between">
      <formula>8</formula>
      <formula>60</formula>
    </cfRule>
  </conditionalFormatting>
  <conditionalFormatting sqref="BM481:BM482">
    <cfRule type="cellIs" dxfId="2739" priority="389" operator="between">
      <formula>8</formula>
      <formula>60</formula>
    </cfRule>
  </conditionalFormatting>
  <conditionalFormatting sqref="CE481:CE483">
    <cfRule type="cellIs" dxfId="2738" priority="388" operator="between">
      <formula>-0.04</formula>
      <formula>-1</formula>
    </cfRule>
  </conditionalFormatting>
  <conditionalFormatting sqref="BM483">
    <cfRule type="cellIs" dxfId="2737" priority="387" operator="between">
      <formula>8</formula>
      <formula>60</formula>
    </cfRule>
  </conditionalFormatting>
  <conditionalFormatting sqref="BM432">
    <cfRule type="cellIs" dxfId="2736" priority="386" operator="between">
      <formula>8</formula>
      <formula>60</formula>
    </cfRule>
  </conditionalFormatting>
  <conditionalFormatting sqref="CE432:CE433">
    <cfRule type="cellIs" dxfId="2735" priority="385" operator="between">
      <formula>-0.04</formula>
      <formula>-1</formula>
    </cfRule>
  </conditionalFormatting>
  <conditionalFormatting sqref="BM433">
    <cfRule type="cellIs" dxfId="2734" priority="384" operator="between">
      <formula>8</formula>
      <formula>60</formula>
    </cfRule>
  </conditionalFormatting>
  <conditionalFormatting sqref="BM484 BM489">
    <cfRule type="cellIs" dxfId="2733" priority="383" operator="between">
      <formula>8</formula>
      <formula>60</formula>
    </cfRule>
  </conditionalFormatting>
  <conditionalFormatting sqref="CE484:CE489">
    <cfRule type="cellIs" dxfId="2732" priority="382" operator="between">
      <formula>-0.04</formula>
      <formula>-1</formula>
    </cfRule>
  </conditionalFormatting>
  <conditionalFormatting sqref="CE490:CE493">
    <cfRule type="cellIs" dxfId="2731" priority="381" operator="between">
      <formula>-0.04</formula>
      <formula>-1</formula>
    </cfRule>
  </conditionalFormatting>
  <conditionalFormatting sqref="CE494:CE496">
    <cfRule type="cellIs" dxfId="2730" priority="380" operator="between">
      <formula>-0.04</formula>
      <formula>-1</formula>
    </cfRule>
  </conditionalFormatting>
  <conditionalFormatting sqref="BM485:BM488">
    <cfRule type="cellIs" dxfId="2729" priority="379" operator="between">
      <formula>8</formula>
      <formula>60</formula>
    </cfRule>
  </conditionalFormatting>
  <conditionalFormatting sqref="BM490:BM496">
    <cfRule type="cellIs" dxfId="2728" priority="378" operator="between">
      <formula>8</formula>
      <formula>60</formula>
    </cfRule>
  </conditionalFormatting>
  <conditionalFormatting sqref="BM541">
    <cfRule type="cellIs" dxfId="2727" priority="377" operator="between">
      <formula>8</formula>
      <formula>60</formula>
    </cfRule>
  </conditionalFormatting>
  <conditionalFormatting sqref="CE541:CE548">
    <cfRule type="cellIs" dxfId="2726" priority="376" operator="between">
      <formula>-0.04</formula>
      <formula>-1</formula>
    </cfRule>
  </conditionalFormatting>
  <conditionalFormatting sqref="CE549">
    <cfRule type="cellIs" dxfId="2725" priority="375" operator="between">
      <formula>-0.04</formula>
      <formula>-1</formula>
    </cfRule>
  </conditionalFormatting>
  <conditionalFormatting sqref="BM542:BM549">
    <cfRule type="cellIs" dxfId="2724" priority="374" operator="between">
      <formula>8</formula>
      <formula>60</formula>
    </cfRule>
  </conditionalFormatting>
  <conditionalFormatting sqref="CE710">
    <cfRule type="cellIs" dxfId="2723" priority="373" operator="between">
      <formula>-0.04</formula>
      <formula>-1</formula>
    </cfRule>
  </conditionalFormatting>
  <conditionalFormatting sqref="BM709">
    <cfRule type="cellIs" dxfId="2722" priority="372" operator="between">
      <formula>8</formula>
      <formula>60</formula>
    </cfRule>
  </conditionalFormatting>
  <conditionalFormatting sqref="CE709">
    <cfRule type="cellIs" dxfId="2721" priority="371" operator="between">
      <formula>-0.04</formula>
      <formula>-1</formula>
    </cfRule>
  </conditionalFormatting>
  <conditionalFormatting sqref="BM711">
    <cfRule type="cellIs" dxfId="2720" priority="370" operator="between">
      <formula>8</formula>
      <formula>60</formula>
    </cfRule>
  </conditionalFormatting>
  <conditionalFormatting sqref="CE711">
    <cfRule type="cellIs" dxfId="2719" priority="369" operator="between">
      <formula>-0.04</formula>
      <formula>-1</formula>
    </cfRule>
  </conditionalFormatting>
  <conditionalFormatting sqref="BM710">
    <cfRule type="cellIs" dxfId="2718" priority="368" operator="between">
      <formula>8</formula>
      <formula>60</formula>
    </cfRule>
  </conditionalFormatting>
  <conditionalFormatting sqref="BM566">
    <cfRule type="cellIs" dxfId="2717" priority="365" operator="between">
      <formula>8</formula>
      <formula>60</formula>
    </cfRule>
  </conditionalFormatting>
  <conditionalFormatting sqref="CE567">
    <cfRule type="cellIs" dxfId="2716" priority="366" operator="between">
      <formula>-0.04</formula>
      <formula>-1</formula>
    </cfRule>
  </conditionalFormatting>
  <conditionalFormatting sqref="BM567">
    <cfRule type="cellIs" dxfId="2715" priority="367" operator="between">
      <formula>8</formula>
      <formula>60</formula>
    </cfRule>
  </conditionalFormatting>
  <conditionalFormatting sqref="CE566">
    <cfRule type="cellIs" dxfId="2714" priority="364" operator="between">
      <formula>-0.04</formula>
      <formula>-1</formula>
    </cfRule>
  </conditionalFormatting>
  <conditionalFormatting sqref="BM565:BM567">
    <cfRule type="cellIs" dxfId="2713" priority="363" operator="between">
      <formula>8</formula>
      <formula>60</formula>
    </cfRule>
  </conditionalFormatting>
  <conditionalFormatting sqref="CE565">
    <cfRule type="cellIs" dxfId="2712" priority="362" operator="between">
      <formula>-0.04</formula>
      <formula>-1</formula>
    </cfRule>
  </conditionalFormatting>
  <conditionalFormatting sqref="BM260">
    <cfRule type="cellIs" dxfId="2711" priority="357" operator="between">
      <formula>8</formula>
      <formula>60</formula>
    </cfRule>
  </conditionalFormatting>
  <conditionalFormatting sqref="BM256">
    <cfRule type="cellIs" dxfId="2710" priority="353" operator="between">
      <formula>8</formula>
      <formula>60</formula>
    </cfRule>
  </conditionalFormatting>
  <conditionalFormatting sqref="CE256">
    <cfRule type="cellIs" dxfId="2709" priority="352" operator="between">
      <formula>-0.04</formula>
      <formula>-1</formula>
    </cfRule>
  </conditionalFormatting>
  <conditionalFormatting sqref="BM259">
    <cfRule type="cellIs" dxfId="2708" priority="359" operator="between">
      <formula>8</formula>
      <formula>60</formula>
    </cfRule>
  </conditionalFormatting>
  <conditionalFormatting sqref="BM257">
    <cfRule type="cellIs" dxfId="2707" priority="361" operator="between">
      <formula>8</formula>
      <formula>60</formula>
    </cfRule>
  </conditionalFormatting>
  <conditionalFormatting sqref="BM258:BM260">
    <cfRule type="cellIs" dxfId="2706" priority="355" operator="between">
      <formula>8</formula>
      <formula>60</formula>
    </cfRule>
  </conditionalFormatting>
  <conditionalFormatting sqref="CE257">
    <cfRule type="cellIs" dxfId="2705" priority="360" operator="between">
      <formula>-0.04</formula>
      <formula>-1</formula>
    </cfRule>
  </conditionalFormatting>
  <conditionalFormatting sqref="CE259">
    <cfRule type="cellIs" dxfId="2704" priority="358" operator="between">
      <formula>-0.04</formula>
      <formula>-1</formula>
    </cfRule>
  </conditionalFormatting>
  <conditionalFormatting sqref="CE260">
    <cfRule type="cellIs" dxfId="2703" priority="356" operator="between">
      <formula>-0.04</formula>
      <formula>-1</formula>
    </cfRule>
  </conditionalFormatting>
  <conditionalFormatting sqref="CE258">
    <cfRule type="cellIs" dxfId="2702" priority="354" operator="between">
      <formula>-0.04</formula>
      <formula>-1</formula>
    </cfRule>
  </conditionalFormatting>
  <conditionalFormatting sqref="BM368:BM372">
    <cfRule type="cellIs" dxfId="2701" priority="351" operator="between">
      <formula>8</formula>
      <formula>60</formula>
    </cfRule>
  </conditionalFormatting>
  <conditionalFormatting sqref="CE368:CE372">
    <cfRule type="cellIs" dxfId="2700" priority="350" operator="between">
      <formula>-0.04</formula>
      <formula>-1</formula>
    </cfRule>
  </conditionalFormatting>
  <conditionalFormatting sqref="BM329:BM330">
    <cfRule type="cellIs" dxfId="2699" priority="343" operator="between">
      <formula>8</formula>
      <formula>60</formula>
    </cfRule>
  </conditionalFormatting>
  <conditionalFormatting sqref="BM328">
    <cfRule type="cellIs" dxfId="2698" priority="345" operator="between">
      <formula>8</formula>
      <formula>60</formula>
    </cfRule>
  </conditionalFormatting>
  <conditionalFormatting sqref="CE326">
    <cfRule type="cellIs" dxfId="2697" priority="348" operator="between">
      <formula>-0.04</formula>
      <formula>-1</formula>
    </cfRule>
  </conditionalFormatting>
  <conditionalFormatting sqref="BM327">
    <cfRule type="cellIs" dxfId="2696" priority="347" operator="between">
      <formula>8</formula>
      <formula>60</formula>
    </cfRule>
  </conditionalFormatting>
  <conditionalFormatting sqref="BM326:BM328">
    <cfRule type="cellIs" dxfId="2695" priority="349" operator="between">
      <formula>8</formula>
      <formula>60</formula>
    </cfRule>
  </conditionalFormatting>
  <conditionalFormatting sqref="CE327">
    <cfRule type="cellIs" dxfId="2694" priority="346" operator="between">
      <formula>-0.04</formula>
      <formula>-1</formula>
    </cfRule>
  </conditionalFormatting>
  <conditionalFormatting sqref="CE328">
    <cfRule type="cellIs" dxfId="2693" priority="344" operator="between">
      <formula>-0.04</formula>
      <formula>-1</formula>
    </cfRule>
  </conditionalFormatting>
  <conditionalFormatting sqref="CE329">
    <cfRule type="cellIs" dxfId="2692" priority="342" operator="between">
      <formula>-0.04</formula>
      <formula>-1</formula>
    </cfRule>
  </conditionalFormatting>
  <conditionalFormatting sqref="BM330">
    <cfRule type="cellIs" dxfId="2691" priority="341" operator="between">
      <formula>8</formula>
      <formula>60</formula>
    </cfRule>
  </conditionalFormatting>
  <conditionalFormatting sqref="CE330">
    <cfRule type="cellIs" dxfId="2690" priority="340" operator="between">
      <formula>-0.04</formula>
      <formula>-1</formula>
    </cfRule>
  </conditionalFormatting>
  <conditionalFormatting sqref="BM333">
    <cfRule type="cellIs" dxfId="2689" priority="339" operator="between">
      <formula>8</formula>
      <formula>60</formula>
    </cfRule>
  </conditionalFormatting>
  <conditionalFormatting sqref="CE333">
    <cfRule type="cellIs" dxfId="2688" priority="338" operator="between">
      <formula>-0.04</formula>
      <formula>-1</formula>
    </cfRule>
  </conditionalFormatting>
  <conditionalFormatting sqref="BM332">
    <cfRule type="cellIs" dxfId="2687" priority="337" operator="between">
      <formula>8</formula>
      <formula>60</formula>
    </cfRule>
  </conditionalFormatting>
  <conditionalFormatting sqref="CE332">
    <cfRule type="cellIs" dxfId="2686" priority="336" operator="between">
      <formula>-0.04</formula>
      <formula>-1</formula>
    </cfRule>
  </conditionalFormatting>
  <conditionalFormatting sqref="BM331:BM333">
    <cfRule type="cellIs" dxfId="2685" priority="335" operator="between">
      <formula>8</formula>
      <formula>60</formula>
    </cfRule>
  </conditionalFormatting>
  <conditionalFormatting sqref="CE331">
    <cfRule type="cellIs" dxfId="2684" priority="334" operator="between">
      <formula>-0.04</formula>
      <formula>-1</formula>
    </cfRule>
  </conditionalFormatting>
  <conditionalFormatting sqref="BM343:BM346">
    <cfRule type="cellIs" dxfId="2683" priority="333" operator="between">
      <formula>8</formula>
      <formula>60</formula>
    </cfRule>
  </conditionalFormatting>
  <conditionalFormatting sqref="CE343">
    <cfRule type="cellIs" dxfId="2682" priority="332" operator="between">
      <formula>-0.04</formula>
      <formula>-1</formula>
    </cfRule>
  </conditionalFormatting>
  <conditionalFormatting sqref="CE342">
    <cfRule type="cellIs" dxfId="2681" priority="331" operator="between">
      <formula>-0.04</formula>
      <formula>-1</formula>
    </cfRule>
  </conditionalFormatting>
  <conditionalFormatting sqref="BM334">
    <cfRule type="cellIs" dxfId="2680" priority="329" operator="between">
      <formula>8</formula>
      <formula>60</formula>
    </cfRule>
  </conditionalFormatting>
  <conditionalFormatting sqref="CE335">
    <cfRule type="cellIs" dxfId="2679" priority="330" operator="between">
      <formula>-0.04</formula>
      <formula>-1</formula>
    </cfRule>
  </conditionalFormatting>
  <conditionalFormatting sqref="CE334">
    <cfRule type="cellIs" dxfId="2678" priority="328" operator="between">
      <formula>-0.04</formula>
      <formula>-1</formula>
    </cfRule>
  </conditionalFormatting>
  <conditionalFormatting sqref="BM341">
    <cfRule type="cellIs" dxfId="2677" priority="327" operator="between">
      <formula>8</formula>
      <formula>60</formula>
    </cfRule>
  </conditionalFormatting>
  <conditionalFormatting sqref="CE341">
    <cfRule type="cellIs" dxfId="2676" priority="326" operator="between">
      <formula>-0.04</formula>
      <formula>-1</formula>
    </cfRule>
  </conditionalFormatting>
  <conditionalFormatting sqref="BM340">
    <cfRule type="cellIs" dxfId="2675" priority="325" operator="between">
      <formula>8</formula>
      <formula>60</formula>
    </cfRule>
  </conditionalFormatting>
  <conditionalFormatting sqref="CE340">
    <cfRule type="cellIs" dxfId="2674" priority="324" operator="between">
      <formula>-0.04</formula>
      <formula>-1</formula>
    </cfRule>
  </conditionalFormatting>
  <conditionalFormatting sqref="BM339">
    <cfRule type="cellIs" dxfId="2673" priority="323" operator="between">
      <formula>8</formula>
      <formula>60</formula>
    </cfRule>
  </conditionalFormatting>
  <conditionalFormatting sqref="CE339">
    <cfRule type="cellIs" dxfId="2672" priority="322" operator="between">
      <formula>-0.04</formula>
      <formula>-1</formula>
    </cfRule>
  </conditionalFormatting>
  <conditionalFormatting sqref="BM338">
    <cfRule type="cellIs" dxfId="2671" priority="321" operator="between">
      <formula>8</formula>
      <formula>60</formula>
    </cfRule>
  </conditionalFormatting>
  <conditionalFormatting sqref="CE338">
    <cfRule type="cellIs" dxfId="2670" priority="320" operator="between">
      <formula>-0.04</formula>
      <formula>-1</formula>
    </cfRule>
  </conditionalFormatting>
  <conditionalFormatting sqref="BM337">
    <cfRule type="cellIs" dxfId="2669" priority="319" operator="between">
      <formula>8</formula>
      <formula>60</formula>
    </cfRule>
  </conditionalFormatting>
  <conditionalFormatting sqref="CE337">
    <cfRule type="cellIs" dxfId="2668" priority="318" operator="between">
      <formula>-0.04</formula>
      <formula>-1</formula>
    </cfRule>
  </conditionalFormatting>
  <conditionalFormatting sqref="BM336:BM340">
    <cfRule type="cellIs" dxfId="2667" priority="317" operator="between">
      <formula>8</formula>
      <formula>60</formula>
    </cfRule>
  </conditionalFormatting>
  <conditionalFormatting sqref="CE336">
    <cfRule type="cellIs" dxfId="2666" priority="316" operator="between">
      <formula>-0.04</formula>
      <formula>-1</formula>
    </cfRule>
  </conditionalFormatting>
  <conditionalFormatting sqref="BM344">
    <cfRule type="cellIs" dxfId="2665" priority="315" operator="between">
      <formula>8</formula>
      <formula>60</formula>
    </cfRule>
  </conditionalFormatting>
  <conditionalFormatting sqref="CE344">
    <cfRule type="cellIs" dxfId="2664" priority="314" operator="between">
      <formula>-0.04</formula>
      <formula>-1</formula>
    </cfRule>
  </conditionalFormatting>
  <conditionalFormatting sqref="BM346">
    <cfRule type="cellIs" dxfId="2663" priority="313" operator="between">
      <formula>8</formula>
      <formula>60</formula>
    </cfRule>
  </conditionalFormatting>
  <conditionalFormatting sqref="CE346">
    <cfRule type="cellIs" dxfId="2662" priority="312" operator="between">
      <formula>-0.04</formula>
      <formula>-1</formula>
    </cfRule>
  </conditionalFormatting>
  <conditionalFormatting sqref="BM345">
    <cfRule type="cellIs" dxfId="2661" priority="311" operator="between">
      <formula>8</formula>
      <formula>60</formula>
    </cfRule>
  </conditionalFormatting>
  <conditionalFormatting sqref="CE345">
    <cfRule type="cellIs" dxfId="2660" priority="310" operator="between">
      <formula>-0.04</formula>
      <formula>-1</formula>
    </cfRule>
  </conditionalFormatting>
  <conditionalFormatting sqref="BM335">
    <cfRule type="cellIs" dxfId="2659" priority="309" operator="between">
      <formula>8</formula>
      <formula>60</formula>
    </cfRule>
  </conditionalFormatting>
  <conditionalFormatting sqref="BM342">
    <cfRule type="cellIs" dxfId="2658" priority="308" operator="between">
      <formula>8</formula>
      <formula>60</formula>
    </cfRule>
  </conditionalFormatting>
  <conditionalFormatting sqref="BM350">
    <cfRule type="cellIs" dxfId="2657" priority="307" operator="between">
      <formula>8</formula>
      <formula>60</formula>
    </cfRule>
  </conditionalFormatting>
  <conditionalFormatting sqref="CE350">
    <cfRule type="cellIs" dxfId="2656" priority="306" operator="between">
      <formula>-0.04</formula>
      <formula>-1</formula>
    </cfRule>
  </conditionalFormatting>
  <conditionalFormatting sqref="BM349">
    <cfRule type="cellIs" dxfId="2655" priority="305" operator="between">
      <formula>8</formula>
      <formula>60</formula>
    </cfRule>
  </conditionalFormatting>
  <conditionalFormatting sqref="CE349">
    <cfRule type="cellIs" dxfId="2654" priority="304" operator="between">
      <formula>-0.04</formula>
      <formula>-1</formula>
    </cfRule>
  </conditionalFormatting>
  <conditionalFormatting sqref="BM348">
    <cfRule type="cellIs" dxfId="2653" priority="303" operator="between">
      <formula>8</formula>
      <formula>60</formula>
    </cfRule>
  </conditionalFormatting>
  <conditionalFormatting sqref="CE348">
    <cfRule type="cellIs" dxfId="2652" priority="302" operator="between">
      <formula>-0.04</formula>
      <formula>-1</formula>
    </cfRule>
  </conditionalFormatting>
  <conditionalFormatting sqref="BM347:BM350">
    <cfRule type="cellIs" dxfId="2651" priority="301" operator="between">
      <formula>8</formula>
      <formula>60</formula>
    </cfRule>
  </conditionalFormatting>
  <conditionalFormatting sqref="CE347">
    <cfRule type="cellIs" dxfId="2650" priority="300" operator="between">
      <formula>-0.04</formula>
      <formula>-1</formula>
    </cfRule>
  </conditionalFormatting>
  <conditionalFormatting sqref="BM788">
    <cfRule type="cellIs" dxfId="2649" priority="299" operator="between">
      <formula>8</formula>
      <formula>60</formula>
    </cfRule>
  </conditionalFormatting>
  <conditionalFormatting sqref="BM788">
    <cfRule type="cellIs" dxfId="2648" priority="298" operator="between">
      <formula>8</formula>
      <formula>60</formula>
    </cfRule>
  </conditionalFormatting>
  <conditionalFormatting sqref="CE788">
    <cfRule type="cellIs" dxfId="2647" priority="297" operator="between">
      <formula>-0.04</formula>
      <formula>-1</formula>
    </cfRule>
  </conditionalFormatting>
  <conditionalFormatting sqref="BM789">
    <cfRule type="cellIs" dxfId="2646" priority="296" operator="between">
      <formula>8</formula>
      <formula>60</formula>
    </cfRule>
  </conditionalFormatting>
  <conditionalFormatting sqref="BM789">
    <cfRule type="cellIs" dxfId="2645" priority="295" operator="between">
      <formula>8</formula>
      <formula>60</formula>
    </cfRule>
  </conditionalFormatting>
  <conditionalFormatting sqref="CE789">
    <cfRule type="cellIs" dxfId="2644" priority="294" operator="between">
      <formula>-0.04</formula>
      <formula>-1</formula>
    </cfRule>
  </conditionalFormatting>
  <conditionalFormatting sqref="CE498">
    <cfRule type="cellIs" dxfId="2643" priority="293" operator="between">
      <formula>-0.04</formula>
      <formula>-1</formula>
    </cfRule>
  </conditionalFormatting>
  <conditionalFormatting sqref="BM497">
    <cfRule type="cellIs" dxfId="2642" priority="292" operator="between">
      <formula>8</formula>
      <formula>60</formula>
    </cfRule>
  </conditionalFormatting>
  <conditionalFormatting sqref="CE497">
    <cfRule type="cellIs" dxfId="2641" priority="291" operator="between">
      <formula>-0.04</formula>
      <formula>-1</formula>
    </cfRule>
  </conditionalFormatting>
  <conditionalFormatting sqref="BM498">
    <cfRule type="cellIs" dxfId="2640" priority="290" operator="between">
      <formula>8</formula>
      <formula>60</formula>
    </cfRule>
  </conditionalFormatting>
  <conditionalFormatting sqref="BM818">
    <cfRule type="cellIs" dxfId="2639" priority="289" operator="between">
      <formula>8</formula>
      <formula>60</formula>
    </cfRule>
  </conditionalFormatting>
  <conditionalFormatting sqref="CE818">
    <cfRule type="cellIs" dxfId="2638" priority="288" operator="between">
      <formula>-0.04</formula>
      <formula>-1</formula>
    </cfRule>
  </conditionalFormatting>
  <conditionalFormatting sqref="BM817">
    <cfRule type="cellIs" dxfId="2637" priority="283" operator="between">
      <formula>8</formula>
      <formula>60</formula>
    </cfRule>
  </conditionalFormatting>
  <conditionalFormatting sqref="BM816">
    <cfRule type="cellIs" dxfId="2636" priority="287" operator="between">
      <formula>8</formula>
      <formula>60</formula>
    </cfRule>
  </conditionalFormatting>
  <conditionalFormatting sqref="CE816">
    <cfRule type="cellIs" dxfId="2635" priority="286" operator="between">
      <formula>-0.04</formula>
      <formula>-1</formula>
    </cfRule>
  </conditionalFormatting>
  <conditionalFormatting sqref="BM815:BM818">
    <cfRule type="cellIs" dxfId="2634" priority="285" operator="between">
      <formula>8</formula>
      <formula>60</formula>
    </cfRule>
  </conditionalFormatting>
  <conditionalFormatting sqref="CE815">
    <cfRule type="cellIs" dxfId="2633" priority="284" operator="between">
      <formula>-0.04</formula>
      <formula>-1</formula>
    </cfRule>
  </conditionalFormatting>
  <conditionalFormatting sqref="CE817">
    <cfRule type="cellIs" dxfId="2632" priority="282" operator="between">
      <formula>-0.04</formula>
      <formula>-1</formula>
    </cfRule>
  </conditionalFormatting>
  <conditionalFormatting sqref="BM1093">
    <cfRule type="cellIs" dxfId="2631" priority="281" operator="between">
      <formula>8</formula>
      <formula>60</formula>
    </cfRule>
  </conditionalFormatting>
  <conditionalFormatting sqref="CE1093">
    <cfRule type="cellIs" dxfId="2630" priority="280" operator="between">
      <formula>-0.04</formula>
      <formula>-1</formula>
    </cfRule>
  </conditionalFormatting>
  <conditionalFormatting sqref="CE1094:CE1097">
    <cfRule type="cellIs" dxfId="2629" priority="279" operator="between">
      <formula>-0.04</formula>
      <formula>-1</formula>
    </cfRule>
  </conditionalFormatting>
  <conditionalFormatting sqref="BM1094">
    <cfRule type="cellIs" dxfId="2628" priority="278" operator="between">
      <formula>8</formula>
      <formula>60</formula>
    </cfRule>
  </conditionalFormatting>
  <conditionalFormatting sqref="BM1095:BM1097">
    <cfRule type="cellIs" dxfId="2627" priority="277" operator="between">
      <formula>8</formula>
      <formula>60</formula>
    </cfRule>
  </conditionalFormatting>
  <conditionalFormatting sqref="CE1098:CE1099">
    <cfRule type="cellIs" dxfId="2626" priority="276" operator="between">
      <formula>-0.04</formula>
      <formula>-1</formula>
    </cfRule>
  </conditionalFormatting>
  <conditionalFormatting sqref="BM1098">
    <cfRule type="cellIs" dxfId="2625" priority="275" operator="between">
      <formula>8</formula>
      <formula>60</formula>
    </cfRule>
  </conditionalFormatting>
  <conditionalFormatting sqref="BM1099">
    <cfRule type="cellIs" dxfId="2624" priority="274" operator="between">
      <formula>8</formula>
      <formula>60</formula>
    </cfRule>
  </conditionalFormatting>
  <conditionalFormatting sqref="CE1100">
    <cfRule type="cellIs" dxfId="2623" priority="273" operator="between">
      <formula>-0.04</formula>
      <formula>-1</formula>
    </cfRule>
  </conditionalFormatting>
  <conditionalFormatting sqref="BM1100">
    <cfRule type="cellIs" dxfId="2622" priority="272" operator="between">
      <formula>8</formula>
      <formula>60</formula>
    </cfRule>
  </conditionalFormatting>
  <conditionalFormatting sqref="CE10:CE11">
    <cfRule type="cellIs" dxfId="2621" priority="271" operator="between">
      <formula>-0.04</formula>
      <formula>-1</formula>
    </cfRule>
  </conditionalFormatting>
  <conditionalFormatting sqref="BM10">
    <cfRule type="cellIs" dxfId="2620" priority="270" operator="between">
      <formula>8</formula>
      <formula>60</formula>
    </cfRule>
  </conditionalFormatting>
  <conditionalFormatting sqref="BM11">
    <cfRule type="cellIs" dxfId="2619" priority="269" operator="between">
      <formula>8</formula>
      <formula>60</formula>
    </cfRule>
  </conditionalFormatting>
  <conditionalFormatting sqref="CE12:CE19">
    <cfRule type="cellIs" dxfId="2618" priority="268" operator="between">
      <formula>-0.04</formula>
      <formula>-1</formula>
    </cfRule>
  </conditionalFormatting>
  <conditionalFormatting sqref="BM12 BM16">
    <cfRule type="cellIs" dxfId="2617" priority="267" operator="between">
      <formula>8</formula>
      <formula>60</formula>
    </cfRule>
  </conditionalFormatting>
  <conditionalFormatting sqref="BM13">
    <cfRule type="cellIs" dxfId="2616" priority="266" operator="between">
      <formula>8</formula>
      <formula>60</formula>
    </cfRule>
  </conditionalFormatting>
  <conditionalFormatting sqref="BM14">
    <cfRule type="cellIs" dxfId="2615" priority="265" operator="between">
      <formula>8</formula>
      <formula>60</formula>
    </cfRule>
  </conditionalFormatting>
  <conditionalFormatting sqref="BM15">
    <cfRule type="cellIs" dxfId="2614" priority="264" operator="between">
      <formula>8</formula>
      <formula>60</formula>
    </cfRule>
  </conditionalFormatting>
  <conditionalFormatting sqref="BM17:BM19">
    <cfRule type="cellIs" dxfId="2613" priority="263" operator="between">
      <formula>8</formula>
      <formula>60</formula>
    </cfRule>
  </conditionalFormatting>
  <conditionalFormatting sqref="CE20:CE23">
    <cfRule type="cellIs" dxfId="2612" priority="262" operator="between">
      <formula>-0.04</formula>
      <formula>-1</formula>
    </cfRule>
  </conditionalFormatting>
  <conditionalFormatting sqref="BM20">
    <cfRule type="cellIs" dxfId="2611" priority="261" operator="between">
      <formula>8</formula>
      <formula>60</formula>
    </cfRule>
  </conditionalFormatting>
  <conditionalFormatting sqref="BM21:BM23">
    <cfRule type="cellIs" dxfId="2610" priority="260" operator="between">
      <formula>8</formula>
      <formula>60</formula>
    </cfRule>
  </conditionalFormatting>
  <conditionalFormatting sqref="CE24:CE25">
    <cfRule type="cellIs" dxfId="2609" priority="256" operator="between">
      <formula>-0.04</formula>
      <formula>-1</formula>
    </cfRule>
  </conditionalFormatting>
  <conditionalFormatting sqref="BM24">
    <cfRule type="cellIs" dxfId="2608" priority="255" operator="between">
      <formula>8</formula>
      <formula>60</formula>
    </cfRule>
  </conditionalFormatting>
  <conditionalFormatting sqref="BM25">
    <cfRule type="cellIs" dxfId="2607" priority="254" operator="between">
      <formula>8</formula>
      <formula>60</formula>
    </cfRule>
  </conditionalFormatting>
  <conditionalFormatting sqref="CE26:CE29">
    <cfRule type="cellIs" dxfId="2606" priority="250" operator="between">
      <formula>-0.04</formula>
      <formula>-1</formula>
    </cfRule>
  </conditionalFormatting>
  <conditionalFormatting sqref="BM26 BM28:BM29">
    <cfRule type="cellIs" dxfId="2605" priority="249" operator="between">
      <formula>8</formula>
      <formula>60</formula>
    </cfRule>
  </conditionalFormatting>
  <conditionalFormatting sqref="BM27">
    <cfRule type="cellIs" dxfId="2604" priority="248" operator="between">
      <formula>8</formula>
      <formula>60</formula>
    </cfRule>
  </conditionalFormatting>
  <conditionalFormatting sqref="CE30:CE32">
    <cfRule type="cellIs" dxfId="2603" priority="247" operator="between">
      <formula>-0.04</formula>
      <formula>-1</formula>
    </cfRule>
  </conditionalFormatting>
  <conditionalFormatting sqref="BM31">
    <cfRule type="cellIs" dxfId="2602" priority="245" operator="between">
      <formula>8</formula>
      <formula>60</formula>
    </cfRule>
  </conditionalFormatting>
  <conditionalFormatting sqref="BM32">
    <cfRule type="cellIs" dxfId="2601" priority="246" operator="between">
      <formula>8</formula>
      <formula>60</formula>
    </cfRule>
  </conditionalFormatting>
  <conditionalFormatting sqref="BM30:BM32">
    <cfRule type="cellIs" dxfId="2600" priority="244" operator="between">
      <formula>8</formula>
      <formula>60</formula>
    </cfRule>
  </conditionalFormatting>
  <conditionalFormatting sqref="CE33:CE34">
    <cfRule type="cellIs" dxfId="2599" priority="243" operator="between">
      <formula>-0.04</formula>
      <formula>-1</formula>
    </cfRule>
  </conditionalFormatting>
  <conditionalFormatting sqref="BM33">
    <cfRule type="cellIs" dxfId="2598" priority="242" operator="between">
      <formula>8</formula>
      <formula>60</formula>
    </cfRule>
  </conditionalFormatting>
  <conditionalFormatting sqref="BM34">
    <cfRule type="cellIs" dxfId="2597" priority="241" operator="between">
      <formula>8</formula>
      <formula>60</formula>
    </cfRule>
  </conditionalFormatting>
  <conditionalFormatting sqref="CE35:CE36">
    <cfRule type="cellIs" dxfId="2596" priority="240" operator="between">
      <formula>-0.04</formula>
      <formula>-1</formula>
    </cfRule>
  </conditionalFormatting>
  <conditionalFormatting sqref="BM35">
    <cfRule type="cellIs" dxfId="2595" priority="239" operator="between">
      <formula>8</formula>
      <formula>60</formula>
    </cfRule>
  </conditionalFormatting>
  <conditionalFormatting sqref="BM36">
    <cfRule type="cellIs" dxfId="2594" priority="238" operator="between">
      <formula>8</formula>
      <formula>60</formula>
    </cfRule>
  </conditionalFormatting>
  <conditionalFormatting sqref="CE37">
    <cfRule type="cellIs" dxfId="2593" priority="237" operator="between">
      <formula>-0.04</formula>
      <formula>-1</formula>
    </cfRule>
  </conditionalFormatting>
  <conditionalFormatting sqref="BM37">
    <cfRule type="cellIs" dxfId="2592" priority="236" operator="between">
      <formula>8</formula>
      <formula>60</formula>
    </cfRule>
  </conditionalFormatting>
  <conditionalFormatting sqref="BM38">
    <cfRule type="cellIs" dxfId="2591" priority="235" operator="between">
      <formula>8</formula>
      <formula>60</formula>
    </cfRule>
  </conditionalFormatting>
  <conditionalFormatting sqref="CE38:CE39">
    <cfRule type="cellIs" dxfId="2590" priority="234" operator="between">
      <formula>-0.04</formula>
      <formula>-1</formula>
    </cfRule>
  </conditionalFormatting>
  <conditionalFormatting sqref="BM39">
    <cfRule type="cellIs" dxfId="2589" priority="233" operator="between">
      <formula>8</formula>
      <formula>60</formula>
    </cfRule>
  </conditionalFormatting>
  <conditionalFormatting sqref="CE194:CE201">
    <cfRule type="cellIs" dxfId="2588" priority="232" operator="between">
      <formula>-0.04</formula>
      <formula>-1</formula>
    </cfRule>
  </conditionalFormatting>
  <conditionalFormatting sqref="BM196">
    <cfRule type="cellIs" dxfId="2587" priority="231" operator="between">
      <formula>8</formula>
      <formula>60</formula>
    </cfRule>
  </conditionalFormatting>
  <conditionalFormatting sqref="BM198">
    <cfRule type="cellIs" dxfId="2586" priority="230" operator="between">
      <formula>8</formula>
      <formula>60</formula>
    </cfRule>
  </conditionalFormatting>
  <conditionalFormatting sqref="BM194">
    <cfRule type="cellIs" dxfId="2585" priority="229" operator="between">
      <formula>8</formula>
      <formula>60</formula>
    </cfRule>
  </conditionalFormatting>
  <conditionalFormatting sqref="BM200">
    <cfRule type="cellIs" dxfId="2584" priority="228" operator="between">
      <formula>8</formula>
      <formula>60</formula>
    </cfRule>
  </conditionalFormatting>
  <conditionalFormatting sqref="BM195">
    <cfRule type="cellIs" dxfId="2583" priority="227" operator="between">
      <formula>8</formula>
      <formula>60</formula>
    </cfRule>
  </conditionalFormatting>
  <conditionalFormatting sqref="BM197">
    <cfRule type="cellIs" dxfId="2582" priority="226" operator="between">
      <formula>8</formula>
      <formula>60</formula>
    </cfRule>
  </conditionalFormatting>
  <conditionalFormatting sqref="BM199">
    <cfRule type="cellIs" dxfId="2581" priority="225" operator="between">
      <formula>8</formula>
      <formula>60</formula>
    </cfRule>
  </conditionalFormatting>
  <conditionalFormatting sqref="BM201">
    <cfRule type="cellIs" dxfId="2580" priority="224" operator="between">
      <formula>8</formula>
      <formula>60</formula>
    </cfRule>
  </conditionalFormatting>
  <conditionalFormatting sqref="CE193">
    <cfRule type="cellIs" dxfId="2579" priority="223" operator="between">
      <formula>-0.04</formula>
      <formula>-1</formula>
    </cfRule>
  </conditionalFormatting>
  <conditionalFormatting sqref="BM193">
    <cfRule type="cellIs" dxfId="2578" priority="222" operator="between">
      <formula>8</formula>
      <formula>60</formula>
    </cfRule>
  </conditionalFormatting>
  <conditionalFormatting sqref="CE202:CE206">
    <cfRule type="cellIs" dxfId="2577" priority="221" operator="between">
      <formula>-0.04</formula>
      <formula>-1</formula>
    </cfRule>
  </conditionalFormatting>
  <conditionalFormatting sqref="BM202">
    <cfRule type="cellIs" dxfId="2576" priority="220" operator="between">
      <formula>8</formula>
      <formula>60</formula>
    </cfRule>
  </conditionalFormatting>
  <conditionalFormatting sqref="BM203:BM206">
    <cfRule type="cellIs" dxfId="2575" priority="219" operator="between">
      <formula>8</formula>
      <formula>60</formula>
    </cfRule>
  </conditionalFormatting>
  <conditionalFormatting sqref="CE191:CE192">
    <cfRule type="cellIs" dxfId="2574" priority="218" operator="between">
      <formula>-0.04</formula>
      <formula>-1</formula>
    </cfRule>
  </conditionalFormatting>
  <conditionalFormatting sqref="BM191">
    <cfRule type="cellIs" dxfId="2573" priority="217" operator="between">
      <formula>8</formula>
      <formula>60</formula>
    </cfRule>
  </conditionalFormatting>
  <conditionalFormatting sqref="BM192">
    <cfRule type="cellIs" dxfId="2572" priority="216" operator="between">
      <formula>8</formula>
      <formula>60</formula>
    </cfRule>
  </conditionalFormatting>
  <conditionalFormatting sqref="CE394:CE395">
    <cfRule type="cellIs" dxfId="2571" priority="215" operator="between">
      <formula>-0.04</formula>
      <formula>-1</formula>
    </cfRule>
  </conditionalFormatting>
  <conditionalFormatting sqref="BM394">
    <cfRule type="cellIs" dxfId="2570" priority="214" operator="between">
      <formula>8</formula>
      <formula>60</formula>
    </cfRule>
  </conditionalFormatting>
  <conditionalFormatting sqref="BM395">
    <cfRule type="cellIs" dxfId="2569" priority="213" operator="between">
      <formula>8</formula>
      <formula>60</formula>
    </cfRule>
  </conditionalFormatting>
  <conditionalFormatting sqref="CE450:CE451">
    <cfRule type="cellIs" dxfId="2568" priority="212" operator="between">
      <formula>-0.04</formula>
      <formula>-1</formula>
    </cfRule>
  </conditionalFormatting>
  <conditionalFormatting sqref="BM450">
    <cfRule type="cellIs" dxfId="2567" priority="211" operator="between">
      <formula>8</formula>
      <formula>60</formula>
    </cfRule>
  </conditionalFormatting>
  <conditionalFormatting sqref="BM451">
    <cfRule type="cellIs" dxfId="2566" priority="210" operator="between">
      <formula>8</formula>
      <formula>60</formula>
    </cfRule>
  </conditionalFormatting>
  <conditionalFormatting sqref="BM1025:BM1027">
    <cfRule type="cellIs" dxfId="2565" priority="205" operator="between">
      <formula>8</formula>
      <formula>60</formula>
    </cfRule>
  </conditionalFormatting>
  <conditionalFormatting sqref="CE1024:CE1027">
    <cfRule type="cellIs" dxfId="2564" priority="207" operator="between">
      <formula>-0.04</formula>
      <formula>-1</formula>
    </cfRule>
  </conditionalFormatting>
  <conditionalFormatting sqref="BM1024">
    <cfRule type="cellIs" dxfId="2563" priority="206" operator="between">
      <formula>8</formula>
      <formula>60</formula>
    </cfRule>
  </conditionalFormatting>
  <conditionalFormatting sqref="CE1028:CE1040">
    <cfRule type="cellIs" dxfId="2562" priority="204" operator="between">
      <formula>-0.04</formula>
      <formula>-1</formula>
    </cfRule>
  </conditionalFormatting>
  <conditionalFormatting sqref="BM1028 BM1030 BM1033 BM1036:BM1037 BM1040">
    <cfRule type="cellIs" dxfId="2561" priority="203" operator="between">
      <formula>8</formula>
      <formula>60</formula>
    </cfRule>
  </conditionalFormatting>
  <conditionalFormatting sqref="BM1034:BM1035">
    <cfRule type="cellIs" dxfId="2560" priority="200" operator="between">
      <formula>8</formula>
      <formula>60</formula>
    </cfRule>
  </conditionalFormatting>
  <conditionalFormatting sqref="BM1029">
    <cfRule type="cellIs" dxfId="2559" priority="202" operator="between">
      <formula>8</formula>
      <formula>60</formula>
    </cfRule>
  </conditionalFormatting>
  <conditionalFormatting sqref="BM1031:BM1032">
    <cfRule type="cellIs" dxfId="2558" priority="201" operator="between">
      <formula>8</formula>
      <formula>60</formula>
    </cfRule>
  </conditionalFormatting>
  <conditionalFormatting sqref="BM1038:BM1039">
    <cfRule type="cellIs" dxfId="2557" priority="199" operator="between">
      <formula>8</formula>
      <formula>60</formula>
    </cfRule>
  </conditionalFormatting>
  <conditionalFormatting sqref="CE1042">
    <cfRule type="cellIs" dxfId="2556" priority="198" operator="between">
      <formula>-0.04</formula>
      <formula>-1</formula>
    </cfRule>
  </conditionalFormatting>
  <conditionalFormatting sqref="BM1041">
    <cfRule type="cellIs" dxfId="2555" priority="197" operator="between">
      <formula>8</formula>
      <formula>60</formula>
    </cfRule>
  </conditionalFormatting>
  <conditionalFormatting sqref="CE1041">
    <cfRule type="cellIs" dxfId="2554" priority="196" operator="between">
      <formula>-0.04</formula>
      <formula>-1</formula>
    </cfRule>
  </conditionalFormatting>
  <conditionalFormatting sqref="BM1042">
    <cfRule type="cellIs" dxfId="2553" priority="195" operator="between">
      <formula>8</formula>
      <formula>60</formula>
    </cfRule>
  </conditionalFormatting>
  <conditionalFormatting sqref="BM317:BM318">
    <cfRule type="cellIs" dxfId="2552" priority="194" operator="between">
      <formula>8</formula>
      <formula>60</formula>
    </cfRule>
  </conditionalFormatting>
  <conditionalFormatting sqref="BM965">
    <cfRule type="cellIs" dxfId="2551" priority="193" operator="between">
      <formula>8</formula>
      <formula>60</formula>
    </cfRule>
  </conditionalFormatting>
  <conditionalFormatting sqref="BM500">
    <cfRule type="cellIs" dxfId="2550" priority="192" operator="between">
      <formula>8</formula>
      <formula>60</formula>
    </cfRule>
  </conditionalFormatting>
  <conditionalFormatting sqref="BM502">
    <cfRule type="cellIs" dxfId="2549" priority="191" operator="between">
      <formula>8</formula>
      <formula>60</formula>
    </cfRule>
  </conditionalFormatting>
  <conditionalFormatting sqref="BM506">
    <cfRule type="cellIs" dxfId="2548" priority="190" operator="between">
      <formula>8</formula>
      <formula>60</formula>
    </cfRule>
  </conditionalFormatting>
  <conditionalFormatting sqref="CE505:CE508">
    <cfRule type="cellIs" dxfId="2547" priority="189" operator="between">
      <formula>-0.04</formula>
      <formula>-1</formula>
    </cfRule>
  </conditionalFormatting>
  <conditionalFormatting sqref="BM551">
    <cfRule type="cellIs" dxfId="2546" priority="188" operator="between">
      <formula>8</formula>
      <formula>60</formula>
    </cfRule>
  </conditionalFormatting>
  <conditionalFormatting sqref="BM509">
    <cfRule type="cellIs" dxfId="2545" priority="187" operator="between">
      <formula>8</formula>
      <formula>60</formula>
    </cfRule>
  </conditionalFormatting>
  <conditionalFormatting sqref="CE509:CE510">
    <cfRule type="cellIs" dxfId="2544" priority="186" operator="between">
      <formula>-0.04</formula>
      <formula>-1</formula>
    </cfRule>
  </conditionalFormatting>
  <conditionalFormatting sqref="BM518">
    <cfRule type="cellIs" dxfId="2543" priority="179" operator="between">
      <formula>8</formula>
      <formula>60</formula>
    </cfRule>
  </conditionalFormatting>
  <conditionalFormatting sqref="CE511:CE513 CE519">
    <cfRule type="cellIs" dxfId="2542" priority="184" operator="between">
      <formula>-0.04</formula>
      <formula>-1</formula>
    </cfRule>
  </conditionalFormatting>
  <conditionalFormatting sqref="BM504:BM505">
    <cfRule type="cellIs" dxfId="2541" priority="183" operator="between">
      <formula>8</formula>
      <formula>60</formula>
    </cfRule>
  </conditionalFormatting>
  <conditionalFormatting sqref="BM507:BM508">
    <cfRule type="cellIs" dxfId="2540" priority="182" operator="between">
      <formula>8</formula>
      <formula>60</formula>
    </cfRule>
  </conditionalFormatting>
  <conditionalFormatting sqref="BM514">
    <cfRule type="cellIs" dxfId="2539" priority="181" operator="between">
      <formula>8</formula>
      <formula>60</formula>
    </cfRule>
  </conditionalFormatting>
  <conditionalFormatting sqref="CE514:CE515">
    <cfRule type="cellIs" dxfId="2538" priority="180" operator="between">
      <formula>-0.04</formula>
      <formula>-1</formula>
    </cfRule>
  </conditionalFormatting>
  <conditionalFormatting sqref="BM352:BM356">
    <cfRule type="cellIs" dxfId="2537" priority="174" operator="between">
      <formula>8</formula>
      <formula>60</formula>
    </cfRule>
  </conditionalFormatting>
  <conditionalFormatting sqref="CE516:CE518">
    <cfRule type="cellIs" dxfId="2536" priority="178" operator="between">
      <formula>-0.04</formula>
      <formula>-1</formula>
    </cfRule>
  </conditionalFormatting>
  <conditionalFormatting sqref="BM510:BM513">
    <cfRule type="cellIs" dxfId="2535" priority="177" operator="between">
      <formula>8</formula>
      <formula>60</formula>
    </cfRule>
  </conditionalFormatting>
  <conditionalFormatting sqref="CE1048">
    <cfRule type="cellIs" dxfId="2534" priority="176" operator="between">
      <formula>-0.04</formula>
      <formula>-1</formula>
    </cfRule>
  </conditionalFormatting>
  <conditionalFormatting sqref="BM1048">
    <cfRule type="cellIs" dxfId="2533" priority="175" operator="between">
      <formula>8</formula>
      <formula>60</formula>
    </cfRule>
  </conditionalFormatting>
  <conditionalFormatting sqref="BM296:BM298">
    <cfRule type="cellIs" dxfId="2532" priority="166" operator="between">
      <formula>8</formula>
      <formula>60</formula>
    </cfRule>
  </conditionalFormatting>
  <conditionalFormatting sqref="BM1070">
    <cfRule type="cellIs" dxfId="2531" priority="172" operator="between">
      <formula>8</formula>
      <formula>60</formula>
    </cfRule>
  </conditionalFormatting>
  <conditionalFormatting sqref="CE1070">
    <cfRule type="cellIs" dxfId="2530" priority="171" operator="between">
      <formula>-0.04</formula>
      <formula>-1</formula>
    </cfRule>
  </conditionalFormatting>
  <conditionalFormatting sqref="BM299 BM302:BM303">
    <cfRule type="cellIs" dxfId="2529" priority="169" operator="between">
      <formula>8</formula>
      <formula>60</formula>
    </cfRule>
  </conditionalFormatting>
  <conditionalFormatting sqref="CE297:CE299 CE302:CE303">
    <cfRule type="cellIs" dxfId="2528" priority="168" operator="between">
      <formula>-0.04</formula>
      <formula>-1</formula>
    </cfRule>
  </conditionalFormatting>
  <conditionalFormatting sqref="BM293">
    <cfRule type="cellIs" dxfId="2527" priority="167" operator="between">
      <formula>8</formula>
      <formula>60</formula>
    </cfRule>
  </conditionalFormatting>
  <conditionalFormatting sqref="BM520">
    <cfRule type="cellIs" dxfId="2526" priority="163" operator="between">
      <formula>8</formula>
      <formula>60</formula>
    </cfRule>
  </conditionalFormatting>
  <conditionalFormatting sqref="BM530">
    <cfRule type="cellIs" dxfId="2525" priority="165" operator="between">
      <formula>8</formula>
      <formula>60</formula>
    </cfRule>
  </conditionalFormatting>
  <conditionalFormatting sqref="CE530">
    <cfRule type="cellIs" dxfId="2524" priority="164" operator="between">
      <formula>-0.04</formula>
      <formula>-1</formula>
    </cfRule>
  </conditionalFormatting>
  <conditionalFormatting sqref="CE520:CE521">
    <cfRule type="cellIs" dxfId="2523" priority="162" operator="between">
      <formula>-0.04</formula>
      <formula>-1</formula>
    </cfRule>
  </conditionalFormatting>
  <conditionalFormatting sqref="BM527:BM529">
    <cfRule type="cellIs" dxfId="2522" priority="155" operator="between">
      <formula>8</formula>
      <formula>60</formula>
    </cfRule>
  </conditionalFormatting>
  <conditionalFormatting sqref="CE522:CE524">
    <cfRule type="cellIs" dxfId="2521" priority="160" operator="between">
      <formula>-0.04</formula>
      <formula>-1</formula>
    </cfRule>
  </conditionalFormatting>
  <conditionalFormatting sqref="BM515:BM517">
    <cfRule type="cellIs" dxfId="2520" priority="159" operator="between">
      <formula>8</formula>
      <formula>60</formula>
    </cfRule>
  </conditionalFormatting>
  <conditionalFormatting sqref="BM519">
    <cfRule type="cellIs" dxfId="2519" priority="158" operator="between">
      <formula>8</formula>
      <formula>60</formula>
    </cfRule>
  </conditionalFormatting>
  <conditionalFormatting sqref="BM526">
    <cfRule type="cellIs" dxfId="2518" priority="157" operator="between">
      <formula>8</formula>
      <formula>60</formula>
    </cfRule>
  </conditionalFormatting>
  <conditionalFormatting sqref="CE525:CE526">
    <cfRule type="cellIs" dxfId="2517" priority="156" operator="between">
      <formula>-0.04</formula>
      <formula>-1</formula>
    </cfRule>
  </conditionalFormatting>
  <conditionalFormatting sqref="BM364">
    <cfRule type="cellIs" dxfId="2516" priority="147" operator="between">
      <formula>8</formula>
      <formula>60</formula>
    </cfRule>
  </conditionalFormatting>
  <conditionalFormatting sqref="CE527:CE529">
    <cfRule type="cellIs" dxfId="2515" priority="154" operator="between">
      <formula>-0.04</formula>
      <formula>-1</formula>
    </cfRule>
  </conditionalFormatting>
  <conditionalFormatting sqref="BM521:BM525">
    <cfRule type="cellIs" dxfId="2514" priority="153" operator="between">
      <formula>8</formula>
      <formula>60</formula>
    </cfRule>
  </conditionalFormatting>
  <conditionalFormatting sqref="BM357">
    <cfRule type="cellIs" dxfId="2513" priority="152" operator="between">
      <formula>8</formula>
      <formula>60</formula>
    </cfRule>
  </conditionalFormatting>
  <conditionalFormatting sqref="CE357">
    <cfRule type="cellIs" dxfId="2512" priority="151" operator="between">
      <formula>-0.04</formula>
      <formula>-1</formula>
    </cfRule>
  </conditionalFormatting>
  <conditionalFormatting sqref="BM359">
    <cfRule type="cellIs" dxfId="2511" priority="150" operator="between">
      <formula>8</formula>
      <formula>60</formula>
    </cfRule>
  </conditionalFormatting>
  <conditionalFormatting sqref="CE358:CE359">
    <cfRule type="cellIs" dxfId="2510" priority="149" operator="between">
      <formula>-0.04</formula>
      <formula>-1</formula>
    </cfRule>
  </conditionalFormatting>
  <conditionalFormatting sqref="BM358">
    <cfRule type="cellIs" dxfId="2509" priority="148" operator="between">
      <formula>8</formula>
      <formula>60</formula>
    </cfRule>
  </conditionalFormatting>
  <conditionalFormatting sqref="CE364">
    <cfRule type="cellIs" dxfId="2508" priority="146" operator="between">
      <formula>-0.04</formula>
      <formula>-1</formula>
    </cfRule>
  </conditionalFormatting>
  <conditionalFormatting sqref="BM365:BM366">
    <cfRule type="cellIs" dxfId="2507" priority="145" operator="between">
      <formula>8</formula>
      <formula>60</formula>
    </cfRule>
  </conditionalFormatting>
  <conditionalFormatting sqref="CE365:CE366">
    <cfRule type="cellIs" dxfId="2506" priority="144" operator="between">
      <formula>-0.04</formula>
      <formula>-1</formula>
    </cfRule>
  </conditionalFormatting>
  <conditionalFormatting sqref="BM363">
    <cfRule type="cellIs" dxfId="2505" priority="143" operator="between">
      <formula>8</formula>
      <formula>60</formula>
    </cfRule>
  </conditionalFormatting>
  <conditionalFormatting sqref="CE363">
    <cfRule type="cellIs" dxfId="2504" priority="142" operator="between">
      <formula>-0.04</formula>
      <formula>-1</formula>
    </cfRule>
  </conditionalFormatting>
  <conditionalFormatting sqref="BM360:BM361">
    <cfRule type="cellIs" dxfId="2503" priority="141" operator="between">
      <formula>8</formula>
      <formula>60</formula>
    </cfRule>
  </conditionalFormatting>
  <conditionalFormatting sqref="BM374">
    <cfRule type="cellIs" dxfId="2502" priority="140" operator="between">
      <formula>8</formula>
      <formula>60</formula>
    </cfRule>
  </conditionalFormatting>
  <conditionalFormatting sqref="CE1101:CE1104">
    <cfRule type="cellIs" dxfId="2501" priority="139" operator="between">
      <formula>-0.04</formula>
      <formula>-1</formula>
    </cfRule>
  </conditionalFormatting>
  <conditionalFormatting sqref="BM1104">
    <cfRule type="cellIs" dxfId="2500" priority="138" operator="between">
      <formula>8</formula>
      <formula>60</formula>
    </cfRule>
  </conditionalFormatting>
  <conditionalFormatting sqref="BM1101:BM1104">
    <cfRule type="cellIs" dxfId="2499" priority="137" operator="between">
      <formula>8</formula>
      <formula>60</formula>
    </cfRule>
  </conditionalFormatting>
  <conditionalFormatting sqref="CE1105:CE1108">
    <cfRule type="cellIs" dxfId="2498" priority="136" operator="between">
      <formula>-0.04</formula>
      <formula>-1</formula>
    </cfRule>
  </conditionalFormatting>
  <conditionalFormatting sqref="BM1108">
    <cfRule type="cellIs" dxfId="2497" priority="135" operator="between">
      <formula>8</formula>
      <formula>60</formula>
    </cfRule>
  </conditionalFormatting>
  <conditionalFormatting sqref="BM1105:BM1108">
    <cfRule type="cellIs" dxfId="2496" priority="134" operator="between">
      <formula>8</formula>
      <formula>60</formula>
    </cfRule>
  </conditionalFormatting>
  <conditionalFormatting sqref="BM661">
    <cfRule type="cellIs" dxfId="2495" priority="133" operator="between">
      <formula>8</formula>
      <formula>60</formula>
    </cfRule>
  </conditionalFormatting>
  <conditionalFormatting sqref="CE661:CE662">
    <cfRule type="cellIs" dxfId="2494" priority="132" operator="between">
      <formula>-0.04</formula>
      <formula>-1</formula>
    </cfRule>
  </conditionalFormatting>
  <conditionalFormatting sqref="BM662">
    <cfRule type="cellIs" dxfId="2493" priority="131" operator="between">
      <formula>8</formula>
      <formula>60</formula>
    </cfRule>
  </conditionalFormatting>
  <conditionalFormatting sqref="BM717 BM719">
    <cfRule type="cellIs" dxfId="2492" priority="130" operator="between">
      <formula>8</formula>
      <formula>60</formula>
    </cfRule>
  </conditionalFormatting>
  <conditionalFormatting sqref="CE717:CE719">
    <cfRule type="cellIs" dxfId="2491" priority="129" operator="between">
      <formula>-0.04</formula>
      <formula>-1</formula>
    </cfRule>
  </conditionalFormatting>
  <conditionalFormatting sqref="CE720">
    <cfRule type="cellIs" dxfId="2490" priority="128" operator="between">
      <formula>-0.04</formula>
      <formula>-1</formula>
    </cfRule>
  </conditionalFormatting>
  <conditionalFormatting sqref="BM718">
    <cfRule type="cellIs" dxfId="2489" priority="127" operator="between">
      <formula>8</formula>
      <formula>60</formula>
    </cfRule>
  </conditionalFormatting>
  <conditionalFormatting sqref="BM720">
    <cfRule type="cellIs" dxfId="2488" priority="126" operator="between">
      <formula>8</formula>
      <formula>60</formula>
    </cfRule>
  </conditionalFormatting>
  <conditionalFormatting sqref="CE262">
    <cfRule type="cellIs" dxfId="2487" priority="116" operator="between">
      <formula>-0.04</formula>
      <formula>-1</formula>
    </cfRule>
  </conditionalFormatting>
  <conditionalFormatting sqref="BM261">
    <cfRule type="cellIs" dxfId="2486" priority="115" operator="between">
      <formula>8</formula>
      <formula>60</formula>
    </cfRule>
  </conditionalFormatting>
  <conditionalFormatting sqref="CE261">
    <cfRule type="cellIs" dxfId="2485" priority="114" operator="between">
      <formula>-0.04</formula>
      <formula>-1</formula>
    </cfRule>
  </conditionalFormatting>
  <conditionalFormatting sqref="BM262">
    <cfRule type="cellIs" dxfId="2484" priority="113" operator="between">
      <formula>8</formula>
      <formula>60</formula>
    </cfRule>
  </conditionalFormatting>
  <conditionalFormatting sqref="BM985">
    <cfRule type="cellIs" dxfId="2483" priority="112" operator="between">
      <formula>8</formula>
      <formula>60</formula>
    </cfRule>
  </conditionalFormatting>
  <conditionalFormatting sqref="CE985:CE986">
    <cfRule type="cellIs" dxfId="2482" priority="111" operator="between">
      <formula>-0.04</formula>
      <formula>-1</formula>
    </cfRule>
  </conditionalFormatting>
  <conditionalFormatting sqref="BM986">
    <cfRule type="cellIs" dxfId="2481" priority="110" operator="between">
      <formula>8</formula>
      <formula>60</formula>
    </cfRule>
  </conditionalFormatting>
  <conditionalFormatting sqref="BM966">
    <cfRule type="cellIs" dxfId="2480" priority="109" operator="between">
      <formula>8</formula>
      <formula>60</formula>
    </cfRule>
  </conditionalFormatting>
  <conditionalFormatting sqref="CE966:CE967">
    <cfRule type="cellIs" dxfId="2479" priority="108" operator="between">
      <formula>-0.04</formula>
      <formula>-1</formula>
    </cfRule>
  </conditionalFormatting>
  <conditionalFormatting sqref="BM967">
    <cfRule type="cellIs" dxfId="2478" priority="107" operator="between">
      <formula>8</formula>
      <formula>60</formula>
    </cfRule>
  </conditionalFormatting>
  <conditionalFormatting sqref="BM671">
    <cfRule type="cellIs" dxfId="2477" priority="106" operator="between">
      <formula>8</formula>
      <formula>60</formula>
    </cfRule>
  </conditionalFormatting>
  <conditionalFormatting sqref="CE671:CE672">
    <cfRule type="cellIs" dxfId="2476" priority="105" operator="between">
      <formula>-0.04</formula>
      <formula>-1</formula>
    </cfRule>
  </conditionalFormatting>
  <conditionalFormatting sqref="BM672">
    <cfRule type="cellIs" dxfId="2475" priority="104" operator="between">
      <formula>8</formula>
      <formula>60</formula>
    </cfRule>
  </conditionalFormatting>
  <conditionalFormatting sqref="BM824">
    <cfRule type="cellIs" dxfId="2474" priority="89" operator="between">
      <formula>8</formula>
      <formula>60</formula>
    </cfRule>
  </conditionalFormatting>
  <conditionalFormatting sqref="CE824:CE825">
    <cfRule type="cellIs" dxfId="2473" priority="88" operator="between">
      <formula>-0.04</formula>
      <formula>-1</formula>
    </cfRule>
  </conditionalFormatting>
  <conditionalFormatting sqref="CE829">
    <cfRule type="cellIs" dxfId="2472" priority="85" operator="between">
      <formula>-0.04</formula>
      <formula>-1</formula>
    </cfRule>
  </conditionalFormatting>
  <conditionalFormatting sqref="CE830:CE831">
    <cfRule type="cellIs" dxfId="2471" priority="84" operator="between">
      <formula>-0.04</formula>
      <formula>-1</formula>
    </cfRule>
  </conditionalFormatting>
  <conditionalFormatting sqref="CE828">
    <cfRule type="cellIs" dxfId="2470" priority="83" operator="between">
      <formula>-0.04</formula>
      <formula>-1</formula>
    </cfRule>
  </conditionalFormatting>
  <conditionalFormatting sqref="CE826:CE827">
    <cfRule type="cellIs" dxfId="2469" priority="82" operator="between">
      <formula>-0.04</formula>
      <formula>-1</formula>
    </cfRule>
  </conditionalFormatting>
  <conditionalFormatting sqref="BM825:BM837">
    <cfRule type="cellIs" dxfId="2468" priority="76" operator="between">
      <formula>8</formula>
      <formula>60</formula>
    </cfRule>
  </conditionalFormatting>
  <conditionalFormatting sqref="CE832:CE833">
    <cfRule type="cellIs" dxfId="2467" priority="80" operator="between">
      <formula>-0.04</formula>
      <formula>-1</formula>
    </cfRule>
  </conditionalFormatting>
  <conditionalFormatting sqref="CE837">
    <cfRule type="cellIs" dxfId="2466" priority="79" operator="between">
      <formula>-0.04</formula>
      <formula>-1</formula>
    </cfRule>
  </conditionalFormatting>
  <conditionalFormatting sqref="CE836">
    <cfRule type="cellIs" dxfId="2465" priority="78" operator="between">
      <formula>-0.04</formula>
      <formula>-1</formula>
    </cfRule>
  </conditionalFormatting>
  <conditionalFormatting sqref="CE834:CE835">
    <cfRule type="cellIs" dxfId="2464" priority="77" operator="between">
      <formula>-0.04</formula>
      <formula>-1</formula>
    </cfRule>
  </conditionalFormatting>
  <conditionalFormatting sqref="CE1117:CE1118">
    <cfRule type="cellIs" dxfId="2463" priority="72" operator="between">
      <formula>-0.04</formula>
      <formula>-1</formula>
    </cfRule>
  </conditionalFormatting>
  <conditionalFormatting sqref="BM1117">
    <cfRule type="cellIs" dxfId="2462" priority="71" operator="between">
      <formula>8</formula>
      <formula>60</formula>
    </cfRule>
  </conditionalFormatting>
  <conditionalFormatting sqref="BM1118">
    <cfRule type="cellIs" dxfId="2461" priority="70" operator="between">
      <formula>8</formula>
      <formula>60</formula>
    </cfRule>
  </conditionalFormatting>
  <conditionalFormatting sqref="CE843">
    <cfRule type="cellIs" dxfId="2460" priority="69" operator="between">
      <formula>-0.04</formula>
      <formula>-1</formula>
    </cfRule>
  </conditionalFormatting>
  <conditionalFormatting sqref="BM839:BM845">
    <cfRule type="cellIs" dxfId="2459" priority="57" operator="between">
      <formula>8</formula>
      <formula>60</formula>
    </cfRule>
  </conditionalFormatting>
  <conditionalFormatting sqref="CE844 CE852">
    <cfRule type="cellIs" dxfId="2458" priority="68" operator="between">
      <formula>-0.04</formula>
      <formula>-1</formula>
    </cfRule>
  </conditionalFormatting>
  <conditionalFormatting sqref="CE842">
    <cfRule type="cellIs" dxfId="2457" priority="67" operator="between">
      <formula>-0.04</formula>
      <formula>-1</formula>
    </cfRule>
  </conditionalFormatting>
  <conditionalFormatting sqref="CE840:CE841">
    <cfRule type="cellIs" dxfId="2456" priority="66" operator="between">
      <formula>-0.04</formula>
      <formula>-1</formula>
    </cfRule>
  </conditionalFormatting>
  <conditionalFormatting sqref="BM838">
    <cfRule type="cellIs" dxfId="2455" priority="65" operator="between">
      <formula>8</formula>
      <formula>60</formula>
    </cfRule>
  </conditionalFormatting>
  <conditionalFormatting sqref="CE838:CE839">
    <cfRule type="cellIs" dxfId="2454" priority="64" operator="between">
      <formula>-0.04</formula>
      <formula>-1</formula>
    </cfRule>
  </conditionalFormatting>
  <conditionalFormatting sqref="CE850">
    <cfRule type="cellIs" dxfId="2453" priority="63" operator="between">
      <formula>-0.04</formula>
      <formula>-1</formula>
    </cfRule>
  </conditionalFormatting>
  <conditionalFormatting sqref="CE851">
    <cfRule type="cellIs" dxfId="2452" priority="62" operator="between">
      <formula>-0.04</formula>
      <formula>-1</formula>
    </cfRule>
  </conditionalFormatting>
  <conditionalFormatting sqref="CE849">
    <cfRule type="cellIs" dxfId="2451" priority="61" operator="between">
      <formula>-0.04</formula>
      <formula>-1</formula>
    </cfRule>
  </conditionalFormatting>
  <conditionalFormatting sqref="CE847:CE848">
    <cfRule type="cellIs" dxfId="2450" priority="60" operator="between">
      <formula>-0.04</formula>
      <formula>-1</formula>
    </cfRule>
  </conditionalFormatting>
  <conditionalFormatting sqref="BM846">
    <cfRule type="cellIs" dxfId="2449" priority="59" operator="between">
      <formula>8</formula>
      <formula>60</formula>
    </cfRule>
  </conditionalFormatting>
  <conditionalFormatting sqref="CE845:CE846">
    <cfRule type="cellIs" dxfId="2448" priority="58" operator="between">
      <formula>-0.04</formula>
      <formula>-1</formula>
    </cfRule>
  </conditionalFormatting>
  <conditionalFormatting sqref="CE987:CE993">
    <cfRule type="cellIs" dxfId="2447" priority="45" operator="between">
      <formula>-0.04</formula>
      <formula>-1</formula>
    </cfRule>
  </conditionalFormatting>
  <conditionalFormatting sqref="BM993">
    <cfRule type="cellIs" dxfId="2446" priority="43" operator="between">
      <formula>8</formula>
      <formula>60</formula>
    </cfRule>
  </conditionalFormatting>
  <conditionalFormatting sqref="BM847:BM852">
    <cfRule type="cellIs" dxfId="2445" priority="50" operator="between">
      <formula>8</formula>
      <formula>60</formula>
    </cfRule>
  </conditionalFormatting>
  <conditionalFormatting sqref="BM987:BM990 BM992">
    <cfRule type="cellIs" dxfId="2444" priority="46" operator="between">
      <formula>8</formula>
      <formula>60</formula>
    </cfRule>
  </conditionalFormatting>
  <conditionalFormatting sqref="BM991">
    <cfRule type="cellIs" dxfId="2443" priority="44" operator="between">
      <formula>8</formula>
      <formula>60</formula>
    </cfRule>
  </conditionalFormatting>
  <conditionalFormatting sqref="BM1119">
    <cfRule type="cellIs" dxfId="2442" priority="42" operator="between">
      <formula>8</formula>
      <formula>60</formula>
    </cfRule>
  </conditionalFormatting>
  <conditionalFormatting sqref="CE1119:CE1120">
    <cfRule type="cellIs" dxfId="2441" priority="41" operator="between">
      <formula>-0.04</formula>
      <formula>-1</formula>
    </cfRule>
  </conditionalFormatting>
  <conditionalFormatting sqref="BM1120">
    <cfRule type="cellIs" dxfId="2440" priority="40" operator="between">
      <formula>8</formula>
      <formula>60</formula>
    </cfRule>
  </conditionalFormatting>
  <conditionalFormatting sqref="BM721">
    <cfRule type="cellIs" dxfId="2439" priority="39" operator="between">
      <formula>8</formula>
      <formula>60</formula>
    </cfRule>
  </conditionalFormatting>
  <conditionalFormatting sqref="CE721:CE723">
    <cfRule type="cellIs" dxfId="2438" priority="38" operator="between">
      <formula>-0.04</formula>
      <formula>-1</formula>
    </cfRule>
  </conditionalFormatting>
  <conditionalFormatting sqref="CE724">
    <cfRule type="cellIs" dxfId="2437" priority="37" operator="between">
      <formula>-0.04</formula>
      <formula>-1</formula>
    </cfRule>
  </conditionalFormatting>
  <conditionalFormatting sqref="BM722:BM724">
    <cfRule type="cellIs" dxfId="2436" priority="33" operator="between">
      <formula>8</formula>
      <formula>60</formula>
    </cfRule>
  </conditionalFormatting>
  <conditionalFormatting sqref="CE300">
    <cfRule type="cellIs" dxfId="2435" priority="31" operator="between">
      <formula>-0.04</formula>
      <formula>-1</formula>
    </cfRule>
  </conditionalFormatting>
  <conditionalFormatting sqref="BM300">
    <cfRule type="cellIs" dxfId="2434" priority="30" operator="between">
      <formula>8</formula>
      <formula>60</formula>
    </cfRule>
  </conditionalFormatting>
  <conditionalFormatting sqref="CE552:CE553">
    <cfRule type="cellIs" dxfId="2433" priority="29" operator="between">
      <formula>-0.04</formula>
      <formula>-1</formula>
    </cfRule>
  </conditionalFormatting>
  <conditionalFormatting sqref="BM553">
    <cfRule type="cellIs" dxfId="2432" priority="27" operator="between">
      <formula>8</formula>
      <formula>60</formula>
    </cfRule>
  </conditionalFormatting>
  <conditionalFormatting sqref="BM552">
    <cfRule type="cellIs" dxfId="2431" priority="28" operator="between">
      <formula>8</formula>
      <formula>60</formula>
    </cfRule>
  </conditionalFormatting>
  <conditionalFormatting sqref="BM994 BM996">
    <cfRule type="cellIs" dxfId="2430" priority="26" operator="between">
      <formula>8</formula>
      <formula>60</formula>
    </cfRule>
  </conditionalFormatting>
  <conditionalFormatting sqref="CE994:CE996">
    <cfRule type="cellIs" dxfId="2429" priority="25" operator="between">
      <formula>-0.04</formula>
      <formula>-1</formula>
    </cfRule>
  </conditionalFormatting>
  <conditionalFormatting sqref="BM995">
    <cfRule type="cellIs" dxfId="2428" priority="24" operator="between">
      <formula>8</formula>
      <formula>60</formula>
    </cfRule>
  </conditionalFormatting>
  <conditionalFormatting sqref="BM997:BM1002">
    <cfRule type="cellIs" dxfId="2427" priority="23" operator="between">
      <formula>8</formula>
      <formula>60</formula>
    </cfRule>
  </conditionalFormatting>
  <conditionalFormatting sqref="CE997:CE998">
    <cfRule type="cellIs" dxfId="2426" priority="22" operator="between">
      <formula>-0.04</formula>
      <formula>-1</formula>
    </cfRule>
  </conditionalFormatting>
  <conditionalFormatting sqref="BM999:BM1000">
    <cfRule type="cellIs" dxfId="2425" priority="21" operator="between">
      <formula>8</formula>
      <formula>60</formula>
    </cfRule>
  </conditionalFormatting>
  <conditionalFormatting sqref="CE999:CE1000">
    <cfRule type="cellIs" dxfId="2424" priority="20" operator="between">
      <formula>-0.04</formula>
      <formula>-1</formula>
    </cfRule>
  </conditionalFormatting>
  <conditionalFormatting sqref="BM1001:BM1002 BM1004">
    <cfRule type="cellIs" dxfId="2423" priority="19" operator="between">
      <formula>8</formula>
      <formula>60</formula>
    </cfRule>
  </conditionalFormatting>
  <conditionalFormatting sqref="CE1001:CE1005">
    <cfRule type="cellIs" dxfId="2422" priority="18" operator="between">
      <formula>-0.04</formula>
      <formula>-1</formula>
    </cfRule>
  </conditionalFormatting>
  <conditionalFormatting sqref="BM1003">
    <cfRule type="cellIs" dxfId="2421" priority="17" operator="between">
      <formula>8</formula>
      <formula>60</formula>
    </cfRule>
  </conditionalFormatting>
  <conditionalFormatting sqref="BM1003">
    <cfRule type="cellIs" dxfId="2420" priority="16" operator="between">
      <formula>8</formula>
      <formula>60</formula>
    </cfRule>
  </conditionalFormatting>
  <conditionalFormatting sqref="BM1005">
    <cfRule type="cellIs" dxfId="2419" priority="15" operator="between">
      <formula>8</formula>
      <formula>60</formula>
    </cfRule>
  </conditionalFormatting>
  <conditionalFormatting sqref="BM725:BM726">
    <cfRule type="cellIs" dxfId="2418" priority="14" operator="between">
      <formula>8</formula>
      <formula>60</formula>
    </cfRule>
  </conditionalFormatting>
  <conditionalFormatting sqref="CE725:CE726">
    <cfRule type="cellIs" dxfId="2417" priority="13" operator="between">
      <formula>-0.04</formula>
      <formula>-1</formula>
    </cfRule>
  </conditionalFormatting>
  <conditionalFormatting sqref="BM1122">
    <cfRule type="cellIs" dxfId="2416" priority="12" operator="between">
      <formula>8</formula>
      <formula>60</formula>
    </cfRule>
  </conditionalFormatting>
  <conditionalFormatting sqref="CE1122">
    <cfRule type="cellIs" dxfId="2415" priority="11" operator="between">
      <formula>-0.04</formula>
      <formula>-1</formula>
    </cfRule>
  </conditionalFormatting>
  <conditionalFormatting sqref="BM688">
    <cfRule type="cellIs" dxfId="2414" priority="10" operator="between">
      <formula>8</formula>
      <formula>60</formula>
    </cfRule>
  </conditionalFormatting>
  <conditionalFormatting sqref="CE688">
    <cfRule type="cellIs" dxfId="2413" priority="9" operator="between">
      <formula>-0.04</formula>
      <formula>-1</formula>
    </cfRule>
  </conditionalFormatting>
  <conditionalFormatting sqref="BM301">
    <cfRule type="cellIs" dxfId="2412" priority="8" operator="between">
      <formula>8</formula>
      <formula>60</formula>
    </cfRule>
  </conditionalFormatting>
  <conditionalFormatting sqref="CE301">
    <cfRule type="cellIs" dxfId="2411" priority="7" operator="between">
      <formula>-0.04</formula>
      <formula>-1</formula>
    </cfRule>
  </conditionalFormatting>
  <conditionalFormatting sqref="BM1123">
    <cfRule type="cellIs" dxfId="2410" priority="6" operator="between">
      <formula>8</formula>
      <formula>60</formula>
    </cfRule>
  </conditionalFormatting>
  <conditionalFormatting sqref="CE1123">
    <cfRule type="cellIs" dxfId="2409" priority="5" operator="between">
      <formula>-0.04</formula>
      <formula>-1</formula>
    </cfRule>
  </conditionalFormatting>
  <conditionalFormatting sqref="BM375:BM380">
    <cfRule type="cellIs" dxfId="2408" priority="4" operator="between">
      <formula>8</formula>
      <formula>60</formula>
    </cfRule>
  </conditionalFormatting>
  <conditionalFormatting sqref="CE375:CE380">
    <cfRule type="cellIs" dxfId="2407" priority="3" operator="between">
      <formula>-0.04</formula>
      <formula>-1</formula>
    </cfRule>
  </conditionalFormatting>
  <conditionalFormatting sqref="CE1086">
    <cfRule type="cellIs" dxfId="2406" priority="2" operator="between">
      <formula>-0.04</formula>
      <formula>-1</formula>
    </cfRule>
  </conditionalFormatting>
  <conditionalFormatting sqref="BM1086">
    <cfRule type="cellIs" dxfId="2405" priority="1" operator="between">
      <formula>8</formula>
      <formula>60</formula>
    </cfRule>
  </conditionalFormatting>
  <dataValidations count="36">
    <dataValidation type="list" allowBlank="1" showInputMessage="1" showErrorMessage="1" sqref="A1124:A1140 A853:A871 A819:A823 A712:A716 A645:A660 A803:A807 A704:A707 A764:A778 A968:A978 A874:A887 A1071:A1078 A727:A745 A1006:A1020 A963:A965 A663:A670 A1109:A1116 A1121 A673:A687 A689:A693" xr:uid="{00000000-0002-0000-0300-000000000000}">
      <formula1>$A$556:$A$577</formula1>
    </dataValidation>
    <dataValidation type="list" allowBlank="1" showInputMessage="1" showErrorMessage="1" sqref="D727:D750 D853:D871 D819:D823 D1124:D1140 D645:D660 D714:D716 D803:D807 D704:D707 D754:D778 D968:D978 D874:D887 D1071:D1078 D1006:D1020 D963:D965 D663:D670 D1109:D1116 D673:D687 D689:D693" xr:uid="{00000000-0002-0000-0300-000001000000}">
      <formula1>$O$556:$O$618</formula1>
    </dataValidation>
    <dataValidation type="list" allowBlank="1" showInputMessage="1" showErrorMessage="1" sqref="CF727:CF750 CF853:CF871 CF819:CF823 CF712:CF716 CF645:CF660 CF1124:CF1140 CF803:CF807 CF704:CF707 CF754:CF778 CF968:CF978 CF874:CF887 CF1071:CF1078 CF1006:CF1020 CF963:CF965 CF663:CF670 CF1109:CF1116 CF1121 CF673:CF687 CF689:CF693" xr:uid="{00000000-0002-0000-0300-000002000000}">
      <formula1>$A$587:$A$631</formula1>
    </dataValidation>
    <dataValidation type="list" allowBlank="1" showInputMessage="1" showErrorMessage="1" sqref="D627:D641" xr:uid="{00000000-0002-0000-0300-000003000000}">
      <formula1>$O$1563:$O$1600</formula1>
    </dataValidation>
    <dataValidation type="list" allowBlank="1" showInputMessage="1" showErrorMessage="1" sqref="CF627:CF641" xr:uid="{00000000-0002-0000-0300-000004000000}">
      <formula1>$A$1592:$A$1617</formula1>
    </dataValidation>
    <dataValidation type="list" allowBlank="1" showInputMessage="1" showErrorMessage="1" sqref="A642:A644 A1043:A1050 A1021:A1023 A872:A873 A888:A889 A694:A699" xr:uid="{00000000-0002-0000-0300-000005000000}">
      <formula1>$A$503:$A$559</formula1>
    </dataValidation>
    <dataValidation type="list" allowBlank="1" showInputMessage="1" showErrorMessage="1" sqref="D888:D889 D1021:D1023 D1043:D1045 D872:D873 D694:D699 D642:D644" xr:uid="{00000000-0002-0000-0300-000006000000}">
      <formula1>$O$503:$O$579</formula1>
    </dataValidation>
    <dataValidation type="list" allowBlank="1" showInputMessage="1" showErrorMessage="1" sqref="CF694:CF699 CF1043:CF1050 CF1021:CF1023 CF872:CF873 CF888:CF889 CF642:CF644" xr:uid="{00000000-0002-0000-0300-000007000000}">
      <formula1>$A$576:$A$620</formula1>
    </dataValidation>
    <dataValidation type="list" allowBlank="1" showInputMessage="1" showErrorMessage="1" sqref="A1079:A1080" xr:uid="{00000000-0002-0000-0300-000008000000}">
      <formula1>$A$386:$A$397</formula1>
    </dataValidation>
    <dataValidation type="list" allowBlank="1" showInputMessage="1" showErrorMessage="1" sqref="CF1079:CF1080" xr:uid="{00000000-0002-0000-0300-000009000000}">
      <formula1>$A$407:$A$449</formula1>
    </dataValidation>
    <dataValidation type="list" allowBlank="1" showInputMessage="1" showErrorMessage="1" sqref="CG620:CG641 CG853:CG871 CG819:CG823 CG1124:CG1140 CG1006:CG1020 CG601:CG608 CG968:CG978 CG803:CG807 CG704:CG707 CG754:CG778 CG568:CG579 CG645:CG658 CG554:CG560 CG874:CG887 CG180:CG186 CG526:CG531 CG727:CG750 CG434:CG448 CG714:CG716 CG1071:CG1078 CG663:CG670 CG1109:CG1116 CG673:CG687 CG689:CG693" xr:uid="{00000000-0002-0000-0300-00000A000000}">
      <formula1>$O$441:$O$557</formula1>
    </dataValidation>
    <dataValidation type="list" allowBlank="1" showInputMessage="1" showErrorMessage="1" sqref="A499:A531 A180:A186 A351:A367 A316:A325 A251:A254 A302:A305 A170:A171 A554:A560 A434:A448 A263:A268 A291:A299 A550:A551 A373:A374 A381:A388" xr:uid="{00000000-0002-0000-0300-00000B000000}">
      <formula1>$A$374:$A$391</formula1>
    </dataValidation>
    <dataValidation type="list" allowBlank="1" showInputMessage="1" showErrorMessage="1" sqref="D513:D517 D170:D171 D381:D388 D291 D263:D268 D434:D448 D362:D367 D180:D186 D320:D325 D302:D305 D251:D254 D519:D531 D499:D502 D504:D505 D508 D351:D356 D293:D299 D550:D551 D554:D560" xr:uid="{00000000-0002-0000-0300-00000C000000}">
      <formula1>$O$374:$O$406</formula1>
    </dataValidation>
    <dataValidation type="list" allowBlank="1" showInputMessage="1" showErrorMessage="1" sqref="CF263:CF268 CF351:CF367 CF320:CF325 CF180:CF186 CF434:CF448 CF302:CF305 CF554:CF560 CF503:CF531 CF373:CF374 CF381:CF388" xr:uid="{00000000-0002-0000-0300-00000D000000}">
      <formula1>$A$403:$A$443</formula1>
    </dataValidation>
    <dataValidation type="list" allowBlank="1" showInputMessage="1" showErrorMessage="1" sqref="A1088:A1092 A1064:A1067" xr:uid="{00000000-0002-0000-0300-00000E000000}">
      <formula1>$A$127:$A$139</formula1>
    </dataValidation>
    <dataValidation type="list" allowBlank="1" showInputMessage="1" showErrorMessage="1" sqref="CF1088:CF1092 CF1064:CF1067" xr:uid="{00000000-0002-0000-0300-00000F000000}">
      <formula1>$A$149:$A$171</formula1>
    </dataValidation>
    <dataValidation type="list" allowBlank="1" showInputMessage="1" showErrorMessage="1" sqref="D1088:D1090 D1092" xr:uid="{00000000-0002-0000-0300-000010000000}">
      <formula1>$O$127:$O$152</formula1>
    </dataValidation>
    <dataValidation type="list" allowBlank="1" showInputMessage="1" showErrorMessage="1" sqref="CG659:CG662" xr:uid="{00000000-0002-0000-0300-000011000000}">
      <formula1>$O$187:$O$241</formula1>
    </dataValidation>
    <dataValidation type="list" allowBlank="1" showInputMessage="1" showErrorMessage="1" sqref="A751:A753" xr:uid="{00000000-0002-0000-0300-000012000000}">
      <formula1>$A$142:$A$158</formula1>
    </dataValidation>
    <dataValidation type="list" allowBlank="1" showInputMessage="1" showErrorMessage="1" sqref="CF912:CF962 CF979:CF984" xr:uid="{00000000-0002-0000-0300-000013000000}">
      <formula1>$A$145:$A$161</formula1>
    </dataValidation>
    <dataValidation type="list" allowBlank="1" showInputMessage="1" showErrorMessage="1" sqref="A912:A962 A979:A984" xr:uid="{00000000-0002-0000-0300-000014000000}">
      <formula1>$A$121:$A$135</formula1>
    </dataValidation>
    <dataValidation type="list" allowBlank="1" showInputMessage="1" showErrorMessage="1" sqref="A1094:A1100" xr:uid="{00000000-0002-0000-0300-000015000000}">
      <formula1>$A$314:$A$331</formula1>
    </dataValidation>
    <dataValidation type="list" allowBlank="1" showInputMessage="1" showErrorMessage="1" sqref="CF1094:CF1100" xr:uid="{00000000-0002-0000-0300-000016000000}">
      <formula1>$A$343:$A$374</formula1>
    </dataValidation>
    <dataValidation type="list" allowBlank="1" showInputMessage="1" showErrorMessage="1" sqref="A601:A608 A618:A626" xr:uid="{00000000-0002-0000-0300-000017000000}">
      <formula1>$A$149:$A$163</formula1>
    </dataValidation>
    <dataValidation type="list" allowBlank="1" showInputMessage="1" showErrorMessage="1" sqref="D601:D608 D618:D626" xr:uid="{00000000-0002-0000-0300-000018000000}">
      <formula1>$O$149:$O$176</formula1>
    </dataValidation>
    <dataValidation type="list" allowBlank="1" showInputMessage="1" showErrorMessage="1" sqref="CF601:CF608 CF620:CF626" xr:uid="{00000000-0002-0000-0300-000019000000}">
      <formula1>$A$173:$A$189</formula1>
    </dataValidation>
    <dataValidation type="list" allowBlank="1" showInputMessage="1" showErrorMessage="1" sqref="A754:A763" xr:uid="{00000000-0002-0000-0300-00001A000000}">
      <formula1>$A$149:$A$165</formula1>
    </dataValidation>
    <dataValidation type="list" allowBlank="1" showInputMessage="1" showErrorMessage="1" sqref="D39" xr:uid="{00000000-0002-0000-0300-00001B000000}">
      <formula1>$O$89:$O$106</formula1>
    </dataValidation>
    <dataValidation type="list" allowBlank="1" showInputMessage="1" showErrorMessage="1" sqref="A38:A39" xr:uid="{00000000-0002-0000-0300-00001C000000}">
      <formula1>$A$89:$A$97</formula1>
    </dataValidation>
    <dataValidation type="list" allowBlank="1" showInputMessage="1" showErrorMessage="1" sqref="A1024:A1040" xr:uid="{00000000-0002-0000-0300-00001D000000}">
      <formula1>$A$243:$A$256</formula1>
    </dataValidation>
    <dataValidation type="list" allowBlank="1" showInputMessage="1" showErrorMessage="1" sqref="CF1024:CF1040" xr:uid="{00000000-0002-0000-0300-00001E000000}">
      <formula1>$A$336:$A$421</formula1>
    </dataValidation>
    <dataValidation type="list" allowBlank="1" showInputMessage="1" showErrorMessage="1" sqref="A1070" xr:uid="{00000000-0002-0000-0300-00001F000000}">
      <formula1>$A$99:$A$113</formula1>
    </dataValidation>
    <dataValidation type="list" allowBlank="1" showInputMessage="1" showErrorMessage="1" sqref="A661:A662 A987:A993 A717:A724 A824:A852" xr:uid="{00000000-0002-0000-0300-000020000000}">
      <formula1>$A$86:$A$101</formula1>
    </dataValidation>
    <dataValidation type="list" allowBlank="1" showInputMessage="1" showErrorMessage="1" sqref="CF661:CF662 CF987:CF993 CF717:CF724 CF824:CF852" xr:uid="{00000000-0002-0000-0300-000021000000}">
      <formula1>$A$110:$A$125</formula1>
    </dataValidation>
    <dataValidation type="list" allowBlank="1" showInputMessage="1" showErrorMessage="1" sqref="D987 D717:D724 D989:D993 D824:D852" xr:uid="{00000000-0002-0000-0300-000022000000}">
      <formula1>$O$86:$O$112</formula1>
    </dataValidation>
    <dataValidation type="list" allowBlank="1" showInputMessage="1" showErrorMessage="1" sqref="CG362:CG367 CG382:CG388 CG320:CG325 CG302:CG305" xr:uid="{00000000-0002-0000-0300-000023000000}">
      <formula1>$O$322:$O$402</formula1>
    </dataValidation>
  </dataValidations>
  <pageMargins left="0.16" right="0.15" top="0.13" bottom="0.17" header="0.13" footer="0.17"/>
  <pageSetup paperSize="9" orientation="landscape" verticalDpi="1200" r:id="rId1"/>
  <headerFooter>
    <oddFooter>&amp;RPage &amp;P</oddFooter>
  </headerFooter>
  <drawing r:id="rId2"/>
  <legacyDrawing r:id="rId3"/>
  <controls>
    <mc:AlternateContent xmlns:mc="http://schemas.openxmlformats.org/markup-compatibility/2006">
      <mc:Choice Requires="x14">
        <control shapeId="62465" r:id="rId4" name="btnDyeingLogic">
          <controlPr defaultSize="0" print="0" autoLine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1</xdr:col>
                <xdr:colOff>466725</xdr:colOff>
                <xdr:row>1</xdr:row>
                <xdr:rowOff>114300</xdr:rowOff>
              </to>
            </anchor>
          </controlPr>
        </control>
      </mc:Choice>
      <mc:Fallback>
        <control shapeId="62465" r:id="rId4" name="btnDyeingLogic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00000000-0002-0000-0300-000024000000}">
          <x14:formula1>
            <xm:f>Summary!$O$217:$O$255</xm:f>
          </x14:formula1>
          <xm:sqref>CG263:CG268</xm:sqref>
        </x14:dataValidation>
        <x14:dataValidation type="list" allowBlank="1" showInputMessage="1" showErrorMessage="1" xr:uid="{00000000-0002-0000-0300-000025000000}">
          <x14:formula1>
            <xm:f>Summary!$A$179:$A$194</xm:f>
          </x14:formula1>
          <xm:sqref>A627:A641</xm:sqref>
        </x14:dataValidation>
        <x14:dataValidation type="list" allowBlank="1" showInputMessage="1" showErrorMessage="1" xr:uid="{00000000-0002-0000-0300-000026000000}">
          <x14:formula1>
            <xm:f>Summary!$A$179:$A$193</xm:f>
          </x14:formula1>
          <xm:sqref>A568:A587</xm:sqref>
        </x14:dataValidation>
        <x14:dataValidation type="list" allowBlank="1" showInputMessage="1" showErrorMessage="1" xr:uid="{00000000-0002-0000-0300-000027000000}">
          <x14:formula1>
            <xm:f>Summary!$O$179:$O$206</xm:f>
          </x14:formula1>
          <xm:sqref>D568:D587</xm:sqref>
        </x14:dataValidation>
        <x14:dataValidation type="list" allowBlank="1" showInputMessage="1" showErrorMessage="1" xr:uid="{00000000-0002-0000-0300-000028000000}">
          <x14:formula1>
            <xm:f>Summary!$A$203:$A$219</xm:f>
          </x14:formula1>
          <xm:sqref>CF568:CF579</xm:sqref>
        </x14:dataValidation>
        <x14:dataValidation type="list" allowBlank="1" showInputMessage="1" showErrorMessage="1" xr:uid="{00000000-0002-0000-0300-000029000000}">
          <x14:formula1>
            <xm:f>'C:\Users\salman\Desktop\[New Posting.xlsm]Summary'!#REF!</xm:f>
          </x14:formula1>
          <xm:sqref>D81:D101 D210:D234 CG694:CG699 D272:D285 D1064:D1067 CG872:CG873 A81:A101 CG642:CG644 A210:A234 A272:A285 D187 D396:D407 CG1079:CG1080 A187 A396:A407 D1094:D1100 CF187:CG187 CF396:CG407 D1079:D1080 CF81:CG101 CF210:CG234 CF272:CG285 D450:D451 D1046 CG1043:CG1050 CG824:CG852 D1091 CG1088:CG1092 D481:D496 CG888:CG889 CG912:CG962 D979:D984 D912:D962 CF300:CG300 D503 D506:D507 D600 D432:D433 A600 A432:A433 CF600:CG600 CF432:CG433 A300 CG503:CG525 A481:A496 D534:D549 CF481:CG496 A534:A549 CG1070 CF619:CG619 CG1094:CG1100 D661:D662 CG979:CG984 D518 CF8:CG9 A8:A9 D8:D9 CF40:CG62 A40:A62 D40:D62 A202:A206 CF202:CG206 D300 D191:D192 CF191:CG192 A191:A192 A12:A29 CF12:CG29 D12:D29 A450:A451 CF450:CG451 D509:D512 CG1021:CG1040 D1024:D1040 D1049:D1050 D988 CG717:CG724 CG1121 CF534:CG551 CG987:CG993 D202:D204 D206 D34 CG1064:CG1067</xm:sqref>
        </x14:dataValidation>
        <x14:dataValidation type="list" allowBlank="1" showInputMessage="1" showErrorMessage="1" xr:uid="{00000000-0002-0000-0300-00002A000000}">
          <x14:formula1>
            <xm:f>'C:\Users\shekor\Desktop\[New Job Posting.xlsm]Summary'!#REF!</xm:f>
          </x14:formula1>
          <xm:sqref>A389:A395 CF389:CG395 CF193:CG201 A985:A986 CF269:CG271 A1093 CF1051:CG1063 D1051:D1063 A1051:A1063 D269:D271 A269:A271 A30:A37 D102:D169 A1068:A1069 A102:A169 A286:A290 CF751:CG753 A552:A553 D255:D262 CF779:CG802 CF532:CG533 D532:D533 A588:A599 D751:D753 A408:A431 D286:D290 A700:A703 CF700:CG703 CG712:CG713 D700:D703 CF63:CG80 A306:A315 A172:A179 A609:A617 CF306:CG319 CF102:CG179 CF609:CG618 D609:D617 A63:A80 CG1068:CG1069 D306:D319 D561:D567 D172:D179 CF671:CG672 CF580:CG599 D452:D480 CF408:CG431 D588:D599 A255:A262 D890:D911 A890:A911 A452:A480 D408:D431 D389:D395 D292 D708:D713 A532:A533 CF890:CG911 A708:A711 CF708:CG711 A561:A567 CF561:CG567 D326:D350 CF985:CG986 A368:A372 CF368:CG372 CF1101:CG1108 D671:D672 CG381 A326:A350 CF326:CG350 D779:D802 A779:A802 A497:A498 A808:A818 CF497:CG502 CF808:CG818 D1047:D1048 CG963:CG965 D497:D498 D808:D818 CF1093:CG1093 D35:D38 D1093 D10:D11 CF10:CG11 A10:A11 CF30:CG39 A207:A209 CF207:CG209 A193:A201 D193:D201 D207:D209 D188:D190 A188:A190 CF188:CG190 A449 D449 CF449:CG449 CF452:CG480 A1041:A1042 D1041:D1042 CF1041:CG1042 D63:D80 A966:A967 CF966:CG967 A1101:A1108 D966:D967 D1070 CF1068:CF1070 D985:D986 A671:A672 CG351:CG361 D357:D361 D1117:D1123 D1101:D1108 A1117:A1120 CF1117:CG1120 D994:D1005 CF286:CG299 D552:D553 CF552:CG553 CF994:CG1005 A994:A1005 A725:A726 CF725:CG726 D368:D380 D235:D250 D688 A688 CF688:CG688 D205 A301 A1122:A1123 CF301:CG301 CF1122:CG1123 CF235:CG262 A235:A250 D301 CG373:CG374 A375:A380 CF375:CG380 D725:D726 D30:D33 D1082:D1087 CF1081:CG1087 A1081:A1087</xm:sqref>
        </x14:dataValidation>
        <x14:dataValidation type="list" allowBlank="1" showInputMessage="1" showErrorMessage="1" xr:uid="{00000000-0002-0000-0300-00002B000000}">
          <x14:formula1>
            <xm:f>Summary!$A$179:$A$195</xm:f>
          </x14:formula1>
          <xm:sqref>A746:A750</xm:sqref>
        </x14:dataValidation>
        <x14:dataValidation type="list" allowBlank="1" showInputMessage="1" showErrorMessage="1" xr:uid="{00000000-0002-0000-0300-00002C000000}">
          <x14:formula1>
            <xm:f>Summary!$O$179:$O$214</xm:f>
          </x14:formula1>
          <xm:sqref>D1081</xm:sqref>
        </x14:dataValidation>
        <x14:dataValidation type="list" allowBlank="1" showInputMessage="1" showErrorMessage="1" xr:uid="{00000000-0002-0000-0300-00002D000000}">
          <x14:formula1>
            <xm:f>Summary!$C$179:$C$186</xm:f>
          </x14:formula1>
          <xm:sqref>S7:S1140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EQ1771"/>
  <sheetViews>
    <sheetView showGridLines="0" tabSelected="1" view="pageBreakPreview" zoomScaleNormal="100" zoomScaleSheetLayoutView="100" workbookViewId="0">
      <pane xSplit="12" ySplit="7" topLeftCell="M12" activePane="bottomRight" state="frozen"/>
      <selection pane="topRight" activeCell="M1" sqref="M1"/>
      <selection pane="bottomLeft" activeCell="A8" sqref="A8"/>
      <selection pane="bottomRight" activeCell="C8" sqref="C8:C11"/>
    </sheetView>
  </sheetViews>
  <sheetFormatPr defaultColWidth="9.140625" defaultRowHeight="12" customHeight="1"/>
  <cols>
    <col min="1" max="1" width="13.85546875" style="6" customWidth="1"/>
    <col min="2" max="2" width="13.140625" style="33" customWidth="1"/>
    <col min="3" max="3" width="14.5703125" style="6" customWidth="1"/>
    <col min="4" max="4" width="12.42578125" style="6" customWidth="1"/>
    <col min="5" max="5" width="4.5703125" style="6" customWidth="1"/>
    <col min="6" max="6" width="4" style="6" customWidth="1"/>
    <col min="7" max="7" width="19.42578125" style="107" customWidth="1"/>
    <col min="8" max="8" width="9.7109375" style="6" customWidth="1"/>
    <col min="9" max="9" width="6.5703125" style="6" customWidth="1"/>
    <col min="10" max="10" width="5" style="6" customWidth="1"/>
    <col min="11" max="11" width="4.85546875" style="6" customWidth="1"/>
    <col min="12" max="12" width="7.5703125" style="20" customWidth="1"/>
    <col min="13" max="14" width="6.85546875" style="6" customWidth="1"/>
    <col min="15" max="15" width="6.5703125" style="6" hidden="1" customWidth="1"/>
    <col min="16" max="16" width="6" style="6" hidden="1" customWidth="1"/>
    <col min="17" max="17" width="4.42578125" style="6" hidden="1" customWidth="1"/>
    <col min="18" max="18" width="6.28515625" style="20" hidden="1" customWidth="1"/>
    <col min="19" max="19" width="9.28515625" style="6" customWidth="1"/>
    <col min="20" max="20" width="8.28515625" style="6" customWidth="1"/>
    <col min="21" max="21" width="7.28515625" style="17" customWidth="1"/>
    <col min="22" max="22" width="6.7109375" style="17" customWidth="1"/>
    <col min="23" max="23" width="6.5703125" style="6" customWidth="1"/>
    <col min="24" max="24" width="7.85546875" style="17" customWidth="1"/>
    <col min="25" max="25" width="6.5703125" style="6" customWidth="1"/>
    <col min="26" max="26" width="5.28515625" style="6" customWidth="1"/>
    <col min="27" max="27" width="4.42578125" style="6" customWidth="1"/>
    <col min="28" max="28" width="6.7109375" style="6" customWidth="1"/>
    <col min="29" max="29" width="9.28515625" style="6" customWidth="1"/>
    <col min="30" max="30" width="6.7109375" style="17" customWidth="1"/>
    <col min="31" max="31" width="6.5703125" style="6" customWidth="1"/>
    <col min="32" max="32" width="6.7109375" style="17" customWidth="1"/>
    <col min="33" max="33" width="7.140625" style="6" customWidth="1"/>
    <col min="34" max="34" width="7.7109375" style="6" customWidth="1"/>
    <col min="35" max="35" width="9.28515625" style="6" customWidth="1"/>
    <col min="36" max="36" width="6.7109375" style="17" customWidth="1"/>
    <col min="37" max="37" width="6.5703125" style="6" customWidth="1"/>
    <col min="38" max="38" width="6.7109375" style="17" customWidth="1"/>
    <col min="39" max="39" width="7.140625" style="6" customWidth="1"/>
    <col min="40" max="40" width="7.7109375" style="6" customWidth="1"/>
    <col min="41" max="41" width="9.28515625" style="6" customWidth="1"/>
    <col min="42" max="42" width="6.7109375" style="17" customWidth="1"/>
    <col min="43" max="43" width="6.5703125" style="6" customWidth="1"/>
    <col min="44" max="44" width="6.7109375" style="17" customWidth="1"/>
    <col min="45" max="45" width="7.140625" style="6" customWidth="1"/>
    <col min="46" max="46" width="7.7109375" style="6" customWidth="1"/>
    <col min="47" max="47" width="9.28515625" style="6" customWidth="1"/>
    <col min="48" max="48" width="6.7109375" style="17" customWidth="1"/>
    <col min="49" max="49" width="6.5703125" style="6" customWidth="1"/>
    <col min="50" max="50" width="6.7109375" style="17" customWidth="1"/>
    <col min="51" max="51" width="7.140625" style="6" customWidth="1"/>
    <col min="52" max="52" width="7.7109375" style="6" customWidth="1"/>
    <col min="53" max="53" width="9.28515625" style="6" customWidth="1"/>
    <col min="54" max="54" width="6.7109375" style="17" customWidth="1"/>
    <col min="55" max="55" width="6.5703125" style="6" customWidth="1"/>
    <col min="56" max="56" width="6.7109375" style="17" customWidth="1"/>
    <col min="57" max="57" width="7.140625" style="6" customWidth="1"/>
    <col min="58" max="58" width="7.7109375" style="6" customWidth="1"/>
    <col min="59" max="59" width="9.28515625" style="6" customWidth="1"/>
    <col min="60" max="60" width="6.7109375" style="17" customWidth="1"/>
    <col min="61" max="61" width="6.5703125" style="6" customWidth="1"/>
    <col min="62" max="62" width="6.7109375" style="17" customWidth="1"/>
    <col min="63" max="63" width="7.140625" style="6" customWidth="1"/>
    <col min="64" max="65" width="7.7109375" style="6" customWidth="1"/>
    <col min="66" max="69" width="7.42578125" style="6" customWidth="1"/>
    <col min="70" max="71" width="6.85546875" style="6" customWidth="1"/>
    <col min="72" max="72" width="6.140625" style="6" customWidth="1"/>
    <col min="73" max="73" width="6.5703125" style="6" customWidth="1"/>
    <col min="74" max="74" width="6.140625" style="6" customWidth="1"/>
    <col min="75" max="75" width="6" style="6" customWidth="1"/>
    <col min="76" max="76" width="6.140625" style="6" customWidth="1"/>
    <col min="77" max="77" width="4.7109375" style="6" customWidth="1"/>
    <col min="78" max="78" width="5.7109375" style="6" customWidth="1"/>
    <col min="79" max="79" width="8" style="6" customWidth="1"/>
    <col min="80" max="80" width="6.140625" style="6" customWidth="1"/>
    <col min="81" max="81" width="5.5703125" style="6" customWidth="1"/>
    <col min="82" max="82" width="6.7109375" style="6" customWidth="1"/>
    <col min="83" max="83" width="9" style="6" customWidth="1"/>
    <col min="84" max="84" width="9.7109375" style="6" customWidth="1"/>
    <col min="85" max="85" width="12.7109375" style="6" customWidth="1"/>
    <col min="86" max="86" width="8.7109375" style="6" customWidth="1"/>
    <col min="87" max="87" width="7.85546875" style="18" customWidth="1"/>
    <col min="88" max="100" width="9.140625" style="6"/>
    <col min="101" max="101" width="15.85546875" style="6" bestFit="1" customWidth="1"/>
    <col min="102" max="102" width="9.140625" style="6"/>
    <col min="103" max="103" width="19" style="6" bestFit="1" customWidth="1"/>
    <col min="104" max="108" width="9.140625" style="6"/>
    <col min="109" max="109" width="15.140625" style="6" customWidth="1"/>
    <col min="110" max="112" width="9.140625" style="6"/>
    <col min="113" max="113" width="14.140625" style="6" customWidth="1"/>
    <col min="114" max="116" width="9.140625" style="6"/>
    <col min="117" max="117" width="15.140625" style="6" customWidth="1"/>
    <col min="118" max="120" width="9.140625" style="6"/>
    <col min="121" max="121" width="15.140625" style="6" customWidth="1"/>
    <col min="122" max="140" width="9.140625" style="6"/>
    <col min="141" max="141" width="14.140625" style="6" customWidth="1"/>
    <col min="142" max="16384" width="9.140625" style="6"/>
  </cols>
  <sheetData>
    <row r="1" spans="1:147" ht="25.5" customHeight="1">
      <c r="B1" s="213" t="s">
        <v>11</v>
      </c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178"/>
      <c r="BX1" s="178"/>
      <c r="BY1" s="178"/>
      <c r="BZ1" s="178"/>
      <c r="CA1" s="178"/>
      <c r="CB1" s="178"/>
      <c r="CC1" s="178"/>
      <c r="CD1" s="178"/>
      <c r="CE1" s="178"/>
      <c r="CF1" s="178"/>
      <c r="CG1" s="178"/>
      <c r="CH1" s="178"/>
      <c r="CI1" s="13"/>
      <c r="CO1" s="48">
        <f ca="1">TODAY()</f>
        <v>46283</v>
      </c>
      <c r="CP1" s="12"/>
      <c r="CQ1" s="12"/>
      <c r="CT1" s="214" t="s">
        <v>184</v>
      </c>
      <c r="CU1" s="214"/>
      <c r="CV1" s="7" t="s">
        <v>18</v>
      </c>
      <c r="CW1" s="7" t="s">
        <v>18</v>
      </c>
      <c r="CX1" s="8" t="s">
        <v>117</v>
      </c>
      <c r="CY1" s="9" t="s">
        <v>119</v>
      </c>
      <c r="CZ1" s="7" t="s">
        <v>131</v>
      </c>
      <c r="DA1" s="7" t="s">
        <v>18</v>
      </c>
      <c r="DB1" s="8" t="s">
        <v>117</v>
      </c>
      <c r="DC1" s="9" t="s">
        <v>121</v>
      </c>
      <c r="DD1" s="7" t="s">
        <v>131</v>
      </c>
      <c r="DE1" s="7" t="s">
        <v>18</v>
      </c>
      <c r="DF1" s="8" t="s">
        <v>117</v>
      </c>
      <c r="DG1" s="9" t="s">
        <v>121</v>
      </c>
      <c r="DH1" s="7"/>
      <c r="DI1" s="7" t="s">
        <v>18</v>
      </c>
      <c r="DJ1" s="8" t="s">
        <v>117</v>
      </c>
      <c r="DK1" s="8" t="s">
        <v>119</v>
      </c>
      <c r="DL1" s="7" t="s">
        <v>131</v>
      </c>
      <c r="DM1" s="7" t="s">
        <v>18</v>
      </c>
      <c r="DN1" s="8" t="s">
        <v>117</v>
      </c>
      <c r="DO1" s="9" t="s">
        <v>121</v>
      </c>
      <c r="DP1" s="7" t="s">
        <v>132</v>
      </c>
      <c r="DQ1" s="7" t="s">
        <v>18</v>
      </c>
      <c r="DR1" s="8" t="s">
        <v>117</v>
      </c>
      <c r="DS1" s="9" t="s">
        <v>119</v>
      </c>
      <c r="DT1" s="7" t="s">
        <v>18</v>
      </c>
      <c r="DU1" s="7" t="s">
        <v>18</v>
      </c>
      <c r="DV1" s="8" t="s">
        <v>117</v>
      </c>
      <c r="DW1" s="9" t="s">
        <v>119</v>
      </c>
      <c r="DX1" s="7" t="s">
        <v>131</v>
      </c>
      <c r="DY1" s="7" t="s">
        <v>18</v>
      </c>
      <c r="DZ1" s="8" t="s">
        <v>117</v>
      </c>
      <c r="EA1" s="9" t="s">
        <v>121</v>
      </c>
      <c r="EB1" s="7" t="s">
        <v>131</v>
      </c>
      <c r="EC1" s="7" t="s">
        <v>18</v>
      </c>
      <c r="ED1" s="8" t="s">
        <v>117</v>
      </c>
      <c r="EE1" s="9" t="s">
        <v>121</v>
      </c>
      <c r="EF1" s="7"/>
      <c r="EG1" s="7" t="s">
        <v>18</v>
      </c>
      <c r="EH1" s="8" t="s">
        <v>117</v>
      </c>
      <c r="EI1" s="8" t="s">
        <v>119</v>
      </c>
      <c r="EJ1" s="7" t="s">
        <v>131</v>
      </c>
      <c r="EK1" s="7" t="s">
        <v>18</v>
      </c>
      <c r="EL1" s="8" t="s">
        <v>117</v>
      </c>
      <c r="EM1" s="9" t="s">
        <v>121</v>
      </c>
      <c r="EN1" s="7" t="s">
        <v>132</v>
      </c>
      <c r="EO1" s="7" t="s">
        <v>18</v>
      </c>
      <c r="EP1" s="8" t="s">
        <v>117</v>
      </c>
      <c r="EQ1" s="9" t="s">
        <v>119</v>
      </c>
    </row>
    <row r="2" spans="1:147" ht="20.25" customHeight="1">
      <c r="B2" s="215" t="s">
        <v>1725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79"/>
      <c r="AM2" s="179"/>
      <c r="AN2" s="179"/>
      <c r="AO2" s="179"/>
      <c r="AP2" s="179"/>
      <c r="AQ2" s="179"/>
      <c r="AR2" s="179"/>
      <c r="AS2" s="179"/>
      <c r="AT2" s="179"/>
      <c r="AU2" s="179"/>
      <c r="AV2" s="179"/>
      <c r="AW2" s="179"/>
      <c r="AX2" s="179"/>
      <c r="AY2" s="179"/>
      <c r="AZ2" s="179"/>
      <c r="BA2" s="179"/>
      <c r="BB2" s="179"/>
      <c r="BC2" s="179"/>
      <c r="BD2" s="179"/>
      <c r="BE2" s="179"/>
      <c r="BF2" s="179"/>
      <c r="BG2" s="179"/>
      <c r="BH2" s="179"/>
      <c r="BI2" s="179"/>
      <c r="BJ2" s="179"/>
      <c r="BK2" s="179"/>
      <c r="BL2" s="179"/>
      <c r="BM2" s="179"/>
      <c r="BN2" s="179"/>
      <c r="BO2" s="179"/>
      <c r="BP2" s="179"/>
      <c r="BQ2" s="179"/>
      <c r="BR2" s="179"/>
      <c r="BS2" s="179"/>
      <c r="BT2" s="179"/>
      <c r="BU2" s="179"/>
      <c r="BV2" s="179"/>
      <c r="BW2" s="179"/>
      <c r="BX2" s="179"/>
      <c r="BY2" s="179"/>
      <c r="BZ2" s="179"/>
      <c r="CA2" s="179"/>
      <c r="CB2" s="179"/>
      <c r="CC2" s="179"/>
      <c r="CD2" s="179"/>
      <c r="CE2" s="179"/>
      <c r="CF2" s="179"/>
      <c r="CG2" s="179"/>
      <c r="CH2" s="179"/>
      <c r="CI2" s="14"/>
      <c r="CP2" s="12"/>
      <c r="CQ2" s="12"/>
      <c r="CT2" s="214"/>
      <c r="CU2" s="214"/>
      <c r="CV2" s="10">
        <v>1</v>
      </c>
      <c r="CW2" s="11" t="s">
        <v>50</v>
      </c>
      <c r="CX2" s="24">
        <f>SUMIFS($L$7:$L$1787,$A$7:$A$1787,CW2,$CI$7:$CI$1787,CV2)</f>
        <v>19222</v>
      </c>
      <c r="CY2" s="24">
        <f>SUMIFS($CD$7:$CD$1787,$A$7:$A$1787,CW2,$CI$7:$CI$1787,CV2)</f>
        <v>-11321</v>
      </c>
      <c r="CZ2" s="10">
        <v>1</v>
      </c>
      <c r="DA2" s="11" t="s">
        <v>128</v>
      </c>
      <c r="DB2" s="24">
        <f>SUMIFS($L$7:$L$1787,$A$7:$A$1787,DA2,$CI$7:$CI$1787,CZ2)</f>
        <v>0</v>
      </c>
      <c r="DC2" s="24">
        <f>SUMIFS($CD$7:$CD$1787,$A$7:$A$1787,DA2,$CI$7:$CI$1787,CZ2)</f>
        <v>0</v>
      </c>
      <c r="DD2" s="10">
        <v>2</v>
      </c>
      <c r="DE2" s="11" t="s">
        <v>50</v>
      </c>
      <c r="DF2" s="24">
        <f>SUMIFS($L$7:$L$1787,$A$7:$A$1787,DE2,$CI$7:$CI$1787,DD2)</f>
        <v>3780</v>
      </c>
      <c r="DG2" s="24">
        <f>SUMIFS($CD$7:$CD$1787,$A$7:$A$1787,DE2,$CI$7:$CI$1787,DD2)</f>
        <v>-3235</v>
      </c>
      <c r="DH2" s="10">
        <v>2</v>
      </c>
      <c r="DI2" s="11" t="s">
        <v>128</v>
      </c>
      <c r="DJ2" s="24">
        <f>SUMIFS($L$7:$L$1787,$A$7:$A$1787,DI2,$CI$7:$CI$1787,DH2)</f>
        <v>0</v>
      </c>
      <c r="DK2" s="24">
        <f>SUMIFS($CD$7:$CD$1787,$A$7:$A$1787,DI2,$CI$7:$CI$1787,DH2)</f>
        <v>0</v>
      </c>
      <c r="DL2" s="10">
        <v>3</v>
      </c>
      <c r="DM2" s="11" t="s">
        <v>50</v>
      </c>
      <c r="DN2" s="24">
        <f>SUMIFS($L$7:$L$1787,$A$7:$A$1787,DM2,$CI$7:$CI$1787,DL2)</f>
        <v>23773</v>
      </c>
      <c r="DO2" s="24">
        <f>SUMIFS($CD$7:$CD$1787,$A$7:$A$1787,DM2,$CI$7:$CI$1787,DL2)</f>
        <v>-23773</v>
      </c>
      <c r="DP2" s="10">
        <v>3</v>
      </c>
      <c r="DQ2" s="11" t="s">
        <v>128</v>
      </c>
      <c r="DR2" s="24">
        <f>SUMIFS($L$7:$L$1787,$A$7:$A$1787,DQ2,$CI$7:$CI$1787,DP2)</f>
        <v>0</v>
      </c>
      <c r="DS2" s="24">
        <f>SUMIFS($CD$7:$CD$1787,$A$7:$A$1787,DQ2,$CI$7:$CI$1787,DP2)</f>
        <v>0</v>
      </c>
      <c r="DT2" s="10">
        <v>1</v>
      </c>
      <c r="DU2" s="34" t="s">
        <v>500</v>
      </c>
      <c r="DV2" s="24">
        <f>SUMIFS($L$7:$L$1787,$A$7:$A$1787,DU2,$CI$7:$CI$1787,DT2)</f>
        <v>0</v>
      </c>
      <c r="DW2" s="24">
        <f>SUMIFS($CD$7:$CD$1787,$A$7:$A$1787,DU2,$CI$7:$CI$1787,DT2)</f>
        <v>0</v>
      </c>
      <c r="DX2" s="10">
        <v>1</v>
      </c>
      <c r="DY2" s="34" t="s">
        <v>46</v>
      </c>
      <c r="DZ2" s="24">
        <f>SUMIFS($L$7:$L$1787,$A$7:$A$1787,DY2,$CI$7:$CI$1787,DX2)</f>
        <v>77770</v>
      </c>
      <c r="EA2" s="24">
        <f>SUMIFS($CD$7:$CD$1787,$A$7:$A$1787,DY2,$CI$7:$CI$1787,DX2)</f>
        <v>-44450</v>
      </c>
      <c r="EB2" s="10">
        <v>2</v>
      </c>
      <c r="EC2" s="34" t="s">
        <v>500</v>
      </c>
      <c r="ED2" s="24">
        <f>SUMIFS($L$7:$L$1787,$A$7:$A$1787,EC2,$CI$7:$CI$1787,EB2)</f>
        <v>0</v>
      </c>
      <c r="EE2" s="24">
        <f>SUMIFS($CD$7:$CD$1787,$A$7:$A$1787,EC2,$CI$7:$CI$1787,EB2)</f>
        <v>0</v>
      </c>
      <c r="EF2" s="10">
        <v>2</v>
      </c>
      <c r="EG2" s="34" t="s">
        <v>46</v>
      </c>
      <c r="EH2" s="24">
        <f>SUMIFS($L$7:$L$1787,$A$7:$A$1787,EG2,$CI$7:$CI$1787,EF2)</f>
        <v>54975</v>
      </c>
      <c r="EI2" s="24">
        <f>SUMIFS($CD$7:$CD$1787,$A$7:$A$1787,EG2,$CI$7:$CI$1787,EF2)</f>
        <v>-43238</v>
      </c>
      <c r="EJ2" s="10">
        <v>3</v>
      </c>
      <c r="EK2" s="34" t="s">
        <v>500</v>
      </c>
      <c r="EL2" s="24">
        <f>SUMIFS($L$7:$L$1787,$A$7:$A$1787,EK2,$CI$7:$CI$1787,EJ2)</f>
        <v>0</v>
      </c>
      <c r="EM2" s="24">
        <f>SUMIFS($CD$7:$CD$1787,$A$7:$A$1787,EK2,$CI$7:$CI$1787,EJ2)</f>
        <v>0</v>
      </c>
      <c r="EN2" s="10">
        <v>3</v>
      </c>
      <c r="EO2" s="34" t="s">
        <v>46</v>
      </c>
      <c r="EP2" s="24">
        <f>SUMIFS($L$7:$L$1787,$A$7:$A$1787,EO2,$CI$7:$CI$1787,EN2)</f>
        <v>19754</v>
      </c>
      <c r="EQ2" s="24">
        <f>SUMIFS($CD$7:$CD$1787,$A$7:$A$1787,EO2,$CI$7:$CI$1787,EN2)</f>
        <v>-16660</v>
      </c>
    </row>
    <row r="3" spans="1:147" ht="15" customHeight="1">
      <c r="B3" s="215" t="s">
        <v>175</v>
      </c>
      <c r="C3" s="215"/>
      <c r="D3" s="215"/>
      <c r="E3" s="215"/>
      <c r="F3" s="215"/>
      <c r="G3" s="215"/>
      <c r="H3" s="215"/>
      <c r="I3" s="215"/>
      <c r="J3" s="215"/>
      <c r="K3" s="215"/>
      <c r="L3" s="215"/>
      <c r="M3" s="215"/>
      <c r="N3" s="215"/>
      <c r="O3" s="215"/>
      <c r="P3" s="215"/>
      <c r="Q3" s="215"/>
      <c r="R3" s="215"/>
      <c r="S3" s="215"/>
      <c r="T3" s="215"/>
      <c r="U3" s="215"/>
      <c r="V3" s="215"/>
      <c r="W3" s="215"/>
      <c r="X3" s="215"/>
      <c r="Y3" s="215"/>
      <c r="Z3" s="215"/>
      <c r="AA3" s="215"/>
      <c r="AB3" s="215"/>
      <c r="AC3" s="215"/>
      <c r="AD3" s="215"/>
      <c r="AE3" s="215"/>
      <c r="AF3" s="215"/>
      <c r="AG3" s="215"/>
      <c r="AH3" s="215"/>
      <c r="AI3" s="215"/>
      <c r="AJ3" s="215"/>
      <c r="AK3" s="215"/>
      <c r="AL3" s="215"/>
      <c r="AM3" s="215"/>
      <c r="AN3" s="215"/>
      <c r="AO3" s="215"/>
      <c r="AP3" s="215"/>
      <c r="AQ3" s="215"/>
      <c r="AR3" s="215"/>
      <c r="AS3" s="215"/>
      <c r="AT3" s="215"/>
      <c r="AU3" s="215"/>
      <c r="AV3" s="215"/>
      <c r="AW3" s="215"/>
      <c r="AX3" s="215"/>
      <c r="AY3" s="215"/>
      <c r="AZ3" s="215"/>
      <c r="BA3" s="215"/>
      <c r="BB3" s="215"/>
      <c r="BC3" s="215"/>
      <c r="BD3" s="215"/>
      <c r="BE3" s="215"/>
      <c r="BF3" s="215"/>
      <c r="BG3" s="215"/>
      <c r="BH3" s="215"/>
      <c r="BI3" s="215"/>
      <c r="BJ3" s="215"/>
      <c r="BK3" s="215"/>
      <c r="BL3" s="215"/>
      <c r="BM3" s="215"/>
      <c r="BN3" s="215"/>
      <c r="BO3" s="215"/>
      <c r="BP3" s="215"/>
      <c r="BQ3" s="215"/>
      <c r="BR3" s="215"/>
      <c r="BS3" s="215"/>
      <c r="BT3" s="215"/>
      <c r="BU3" s="215"/>
      <c r="BV3" s="215"/>
      <c r="BW3" s="215"/>
      <c r="BX3" s="215"/>
      <c r="BY3" s="215"/>
      <c r="BZ3" s="215"/>
      <c r="CA3" s="215"/>
      <c r="CB3" s="215"/>
      <c r="CC3" s="215"/>
      <c r="CD3" s="215"/>
      <c r="CE3" s="215"/>
      <c r="CF3" s="215"/>
      <c r="CG3" s="215"/>
      <c r="CH3" s="215"/>
      <c r="CI3" s="15"/>
      <c r="CP3" s="12"/>
      <c r="CQ3" s="12"/>
      <c r="CT3" s="214"/>
      <c r="CU3" s="214"/>
      <c r="CV3" s="10">
        <v>1</v>
      </c>
      <c r="CW3" s="11" t="s">
        <v>51</v>
      </c>
      <c r="CX3" s="24">
        <f>SUMIFS($L$7:$L$1787,$A$7:$A$1787,CW3,$CI$7:$CI$1787,CV3)</f>
        <v>26775</v>
      </c>
      <c r="CY3" s="24">
        <f>SUMIFS($CD$7:$CD$1787,$A$7:$A$1787,CW3,$CI$7:$CI$1787,CV3)</f>
        <v>-11736</v>
      </c>
      <c r="CZ3" s="10">
        <v>1</v>
      </c>
      <c r="DA3" s="11" t="s">
        <v>86</v>
      </c>
      <c r="DB3" s="24">
        <f>SUMIFS($L$7:$L$1787,$A$7:$A$1787,DA3,$CI$7:$CI$1787,CZ3)</f>
        <v>0</v>
      </c>
      <c r="DC3" s="24">
        <f>SUMIFS($CD$7:$CD$1787,$A$7:$A$1787,DA3,$CI$7:$CI$1787,CZ3)</f>
        <v>0</v>
      </c>
      <c r="DD3" s="10">
        <v>2</v>
      </c>
      <c r="DE3" s="11" t="s">
        <v>51</v>
      </c>
      <c r="DF3" s="24">
        <f>SUMIFS($L$7:$L$1787,$A$7:$A$1787,DE3,$CI$7:$CI$1787,DD3)</f>
        <v>29669</v>
      </c>
      <c r="DG3" s="24">
        <f>SUMIFS($CD$7:$CD$1787,$A$7:$A$1787,DE3,$CI$7:$CI$1787,DD3)</f>
        <v>-28122</v>
      </c>
      <c r="DH3" s="10">
        <v>2</v>
      </c>
      <c r="DI3" s="11" t="s">
        <v>86</v>
      </c>
      <c r="DJ3" s="24">
        <f>SUMIFS($L$7:$L$1787,$A$7:$A$1787,DI3,$CI$7:$CI$1787,DH3)</f>
        <v>21345</v>
      </c>
      <c r="DK3" s="24">
        <f>SUMIFS($CD$7:$CD$1787,$A$7:$A$1787,DI3,$CI$7:$CI$1787,DH3)</f>
        <v>-21345</v>
      </c>
      <c r="DL3" s="10">
        <v>3</v>
      </c>
      <c r="DM3" s="11" t="s">
        <v>51</v>
      </c>
      <c r="DN3" s="24">
        <f>SUMIFS($L$7:$L$1787,$A$7:$A$1787,DM3,$CI$7:$CI$1787,DL3)</f>
        <v>45342</v>
      </c>
      <c r="DO3" s="24">
        <f>SUMIFS($CD$7:$CD$1787,$A$7:$A$1787,DM3,$CI$7:$CI$1787,DL3)</f>
        <v>-45342</v>
      </c>
      <c r="DP3" s="10">
        <v>3</v>
      </c>
      <c r="DQ3" s="11" t="s">
        <v>86</v>
      </c>
      <c r="DR3" s="24">
        <f>SUMIFS($L$7:$L$1787,$A$7:$A$1787,DQ3,$CI$7:$CI$1787,DP3)</f>
        <v>25250</v>
      </c>
      <c r="DS3" s="24">
        <f>SUMIFS($CD$7:$CD$1787,$A$7:$A$1787,DQ3,$CI$7:$CI$1787,DP3)</f>
        <v>-25250</v>
      </c>
      <c r="DT3" s="10">
        <v>1</v>
      </c>
      <c r="DU3" s="34" t="s">
        <v>215</v>
      </c>
      <c r="DV3" s="24">
        <f>SUMIFS($L$7:$L$1787,$A$7:$A$1787,DU3,$CI$7:$CI$1787,DT3)</f>
        <v>0</v>
      </c>
      <c r="DW3" s="24">
        <f>SUMIFS($CD$7:$CD$1787,$A$7:$A$1787,DU3,$CI$7:$CI$1787,DT3)</f>
        <v>0</v>
      </c>
      <c r="DX3" s="10">
        <v>1</v>
      </c>
      <c r="DY3" s="34"/>
      <c r="DZ3" s="24">
        <f>SUMIFS($L$7:$L$1787,$A$7:$A$1787,DY3,$CI$7:$CI$1787,DX3)</f>
        <v>0</v>
      </c>
      <c r="EA3" s="24">
        <f>SUMIFS($CD$7:$CD$1787,$A$7:$A$1787,DY3,$CI$7:$CI$1787,DX3)</f>
        <v>0</v>
      </c>
      <c r="EB3" s="10">
        <v>2</v>
      </c>
      <c r="EC3" s="34" t="s">
        <v>215</v>
      </c>
      <c r="ED3" s="24">
        <f>SUMIFS($L$7:$L$1787,$A$7:$A$1787,EC3,$CI$7:$CI$1787,EB3)</f>
        <v>0</v>
      </c>
      <c r="EE3" s="24">
        <f>SUMIFS($CD$7:$CD$1787,$A$7:$A$1787,EC3,$CI$7:$CI$1787,EB3)</f>
        <v>0</v>
      </c>
      <c r="EF3" s="10">
        <v>2</v>
      </c>
      <c r="EG3" s="34"/>
      <c r="EH3" s="24">
        <f>SUMIFS($L$7:$L$1787,$A$7:$A$1787,EG3,$CI$7:$CI$1787,EF3)</f>
        <v>0</v>
      </c>
      <c r="EI3" s="24">
        <f>SUMIFS($CD$7:$CD$1787,$A$7:$A$1787,EG3,$CI$7:$CI$1787,EF3)</f>
        <v>0</v>
      </c>
      <c r="EJ3" s="10">
        <v>3</v>
      </c>
      <c r="EK3" s="34" t="s">
        <v>215</v>
      </c>
      <c r="EL3" s="24">
        <f>SUMIFS($L$7:$L$1787,$A$7:$A$1787,EK3,$CI$7:$CI$1787,EJ3)</f>
        <v>0</v>
      </c>
      <c r="EM3" s="24">
        <f>SUMIFS($CD$7:$CD$1787,$A$7:$A$1787,EK3,$CI$7:$CI$1787,EJ3)</f>
        <v>0</v>
      </c>
      <c r="EN3" s="10">
        <v>3</v>
      </c>
      <c r="EO3" s="34"/>
      <c r="EP3" s="24">
        <f>SUMIFS($L$7:$L$1787,$A$7:$A$1787,EO3,$CI$7:$CI$1787,EN3)</f>
        <v>0</v>
      </c>
      <c r="EQ3" s="24">
        <f>SUMIFS($CD$7:$CD$1787,$A$7:$A$1787,EO3,$CI$7:$CI$1787,EN3)</f>
        <v>0</v>
      </c>
    </row>
    <row r="4" spans="1:147" ht="18" customHeight="1">
      <c r="A4" s="35"/>
      <c r="B4" s="38"/>
      <c r="C4" s="35"/>
      <c r="D4" s="35"/>
      <c r="E4" s="35"/>
      <c r="F4" s="35"/>
      <c r="G4" s="108"/>
      <c r="H4" s="35"/>
      <c r="I4" s="35"/>
      <c r="J4" s="35"/>
      <c r="K4" s="35"/>
      <c r="L4" s="19"/>
      <c r="M4" s="35"/>
      <c r="N4" s="35"/>
      <c r="O4" s="35"/>
      <c r="P4" s="35"/>
      <c r="Q4" s="35"/>
      <c r="R4" s="19"/>
      <c r="S4" s="35"/>
      <c r="T4" s="35"/>
      <c r="U4" s="4"/>
      <c r="V4" s="4"/>
      <c r="W4" s="35"/>
      <c r="X4" s="4"/>
      <c r="Y4" s="35"/>
      <c r="Z4" s="35"/>
      <c r="AA4" s="35"/>
      <c r="AB4" s="35"/>
      <c r="AC4" s="35"/>
      <c r="AD4" s="4"/>
      <c r="AE4" s="35"/>
      <c r="AF4" s="4"/>
      <c r="AG4" s="35"/>
      <c r="AH4" s="35"/>
      <c r="AI4" s="35"/>
      <c r="AJ4" s="4"/>
      <c r="AK4" s="35"/>
      <c r="AL4" s="4"/>
      <c r="AM4" s="35"/>
      <c r="AN4" s="35"/>
      <c r="AO4" s="35"/>
      <c r="AP4" s="4"/>
      <c r="AQ4" s="35"/>
      <c r="AR4" s="4"/>
      <c r="AS4" s="35"/>
      <c r="AT4" s="35"/>
      <c r="AU4" s="35"/>
      <c r="AV4" s="4"/>
      <c r="AW4" s="35"/>
      <c r="AX4" s="4"/>
      <c r="AY4" s="35"/>
      <c r="AZ4" s="35"/>
      <c r="BA4" s="35"/>
      <c r="BB4" s="4"/>
      <c r="BC4" s="35"/>
      <c r="BD4" s="4"/>
      <c r="BE4" s="35"/>
      <c r="BF4" s="35"/>
      <c r="BG4" s="35"/>
      <c r="BH4" s="4"/>
      <c r="BI4" s="35"/>
      <c r="BJ4" s="4"/>
      <c r="BK4" s="35"/>
      <c r="BL4" s="35"/>
      <c r="BM4" s="35"/>
      <c r="BN4" s="35"/>
      <c r="BO4" s="35"/>
      <c r="BP4" s="35"/>
      <c r="BQ4" s="35"/>
      <c r="BR4" s="35"/>
      <c r="BS4" s="35"/>
      <c r="BT4" s="35"/>
      <c r="BU4" s="35"/>
      <c r="BV4" s="35"/>
      <c r="BW4" s="35"/>
      <c r="BX4" s="35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15"/>
      <c r="CP4" s="12"/>
      <c r="CQ4" s="12"/>
      <c r="CT4" s="214"/>
      <c r="CU4" s="214"/>
      <c r="CV4" s="10">
        <v>1</v>
      </c>
      <c r="CW4" s="1" t="s">
        <v>387</v>
      </c>
      <c r="CX4" s="24">
        <f>SUMIFS($L$7:$L$1787,$A$7:$A$1787,CW4,$CI$7:$CI$1787,CV4)</f>
        <v>78932</v>
      </c>
      <c r="CY4" s="24">
        <f>SUMIFS($CD$7:$CD$1787,$A$7:$A$1787,CW4,$CI$7:$CI$1787,CV4)</f>
        <v>-54372</v>
      </c>
      <c r="CZ4" s="10">
        <v>1</v>
      </c>
      <c r="DA4" s="34" t="s">
        <v>185</v>
      </c>
      <c r="DB4" s="24">
        <f>SUMIFS($L$7:$L$1787,$A$7:$A$1787,DA4,$CI$7:$CI$1787,CZ4)</f>
        <v>0</v>
      </c>
      <c r="DC4" s="24">
        <f>SUMIFS($CD$7:$CD$1787,$A$7:$A$1787,DA4,$CI$7:$CI$1787,CZ4)</f>
        <v>0</v>
      </c>
      <c r="DD4" s="10">
        <v>2</v>
      </c>
      <c r="DE4" s="1" t="s">
        <v>387</v>
      </c>
      <c r="DF4" s="24">
        <f>SUMIFS($L$7:$L$1787,$A$7:$A$1787,DE4,$CI$7:$CI$1787,DD4)</f>
        <v>24006</v>
      </c>
      <c r="DG4" s="24">
        <f>SUMIFS($CD$7:$CD$1787,$A$7:$A$1787,DE4,$CI$7:$CI$1787,DD4)</f>
        <v>-16359</v>
      </c>
      <c r="DH4" s="10">
        <v>2</v>
      </c>
      <c r="DI4" s="34" t="s">
        <v>185</v>
      </c>
      <c r="DJ4" s="24">
        <f>SUMIFS($L$7:$L$1787,$A$7:$A$1787,DI4,$CI$7:$CI$1787,DH4)</f>
        <v>0</v>
      </c>
      <c r="DK4" s="24">
        <f>SUMIFS($CD$7:$CD$1787,$A$7:$A$1787,DI4,$CI$7:$CI$1787,DH4)</f>
        <v>0</v>
      </c>
      <c r="DL4" s="10">
        <v>3</v>
      </c>
      <c r="DM4" s="1" t="s">
        <v>387</v>
      </c>
      <c r="DN4" s="24">
        <f>SUMIFS($L$7:$L$1787,$A$7:$A$1787,DM4,$CI$7:$CI$1787,DL4)</f>
        <v>9394</v>
      </c>
      <c r="DO4" s="24">
        <f>SUMIFS($CD$7:$CD$1787,$A$7:$A$1787,DM4,$CI$7:$CI$1787,DL4)</f>
        <v>-7831</v>
      </c>
      <c r="DP4" s="10">
        <v>3</v>
      </c>
      <c r="DQ4" s="34" t="s">
        <v>185</v>
      </c>
      <c r="DR4" s="24">
        <f>SUMIFS($L$7:$L$1787,$A$7:$A$1787,DQ4,$CI$7:$CI$1787,DP4)</f>
        <v>3263</v>
      </c>
      <c r="DS4" s="24">
        <f>SUMIFS($CD$7:$CD$1787,$A$7:$A$1787,DQ4,$CI$7:$CI$1787,DP4)</f>
        <v>-3263</v>
      </c>
      <c r="DT4" s="10">
        <v>1</v>
      </c>
      <c r="DU4" s="34" t="s">
        <v>303</v>
      </c>
      <c r="DV4" s="24">
        <f>SUMIFS($L$7:$L$1787,$A$7:$A$1787,DU4,$CI$7:$CI$1787,DT4)</f>
        <v>0</v>
      </c>
      <c r="DW4" s="24">
        <f>SUMIFS($CD$7:$CD$1787,$A$7:$A$1787,DU4,$CI$7:$CI$1787,DT4)</f>
        <v>0</v>
      </c>
      <c r="DX4" s="10">
        <v>1</v>
      </c>
      <c r="DY4" s="1"/>
      <c r="DZ4" s="24">
        <f>SUMIFS($L$7:$L$1787,$A$7:$A$1787,DY4,$CI$7:$CI$1787,DX4)</f>
        <v>0</v>
      </c>
      <c r="EA4" s="24">
        <f>SUMIFS($CD$7:$CD$1787,$A$7:$A$1787,DY4,$CI$7:$CI$1787,DX4)</f>
        <v>0</v>
      </c>
      <c r="EB4" s="10">
        <v>2</v>
      </c>
      <c r="EC4" s="34" t="s">
        <v>303</v>
      </c>
      <c r="ED4" s="24">
        <f>SUMIFS($L$7:$L$1787,$A$7:$A$1787,EC4,$CI$7:$CI$1787,EB4)</f>
        <v>7655</v>
      </c>
      <c r="EE4" s="24">
        <f>SUMIFS($CD$7:$CD$1787,$A$7:$A$1787,EC4,$CI$7:$CI$1787,EB4)</f>
        <v>-7655</v>
      </c>
      <c r="EF4" s="10">
        <v>2</v>
      </c>
      <c r="EG4" s="1"/>
      <c r="EH4" s="24">
        <f>SUMIFS($L$7:$L$1787,$A$7:$A$1787,EG4,$CI$7:$CI$1787,EF4)</f>
        <v>0</v>
      </c>
      <c r="EI4" s="24">
        <f>SUMIFS($CD$7:$CD$1787,$A$7:$A$1787,EG4,$CI$7:$CI$1787,EF4)</f>
        <v>0</v>
      </c>
      <c r="EJ4" s="10">
        <v>3</v>
      </c>
      <c r="EK4" s="34" t="s">
        <v>303</v>
      </c>
      <c r="EL4" s="24">
        <f>SUMIFS($L$7:$L$1787,$A$7:$A$1787,EK4,$CI$7:$CI$1787,EJ4)</f>
        <v>7877</v>
      </c>
      <c r="EM4" s="24">
        <f>SUMIFS($CD$7:$CD$1787,$A$7:$A$1787,EK4,$CI$7:$CI$1787,EJ4)</f>
        <v>-7877</v>
      </c>
      <c r="EN4" s="10">
        <v>3</v>
      </c>
      <c r="EO4" s="1"/>
      <c r="EP4" s="24">
        <f>SUMIFS($L$7:$L$1787,$A$7:$A$1787,EO4,$CI$7:$CI$1787,EN4)</f>
        <v>0</v>
      </c>
      <c r="EQ4" s="24">
        <f>SUMIFS($CD$7:$CD$1787,$A$7:$A$1787,EO4,$CI$7:$CI$1787,EN4)</f>
        <v>0</v>
      </c>
    </row>
    <row r="5" spans="1:147" ht="18.75" customHeight="1">
      <c r="A5" s="21"/>
      <c r="B5" s="31"/>
      <c r="C5" s="21"/>
      <c r="D5" s="21"/>
      <c r="E5" s="21"/>
      <c r="F5" s="21"/>
      <c r="G5" s="21"/>
      <c r="H5" s="22"/>
      <c r="I5" s="216" t="s">
        <v>2</v>
      </c>
      <c r="J5" s="217"/>
      <c r="K5" s="217"/>
      <c r="L5" s="218"/>
      <c r="M5" s="222" t="s">
        <v>14</v>
      </c>
      <c r="N5" s="222"/>
      <c r="O5" s="223" t="s">
        <v>15</v>
      </c>
      <c r="P5" s="224"/>
      <c r="Q5" s="224"/>
      <c r="R5" s="225"/>
      <c r="S5" s="197" t="s">
        <v>3</v>
      </c>
      <c r="T5" s="198"/>
      <c r="U5" s="198"/>
      <c r="V5" s="198"/>
      <c r="W5" s="198"/>
      <c r="X5" s="198"/>
      <c r="Y5" s="198"/>
      <c r="Z5" s="198"/>
      <c r="AA5" s="198"/>
      <c r="AB5" s="199"/>
      <c r="AC5" s="197" t="s">
        <v>149</v>
      </c>
      <c r="AD5" s="198"/>
      <c r="AE5" s="198"/>
      <c r="AF5" s="198"/>
      <c r="AG5" s="198"/>
      <c r="AH5" s="199"/>
      <c r="AI5" s="197" t="s">
        <v>562</v>
      </c>
      <c r="AJ5" s="198"/>
      <c r="AK5" s="198"/>
      <c r="AL5" s="198"/>
      <c r="AM5" s="198"/>
      <c r="AN5" s="199"/>
      <c r="AO5" s="197" t="s">
        <v>563</v>
      </c>
      <c r="AP5" s="198"/>
      <c r="AQ5" s="198"/>
      <c r="AR5" s="198"/>
      <c r="AS5" s="198"/>
      <c r="AT5" s="199"/>
      <c r="AU5" s="197" t="s">
        <v>1652</v>
      </c>
      <c r="AV5" s="198"/>
      <c r="AW5" s="198"/>
      <c r="AX5" s="198"/>
      <c r="AY5" s="198"/>
      <c r="AZ5" s="199"/>
      <c r="BA5" s="197" t="s">
        <v>301</v>
      </c>
      <c r="BB5" s="198"/>
      <c r="BC5" s="198"/>
      <c r="BD5" s="198"/>
      <c r="BE5" s="198"/>
      <c r="BF5" s="199"/>
      <c r="BG5" s="197" t="s">
        <v>150</v>
      </c>
      <c r="BH5" s="198"/>
      <c r="BI5" s="198"/>
      <c r="BJ5" s="198"/>
      <c r="BK5" s="198"/>
      <c r="BL5" s="199"/>
      <c r="BM5" s="52"/>
      <c r="BN5" s="226" t="s">
        <v>14</v>
      </c>
      <c r="BO5" s="226"/>
      <c r="BP5" s="226"/>
      <c r="BQ5" s="226"/>
      <c r="BR5" s="226" t="s">
        <v>27</v>
      </c>
      <c r="BS5" s="226"/>
      <c r="BT5" s="197" t="s">
        <v>4</v>
      </c>
      <c r="BU5" s="198"/>
      <c r="BV5" s="198"/>
      <c r="BW5" s="198"/>
      <c r="BX5" s="198"/>
      <c r="BY5" s="198"/>
      <c r="BZ5" s="199"/>
      <c r="CA5" s="197" t="s">
        <v>17</v>
      </c>
      <c r="CB5" s="198"/>
      <c r="CC5" s="198"/>
      <c r="CD5" s="199"/>
      <c r="CE5" s="52"/>
      <c r="CF5" s="52"/>
      <c r="CG5" s="52"/>
      <c r="CH5" s="222"/>
      <c r="CI5" s="222" t="s">
        <v>165</v>
      </c>
      <c r="CP5" s="12"/>
      <c r="CT5" s="214"/>
      <c r="CU5" s="214"/>
      <c r="CV5" s="10">
        <v>1</v>
      </c>
      <c r="CW5" s="1" t="s">
        <v>388</v>
      </c>
      <c r="CX5" s="24">
        <f>SUMIFS($L$7:$L$1787,$A$7:$A$1787,CW5,$CI$7:$CI$1787,CV5)</f>
        <v>40418</v>
      </c>
      <c r="CY5" s="24">
        <f>SUMIFS($CD$7:$CD$1787,$A$7:$A$1787,CW5,$CI$7:$CI$1787,CV5)</f>
        <v>-25130</v>
      </c>
      <c r="CZ5" s="10">
        <v>1</v>
      </c>
      <c r="DA5" s="11" t="s">
        <v>85</v>
      </c>
      <c r="DB5" s="24">
        <f>SUMIFS($L$7:$L$1787,$A$7:$A$1787,DA5,$CI$7:$CI$1787,CZ5)</f>
        <v>17417</v>
      </c>
      <c r="DC5" s="24">
        <f>SUMIFS($CD$7:$CD$1787,$A$7:$A$1787,DA5,$CI$7:$CI$1787,CZ5)</f>
        <v>-16796</v>
      </c>
      <c r="DD5" s="10">
        <v>2</v>
      </c>
      <c r="DE5" s="1" t="s">
        <v>388</v>
      </c>
      <c r="DF5" s="24">
        <f>SUMIFS($L$7:$L$1787,$A$7:$A$1787,DE5,$CI$7:$CI$1787,DD5)</f>
        <v>31025</v>
      </c>
      <c r="DG5" s="24">
        <f>SUMIFS($CD$7:$CD$1787,$A$7:$A$1787,DE5,$CI$7:$CI$1787,DD5)</f>
        <v>-23954</v>
      </c>
      <c r="DH5" s="10">
        <v>2</v>
      </c>
      <c r="DI5" s="11" t="s">
        <v>85</v>
      </c>
      <c r="DJ5" s="24">
        <f>SUMIFS($L$7:$L$1787,$A$7:$A$1787,DI5,$CI$7:$CI$1787,DH5)</f>
        <v>15488</v>
      </c>
      <c r="DK5" s="24">
        <f>SUMIFS($CD$7:$CD$1787,$A$7:$A$1787,DI5,$CI$7:$CI$1787,DH5)</f>
        <v>-15488</v>
      </c>
      <c r="DL5" s="10">
        <v>3</v>
      </c>
      <c r="DM5" s="1" t="s">
        <v>388</v>
      </c>
      <c r="DN5" s="24">
        <f>SUMIFS($L$7:$L$1787,$A$7:$A$1787,DM5,$CI$7:$CI$1787,DL5)</f>
        <v>19082</v>
      </c>
      <c r="DO5" s="24">
        <f>SUMIFS($CD$7:$CD$1787,$A$7:$A$1787,DM5,$CI$7:$CI$1787,DL5)</f>
        <v>-17161</v>
      </c>
      <c r="DP5" s="10">
        <v>3</v>
      </c>
      <c r="DQ5" s="11" t="s">
        <v>85</v>
      </c>
      <c r="DR5" s="24">
        <f>SUMIFS($L$7:$L$1787,$A$7:$A$1787,DQ5,$CI$7:$CI$1787,DP5)</f>
        <v>9144</v>
      </c>
      <c r="DS5" s="24">
        <f>SUMIFS($CD$7:$CD$1787,$A$7:$A$1787,DQ5,$CI$7:$CI$1787,DP5)</f>
        <v>-9144</v>
      </c>
      <c r="DT5" s="10">
        <v>1</v>
      </c>
      <c r="DU5" s="34" t="s">
        <v>299</v>
      </c>
      <c r="DV5" s="24">
        <f>SUMIFS($L$7:$L$1787,$A$7:$A$1787,DU5,$CI$7:$CI$1787,DT5)</f>
        <v>0</v>
      </c>
      <c r="DW5" s="24">
        <f>SUMIFS($CD$7:$CD$1787,$A$7:$A$1787,DU5,$CI$7:$CI$1787,DT5)</f>
        <v>0</v>
      </c>
      <c r="DX5" s="10">
        <v>1</v>
      </c>
      <c r="DY5" s="34"/>
      <c r="DZ5" s="24">
        <f>SUMIFS($L$7:$L$1787,$A$7:$A$1787,DY5,$CI$7:$CI$1787,DX5)</f>
        <v>0</v>
      </c>
      <c r="EA5" s="24">
        <f>SUMIFS($CD$7:$CD$1787,$A$7:$A$1787,DY5,$CI$7:$CI$1787,DX5)</f>
        <v>0</v>
      </c>
      <c r="EB5" s="10">
        <v>2</v>
      </c>
      <c r="EC5" s="34" t="s">
        <v>299</v>
      </c>
      <c r="ED5" s="24">
        <f>SUMIFS($L$7:$L$1787,$A$7:$A$1787,EC5,$CI$7:$CI$1787,EB5)</f>
        <v>0</v>
      </c>
      <c r="EE5" s="24">
        <f>SUMIFS($CD$7:$CD$1787,$A$7:$A$1787,EC5,$CI$7:$CI$1787,EB5)</f>
        <v>0</v>
      </c>
      <c r="EF5" s="10">
        <v>2</v>
      </c>
      <c r="EG5" s="34"/>
      <c r="EH5" s="24">
        <f>SUMIFS($L$7:$L$1787,$A$7:$A$1787,EG5,$CI$7:$CI$1787,EF5)</f>
        <v>0</v>
      </c>
      <c r="EI5" s="24">
        <f>SUMIFS($CD$7:$CD$1787,$A$7:$A$1787,EG5,$CI$7:$CI$1787,EF5)</f>
        <v>0</v>
      </c>
      <c r="EJ5" s="10">
        <v>3</v>
      </c>
      <c r="EK5" s="34" t="s">
        <v>299</v>
      </c>
      <c r="EL5" s="24">
        <f>SUMIFS($L$7:$L$1787,$A$7:$A$1787,EK5,$CI$7:$CI$1787,EJ5)</f>
        <v>0</v>
      </c>
      <c r="EM5" s="24">
        <f>SUMIFS($CD$7:$CD$1787,$A$7:$A$1787,EK5,$CI$7:$CI$1787,EJ5)</f>
        <v>0</v>
      </c>
      <c r="EN5" s="10">
        <v>3</v>
      </c>
      <c r="EO5" s="34"/>
      <c r="EP5" s="24">
        <f>SUMIFS($L$7:$L$1787,$A$7:$A$1787,EO5,$CI$7:$CI$1787,EN5)</f>
        <v>0</v>
      </c>
      <c r="EQ5" s="24">
        <f>SUMIFS($CD$7:$CD$1787,$A$7:$A$1787,EO5,$CI$7:$CI$1787,EN5)</f>
        <v>0</v>
      </c>
    </row>
    <row r="6" spans="1:147" ht="24.75" customHeight="1">
      <c r="A6" s="21"/>
      <c r="B6" s="31"/>
      <c r="C6" s="21"/>
      <c r="D6" s="21"/>
      <c r="E6" s="21"/>
      <c r="F6" s="21"/>
      <c r="G6" s="21"/>
      <c r="H6" s="22"/>
      <c r="I6" s="219"/>
      <c r="J6" s="220"/>
      <c r="K6" s="220"/>
      <c r="L6" s="221"/>
      <c r="M6" s="226" t="s">
        <v>71</v>
      </c>
      <c r="N6" s="226"/>
      <c r="O6" s="223" t="s">
        <v>16</v>
      </c>
      <c r="P6" s="224"/>
      <c r="Q6" s="224"/>
      <c r="R6" s="225"/>
      <c r="S6" s="200"/>
      <c r="T6" s="201"/>
      <c r="U6" s="201"/>
      <c r="V6" s="201"/>
      <c r="W6" s="201"/>
      <c r="X6" s="201"/>
      <c r="Y6" s="201"/>
      <c r="Z6" s="201"/>
      <c r="AA6" s="201"/>
      <c r="AB6" s="202"/>
      <c r="AC6" s="200"/>
      <c r="AD6" s="201"/>
      <c r="AE6" s="201"/>
      <c r="AF6" s="201"/>
      <c r="AG6" s="201"/>
      <c r="AH6" s="202"/>
      <c r="AI6" s="200"/>
      <c r="AJ6" s="201"/>
      <c r="AK6" s="201"/>
      <c r="AL6" s="201"/>
      <c r="AM6" s="201"/>
      <c r="AN6" s="202"/>
      <c r="AO6" s="200"/>
      <c r="AP6" s="201"/>
      <c r="AQ6" s="201"/>
      <c r="AR6" s="201"/>
      <c r="AS6" s="201"/>
      <c r="AT6" s="202"/>
      <c r="AU6" s="200"/>
      <c r="AV6" s="201"/>
      <c r="AW6" s="201"/>
      <c r="AX6" s="201"/>
      <c r="AY6" s="201"/>
      <c r="AZ6" s="202"/>
      <c r="BA6" s="200"/>
      <c r="BB6" s="201"/>
      <c r="BC6" s="201"/>
      <c r="BD6" s="201"/>
      <c r="BE6" s="201"/>
      <c r="BF6" s="202"/>
      <c r="BG6" s="200"/>
      <c r="BH6" s="201"/>
      <c r="BI6" s="201"/>
      <c r="BJ6" s="201"/>
      <c r="BK6" s="201"/>
      <c r="BL6" s="202"/>
      <c r="BM6" s="53"/>
      <c r="BN6" s="226" t="s">
        <v>369</v>
      </c>
      <c r="BO6" s="226"/>
      <c r="BP6" s="226"/>
      <c r="BQ6" s="226"/>
      <c r="BR6" s="226"/>
      <c r="BS6" s="226"/>
      <c r="BT6" s="200"/>
      <c r="BU6" s="201"/>
      <c r="BV6" s="201"/>
      <c r="BW6" s="201"/>
      <c r="BX6" s="201"/>
      <c r="BY6" s="201"/>
      <c r="BZ6" s="202"/>
      <c r="CA6" s="200"/>
      <c r="CB6" s="201"/>
      <c r="CC6" s="201"/>
      <c r="CD6" s="202"/>
      <c r="CE6" s="53"/>
      <c r="CF6" s="53"/>
      <c r="CG6" s="53"/>
      <c r="CH6" s="222"/>
      <c r="CI6" s="222"/>
      <c r="CT6" s="214"/>
      <c r="CU6" s="214"/>
      <c r="CV6" s="10">
        <v>1</v>
      </c>
      <c r="CW6" s="34" t="s">
        <v>494</v>
      </c>
      <c r="CX6" s="24">
        <f>SUMIFS($L$7:$L$1787,$A$7:$A$1787,CW6,$CI$7:$CI$1787,CV6)</f>
        <v>0</v>
      </c>
      <c r="CY6" s="24">
        <f>SUMIFS($CD$7:$CD$1787,$A$7:$A$1787,CW6,$CI$7:$CI$1787,CV6)</f>
        <v>0</v>
      </c>
      <c r="CZ6" s="10">
        <v>1</v>
      </c>
      <c r="DA6" s="34" t="s">
        <v>186</v>
      </c>
      <c r="DB6" s="24">
        <f>SUMIFS($L$7:$L$1787,$A$7:$A$1787,DA6,$CI$7:$CI$1787,CZ6)</f>
        <v>0</v>
      </c>
      <c r="DC6" s="24">
        <f>SUMIFS($CD$7:$CD$1787,$A$7:$A$1787,DA6,$CI$7:$CI$1787,CZ6)</f>
        <v>0</v>
      </c>
      <c r="DD6" s="10">
        <v>2</v>
      </c>
      <c r="DE6" s="34" t="s">
        <v>494</v>
      </c>
      <c r="DF6" s="24">
        <f>SUMIFS($L$7:$L$1787,$A$7:$A$1787,DE6,$CI$7:$CI$1787,DD6)</f>
        <v>0</v>
      </c>
      <c r="DG6" s="24">
        <f>SUMIFS($CD$7:$CD$1787,$A$7:$A$1787,DE6,$CI$7:$CI$1787,DD6)</f>
        <v>0</v>
      </c>
      <c r="DH6" s="10">
        <v>2</v>
      </c>
      <c r="DI6" s="34" t="s">
        <v>186</v>
      </c>
      <c r="DJ6" s="24">
        <f>SUMIFS($L$7:$L$1787,$A$7:$A$1787,DI6,$CI$7:$CI$1787,DH6)</f>
        <v>0</v>
      </c>
      <c r="DK6" s="24">
        <f>SUMIFS($CD$7:$CD$1787,$A$7:$A$1787,DI6,$CI$7:$CI$1787,DH6)</f>
        <v>0</v>
      </c>
      <c r="DL6" s="10">
        <v>3</v>
      </c>
      <c r="DM6" s="34" t="s">
        <v>494</v>
      </c>
      <c r="DN6" s="24">
        <f>SUMIFS($L$7:$L$1787,$A$7:$A$1787,DM6,$CI$7:$CI$1787,DL6)</f>
        <v>0</v>
      </c>
      <c r="DO6" s="24">
        <f>SUMIFS($CD$7:$CD$1787,$A$7:$A$1787,DM6,$CI$7:$CI$1787,DL6)</f>
        <v>0</v>
      </c>
      <c r="DP6" s="10">
        <v>3</v>
      </c>
      <c r="DQ6" s="34" t="s">
        <v>186</v>
      </c>
      <c r="DR6" s="24">
        <f>SUMIFS($L$7:$L$1787,$A$7:$A$1787,DQ6,$CI$7:$CI$1787,DP6)</f>
        <v>0</v>
      </c>
      <c r="DS6" s="24">
        <f>SUMIFS($CD$7:$CD$1787,$A$7:$A$1787,DQ6,$CI$7:$CI$1787,DP6)</f>
        <v>0</v>
      </c>
      <c r="DT6" s="10">
        <v>1</v>
      </c>
      <c r="DU6" s="34" t="s">
        <v>20</v>
      </c>
      <c r="DV6" s="24">
        <f>SUMIFS($L$7:$L$1787,$A$7:$A$1787,DU6,$CI$7:$CI$1787,DT6)</f>
        <v>38034</v>
      </c>
      <c r="DW6" s="24">
        <f>SUMIFS($CD$7:$CD$1787,$A$7:$A$1787,DU6,$CI$7:$CI$1787,DT6)</f>
        <v>-11576</v>
      </c>
      <c r="DX6" s="10">
        <v>1</v>
      </c>
      <c r="DY6" s="34"/>
      <c r="DZ6" s="24">
        <f>SUMIFS($L$7:$L$1787,$A$7:$A$1787,DY6,$CI$7:$CI$1787,DX6)</f>
        <v>0</v>
      </c>
      <c r="EA6" s="24">
        <f>SUMIFS($CD$7:$CD$1787,$A$7:$A$1787,DY6,$CI$7:$CI$1787,DX6)</f>
        <v>0</v>
      </c>
      <c r="EB6" s="10">
        <v>2</v>
      </c>
      <c r="EC6" s="34" t="s">
        <v>20</v>
      </c>
      <c r="ED6" s="24">
        <f>SUMIFS($L$7:$L$1787,$A$7:$A$1787,EC6,$CI$7:$CI$1787,EB6)</f>
        <v>8241</v>
      </c>
      <c r="EE6" s="24">
        <f>SUMIFS($CD$7:$CD$1787,$A$7:$A$1787,EC6,$CI$7:$CI$1787,EB6)</f>
        <v>-4111</v>
      </c>
      <c r="EF6" s="10">
        <v>2</v>
      </c>
      <c r="EG6" s="34"/>
      <c r="EH6" s="24">
        <f>SUMIFS($L$7:$L$1787,$A$7:$A$1787,EG6,$CI$7:$CI$1787,EF6)</f>
        <v>0</v>
      </c>
      <c r="EI6" s="24">
        <f>SUMIFS($CD$7:$CD$1787,$A$7:$A$1787,EG6,$CI$7:$CI$1787,EF6)</f>
        <v>0</v>
      </c>
      <c r="EJ6" s="10">
        <v>3</v>
      </c>
      <c r="EK6" s="34" t="s">
        <v>20</v>
      </c>
      <c r="EL6" s="24">
        <f>SUMIFS($L$7:$L$1787,$A$7:$A$1787,EK6,$CI$7:$CI$1787,EJ6)</f>
        <v>3183</v>
      </c>
      <c r="EM6" s="24">
        <f>SUMIFS($CD$7:$CD$1787,$A$7:$A$1787,EK6,$CI$7:$CI$1787,EJ6)</f>
        <v>-3183</v>
      </c>
      <c r="EN6" s="10">
        <v>3</v>
      </c>
      <c r="EO6" s="34"/>
      <c r="EP6" s="24">
        <f>SUMIFS($L$7:$L$1787,$A$7:$A$1787,EO6,$CI$7:$CI$1787,EN6)</f>
        <v>0</v>
      </c>
      <c r="EQ6" s="24">
        <f>SUMIFS($CD$7:$CD$1787,$A$7:$A$1787,EO6,$CI$7:$CI$1787,EN6)</f>
        <v>0</v>
      </c>
    </row>
    <row r="7" spans="1:147" ht="45" customHeight="1">
      <c r="A7" s="36" t="s">
        <v>18</v>
      </c>
      <c r="B7" s="32" t="s">
        <v>0</v>
      </c>
      <c r="C7" s="36" t="s">
        <v>12</v>
      </c>
      <c r="D7" s="36" t="s">
        <v>286</v>
      </c>
      <c r="E7" s="37" t="s">
        <v>5</v>
      </c>
      <c r="F7" s="36" t="s">
        <v>73</v>
      </c>
      <c r="G7" s="36" t="s">
        <v>1</v>
      </c>
      <c r="H7" s="36" t="s">
        <v>6</v>
      </c>
      <c r="I7" s="36" t="s">
        <v>7</v>
      </c>
      <c r="J7" s="36" t="s">
        <v>72</v>
      </c>
      <c r="K7" s="36" t="s">
        <v>13</v>
      </c>
      <c r="L7" s="36" t="s">
        <v>133</v>
      </c>
      <c r="M7" s="36" t="s">
        <v>8</v>
      </c>
      <c r="N7" s="36" t="s">
        <v>9</v>
      </c>
      <c r="O7" s="36" t="s">
        <v>7</v>
      </c>
      <c r="P7" s="36" t="s">
        <v>72</v>
      </c>
      <c r="Q7" s="36" t="s">
        <v>13</v>
      </c>
      <c r="R7" s="36" t="s">
        <v>144</v>
      </c>
      <c r="S7" s="36" t="s">
        <v>137</v>
      </c>
      <c r="T7" s="36" t="s">
        <v>134</v>
      </c>
      <c r="U7" s="36" t="s">
        <v>129</v>
      </c>
      <c r="V7" s="36" t="s">
        <v>147</v>
      </c>
      <c r="W7" s="36" t="s">
        <v>135</v>
      </c>
      <c r="X7" s="36" t="s">
        <v>154</v>
      </c>
      <c r="Y7" s="36" t="s">
        <v>7</v>
      </c>
      <c r="Z7" s="36" t="s">
        <v>72</v>
      </c>
      <c r="AA7" s="36" t="s">
        <v>13</v>
      </c>
      <c r="AB7" s="36" t="s">
        <v>136</v>
      </c>
      <c r="AC7" s="36" t="s">
        <v>137</v>
      </c>
      <c r="AD7" s="36" t="s">
        <v>147</v>
      </c>
      <c r="AE7" s="36" t="s">
        <v>135</v>
      </c>
      <c r="AF7" s="36" t="s">
        <v>148</v>
      </c>
      <c r="AG7" s="36" t="s">
        <v>146</v>
      </c>
      <c r="AH7" s="36" t="s">
        <v>153</v>
      </c>
      <c r="AI7" s="36" t="s">
        <v>137</v>
      </c>
      <c r="AJ7" s="36" t="s">
        <v>147</v>
      </c>
      <c r="AK7" s="36" t="s">
        <v>135</v>
      </c>
      <c r="AL7" s="36" t="s">
        <v>148</v>
      </c>
      <c r="AM7" s="36" t="s">
        <v>146</v>
      </c>
      <c r="AN7" s="36" t="s">
        <v>153</v>
      </c>
      <c r="AO7" s="36" t="s">
        <v>137</v>
      </c>
      <c r="AP7" s="36" t="s">
        <v>147</v>
      </c>
      <c r="AQ7" s="36" t="s">
        <v>135</v>
      </c>
      <c r="AR7" s="36" t="s">
        <v>148</v>
      </c>
      <c r="AS7" s="36" t="s">
        <v>146</v>
      </c>
      <c r="AT7" s="36" t="s">
        <v>153</v>
      </c>
      <c r="AU7" s="36" t="s">
        <v>137</v>
      </c>
      <c r="AV7" s="36" t="s">
        <v>147</v>
      </c>
      <c r="AW7" s="36" t="s">
        <v>135</v>
      </c>
      <c r="AX7" s="36" t="s">
        <v>148</v>
      </c>
      <c r="AY7" s="36" t="s">
        <v>146</v>
      </c>
      <c r="AZ7" s="36" t="s">
        <v>153</v>
      </c>
      <c r="BA7" s="36" t="s">
        <v>137</v>
      </c>
      <c r="BB7" s="36" t="s">
        <v>147</v>
      </c>
      <c r="BC7" s="36" t="s">
        <v>135</v>
      </c>
      <c r="BD7" s="36" t="s">
        <v>148</v>
      </c>
      <c r="BE7" s="36" t="s">
        <v>146</v>
      </c>
      <c r="BF7" s="36" t="s">
        <v>153</v>
      </c>
      <c r="BG7" s="36" t="s">
        <v>137</v>
      </c>
      <c r="BH7" s="36" t="s">
        <v>147</v>
      </c>
      <c r="BI7" s="36" t="s">
        <v>135</v>
      </c>
      <c r="BJ7" s="36" t="s">
        <v>148</v>
      </c>
      <c r="BK7" s="36" t="s">
        <v>146</v>
      </c>
      <c r="BL7" s="36" t="s">
        <v>153</v>
      </c>
      <c r="BM7" s="36" t="s">
        <v>191</v>
      </c>
      <c r="BN7" s="36" t="s">
        <v>8</v>
      </c>
      <c r="BO7" s="36" t="s">
        <v>9</v>
      </c>
      <c r="BP7" s="36" t="s">
        <v>330</v>
      </c>
      <c r="BQ7" s="36" t="s">
        <v>331</v>
      </c>
      <c r="BR7" s="36" t="s">
        <v>8</v>
      </c>
      <c r="BS7" s="36" t="s">
        <v>9</v>
      </c>
      <c r="BT7" s="36" t="s">
        <v>44</v>
      </c>
      <c r="BU7" s="36" t="s">
        <v>7</v>
      </c>
      <c r="BV7" s="36" t="s">
        <v>44</v>
      </c>
      <c r="BW7" s="36" t="s">
        <v>72</v>
      </c>
      <c r="BX7" s="36" t="s">
        <v>44</v>
      </c>
      <c r="BY7" s="36" t="s">
        <v>13</v>
      </c>
      <c r="BZ7" s="36" t="s">
        <v>152</v>
      </c>
      <c r="CA7" s="36" t="s">
        <v>7</v>
      </c>
      <c r="CB7" s="36" t="s">
        <v>72</v>
      </c>
      <c r="CC7" s="36" t="s">
        <v>13</v>
      </c>
      <c r="CD7" s="36" t="s">
        <v>138</v>
      </c>
      <c r="CE7" s="36" t="s">
        <v>204</v>
      </c>
      <c r="CF7" s="36" t="s">
        <v>218</v>
      </c>
      <c r="CG7" s="36" t="s">
        <v>219</v>
      </c>
      <c r="CH7" s="39" t="s">
        <v>10</v>
      </c>
      <c r="CI7" s="39" t="s">
        <v>151</v>
      </c>
      <c r="CZ7" s="191"/>
      <c r="DA7" s="191"/>
      <c r="DB7" s="191"/>
      <c r="DC7" s="191"/>
      <c r="DD7" s="191"/>
      <c r="DE7" s="191"/>
    </row>
    <row r="8" spans="1:147" ht="24.75" customHeight="1">
      <c r="A8" s="36" t="s">
        <v>50</v>
      </c>
      <c r="B8" s="26">
        <v>48085</v>
      </c>
      <c r="C8" s="227" t="s">
        <v>1726</v>
      </c>
      <c r="D8" s="36" t="s">
        <v>24</v>
      </c>
      <c r="E8" s="39">
        <v>200</v>
      </c>
      <c r="F8" s="39" t="s">
        <v>67</v>
      </c>
      <c r="G8" s="36" t="s">
        <v>1727</v>
      </c>
      <c r="H8" s="36" t="s">
        <v>1728</v>
      </c>
      <c r="I8" s="39">
        <v>138</v>
      </c>
      <c r="J8" s="39"/>
      <c r="K8" s="39"/>
      <c r="L8" s="39">
        <f t="shared" ref="L8:L94" si="0">SUM(I8:K8)</f>
        <v>138</v>
      </c>
      <c r="M8" s="117">
        <v>46259</v>
      </c>
      <c r="N8" s="117">
        <v>46272</v>
      </c>
      <c r="O8" s="39"/>
      <c r="P8" s="39"/>
      <c r="Q8" s="39"/>
      <c r="R8" s="39">
        <f t="shared" ref="R8:R245" si="1">SUM(O8:Q8)</f>
        <v>0</v>
      </c>
      <c r="S8" s="39" t="s">
        <v>130</v>
      </c>
      <c r="T8" s="39">
        <v>109459</v>
      </c>
      <c r="U8" s="117">
        <v>46280</v>
      </c>
      <c r="V8" s="39"/>
      <c r="W8" s="39"/>
      <c r="X8" s="39"/>
      <c r="Y8" s="39">
        <v>154</v>
      </c>
      <c r="Z8" s="39"/>
      <c r="AA8" s="39"/>
      <c r="AB8" s="119">
        <f t="shared" ref="AB8:AB245" si="2">SUM(Y8:AA8)</f>
        <v>154</v>
      </c>
      <c r="AC8" s="39"/>
      <c r="AD8" s="39"/>
      <c r="AE8" s="39"/>
      <c r="AF8" s="39"/>
      <c r="AG8" s="39"/>
      <c r="AH8" s="39">
        <f t="shared" ref="AH8:AH381" si="3">AG8-AE8</f>
        <v>0</v>
      </c>
      <c r="AI8" s="39"/>
      <c r="AJ8" s="39"/>
      <c r="AK8" s="39"/>
      <c r="AL8" s="39"/>
      <c r="AM8" s="39"/>
      <c r="AN8" s="39">
        <f t="shared" ref="AN8:AN325" si="4">AM8-AK8</f>
        <v>0</v>
      </c>
      <c r="AO8" s="39"/>
      <c r="AP8" s="39"/>
      <c r="AQ8" s="39"/>
      <c r="AR8" s="39"/>
      <c r="AS8" s="39"/>
      <c r="AT8" s="39">
        <f t="shared" ref="AT8:AT381" si="5">AS8-AQ8</f>
        <v>0</v>
      </c>
      <c r="AU8" s="39"/>
      <c r="AV8" s="39"/>
      <c r="AW8" s="39"/>
      <c r="AX8" s="39"/>
      <c r="AY8" s="39"/>
      <c r="AZ8" s="39">
        <f t="shared" ref="AZ8:AZ381" si="6">AY8-AW8</f>
        <v>0</v>
      </c>
      <c r="BA8" s="39"/>
      <c r="BB8" s="39"/>
      <c r="BC8" s="39"/>
      <c r="BD8" s="39"/>
      <c r="BE8" s="39"/>
      <c r="BF8" s="39">
        <f t="shared" ref="BF8:BF381" si="7">BE8-BC8</f>
        <v>0</v>
      </c>
      <c r="BG8" s="39"/>
      <c r="BH8" s="39"/>
      <c r="BI8" s="39"/>
      <c r="BJ8" s="39"/>
      <c r="BK8" s="39"/>
      <c r="BL8" s="39">
        <f t="shared" ref="BL8:BL381" si="8">BK8-BI8</f>
        <v>0</v>
      </c>
      <c r="BM8" s="54">
        <f t="shared" ref="BM8:BM381" ca="1" si="9">IF((BZ8/L8)&lt;0.9,$CO$1-U8,"")</f>
        <v>3</v>
      </c>
      <c r="BN8" s="58">
        <v>46275</v>
      </c>
      <c r="BO8" s="57">
        <v>46283</v>
      </c>
      <c r="BP8" s="36"/>
      <c r="BQ8" s="36"/>
      <c r="BR8" s="36"/>
      <c r="BS8" s="36"/>
      <c r="BT8" s="39"/>
      <c r="BU8" s="39"/>
      <c r="BV8" s="39"/>
      <c r="BW8" s="39"/>
      <c r="BX8" s="39"/>
      <c r="BY8" s="39"/>
      <c r="BZ8" s="39">
        <f t="shared" ref="BZ8:BZ381" si="10">BU8+BW8+BY8</f>
        <v>0</v>
      </c>
      <c r="CA8" s="39">
        <f t="shared" ref="CA8:CA381" si="11">BU8-I8</f>
        <v>-138</v>
      </c>
      <c r="CB8" s="39">
        <f t="shared" ref="CB8:CB381" si="12">BW8-J8</f>
        <v>0</v>
      </c>
      <c r="CC8" s="39">
        <f t="shared" ref="CC8:CC381" si="13">BY8-K8</f>
        <v>0</v>
      </c>
      <c r="CD8" s="39">
        <f t="shared" ref="CD8:CD381" si="14">SUMIF(CA8:CC8,"&lt;0")</f>
        <v>-138</v>
      </c>
      <c r="CE8" s="102">
        <f t="shared" ref="CE8:CE381" si="15">CD8/L8</f>
        <v>-1</v>
      </c>
      <c r="CF8" s="36"/>
      <c r="CG8" s="39" t="s">
        <v>228</v>
      </c>
      <c r="CH8" s="39"/>
      <c r="CI8" s="25">
        <v>1</v>
      </c>
    </row>
    <row r="9" spans="1:147" ht="24.75" customHeight="1">
      <c r="A9" s="36" t="s">
        <v>50</v>
      </c>
      <c r="B9" s="26">
        <v>48085</v>
      </c>
      <c r="C9" s="231"/>
      <c r="D9" s="36" t="s">
        <v>24</v>
      </c>
      <c r="E9" s="39">
        <v>200</v>
      </c>
      <c r="F9" s="39" t="s">
        <v>67</v>
      </c>
      <c r="G9" s="36" t="s">
        <v>1729</v>
      </c>
      <c r="H9" s="36" t="s">
        <v>1728</v>
      </c>
      <c r="I9" s="39">
        <v>93</v>
      </c>
      <c r="J9" s="39"/>
      <c r="K9" s="39"/>
      <c r="L9" s="39">
        <f t="shared" si="0"/>
        <v>93</v>
      </c>
      <c r="M9" s="117">
        <v>46259</v>
      </c>
      <c r="N9" s="117">
        <v>46272</v>
      </c>
      <c r="O9" s="39"/>
      <c r="P9" s="39"/>
      <c r="Q9" s="39"/>
      <c r="R9" s="39">
        <f t="shared" ref="R9:R36" si="16">SUM(O9:Q9)</f>
        <v>0</v>
      </c>
      <c r="S9" s="39" t="s">
        <v>130</v>
      </c>
      <c r="T9" s="39">
        <v>109460</v>
      </c>
      <c r="U9" s="117">
        <v>46280</v>
      </c>
      <c r="V9" s="39"/>
      <c r="W9" s="39"/>
      <c r="X9" s="39"/>
      <c r="Y9" s="39">
        <v>105</v>
      </c>
      <c r="Z9" s="39"/>
      <c r="AA9" s="39"/>
      <c r="AB9" s="119">
        <f t="shared" si="2"/>
        <v>105</v>
      </c>
      <c r="AC9" s="39"/>
      <c r="AD9" s="39"/>
      <c r="AE9" s="39"/>
      <c r="AF9" s="39"/>
      <c r="AG9" s="39"/>
      <c r="AH9" s="39">
        <f t="shared" si="3"/>
        <v>0</v>
      </c>
      <c r="AI9" s="39"/>
      <c r="AJ9" s="39"/>
      <c r="AK9" s="39"/>
      <c r="AL9" s="39"/>
      <c r="AM9" s="39"/>
      <c r="AN9" s="39">
        <f t="shared" si="4"/>
        <v>0</v>
      </c>
      <c r="AO9" s="39"/>
      <c r="AP9" s="39"/>
      <c r="AQ9" s="39"/>
      <c r="AR9" s="39"/>
      <c r="AS9" s="39"/>
      <c r="AT9" s="39">
        <f t="shared" si="5"/>
        <v>0</v>
      </c>
      <c r="AU9" s="39"/>
      <c r="AV9" s="39"/>
      <c r="AW9" s="39"/>
      <c r="AX9" s="39"/>
      <c r="AY9" s="39"/>
      <c r="AZ9" s="39">
        <f t="shared" si="6"/>
        <v>0</v>
      </c>
      <c r="BA9" s="39"/>
      <c r="BB9" s="39"/>
      <c r="BC9" s="39"/>
      <c r="BD9" s="39"/>
      <c r="BE9" s="39"/>
      <c r="BF9" s="39">
        <f t="shared" si="7"/>
        <v>0</v>
      </c>
      <c r="BG9" s="39"/>
      <c r="BH9" s="39"/>
      <c r="BI9" s="39"/>
      <c r="BJ9" s="39"/>
      <c r="BK9" s="39"/>
      <c r="BL9" s="39">
        <f t="shared" si="8"/>
        <v>0</v>
      </c>
      <c r="BM9" s="54">
        <f t="shared" ca="1" si="9"/>
        <v>3</v>
      </c>
      <c r="BN9" s="58">
        <v>46275</v>
      </c>
      <c r="BO9" s="57">
        <v>46283</v>
      </c>
      <c r="BP9" s="36"/>
      <c r="BQ9" s="36"/>
      <c r="BR9" s="36"/>
      <c r="BS9" s="36"/>
      <c r="BT9" s="39"/>
      <c r="BU9" s="39"/>
      <c r="BV9" s="39"/>
      <c r="BW9" s="39"/>
      <c r="BX9" s="39"/>
      <c r="BY9" s="39"/>
      <c r="BZ9" s="39">
        <f t="shared" si="10"/>
        <v>0</v>
      </c>
      <c r="CA9" s="39">
        <f t="shared" si="11"/>
        <v>-93</v>
      </c>
      <c r="CB9" s="39">
        <f t="shared" si="12"/>
        <v>0</v>
      </c>
      <c r="CC9" s="39">
        <f t="shared" si="13"/>
        <v>0</v>
      </c>
      <c r="CD9" s="39">
        <f t="shared" si="14"/>
        <v>-93</v>
      </c>
      <c r="CE9" s="102">
        <f t="shared" si="15"/>
        <v>-1</v>
      </c>
      <c r="CF9" s="36"/>
      <c r="CG9" s="39" t="s">
        <v>228</v>
      </c>
      <c r="CH9" s="39"/>
      <c r="CI9" s="25">
        <v>1</v>
      </c>
    </row>
    <row r="10" spans="1:147" ht="24.75" customHeight="1">
      <c r="A10" s="36" t="s">
        <v>50</v>
      </c>
      <c r="B10" s="26">
        <v>48085</v>
      </c>
      <c r="C10" s="231"/>
      <c r="D10" s="36" t="s">
        <v>24</v>
      </c>
      <c r="E10" s="39">
        <v>200</v>
      </c>
      <c r="F10" s="39" t="s">
        <v>67</v>
      </c>
      <c r="G10" s="36" t="s">
        <v>1730</v>
      </c>
      <c r="H10" s="36" t="s">
        <v>1728</v>
      </c>
      <c r="I10" s="39">
        <v>102</v>
      </c>
      <c r="J10" s="39"/>
      <c r="K10" s="39"/>
      <c r="L10" s="39">
        <f t="shared" si="0"/>
        <v>102</v>
      </c>
      <c r="M10" s="117">
        <v>46259</v>
      </c>
      <c r="N10" s="117">
        <v>46272</v>
      </c>
      <c r="O10" s="39"/>
      <c r="P10" s="39"/>
      <c r="Q10" s="39"/>
      <c r="R10" s="39">
        <f t="shared" si="16"/>
        <v>0</v>
      </c>
      <c r="S10" s="39" t="s">
        <v>130</v>
      </c>
      <c r="T10" s="39"/>
      <c r="U10" s="39"/>
      <c r="V10" s="39"/>
      <c r="W10" s="39"/>
      <c r="X10" s="39"/>
      <c r="Y10" s="39"/>
      <c r="Z10" s="39"/>
      <c r="AA10" s="39"/>
      <c r="AB10" s="118">
        <f t="shared" si="2"/>
        <v>0</v>
      </c>
      <c r="AC10" s="39"/>
      <c r="AD10" s="39"/>
      <c r="AE10" s="39"/>
      <c r="AF10" s="39"/>
      <c r="AG10" s="39"/>
      <c r="AH10" s="39">
        <f t="shared" si="3"/>
        <v>0</v>
      </c>
      <c r="AI10" s="39"/>
      <c r="AJ10" s="39"/>
      <c r="AK10" s="39"/>
      <c r="AL10" s="39"/>
      <c r="AM10" s="39"/>
      <c r="AN10" s="39">
        <f t="shared" si="4"/>
        <v>0</v>
      </c>
      <c r="AO10" s="39"/>
      <c r="AP10" s="39"/>
      <c r="AQ10" s="39"/>
      <c r="AR10" s="39"/>
      <c r="AS10" s="39"/>
      <c r="AT10" s="39">
        <f t="shared" si="5"/>
        <v>0</v>
      </c>
      <c r="AU10" s="39"/>
      <c r="AV10" s="39"/>
      <c r="AW10" s="39"/>
      <c r="AX10" s="39"/>
      <c r="AY10" s="39"/>
      <c r="AZ10" s="39">
        <f t="shared" si="6"/>
        <v>0</v>
      </c>
      <c r="BA10" s="39"/>
      <c r="BB10" s="39"/>
      <c r="BC10" s="39"/>
      <c r="BD10" s="39"/>
      <c r="BE10" s="39"/>
      <c r="BF10" s="39">
        <f t="shared" si="7"/>
        <v>0</v>
      </c>
      <c r="BG10" s="39"/>
      <c r="BH10" s="39"/>
      <c r="BI10" s="39"/>
      <c r="BJ10" s="39"/>
      <c r="BK10" s="39"/>
      <c r="BL10" s="39">
        <f t="shared" si="8"/>
        <v>0</v>
      </c>
      <c r="BM10" s="54">
        <f t="shared" ca="1" si="9"/>
        <v>46283</v>
      </c>
      <c r="BN10" s="58">
        <v>46275</v>
      </c>
      <c r="BO10" s="57">
        <v>46283</v>
      </c>
      <c r="BP10" s="36"/>
      <c r="BQ10" s="36"/>
      <c r="BR10" s="57"/>
      <c r="BS10" s="36"/>
      <c r="BT10" s="39"/>
      <c r="BU10" s="39"/>
      <c r="BV10" s="39"/>
      <c r="BW10" s="39"/>
      <c r="BX10" s="39"/>
      <c r="BY10" s="39"/>
      <c r="BZ10" s="39">
        <f t="shared" si="10"/>
        <v>0</v>
      </c>
      <c r="CA10" s="39">
        <f t="shared" si="11"/>
        <v>-102</v>
      </c>
      <c r="CB10" s="39">
        <f t="shared" si="12"/>
        <v>0</v>
      </c>
      <c r="CC10" s="39">
        <f t="shared" si="13"/>
        <v>0</v>
      </c>
      <c r="CD10" s="39">
        <f t="shared" si="14"/>
        <v>-102</v>
      </c>
      <c r="CE10" s="102">
        <f t="shared" si="15"/>
        <v>-1</v>
      </c>
      <c r="CF10" s="36"/>
      <c r="CG10" s="39" t="s">
        <v>228</v>
      </c>
      <c r="CH10" s="39"/>
      <c r="CI10" s="25">
        <v>1</v>
      </c>
    </row>
    <row r="11" spans="1:147" ht="24.75" customHeight="1">
      <c r="A11" s="36" t="s">
        <v>50</v>
      </c>
      <c r="B11" s="26">
        <v>48085</v>
      </c>
      <c r="C11" s="228"/>
      <c r="D11" s="36"/>
      <c r="E11" s="39"/>
      <c r="F11" s="39"/>
      <c r="G11" s="36" t="s">
        <v>75</v>
      </c>
      <c r="H11" s="36">
        <f>1905+1260+1395</f>
        <v>4560</v>
      </c>
      <c r="I11" s="39" t="s">
        <v>90</v>
      </c>
      <c r="J11" s="39"/>
      <c r="K11" s="39"/>
      <c r="L11" s="39">
        <f t="shared" si="0"/>
        <v>0</v>
      </c>
      <c r="M11" s="117">
        <v>46259</v>
      </c>
      <c r="N11" s="117">
        <v>46272</v>
      </c>
      <c r="O11" s="39"/>
      <c r="P11" s="39"/>
      <c r="Q11" s="39"/>
      <c r="R11" s="39">
        <f t="shared" si="16"/>
        <v>0</v>
      </c>
      <c r="S11" s="39" t="s">
        <v>130</v>
      </c>
      <c r="T11" s="39"/>
      <c r="U11" s="39"/>
      <c r="V11" s="39"/>
      <c r="W11" s="39"/>
      <c r="X11" s="39"/>
      <c r="Y11" s="39"/>
      <c r="Z11" s="39"/>
      <c r="AA11" s="39"/>
      <c r="AB11" s="39">
        <f t="shared" si="2"/>
        <v>0</v>
      </c>
      <c r="AC11" s="39"/>
      <c r="AD11" s="39"/>
      <c r="AE11" s="39"/>
      <c r="AF11" s="39"/>
      <c r="AG11" s="39"/>
      <c r="AH11" s="39">
        <f t="shared" si="3"/>
        <v>0</v>
      </c>
      <c r="AI11" s="39"/>
      <c r="AJ11" s="39"/>
      <c r="AK11" s="39"/>
      <c r="AL11" s="39"/>
      <c r="AM11" s="39"/>
      <c r="AN11" s="39">
        <f t="shared" si="4"/>
        <v>0</v>
      </c>
      <c r="AO11" s="39"/>
      <c r="AP11" s="39"/>
      <c r="AQ11" s="39"/>
      <c r="AR11" s="39"/>
      <c r="AS11" s="39"/>
      <c r="AT11" s="39">
        <f t="shared" si="5"/>
        <v>0</v>
      </c>
      <c r="AU11" s="39"/>
      <c r="AV11" s="39"/>
      <c r="AW11" s="39"/>
      <c r="AX11" s="39"/>
      <c r="AY11" s="39"/>
      <c r="AZ11" s="39">
        <f t="shared" si="6"/>
        <v>0</v>
      </c>
      <c r="BA11" s="39"/>
      <c r="BB11" s="39"/>
      <c r="BC11" s="39"/>
      <c r="BD11" s="39"/>
      <c r="BE11" s="39"/>
      <c r="BF11" s="39">
        <f t="shared" si="7"/>
        <v>0</v>
      </c>
      <c r="BG11" s="39"/>
      <c r="BH11" s="39"/>
      <c r="BI11" s="39"/>
      <c r="BJ11" s="39"/>
      <c r="BK11" s="39"/>
      <c r="BL11" s="39">
        <f t="shared" si="8"/>
        <v>0</v>
      </c>
      <c r="BM11" s="54" t="e">
        <f t="shared" si="9"/>
        <v>#DIV/0!</v>
      </c>
      <c r="BN11" s="58">
        <v>46275</v>
      </c>
      <c r="BO11" s="57">
        <v>46283</v>
      </c>
      <c r="BP11" s="36"/>
      <c r="BQ11" s="36"/>
      <c r="BR11" s="36"/>
      <c r="BS11" s="36"/>
      <c r="BT11" s="39"/>
      <c r="BU11" s="39"/>
      <c r="BV11" s="39"/>
      <c r="BW11" s="39"/>
      <c r="BX11" s="39"/>
      <c r="BY11" s="39"/>
      <c r="BZ11" s="39">
        <f t="shared" si="10"/>
        <v>0</v>
      </c>
      <c r="CA11" s="39" t="e">
        <f t="shared" si="11"/>
        <v>#VALUE!</v>
      </c>
      <c r="CB11" s="39">
        <f t="shared" si="12"/>
        <v>0</v>
      </c>
      <c r="CC11" s="39">
        <f t="shared" si="13"/>
        <v>0</v>
      </c>
      <c r="CD11" s="39">
        <f t="shared" si="14"/>
        <v>0</v>
      </c>
      <c r="CE11" s="102" t="e">
        <f t="shared" si="15"/>
        <v>#DIV/0!</v>
      </c>
      <c r="CF11" s="36"/>
      <c r="CG11" s="39" t="s">
        <v>228</v>
      </c>
      <c r="CH11" s="39"/>
      <c r="CI11" s="25">
        <v>1</v>
      </c>
    </row>
    <row r="12" spans="1:147" ht="24.75" customHeight="1">
      <c r="A12" s="36" t="s">
        <v>50</v>
      </c>
      <c r="B12" s="104">
        <v>48061</v>
      </c>
      <c r="C12" s="227" t="s">
        <v>1239</v>
      </c>
      <c r="D12" s="36" t="s">
        <v>37</v>
      </c>
      <c r="E12" s="39">
        <v>220</v>
      </c>
      <c r="F12" s="39" t="s">
        <v>56</v>
      </c>
      <c r="G12" s="36" t="s">
        <v>1075</v>
      </c>
      <c r="H12" s="36" t="s">
        <v>300</v>
      </c>
      <c r="I12" s="39">
        <v>302</v>
      </c>
      <c r="J12" s="39"/>
      <c r="K12" s="39"/>
      <c r="L12" s="39">
        <f t="shared" si="0"/>
        <v>302</v>
      </c>
      <c r="M12" s="117">
        <v>46225</v>
      </c>
      <c r="N12" s="117">
        <v>46240</v>
      </c>
      <c r="O12" s="39"/>
      <c r="P12" s="39"/>
      <c r="Q12" s="39"/>
      <c r="R12" s="39">
        <f t="shared" ref="R12:R25" si="17">SUM(O12:Q12)</f>
        <v>0</v>
      </c>
      <c r="S12" s="39" t="s">
        <v>130</v>
      </c>
      <c r="T12" s="39">
        <v>108387</v>
      </c>
      <c r="U12" s="117">
        <v>46241</v>
      </c>
      <c r="V12" s="39"/>
      <c r="W12" s="39"/>
      <c r="X12" s="39"/>
      <c r="Y12" s="39">
        <v>338</v>
      </c>
      <c r="Z12" s="39"/>
      <c r="AA12" s="39"/>
      <c r="AB12" s="119">
        <f t="shared" si="2"/>
        <v>338</v>
      </c>
      <c r="AC12" s="39" t="s">
        <v>268</v>
      </c>
      <c r="AD12" s="117">
        <v>46244</v>
      </c>
      <c r="AE12" s="39">
        <v>311</v>
      </c>
      <c r="AF12" s="117" t="s">
        <v>2668</v>
      </c>
      <c r="AG12" s="39">
        <f>9+302</f>
        <v>311</v>
      </c>
      <c r="AH12" s="39">
        <f t="shared" si="3"/>
        <v>0</v>
      </c>
      <c r="AI12" s="39"/>
      <c r="AJ12" s="39"/>
      <c r="AK12" s="39"/>
      <c r="AL12" s="39"/>
      <c r="AM12" s="39"/>
      <c r="AN12" s="39">
        <f t="shared" si="4"/>
        <v>0</v>
      </c>
      <c r="AO12" s="39"/>
      <c r="AP12" s="39"/>
      <c r="AQ12" s="39"/>
      <c r="AR12" s="39"/>
      <c r="AS12" s="39"/>
      <c r="AT12" s="39">
        <f t="shared" si="5"/>
        <v>0</v>
      </c>
      <c r="AU12" s="39"/>
      <c r="AV12" s="39"/>
      <c r="AW12" s="39"/>
      <c r="AX12" s="39"/>
      <c r="AY12" s="39"/>
      <c r="AZ12" s="39">
        <f t="shared" si="6"/>
        <v>0</v>
      </c>
      <c r="BA12" s="39"/>
      <c r="BB12" s="39"/>
      <c r="BC12" s="39"/>
      <c r="BD12" s="39"/>
      <c r="BE12" s="39"/>
      <c r="BF12" s="39">
        <f t="shared" si="7"/>
        <v>0</v>
      </c>
      <c r="BG12" s="39"/>
      <c r="BH12" s="39"/>
      <c r="BI12" s="39"/>
      <c r="BJ12" s="39"/>
      <c r="BK12" s="39"/>
      <c r="BL12" s="39">
        <f t="shared" si="8"/>
        <v>0</v>
      </c>
      <c r="BM12" s="54">
        <f t="shared" ca="1" si="9"/>
        <v>42</v>
      </c>
      <c r="BN12" s="56">
        <v>46246</v>
      </c>
      <c r="BO12" s="57">
        <v>46259</v>
      </c>
      <c r="BP12" s="57">
        <v>46266</v>
      </c>
      <c r="BQ12" s="57">
        <v>46272</v>
      </c>
      <c r="BR12" s="57"/>
      <c r="BS12" s="36"/>
      <c r="BT12" s="39"/>
      <c r="BU12" s="39"/>
      <c r="BV12" s="39"/>
      <c r="BW12" s="39"/>
      <c r="BX12" s="39"/>
      <c r="BY12" s="39"/>
      <c r="BZ12" s="39">
        <f t="shared" si="10"/>
        <v>0</v>
      </c>
      <c r="CA12" s="39">
        <f t="shared" si="11"/>
        <v>-302</v>
      </c>
      <c r="CB12" s="39">
        <f t="shared" si="12"/>
        <v>0</v>
      </c>
      <c r="CC12" s="39">
        <f t="shared" si="13"/>
        <v>0</v>
      </c>
      <c r="CD12" s="39">
        <f t="shared" si="14"/>
        <v>-302</v>
      </c>
      <c r="CE12" s="102">
        <f t="shared" si="15"/>
        <v>-1</v>
      </c>
      <c r="CF12" s="36" t="s">
        <v>408</v>
      </c>
      <c r="CG12" s="39" t="s">
        <v>282</v>
      </c>
      <c r="CH12" s="39"/>
      <c r="CI12" s="25">
        <v>1</v>
      </c>
    </row>
    <row r="13" spans="1:147" ht="24.75" customHeight="1">
      <c r="A13" s="36" t="s">
        <v>50</v>
      </c>
      <c r="B13" s="104">
        <v>48061</v>
      </c>
      <c r="C13" s="228"/>
      <c r="D13" s="36" t="s">
        <v>37</v>
      </c>
      <c r="E13" s="39">
        <v>220</v>
      </c>
      <c r="F13" s="39" t="s">
        <v>56</v>
      </c>
      <c r="G13" s="36" t="s">
        <v>323</v>
      </c>
      <c r="H13" s="36" t="s">
        <v>300</v>
      </c>
      <c r="I13" s="39">
        <v>219</v>
      </c>
      <c r="J13" s="39"/>
      <c r="K13" s="39"/>
      <c r="L13" s="39">
        <f t="shared" si="0"/>
        <v>219</v>
      </c>
      <c r="M13" s="117">
        <v>46225</v>
      </c>
      <c r="N13" s="117">
        <v>46240</v>
      </c>
      <c r="O13" s="39"/>
      <c r="P13" s="39"/>
      <c r="Q13" s="39"/>
      <c r="R13" s="39">
        <f t="shared" si="17"/>
        <v>0</v>
      </c>
      <c r="S13" s="39" t="s">
        <v>130</v>
      </c>
      <c r="T13" s="39">
        <v>108638</v>
      </c>
      <c r="U13" s="117">
        <v>46253</v>
      </c>
      <c r="V13" s="39"/>
      <c r="W13" s="39"/>
      <c r="X13" s="39"/>
      <c r="Y13" s="39">
        <v>243</v>
      </c>
      <c r="Z13" s="39"/>
      <c r="AA13" s="39"/>
      <c r="AB13" s="119">
        <f t="shared" si="2"/>
        <v>243</v>
      </c>
      <c r="AC13" s="39" t="s">
        <v>268</v>
      </c>
      <c r="AD13" s="117">
        <v>46254</v>
      </c>
      <c r="AE13" s="39">
        <v>226</v>
      </c>
      <c r="AF13" s="117">
        <v>46259</v>
      </c>
      <c r="AG13" s="39">
        <v>218</v>
      </c>
      <c r="AH13" s="39">
        <f t="shared" si="3"/>
        <v>-8</v>
      </c>
      <c r="AI13" s="39"/>
      <c r="AJ13" s="39"/>
      <c r="AK13" s="39"/>
      <c r="AL13" s="39"/>
      <c r="AM13" s="39"/>
      <c r="AN13" s="39">
        <f t="shared" si="4"/>
        <v>0</v>
      </c>
      <c r="AO13" s="39"/>
      <c r="AP13" s="39"/>
      <c r="AQ13" s="39"/>
      <c r="AR13" s="39"/>
      <c r="AS13" s="39"/>
      <c r="AT13" s="39">
        <f t="shared" si="5"/>
        <v>0</v>
      </c>
      <c r="AU13" s="39"/>
      <c r="AV13" s="39"/>
      <c r="AW13" s="39"/>
      <c r="AX13" s="39"/>
      <c r="AY13" s="39"/>
      <c r="AZ13" s="39">
        <f t="shared" si="6"/>
        <v>0</v>
      </c>
      <c r="BA13" s="39"/>
      <c r="BB13" s="39"/>
      <c r="BC13" s="39"/>
      <c r="BD13" s="39"/>
      <c r="BE13" s="39"/>
      <c r="BF13" s="39">
        <f t="shared" si="7"/>
        <v>0</v>
      </c>
      <c r="BG13" s="39"/>
      <c r="BH13" s="39"/>
      <c r="BI13" s="39"/>
      <c r="BJ13" s="39"/>
      <c r="BK13" s="39"/>
      <c r="BL13" s="39">
        <f t="shared" si="8"/>
        <v>0</v>
      </c>
      <c r="BM13" s="54" t="str">
        <f t="shared" si="9"/>
        <v/>
      </c>
      <c r="BN13" s="56">
        <v>46246</v>
      </c>
      <c r="BO13" s="57">
        <v>46259</v>
      </c>
      <c r="BP13" s="57">
        <v>46266</v>
      </c>
      <c r="BQ13" s="57">
        <v>46272</v>
      </c>
      <c r="BR13" s="57">
        <v>46260</v>
      </c>
      <c r="BS13" s="57">
        <v>46260</v>
      </c>
      <c r="BT13" s="39">
        <v>1889</v>
      </c>
      <c r="BU13" s="39">
        <v>218</v>
      </c>
      <c r="BV13" s="39"/>
      <c r="BW13" s="39"/>
      <c r="BX13" s="39"/>
      <c r="BY13" s="39"/>
      <c r="BZ13" s="39">
        <f t="shared" si="10"/>
        <v>218</v>
      </c>
      <c r="CA13" s="39">
        <f t="shared" si="11"/>
        <v>-1</v>
      </c>
      <c r="CB13" s="39">
        <f t="shared" si="12"/>
        <v>0</v>
      </c>
      <c r="CC13" s="39">
        <f t="shared" si="13"/>
        <v>0</v>
      </c>
      <c r="CD13" s="39">
        <v>0</v>
      </c>
      <c r="CE13" s="102">
        <f t="shared" si="15"/>
        <v>0</v>
      </c>
      <c r="CF13" s="36" t="s">
        <v>408</v>
      </c>
      <c r="CG13" s="39" t="s">
        <v>282</v>
      </c>
      <c r="CH13" s="39"/>
      <c r="CI13" s="25">
        <v>1</v>
      </c>
    </row>
    <row r="14" spans="1:147" ht="24.75" customHeight="1">
      <c r="A14" s="36" t="s">
        <v>50</v>
      </c>
      <c r="B14" s="104">
        <v>48062</v>
      </c>
      <c r="C14" s="227">
        <v>13264488</v>
      </c>
      <c r="D14" s="36" t="s">
        <v>37</v>
      </c>
      <c r="E14" s="39">
        <v>220</v>
      </c>
      <c r="F14" s="39" t="s">
        <v>56</v>
      </c>
      <c r="G14" s="36" t="s">
        <v>1075</v>
      </c>
      <c r="H14" s="36" t="s">
        <v>300</v>
      </c>
      <c r="I14" s="39">
        <v>481</v>
      </c>
      <c r="J14" s="39"/>
      <c r="K14" s="39"/>
      <c r="L14" s="39">
        <f t="shared" si="0"/>
        <v>481</v>
      </c>
      <c r="M14" s="117">
        <v>46228</v>
      </c>
      <c r="N14" s="117">
        <v>46240</v>
      </c>
      <c r="O14" s="39"/>
      <c r="P14" s="39"/>
      <c r="Q14" s="39"/>
      <c r="R14" s="39">
        <f t="shared" si="17"/>
        <v>0</v>
      </c>
      <c r="S14" s="39" t="s">
        <v>130</v>
      </c>
      <c r="T14" s="39">
        <v>108388</v>
      </c>
      <c r="U14" s="117">
        <v>46241</v>
      </c>
      <c r="V14" s="39"/>
      <c r="W14" s="39"/>
      <c r="X14" s="39"/>
      <c r="Y14" s="39">
        <v>539</v>
      </c>
      <c r="Z14" s="39"/>
      <c r="AA14" s="39"/>
      <c r="AB14" s="119">
        <f t="shared" si="2"/>
        <v>539</v>
      </c>
      <c r="AC14" s="39" t="s">
        <v>268</v>
      </c>
      <c r="AD14" s="117">
        <v>46244</v>
      </c>
      <c r="AE14" s="39">
        <v>490</v>
      </c>
      <c r="AF14" s="117">
        <v>46263</v>
      </c>
      <c r="AG14" s="39">
        <v>478</v>
      </c>
      <c r="AH14" s="39">
        <f t="shared" si="3"/>
        <v>-12</v>
      </c>
      <c r="AI14" s="39"/>
      <c r="AJ14" s="39"/>
      <c r="AK14" s="39"/>
      <c r="AL14" s="39"/>
      <c r="AM14" s="39"/>
      <c r="AN14" s="39">
        <f t="shared" si="4"/>
        <v>0</v>
      </c>
      <c r="AO14" s="39"/>
      <c r="AP14" s="39"/>
      <c r="AQ14" s="39"/>
      <c r="AR14" s="39"/>
      <c r="AS14" s="39"/>
      <c r="AT14" s="39">
        <f t="shared" si="5"/>
        <v>0</v>
      </c>
      <c r="AU14" s="39"/>
      <c r="AV14" s="39"/>
      <c r="AW14" s="39"/>
      <c r="AX14" s="39"/>
      <c r="AY14" s="39"/>
      <c r="AZ14" s="39">
        <f t="shared" si="6"/>
        <v>0</v>
      </c>
      <c r="BA14" s="39"/>
      <c r="BB14" s="39"/>
      <c r="BC14" s="39"/>
      <c r="BD14" s="39"/>
      <c r="BE14" s="39"/>
      <c r="BF14" s="39">
        <f t="shared" si="7"/>
        <v>0</v>
      </c>
      <c r="BG14" s="39"/>
      <c r="BH14" s="39"/>
      <c r="BI14" s="39"/>
      <c r="BJ14" s="39"/>
      <c r="BK14" s="39"/>
      <c r="BL14" s="39">
        <f t="shared" si="8"/>
        <v>0</v>
      </c>
      <c r="BM14" s="54" t="str">
        <f t="shared" si="9"/>
        <v/>
      </c>
      <c r="BN14" s="56">
        <v>46246</v>
      </c>
      <c r="BO14" s="57">
        <v>46260</v>
      </c>
      <c r="BP14" s="57">
        <v>46266</v>
      </c>
      <c r="BQ14" s="57">
        <v>46273</v>
      </c>
      <c r="BR14" s="57">
        <v>46282</v>
      </c>
      <c r="BS14" s="36"/>
      <c r="BT14" s="39">
        <v>914</v>
      </c>
      <c r="BU14" s="39">
        <v>452</v>
      </c>
      <c r="BV14" s="39"/>
      <c r="BW14" s="39"/>
      <c r="BX14" s="39"/>
      <c r="BY14" s="39"/>
      <c r="BZ14" s="39">
        <f t="shared" si="10"/>
        <v>452</v>
      </c>
      <c r="CA14" s="39">
        <f t="shared" si="11"/>
        <v>-29</v>
      </c>
      <c r="CB14" s="39">
        <f t="shared" si="12"/>
        <v>0</v>
      </c>
      <c r="CC14" s="39">
        <f t="shared" si="13"/>
        <v>0</v>
      </c>
      <c r="CD14" s="39">
        <f t="shared" si="14"/>
        <v>-29</v>
      </c>
      <c r="CE14" s="102">
        <f t="shared" si="15"/>
        <v>-6.0291060291060294E-2</v>
      </c>
      <c r="CF14" s="36" t="s">
        <v>408</v>
      </c>
      <c r="CG14" s="39" t="s">
        <v>282</v>
      </c>
      <c r="CH14" s="39"/>
      <c r="CI14" s="25">
        <v>1</v>
      </c>
    </row>
    <row r="15" spans="1:147" ht="24.75" customHeight="1">
      <c r="A15" s="36" t="s">
        <v>50</v>
      </c>
      <c r="B15" s="104">
        <v>48062</v>
      </c>
      <c r="C15" s="228"/>
      <c r="D15" s="36" t="s">
        <v>37</v>
      </c>
      <c r="E15" s="39">
        <v>220</v>
      </c>
      <c r="F15" s="39" t="s">
        <v>56</v>
      </c>
      <c r="G15" s="36" t="s">
        <v>323</v>
      </c>
      <c r="H15" s="36" t="s">
        <v>300</v>
      </c>
      <c r="I15" s="39">
        <v>399</v>
      </c>
      <c r="J15" s="39"/>
      <c r="K15" s="39"/>
      <c r="L15" s="39">
        <f t="shared" si="0"/>
        <v>399</v>
      </c>
      <c r="M15" s="117">
        <v>46228</v>
      </c>
      <c r="N15" s="117">
        <v>46240</v>
      </c>
      <c r="O15" s="39"/>
      <c r="P15" s="39"/>
      <c r="Q15" s="39"/>
      <c r="R15" s="39">
        <f t="shared" si="17"/>
        <v>0</v>
      </c>
      <c r="S15" s="39" t="s">
        <v>130</v>
      </c>
      <c r="T15" s="39">
        <v>108605</v>
      </c>
      <c r="U15" s="117">
        <v>46248</v>
      </c>
      <c r="V15" s="39"/>
      <c r="W15" s="39"/>
      <c r="X15" s="39"/>
      <c r="Y15" s="39">
        <v>445</v>
      </c>
      <c r="Z15" s="39"/>
      <c r="AA15" s="39"/>
      <c r="AB15" s="119">
        <f t="shared" si="2"/>
        <v>445</v>
      </c>
      <c r="AC15" s="39" t="s">
        <v>268</v>
      </c>
      <c r="AD15" s="117">
        <v>46252</v>
      </c>
      <c r="AE15" s="39">
        <v>405</v>
      </c>
      <c r="AF15" s="117">
        <v>46254</v>
      </c>
      <c r="AG15" s="39">
        <v>398</v>
      </c>
      <c r="AH15" s="39">
        <f t="shared" si="3"/>
        <v>-7</v>
      </c>
      <c r="AI15" s="39"/>
      <c r="AJ15" s="39"/>
      <c r="AK15" s="39"/>
      <c r="AL15" s="39"/>
      <c r="AM15" s="39"/>
      <c r="AN15" s="39">
        <f t="shared" si="4"/>
        <v>0</v>
      </c>
      <c r="AO15" s="39"/>
      <c r="AP15" s="39"/>
      <c r="AQ15" s="39"/>
      <c r="AR15" s="39"/>
      <c r="AS15" s="39"/>
      <c r="AT15" s="39">
        <f t="shared" si="5"/>
        <v>0</v>
      </c>
      <c r="AU15" s="39"/>
      <c r="AV15" s="39"/>
      <c r="AW15" s="39"/>
      <c r="AX15" s="39"/>
      <c r="AY15" s="39"/>
      <c r="AZ15" s="39">
        <f t="shared" si="6"/>
        <v>0</v>
      </c>
      <c r="BA15" s="39"/>
      <c r="BB15" s="39"/>
      <c r="BC15" s="39"/>
      <c r="BD15" s="39"/>
      <c r="BE15" s="39"/>
      <c r="BF15" s="39">
        <f t="shared" si="7"/>
        <v>0</v>
      </c>
      <c r="BG15" s="39"/>
      <c r="BH15" s="39"/>
      <c r="BI15" s="39"/>
      <c r="BJ15" s="39"/>
      <c r="BK15" s="39"/>
      <c r="BL15" s="39">
        <f t="shared" si="8"/>
        <v>0</v>
      </c>
      <c r="BM15" s="54" t="str">
        <f t="shared" si="9"/>
        <v/>
      </c>
      <c r="BN15" s="56">
        <v>46246</v>
      </c>
      <c r="BO15" s="57">
        <v>46260</v>
      </c>
      <c r="BP15" s="57">
        <v>46266</v>
      </c>
      <c r="BQ15" s="57">
        <v>46273</v>
      </c>
      <c r="BR15" s="57">
        <v>46256</v>
      </c>
      <c r="BS15" s="57">
        <v>46256</v>
      </c>
      <c r="BT15" s="39">
        <v>1882</v>
      </c>
      <c r="BU15" s="39">
        <f>61+339</f>
        <v>400</v>
      </c>
      <c r="BV15" s="39"/>
      <c r="BW15" s="39"/>
      <c r="BX15" s="39"/>
      <c r="BY15" s="39"/>
      <c r="BZ15" s="39">
        <f t="shared" si="10"/>
        <v>400</v>
      </c>
      <c r="CA15" s="39">
        <f t="shared" si="11"/>
        <v>1</v>
      </c>
      <c r="CB15" s="39">
        <f t="shared" si="12"/>
        <v>0</v>
      </c>
      <c r="CC15" s="39">
        <f t="shared" si="13"/>
        <v>0</v>
      </c>
      <c r="CD15" s="39">
        <f t="shared" si="14"/>
        <v>0</v>
      </c>
      <c r="CE15" s="102">
        <f t="shared" si="15"/>
        <v>0</v>
      </c>
      <c r="CF15" s="36" t="s">
        <v>408</v>
      </c>
      <c r="CG15" s="39" t="s">
        <v>282</v>
      </c>
      <c r="CH15" s="39"/>
      <c r="CI15" s="25">
        <v>1</v>
      </c>
    </row>
    <row r="16" spans="1:147" ht="24.75" customHeight="1">
      <c r="A16" s="36" t="s">
        <v>50</v>
      </c>
      <c r="B16" s="104">
        <v>48008</v>
      </c>
      <c r="C16" s="227">
        <v>13264361</v>
      </c>
      <c r="D16" s="36" t="s">
        <v>37</v>
      </c>
      <c r="E16" s="39">
        <v>240</v>
      </c>
      <c r="F16" s="39" t="s">
        <v>55</v>
      </c>
      <c r="G16" s="36" t="s">
        <v>1291</v>
      </c>
      <c r="H16" s="36" t="s">
        <v>402</v>
      </c>
      <c r="I16" s="39">
        <v>212</v>
      </c>
      <c r="J16" s="39">
        <v>95</v>
      </c>
      <c r="K16" s="39"/>
      <c r="L16" s="39">
        <f t="shared" si="0"/>
        <v>307</v>
      </c>
      <c r="M16" s="117">
        <v>46236</v>
      </c>
      <c r="N16" s="117">
        <v>46244</v>
      </c>
      <c r="O16" s="39"/>
      <c r="P16" s="39"/>
      <c r="Q16" s="39"/>
      <c r="R16" s="39">
        <f t="shared" si="17"/>
        <v>0</v>
      </c>
      <c r="S16" s="39" t="s">
        <v>28</v>
      </c>
      <c r="T16" s="39"/>
      <c r="U16" s="39"/>
      <c r="V16" s="117">
        <v>46214</v>
      </c>
      <c r="W16" s="39">
        <f>245+111</f>
        <v>356</v>
      </c>
      <c r="X16" s="117">
        <v>46221</v>
      </c>
      <c r="Y16" s="39">
        <v>228</v>
      </c>
      <c r="Z16" s="39"/>
      <c r="AA16" s="39"/>
      <c r="AB16" s="120">
        <f t="shared" si="2"/>
        <v>228</v>
      </c>
      <c r="AC16" s="39" t="s">
        <v>268</v>
      </c>
      <c r="AD16" s="117">
        <v>46234</v>
      </c>
      <c r="AE16" s="39">
        <v>226</v>
      </c>
      <c r="AF16" s="117">
        <v>46266</v>
      </c>
      <c r="AG16" s="39">
        <v>227</v>
      </c>
      <c r="AH16" s="39">
        <f t="shared" si="3"/>
        <v>1</v>
      </c>
      <c r="AI16" s="39"/>
      <c r="AJ16" s="39"/>
      <c r="AK16" s="39"/>
      <c r="AL16" s="39"/>
      <c r="AM16" s="39"/>
      <c r="AN16" s="39">
        <f t="shared" si="4"/>
        <v>0</v>
      </c>
      <c r="AO16" s="39"/>
      <c r="AP16" s="39"/>
      <c r="AQ16" s="39"/>
      <c r="AR16" s="39"/>
      <c r="AS16" s="39"/>
      <c r="AT16" s="39">
        <f t="shared" si="5"/>
        <v>0</v>
      </c>
      <c r="AU16" s="39"/>
      <c r="AV16" s="39"/>
      <c r="AW16" s="39"/>
      <c r="AX16" s="39"/>
      <c r="AY16" s="39"/>
      <c r="AZ16" s="39">
        <f t="shared" si="6"/>
        <v>0</v>
      </c>
      <c r="BA16" s="39"/>
      <c r="BB16" s="39"/>
      <c r="BC16" s="39"/>
      <c r="BD16" s="39"/>
      <c r="BE16" s="39"/>
      <c r="BF16" s="39">
        <f t="shared" si="7"/>
        <v>0</v>
      </c>
      <c r="BG16" s="39"/>
      <c r="BH16" s="39"/>
      <c r="BI16" s="39"/>
      <c r="BJ16" s="39"/>
      <c r="BK16" s="39"/>
      <c r="BL16" s="39">
        <f t="shared" si="8"/>
        <v>0</v>
      </c>
      <c r="BM16" s="54">
        <f t="shared" ca="1" si="9"/>
        <v>46283</v>
      </c>
      <c r="BN16" s="56">
        <v>46248</v>
      </c>
      <c r="BO16" s="57">
        <v>46262</v>
      </c>
      <c r="BP16" s="57">
        <v>46266</v>
      </c>
      <c r="BQ16" s="57">
        <v>46275</v>
      </c>
      <c r="BR16" s="57">
        <v>46272</v>
      </c>
      <c r="BS16" s="36"/>
      <c r="BT16" s="39" t="s">
        <v>2975</v>
      </c>
      <c r="BU16" s="39">
        <f>172+46</f>
        <v>218</v>
      </c>
      <c r="BV16" s="39"/>
      <c r="BW16" s="39"/>
      <c r="BX16" s="39"/>
      <c r="BY16" s="39"/>
      <c r="BZ16" s="39">
        <f t="shared" si="10"/>
        <v>218</v>
      </c>
      <c r="CA16" s="39">
        <f t="shared" si="11"/>
        <v>6</v>
      </c>
      <c r="CB16" s="39">
        <f t="shared" si="12"/>
        <v>-95</v>
      </c>
      <c r="CC16" s="39">
        <f t="shared" si="13"/>
        <v>0</v>
      </c>
      <c r="CD16" s="39">
        <f t="shared" si="14"/>
        <v>-95</v>
      </c>
      <c r="CE16" s="102">
        <f t="shared" si="15"/>
        <v>-0.30944625407166126</v>
      </c>
      <c r="CF16" s="36" t="s">
        <v>248</v>
      </c>
      <c r="CG16" s="39" t="s">
        <v>492</v>
      </c>
      <c r="CH16" s="39" t="s">
        <v>561</v>
      </c>
      <c r="CI16" s="25">
        <v>1</v>
      </c>
    </row>
    <row r="17" spans="1:87" ht="24.75" customHeight="1">
      <c r="A17" s="36" t="s">
        <v>50</v>
      </c>
      <c r="B17" s="104">
        <v>48008</v>
      </c>
      <c r="C17" s="228"/>
      <c r="D17" s="36" t="s">
        <v>37</v>
      </c>
      <c r="E17" s="39">
        <v>240</v>
      </c>
      <c r="F17" s="39" t="s">
        <v>55</v>
      </c>
      <c r="G17" s="36" t="s">
        <v>323</v>
      </c>
      <c r="H17" s="36" t="s">
        <v>402</v>
      </c>
      <c r="I17" s="39">
        <v>265</v>
      </c>
      <c r="J17" s="39">
        <v>119</v>
      </c>
      <c r="K17" s="39"/>
      <c r="L17" s="39">
        <f t="shared" si="0"/>
        <v>384</v>
      </c>
      <c r="M17" s="117">
        <v>46236</v>
      </c>
      <c r="N17" s="117">
        <v>46244</v>
      </c>
      <c r="O17" s="39"/>
      <c r="P17" s="39"/>
      <c r="Q17" s="39"/>
      <c r="R17" s="39">
        <f t="shared" si="17"/>
        <v>0</v>
      </c>
      <c r="S17" s="39" t="s">
        <v>130</v>
      </c>
      <c r="T17" s="39" t="s">
        <v>2285</v>
      </c>
      <c r="U17" s="117" t="s">
        <v>2286</v>
      </c>
      <c r="V17" s="39"/>
      <c r="W17" s="39"/>
      <c r="X17" s="39"/>
      <c r="Y17" s="39">
        <f>184+117</f>
        <v>301</v>
      </c>
      <c r="Z17" s="39">
        <f>85+54</f>
        <v>139</v>
      </c>
      <c r="AA17" s="39"/>
      <c r="AB17" s="119">
        <f t="shared" si="2"/>
        <v>440</v>
      </c>
      <c r="AC17" s="39" t="s">
        <v>268</v>
      </c>
      <c r="AD17" s="117" t="s">
        <v>2348</v>
      </c>
      <c r="AE17" s="39">
        <f>135+109</f>
        <v>244</v>
      </c>
      <c r="AF17" s="117">
        <v>46255</v>
      </c>
      <c r="AG17" s="39">
        <f>134+113</f>
        <v>247</v>
      </c>
      <c r="AH17" s="39">
        <f t="shared" si="3"/>
        <v>3</v>
      </c>
      <c r="AI17" s="39"/>
      <c r="AJ17" s="39"/>
      <c r="AK17" s="39"/>
      <c r="AL17" s="39"/>
      <c r="AM17" s="39"/>
      <c r="AN17" s="39">
        <f t="shared" si="4"/>
        <v>0</v>
      </c>
      <c r="AO17" s="39"/>
      <c r="AP17" s="39"/>
      <c r="AQ17" s="39"/>
      <c r="AR17" s="39"/>
      <c r="AS17" s="39"/>
      <c r="AT17" s="39">
        <f t="shared" si="5"/>
        <v>0</v>
      </c>
      <c r="AU17" s="39"/>
      <c r="AV17" s="39"/>
      <c r="AW17" s="39"/>
      <c r="AX17" s="39"/>
      <c r="AY17" s="39"/>
      <c r="AZ17" s="39">
        <f t="shared" si="6"/>
        <v>0</v>
      </c>
      <c r="BA17" s="39"/>
      <c r="BB17" s="39"/>
      <c r="BC17" s="39"/>
      <c r="BD17" s="39"/>
      <c r="BE17" s="39"/>
      <c r="BF17" s="39">
        <f t="shared" si="7"/>
        <v>0</v>
      </c>
      <c r="BG17" s="39"/>
      <c r="BH17" s="39"/>
      <c r="BI17" s="39"/>
      <c r="BJ17" s="39"/>
      <c r="BK17" s="39"/>
      <c r="BL17" s="39">
        <f t="shared" si="8"/>
        <v>0</v>
      </c>
      <c r="BM17" s="54" t="str">
        <f t="shared" si="9"/>
        <v/>
      </c>
      <c r="BN17" s="56">
        <v>46248</v>
      </c>
      <c r="BO17" s="57">
        <v>46262</v>
      </c>
      <c r="BP17" s="57">
        <v>46266</v>
      </c>
      <c r="BQ17" s="57">
        <v>46275</v>
      </c>
      <c r="BR17" s="57">
        <v>46259</v>
      </c>
      <c r="BS17" s="57">
        <v>46265</v>
      </c>
      <c r="BT17" s="39">
        <v>723</v>
      </c>
      <c r="BU17" s="39">
        <f>132+118</f>
        <v>250</v>
      </c>
      <c r="BV17" s="39">
        <v>1037</v>
      </c>
      <c r="BW17" s="39">
        <f>84+56</f>
        <v>140</v>
      </c>
      <c r="BX17" s="39"/>
      <c r="BY17" s="39"/>
      <c r="BZ17" s="39">
        <f t="shared" si="10"/>
        <v>390</v>
      </c>
      <c r="CA17" s="39">
        <f t="shared" si="11"/>
        <v>-15</v>
      </c>
      <c r="CB17" s="39">
        <f t="shared" si="12"/>
        <v>21</v>
      </c>
      <c r="CC17" s="39">
        <f t="shared" si="13"/>
        <v>0</v>
      </c>
      <c r="CD17" s="39">
        <v>0</v>
      </c>
      <c r="CE17" s="102">
        <f t="shared" si="15"/>
        <v>0</v>
      </c>
      <c r="CF17" s="36" t="s">
        <v>248</v>
      </c>
      <c r="CG17" s="39" t="s">
        <v>492</v>
      </c>
      <c r="CH17" s="39"/>
      <c r="CI17" s="25">
        <v>1</v>
      </c>
    </row>
    <row r="18" spans="1:87" ht="24.75" customHeight="1">
      <c r="A18" s="36" t="s">
        <v>50</v>
      </c>
      <c r="B18" s="104">
        <v>48097</v>
      </c>
      <c r="C18" s="227" t="s">
        <v>2146</v>
      </c>
      <c r="D18" s="36"/>
      <c r="E18" s="39">
        <v>200</v>
      </c>
      <c r="F18" s="39" t="s">
        <v>60</v>
      </c>
      <c r="G18" s="36" t="s">
        <v>1442</v>
      </c>
      <c r="H18" s="36" t="s">
        <v>91</v>
      </c>
      <c r="I18" s="39">
        <v>172</v>
      </c>
      <c r="J18" s="39"/>
      <c r="K18" s="39">
        <v>11</v>
      </c>
      <c r="L18" s="39">
        <f t="shared" si="0"/>
        <v>183</v>
      </c>
      <c r="M18" s="117">
        <v>46238</v>
      </c>
      <c r="N18" s="117">
        <v>46248</v>
      </c>
      <c r="O18" s="39"/>
      <c r="P18" s="39"/>
      <c r="Q18" s="39"/>
      <c r="R18" s="39">
        <f t="shared" si="17"/>
        <v>0</v>
      </c>
      <c r="S18" s="39" t="s">
        <v>28</v>
      </c>
      <c r="T18" s="39"/>
      <c r="U18" s="39"/>
      <c r="V18" s="117">
        <v>46253</v>
      </c>
      <c r="W18" s="39">
        <f>210+14</f>
        <v>224</v>
      </c>
      <c r="X18" s="39"/>
      <c r="Y18" s="39"/>
      <c r="Z18" s="39"/>
      <c r="AA18" s="39"/>
      <c r="AB18" s="118">
        <f t="shared" si="2"/>
        <v>0</v>
      </c>
      <c r="AC18" s="39"/>
      <c r="AD18" s="39"/>
      <c r="AE18" s="39"/>
      <c r="AF18" s="39"/>
      <c r="AG18" s="39"/>
      <c r="AH18" s="39">
        <f t="shared" si="3"/>
        <v>0</v>
      </c>
      <c r="AI18" s="39"/>
      <c r="AJ18" s="39"/>
      <c r="AK18" s="39"/>
      <c r="AL18" s="39"/>
      <c r="AM18" s="39"/>
      <c r="AN18" s="39">
        <f t="shared" si="4"/>
        <v>0</v>
      </c>
      <c r="AO18" s="39"/>
      <c r="AP18" s="39"/>
      <c r="AQ18" s="39"/>
      <c r="AR18" s="39"/>
      <c r="AS18" s="39"/>
      <c r="AT18" s="39">
        <f t="shared" si="5"/>
        <v>0</v>
      </c>
      <c r="AU18" s="39"/>
      <c r="AV18" s="39"/>
      <c r="AW18" s="39"/>
      <c r="AX18" s="39"/>
      <c r="AY18" s="39"/>
      <c r="AZ18" s="39">
        <f t="shared" si="6"/>
        <v>0</v>
      </c>
      <c r="BA18" s="39"/>
      <c r="BB18" s="39"/>
      <c r="BC18" s="39"/>
      <c r="BD18" s="39"/>
      <c r="BE18" s="39"/>
      <c r="BF18" s="39">
        <f t="shared" si="7"/>
        <v>0</v>
      </c>
      <c r="BG18" s="39"/>
      <c r="BH18" s="39"/>
      <c r="BI18" s="39"/>
      <c r="BJ18" s="39"/>
      <c r="BK18" s="39"/>
      <c r="BL18" s="39">
        <f t="shared" si="8"/>
        <v>0</v>
      </c>
      <c r="BM18" s="54">
        <f t="shared" ca="1" si="9"/>
        <v>46283</v>
      </c>
      <c r="BN18" s="56">
        <v>46254</v>
      </c>
      <c r="BO18" s="57">
        <v>46270</v>
      </c>
      <c r="BP18" s="57"/>
      <c r="BQ18" s="57"/>
      <c r="BR18" s="36"/>
      <c r="BS18" s="36"/>
      <c r="BT18" s="39"/>
      <c r="BU18" s="39"/>
      <c r="BV18" s="39"/>
      <c r="BW18" s="39"/>
      <c r="BX18" s="39"/>
      <c r="BY18" s="39"/>
      <c r="BZ18" s="39">
        <f t="shared" si="10"/>
        <v>0</v>
      </c>
      <c r="CA18" s="39">
        <f t="shared" si="11"/>
        <v>-172</v>
      </c>
      <c r="CB18" s="39">
        <f t="shared" si="12"/>
        <v>0</v>
      </c>
      <c r="CC18" s="39">
        <f t="shared" si="13"/>
        <v>-11</v>
      </c>
      <c r="CD18" s="39">
        <f t="shared" si="14"/>
        <v>-183</v>
      </c>
      <c r="CE18" s="102">
        <f t="shared" si="15"/>
        <v>-1</v>
      </c>
      <c r="CF18" s="36"/>
      <c r="CG18" s="39" t="s">
        <v>228</v>
      </c>
      <c r="CH18" s="39"/>
      <c r="CI18" s="25">
        <v>1</v>
      </c>
    </row>
    <row r="19" spans="1:87" ht="24.75" customHeight="1">
      <c r="A19" s="36" t="s">
        <v>50</v>
      </c>
      <c r="B19" s="104">
        <v>48097</v>
      </c>
      <c r="C19" s="231"/>
      <c r="D19" s="36" t="s">
        <v>37</v>
      </c>
      <c r="E19" s="39">
        <v>200</v>
      </c>
      <c r="F19" s="39" t="s">
        <v>60</v>
      </c>
      <c r="G19" s="36" t="s">
        <v>1443</v>
      </c>
      <c r="H19" s="36" t="s">
        <v>91</v>
      </c>
      <c r="I19" s="39">
        <v>510</v>
      </c>
      <c r="J19" s="39"/>
      <c r="K19" s="39"/>
      <c r="L19" s="39">
        <f t="shared" si="0"/>
        <v>510</v>
      </c>
      <c r="M19" s="117">
        <v>46238</v>
      </c>
      <c r="N19" s="117">
        <v>46248</v>
      </c>
      <c r="O19" s="39"/>
      <c r="P19" s="39"/>
      <c r="Q19" s="39"/>
      <c r="R19" s="39">
        <f t="shared" si="17"/>
        <v>0</v>
      </c>
      <c r="S19" s="39" t="s">
        <v>28</v>
      </c>
      <c r="T19" s="39"/>
      <c r="U19" s="39"/>
      <c r="V19" s="117">
        <v>46253</v>
      </c>
      <c r="W19" s="39">
        <f>556</f>
        <v>556</v>
      </c>
      <c r="X19" s="39"/>
      <c r="Y19" s="39"/>
      <c r="Z19" s="39"/>
      <c r="AA19" s="39"/>
      <c r="AB19" s="118">
        <f t="shared" si="2"/>
        <v>0</v>
      </c>
      <c r="AC19" s="39"/>
      <c r="AD19" s="39"/>
      <c r="AE19" s="39"/>
      <c r="AF19" s="39"/>
      <c r="AG19" s="39"/>
      <c r="AH19" s="39">
        <f t="shared" si="3"/>
        <v>0</v>
      </c>
      <c r="AI19" s="39"/>
      <c r="AJ19" s="39"/>
      <c r="AK19" s="39"/>
      <c r="AL19" s="39"/>
      <c r="AM19" s="39"/>
      <c r="AN19" s="39">
        <f t="shared" si="4"/>
        <v>0</v>
      </c>
      <c r="AO19" s="39"/>
      <c r="AP19" s="39"/>
      <c r="AQ19" s="39"/>
      <c r="AR19" s="39"/>
      <c r="AS19" s="39"/>
      <c r="AT19" s="39">
        <f t="shared" si="5"/>
        <v>0</v>
      </c>
      <c r="AU19" s="39"/>
      <c r="AV19" s="39"/>
      <c r="AW19" s="39"/>
      <c r="AX19" s="39"/>
      <c r="AY19" s="39"/>
      <c r="AZ19" s="39">
        <f t="shared" si="6"/>
        <v>0</v>
      </c>
      <c r="BA19" s="39"/>
      <c r="BB19" s="39"/>
      <c r="BC19" s="39"/>
      <c r="BD19" s="39"/>
      <c r="BE19" s="39"/>
      <c r="BF19" s="39">
        <f t="shared" si="7"/>
        <v>0</v>
      </c>
      <c r="BG19" s="39"/>
      <c r="BH19" s="39"/>
      <c r="BI19" s="39"/>
      <c r="BJ19" s="39"/>
      <c r="BK19" s="39"/>
      <c r="BL19" s="39">
        <f t="shared" si="8"/>
        <v>0</v>
      </c>
      <c r="BM19" s="54">
        <f t="shared" ca="1" si="9"/>
        <v>46283</v>
      </c>
      <c r="BN19" s="56">
        <v>46254</v>
      </c>
      <c r="BO19" s="57">
        <v>46270</v>
      </c>
      <c r="BP19" s="57">
        <v>46273</v>
      </c>
      <c r="BQ19" s="57">
        <v>46283</v>
      </c>
      <c r="BR19" s="36"/>
      <c r="BS19" s="36"/>
      <c r="BT19" s="39"/>
      <c r="BU19" s="39"/>
      <c r="BV19" s="39"/>
      <c r="BW19" s="39"/>
      <c r="BX19" s="39"/>
      <c r="BY19" s="39"/>
      <c r="BZ19" s="39">
        <f t="shared" si="10"/>
        <v>0</v>
      </c>
      <c r="CA19" s="39">
        <f t="shared" si="11"/>
        <v>-510</v>
      </c>
      <c r="CB19" s="39">
        <f t="shared" si="12"/>
        <v>0</v>
      </c>
      <c r="CC19" s="39">
        <f t="shared" si="13"/>
        <v>0</v>
      </c>
      <c r="CD19" s="39">
        <f t="shared" si="14"/>
        <v>-510</v>
      </c>
      <c r="CE19" s="102">
        <f t="shared" si="15"/>
        <v>-1</v>
      </c>
      <c r="CF19" s="36"/>
      <c r="CG19" s="39" t="s">
        <v>228</v>
      </c>
      <c r="CH19" s="39"/>
      <c r="CI19" s="25">
        <v>1</v>
      </c>
    </row>
    <row r="20" spans="1:87" ht="24.75" customHeight="1">
      <c r="A20" s="36" t="s">
        <v>50</v>
      </c>
      <c r="B20" s="104">
        <v>48097</v>
      </c>
      <c r="C20" s="231"/>
      <c r="D20" s="36"/>
      <c r="E20" s="39">
        <v>200</v>
      </c>
      <c r="F20" s="39" t="s">
        <v>60</v>
      </c>
      <c r="G20" s="36" t="s">
        <v>1444</v>
      </c>
      <c r="H20" s="36" t="s">
        <v>91</v>
      </c>
      <c r="I20" s="39">
        <v>185</v>
      </c>
      <c r="J20" s="39"/>
      <c r="K20" s="39">
        <v>12</v>
      </c>
      <c r="L20" s="39">
        <f t="shared" si="0"/>
        <v>197</v>
      </c>
      <c r="M20" s="117">
        <v>46238</v>
      </c>
      <c r="N20" s="117">
        <v>46248</v>
      </c>
      <c r="O20" s="39"/>
      <c r="P20" s="39"/>
      <c r="Q20" s="39"/>
      <c r="R20" s="39">
        <f t="shared" si="17"/>
        <v>0</v>
      </c>
      <c r="S20" s="39" t="s">
        <v>28</v>
      </c>
      <c r="T20" s="39"/>
      <c r="U20" s="39"/>
      <c r="V20" s="117">
        <v>46253</v>
      </c>
      <c r="W20" s="39" t="s">
        <v>2404</v>
      </c>
      <c r="X20" s="117">
        <v>46270</v>
      </c>
      <c r="Y20" s="39">
        <v>188</v>
      </c>
      <c r="Z20" s="39"/>
      <c r="AA20" s="39">
        <v>13</v>
      </c>
      <c r="AB20" s="119">
        <f t="shared" si="2"/>
        <v>201</v>
      </c>
      <c r="AC20" s="39"/>
      <c r="AD20" s="39"/>
      <c r="AE20" s="39"/>
      <c r="AF20" s="39"/>
      <c r="AG20" s="39"/>
      <c r="AH20" s="39">
        <f t="shared" si="3"/>
        <v>0</v>
      </c>
      <c r="AI20" s="39"/>
      <c r="AJ20" s="39"/>
      <c r="AK20" s="39"/>
      <c r="AL20" s="39"/>
      <c r="AM20" s="39"/>
      <c r="AN20" s="39">
        <f t="shared" si="4"/>
        <v>0</v>
      </c>
      <c r="AO20" s="39"/>
      <c r="AP20" s="39"/>
      <c r="AQ20" s="39"/>
      <c r="AR20" s="39"/>
      <c r="AS20" s="39"/>
      <c r="AT20" s="39">
        <f t="shared" si="5"/>
        <v>0</v>
      </c>
      <c r="AU20" s="39"/>
      <c r="AV20" s="39"/>
      <c r="AW20" s="39"/>
      <c r="AX20" s="39"/>
      <c r="AY20" s="39"/>
      <c r="AZ20" s="39">
        <f t="shared" si="6"/>
        <v>0</v>
      </c>
      <c r="BA20" s="39"/>
      <c r="BB20" s="39"/>
      <c r="BC20" s="39"/>
      <c r="BD20" s="39"/>
      <c r="BE20" s="39"/>
      <c r="BF20" s="39">
        <f t="shared" si="7"/>
        <v>0</v>
      </c>
      <c r="BG20" s="39"/>
      <c r="BH20" s="39"/>
      <c r="BI20" s="39"/>
      <c r="BJ20" s="39"/>
      <c r="BK20" s="39"/>
      <c r="BL20" s="39">
        <f t="shared" si="8"/>
        <v>0</v>
      </c>
      <c r="BM20" s="54" t="str">
        <f t="shared" si="9"/>
        <v/>
      </c>
      <c r="BN20" s="56">
        <v>46254</v>
      </c>
      <c r="BO20" s="57">
        <v>46270</v>
      </c>
      <c r="BP20" s="57"/>
      <c r="BQ20" s="57"/>
      <c r="BR20" s="57">
        <v>46272</v>
      </c>
      <c r="BS20" s="57">
        <v>46272</v>
      </c>
      <c r="BT20" s="39">
        <v>598</v>
      </c>
      <c r="BU20" s="39">
        <v>188</v>
      </c>
      <c r="BV20" s="39"/>
      <c r="BW20" s="39"/>
      <c r="BX20" s="39">
        <v>598</v>
      </c>
      <c r="BY20" s="39">
        <v>13</v>
      </c>
      <c r="BZ20" s="39">
        <f t="shared" si="10"/>
        <v>201</v>
      </c>
      <c r="CA20" s="39">
        <f t="shared" si="11"/>
        <v>3</v>
      </c>
      <c r="CB20" s="39">
        <f t="shared" si="12"/>
        <v>0</v>
      </c>
      <c r="CC20" s="39">
        <f t="shared" si="13"/>
        <v>1</v>
      </c>
      <c r="CD20" s="39">
        <f t="shared" si="14"/>
        <v>0</v>
      </c>
      <c r="CE20" s="102">
        <f t="shared" si="15"/>
        <v>0</v>
      </c>
      <c r="CF20" s="36"/>
      <c r="CG20" s="39" t="s">
        <v>228</v>
      </c>
      <c r="CH20" s="39"/>
      <c r="CI20" s="25">
        <v>1</v>
      </c>
    </row>
    <row r="21" spans="1:87" ht="24.75" customHeight="1">
      <c r="A21" s="36" t="s">
        <v>50</v>
      </c>
      <c r="B21" s="104">
        <v>48097</v>
      </c>
      <c r="C21" s="231"/>
      <c r="D21" s="36" t="s">
        <v>37</v>
      </c>
      <c r="E21" s="39">
        <v>200</v>
      </c>
      <c r="F21" s="39" t="s">
        <v>60</v>
      </c>
      <c r="G21" s="36" t="s">
        <v>1445</v>
      </c>
      <c r="H21" s="36" t="s">
        <v>91</v>
      </c>
      <c r="I21" s="39">
        <v>550</v>
      </c>
      <c r="J21" s="39"/>
      <c r="K21" s="39"/>
      <c r="L21" s="39">
        <f t="shared" ref="L21:L23" si="18">SUM(I21:K21)</f>
        <v>550</v>
      </c>
      <c r="M21" s="117">
        <v>46238</v>
      </c>
      <c r="N21" s="117">
        <v>46248</v>
      </c>
      <c r="O21" s="39"/>
      <c r="P21" s="39"/>
      <c r="Q21" s="39"/>
      <c r="R21" s="39">
        <f t="shared" si="17"/>
        <v>0</v>
      </c>
      <c r="S21" s="39" t="s">
        <v>28</v>
      </c>
      <c r="T21" s="39"/>
      <c r="U21" s="39"/>
      <c r="V21" s="117">
        <v>46253</v>
      </c>
      <c r="W21" s="39">
        <v>598</v>
      </c>
      <c r="X21" s="117">
        <v>46267</v>
      </c>
      <c r="Y21" s="39">
        <v>554</v>
      </c>
      <c r="Z21" s="39"/>
      <c r="AA21" s="39"/>
      <c r="AB21" s="119">
        <f t="shared" si="2"/>
        <v>554</v>
      </c>
      <c r="AC21" s="39" t="s">
        <v>268</v>
      </c>
      <c r="AD21" s="117">
        <v>46268</v>
      </c>
      <c r="AE21" s="39">
        <v>550</v>
      </c>
      <c r="AF21" s="117">
        <v>46275</v>
      </c>
      <c r="AG21" s="39">
        <v>544</v>
      </c>
      <c r="AH21" s="39">
        <f t="shared" si="3"/>
        <v>-6</v>
      </c>
      <c r="AI21" s="39"/>
      <c r="AJ21" s="39"/>
      <c r="AK21" s="39"/>
      <c r="AL21" s="39"/>
      <c r="AM21" s="39"/>
      <c r="AN21" s="39">
        <f t="shared" si="4"/>
        <v>0</v>
      </c>
      <c r="AO21" s="39"/>
      <c r="AP21" s="39"/>
      <c r="AQ21" s="39"/>
      <c r="AR21" s="39"/>
      <c r="AS21" s="39"/>
      <c r="AT21" s="39">
        <f t="shared" si="5"/>
        <v>0</v>
      </c>
      <c r="AU21" s="39"/>
      <c r="AV21" s="39"/>
      <c r="AW21" s="39"/>
      <c r="AX21" s="39"/>
      <c r="AY21" s="39"/>
      <c r="AZ21" s="39">
        <f t="shared" si="6"/>
        <v>0</v>
      </c>
      <c r="BA21" s="39"/>
      <c r="BB21" s="39"/>
      <c r="BC21" s="39"/>
      <c r="BD21" s="39"/>
      <c r="BE21" s="39"/>
      <c r="BF21" s="39">
        <f t="shared" si="7"/>
        <v>0</v>
      </c>
      <c r="BG21" s="39"/>
      <c r="BH21" s="39"/>
      <c r="BI21" s="39"/>
      <c r="BJ21" s="39"/>
      <c r="BK21" s="39"/>
      <c r="BL21" s="39">
        <f t="shared" si="8"/>
        <v>0</v>
      </c>
      <c r="BM21" s="54" t="str">
        <f t="shared" si="9"/>
        <v/>
      </c>
      <c r="BN21" s="56">
        <v>46254</v>
      </c>
      <c r="BO21" s="57">
        <v>46270</v>
      </c>
      <c r="BP21" s="57">
        <v>46273</v>
      </c>
      <c r="BQ21" s="57">
        <v>46283</v>
      </c>
      <c r="BR21" s="57">
        <v>46277</v>
      </c>
      <c r="BS21" s="57">
        <v>46277</v>
      </c>
      <c r="BT21" s="39">
        <v>809</v>
      </c>
      <c r="BU21" s="39">
        <f>82+462</f>
        <v>544</v>
      </c>
      <c r="BV21" s="39"/>
      <c r="BW21" s="39"/>
      <c r="BX21" s="39"/>
      <c r="BY21" s="39"/>
      <c r="BZ21" s="39">
        <f t="shared" si="10"/>
        <v>544</v>
      </c>
      <c r="CA21" s="39">
        <f t="shared" si="11"/>
        <v>-6</v>
      </c>
      <c r="CB21" s="39">
        <f t="shared" si="12"/>
        <v>0</v>
      </c>
      <c r="CC21" s="39">
        <f t="shared" si="13"/>
        <v>0</v>
      </c>
      <c r="CD21" s="39">
        <v>0</v>
      </c>
      <c r="CE21" s="102">
        <f t="shared" si="15"/>
        <v>0</v>
      </c>
      <c r="CF21" s="36"/>
      <c r="CG21" s="39" t="s">
        <v>228</v>
      </c>
      <c r="CH21" s="39"/>
      <c r="CI21" s="25">
        <v>1</v>
      </c>
    </row>
    <row r="22" spans="1:87" ht="24.75" customHeight="1">
      <c r="A22" s="36" t="s">
        <v>50</v>
      </c>
      <c r="B22" s="104">
        <v>48097</v>
      </c>
      <c r="C22" s="231"/>
      <c r="D22" s="36"/>
      <c r="E22" s="39">
        <v>200</v>
      </c>
      <c r="F22" s="39" t="s">
        <v>60</v>
      </c>
      <c r="G22" s="36" t="s">
        <v>1446</v>
      </c>
      <c r="H22" s="36" t="s">
        <v>91</v>
      </c>
      <c r="I22" s="39">
        <f>70+5</f>
        <v>75</v>
      </c>
      <c r="J22" s="39"/>
      <c r="K22" s="39">
        <f>207-200</f>
        <v>7</v>
      </c>
      <c r="L22" s="39">
        <f t="shared" si="18"/>
        <v>82</v>
      </c>
      <c r="M22" s="117">
        <v>46238</v>
      </c>
      <c r="N22" s="117">
        <v>46248</v>
      </c>
      <c r="O22" s="39"/>
      <c r="P22" s="39"/>
      <c r="Q22" s="39"/>
      <c r="R22" s="39">
        <f t="shared" si="17"/>
        <v>0</v>
      </c>
      <c r="S22" s="39" t="s">
        <v>28</v>
      </c>
      <c r="T22" s="39"/>
      <c r="U22" s="39"/>
      <c r="V22" s="117">
        <v>46253</v>
      </c>
      <c r="W22" s="39">
        <f>90+9</f>
        <v>99</v>
      </c>
      <c r="X22" s="117">
        <v>46274</v>
      </c>
      <c r="Y22" s="39">
        <v>77</v>
      </c>
      <c r="Z22" s="39"/>
      <c r="AA22" s="39">
        <v>8</v>
      </c>
      <c r="AB22" s="119">
        <f t="shared" si="2"/>
        <v>85</v>
      </c>
      <c r="AC22" s="39"/>
      <c r="AD22" s="39"/>
      <c r="AE22" s="39"/>
      <c r="AF22" s="39"/>
      <c r="AG22" s="39"/>
      <c r="AH22" s="39">
        <f t="shared" si="3"/>
        <v>0</v>
      </c>
      <c r="AI22" s="39"/>
      <c r="AJ22" s="39"/>
      <c r="AK22" s="39"/>
      <c r="AL22" s="39"/>
      <c r="AM22" s="39"/>
      <c r="AN22" s="39">
        <f t="shared" si="4"/>
        <v>0</v>
      </c>
      <c r="AO22" s="39"/>
      <c r="AP22" s="39"/>
      <c r="AQ22" s="39"/>
      <c r="AR22" s="39"/>
      <c r="AS22" s="39"/>
      <c r="AT22" s="39">
        <f t="shared" si="5"/>
        <v>0</v>
      </c>
      <c r="AU22" s="39"/>
      <c r="AV22" s="39"/>
      <c r="AW22" s="39"/>
      <c r="AX22" s="39"/>
      <c r="AY22" s="39"/>
      <c r="AZ22" s="39">
        <f t="shared" si="6"/>
        <v>0</v>
      </c>
      <c r="BA22" s="39"/>
      <c r="BB22" s="39"/>
      <c r="BC22" s="39"/>
      <c r="BD22" s="39"/>
      <c r="BE22" s="39"/>
      <c r="BF22" s="39">
        <f t="shared" si="7"/>
        <v>0</v>
      </c>
      <c r="BG22" s="39"/>
      <c r="BH22" s="39"/>
      <c r="BI22" s="39"/>
      <c r="BJ22" s="39"/>
      <c r="BK22" s="39"/>
      <c r="BL22" s="39">
        <f t="shared" si="8"/>
        <v>0</v>
      </c>
      <c r="BM22" s="54" t="str">
        <f t="shared" si="9"/>
        <v/>
      </c>
      <c r="BN22" s="56">
        <v>46254</v>
      </c>
      <c r="BO22" s="57">
        <v>46270</v>
      </c>
      <c r="BP22" s="57"/>
      <c r="BQ22" s="57"/>
      <c r="BR22" s="57">
        <v>46277</v>
      </c>
      <c r="BS22" s="57">
        <v>46277</v>
      </c>
      <c r="BT22" s="39">
        <v>968</v>
      </c>
      <c r="BU22" s="39">
        <v>77</v>
      </c>
      <c r="BV22" s="39"/>
      <c r="BW22" s="39"/>
      <c r="BX22" s="39">
        <v>968</v>
      </c>
      <c r="BY22" s="39">
        <v>8</v>
      </c>
      <c r="BZ22" s="39">
        <f t="shared" si="10"/>
        <v>85</v>
      </c>
      <c r="CA22" s="39">
        <f t="shared" si="11"/>
        <v>2</v>
      </c>
      <c r="CB22" s="39">
        <f t="shared" si="12"/>
        <v>0</v>
      </c>
      <c r="CC22" s="39">
        <f t="shared" si="13"/>
        <v>1</v>
      </c>
      <c r="CD22" s="39">
        <f t="shared" si="14"/>
        <v>0</v>
      </c>
      <c r="CE22" s="102">
        <f t="shared" si="15"/>
        <v>0</v>
      </c>
      <c r="CF22" s="36"/>
      <c r="CG22" s="39" t="s">
        <v>228</v>
      </c>
      <c r="CH22" s="39"/>
      <c r="CI22" s="25">
        <v>1</v>
      </c>
    </row>
    <row r="23" spans="1:87" ht="24.75" customHeight="1">
      <c r="A23" s="36" t="s">
        <v>50</v>
      </c>
      <c r="B23" s="104">
        <v>48097</v>
      </c>
      <c r="C23" s="228"/>
      <c r="D23" s="36" t="s">
        <v>37</v>
      </c>
      <c r="E23" s="39">
        <v>200</v>
      </c>
      <c r="F23" s="39" t="s">
        <v>60</v>
      </c>
      <c r="G23" s="36" t="s">
        <v>1447</v>
      </c>
      <c r="H23" s="36" t="s">
        <v>91</v>
      </c>
      <c r="I23" s="39">
        <v>214</v>
      </c>
      <c r="J23" s="39"/>
      <c r="K23" s="39"/>
      <c r="L23" s="39">
        <f t="shared" si="18"/>
        <v>214</v>
      </c>
      <c r="M23" s="117">
        <v>46238</v>
      </c>
      <c r="N23" s="117">
        <v>46248</v>
      </c>
      <c r="O23" s="39"/>
      <c r="P23" s="39"/>
      <c r="Q23" s="39"/>
      <c r="R23" s="39">
        <f t="shared" si="17"/>
        <v>0</v>
      </c>
      <c r="S23" s="39" t="s">
        <v>28</v>
      </c>
      <c r="T23" s="39"/>
      <c r="U23" s="39"/>
      <c r="V23" s="117">
        <v>46253</v>
      </c>
      <c r="W23" s="39">
        <v>234</v>
      </c>
      <c r="X23" s="117">
        <v>46264</v>
      </c>
      <c r="Y23" s="39">
        <v>223</v>
      </c>
      <c r="Z23" s="39"/>
      <c r="AA23" s="39"/>
      <c r="AB23" s="119">
        <f t="shared" si="2"/>
        <v>223</v>
      </c>
      <c r="AC23" s="39" t="s">
        <v>268</v>
      </c>
      <c r="AD23" s="117">
        <v>46268</v>
      </c>
      <c r="AE23" s="39">
        <v>224</v>
      </c>
      <c r="AF23" s="117">
        <v>46279</v>
      </c>
      <c r="AG23" s="39">
        <v>213</v>
      </c>
      <c r="AH23" s="39">
        <f t="shared" si="3"/>
        <v>-11</v>
      </c>
      <c r="AI23" s="39"/>
      <c r="AJ23" s="39"/>
      <c r="AK23" s="39"/>
      <c r="AL23" s="39"/>
      <c r="AM23" s="39"/>
      <c r="AN23" s="39">
        <f t="shared" si="4"/>
        <v>0</v>
      </c>
      <c r="AO23" s="39"/>
      <c r="AP23" s="39"/>
      <c r="AQ23" s="39"/>
      <c r="AR23" s="39"/>
      <c r="AS23" s="39"/>
      <c r="AT23" s="39">
        <f t="shared" si="5"/>
        <v>0</v>
      </c>
      <c r="AU23" s="39"/>
      <c r="AV23" s="39"/>
      <c r="AW23" s="39"/>
      <c r="AX23" s="39"/>
      <c r="AY23" s="39"/>
      <c r="AZ23" s="39">
        <f t="shared" si="6"/>
        <v>0</v>
      </c>
      <c r="BA23" s="39"/>
      <c r="BB23" s="39"/>
      <c r="BC23" s="39"/>
      <c r="BD23" s="39"/>
      <c r="BE23" s="39"/>
      <c r="BF23" s="39">
        <f t="shared" si="7"/>
        <v>0</v>
      </c>
      <c r="BG23" s="39"/>
      <c r="BH23" s="39"/>
      <c r="BI23" s="39"/>
      <c r="BJ23" s="39"/>
      <c r="BK23" s="39"/>
      <c r="BL23" s="39">
        <f t="shared" si="8"/>
        <v>0</v>
      </c>
      <c r="BM23" s="54" t="str">
        <f t="shared" si="9"/>
        <v/>
      </c>
      <c r="BN23" s="56">
        <v>46254</v>
      </c>
      <c r="BO23" s="57">
        <v>46270</v>
      </c>
      <c r="BP23" s="57">
        <v>46273</v>
      </c>
      <c r="BQ23" s="57">
        <v>46283</v>
      </c>
      <c r="BR23" s="57">
        <v>46281</v>
      </c>
      <c r="BS23" s="57">
        <v>46281</v>
      </c>
      <c r="BT23" s="39">
        <v>814</v>
      </c>
      <c r="BU23" s="39">
        <f>49+164</f>
        <v>213</v>
      </c>
      <c r="BV23" s="39"/>
      <c r="BW23" s="39"/>
      <c r="BX23" s="39"/>
      <c r="BY23" s="39"/>
      <c r="BZ23" s="39">
        <f t="shared" si="10"/>
        <v>213</v>
      </c>
      <c r="CA23" s="39">
        <f t="shared" si="11"/>
        <v>-1</v>
      </c>
      <c r="CB23" s="39">
        <f t="shared" si="12"/>
        <v>0</v>
      </c>
      <c r="CC23" s="39">
        <f t="shared" si="13"/>
        <v>0</v>
      </c>
      <c r="CD23" s="39">
        <v>0</v>
      </c>
      <c r="CE23" s="102">
        <f t="shared" si="15"/>
        <v>0</v>
      </c>
      <c r="CF23" s="36"/>
      <c r="CG23" s="39" t="s">
        <v>228</v>
      </c>
      <c r="CH23" s="39"/>
      <c r="CI23" s="25">
        <v>1</v>
      </c>
    </row>
    <row r="24" spans="1:87" ht="24.75" customHeight="1">
      <c r="A24" s="36" t="s">
        <v>50</v>
      </c>
      <c r="B24" s="104" t="s">
        <v>2193</v>
      </c>
      <c r="C24" s="227">
        <v>13246492</v>
      </c>
      <c r="D24" s="36" t="s">
        <v>37</v>
      </c>
      <c r="E24" s="39">
        <v>200</v>
      </c>
      <c r="F24" s="39" t="s">
        <v>60</v>
      </c>
      <c r="G24" s="36" t="s">
        <v>2194</v>
      </c>
      <c r="H24" s="36" t="s">
        <v>89</v>
      </c>
      <c r="I24" s="39">
        <v>61</v>
      </c>
      <c r="J24" s="39"/>
      <c r="K24" s="39"/>
      <c r="L24" s="39">
        <f t="shared" ref="L24:L25" si="19">SUM(I24:K24)</f>
        <v>61</v>
      </c>
      <c r="M24" s="117">
        <v>46248</v>
      </c>
      <c r="N24" s="117">
        <v>46256</v>
      </c>
      <c r="O24" s="39"/>
      <c r="P24" s="39"/>
      <c r="Q24" s="39"/>
      <c r="R24" s="39">
        <f t="shared" si="17"/>
        <v>0</v>
      </c>
      <c r="S24" s="39" t="s">
        <v>130</v>
      </c>
      <c r="T24" s="39">
        <v>109036</v>
      </c>
      <c r="U24" s="117">
        <v>46268</v>
      </c>
      <c r="V24" s="39"/>
      <c r="W24" s="39"/>
      <c r="X24" s="39"/>
      <c r="Y24" s="39">
        <v>77</v>
      </c>
      <c r="Z24" s="39"/>
      <c r="AA24" s="39"/>
      <c r="AB24" s="119">
        <f t="shared" si="2"/>
        <v>77</v>
      </c>
      <c r="AC24" s="39" t="s">
        <v>268</v>
      </c>
      <c r="AD24" s="117">
        <v>46270</v>
      </c>
      <c r="AE24" s="39">
        <v>69</v>
      </c>
      <c r="AF24" s="39"/>
      <c r="AG24" s="39"/>
      <c r="AH24" s="39">
        <f t="shared" si="3"/>
        <v>-69</v>
      </c>
      <c r="AI24" s="39"/>
      <c r="AJ24" s="39"/>
      <c r="AK24" s="39"/>
      <c r="AL24" s="39"/>
      <c r="AM24" s="39"/>
      <c r="AN24" s="39">
        <f t="shared" si="4"/>
        <v>0</v>
      </c>
      <c r="AO24" s="39"/>
      <c r="AP24" s="39"/>
      <c r="AQ24" s="39"/>
      <c r="AR24" s="39"/>
      <c r="AS24" s="39"/>
      <c r="AT24" s="39">
        <f t="shared" si="5"/>
        <v>0</v>
      </c>
      <c r="AU24" s="39"/>
      <c r="AV24" s="39"/>
      <c r="AW24" s="39"/>
      <c r="AX24" s="39"/>
      <c r="AY24" s="39"/>
      <c r="AZ24" s="39">
        <f t="shared" si="6"/>
        <v>0</v>
      </c>
      <c r="BA24" s="39"/>
      <c r="BB24" s="39"/>
      <c r="BC24" s="39"/>
      <c r="BD24" s="39"/>
      <c r="BE24" s="39"/>
      <c r="BF24" s="39">
        <f t="shared" si="7"/>
        <v>0</v>
      </c>
      <c r="BG24" s="39"/>
      <c r="BH24" s="39"/>
      <c r="BI24" s="39"/>
      <c r="BJ24" s="39"/>
      <c r="BK24" s="39"/>
      <c r="BL24" s="39">
        <f t="shared" si="8"/>
        <v>0</v>
      </c>
      <c r="BM24" s="54">
        <f t="shared" ca="1" si="9"/>
        <v>15</v>
      </c>
      <c r="BN24" s="58">
        <v>46260</v>
      </c>
      <c r="BO24" s="57">
        <v>46268</v>
      </c>
      <c r="BP24" s="57">
        <v>46270</v>
      </c>
      <c r="BQ24" s="57">
        <v>46277</v>
      </c>
      <c r="BR24" s="39"/>
      <c r="BS24" s="39"/>
      <c r="BT24" s="39"/>
      <c r="BU24" s="39"/>
      <c r="BV24" s="39"/>
      <c r="BW24" s="39"/>
      <c r="BX24" s="39"/>
      <c r="BY24" s="39"/>
      <c r="BZ24" s="39">
        <f t="shared" si="10"/>
        <v>0</v>
      </c>
      <c r="CA24" s="39">
        <f t="shared" si="11"/>
        <v>-61</v>
      </c>
      <c r="CB24" s="39">
        <f t="shared" si="12"/>
        <v>0</v>
      </c>
      <c r="CC24" s="39">
        <f t="shared" si="13"/>
        <v>0</v>
      </c>
      <c r="CD24" s="39">
        <f t="shared" si="14"/>
        <v>-61</v>
      </c>
      <c r="CE24" s="102">
        <f t="shared" si="15"/>
        <v>-1</v>
      </c>
      <c r="CF24" s="36" t="s">
        <v>292</v>
      </c>
      <c r="CG24" s="39" t="s">
        <v>281</v>
      </c>
      <c r="CH24" s="39"/>
      <c r="CI24" s="25">
        <v>1</v>
      </c>
    </row>
    <row r="25" spans="1:87" ht="24.75" customHeight="1">
      <c r="A25" s="36" t="s">
        <v>50</v>
      </c>
      <c r="B25" s="104" t="s">
        <v>2193</v>
      </c>
      <c r="C25" s="228"/>
      <c r="D25" s="36" t="s">
        <v>37</v>
      </c>
      <c r="E25" s="39">
        <v>200</v>
      </c>
      <c r="F25" s="39" t="s">
        <v>60</v>
      </c>
      <c r="G25" s="36" t="s">
        <v>1092</v>
      </c>
      <c r="H25" s="36" t="s">
        <v>89</v>
      </c>
      <c r="I25" s="39">
        <v>61</v>
      </c>
      <c r="J25" s="39"/>
      <c r="K25" s="39"/>
      <c r="L25" s="39">
        <f t="shared" si="19"/>
        <v>61</v>
      </c>
      <c r="M25" s="117">
        <v>46248</v>
      </c>
      <c r="N25" s="117">
        <v>46256</v>
      </c>
      <c r="O25" s="39"/>
      <c r="P25" s="39"/>
      <c r="Q25" s="39"/>
      <c r="R25" s="39">
        <f t="shared" si="17"/>
        <v>0</v>
      </c>
      <c r="S25" s="39" t="s">
        <v>130</v>
      </c>
      <c r="T25" s="39">
        <v>109038</v>
      </c>
      <c r="U25" s="117">
        <v>46270</v>
      </c>
      <c r="V25" s="39"/>
      <c r="W25" s="39"/>
      <c r="X25" s="39"/>
      <c r="Y25" s="39">
        <v>76</v>
      </c>
      <c r="Z25" s="39"/>
      <c r="AA25" s="39"/>
      <c r="AB25" s="119">
        <f t="shared" si="2"/>
        <v>76</v>
      </c>
      <c r="AC25" s="39" t="s">
        <v>268</v>
      </c>
      <c r="AD25" s="117">
        <v>46273</v>
      </c>
      <c r="AE25" s="39">
        <v>68</v>
      </c>
      <c r="AF25" s="39"/>
      <c r="AG25" s="39"/>
      <c r="AH25" s="39">
        <f t="shared" si="3"/>
        <v>-68</v>
      </c>
      <c r="AI25" s="39"/>
      <c r="AJ25" s="39"/>
      <c r="AK25" s="39"/>
      <c r="AL25" s="39"/>
      <c r="AM25" s="39"/>
      <c r="AN25" s="39">
        <f t="shared" si="4"/>
        <v>0</v>
      </c>
      <c r="AO25" s="39"/>
      <c r="AP25" s="39"/>
      <c r="AQ25" s="39"/>
      <c r="AR25" s="39"/>
      <c r="AS25" s="39"/>
      <c r="AT25" s="39">
        <f t="shared" si="5"/>
        <v>0</v>
      </c>
      <c r="AU25" s="39"/>
      <c r="AV25" s="39"/>
      <c r="AW25" s="39"/>
      <c r="AX25" s="39"/>
      <c r="AY25" s="39"/>
      <c r="AZ25" s="39">
        <f t="shared" si="6"/>
        <v>0</v>
      </c>
      <c r="BA25" s="39"/>
      <c r="BB25" s="39"/>
      <c r="BC25" s="39"/>
      <c r="BD25" s="39"/>
      <c r="BE25" s="39"/>
      <c r="BF25" s="39">
        <f t="shared" si="7"/>
        <v>0</v>
      </c>
      <c r="BG25" s="39"/>
      <c r="BH25" s="39"/>
      <c r="BI25" s="39"/>
      <c r="BJ25" s="39"/>
      <c r="BK25" s="39"/>
      <c r="BL25" s="39">
        <f t="shared" si="8"/>
        <v>0</v>
      </c>
      <c r="BM25" s="54">
        <f t="shared" ca="1" si="9"/>
        <v>13</v>
      </c>
      <c r="BN25" s="58">
        <v>46260</v>
      </c>
      <c r="BO25" s="57">
        <v>46268</v>
      </c>
      <c r="BP25" s="57">
        <v>46270</v>
      </c>
      <c r="BQ25" s="57">
        <v>46277</v>
      </c>
      <c r="BR25" s="39"/>
      <c r="BS25" s="39"/>
      <c r="BT25" s="39"/>
      <c r="BU25" s="39"/>
      <c r="BV25" s="39"/>
      <c r="BW25" s="39"/>
      <c r="BX25" s="39"/>
      <c r="BY25" s="39"/>
      <c r="BZ25" s="39">
        <f t="shared" si="10"/>
        <v>0</v>
      </c>
      <c r="CA25" s="39">
        <f t="shared" si="11"/>
        <v>-61</v>
      </c>
      <c r="CB25" s="39">
        <f t="shared" si="12"/>
        <v>0</v>
      </c>
      <c r="CC25" s="39">
        <f t="shared" si="13"/>
        <v>0</v>
      </c>
      <c r="CD25" s="39">
        <f t="shared" si="14"/>
        <v>-61</v>
      </c>
      <c r="CE25" s="102">
        <f t="shared" si="15"/>
        <v>-1</v>
      </c>
      <c r="CF25" s="36" t="s">
        <v>292</v>
      </c>
      <c r="CG25" s="39" t="s">
        <v>281</v>
      </c>
      <c r="CH25" s="39"/>
      <c r="CI25" s="25">
        <v>1</v>
      </c>
    </row>
    <row r="26" spans="1:87" ht="24.75" customHeight="1">
      <c r="A26" s="36" t="s">
        <v>50</v>
      </c>
      <c r="B26" s="26">
        <v>48094</v>
      </c>
      <c r="C26" s="227" t="s">
        <v>1731</v>
      </c>
      <c r="D26" s="36"/>
      <c r="E26" s="39">
        <v>150</v>
      </c>
      <c r="F26" s="39" t="s">
        <v>65</v>
      </c>
      <c r="G26" s="36" t="s">
        <v>1442</v>
      </c>
      <c r="H26" s="36" t="s">
        <v>22</v>
      </c>
      <c r="I26" s="39">
        <v>194</v>
      </c>
      <c r="J26" s="39">
        <v>20</v>
      </c>
      <c r="K26" s="39"/>
      <c r="L26" s="39">
        <f t="shared" ref="L26:L41" si="20">SUM(I26:K26)</f>
        <v>214</v>
      </c>
      <c r="M26" s="117">
        <v>46254</v>
      </c>
      <c r="N26" s="117">
        <v>46261</v>
      </c>
      <c r="O26" s="39"/>
      <c r="P26" s="39"/>
      <c r="Q26" s="39"/>
      <c r="R26" s="39">
        <f t="shared" si="16"/>
        <v>0</v>
      </c>
      <c r="S26" s="39" t="s">
        <v>28</v>
      </c>
      <c r="T26" s="39"/>
      <c r="U26" s="39"/>
      <c r="V26" s="117">
        <v>46256</v>
      </c>
      <c r="W26" s="39">
        <f>230+24</f>
        <v>254</v>
      </c>
      <c r="X26" s="39"/>
      <c r="Y26" s="39"/>
      <c r="Z26" s="39"/>
      <c r="AA26" s="39"/>
      <c r="AB26" s="118">
        <f t="shared" si="2"/>
        <v>0</v>
      </c>
      <c r="AC26" s="39"/>
      <c r="AD26" s="39"/>
      <c r="AE26" s="39"/>
      <c r="AF26" s="39"/>
      <c r="AG26" s="39"/>
      <c r="AH26" s="39">
        <f t="shared" si="3"/>
        <v>0</v>
      </c>
      <c r="AI26" s="39"/>
      <c r="AJ26" s="39"/>
      <c r="AK26" s="39"/>
      <c r="AL26" s="39"/>
      <c r="AM26" s="39"/>
      <c r="AN26" s="39">
        <f t="shared" si="4"/>
        <v>0</v>
      </c>
      <c r="AO26" s="39"/>
      <c r="AP26" s="39"/>
      <c r="AQ26" s="39"/>
      <c r="AR26" s="39"/>
      <c r="AS26" s="39"/>
      <c r="AT26" s="39">
        <f t="shared" si="5"/>
        <v>0</v>
      </c>
      <c r="AU26" s="39"/>
      <c r="AV26" s="39"/>
      <c r="AW26" s="39"/>
      <c r="AX26" s="39"/>
      <c r="AY26" s="39"/>
      <c r="AZ26" s="39">
        <f t="shared" si="6"/>
        <v>0</v>
      </c>
      <c r="BA26" s="39"/>
      <c r="BB26" s="39"/>
      <c r="BC26" s="39"/>
      <c r="BD26" s="39"/>
      <c r="BE26" s="39"/>
      <c r="BF26" s="39">
        <f t="shared" si="7"/>
        <v>0</v>
      </c>
      <c r="BG26" s="39"/>
      <c r="BH26" s="39"/>
      <c r="BI26" s="39"/>
      <c r="BJ26" s="39"/>
      <c r="BK26" s="39"/>
      <c r="BL26" s="39">
        <f t="shared" si="8"/>
        <v>0</v>
      </c>
      <c r="BM26" s="54">
        <f t="shared" ca="1" si="9"/>
        <v>46283</v>
      </c>
      <c r="BN26" s="58">
        <v>46270</v>
      </c>
      <c r="BO26" s="57">
        <v>46287</v>
      </c>
      <c r="BP26" s="36"/>
      <c r="BQ26" s="36"/>
      <c r="BR26" s="36"/>
      <c r="BS26" s="36"/>
      <c r="BT26" s="39"/>
      <c r="BU26" s="39"/>
      <c r="BV26" s="39"/>
      <c r="BW26" s="39"/>
      <c r="BX26" s="39"/>
      <c r="BY26" s="39"/>
      <c r="BZ26" s="39">
        <f t="shared" si="10"/>
        <v>0</v>
      </c>
      <c r="CA26" s="39">
        <f t="shared" si="11"/>
        <v>-194</v>
      </c>
      <c r="CB26" s="39">
        <f t="shared" si="12"/>
        <v>-20</v>
      </c>
      <c r="CC26" s="39">
        <f t="shared" si="13"/>
        <v>0</v>
      </c>
      <c r="CD26" s="39">
        <f t="shared" si="14"/>
        <v>-214</v>
      </c>
      <c r="CE26" s="102">
        <f t="shared" si="15"/>
        <v>-1</v>
      </c>
      <c r="CF26" s="36"/>
      <c r="CG26" s="39" t="s">
        <v>228</v>
      </c>
      <c r="CH26" s="39"/>
      <c r="CI26" s="25">
        <v>1</v>
      </c>
    </row>
    <row r="27" spans="1:87" ht="24.75" customHeight="1">
      <c r="A27" s="36" t="s">
        <v>50</v>
      </c>
      <c r="B27" s="26">
        <v>48094</v>
      </c>
      <c r="C27" s="231"/>
      <c r="D27" s="36"/>
      <c r="E27" s="39">
        <v>150</v>
      </c>
      <c r="F27" s="39" t="s">
        <v>65</v>
      </c>
      <c r="G27" s="36" t="s">
        <v>47</v>
      </c>
      <c r="H27" s="36" t="s">
        <v>22</v>
      </c>
      <c r="I27" s="39">
        <v>236</v>
      </c>
      <c r="J27" s="39">
        <v>25</v>
      </c>
      <c r="K27" s="39"/>
      <c r="L27" s="39">
        <f t="shared" si="20"/>
        <v>261</v>
      </c>
      <c r="M27" s="117">
        <v>46254</v>
      </c>
      <c r="N27" s="117">
        <v>46261</v>
      </c>
      <c r="O27" s="39"/>
      <c r="P27" s="39"/>
      <c r="Q27" s="39"/>
      <c r="R27" s="39">
        <f t="shared" si="16"/>
        <v>0</v>
      </c>
      <c r="S27" s="39" t="s">
        <v>28</v>
      </c>
      <c r="T27" s="39"/>
      <c r="U27" s="39"/>
      <c r="V27" s="117">
        <v>46280</v>
      </c>
      <c r="W27" s="39">
        <f>265+29</f>
        <v>294</v>
      </c>
      <c r="X27" s="39"/>
      <c r="Y27" s="39"/>
      <c r="Z27" s="39"/>
      <c r="AA27" s="39"/>
      <c r="AB27" s="118">
        <f t="shared" si="2"/>
        <v>0</v>
      </c>
      <c r="AC27" s="39"/>
      <c r="AD27" s="39"/>
      <c r="AE27" s="39"/>
      <c r="AF27" s="39"/>
      <c r="AG27" s="39"/>
      <c r="AH27" s="39">
        <f t="shared" si="3"/>
        <v>0</v>
      </c>
      <c r="AI27" s="39"/>
      <c r="AJ27" s="39"/>
      <c r="AK27" s="39"/>
      <c r="AL27" s="39"/>
      <c r="AM27" s="39"/>
      <c r="AN27" s="39">
        <f t="shared" si="4"/>
        <v>0</v>
      </c>
      <c r="AO27" s="39"/>
      <c r="AP27" s="39"/>
      <c r="AQ27" s="39"/>
      <c r="AR27" s="39"/>
      <c r="AS27" s="39"/>
      <c r="AT27" s="39">
        <f t="shared" si="5"/>
        <v>0</v>
      </c>
      <c r="AU27" s="39"/>
      <c r="AV27" s="39"/>
      <c r="AW27" s="39"/>
      <c r="AX27" s="39"/>
      <c r="AY27" s="39"/>
      <c r="AZ27" s="39">
        <f t="shared" si="6"/>
        <v>0</v>
      </c>
      <c r="BA27" s="39"/>
      <c r="BB27" s="39"/>
      <c r="BC27" s="39"/>
      <c r="BD27" s="39"/>
      <c r="BE27" s="39"/>
      <c r="BF27" s="39">
        <f t="shared" si="7"/>
        <v>0</v>
      </c>
      <c r="BG27" s="39"/>
      <c r="BH27" s="39"/>
      <c r="BI27" s="39"/>
      <c r="BJ27" s="39"/>
      <c r="BK27" s="39"/>
      <c r="BL27" s="39">
        <f t="shared" si="8"/>
        <v>0</v>
      </c>
      <c r="BM27" s="54">
        <f t="shared" ca="1" si="9"/>
        <v>46283</v>
      </c>
      <c r="BN27" s="58">
        <v>46270</v>
      </c>
      <c r="BO27" s="57">
        <v>46287</v>
      </c>
      <c r="BP27" s="36"/>
      <c r="BQ27" s="36"/>
      <c r="BR27" s="36"/>
      <c r="BS27" s="36"/>
      <c r="BT27" s="39"/>
      <c r="BU27" s="39"/>
      <c r="BV27" s="39"/>
      <c r="BW27" s="39"/>
      <c r="BX27" s="39"/>
      <c r="BY27" s="39"/>
      <c r="BZ27" s="39">
        <f t="shared" si="10"/>
        <v>0</v>
      </c>
      <c r="CA27" s="39">
        <f t="shared" si="11"/>
        <v>-236</v>
      </c>
      <c r="CB27" s="39">
        <f t="shared" si="12"/>
        <v>-25</v>
      </c>
      <c r="CC27" s="39">
        <f t="shared" si="13"/>
        <v>0</v>
      </c>
      <c r="CD27" s="39">
        <f t="shared" si="14"/>
        <v>-261</v>
      </c>
      <c r="CE27" s="102">
        <f t="shared" si="15"/>
        <v>-1</v>
      </c>
      <c r="CF27" s="36"/>
      <c r="CG27" s="39" t="s">
        <v>228</v>
      </c>
      <c r="CH27" s="39"/>
      <c r="CI27" s="25">
        <v>1</v>
      </c>
    </row>
    <row r="28" spans="1:87" ht="24.75" customHeight="1">
      <c r="A28" s="36" t="s">
        <v>50</v>
      </c>
      <c r="B28" s="26">
        <v>48094</v>
      </c>
      <c r="C28" s="231"/>
      <c r="D28" s="36"/>
      <c r="E28" s="39">
        <v>150</v>
      </c>
      <c r="F28" s="39" t="s">
        <v>65</v>
      </c>
      <c r="G28" s="36" t="s">
        <v>1446</v>
      </c>
      <c r="H28" s="36" t="s">
        <v>22</v>
      </c>
      <c r="I28" s="39">
        <v>161</v>
      </c>
      <c r="J28" s="39">
        <v>17</v>
      </c>
      <c r="K28" s="39"/>
      <c r="L28" s="39">
        <f t="shared" si="20"/>
        <v>178</v>
      </c>
      <c r="M28" s="117">
        <v>46254</v>
      </c>
      <c r="N28" s="117">
        <v>46261</v>
      </c>
      <c r="O28" s="39"/>
      <c r="P28" s="39"/>
      <c r="Q28" s="39"/>
      <c r="R28" s="39">
        <f t="shared" si="16"/>
        <v>0</v>
      </c>
      <c r="S28" s="39" t="s">
        <v>28</v>
      </c>
      <c r="T28" s="39"/>
      <c r="U28" s="39"/>
      <c r="V28" s="117">
        <v>46261</v>
      </c>
      <c r="W28" s="39">
        <f>195+21</f>
        <v>216</v>
      </c>
      <c r="X28" s="39"/>
      <c r="Y28" s="39"/>
      <c r="Z28" s="39"/>
      <c r="AA28" s="39"/>
      <c r="AB28" s="118">
        <f t="shared" si="2"/>
        <v>0</v>
      </c>
      <c r="AC28" s="39"/>
      <c r="AD28" s="39"/>
      <c r="AE28" s="39"/>
      <c r="AF28" s="39"/>
      <c r="AG28" s="39"/>
      <c r="AH28" s="39">
        <f t="shared" si="3"/>
        <v>0</v>
      </c>
      <c r="AI28" s="39"/>
      <c r="AJ28" s="39"/>
      <c r="AK28" s="39"/>
      <c r="AL28" s="39"/>
      <c r="AM28" s="39"/>
      <c r="AN28" s="39">
        <f t="shared" si="4"/>
        <v>0</v>
      </c>
      <c r="AO28" s="39"/>
      <c r="AP28" s="39"/>
      <c r="AQ28" s="39"/>
      <c r="AR28" s="39"/>
      <c r="AS28" s="39"/>
      <c r="AT28" s="39">
        <f t="shared" si="5"/>
        <v>0</v>
      </c>
      <c r="AU28" s="39"/>
      <c r="AV28" s="39"/>
      <c r="AW28" s="39"/>
      <c r="AX28" s="39"/>
      <c r="AY28" s="39"/>
      <c r="AZ28" s="39">
        <f t="shared" si="6"/>
        <v>0</v>
      </c>
      <c r="BA28" s="39"/>
      <c r="BB28" s="39"/>
      <c r="BC28" s="39"/>
      <c r="BD28" s="39"/>
      <c r="BE28" s="39"/>
      <c r="BF28" s="39">
        <f t="shared" si="7"/>
        <v>0</v>
      </c>
      <c r="BG28" s="39"/>
      <c r="BH28" s="39"/>
      <c r="BI28" s="39"/>
      <c r="BJ28" s="39"/>
      <c r="BK28" s="39"/>
      <c r="BL28" s="39">
        <f t="shared" si="8"/>
        <v>0</v>
      </c>
      <c r="BM28" s="54">
        <f t="shared" ca="1" si="9"/>
        <v>46283</v>
      </c>
      <c r="BN28" s="58">
        <v>46270</v>
      </c>
      <c r="BO28" s="57">
        <v>46287</v>
      </c>
      <c r="BP28" s="36"/>
      <c r="BQ28" s="36"/>
      <c r="BR28" s="36"/>
      <c r="BS28" s="36"/>
      <c r="BT28" s="39"/>
      <c r="BU28" s="39"/>
      <c r="BV28" s="39"/>
      <c r="BW28" s="39"/>
      <c r="BX28" s="39"/>
      <c r="BY28" s="39"/>
      <c r="BZ28" s="39">
        <f t="shared" si="10"/>
        <v>0</v>
      </c>
      <c r="CA28" s="39">
        <f t="shared" si="11"/>
        <v>-161</v>
      </c>
      <c r="CB28" s="39">
        <f t="shared" si="12"/>
        <v>-17</v>
      </c>
      <c r="CC28" s="39">
        <f t="shared" si="13"/>
        <v>0</v>
      </c>
      <c r="CD28" s="39">
        <f t="shared" si="14"/>
        <v>-178</v>
      </c>
      <c r="CE28" s="102">
        <f t="shared" si="15"/>
        <v>-1</v>
      </c>
      <c r="CF28" s="36"/>
      <c r="CG28" s="39" t="s">
        <v>228</v>
      </c>
      <c r="CH28" s="39"/>
      <c r="CI28" s="25">
        <v>1</v>
      </c>
    </row>
    <row r="29" spans="1:87" ht="24.75" customHeight="1">
      <c r="A29" s="36" t="s">
        <v>50</v>
      </c>
      <c r="B29" s="26">
        <v>48094</v>
      </c>
      <c r="C29" s="228"/>
      <c r="D29" s="36"/>
      <c r="E29" s="39"/>
      <c r="F29" s="39"/>
      <c r="G29" s="36" t="s">
        <v>75</v>
      </c>
      <c r="H29" s="36">
        <f>3712+4506+3071</f>
        <v>11289</v>
      </c>
      <c r="I29" s="39" t="s">
        <v>90</v>
      </c>
      <c r="J29" s="39"/>
      <c r="K29" s="39"/>
      <c r="L29" s="39">
        <f t="shared" si="20"/>
        <v>0</v>
      </c>
      <c r="M29" s="117">
        <v>46254</v>
      </c>
      <c r="N29" s="117">
        <v>46261</v>
      </c>
      <c r="O29" s="39"/>
      <c r="P29" s="39"/>
      <c r="Q29" s="39"/>
      <c r="R29" s="39">
        <f t="shared" si="16"/>
        <v>0</v>
      </c>
      <c r="S29" s="39" t="s">
        <v>130</v>
      </c>
      <c r="T29" s="39"/>
      <c r="U29" s="39"/>
      <c r="V29" s="39"/>
      <c r="W29" s="39"/>
      <c r="X29" s="39"/>
      <c r="Y29" s="39"/>
      <c r="Z29" s="39"/>
      <c r="AA29" s="39"/>
      <c r="AB29" s="39">
        <f t="shared" si="2"/>
        <v>0</v>
      </c>
      <c r="AC29" s="39"/>
      <c r="AD29" s="39"/>
      <c r="AE29" s="39"/>
      <c r="AF29" s="39"/>
      <c r="AG29" s="39"/>
      <c r="AH29" s="39">
        <f t="shared" si="3"/>
        <v>0</v>
      </c>
      <c r="AI29" s="39"/>
      <c r="AJ29" s="39"/>
      <c r="AK29" s="39"/>
      <c r="AL29" s="39"/>
      <c r="AM29" s="39"/>
      <c r="AN29" s="39">
        <f t="shared" si="4"/>
        <v>0</v>
      </c>
      <c r="AO29" s="39"/>
      <c r="AP29" s="39"/>
      <c r="AQ29" s="39"/>
      <c r="AR29" s="39"/>
      <c r="AS29" s="39"/>
      <c r="AT29" s="39">
        <f t="shared" si="5"/>
        <v>0</v>
      </c>
      <c r="AU29" s="39"/>
      <c r="AV29" s="39"/>
      <c r="AW29" s="39"/>
      <c r="AX29" s="39"/>
      <c r="AY29" s="39"/>
      <c r="AZ29" s="39">
        <f t="shared" si="6"/>
        <v>0</v>
      </c>
      <c r="BA29" s="39"/>
      <c r="BB29" s="39"/>
      <c r="BC29" s="39"/>
      <c r="BD29" s="39"/>
      <c r="BE29" s="39"/>
      <c r="BF29" s="39">
        <f t="shared" si="7"/>
        <v>0</v>
      </c>
      <c r="BG29" s="39"/>
      <c r="BH29" s="39"/>
      <c r="BI29" s="39"/>
      <c r="BJ29" s="39"/>
      <c r="BK29" s="39"/>
      <c r="BL29" s="39">
        <f t="shared" si="8"/>
        <v>0</v>
      </c>
      <c r="BM29" s="54" t="e">
        <f t="shared" si="9"/>
        <v>#DIV/0!</v>
      </c>
      <c r="BN29" s="58">
        <v>46270</v>
      </c>
      <c r="BO29" s="57">
        <v>46287</v>
      </c>
      <c r="BP29" s="36"/>
      <c r="BQ29" s="36"/>
      <c r="BR29" s="36"/>
      <c r="BS29" s="36"/>
      <c r="BT29" s="39"/>
      <c r="BU29" s="39"/>
      <c r="BV29" s="39"/>
      <c r="BW29" s="39"/>
      <c r="BX29" s="39"/>
      <c r="BY29" s="39"/>
      <c r="BZ29" s="39">
        <f t="shared" si="10"/>
        <v>0</v>
      </c>
      <c r="CA29" s="39" t="e">
        <f t="shared" si="11"/>
        <v>#VALUE!</v>
      </c>
      <c r="CB29" s="39">
        <f t="shared" si="12"/>
        <v>0</v>
      </c>
      <c r="CC29" s="39">
        <f t="shared" si="13"/>
        <v>0</v>
      </c>
      <c r="CD29" s="39">
        <f t="shared" si="14"/>
        <v>0</v>
      </c>
      <c r="CE29" s="102" t="e">
        <f t="shared" si="15"/>
        <v>#DIV/0!</v>
      </c>
      <c r="CF29" s="36"/>
      <c r="CG29" s="39" t="s">
        <v>228</v>
      </c>
      <c r="CH29" s="39"/>
      <c r="CI29" s="25">
        <v>1</v>
      </c>
    </row>
    <row r="30" spans="1:87" ht="24.75" customHeight="1">
      <c r="A30" s="36" t="s">
        <v>50</v>
      </c>
      <c r="B30" s="26">
        <v>48095</v>
      </c>
      <c r="C30" s="227">
        <v>13251275</v>
      </c>
      <c r="D30" s="36" t="s">
        <v>37</v>
      </c>
      <c r="E30" s="39">
        <v>200</v>
      </c>
      <c r="F30" s="39" t="s">
        <v>61</v>
      </c>
      <c r="G30" s="36" t="s">
        <v>1443</v>
      </c>
      <c r="H30" s="36" t="s">
        <v>91</v>
      </c>
      <c r="I30" s="39">
        <v>270</v>
      </c>
      <c r="J30" s="39"/>
      <c r="K30" s="39"/>
      <c r="L30" s="39">
        <f t="shared" si="20"/>
        <v>270</v>
      </c>
      <c r="M30" s="117">
        <v>46249</v>
      </c>
      <c r="N30" s="117">
        <v>46254</v>
      </c>
      <c r="O30" s="39"/>
      <c r="P30" s="39"/>
      <c r="Q30" s="39"/>
      <c r="R30" s="39">
        <f t="shared" si="16"/>
        <v>0</v>
      </c>
      <c r="S30" s="39" t="s">
        <v>28</v>
      </c>
      <c r="T30" s="39"/>
      <c r="U30" s="39"/>
      <c r="V30" s="117">
        <v>46263</v>
      </c>
      <c r="W30" s="39">
        <v>305</v>
      </c>
      <c r="X30" s="117">
        <v>46279</v>
      </c>
      <c r="Y30" s="39">
        <v>270</v>
      </c>
      <c r="Z30" s="39"/>
      <c r="AA30" s="39"/>
      <c r="AB30" s="119">
        <f t="shared" si="2"/>
        <v>270</v>
      </c>
      <c r="AC30" s="39"/>
      <c r="AD30" s="39"/>
      <c r="AE30" s="39"/>
      <c r="AF30" s="39"/>
      <c r="AG30" s="39"/>
      <c r="AH30" s="39">
        <f t="shared" si="3"/>
        <v>0</v>
      </c>
      <c r="AI30" s="39"/>
      <c r="AJ30" s="39"/>
      <c r="AK30" s="39"/>
      <c r="AL30" s="39"/>
      <c r="AM30" s="39"/>
      <c r="AN30" s="39">
        <f t="shared" si="4"/>
        <v>0</v>
      </c>
      <c r="AO30" s="39"/>
      <c r="AP30" s="39"/>
      <c r="AQ30" s="39"/>
      <c r="AR30" s="39"/>
      <c r="AS30" s="39"/>
      <c r="AT30" s="39">
        <f t="shared" si="5"/>
        <v>0</v>
      </c>
      <c r="AU30" s="39"/>
      <c r="AV30" s="39"/>
      <c r="AW30" s="39"/>
      <c r="AX30" s="39"/>
      <c r="AY30" s="39"/>
      <c r="AZ30" s="39">
        <f t="shared" si="6"/>
        <v>0</v>
      </c>
      <c r="BA30" s="39"/>
      <c r="BB30" s="39"/>
      <c r="BC30" s="39"/>
      <c r="BD30" s="39"/>
      <c r="BE30" s="39"/>
      <c r="BF30" s="39">
        <f t="shared" si="7"/>
        <v>0</v>
      </c>
      <c r="BG30" s="39"/>
      <c r="BH30" s="39"/>
      <c r="BI30" s="39"/>
      <c r="BJ30" s="39"/>
      <c r="BK30" s="39"/>
      <c r="BL30" s="39">
        <f t="shared" si="8"/>
        <v>0</v>
      </c>
      <c r="BM30" s="54">
        <f t="shared" ca="1" si="9"/>
        <v>46283</v>
      </c>
      <c r="BN30" s="58">
        <v>46270</v>
      </c>
      <c r="BO30" s="57">
        <v>46282</v>
      </c>
      <c r="BP30" s="57">
        <v>46287</v>
      </c>
      <c r="BQ30" s="57">
        <v>46295</v>
      </c>
      <c r="BR30" s="36"/>
      <c r="BS30" s="36"/>
      <c r="BT30" s="39"/>
      <c r="BU30" s="39"/>
      <c r="BV30" s="39"/>
      <c r="BW30" s="39"/>
      <c r="BX30" s="39"/>
      <c r="BY30" s="39"/>
      <c r="BZ30" s="39">
        <f t="shared" si="10"/>
        <v>0</v>
      </c>
      <c r="CA30" s="39">
        <f t="shared" si="11"/>
        <v>-270</v>
      </c>
      <c r="CB30" s="39">
        <f t="shared" si="12"/>
        <v>0</v>
      </c>
      <c r="CC30" s="39">
        <f t="shared" si="13"/>
        <v>0</v>
      </c>
      <c r="CD30" s="39">
        <f t="shared" si="14"/>
        <v>-270</v>
      </c>
      <c r="CE30" s="102">
        <f t="shared" si="15"/>
        <v>-1</v>
      </c>
      <c r="CF30" s="36"/>
      <c r="CG30" s="39" t="s">
        <v>228</v>
      </c>
      <c r="CH30" s="39"/>
      <c r="CI30" s="25">
        <v>1</v>
      </c>
    </row>
    <row r="31" spans="1:87" ht="24.75" customHeight="1">
      <c r="A31" s="36" t="s">
        <v>50</v>
      </c>
      <c r="B31" s="26">
        <v>48095</v>
      </c>
      <c r="C31" s="228"/>
      <c r="D31" s="36" t="s">
        <v>37</v>
      </c>
      <c r="E31" s="39">
        <v>200</v>
      </c>
      <c r="F31" s="39" t="s">
        <v>61</v>
      </c>
      <c r="G31" s="36" t="s">
        <v>1447</v>
      </c>
      <c r="H31" s="36" t="s">
        <v>91</v>
      </c>
      <c r="I31" s="39">
        <v>355</v>
      </c>
      <c r="J31" s="39"/>
      <c r="K31" s="39"/>
      <c r="L31" s="39">
        <f t="shared" si="20"/>
        <v>355</v>
      </c>
      <c r="M31" s="117">
        <v>46249</v>
      </c>
      <c r="N31" s="117">
        <v>46254</v>
      </c>
      <c r="O31" s="39"/>
      <c r="P31" s="39"/>
      <c r="Q31" s="39"/>
      <c r="R31" s="39">
        <f t="shared" ref="R31" si="21">SUM(O31:Q31)</f>
        <v>0</v>
      </c>
      <c r="S31" s="39" t="s">
        <v>28</v>
      </c>
      <c r="T31" s="39"/>
      <c r="U31" s="39"/>
      <c r="V31" s="117">
        <v>46256</v>
      </c>
      <c r="W31" s="39">
        <v>404</v>
      </c>
      <c r="X31" s="117">
        <v>46270</v>
      </c>
      <c r="Y31" s="39">
        <v>360</v>
      </c>
      <c r="Z31" s="39"/>
      <c r="AA31" s="39"/>
      <c r="AB31" s="119">
        <f t="shared" ref="AB31" si="22">SUM(Y31:AA31)</f>
        <v>360</v>
      </c>
      <c r="AC31" s="39" t="s">
        <v>268</v>
      </c>
      <c r="AD31" s="117">
        <v>46273</v>
      </c>
      <c r="AE31" s="39">
        <v>361</v>
      </c>
      <c r="AF31" s="117">
        <v>46280</v>
      </c>
      <c r="AG31" s="39">
        <v>341</v>
      </c>
      <c r="AH31" s="39">
        <f t="shared" si="3"/>
        <v>-20</v>
      </c>
      <c r="AI31" s="39"/>
      <c r="AJ31" s="39"/>
      <c r="AK31" s="39"/>
      <c r="AL31" s="39"/>
      <c r="AM31" s="39"/>
      <c r="AN31" s="39">
        <f t="shared" si="4"/>
        <v>0</v>
      </c>
      <c r="AO31" s="39"/>
      <c r="AP31" s="39"/>
      <c r="AQ31" s="39"/>
      <c r="AR31" s="39"/>
      <c r="AS31" s="39"/>
      <c r="AT31" s="39">
        <f t="shared" si="5"/>
        <v>0</v>
      </c>
      <c r="AU31" s="39"/>
      <c r="AV31" s="39"/>
      <c r="AW31" s="39"/>
      <c r="AX31" s="39"/>
      <c r="AY31" s="39"/>
      <c r="AZ31" s="39">
        <f t="shared" si="6"/>
        <v>0</v>
      </c>
      <c r="BA31" s="39"/>
      <c r="BB31" s="39"/>
      <c r="BC31" s="39"/>
      <c r="BD31" s="39"/>
      <c r="BE31" s="39"/>
      <c r="BF31" s="39">
        <f t="shared" si="7"/>
        <v>0</v>
      </c>
      <c r="BG31" s="39"/>
      <c r="BH31" s="39"/>
      <c r="BI31" s="39"/>
      <c r="BJ31" s="39"/>
      <c r="BK31" s="39"/>
      <c r="BL31" s="39">
        <f t="shared" si="8"/>
        <v>0</v>
      </c>
      <c r="BM31" s="54" t="str">
        <f t="shared" si="9"/>
        <v/>
      </c>
      <c r="BN31" s="58">
        <v>46270</v>
      </c>
      <c r="BO31" s="57">
        <v>46282</v>
      </c>
      <c r="BP31" s="57">
        <v>46287</v>
      </c>
      <c r="BQ31" s="57">
        <v>46295</v>
      </c>
      <c r="BR31" s="57">
        <v>46281</v>
      </c>
      <c r="BS31" s="57">
        <v>46281</v>
      </c>
      <c r="BT31" s="39">
        <v>814</v>
      </c>
      <c r="BU31" s="39">
        <f>340</f>
        <v>340</v>
      </c>
      <c r="BV31" s="39"/>
      <c r="BW31" s="39"/>
      <c r="BX31" s="39"/>
      <c r="BY31" s="39"/>
      <c r="BZ31" s="39">
        <f t="shared" si="10"/>
        <v>340</v>
      </c>
      <c r="CA31" s="39">
        <f t="shared" si="11"/>
        <v>-15</v>
      </c>
      <c r="CB31" s="39">
        <f t="shared" si="12"/>
        <v>0</v>
      </c>
      <c r="CC31" s="39">
        <f t="shared" si="13"/>
        <v>0</v>
      </c>
      <c r="CD31" s="39">
        <v>0</v>
      </c>
      <c r="CE31" s="102">
        <f t="shared" si="15"/>
        <v>0</v>
      </c>
      <c r="CF31" s="36"/>
      <c r="CG31" s="39" t="s">
        <v>228</v>
      </c>
      <c r="CH31" s="39"/>
      <c r="CI31" s="25">
        <v>1</v>
      </c>
    </row>
    <row r="32" spans="1:87" ht="24.75" customHeight="1">
      <c r="A32" s="36" t="s">
        <v>50</v>
      </c>
      <c r="B32" s="26">
        <v>48096</v>
      </c>
      <c r="C32" s="227" t="s">
        <v>1732</v>
      </c>
      <c r="D32" s="36"/>
      <c r="E32" s="39">
        <v>150</v>
      </c>
      <c r="F32" s="39" t="s">
        <v>65</v>
      </c>
      <c r="G32" s="36" t="s">
        <v>1442</v>
      </c>
      <c r="H32" s="36" t="s">
        <v>22</v>
      </c>
      <c r="I32" s="39">
        <v>122</v>
      </c>
      <c r="J32" s="39">
        <v>20</v>
      </c>
      <c r="K32" s="39"/>
      <c r="L32" s="39">
        <f t="shared" si="20"/>
        <v>142</v>
      </c>
      <c r="M32" s="117">
        <v>46254</v>
      </c>
      <c r="N32" s="117">
        <v>46260</v>
      </c>
      <c r="O32" s="39"/>
      <c r="P32" s="39"/>
      <c r="Q32" s="39"/>
      <c r="R32" s="39">
        <f t="shared" si="16"/>
        <v>0</v>
      </c>
      <c r="S32" s="39" t="s">
        <v>28</v>
      </c>
      <c r="T32" s="39"/>
      <c r="U32" s="39"/>
      <c r="V32" s="117">
        <v>46256</v>
      </c>
      <c r="W32" s="39">
        <f>149+24</f>
        <v>173</v>
      </c>
      <c r="X32" s="39"/>
      <c r="Y32" s="39"/>
      <c r="Z32" s="39"/>
      <c r="AA32" s="39"/>
      <c r="AB32" s="118">
        <f t="shared" si="2"/>
        <v>0</v>
      </c>
      <c r="AC32" s="39"/>
      <c r="AD32" s="39"/>
      <c r="AE32" s="39"/>
      <c r="AF32" s="39"/>
      <c r="AG32" s="39"/>
      <c r="AH32" s="39">
        <f t="shared" si="3"/>
        <v>0</v>
      </c>
      <c r="AI32" s="39"/>
      <c r="AJ32" s="39"/>
      <c r="AK32" s="39"/>
      <c r="AL32" s="39"/>
      <c r="AM32" s="39"/>
      <c r="AN32" s="39">
        <f t="shared" si="4"/>
        <v>0</v>
      </c>
      <c r="AO32" s="39"/>
      <c r="AP32" s="39"/>
      <c r="AQ32" s="39"/>
      <c r="AR32" s="39"/>
      <c r="AS32" s="39"/>
      <c r="AT32" s="39">
        <f t="shared" si="5"/>
        <v>0</v>
      </c>
      <c r="AU32" s="39"/>
      <c r="AV32" s="39"/>
      <c r="AW32" s="39"/>
      <c r="AX32" s="39"/>
      <c r="AY32" s="39"/>
      <c r="AZ32" s="39">
        <f t="shared" si="6"/>
        <v>0</v>
      </c>
      <c r="BA32" s="39"/>
      <c r="BB32" s="39"/>
      <c r="BC32" s="39"/>
      <c r="BD32" s="39"/>
      <c r="BE32" s="39"/>
      <c r="BF32" s="39">
        <f t="shared" si="7"/>
        <v>0</v>
      </c>
      <c r="BG32" s="39"/>
      <c r="BH32" s="39"/>
      <c r="BI32" s="39"/>
      <c r="BJ32" s="39"/>
      <c r="BK32" s="39"/>
      <c r="BL32" s="39">
        <f t="shared" si="8"/>
        <v>0</v>
      </c>
      <c r="BM32" s="54">
        <f t="shared" ca="1" si="9"/>
        <v>46283</v>
      </c>
      <c r="BN32" s="58">
        <v>46270</v>
      </c>
      <c r="BO32" s="57">
        <v>46285</v>
      </c>
      <c r="BP32" s="36"/>
      <c r="BQ32" s="36"/>
      <c r="BR32" s="36"/>
      <c r="BS32" s="36"/>
      <c r="BT32" s="39"/>
      <c r="BU32" s="39"/>
      <c r="BV32" s="39"/>
      <c r="BW32" s="39"/>
      <c r="BX32" s="39"/>
      <c r="BY32" s="39"/>
      <c r="BZ32" s="39">
        <f t="shared" si="10"/>
        <v>0</v>
      </c>
      <c r="CA32" s="39">
        <f t="shared" si="11"/>
        <v>-122</v>
      </c>
      <c r="CB32" s="39">
        <f t="shared" si="12"/>
        <v>-20</v>
      </c>
      <c r="CC32" s="39">
        <f t="shared" si="13"/>
        <v>0</v>
      </c>
      <c r="CD32" s="39">
        <f t="shared" si="14"/>
        <v>-142</v>
      </c>
      <c r="CE32" s="102">
        <f t="shared" si="15"/>
        <v>-1</v>
      </c>
      <c r="CF32" s="36"/>
      <c r="CG32" s="39" t="s">
        <v>228</v>
      </c>
      <c r="CH32" s="39"/>
      <c r="CI32" s="25">
        <v>1</v>
      </c>
    </row>
    <row r="33" spans="1:87" ht="24.75" customHeight="1">
      <c r="A33" s="36" t="s">
        <v>50</v>
      </c>
      <c r="B33" s="26">
        <v>48096</v>
      </c>
      <c r="C33" s="231"/>
      <c r="D33" s="36"/>
      <c r="E33" s="39">
        <v>150</v>
      </c>
      <c r="F33" s="39" t="s">
        <v>65</v>
      </c>
      <c r="G33" s="36" t="s">
        <v>47</v>
      </c>
      <c r="H33" s="36" t="s">
        <v>22</v>
      </c>
      <c r="I33" s="39">
        <v>136</v>
      </c>
      <c r="J33" s="39">
        <v>23</v>
      </c>
      <c r="K33" s="39"/>
      <c r="L33" s="39">
        <f t="shared" si="20"/>
        <v>159</v>
      </c>
      <c r="M33" s="117">
        <v>46254</v>
      </c>
      <c r="N33" s="117">
        <v>46260</v>
      </c>
      <c r="O33" s="39"/>
      <c r="P33" s="39"/>
      <c r="Q33" s="39"/>
      <c r="R33" s="39">
        <f t="shared" ref="R33:R35" si="23">SUM(O33:Q33)</f>
        <v>0</v>
      </c>
      <c r="S33" s="39" t="s">
        <v>28</v>
      </c>
      <c r="T33" s="39"/>
      <c r="U33" s="39"/>
      <c r="V33" s="117">
        <v>46280</v>
      </c>
      <c r="W33" s="39">
        <f>165+27</f>
        <v>192</v>
      </c>
      <c r="X33" s="39"/>
      <c r="Y33" s="39"/>
      <c r="Z33" s="39"/>
      <c r="AA33" s="39"/>
      <c r="AB33" s="118">
        <f t="shared" ref="AB33:AB35" si="24">SUM(Y33:AA33)</f>
        <v>0</v>
      </c>
      <c r="AC33" s="39"/>
      <c r="AD33" s="39"/>
      <c r="AE33" s="39"/>
      <c r="AF33" s="39"/>
      <c r="AG33" s="39"/>
      <c r="AH33" s="39">
        <f t="shared" si="3"/>
        <v>0</v>
      </c>
      <c r="AI33" s="39"/>
      <c r="AJ33" s="39"/>
      <c r="AK33" s="39"/>
      <c r="AL33" s="39"/>
      <c r="AM33" s="39"/>
      <c r="AN33" s="39">
        <f t="shared" si="4"/>
        <v>0</v>
      </c>
      <c r="AO33" s="39"/>
      <c r="AP33" s="39"/>
      <c r="AQ33" s="39"/>
      <c r="AR33" s="39"/>
      <c r="AS33" s="39"/>
      <c r="AT33" s="39">
        <f t="shared" si="5"/>
        <v>0</v>
      </c>
      <c r="AU33" s="39"/>
      <c r="AV33" s="39"/>
      <c r="AW33" s="39"/>
      <c r="AX33" s="39"/>
      <c r="AY33" s="39"/>
      <c r="AZ33" s="39">
        <f t="shared" si="6"/>
        <v>0</v>
      </c>
      <c r="BA33" s="39"/>
      <c r="BB33" s="39"/>
      <c r="BC33" s="39"/>
      <c r="BD33" s="39"/>
      <c r="BE33" s="39"/>
      <c r="BF33" s="39">
        <f t="shared" si="7"/>
        <v>0</v>
      </c>
      <c r="BG33" s="39"/>
      <c r="BH33" s="39"/>
      <c r="BI33" s="39"/>
      <c r="BJ33" s="39"/>
      <c r="BK33" s="39"/>
      <c r="BL33" s="39">
        <f t="shared" si="8"/>
        <v>0</v>
      </c>
      <c r="BM33" s="54">
        <f t="shared" ca="1" si="9"/>
        <v>46283</v>
      </c>
      <c r="BN33" s="58">
        <v>46270</v>
      </c>
      <c r="BO33" s="57">
        <v>46285</v>
      </c>
      <c r="BP33" s="36"/>
      <c r="BQ33" s="36"/>
      <c r="BR33" s="36"/>
      <c r="BS33" s="36"/>
      <c r="BT33" s="39"/>
      <c r="BU33" s="39"/>
      <c r="BV33" s="39"/>
      <c r="BW33" s="39"/>
      <c r="BX33" s="39"/>
      <c r="BY33" s="39"/>
      <c r="BZ33" s="39">
        <f t="shared" si="10"/>
        <v>0</v>
      </c>
      <c r="CA33" s="39">
        <f t="shared" si="11"/>
        <v>-136</v>
      </c>
      <c r="CB33" s="39">
        <f t="shared" si="12"/>
        <v>-23</v>
      </c>
      <c r="CC33" s="39">
        <f t="shared" si="13"/>
        <v>0</v>
      </c>
      <c r="CD33" s="39">
        <f t="shared" si="14"/>
        <v>-159</v>
      </c>
      <c r="CE33" s="102">
        <f t="shared" si="15"/>
        <v>-1</v>
      </c>
      <c r="CF33" s="36"/>
      <c r="CG33" s="39" t="s">
        <v>228</v>
      </c>
      <c r="CH33" s="39"/>
      <c r="CI33" s="25">
        <v>1</v>
      </c>
    </row>
    <row r="34" spans="1:87" ht="24.75" customHeight="1">
      <c r="A34" s="36" t="s">
        <v>50</v>
      </c>
      <c r="B34" s="26">
        <v>48096</v>
      </c>
      <c r="C34" s="231"/>
      <c r="D34" s="36"/>
      <c r="E34" s="39">
        <v>150</v>
      </c>
      <c r="F34" s="39" t="s">
        <v>65</v>
      </c>
      <c r="G34" s="36" t="s">
        <v>1446</v>
      </c>
      <c r="H34" s="36" t="s">
        <v>22</v>
      </c>
      <c r="I34" s="39">
        <v>155</v>
      </c>
      <c r="J34" s="39">
        <v>26</v>
      </c>
      <c r="K34" s="39"/>
      <c r="L34" s="39">
        <f t="shared" si="20"/>
        <v>181</v>
      </c>
      <c r="M34" s="117">
        <v>46254</v>
      </c>
      <c r="N34" s="117">
        <v>46260</v>
      </c>
      <c r="O34" s="39"/>
      <c r="P34" s="39"/>
      <c r="Q34" s="39"/>
      <c r="R34" s="39">
        <f t="shared" si="23"/>
        <v>0</v>
      </c>
      <c r="S34" s="39" t="s">
        <v>28</v>
      </c>
      <c r="T34" s="39"/>
      <c r="U34" s="39"/>
      <c r="V34" s="117">
        <v>46261</v>
      </c>
      <c r="W34" s="39">
        <f>186+31</f>
        <v>217</v>
      </c>
      <c r="X34" s="39"/>
      <c r="Y34" s="39"/>
      <c r="Z34" s="39"/>
      <c r="AA34" s="39"/>
      <c r="AB34" s="118">
        <f t="shared" si="24"/>
        <v>0</v>
      </c>
      <c r="AC34" s="39"/>
      <c r="AD34" s="39"/>
      <c r="AE34" s="39"/>
      <c r="AF34" s="39"/>
      <c r="AG34" s="39"/>
      <c r="AH34" s="39">
        <f t="shared" si="3"/>
        <v>0</v>
      </c>
      <c r="AI34" s="39"/>
      <c r="AJ34" s="39"/>
      <c r="AK34" s="39"/>
      <c r="AL34" s="39"/>
      <c r="AM34" s="39"/>
      <c r="AN34" s="39">
        <f t="shared" si="4"/>
        <v>0</v>
      </c>
      <c r="AO34" s="39"/>
      <c r="AP34" s="39"/>
      <c r="AQ34" s="39"/>
      <c r="AR34" s="39"/>
      <c r="AS34" s="39"/>
      <c r="AT34" s="39">
        <f t="shared" si="5"/>
        <v>0</v>
      </c>
      <c r="AU34" s="39"/>
      <c r="AV34" s="39"/>
      <c r="AW34" s="39"/>
      <c r="AX34" s="39"/>
      <c r="AY34" s="39"/>
      <c r="AZ34" s="39">
        <f t="shared" si="6"/>
        <v>0</v>
      </c>
      <c r="BA34" s="39"/>
      <c r="BB34" s="39"/>
      <c r="BC34" s="39"/>
      <c r="BD34" s="39"/>
      <c r="BE34" s="39"/>
      <c r="BF34" s="39">
        <f t="shared" si="7"/>
        <v>0</v>
      </c>
      <c r="BG34" s="39"/>
      <c r="BH34" s="39"/>
      <c r="BI34" s="39"/>
      <c r="BJ34" s="39"/>
      <c r="BK34" s="39"/>
      <c r="BL34" s="39">
        <f t="shared" si="8"/>
        <v>0</v>
      </c>
      <c r="BM34" s="54">
        <f t="shared" ca="1" si="9"/>
        <v>46283</v>
      </c>
      <c r="BN34" s="58">
        <v>46270</v>
      </c>
      <c r="BO34" s="57">
        <v>46285</v>
      </c>
      <c r="BP34" s="36"/>
      <c r="BQ34" s="36"/>
      <c r="BR34" s="36"/>
      <c r="BS34" s="36"/>
      <c r="BT34" s="39"/>
      <c r="BU34" s="39"/>
      <c r="BV34" s="39"/>
      <c r="BW34" s="39"/>
      <c r="BX34" s="39"/>
      <c r="BY34" s="39"/>
      <c r="BZ34" s="39">
        <f t="shared" si="10"/>
        <v>0</v>
      </c>
      <c r="CA34" s="39">
        <f t="shared" si="11"/>
        <v>-155</v>
      </c>
      <c r="CB34" s="39">
        <f t="shared" si="12"/>
        <v>-26</v>
      </c>
      <c r="CC34" s="39">
        <f t="shared" si="13"/>
        <v>0</v>
      </c>
      <c r="CD34" s="39">
        <f t="shared" si="14"/>
        <v>-181</v>
      </c>
      <c r="CE34" s="102">
        <f t="shared" si="15"/>
        <v>-1</v>
      </c>
      <c r="CF34" s="36"/>
      <c r="CG34" s="39" t="s">
        <v>228</v>
      </c>
      <c r="CH34" s="39"/>
      <c r="CI34" s="25">
        <v>1</v>
      </c>
    </row>
    <row r="35" spans="1:87" ht="24.75" customHeight="1">
      <c r="A35" s="36" t="s">
        <v>50</v>
      </c>
      <c r="B35" s="26">
        <v>48096</v>
      </c>
      <c r="C35" s="228"/>
      <c r="D35" s="36"/>
      <c r="E35" s="39"/>
      <c r="F35" s="39"/>
      <c r="G35" s="36" t="s">
        <v>75</v>
      </c>
      <c r="H35" s="36">
        <f>3126+3496+3971</f>
        <v>10593</v>
      </c>
      <c r="I35" s="39" t="s">
        <v>90</v>
      </c>
      <c r="J35" s="39"/>
      <c r="K35" s="39"/>
      <c r="L35" s="39">
        <f t="shared" si="20"/>
        <v>0</v>
      </c>
      <c r="M35" s="117">
        <v>46254</v>
      </c>
      <c r="N35" s="117">
        <v>46260</v>
      </c>
      <c r="O35" s="39"/>
      <c r="P35" s="39"/>
      <c r="Q35" s="39"/>
      <c r="R35" s="39">
        <f t="shared" si="23"/>
        <v>0</v>
      </c>
      <c r="S35" s="39" t="s">
        <v>130</v>
      </c>
      <c r="T35" s="39"/>
      <c r="U35" s="39"/>
      <c r="V35" s="39"/>
      <c r="W35" s="39"/>
      <c r="X35" s="39"/>
      <c r="Y35" s="39"/>
      <c r="Z35" s="39"/>
      <c r="AA35" s="39"/>
      <c r="AB35" s="39">
        <f t="shared" si="24"/>
        <v>0</v>
      </c>
      <c r="AC35" s="39"/>
      <c r="AD35" s="39"/>
      <c r="AE35" s="39"/>
      <c r="AF35" s="39"/>
      <c r="AG35" s="39"/>
      <c r="AH35" s="39">
        <f t="shared" si="3"/>
        <v>0</v>
      </c>
      <c r="AI35" s="39"/>
      <c r="AJ35" s="39"/>
      <c r="AK35" s="39"/>
      <c r="AL35" s="39"/>
      <c r="AM35" s="39"/>
      <c r="AN35" s="39">
        <f t="shared" si="4"/>
        <v>0</v>
      </c>
      <c r="AO35" s="39"/>
      <c r="AP35" s="39"/>
      <c r="AQ35" s="39"/>
      <c r="AR35" s="39"/>
      <c r="AS35" s="39"/>
      <c r="AT35" s="39">
        <f t="shared" si="5"/>
        <v>0</v>
      </c>
      <c r="AU35" s="39"/>
      <c r="AV35" s="39"/>
      <c r="AW35" s="39"/>
      <c r="AX35" s="39"/>
      <c r="AY35" s="39"/>
      <c r="AZ35" s="39">
        <f t="shared" si="6"/>
        <v>0</v>
      </c>
      <c r="BA35" s="39"/>
      <c r="BB35" s="39"/>
      <c r="BC35" s="39"/>
      <c r="BD35" s="39"/>
      <c r="BE35" s="39"/>
      <c r="BF35" s="39">
        <f t="shared" si="7"/>
        <v>0</v>
      </c>
      <c r="BG35" s="39"/>
      <c r="BH35" s="39"/>
      <c r="BI35" s="39"/>
      <c r="BJ35" s="39"/>
      <c r="BK35" s="39"/>
      <c r="BL35" s="39">
        <f t="shared" si="8"/>
        <v>0</v>
      </c>
      <c r="BM35" s="54" t="e">
        <f t="shared" si="9"/>
        <v>#DIV/0!</v>
      </c>
      <c r="BN35" s="58">
        <v>46270</v>
      </c>
      <c r="BO35" s="57">
        <v>46285</v>
      </c>
      <c r="BP35" s="36"/>
      <c r="BQ35" s="36"/>
      <c r="BR35" s="36"/>
      <c r="BS35" s="36"/>
      <c r="BT35" s="39"/>
      <c r="BU35" s="39"/>
      <c r="BV35" s="39"/>
      <c r="BW35" s="39"/>
      <c r="BX35" s="39"/>
      <c r="BY35" s="39"/>
      <c r="BZ35" s="39">
        <f t="shared" si="10"/>
        <v>0</v>
      </c>
      <c r="CA35" s="39" t="e">
        <f t="shared" si="11"/>
        <v>#VALUE!</v>
      </c>
      <c r="CB35" s="39">
        <f t="shared" si="12"/>
        <v>0</v>
      </c>
      <c r="CC35" s="39">
        <f t="shared" si="13"/>
        <v>0</v>
      </c>
      <c r="CD35" s="39">
        <f t="shared" si="14"/>
        <v>0</v>
      </c>
      <c r="CE35" s="102" t="e">
        <f t="shared" si="15"/>
        <v>#DIV/0!</v>
      </c>
      <c r="CF35" s="36"/>
      <c r="CG35" s="39" t="s">
        <v>228</v>
      </c>
      <c r="CH35" s="39"/>
      <c r="CI35" s="25">
        <v>1</v>
      </c>
    </row>
    <row r="36" spans="1:87" ht="24.75" customHeight="1">
      <c r="A36" s="36" t="s">
        <v>50</v>
      </c>
      <c r="B36" s="26">
        <v>48099</v>
      </c>
      <c r="C36" s="227" t="s">
        <v>1733</v>
      </c>
      <c r="D36" s="36"/>
      <c r="E36" s="39">
        <v>200</v>
      </c>
      <c r="F36" s="39" t="s">
        <v>60</v>
      </c>
      <c r="G36" s="36" t="s">
        <v>1442</v>
      </c>
      <c r="H36" s="36" t="s">
        <v>91</v>
      </c>
      <c r="I36" s="39">
        <v>115</v>
      </c>
      <c r="J36" s="39"/>
      <c r="K36" s="39"/>
      <c r="L36" s="39">
        <f t="shared" si="20"/>
        <v>115</v>
      </c>
      <c r="M36" s="117">
        <v>46254</v>
      </c>
      <c r="N36" s="117">
        <v>46259</v>
      </c>
      <c r="O36" s="39"/>
      <c r="P36" s="39"/>
      <c r="Q36" s="39"/>
      <c r="R36" s="39">
        <f t="shared" si="16"/>
        <v>0</v>
      </c>
      <c r="S36" s="39" t="s">
        <v>28</v>
      </c>
      <c r="T36" s="39"/>
      <c r="U36" s="39"/>
      <c r="V36" s="117">
        <v>46253</v>
      </c>
      <c r="W36" s="39">
        <v>140</v>
      </c>
      <c r="X36" s="39"/>
      <c r="Y36" s="39"/>
      <c r="Z36" s="39"/>
      <c r="AA36" s="39"/>
      <c r="AB36" s="118">
        <f t="shared" si="2"/>
        <v>0</v>
      </c>
      <c r="AC36" s="39"/>
      <c r="AD36" s="39"/>
      <c r="AE36" s="39"/>
      <c r="AF36" s="39"/>
      <c r="AG36" s="39"/>
      <c r="AH36" s="39">
        <f t="shared" si="3"/>
        <v>0</v>
      </c>
      <c r="AI36" s="39"/>
      <c r="AJ36" s="39"/>
      <c r="AK36" s="39"/>
      <c r="AL36" s="39"/>
      <c r="AM36" s="39"/>
      <c r="AN36" s="39">
        <f t="shared" si="4"/>
        <v>0</v>
      </c>
      <c r="AO36" s="39"/>
      <c r="AP36" s="39"/>
      <c r="AQ36" s="39"/>
      <c r="AR36" s="39"/>
      <c r="AS36" s="39"/>
      <c r="AT36" s="39">
        <f t="shared" si="5"/>
        <v>0</v>
      </c>
      <c r="AU36" s="39"/>
      <c r="AV36" s="39"/>
      <c r="AW36" s="39"/>
      <c r="AX36" s="39"/>
      <c r="AY36" s="39"/>
      <c r="AZ36" s="39">
        <f t="shared" si="6"/>
        <v>0</v>
      </c>
      <c r="BA36" s="39"/>
      <c r="BB36" s="39"/>
      <c r="BC36" s="39"/>
      <c r="BD36" s="39"/>
      <c r="BE36" s="39"/>
      <c r="BF36" s="39">
        <f t="shared" si="7"/>
        <v>0</v>
      </c>
      <c r="BG36" s="39"/>
      <c r="BH36" s="39"/>
      <c r="BI36" s="39"/>
      <c r="BJ36" s="39"/>
      <c r="BK36" s="39"/>
      <c r="BL36" s="39">
        <f t="shared" si="8"/>
        <v>0</v>
      </c>
      <c r="BM36" s="54">
        <f t="shared" ca="1" si="9"/>
        <v>46283</v>
      </c>
      <c r="BN36" s="58">
        <v>46271</v>
      </c>
      <c r="BO36" s="57">
        <v>46285</v>
      </c>
      <c r="BP36" s="36"/>
      <c r="BQ36" s="36"/>
      <c r="BR36" s="36"/>
      <c r="BS36" s="36"/>
      <c r="BT36" s="39"/>
      <c r="BU36" s="39"/>
      <c r="BV36" s="39"/>
      <c r="BW36" s="39"/>
      <c r="BX36" s="39"/>
      <c r="BY36" s="39"/>
      <c r="BZ36" s="39">
        <f t="shared" si="10"/>
        <v>0</v>
      </c>
      <c r="CA36" s="39">
        <f t="shared" si="11"/>
        <v>-115</v>
      </c>
      <c r="CB36" s="39">
        <f t="shared" si="12"/>
        <v>0</v>
      </c>
      <c r="CC36" s="39">
        <f t="shared" si="13"/>
        <v>0</v>
      </c>
      <c r="CD36" s="39">
        <f t="shared" si="14"/>
        <v>-115</v>
      </c>
      <c r="CE36" s="102">
        <f t="shared" si="15"/>
        <v>-1</v>
      </c>
      <c r="CF36" s="36"/>
      <c r="CG36" s="39" t="s">
        <v>228</v>
      </c>
      <c r="CH36" s="39"/>
      <c r="CI36" s="25">
        <v>1</v>
      </c>
    </row>
    <row r="37" spans="1:87" ht="24.75" customHeight="1">
      <c r="A37" s="36" t="s">
        <v>50</v>
      </c>
      <c r="B37" s="26">
        <v>48099</v>
      </c>
      <c r="C37" s="231"/>
      <c r="D37" s="36"/>
      <c r="E37" s="39">
        <v>200</v>
      </c>
      <c r="F37" s="39" t="s">
        <v>60</v>
      </c>
      <c r="G37" s="36" t="s">
        <v>47</v>
      </c>
      <c r="H37" s="36" t="s">
        <v>91</v>
      </c>
      <c r="I37" s="39">
        <v>75</v>
      </c>
      <c r="J37" s="39"/>
      <c r="K37" s="39"/>
      <c r="L37" s="39">
        <f t="shared" si="20"/>
        <v>75</v>
      </c>
      <c r="M37" s="117">
        <v>46254</v>
      </c>
      <c r="N37" s="117">
        <v>46259</v>
      </c>
      <c r="O37" s="39"/>
      <c r="P37" s="39"/>
      <c r="Q37" s="39"/>
      <c r="R37" s="39">
        <f t="shared" ref="R37:R39" si="25">SUM(O37:Q37)</f>
        <v>0</v>
      </c>
      <c r="S37" s="39" t="s">
        <v>130</v>
      </c>
      <c r="T37" s="39"/>
      <c r="U37" s="39"/>
      <c r="V37" s="39"/>
      <c r="W37" s="39"/>
      <c r="X37" s="39"/>
      <c r="Y37" s="39"/>
      <c r="Z37" s="39"/>
      <c r="AA37" s="39"/>
      <c r="AB37" s="118">
        <f t="shared" ref="AB37:AB41" si="26">SUM(Y37:AA37)</f>
        <v>0</v>
      </c>
      <c r="AC37" s="39"/>
      <c r="AD37" s="39"/>
      <c r="AE37" s="39"/>
      <c r="AF37" s="39"/>
      <c r="AG37" s="39"/>
      <c r="AH37" s="39">
        <f t="shared" si="3"/>
        <v>0</v>
      </c>
      <c r="AI37" s="39"/>
      <c r="AJ37" s="39"/>
      <c r="AK37" s="39"/>
      <c r="AL37" s="39"/>
      <c r="AM37" s="39"/>
      <c r="AN37" s="39">
        <f t="shared" si="4"/>
        <v>0</v>
      </c>
      <c r="AO37" s="39"/>
      <c r="AP37" s="39"/>
      <c r="AQ37" s="39"/>
      <c r="AR37" s="39"/>
      <c r="AS37" s="39"/>
      <c r="AT37" s="39">
        <f t="shared" si="5"/>
        <v>0</v>
      </c>
      <c r="AU37" s="39"/>
      <c r="AV37" s="39"/>
      <c r="AW37" s="39"/>
      <c r="AX37" s="39"/>
      <c r="AY37" s="39"/>
      <c r="AZ37" s="39">
        <f t="shared" si="6"/>
        <v>0</v>
      </c>
      <c r="BA37" s="39"/>
      <c r="BB37" s="39"/>
      <c r="BC37" s="39"/>
      <c r="BD37" s="39"/>
      <c r="BE37" s="39"/>
      <c r="BF37" s="39">
        <f t="shared" si="7"/>
        <v>0</v>
      </c>
      <c r="BG37" s="39"/>
      <c r="BH37" s="39"/>
      <c r="BI37" s="39"/>
      <c r="BJ37" s="39"/>
      <c r="BK37" s="39"/>
      <c r="BL37" s="39">
        <f t="shared" si="8"/>
        <v>0</v>
      </c>
      <c r="BM37" s="54">
        <f t="shared" ca="1" si="9"/>
        <v>46283</v>
      </c>
      <c r="BN37" s="58">
        <v>46271</v>
      </c>
      <c r="BO37" s="57">
        <v>46285</v>
      </c>
      <c r="BP37" s="36"/>
      <c r="BQ37" s="36"/>
      <c r="BR37" s="36"/>
      <c r="BS37" s="36"/>
      <c r="BT37" s="39"/>
      <c r="BU37" s="39"/>
      <c r="BV37" s="39"/>
      <c r="BW37" s="39"/>
      <c r="BX37" s="39"/>
      <c r="BY37" s="39"/>
      <c r="BZ37" s="39">
        <f t="shared" si="10"/>
        <v>0</v>
      </c>
      <c r="CA37" s="39">
        <f t="shared" si="11"/>
        <v>-75</v>
      </c>
      <c r="CB37" s="39">
        <f t="shared" si="12"/>
        <v>0</v>
      </c>
      <c r="CC37" s="39">
        <f t="shared" si="13"/>
        <v>0</v>
      </c>
      <c r="CD37" s="39">
        <f t="shared" si="14"/>
        <v>-75</v>
      </c>
      <c r="CE37" s="102">
        <f t="shared" si="15"/>
        <v>-1</v>
      </c>
      <c r="CF37" s="36"/>
      <c r="CG37" s="39" t="s">
        <v>228</v>
      </c>
      <c r="CH37" s="39"/>
      <c r="CI37" s="25">
        <v>1</v>
      </c>
    </row>
    <row r="38" spans="1:87" ht="24.75" customHeight="1">
      <c r="A38" s="36" t="s">
        <v>50</v>
      </c>
      <c r="B38" s="26">
        <v>48099</v>
      </c>
      <c r="C38" s="231"/>
      <c r="D38" s="36"/>
      <c r="E38" s="39">
        <v>200</v>
      </c>
      <c r="F38" s="39" t="s">
        <v>60</v>
      </c>
      <c r="G38" s="36" t="s">
        <v>1444</v>
      </c>
      <c r="H38" s="36" t="s">
        <v>91</v>
      </c>
      <c r="I38" s="39">
        <v>130</v>
      </c>
      <c r="J38" s="39"/>
      <c r="K38" s="39"/>
      <c r="L38" s="39">
        <f t="shared" si="20"/>
        <v>130</v>
      </c>
      <c r="M38" s="117">
        <v>46254</v>
      </c>
      <c r="N38" s="117">
        <v>46259</v>
      </c>
      <c r="O38" s="39"/>
      <c r="P38" s="39"/>
      <c r="Q38" s="39"/>
      <c r="R38" s="39">
        <f t="shared" si="25"/>
        <v>0</v>
      </c>
      <c r="S38" s="39" t="s">
        <v>28</v>
      </c>
      <c r="T38" s="39"/>
      <c r="U38" s="39"/>
      <c r="V38" s="117">
        <v>46253</v>
      </c>
      <c r="W38" s="39">
        <v>157</v>
      </c>
      <c r="X38" s="39"/>
      <c r="Y38" s="39"/>
      <c r="Z38" s="39"/>
      <c r="AA38" s="39"/>
      <c r="AB38" s="118">
        <f t="shared" si="26"/>
        <v>0</v>
      </c>
      <c r="AC38" s="39"/>
      <c r="AD38" s="39"/>
      <c r="AE38" s="39"/>
      <c r="AF38" s="39"/>
      <c r="AG38" s="39"/>
      <c r="AH38" s="39">
        <f t="shared" si="3"/>
        <v>0</v>
      </c>
      <c r="AI38" s="39"/>
      <c r="AJ38" s="39"/>
      <c r="AK38" s="39"/>
      <c r="AL38" s="39"/>
      <c r="AM38" s="39"/>
      <c r="AN38" s="39">
        <f t="shared" si="4"/>
        <v>0</v>
      </c>
      <c r="AO38" s="39"/>
      <c r="AP38" s="39"/>
      <c r="AQ38" s="39"/>
      <c r="AR38" s="39"/>
      <c r="AS38" s="39"/>
      <c r="AT38" s="39">
        <f t="shared" si="5"/>
        <v>0</v>
      </c>
      <c r="AU38" s="39"/>
      <c r="AV38" s="39"/>
      <c r="AW38" s="39"/>
      <c r="AX38" s="39"/>
      <c r="AY38" s="39"/>
      <c r="AZ38" s="39">
        <f t="shared" si="6"/>
        <v>0</v>
      </c>
      <c r="BA38" s="39"/>
      <c r="BB38" s="39"/>
      <c r="BC38" s="39"/>
      <c r="BD38" s="39"/>
      <c r="BE38" s="39"/>
      <c r="BF38" s="39">
        <f t="shared" si="7"/>
        <v>0</v>
      </c>
      <c r="BG38" s="39"/>
      <c r="BH38" s="39"/>
      <c r="BI38" s="39"/>
      <c r="BJ38" s="39"/>
      <c r="BK38" s="39"/>
      <c r="BL38" s="39">
        <f t="shared" si="8"/>
        <v>0</v>
      </c>
      <c r="BM38" s="54">
        <f t="shared" ca="1" si="9"/>
        <v>46283</v>
      </c>
      <c r="BN38" s="58">
        <v>46271</v>
      </c>
      <c r="BO38" s="57">
        <v>46285</v>
      </c>
      <c r="BP38" s="36"/>
      <c r="BQ38" s="36"/>
      <c r="BR38" s="36"/>
      <c r="BS38" s="36"/>
      <c r="BT38" s="39"/>
      <c r="BU38" s="39"/>
      <c r="BV38" s="39"/>
      <c r="BW38" s="39"/>
      <c r="BX38" s="39"/>
      <c r="BY38" s="39"/>
      <c r="BZ38" s="39">
        <f t="shared" si="10"/>
        <v>0</v>
      </c>
      <c r="CA38" s="39">
        <f t="shared" si="11"/>
        <v>-130</v>
      </c>
      <c r="CB38" s="39">
        <f t="shared" si="12"/>
        <v>0</v>
      </c>
      <c r="CC38" s="39">
        <f t="shared" si="13"/>
        <v>0</v>
      </c>
      <c r="CD38" s="39">
        <f t="shared" si="14"/>
        <v>-130</v>
      </c>
      <c r="CE38" s="102">
        <f t="shared" si="15"/>
        <v>-1</v>
      </c>
      <c r="CF38" s="36"/>
      <c r="CG38" s="39" t="s">
        <v>228</v>
      </c>
      <c r="CH38" s="39"/>
      <c r="CI38" s="25">
        <v>1</v>
      </c>
    </row>
    <row r="39" spans="1:87" ht="24.75" customHeight="1">
      <c r="A39" s="36" t="s">
        <v>50</v>
      </c>
      <c r="B39" s="26">
        <v>48099</v>
      </c>
      <c r="C39" s="228"/>
      <c r="D39" s="36"/>
      <c r="E39" s="39">
        <v>200</v>
      </c>
      <c r="F39" s="39" t="s">
        <v>60</v>
      </c>
      <c r="G39" s="36" t="s">
        <v>1446</v>
      </c>
      <c r="H39" s="36" t="s">
        <v>91</v>
      </c>
      <c r="I39" s="39">
        <v>75</v>
      </c>
      <c r="J39" s="39"/>
      <c r="K39" s="39"/>
      <c r="L39" s="39">
        <f t="shared" si="20"/>
        <v>75</v>
      </c>
      <c r="M39" s="117">
        <v>46254</v>
      </c>
      <c r="N39" s="117">
        <v>46259</v>
      </c>
      <c r="O39" s="39"/>
      <c r="P39" s="39"/>
      <c r="Q39" s="39"/>
      <c r="R39" s="39">
        <f t="shared" si="25"/>
        <v>0</v>
      </c>
      <c r="S39" s="39" t="s">
        <v>28</v>
      </c>
      <c r="T39" s="39"/>
      <c r="U39" s="39"/>
      <c r="V39" s="117">
        <v>46253</v>
      </c>
      <c r="W39" s="39">
        <v>93</v>
      </c>
      <c r="X39" s="117">
        <v>46274</v>
      </c>
      <c r="Y39" s="39">
        <v>75</v>
      </c>
      <c r="Z39" s="39"/>
      <c r="AA39" s="39"/>
      <c r="AB39" s="119">
        <f t="shared" si="26"/>
        <v>75</v>
      </c>
      <c r="AC39" s="39"/>
      <c r="AD39" s="39"/>
      <c r="AE39" s="39"/>
      <c r="AF39" s="39"/>
      <c r="AG39" s="39"/>
      <c r="AH39" s="39">
        <f t="shared" si="3"/>
        <v>0</v>
      </c>
      <c r="AI39" s="39"/>
      <c r="AJ39" s="39"/>
      <c r="AK39" s="39"/>
      <c r="AL39" s="39"/>
      <c r="AM39" s="39"/>
      <c r="AN39" s="39">
        <f t="shared" si="4"/>
        <v>0</v>
      </c>
      <c r="AO39" s="39"/>
      <c r="AP39" s="39"/>
      <c r="AQ39" s="39"/>
      <c r="AR39" s="39"/>
      <c r="AS39" s="39"/>
      <c r="AT39" s="39">
        <f t="shared" si="5"/>
        <v>0</v>
      </c>
      <c r="AU39" s="39"/>
      <c r="AV39" s="39"/>
      <c r="AW39" s="39"/>
      <c r="AX39" s="39"/>
      <c r="AY39" s="39"/>
      <c r="AZ39" s="39">
        <f t="shared" si="6"/>
        <v>0</v>
      </c>
      <c r="BA39" s="39"/>
      <c r="BB39" s="39"/>
      <c r="BC39" s="39"/>
      <c r="BD39" s="39"/>
      <c r="BE39" s="39"/>
      <c r="BF39" s="39">
        <f t="shared" si="7"/>
        <v>0</v>
      </c>
      <c r="BG39" s="39"/>
      <c r="BH39" s="39"/>
      <c r="BI39" s="39"/>
      <c r="BJ39" s="39"/>
      <c r="BK39" s="39"/>
      <c r="BL39" s="39">
        <f t="shared" si="8"/>
        <v>0</v>
      </c>
      <c r="BM39" s="54" t="str">
        <f t="shared" si="9"/>
        <v/>
      </c>
      <c r="BN39" s="58">
        <v>46271</v>
      </c>
      <c r="BO39" s="57">
        <v>46285</v>
      </c>
      <c r="BP39" s="36"/>
      <c r="BQ39" s="36"/>
      <c r="BR39" s="57">
        <v>46277</v>
      </c>
      <c r="BS39" s="57">
        <v>46277</v>
      </c>
      <c r="BT39" s="39">
        <v>968</v>
      </c>
      <c r="BU39" s="39">
        <v>75</v>
      </c>
      <c r="BV39" s="39"/>
      <c r="BW39" s="39"/>
      <c r="BX39" s="39"/>
      <c r="BY39" s="39"/>
      <c r="BZ39" s="39">
        <f t="shared" si="10"/>
        <v>75</v>
      </c>
      <c r="CA39" s="39">
        <f t="shared" si="11"/>
        <v>0</v>
      </c>
      <c r="CB39" s="39">
        <f t="shared" si="12"/>
        <v>0</v>
      </c>
      <c r="CC39" s="39">
        <f t="shared" si="13"/>
        <v>0</v>
      </c>
      <c r="CD39" s="39">
        <f t="shared" si="14"/>
        <v>0</v>
      </c>
      <c r="CE39" s="102">
        <f t="shared" si="15"/>
        <v>0</v>
      </c>
      <c r="CF39" s="36"/>
      <c r="CG39" s="39" t="s">
        <v>228</v>
      </c>
      <c r="CH39" s="39"/>
      <c r="CI39" s="25">
        <v>1</v>
      </c>
    </row>
    <row r="40" spans="1:87" ht="24.75" customHeight="1">
      <c r="A40" s="36" t="s">
        <v>50</v>
      </c>
      <c r="B40" s="26">
        <v>48295</v>
      </c>
      <c r="C40" s="227">
        <v>13267869</v>
      </c>
      <c r="D40" s="36"/>
      <c r="E40" s="39">
        <v>160</v>
      </c>
      <c r="F40" s="39" t="s">
        <v>53</v>
      </c>
      <c r="G40" s="36" t="s">
        <v>1734</v>
      </c>
      <c r="H40" s="36" t="s">
        <v>87</v>
      </c>
      <c r="I40" s="39">
        <v>125</v>
      </c>
      <c r="J40" s="39">
        <v>15</v>
      </c>
      <c r="K40" s="39"/>
      <c r="L40" s="39">
        <f t="shared" si="20"/>
        <v>140</v>
      </c>
      <c r="M40" s="117">
        <v>46266</v>
      </c>
      <c r="N40" s="117">
        <v>46270</v>
      </c>
      <c r="O40" s="39"/>
      <c r="P40" s="39"/>
      <c r="Q40" s="39"/>
      <c r="R40" s="39">
        <f t="shared" ref="R40" si="27">SUM(O40:Q40)</f>
        <v>0</v>
      </c>
      <c r="S40" s="39" t="s">
        <v>28</v>
      </c>
      <c r="T40" s="39"/>
      <c r="U40" s="39"/>
      <c r="V40" s="117">
        <v>46249</v>
      </c>
      <c r="W40" s="39">
        <f>157+18</f>
        <v>175</v>
      </c>
      <c r="X40" s="117">
        <v>46271</v>
      </c>
      <c r="Y40" s="39">
        <v>135</v>
      </c>
      <c r="Z40" s="39"/>
      <c r="AA40" s="39"/>
      <c r="AB40" s="120">
        <f t="shared" si="26"/>
        <v>135</v>
      </c>
      <c r="AC40" s="39"/>
      <c r="AD40" s="39"/>
      <c r="AE40" s="39"/>
      <c r="AF40" s="39"/>
      <c r="AG40" s="39"/>
      <c r="AH40" s="39">
        <f t="shared" si="3"/>
        <v>0</v>
      </c>
      <c r="AI40" s="39"/>
      <c r="AJ40" s="39"/>
      <c r="AK40" s="39"/>
      <c r="AL40" s="39"/>
      <c r="AM40" s="39"/>
      <c r="AN40" s="39">
        <f t="shared" si="4"/>
        <v>0</v>
      </c>
      <c r="AO40" s="39"/>
      <c r="AP40" s="39"/>
      <c r="AQ40" s="39"/>
      <c r="AR40" s="39"/>
      <c r="AS40" s="39"/>
      <c r="AT40" s="39">
        <f t="shared" si="5"/>
        <v>0</v>
      </c>
      <c r="AU40" s="39"/>
      <c r="AV40" s="39"/>
      <c r="AW40" s="39"/>
      <c r="AX40" s="39"/>
      <c r="AY40" s="39"/>
      <c r="AZ40" s="39">
        <f t="shared" si="6"/>
        <v>0</v>
      </c>
      <c r="BA40" s="39"/>
      <c r="BB40" s="39"/>
      <c r="BC40" s="39"/>
      <c r="BD40" s="39"/>
      <c r="BE40" s="39"/>
      <c r="BF40" s="39">
        <f t="shared" si="7"/>
        <v>0</v>
      </c>
      <c r="BG40" s="39"/>
      <c r="BH40" s="39"/>
      <c r="BI40" s="39"/>
      <c r="BJ40" s="39"/>
      <c r="BK40" s="39"/>
      <c r="BL40" s="39">
        <f t="shared" si="8"/>
        <v>0</v>
      </c>
      <c r="BM40" s="54" t="str">
        <f t="shared" si="9"/>
        <v/>
      </c>
      <c r="BN40" s="58">
        <v>46275</v>
      </c>
      <c r="BO40" s="57">
        <v>46290</v>
      </c>
      <c r="BP40" s="36"/>
      <c r="BQ40" s="36"/>
      <c r="BR40" s="57">
        <v>46272</v>
      </c>
      <c r="BS40" s="36"/>
      <c r="BT40" s="39">
        <v>599</v>
      </c>
      <c r="BU40" s="39">
        <v>135</v>
      </c>
      <c r="BV40" s="39"/>
      <c r="BW40" s="39"/>
      <c r="BX40" s="39"/>
      <c r="BY40" s="39"/>
      <c r="BZ40" s="39">
        <f t="shared" si="10"/>
        <v>135</v>
      </c>
      <c r="CA40" s="39">
        <f t="shared" si="11"/>
        <v>10</v>
      </c>
      <c r="CB40" s="39">
        <f t="shared" si="12"/>
        <v>-15</v>
      </c>
      <c r="CC40" s="39">
        <f t="shared" si="13"/>
        <v>0</v>
      </c>
      <c r="CD40" s="39">
        <f t="shared" si="14"/>
        <v>-15</v>
      </c>
      <c r="CE40" s="102">
        <f t="shared" si="15"/>
        <v>-0.10714285714285714</v>
      </c>
      <c r="CF40" s="36"/>
      <c r="CG40" s="39" t="s">
        <v>228</v>
      </c>
      <c r="CH40" s="39"/>
      <c r="CI40" s="25">
        <v>1</v>
      </c>
    </row>
    <row r="41" spans="1:87" ht="24.75" customHeight="1">
      <c r="A41" s="36" t="s">
        <v>50</v>
      </c>
      <c r="B41" s="26">
        <v>48295</v>
      </c>
      <c r="C41" s="228"/>
      <c r="D41" s="36"/>
      <c r="E41" s="39">
        <v>160</v>
      </c>
      <c r="F41" s="39" t="s">
        <v>53</v>
      </c>
      <c r="G41" s="36" t="s">
        <v>1666</v>
      </c>
      <c r="H41" s="36" t="s">
        <v>87</v>
      </c>
      <c r="I41" s="39">
        <v>86</v>
      </c>
      <c r="J41" s="39">
        <v>10</v>
      </c>
      <c r="K41" s="39"/>
      <c r="L41" s="39">
        <f t="shared" si="20"/>
        <v>96</v>
      </c>
      <c r="M41" s="117">
        <v>46266</v>
      </c>
      <c r="N41" s="117">
        <v>46270</v>
      </c>
      <c r="O41" s="39"/>
      <c r="P41" s="39"/>
      <c r="Q41" s="39"/>
      <c r="R41" s="39">
        <f t="shared" ref="R41" si="28">SUM(O41:Q41)</f>
        <v>0</v>
      </c>
      <c r="S41" s="39" t="s">
        <v>28</v>
      </c>
      <c r="T41" s="39"/>
      <c r="U41" s="39"/>
      <c r="V41" s="117">
        <v>46249</v>
      </c>
      <c r="W41" s="39">
        <f>109+12</f>
        <v>121</v>
      </c>
      <c r="X41" s="117">
        <v>46270</v>
      </c>
      <c r="Y41" s="39">
        <v>97</v>
      </c>
      <c r="Z41" s="39">
        <v>13</v>
      </c>
      <c r="AA41" s="39"/>
      <c r="AB41" s="119">
        <f t="shared" si="26"/>
        <v>110</v>
      </c>
      <c r="AC41" s="39"/>
      <c r="AD41" s="39"/>
      <c r="AE41" s="39"/>
      <c r="AF41" s="39"/>
      <c r="AG41" s="39"/>
      <c r="AH41" s="39">
        <f t="shared" si="3"/>
        <v>0</v>
      </c>
      <c r="AI41" s="39"/>
      <c r="AJ41" s="39"/>
      <c r="AK41" s="39"/>
      <c r="AL41" s="39"/>
      <c r="AM41" s="39"/>
      <c r="AN41" s="39">
        <f t="shared" si="4"/>
        <v>0</v>
      </c>
      <c r="AO41" s="39"/>
      <c r="AP41" s="39"/>
      <c r="AQ41" s="39"/>
      <c r="AR41" s="39"/>
      <c r="AS41" s="39"/>
      <c r="AT41" s="39">
        <f t="shared" si="5"/>
        <v>0</v>
      </c>
      <c r="AU41" s="39"/>
      <c r="AV41" s="39"/>
      <c r="AW41" s="39"/>
      <c r="AX41" s="39"/>
      <c r="AY41" s="39"/>
      <c r="AZ41" s="39">
        <f t="shared" si="6"/>
        <v>0</v>
      </c>
      <c r="BA41" s="39"/>
      <c r="BB41" s="39"/>
      <c r="BC41" s="39"/>
      <c r="BD41" s="39"/>
      <c r="BE41" s="39"/>
      <c r="BF41" s="39">
        <f t="shared" si="7"/>
        <v>0</v>
      </c>
      <c r="BG41" s="39"/>
      <c r="BH41" s="39"/>
      <c r="BI41" s="39"/>
      <c r="BJ41" s="39"/>
      <c r="BK41" s="39"/>
      <c r="BL41" s="39">
        <f t="shared" si="8"/>
        <v>0</v>
      </c>
      <c r="BM41" s="54" t="str">
        <f t="shared" si="9"/>
        <v/>
      </c>
      <c r="BN41" s="58">
        <v>46275</v>
      </c>
      <c r="BO41" s="57">
        <v>46290</v>
      </c>
      <c r="BP41" s="36"/>
      <c r="BQ41" s="36"/>
      <c r="BR41" s="57">
        <v>46272</v>
      </c>
      <c r="BS41" s="57">
        <v>46272</v>
      </c>
      <c r="BT41" s="39">
        <v>964</v>
      </c>
      <c r="BU41" s="39">
        <v>97</v>
      </c>
      <c r="BV41" s="39">
        <v>964</v>
      </c>
      <c r="BW41" s="39">
        <v>13</v>
      </c>
      <c r="BX41" s="39"/>
      <c r="BY41" s="39"/>
      <c r="BZ41" s="39">
        <f t="shared" si="10"/>
        <v>110</v>
      </c>
      <c r="CA41" s="39">
        <f t="shared" si="11"/>
        <v>11</v>
      </c>
      <c r="CB41" s="39">
        <f t="shared" si="12"/>
        <v>3</v>
      </c>
      <c r="CC41" s="39">
        <f t="shared" si="13"/>
        <v>0</v>
      </c>
      <c r="CD41" s="39">
        <f t="shared" si="14"/>
        <v>0</v>
      </c>
      <c r="CE41" s="102">
        <f t="shared" si="15"/>
        <v>0</v>
      </c>
      <c r="CF41" s="36"/>
      <c r="CG41" s="39" t="s">
        <v>228</v>
      </c>
      <c r="CH41" s="39"/>
      <c r="CI41" s="25">
        <v>1</v>
      </c>
    </row>
    <row r="42" spans="1:87" ht="24.75" customHeight="1">
      <c r="A42" s="36" t="s">
        <v>50</v>
      </c>
      <c r="B42" s="26">
        <v>48307</v>
      </c>
      <c r="C42" s="227">
        <v>13228342</v>
      </c>
      <c r="D42" s="36"/>
      <c r="E42" s="39">
        <v>180</v>
      </c>
      <c r="F42" s="39" t="s">
        <v>55</v>
      </c>
      <c r="G42" s="36" t="s">
        <v>1163</v>
      </c>
      <c r="H42" s="36" t="s">
        <v>87</v>
      </c>
      <c r="I42" s="39">
        <v>28</v>
      </c>
      <c r="J42" s="39">
        <v>3</v>
      </c>
      <c r="K42" s="39"/>
      <c r="L42" s="39">
        <f t="shared" ref="L42:L59" si="29">SUM(I42:K42)</f>
        <v>31</v>
      </c>
      <c r="M42" s="117">
        <v>46249</v>
      </c>
      <c r="N42" s="117">
        <v>46254</v>
      </c>
      <c r="O42" s="39"/>
      <c r="P42" s="39"/>
      <c r="Q42" s="39"/>
      <c r="R42" s="39">
        <f t="shared" ref="R42:R82" si="30">SUM(O42:Q42)</f>
        <v>0</v>
      </c>
      <c r="S42" s="39" t="s">
        <v>28</v>
      </c>
      <c r="T42" s="39"/>
      <c r="U42" s="39"/>
      <c r="V42" s="117">
        <v>46249</v>
      </c>
      <c r="W42" s="39">
        <f>38+5</f>
        <v>43</v>
      </c>
      <c r="X42" s="117" t="s">
        <v>2717</v>
      </c>
      <c r="Y42" s="39">
        <v>31</v>
      </c>
      <c r="Z42" s="39">
        <v>4</v>
      </c>
      <c r="AA42" s="39"/>
      <c r="AB42" s="119">
        <f t="shared" ref="AB42:AB82" si="31">SUM(Y42:AA42)</f>
        <v>35</v>
      </c>
      <c r="AC42" s="39"/>
      <c r="AD42" s="39"/>
      <c r="AE42" s="39"/>
      <c r="AF42" s="39"/>
      <c r="AG42" s="39"/>
      <c r="AH42" s="39">
        <f t="shared" si="3"/>
        <v>0</v>
      </c>
      <c r="AI42" s="39"/>
      <c r="AJ42" s="39"/>
      <c r="AK42" s="39"/>
      <c r="AL42" s="39"/>
      <c r="AM42" s="39"/>
      <c r="AN42" s="39">
        <f t="shared" si="4"/>
        <v>0</v>
      </c>
      <c r="AO42" s="39"/>
      <c r="AP42" s="39"/>
      <c r="AQ42" s="39"/>
      <c r="AR42" s="39"/>
      <c r="AS42" s="39"/>
      <c r="AT42" s="39">
        <f t="shared" si="5"/>
        <v>0</v>
      </c>
      <c r="AU42" s="39"/>
      <c r="AV42" s="39"/>
      <c r="AW42" s="39"/>
      <c r="AX42" s="39"/>
      <c r="AY42" s="39"/>
      <c r="AZ42" s="39">
        <f t="shared" si="6"/>
        <v>0</v>
      </c>
      <c r="BA42" s="39"/>
      <c r="BB42" s="39"/>
      <c r="BC42" s="39"/>
      <c r="BD42" s="39"/>
      <c r="BE42" s="39"/>
      <c r="BF42" s="39">
        <f t="shared" si="7"/>
        <v>0</v>
      </c>
      <c r="BG42" s="39"/>
      <c r="BH42" s="39"/>
      <c r="BI42" s="39"/>
      <c r="BJ42" s="39"/>
      <c r="BK42" s="39"/>
      <c r="BL42" s="39">
        <f t="shared" si="8"/>
        <v>0</v>
      </c>
      <c r="BM42" s="54" t="str">
        <f t="shared" si="9"/>
        <v/>
      </c>
      <c r="BN42" s="58">
        <v>46266</v>
      </c>
      <c r="BO42" s="57">
        <v>46280</v>
      </c>
      <c r="BP42" s="36"/>
      <c r="BQ42" s="36"/>
      <c r="BR42" s="57">
        <v>46266</v>
      </c>
      <c r="BS42" s="57">
        <v>46266</v>
      </c>
      <c r="BT42" s="39">
        <v>953</v>
      </c>
      <c r="BU42" s="39">
        <v>31</v>
      </c>
      <c r="BV42" s="39">
        <v>953</v>
      </c>
      <c r="BW42" s="39">
        <v>4</v>
      </c>
      <c r="BX42" s="39"/>
      <c r="BY42" s="39"/>
      <c r="BZ42" s="39">
        <f t="shared" si="10"/>
        <v>35</v>
      </c>
      <c r="CA42" s="39">
        <f t="shared" si="11"/>
        <v>3</v>
      </c>
      <c r="CB42" s="39">
        <f t="shared" si="12"/>
        <v>1</v>
      </c>
      <c r="CC42" s="39">
        <f t="shared" si="13"/>
        <v>0</v>
      </c>
      <c r="CD42" s="39">
        <f t="shared" si="14"/>
        <v>0</v>
      </c>
      <c r="CE42" s="102">
        <f t="shared" si="15"/>
        <v>0</v>
      </c>
      <c r="CF42" s="36"/>
      <c r="CG42" s="39" t="s">
        <v>298</v>
      </c>
      <c r="CH42" s="39"/>
      <c r="CI42" s="25">
        <v>1</v>
      </c>
    </row>
    <row r="43" spans="1:87" ht="24.75" customHeight="1">
      <c r="A43" s="36" t="s">
        <v>50</v>
      </c>
      <c r="B43" s="26">
        <v>48307</v>
      </c>
      <c r="C43" s="231"/>
      <c r="D43" s="36"/>
      <c r="E43" s="39">
        <v>180</v>
      </c>
      <c r="F43" s="39" t="s">
        <v>55</v>
      </c>
      <c r="G43" s="36" t="s">
        <v>1850</v>
      </c>
      <c r="H43" s="36" t="s">
        <v>87</v>
      </c>
      <c r="I43" s="39">
        <v>32</v>
      </c>
      <c r="J43" s="39">
        <v>4</v>
      </c>
      <c r="K43" s="39"/>
      <c r="L43" s="39">
        <f t="shared" si="29"/>
        <v>36</v>
      </c>
      <c r="M43" s="117">
        <v>46249</v>
      </c>
      <c r="N43" s="117">
        <v>46254</v>
      </c>
      <c r="O43" s="39"/>
      <c r="P43" s="39"/>
      <c r="Q43" s="39"/>
      <c r="R43" s="39">
        <f t="shared" si="30"/>
        <v>0</v>
      </c>
      <c r="S43" s="39" t="s">
        <v>326</v>
      </c>
      <c r="T43" s="39"/>
      <c r="U43" s="39"/>
      <c r="V43" s="117">
        <v>46256</v>
      </c>
      <c r="W43" s="39">
        <f>43+6</f>
        <v>49</v>
      </c>
      <c r="X43" s="39"/>
      <c r="Y43" s="39"/>
      <c r="Z43" s="39"/>
      <c r="AA43" s="39"/>
      <c r="AB43" s="118">
        <f t="shared" si="31"/>
        <v>0</v>
      </c>
      <c r="AC43" s="39"/>
      <c r="AD43" s="39"/>
      <c r="AE43" s="39"/>
      <c r="AF43" s="39"/>
      <c r="AG43" s="39"/>
      <c r="AH43" s="39">
        <f t="shared" si="3"/>
        <v>0</v>
      </c>
      <c r="AI43" s="39"/>
      <c r="AJ43" s="39"/>
      <c r="AK43" s="39"/>
      <c r="AL43" s="39"/>
      <c r="AM43" s="39"/>
      <c r="AN43" s="39">
        <f t="shared" si="4"/>
        <v>0</v>
      </c>
      <c r="AO43" s="39"/>
      <c r="AP43" s="39"/>
      <c r="AQ43" s="39"/>
      <c r="AR43" s="39"/>
      <c r="AS43" s="39"/>
      <c r="AT43" s="39">
        <f t="shared" si="5"/>
        <v>0</v>
      </c>
      <c r="AU43" s="39"/>
      <c r="AV43" s="39"/>
      <c r="AW43" s="39"/>
      <c r="AX43" s="39"/>
      <c r="AY43" s="39"/>
      <c r="AZ43" s="39">
        <f t="shared" si="6"/>
        <v>0</v>
      </c>
      <c r="BA43" s="39"/>
      <c r="BB43" s="39"/>
      <c r="BC43" s="39"/>
      <c r="BD43" s="39"/>
      <c r="BE43" s="39"/>
      <c r="BF43" s="39">
        <f t="shared" si="7"/>
        <v>0</v>
      </c>
      <c r="BG43" s="39"/>
      <c r="BH43" s="39"/>
      <c r="BI43" s="39"/>
      <c r="BJ43" s="39"/>
      <c r="BK43" s="39"/>
      <c r="BL43" s="39">
        <f t="shared" si="8"/>
        <v>0</v>
      </c>
      <c r="BM43" s="54">
        <f t="shared" ca="1" si="9"/>
        <v>46283</v>
      </c>
      <c r="BN43" s="58">
        <v>46266</v>
      </c>
      <c r="BO43" s="57">
        <v>46280</v>
      </c>
      <c r="BP43" s="36"/>
      <c r="BQ43" s="36"/>
      <c r="BR43" s="36"/>
      <c r="BS43" s="36"/>
      <c r="BT43" s="39"/>
      <c r="BU43" s="39"/>
      <c r="BV43" s="39"/>
      <c r="BW43" s="39"/>
      <c r="BX43" s="39"/>
      <c r="BY43" s="39"/>
      <c r="BZ43" s="39">
        <f t="shared" si="10"/>
        <v>0</v>
      </c>
      <c r="CA43" s="39">
        <f t="shared" si="11"/>
        <v>-32</v>
      </c>
      <c r="CB43" s="39">
        <f t="shared" si="12"/>
        <v>-4</v>
      </c>
      <c r="CC43" s="39">
        <f t="shared" si="13"/>
        <v>0</v>
      </c>
      <c r="CD43" s="39">
        <f t="shared" si="14"/>
        <v>-36</v>
      </c>
      <c r="CE43" s="102">
        <f t="shared" si="15"/>
        <v>-1</v>
      </c>
      <c r="CF43" s="36"/>
      <c r="CG43" s="39" t="s">
        <v>298</v>
      </c>
      <c r="CH43" s="39"/>
      <c r="CI43" s="25">
        <v>1</v>
      </c>
    </row>
    <row r="44" spans="1:87" ht="24.75" customHeight="1">
      <c r="A44" s="36" t="s">
        <v>50</v>
      </c>
      <c r="B44" s="26">
        <v>48307</v>
      </c>
      <c r="C44" s="231"/>
      <c r="D44" s="36"/>
      <c r="E44" s="39">
        <v>180</v>
      </c>
      <c r="F44" s="39" t="s">
        <v>55</v>
      </c>
      <c r="G44" s="36" t="s">
        <v>1851</v>
      </c>
      <c r="H44" s="36" t="s">
        <v>87</v>
      </c>
      <c r="I44" s="39">
        <v>28</v>
      </c>
      <c r="J44" s="39">
        <v>3</v>
      </c>
      <c r="K44" s="39"/>
      <c r="L44" s="39">
        <f t="shared" si="29"/>
        <v>31</v>
      </c>
      <c r="M44" s="117">
        <v>46249</v>
      </c>
      <c r="N44" s="117">
        <v>46254</v>
      </c>
      <c r="O44" s="39"/>
      <c r="P44" s="39"/>
      <c r="Q44" s="39"/>
      <c r="R44" s="39">
        <f t="shared" si="30"/>
        <v>0</v>
      </c>
      <c r="S44" s="39" t="s">
        <v>31</v>
      </c>
      <c r="T44" s="39"/>
      <c r="U44" s="39"/>
      <c r="V44" s="117">
        <v>46249</v>
      </c>
      <c r="W44" s="39">
        <f>39+5</f>
        <v>44</v>
      </c>
      <c r="X44" s="39"/>
      <c r="Y44" s="39"/>
      <c r="Z44" s="39"/>
      <c r="AA44" s="39"/>
      <c r="AB44" s="118">
        <f t="shared" si="31"/>
        <v>0</v>
      </c>
      <c r="AC44" s="39"/>
      <c r="AD44" s="39"/>
      <c r="AE44" s="39"/>
      <c r="AF44" s="39"/>
      <c r="AG44" s="39"/>
      <c r="AH44" s="39">
        <f t="shared" si="3"/>
        <v>0</v>
      </c>
      <c r="AI44" s="39"/>
      <c r="AJ44" s="39"/>
      <c r="AK44" s="39"/>
      <c r="AL44" s="39"/>
      <c r="AM44" s="39"/>
      <c r="AN44" s="39">
        <f t="shared" si="4"/>
        <v>0</v>
      </c>
      <c r="AO44" s="39"/>
      <c r="AP44" s="39"/>
      <c r="AQ44" s="39"/>
      <c r="AR44" s="39"/>
      <c r="AS44" s="39"/>
      <c r="AT44" s="39">
        <f t="shared" si="5"/>
        <v>0</v>
      </c>
      <c r="AU44" s="39"/>
      <c r="AV44" s="39"/>
      <c r="AW44" s="39"/>
      <c r="AX44" s="39"/>
      <c r="AY44" s="39"/>
      <c r="AZ44" s="39">
        <f t="shared" si="6"/>
        <v>0</v>
      </c>
      <c r="BA44" s="39"/>
      <c r="BB44" s="39"/>
      <c r="BC44" s="39"/>
      <c r="BD44" s="39"/>
      <c r="BE44" s="39"/>
      <c r="BF44" s="39">
        <f t="shared" si="7"/>
        <v>0</v>
      </c>
      <c r="BG44" s="39"/>
      <c r="BH44" s="39"/>
      <c r="BI44" s="39"/>
      <c r="BJ44" s="39"/>
      <c r="BK44" s="39"/>
      <c r="BL44" s="39">
        <f t="shared" si="8"/>
        <v>0</v>
      </c>
      <c r="BM44" s="54">
        <f t="shared" ca="1" si="9"/>
        <v>46283</v>
      </c>
      <c r="BN44" s="58">
        <v>46266</v>
      </c>
      <c r="BO44" s="57">
        <v>46280</v>
      </c>
      <c r="BP44" s="36"/>
      <c r="BQ44" s="36"/>
      <c r="BR44" s="36"/>
      <c r="BS44" s="36"/>
      <c r="BT44" s="39"/>
      <c r="BU44" s="39"/>
      <c r="BV44" s="39"/>
      <c r="BW44" s="39"/>
      <c r="BX44" s="39"/>
      <c r="BY44" s="39"/>
      <c r="BZ44" s="39">
        <f t="shared" si="10"/>
        <v>0</v>
      </c>
      <c r="CA44" s="39">
        <f t="shared" si="11"/>
        <v>-28</v>
      </c>
      <c r="CB44" s="39">
        <f t="shared" si="12"/>
        <v>-3</v>
      </c>
      <c r="CC44" s="39">
        <f t="shared" si="13"/>
        <v>0</v>
      </c>
      <c r="CD44" s="39">
        <f t="shared" si="14"/>
        <v>-31</v>
      </c>
      <c r="CE44" s="102">
        <f t="shared" si="15"/>
        <v>-1</v>
      </c>
      <c r="CF44" s="36"/>
      <c r="CG44" s="39" t="s">
        <v>298</v>
      </c>
      <c r="CH44" s="39"/>
      <c r="CI44" s="25">
        <v>1</v>
      </c>
    </row>
    <row r="45" spans="1:87" ht="24.75" customHeight="1">
      <c r="A45" s="36" t="s">
        <v>50</v>
      </c>
      <c r="B45" s="26">
        <v>48307</v>
      </c>
      <c r="C45" s="231"/>
      <c r="D45" s="36"/>
      <c r="E45" s="39">
        <v>180</v>
      </c>
      <c r="F45" s="39" t="s">
        <v>55</v>
      </c>
      <c r="G45" s="36" t="s">
        <v>1076</v>
      </c>
      <c r="H45" s="36" t="s">
        <v>87</v>
      </c>
      <c r="I45" s="39">
        <v>23</v>
      </c>
      <c r="J45" s="39">
        <v>3</v>
      </c>
      <c r="K45" s="39"/>
      <c r="L45" s="39">
        <f t="shared" si="29"/>
        <v>26</v>
      </c>
      <c r="M45" s="117">
        <v>46249</v>
      </c>
      <c r="N45" s="117">
        <v>46254</v>
      </c>
      <c r="O45" s="39"/>
      <c r="P45" s="39"/>
      <c r="Q45" s="39"/>
      <c r="R45" s="39">
        <f t="shared" si="30"/>
        <v>0</v>
      </c>
      <c r="S45" s="39" t="s">
        <v>326</v>
      </c>
      <c r="T45" s="39"/>
      <c r="U45" s="39"/>
      <c r="V45" s="117">
        <v>46256</v>
      </c>
      <c r="W45" s="39">
        <f>34+5</f>
        <v>39</v>
      </c>
      <c r="X45" s="117">
        <v>46274</v>
      </c>
      <c r="Y45" s="39">
        <v>31</v>
      </c>
      <c r="Z45" s="39">
        <v>6</v>
      </c>
      <c r="AA45" s="39"/>
      <c r="AB45" s="119">
        <f t="shared" si="31"/>
        <v>37</v>
      </c>
      <c r="AC45" s="39"/>
      <c r="AD45" s="39"/>
      <c r="AE45" s="39"/>
      <c r="AF45" s="39"/>
      <c r="AG45" s="39"/>
      <c r="AH45" s="39">
        <f t="shared" si="3"/>
        <v>0</v>
      </c>
      <c r="AI45" s="39"/>
      <c r="AJ45" s="39"/>
      <c r="AK45" s="39"/>
      <c r="AL45" s="39"/>
      <c r="AM45" s="39"/>
      <c r="AN45" s="39">
        <f t="shared" si="4"/>
        <v>0</v>
      </c>
      <c r="AO45" s="39"/>
      <c r="AP45" s="39"/>
      <c r="AQ45" s="39"/>
      <c r="AR45" s="39"/>
      <c r="AS45" s="39"/>
      <c r="AT45" s="39">
        <f t="shared" si="5"/>
        <v>0</v>
      </c>
      <c r="AU45" s="39"/>
      <c r="AV45" s="39"/>
      <c r="AW45" s="39"/>
      <c r="AX45" s="39"/>
      <c r="AY45" s="39"/>
      <c r="AZ45" s="39">
        <f t="shared" si="6"/>
        <v>0</v>
      </c>
      <c r="BA45" s="39"/>
      <c r="BB45" s="39"/>
      <c r="BC45" s="39"/>
      <c r="BD45" s="39"/>
      <c r="BE45" s="39"/>
      <c r="BF45" s="39">
        <f t="shared" si="7"/>
        <v>0</v>
      </c>
      <c r="BG45" s="39"/>
      <c r="BH45" s="39"/>
      <c r="BI45" s="39"/>
      <c r="BJ45" s="39"/>
      <c r="BK45" s="39"/>
      <c r="BL45" s="39">
        <f t="shared" si="8"/>
        <v>0</v>
      </c>
      <c r="BM45" s="54" t="str">
        <f t="shared" si="9"/>
        <v/>
      </c>
      <c r="BN45" s="58">
        <v>46266</v>
      </c>
      <c r="BO45" s="57">
        <v>46280</v>
      </c>
      <c r="BP45" s="36"/>
      <c r="BQ45" s="36"/>
      <c r="BR45" s="57">
        <v>46272</v>
      </c>
      <c r="BS45" s="57">
        <v>46272</v>
      </c>
      <c r="BT45" s="39">
        <v>856</v>
      </c>
      <c r="BU45" s="39">
        <v>31</v>
      </c>
      <c r="BV45" s="39">
        <v>856</v>
      </c>
      <c r="BW45" s="39">
        <v>6</v>
      </c>
      <c r="BX45" s="39"/>
      <c r="BY45" s="39"/>
      <c r="BZ45" s="39">
        <f t="shared" si="10"/>
        <v>37</v>
      </c>
      <c r="CA45" s="39">
        <f t="shared" si="11"/>
        <v>8</v>
      </c>
      <c r="CB45" s="39">
        <f t="shared" si="12"/>
        <v>3</v>
      </c>
      <c r="CC45" s="39">
        <f t="shared" si="13"/>
        <v>0</v>
      </c>
      <c r="CD45" s="39">
        <f t="shared" si="14"/>
        <v>0</v>
      </c>
      <c r="CE45" s="102">
        <f t="shared" si="15"/>
        <v>0</v>
      </c>
      <c r="CF45" s="36"/>
      <c r="CG45" s="39" t="s">
        <v>298</v>
      </c>
      <c r="CH45" s="39"/>
      <c r="CI45" s="25">
        <v>1</v>
      </c>
    </row>
    <row r="46" spans="1:87" ht="24.75" customHeight="1">
      <c r="A46" s="36" t="s">
        <v>50</v>
      </c>
      <c r="B46" s="26">
        <v>48307</v>
      </c>
      <c r="C46" s="228"/>
      <c r="D46" s="36"/>
      <c r="E46" s="39"/>
      <c r="F46" s="39"/>
      <c r="G46" s="36" t="s">
        <v>1852</v>
      </c>
      <c r="H46" s="36">
        <f>10+10+10+10</f>
        <v>40</v>
      </c>
      <c r="I46" s="39" t="s">
        <v>90</v>
      </c>
      <c r="J46" s="39"/>
      <c r="K46" s="39"/>
      <c r="L46" s="39">
        <f t="shared" si="29"/>
        <v>0</v>
      </c>
      <c r="M46" s="117">
        <v>46249</v>
      </c>
      <c r="N46" s="117">
        <v>46254</v>
      </c>
      <c r="O46" s="39"/>
      <c r="P46" s="39"/>
      <c r="Q46" s="39"/>
      <c r="R46" s="39">
        <f t="shared" si="30"/>
        <v>0</v>
      </c>
      <c r="S46" s="39" t="s">
        <v>130</v>
      </c>
      <c r="T46" s="39"/>
      <c r="U46" s="39"/>
      <c r="V46" s="39"/>
      <c r="W46" s="39"/>
      <c r="X46" s="39"/>
      <c r="Y46" s="39"/>
      <c r="Z46" s="39"/>
      <c r="AA46" s="39"/>
      <c r="AB46" s="39">
        <f t="shared" si="31"/>
        <v>0</v>
      </c>
      <c r="AC46" s="39"/>
      <c r="AD46" s="39"/>
      <c r="AE46" s="39"/>
      <c r="AF46" s="39"/>
      <c r="AG46" s="39"/>
      <c r="AH46" s="39">
        <f t="shared" si="3"/>
        <v>0</v>
      </c>
      <c r="AI46" s="39"/>
      <c r="AJ46" s="39"/>
      <c r="AK46" s="39"/>
      <c r="AL46" s="39"/>
      <c r="AM46" s="39"/>
      <c r="AN46" s="39">
        <f t="shared" si="4"/>
        <v>0</v>
      </c>
      <c r="AO46" s="39"/>
      <c r="AP46" s="39"/>
      <c r="AQ46" s="39"/>
      <c r="AR46" s="39"/>
      <c r="AS46" s="39"/>
      <c r="AT46" s="39">
        <f t="shared" si="5"/>
        <v>0</v>
      </c>
      <c r="AU46" s="39"/>
      <c r="AV46" s="39"/>
      <c r="AW46" s="39"/>
      <c r="AX46" s="39"/>
      <c r="AY46" s="39"/>
      <c r="AZ46" s="39">
        <f t="shared" si="6"/>
        <v>0</v>
      </c>
      <c r="BA46" s="39"/>
      <c r="BB46" s="39"/>
      <c r="BC46" s="39"/>
      <c r="BD46" s="39"/>
      <c r="BE46" s="39"/>
      <c r="BF46" s="39">
        <f t="shared" si="7"/>
        <v>0</v>
      </c>
      <c r="BG46" s="39"/>
      <c r="BH46" s="39"/>
      <c r="BI46" s="39"/>
      <c r="BJ46" s="39"/>
      <c r="BK46" s="39"/>
      <c r="BL46" s="39">
        <f t="shared" si="8"/>
        <v>0</v>
      </c>
      <c r="BM46" s="54" t="e">
        <f t="shared" si="9"/>
        <v>#DIV/0!</v>
      </c>
      <c r="BN46" s="58">
        <v>46266</v>
      </c>
      <c r="BO46" s="57">
        <v>46280</v>
      </c>
      <c r="BP46" s="36"/>
      <c r="BQ46" s="36"/>
      <c r="BR46" s="36"/>
      <c r="BS46" s="36"/>
      <c r="BT46" s="39"/>
      <c r="BU46" s="39"/>
      <c r="BV46" s="39"/>
      <c r="BW46" s="39"/>
      <c r="BX46" s="39"/>
      <c r="BY46" s="39"/>
      <c r="BZ46" s="39">
        <f t="shared" si="10"/>
        <v>0</v>
      </c>
      <c r="CA46" s="39" t="e">
        <f t="shared" si="11"/>
        <v>#VALUE!</v>
      </c>
      <c r="CB46" s="39">
        <f t="shared" si="12"/>
        <v>0</v>
      </c>
      <c r="CC46" s="39">
        <f t="shared" si="13"/>
        <v>0</v>
      </c>
      <c r="CD46" s="39">
        <f t="shared" si="14"/>
        <v>0</v>
      </c>
      <c r="CE46" s="102" t="e">
        <f t="shared" si="15"/>
        <v>#DIV/0!</v>
      </c>
      <c r="CF46" s="36"/>
      <c r="CG46" s="39" t="s">
        <v>298</v>
      </c>
      <c r="CH46" s="39"/>
      <c r="CI46" s="25">
        <v>1</v>
      </c>
    </row>
    <row r="47" spans="1:87" ht="24.75" customHeight="1">
      <c r="A47" s="36" t="s">
        <v>50</v>
      </c>
      <c r="B47" s="26">
        <v>48308</v>
      </c>
      <c r="C47" s="227">
        <v>13269009</v>
      </c>
      <c r="D47" s="36"/>
      <c r="E47" s="39">
        <v>180</v>
      </c>
      <c r="F47" s="39" t="s">
        <v>55</v>
      </c>
      <c r="G47" s="36" t="s">
        <v>1163</v>
      </c>
      <c r="H47" s="36" t="s">
        <v>87</v>
      </c>
      <c r="I47" s="39">
        <v>63</v>
      </c>
      <c r="J47" s="39">
        <v>7</v>
      </c>
      <c r="K47" s="39"/>
      <c r="L47" s="39">
        <f t="shared" si="29"/>
        <v>70</v>
      </c>
      <c r="M47" s="117">
        <v>46249</v>
      </c>
      <c r="N47" s="117">
        <v>46254</v>
      </c>
      <c r="O47" s="39"/>
      <c r="P47" s="39"/>
      <c r="Q47" s="39"/>
      <c r="R47" s="39">
        <f t="shared" si="30"/>
        <v>0</v>
      </c>
      <c r="S47" s="39" t="s">
        <v>28</v>
      </c>
      <c r="T47" s="39"/>
      <c r="U47" s="39"/>
      <c r="V47" s="117">
        <v>46249</v>
      </c>
      <c r="W47" s="39">
        <f>80+9</f>
        <v>89</v>
      </c>
      <c r="X47" s="117" t="s">
        <v>2717</v>
      </c>
      <c r="Y47" s="39">
        <v>74</v>
      </c>
      <c r="Z47" s="39">
        <v>8</v>
      </c>
      <c r="AA47" s="39"/>
      <c r="AB47" s="119">
        <f t="shared" si="31"/>
        <v>82</v>
      </c>
      <c r="AC47" s="39"/>
      <c r="AD47" s="39"/>
      <c r="AE47" s="39"/>
      <c r="AF47" s="39"/>
      <c r="AG47" s="39"/>
      <c r="AH47" s="39">
        <f t="shared" si="3"/>
        <v>0</v>
      </c>
      <c r="AI47" s="39"/>
      <c r="AJ47" s="39"/>
      <c r="AK47" s="39"/>
      <c r="AL47" s="39"/>
      <c r="AM47" s="39"/>
      <c r="AN47" s="39">
        <f t="shared" si="4"/>
        <v>0</v>
      </c>
      <c r="AO47" s="39"/>
      <c r="AP47" s="39"/>
      <c r="AQ47" s="39"/>
      <c r="AR47" s="39"/>
      <c r="AS47" s="39"/>
      <c r="AT47" s="39">
        <f t="shared" si="5"/>
        <v>0</v>
      </c>
      <c r="AU47" s="39"/>
      <c r="AV47" s="39"/>
      <c r="AW47" s="39"/>
      <c r="AX47" s="39"/>
      <c r="AY47" s="39"/>
      <c r="AZ47" s="39">
        <f t="shared" si="6"/>
        <v>0</v>
      </c>
      <c r="BA47" s="39"/>
      <c r="BB47" s="39"/>
      <c r="BC47" s="39"/>
      <c r="BD47" s="39"/>
      <c r="BE47" s="39"/>
      <c r="BF47" s="39">
        <f t="shared" si="7"/>
        <v>0</v>
      </c>
      <c r="BG47" s="39"/>
      <c r="BH47" s="39"/>
      <c r="BI47" s="39"/>
      <c r="BJ47" s="39"/>
      <c r="BK47" s="39"/>
      <c r="BL47" s="39">
        <f t="shared" si="8"/>
        <v>0</v>
      </c>
      <c r="BM47" s="54" t="str">
        <f t="shared" si="9"/>
        <v/>
      </c>
      <c r="BN47" s="58">
        <v>46266</v>
      </c>
      <c r="BO47" s="57">
        <v>46280</v>
      </c>
      <c r="BP47" s="36"/>
      <c r="BQ47" s="36"/>
      <c r="BR47" s="57">
        <v>46266</v>
      </c>
      <c r="BS47" s="57">
        <v>46266</v>
      </c>
      <c r="BT47" s="39">
        <v>953</v>
      </c>
      <c r="BU47" s="39">
        <v>74</v>
      </c>
      <c r="BV47" s="39">
        <v>953</v>
      </c>
      <c r="BW47" s="39">
        <v>8</v>
      </c>
      <c r="BX47" s="39"/>
      <c r="BY47" s="39"/>
      <c r="BZ47" s="39">
        <f t="shared" si="10"/>
        <v>82</v>
      </c>
      <c r="CA47" s="39">
        <f t="shared" si="11"/>
        <v>11</v>
      </c>
      <c r="CB47" s="39">
        <f t="shared" si="12"/>
        <v>1</v>
      </c>
      <c r="CC47" s="39">
        <f t="shared" si="13"/>
        <v>0</v>
      </c>
      <c r="CD47" s="39">
        <f t="shared" si="14"/>
        <v>0</v>
      </c>
      <c r="CE47" s="102">
        <f t="shared" si="15"/>
        <v>0</v>
      </c>
      <c r="CF47" s="36"/>
      <c r="CG47" s="39" t="s">
        <v>298</v>
      </c>
      <c r="CH47" s="39"/>
      <c r="CI47" s="25">
        <v>1</v>
      </c>
    </row>
    <row r="48" spans="1:87" ht="24.75" customHeight="1">
      <c r="A48" s="36" t="s">
        <v>50</v>
      </c>
      <c r="B48" s="26">
        <v>48308</v>
      </c>
      <c r="C48" s="231"/>
      <c r="D48" s="36"/>
      <c r="E48" s="39">
        <v>180</v>
      </c>
      <c r="F48" s="39" t="s">
        <v>55</v>
      </c>
      <c r="G48" s="36" t="s">
        <v>1850</v>
      </c>
      <c r="H48" s="36" t="s">
        <v>87</v>
      </c>
      <c r="I48" s="39">
        <v>63</v>
      </c>
      <c r="J48" s="39">
        <v>7</v>
      </c>
      <c r="K48" s="39"/>
      <c r="L48" s="39">
        <f t="shared" si="29"/>
        <v>70</v>
      </c>
      <c r="M48" s="117">
        <v>46249</v>
      </c>
      <c r="N48" s="117">
        <v>46254</v>
      </c>
      <c r="O48" s="39"/>
      <c r="P48" s="39"/>
      <c r="Q48" s="39"/>
      <c r="R48" s="39">
        <f t="shared" si="30"/>
        <v>0</v>
      </c>
      <c r="S48" s="39" t="s">
        <v>326</v>
      </c>
      <c r="T48" s="39"/>
      <c r="U48" s="39"/>
      <c r="V48" s="117">
        <v>46256</v>
      </c>
      <c r="W48" s="39">
        <f>82+10</f>
        <v>92</v>
      </c>
      <c r="X48" s="39"/>
      <c r="Y48" s="39"/>
      <c r="Z48" s="39"/>
      <c r="AA48" s="39"/>
      <c r="AB48" s="118">
        <f t="shared" si="31"/>
        <v>0</v>
      </c>
      <c r="AC48" s="39"/>
      <c r="AD48" s="39"/>
      <c r="AE48" s="39"/>
      <c r="AF48" s="39"/>
      <c r="AG48" s="39"/>
      <c r="AH48" s="39">
        <f t="shared" si="3"/>
        <v>0</v>
      </c>
      <c r="AI48" s="39"/>
      <c r="AJ48" s="39"/>
      <c r="AK48" s="39"/>
      <c r="AL48" s="39"/>
      <c r="AM48" s="39"/>
      <c r="AN48" s="39">
        <f t="shared" si="4"/>
        <v>0</v>
      </c>
      <c r="AO48" s="39"/>
      <c r="AP48" s="39"/>
      <c r="AQ48" s="39"/>
      <c r="AR48" s="39"/>
      <c r="AS48" s="39"/>
      <c r="AT48" s="39">
        <f t="shared" si="5"/>
        <v>0</v>
      </c>
      <c r="AU48" s="39"/>
      <c r="AV48" s="39"/>
      <c r="AW48" s="39"/>
      <c r="AX48" s="39"/>
      <c r="AY48" s="39"/>
      <c r="AZ48" s="39">
        <f t="shared" si="6"/>
        <v>0</v>
      </c>
      <c r="BA48" s="39"/>
      <c r="BB48" s="39"/>
      <c r="BC48" s="39"/>
      <c r="BD48" s="39"/>
      <c r="BE48" s="39"/>
      <c r="BF48" s="39">
        <f t="shared" si="7"/>
        <v>0</v>
      </c>
      <c r="BG48" s="39"/>
      <c r="BH48" s="39"/>
      <c r="BI48" s="39"/>
      <c r="BJ48" s="39"/>
      <c r="BK48" s="39"/>
      <c r="BL48" s="39">
        <f t="shared" si="8"/>
        <v>0</v>
      </c>
      <c r="BM48" s="54">
        <f t="shared" ca="1" si="9"/>
        <v>46283</v>
      </c>
      <c r="BN48" s="58">
        <v>46266</v>
      </c>
      <c r="BO48" s="57">
        <v>46280</v>
      </c>
      <c r="BP48" s="36"/>
      <c r="BQ48" s="36"/>
      <c r="BR48" s="36"/>
      <c r="BS48" s="36"/>
      <c r="BT48" s="39"/>
      <c r="BU48" s="39"/>
      <c r="BV48" s="39"/>
      <c r="BW48" s="39"/>
      <c r="BX48" s="39"/>
      <c r="BY48" s="39"/>
      <c r="BZ48" s="39">
        <f t="shared" si="10"/>
        <v>0</v>
      </c>
      <c r="CA48" s="39">
        <f t="shared" si="11"/>
        <v>-63</v>
      </c>
      <c r="CB48" s="39">
        <f t="shared" si="12"/>
        <v>-7</v>
      </c>
      <c r="CC48" s="39">
        <f t="shared" si="13"/>
        <v>0</v>
      </c>
      <c r="CD48" s="39">
        <f t="shared" si="14"/>
        <v>-70</v>
      </c>
      <c r="CE48" s="102">
        <f t="shared" si="15"/>
        <v>-1</v>
      </c>
      <c r="CF48" s="36"/>
      <c r="CG48" s="39" t="s">
        <v>298</v>
      </c>
      <c r="CH48" s="39"/>
      <c r="CI48" s="25">
        <v>1</v>
      </c>
    </row>
    <row r="49" spans="1:87" ht="24.75" customHeight="1">
      <c r="A49" s="36" t="s">
        <v>50</v>
      </c>
      <c r="B49" s="26">
        <v>48308</v>
      </c>
      <c r="C49" s="231"/>
      <c r="D49" s="36"/>
      <c r="E49" s="39">
        <v>180</v>
      </c>
      <c r="F49" s="39" t="s">
        <v>55</v>
      </c>
      <c r="G49" s="36" t="s">
        <v>1851</v>
      </c>
      <c r="H49" s="36" t="s">
        <v>87</v>
      </c>
      <c r="I49" s="39">
        <v>63</v>
      </c>
      <c r="J49" s="39">
        <v>7</v>
      </c>
      <c r="K49" s="39"/>
      <c r="L49" s="39">
        <f t="shared" si="29"/>
        <v>70</v>
      </c>
      <c r="M49" s="117">
        <v>46249</v>
      </c>
      <c r="N49" s="117">
        <v>46254</v>
      </c>
      <c r="O49" s="39"/>
      <c r="P49" s="39"/>
      <c r="Q49" s="39"/>
      <c r="R49" s="39">
        <f t="shared" si="30"/>
        <v>0</v>
      </c>
      <c r="S49" s="39" t="s">
        <v>31</v>
      </c>
      <c r="T49" s="39"/>
      <c r="U49" s="39"/>
      <c r="V49" s="117">
        <v>46249</v>
      </c>
      <c r="W49" s="39">
        <f>81+10</f>
        <v>91</v>
      </c>
      <c r="X49" s="39"/>
      <c r="Y49" s="39"/>
      <c r="Z49" s="39"/>
      <c r="AA49" s="39"/>
      <c r="AB49" s="118">
        <f t="shared" si="31"/>
        <v>0</v>
      </c>
      <c r="AC49" s="39"/>
      <c r="AD49" s="39"/>
      <c r="AE49" s="39"/>
      <c r="AF49" s="39"/>
      <c r="AG49" s="39"/>
      <c r="AH49" s="39">
        <f t="shared" si="3"/>
        <v>0</v>
      </c>
      <c r="AI49" s="39"/>
      <c r="AJ49" s="39"/>
      <c r="AK49" s="39"/>
      <c r="AL49" s="39"/>
      <c r="AM49" s="39"/>
      <c r="AN49" s="39">
        <f t="shared" si="4"/>
        <v>0</v>
      </c>
      <c r="AO49" s="39"/>
      <c r="AP49" s="39"/>
      <c r="AQ49" s="39"/>
      <c r="AR49" s="39"/>
      <c r="AS49" s="39"/>
      <c r="AT49" s="39">
        <f t="shared" si="5"/>
        <v>0</v>
      </c>
      <c r="AU49" s="39"/>
      <c r="AV49" s="39"/>
      <c r="AW49" s="39"/>
      <c r="AX49" s="39"/>
      <c r="AY49" s="39"/>
      <c r="AZ49" s="39">
        <f t="shared" si="6"/>
        <v>0</v>
      </c>
      <c r="BA49" s="39"/>
      <c r="BB49" s="39"/>
      <c r="BC49" s="39"/>
      <c r="BD49" s="39"/>
      <c r="BE49" s="39"/>
      <c r="BF49" s="39">
        <f t="shared" si="7"/>
        <v>0</v>
      </c>
      <c r="BG49" s="39"/>
      <c r="BH49" s="39"/>
      <c r="BI49" s="39"/>
      <c r="BJ49" s="39"/>
      <c r="BK49" s="39"/>
      <c r="BL49" s="39">
        <f t="shared" si="8"/>
        <v>0</v>
      </c>
      <c r="BM49" s="54">
        <f t="shared" ca="1" si="9"/>
        <v>46283</v>
      </c>
      <c r="BN49" s="58">
        <v>46266</v>
      </c>
      <c r="BO49" s="57">
        <v>46280</v>
      </c>
      <c r="BP49" s="36"/>
      <c r="BQ49" s="36"/>
      <c r="BR49" s="36"/>
      <c r="BS49" s="36"/>
      <c r="BT49" s="39"/>
      <c r="BU49" s="39"/>
      <c r="BV49" s="39"/>
      <c r="BW49" s="39"/>
      <c r="BX49" s="39"/>
      <c r="BY49" s="39"/>
      <c r="BZ49" s="39">
        <f t="shared" si="10"/>
        <v>0</v>
      </c>
      <c r="CA49" s="39">
        <f t="shared" si="11"/>
        <v>-63</v>
      </c>
      <c r="CB49" s="39">
        <f t="shared" si="12"/>
        <v>-7</v>
      </c>
      <c r="CC49" s="39">
        <f t="shared" si="13"/>
        <v>0</v>
      </c>
      <c r="CD49" s="39">
        <f t="shared" si="14"/>
        <v>-70</v>
      </c>
      <c r="CE49" s="102">
        <f t="shared" si="15"/>
        <v>-1</v>
      </c>
      <c r="CF49" s="36"/>
      <c r="CG49" s="39" t="s">
        <v>298</v>
      </c>
      <c r="CH49" s="39"/>
      <c r="CI49" s="25">
        <v>1</v>
      </c>
    </row>
    <row r="50" spans="1:87" ht="24.75" customHeight="1">
      <c r="A50" s="36" t="s">
        <v>50</v>
      </c>
      <c r="B50" s="26">
        <v>48308</v>
      </c>
      <c r="C50" s="231"/>
      <c r="D50" s="36"/>
      <c r="E50" s="39">
        <v>180</v>
      </c>
      <c r="F50" s="39" t="s">
        <v>55</v>
      </c>
      <c r="G50" s="36" t="s">
        <v>1076</v>
      </c>
      <c r="H50" s="36" t="s">
        <v>87</v>
      </c>
      <c r="I50" s="39">
        <v>63</v>
      </c>
      <c r="J50" s="39">
        <v>7</v>
      </c>
      <c r="K50" s="39"/>
      <c r="L50" s="39">
        <f t="shared" si="29"/>
        <v>70</v>
      </c>
      <c r="M50" s="117">
        <v>46249</v>
      </c>
      <c r="N50" s="117">
        <v>46254</v>
      </c>
      <c r="O50" s="39"/>
      <c r="P50" s="39"/>
      <c r="Q50" s="39"/>
      <c r="R50" s="39">
        <f t="shared" si="30"/>
        <v>0</v>
      </c>
      <c r="S50" s="39" t="s">
        <v>326</v>
      </c>
      <c r="T50" s="39"/>
      <c r="U50" s="39"/>
      <c r="V50" s="117">
        <v>46256</v>
      </c>
      <c r="W50" s="39">
        <f>82+9</f>
        <v>91</v>
      </c>
      <c r="X50" s="117">
        <v>46274</v>
      </c>
      <c r="Y50" s="39">
        <v>71</v>
      </c>
      <c r="Z50" s="39">
        <v>9</v>
      </c>
      <c r="AA50" s="39"/>
      <c r="AB50" s="119">
        <f t="shared" si="31"/>
        <v>80</v>
      </c>
      <c r="AC50" s="39"/>
      <c r="AD50" s="39"/>
      <c r="AE50" s="39"/>
      <c r="AF50" s="39"/>
      <c r="AG50" s="39"/>
      <c r="AH50" s="39">
        <f t="shared" si="3"/>
        <v>0</v>
      </c>
      <c r="AI50" s="39"/>
      <c r="AJ50" s="39"/>
      <c r="AK50" s="39"/>
      <c r="AL50" s="39"/>
      <c r="AM50" s="39"/>
      <c r="AN50" s="39">
        <f t="shared" si="4"/>
        <v>0</v>
      </c>
      <c r="AO50" s="39"/>
      <c r="AP50" s="39"/>
      <c r="AQ50" s="39"/>
      <c r="AR50" s="39"/>
      <c r="AS50" s="39"/>
      <c r="AT50" s="39">
        <f t="shared" si="5"/>
        <v>0</v>
      </c>
      <c r="AU50" s="39"/>
      <c r="AV50" s="39"/>
      <c r="AW50" s="39"/>
      <c r="AX50" s="39"/>
      <c r="AY50" s="39"/>
      <c r="AZ50" s="39">
        <f t="shared" si="6"/>
        <v>0</v>
      </c>
      <c r="BA50" s="39"/>
      <c r="BB50" s="39"/>
      <c r="BC50" s="39"/>
      <c r="BD50" s="39"/>
      <c r="BE50" s="39"/>
      <c r="BF50" s="39">
        <f t="shared" si="7"/>
        <v>0</v>
      </c>
      <c r="BG50" s="39"/>
      <c r="BH50" s="39"/>
      <c r="BI50" s="39"/>
      <c r="BJ50" s="39"/>
      <c r="BK50" s="39"/>
      <c r="BL50" s="39">
        <f t="shared" si="8"/>
        <v>0</v>
      </c>
      <c r="BM50" s="54" t="str">
        <f t="shared" si="9"/>
        <v/>
      </c>
      <c r="BN50" s="58">
        <v>46266</v>
      </c>
      <c r="BO50" s="57">
        <v>46280</v>
      </c>
      <c r="BP50" s="36"/>
      <c r="BQ50" s="36"/>
      <c r="BR50" s="57">
        <v>46272</v>
      </c>
      <c r="BS50" s="57">
        <v>46272</v>
      </c>
      <c r="BT50" s="39">
        <v>856</v>
      </c>
      <c r="BU50" s="39">
        <v>71</v>
      </c>
      <c r="BV50" s="39">
        <v>856</v>
      </c>
      <c r="BW50" s="39">
        <v>9</v>
      </c>
      <c r="BX50" s="39"/>
      <c r="BY50" s="39"/>
      <c r="BZ50" s="39">
        <f t="shared" si="10"/>
        <v>80</v>
      </c>
      <c r="CA50" s="39">
        <f t="shared" si="11"/>
        <v>8</v>
      </c>
      <c r="CB50" s="39">
        <f t="shared" si="12"/>
        <v>2</v>
      </c>
      <c r="CC50" s="39">
        <f t="shared" si="13"/>
        <v>0</v>
      </c>
      <c r="CD50" s="39">
        <f t="shared" si="14"/>
        <v>0</v>
      </c>
      <c r="CE50" s="102">
        <f t="shared" si="15"/>
        <v>0</v>
      </c>
      <c r="CF50" s="36"/>
      <c r="CG50" s="39" t="s">
        <v>298</v>
      </c>
      <c r="CH50" s="39"/>
      <c r="CI50" s="25">
        <v>1</v>
      </c>
    </row>
    <row r="51" spans="1:87" ht="24.75" customHeight="1">
      <c r="A51" s="36" t="s">
        <v>50</v>
      </c>
      <c r="B51" s="26">
        <v>48308</v>
      </c>
      <c r="C51" s="228"/>
      <c r="D51" s="36"/>
      <c r="E51" s="39"/>
      <c r="F51" s="39"/>
      <c r="G51" s="36" t="s">
        <v>1852</v>
      </c>
      <c r="H51" s="36">
        <f>20+20+20+20</f>
        <v>80</v>
      </c>
      <c r="I51" s="39" t="s">
        <v>90</v>
      </c>
      <c r="J51" s="39"/>
      <c r="K51" s="39"/>
      <c r="L51" s="39">
        <f t="shared" si="29"/>
        <v>0</v>
      </c>
      <c r="M51" s="117">
        <v>46249</v>
      </c>
      <c r="N51" s="117">
        <v>46254</v>
      </c>
      <c r="O51" s="39"/>
      <c r="P51" s="39"/>
      <c r="Q51" s="39"/>
      <c r="R51" s="39">
        <f t="shared" si="30"/>
        <v>0</v>
      </c>
      <c r="S51" s="39" t="s">
        <v>130</v>
      </c>
      <c r="T51" s="39"/>
      <c r="U51" s="39"/>
      <c r="V51" s="39"/>
      <c r="W51" s="39"/>
      <c r="X51" s="39"/>
      <c r="Y51" s="39"/>
      <c r="Z51" s="39"/>
      <c r="AA51" s="39"/>
      <c r="AB51" s="39">
        <f t="shared" si="31"/>
        <v>0</v>
      </c>
      <c r="AC51" s="39"/>
      <c r="AD51" s="39"/>
      <c r="AE51" s="39"/>
      <c r="AF51" s="39"/>
      <c r="AG51" s="39"/>
      <c r="AH51" s="39">
        <f t="shared" si="3"/>
        <v>0</v>
      </c>
      <c r="AI51" s="39"/>
      <c r="AJ51" s="39"/>
      <c r="AK51" s="39"/>
      <c r="AL51" s="39"/>
      <c r="AM51" s="39"/>
      <c r="AN51" s="39">
        <f t="shared" si="4"/>
        <v>0</v>
      </c>
      <c r="AO51" s="39"/>
      <c r="AP51" s="39"/>
      <c r="AQ51" s="39"/>
      <c r="AR51" s="39"/>
      <c r="AS51" s="39"/>
      <c r="AT51" s="39">
        <f t="shared" si="5"/>
        <v>0</v>
      </c>
      <c r="AU51" s="39"/>
      <c r="AV51" s="39"/>
      <c r="AW51" s="39"/>
      <c r="AX51" s="39"/>
      <c r="AY51" s="39"/>
      <c r="AZ51" s="39">
        <f t="shared" si="6"/>
        <v>0</v>
      </c>
      <c r="BA51" s="39"/>
      <c r="BB51" s="39"/>
      <c r="BC51" s="39"/>
      <c r="BD51" s="39"/>
      <c r="BE51" s="39"/>
      <c r="BF51" s="39">
        <f t="shared" si="7"/>
        <v>0</v>
      </c>
      <c r="BG51" s="39"/>
      <c r="BH51" s="39"/>
      <c r="BI51" s="39"/>
      <c r="BJ51" s="39"/>
      <c r="BK51" s="39"/>
      <c r="BL51" s="39">
        <f t="shared" si="8"/>
        <v>0</v>
      </c>
      <c r="BM51" s="54" t="e">
        <f t="shared" si="9"/>
        <v>#DIV/0!</v>
      </c>
      <c r="BN51" s="58">
        <v>46266</v>
      </c>
      <c r="BO51" s="57">
        <v>46280</v>
      </c>
      <c r="BP51" s="36"/>
      <c r="BQ51" s="36"/>
      <c r="BR51" s="36"/>
      <c r="BS51" s="36"/>
      <c r="BT51" s="39"/>
      <c r="BU51" s="39"/>
      <c r="BV51" s="39"/>
      <c r="BW51" s="39"/>
      <c r="BX51" s="39"/>
      <c r="BY51" s="39"/>
      <c r="BZ51" s="39">
        <f t="shared" si="10"/>
        <v>0</v>
      </c>
      <c r="CA51" s="39" t="e">
        <f t="shared" si="11"/>
        <v>#VALUE!</v>
      </c>
      <c r="CB51" s="39">
        <f t="shared" si="12"/>
        <v>0</v>
      </c>
      <c r="CC51" s="39">
        <f t="shared" si="13"/>
        <v>0</v>
      </c>
      <c r="CD51" s="39">
        <f t="shared" si="14"/>
        <v>0</v>
      </c>
      <c r="CE51" s="102" t="e">
        <f t="shared" si="15"/>
        <v>#DIV/0!</v>
      </c>
      <c r="CF51" s="36"/>
      <c r="CG51" s="39" t="s">
        <v>298</v>
      </c>
      <c r="CH51" s="39"/>
      <c r="CI51" s="25">
        <v>1</v>
      </c>
    </row>
    <row r="52" spans="1:87" ht="24.75" customHeight="1">
      <c r="A52" s="36" t="s">
        <v>50</v>
      </c>
      <c r="B52" s="26">
        <v>48494</v>
      </c>
      <c r="C52" s="36" t="s">
        <v>2208</v>
      </c>
      <c r="D52" s="36" t="s">
        <v>45</v>
      </c>
      <c r="E52" s="39">
        <v>400</v>
      </c>
      <c r="F52" s="39" t="s">
        <v>65</v>
      </c>
      <c r="G52" s="36" t="s">
        <v>322</v>
      </c>
      <c r="H52" s="36" t="s">
        <v>2188</v>
      </c>
      <c r="I52" s="39">
        <v>500</v>
      </c>
      <c r="J52" s="39">
        <v>73</v>
      </c>
      <c r="K52" s="39">
        <v>36</v>
      </c>
      <c r="L52" s="39">
        <f t="shared" si="29"/>
        <v>609</v>
      </c>
      <c r="M52" s="117">
        <v>46259</v>
      </c>
      <c r="N52" s="117">
        <v>46265</v>
      </c>
      <c r="O52" s="39"/>
      <c r="P52" s="39"/>
      <c r="Q52" s="39"/>
      <c r="R52" s="39">
        <f t="shared" si="30"/>
        <v>0</v>
      </c>
      <c r="S52" s="39" t="s">
        <v>31</v>
      </c>
      <c r="T52" s="39"/>
      <c r="U52" s="39"/>
      <c r="V52" s="117" t="s">
        <v>3001</v>
      </c>
      <c r="W52" s="39">
        <f>571+41+86</f>
        <v>698</v>
      </c>
      <c r="X52" s="39"/>
      <c r="Y52" s="39"/>
      <c r="Z52" s="39"/>
      <c r="AA52" s="39"/>
      <c r="AB52" s="118">
        <f t="shared" si="31"/>
        <v>0</v>
      </c>
      <c r="AC52" s="39"/>
      <c r="AD52" s="39"/>
      <c r="AE52" s="39"/>
      <c r="AF52" s="39"/>
      <c r="AG52" s="39"/>
      <c r="AH52" s="39">
        <f t="shared" si="3"/>
        <v>0</v>
      </c>
      <c r="AI52" s="39"/>
      <c r="AJ52" s="39"/>
      <c r="AK52" s="39"/>
      <c r="AL52" s="39"/>
      <c r="AM52" s="39"/>
      <c r="AN52" s="39">
        <f t="shared" si="4"/>
        <v>0</v>
      </c>
      <c r="AO52" s="39"/>
      <c r="AP52" s="39"/>
      <c r="AQ52" s="39"/>
      <c r="AR52" s="39"/>
      <c r="AS52" s="39"/>
      <c r="AT52" s="39">
        <f t="shared" si="5"/>
        <v>0</v>
      </c>
      <c r="AU52" s="39"/>
      <c r="AV52" s="39"/>
      <c r="AW52" s="39"/>
      <c r="AX52" s="39"/>
      <c r="AY52" s="39"/>
      <c r="AZ52" s="39">
        <f t="shared" si="6"/>
        <v>0</v>
      </c>
      <c r="BA52" s="39"/>
      <c r="BB52" s="39"/>
      <c r="BC52" s="39"/>
      <c r="BD52" s="39"/>
      <c r="BE52" s="39"/>
      <c r="BF52" s="39">
        <f t="shared" si="7"/>
        <v>0</v>
      </c>
      <c r="BG52" s="39"/>
      <c r="BH52" s="39"/>
      <c r="BI52" s="39"/>
      <c r="BJ52" s="39"/>
      <c r="BK52" s="39"/>
      <c r="BL52" s="39">
        <f t="shared" si="8"/>
        <v>0</v>
      </c>
      <c r="BM52" s="54">
        <f t="shared" ca="1" si="9"/>
        <v>46283</v>
      </c>
      <c r="BN52" s="58">
        <v>46270</v>
      </c>
      <c r="BO52" s="57">
        <v>46282</v>
      </c>
      <c r="BP52" s="36"/>
      <c r="BQ52" s="36"/>
      <c r="BR52" s="39"/>
      <c r="BS52" s="39"/>
      <c r="BT52" s="39"/>
      <c r="BU52" s="39"/>
      <c r="BV52" s="39"/>
      <c r="BW52" s="39"/>
      <c r="BX52" s="39"/>
      <c r="BY52" s="39"/>
      <c r="BZ52" s="39">
        <f t="shared" si="10"/>
        <v>0</v>
      </c>
      <c r="CA52" s="39">
        <f t="shared" si="11"/>
        <v>-500</v>
      </c>
      <c r="CB52" s="39">
        <f t="shared" si="12"/>
        <v>-73</v>
      </c>
      <c r="CC52" s="39">
        <f t="shared" si="13"/>
        <v>-36</v>
      </c>
      <c r="CD52" s="39">
        <f t="shared" si="14"/>
        <v>-609</v>
      </c>
      <c r="CE52" s="102">
        <f t="shared" si="15"/>
        <v>-1</v>
      </c>
      <c r="CF52" s="36" t="s">
        <v>296</v>
      </c>
      <c r="CG52" s="39" t="s">
        <v>229</v>
      </c>
      <c r="CH52" s="39"/>
      <c r="CI52" s="25">
        <v>1</v>
      </c>
    </row>
    <row r="53" spans="1:87" ht="24.75" customHeight="1">
      <c r="A53" s="36" t="s">
        <v>50</v>
      </c>
      <c r="B53" s="26">
        <v>48495</v>
      </c>
      <c r="C53" s="36" t="s">
        <v>2210</v>
      </c>
      <c r="D53" s="36" t="s">
        <v>45</v>
      </c>
      <c r="E53" s="39">
        <v>400</v>
      </c>
      <c r="F53" s="39" t="s">
        <v>65</v>
      </c>
      <c r="G53" s="36" t="s">
        <v>322</v>
      </c>
      <c r="H53" s="36" t="s">
        <v>2188</v>
      </c>
      <c r="I53" s="39">
        <v>446</v>
      </c>
      <c r="J53" s="39">
        <v>69</v>
      </c>
      <c r="K53" s="39">
        <v>31</v>
      </c>
      <c r="L53" s="39">
        <f t="shared" si="29"/>
        <v>546</v>
      </c>
      <c r="M53" s="117">
        <v>46254</v>
      </c>
      <c r="N53" s="117">
        <v>46260</v>
      </c>
      <c r="O53" s="39"/>
      <c r="P53" s="39"/>
      <c r="Q53" s="39"/>
      <c r="R53" s="39">
        <f t="shared" si="30"/>
        <v>0</v>
      </c>
      <c r="S53" s="39" t="s">
        <v>31</v>
      </c>
      <c r="T53" s="39"/>
      <c r="U53" s="39"/>
      <c r="V53" s="117" t="s">
        <v>3000</v>
      </c>
      <c r="W53" s="39">
        <f>514+37+79</f>
        <v>630</v>
      </c>
      <c r="X53" s="39"/>
      <c r="Y53" s="39"/>
      <c r="Z53" s="39"/>
      <c r="AA53" s="39"/>
      <c r="AB53" s="118">
        <f t="shared" si="31"/>
        <v>0</v>
      </c>
      <c r="AC53" s="39"/>
      <c r="AD53" s="39"/>
      <c r="AE53" s="39"/>
      <c r="AF53" s="39"/>
      <c r="AG53" s="39"/>
      <c r="AH53" s="39">
        <f t="shared" si="3"/>
        <v>0</v>
      </c>
      <c r="AI53" s="39"/>
      <c r="AJ53" s="39"/>
      <c r="AK53" s="39"/>
      <c r="AL53" s="39"/>
      <c r="AM53" s="39"/>
      <c r="AN53" s="39">
        <f t="shared" si="4"/>
        <v>0</v>
      </c>
      <c r="AO53" s="39"/>
      <c r="AP53" s="39"/>
      <c r="AQ53" s="39"/>
      <c r="AR53" s="39"/>
      <c r="AS53" s="39"/>
      <c r="AT53" s="39">
        <f t="shared" si="5"/>
        <v>0</v>
      </c>
      <c r="AU53" s="39"/>
      <c r="AV53" s="39"/>
      <c r="AW53" s="39"/>
      <c r="AX53" s="39"/>
      <c r="AY53" s="39"/>
      <c r="AZ53" s="39">
        <f t="shared" si="6"/>
        <v>0</v>
      </c>
      <c r="BA53" s="39"/>
      <c r="BB53" s="39"/>
      <c r="BC53" s="39"/>
      <c r="BD53" s="39"/>
      <c r="BE53" s="39"/>
      <c r="BF53" s="39">
        <f t="shared" si="7"/>
        <v>0</v>
      </c>
      <c r="BG53" s="39"/>
      <c r="BH53" s="39"/>
      <c r="BI53" s="39"/>
      <c r="BJ53" s="39"/>
      <c r="BK53" s="39"/>
      <c r="BL53" s="39">
        <f t="shared" si="8"/>
        <v>0</v>
      </c>
      <c r="BM53" s="54">
        <f t="shared" ca="1" si="9"/>
        <v>46283</v>
      </c>
      <c r="BN53" s="58">
        <v>46270</v>
      </c>
      <c r="BO53" s="57">
        <v>46284</v>
      </c>
      <c r="BP53" s="36"/>
      <c r="BQ53" s="36"/>
      <c r="BR53" s="39"/>
      <c r="BS53" s="39"/>
      <c r="BT53" s="39"/>
      <c r="BU53" s="39"/>
      <c r="BV53" s="39"/>
      <c r="BW53" s="39"/>
      <c r="BX53" s="39"/>
      <c r="BY53" s="39"/>
      <c r="BZ53" s="39">
        <f t="shared" si="10"/>
        <v>0</v>
      </c>
      <c r="CA53" s="39">
        <f t="shared" si="11"/>
        <v>-446</v>
      </c>
      <c r="CB53" s="39">
        <f t="shared" si="12"/>
        <v>-69</v>
      </c>
      <c r="CC53" s="39">
        <f t="shared" si="13"/>
        <v>-31</v>
      </c>
      <c r="CD53" s="39">
        <f t="shared" si="14"/>
        <v>-546</v>
      </c>
      <c r="CE53" s="102">
        <f t="shared" si="15"/>
        <v>-1</v>
      </c>
      <c r="CF53" s="36" t="s">
        <v>296</v>
      </c>
      <c r="CG53" s="39" t="s">
        <v>229</v>
      </c>
      <c r="CH53" s="39"/>
      <c r="CI53" s="25">
        <v>1</v>
      </c>
    </row>
    <row r="54" spans="1:87" ht="24.75" customHeight="1">
      <c r="A54" s="36" t="s">
        <v>50</v>
      </c>
      <c r="B54" s="26">
        <v>48496</v>
      </c>
      <c r="C54" s="36" t="s">
        <v>2205</v>
      </c>
      <c r="D54" s="36" t="s">
        <v>45</v>
      </c>
      <c r="E54" s="39">
        <v>400</v>
      </c>
      <c r="F54" s="39" t="s">
        <v>65</v>
      </c>
      <c r="G54" s="36" t="s">
        <v>322</v>
      </c>
      <c r="H54" s="36" t="s">
        <v>2188</v>
      </c>
      <c r="I54" s="39">
        <v>530</v>
      </c>
      <c r="J54" s="39">
        <v>85</v>
      </c>
      <c r="K54" s="39">
        <v>37</v>
      </c>
      <c r="L54" s="39">
        <f t="shared" si="29"/>
        <v>652</v>
      </c>
      <c r="M54" s="117">
        <v>46258</v>
      </c>
      <c r="N54" s="117">
        <v>46265</v>
      </c>
      <c r="O54" s="39"/>
      <c r="P54" s="39"/>
      <c r="Q54" s="39"/>
      <c r="R54" s="39">
        <f t="shared" si="30"/>
        <v>0</v>
      </c>
      <c r="S54" s="39" t="s">
        <v>31</v>
      </c>
      <c r="T54" s="39"/>
      <c r="U54" s="39"/>
      <c r="V54" s="117">
        <v>46254</v>
      </c>
      <c r="W54" s="39">
        <f>606+97+42</f>
        <v>745</v>
      </c>
      <c r="X54" s="117">
        <v>46258</v>
      </c>
      <c r="Y54" s="39">
        <f>520</f>
        <v>520</v>
      </c>
      <c r="Z54" s="39"/>
      <c r="AA54" s="39"/>
      <c r="AB54" s="120">
        <f t="shared" si="31"/>
        <v>520</v>
      </c>
      <c r="AC54" s="39"/>
      <c r="AD54" s="39"/>
      <c r="AE54" s="39"/>
      <c r="AF54" s="39"/>
      <c r="AG54" s="39"/>
      <c r="AH54" s="39">
        <f t="shared" si="3"/>
        <v>0</v>
      </c>
      <c r="AI54" s="39"/>
      <c r="AJ54" s="39"/>
      <c r="AK54" s="39"/>
      <c r="AL54" s="39"/>
      <c r="AM54" s="39"/>
      <c r="AN54" s="39">
        <f t="shared" si="4"/>
        <v>0</v>
      </c>
      <c r="AO54" s="39" t="s">
        <v>280</v>
      </c>
      <c r="AP54" s="117">
        <v>46259</v>
      </c>
      <c r="AQ54" s="39">
        <v>520</v>
      </c>
      <c r="AR54" s="117" t="s">
        <v>2640</v>
      </c>
      <c r="AS54" s="39">
        <f>28+485</f>
        <v>513</v>
      </c>
      <c r="AT54" s="39">
        <f t="shared" si="5"/>
        <v>-7</v>
      </c>
      <c r="AU54" s="39" t="s">
        <v>273</v>
      </c>
      <c r="AV54" s="117" t="s">
        <v>2640</v>
      </c>
      <c r="AW54" s="39">
        <f>28+485</f>
        <v>513</v>
      </c>
      <c r="AX54" s="117" t="s">
        <v>2635</v>
      </c>
      <c r="AY54" s="39">
        <f>28+481</f>
        <v>509</v>
      </c>
      <c r="AZ54" s="39">
        <f t="shared" si="6"/>
        <v>-4</v>
      </c>
      <c r="BA54" s="39"/>
      <c r="BB54" s="39"/>
      <c r="BC54" s="39"/>
      <c r="BD54" s="39"/>
      <c r="BE54" s="39"/>
      <c r="BF54" s="39">
        <f t="shared" si="7"/>
        <v>0</v>
      </c>
      <c r="BG54" s="39"/>
      <c r="BH54" s="39"/>
      <c r="BI54" s="39"/>
      <c r="BJ54" s="39"/>
      <c r="BK54" s="39"/>
      <c r="BL54" s="39">
        <f t="shared" si="8"/>
        <v>0</v>
      </c>
      <c r="BM54" s="54">
        <f t="shared" ca="1" si="9"/>
        <v>46283</v>
      </c>
      <c r="BN54" s="58">
        <v>46270</v>
      </c>
      <c r="BO54" s="57">
        <v>46284</v>
      </c>
      <c r="BP54" s="36"/>
      <c r="BQ54" s="36"/>
      <c r="BR54" s="117">
        <v>46266</v>
      </c>
      <c r="BS54" s="39"/>
      <c r="BT54" s="39" t="s">
        <v>2949</v>
      </c>
      <c r="BU54" s="39">
        <f>400+27</f>
        <v>427</v>
      </c>
      <c r="BV54" s="39"/>
      <c r="BW54" s="39"/>
      <c r="BX54" s="39"/>
      <c r="BY54" s="39"/>
      <c r="BZ54" s="39">
        <f t="shared" si="10"/>
        <v>427</v>
      </c>
      <c r="CA54" s="39">
        <f t="shared" si="11"/>
        <v>-103</v>
      </c>
      <c r="CB54" s="39">
        <f t="shared" si="12"/>
        <v>-85</v>
      </c>
      <c r="CC54" s="39">
        <f t="shared" si="13"/>
        <v>-37</v>
      </c>
      <c r="CD54" s="39">
        <f t="shared" si="14"/>
        <v>-225</v>
      </c>
      <c r="CE54" s="102">
        <f t="shared" si="15"/>
        <v>-0.34509202453987731</v>
      </c>
      <c r="CF54" s="36" t="s">
        <v>296</v>
      </c>
      <c r="CG54" s="39" t="s">
        <v>229</v>
      </c>
      <c r="CH54" s="39" t="s">
        <v>1197</v>
      </c>
      <c r="CI54" s="25">
        <v>1</v>
      </c>
    </row>
    <row r="55" spans="1:87" ht="24.75" customHeight="1">
      <c r="A55" s="36" t="s">
        <v>50</v>
      </c>
      <c r="B55" s="26">
        <v>48497</v>
      </c>
      <c r="C55" s="36" t="s">
        <v>2200</v>
      </c>
      <c r="D55" s="36" t="s">
        <v>45</v>
      </c>
      <c r="E55" s="39">
        <v>400</v>
      </c>
      <c r="F55" s="39" t="s">
        <v>65</v>
      </c>
      <c r="G55" s="36" t="s">
        <v>2201</v>
      </c>
      <c r="H55" s="36" t="s">
        <v>2188</v>
      </c>
      <c r="I55" s="39">
        <v>454</v>
      </c>
      <c r="J55" s="39">
        <v>73</v>
      </c>
      <c r="K55" s="39">
        <v>31</v>
      </c>
      <c r="L55" s="39">
        <f t="shared" si="29"/>
        <v>558</v>
      </c>
      <c r="M55" s="117">
        <v>46259</v>
      </c>
      <c r="N55" s="117">
        <v>46267</v>
      </c>
      <c r="O55" s="39"/>
      <c r="P55" s="39"/>
      <c r="Q55" s="39"/>
      <c r="R55" s="39">
        <f t="shared" si="30"/>
        <v>0</v>
      </c>
      <c r="S55" s="39" t="s">
        <v>130</v>
      </c>
      <c r="T55" s="39">
        <v>109383</v>
      </c>
      <c r="U55" s="117">
        <v>46278</v>
      </c>
      <c r="V55" s="39"/>
      <c r="W55" s="39"/>
      <c r="X55" s="39"/>
      <c r="Y55" s="39">
        <v>528</v>
      </c>
      <c r="Z55" s="39"/>
      <c r="AA55" s="39"/>
      <c r="AB55" s="118">
        <f t="shared" si="31"/>
        <v>528</v>
      </c>
      <c r="AC55" s="39"/>
      <c r="AD55" s="39"/>
      <c r="AE55" s="39"/>
      <c r="AF55" s="39"/>
      <c r="AG55" s="39"/>
      <c r="AH55" s="39">
        <f t="shared" si="3"/>
        <v>0</v>
      </c>
      <c r="AI55" s="39"/>
      <c r="AJ55" s="39"/>
      <c r="AK55" s="39"/>
      <c r="AL55" s="39"/>
      <c r="AM55" s="39"/>
      <c r="AN55" s="39">
        <f t="shared" si="4"/>
        <v>0</v>
      </c>
      <c r="AO55" s="39" t="s">
        <v>280</v>
      </c>
      <c r="AP55" s="117">
        <v>46280</v>
      </c>
      <c r="AQ55" s="39">
        <v>502</v>
      </c>
      <c r="AR55" s="117">
        <v>46281</v>
      </c>
      <c r="AS55" s="39">
        <f>14</f>
        <v>14</v>
      </c>
      <c r="AT55" s="39">
        <f t="shared" si="5"/>
        <v>-488</v>
      </c>
      <c r="AU55" s="39" t="s">
        <v>257</v>
      </c>
      <c r="AV55" s="117">
        <v>46281</v>
      </c>
      <c r="AW55" s="39">
        <f>14</f>
        <v>14</v>
      </c>
      <c r="AX55" s="117">
        <v>46281</v>
      </c>
      <c r="AY55" s="39">
        <f>14</f>
        <v>14</v>
      </c>
      <c r="AZ55" s="39">
        <f t="shared" si="6"/>
        <v>0</v>
      </c>
      <c r="BA55" s="39"/>
      <c r="BB55" s="39"/>
      <c r="BC55" s="39"/>
      <c r="BD55" s="39"/>
      <c r="BE55" s="39"/>
      <c r="BF55" s="39">
        <f t="shared" si="7"/>
        <v>0</v>
      </c>
      <c r="BG55" s="39"/>
      <c r="BH55" s="39"/>
      <c r="BI55" s="39"/>
      <c r="BJ55" s="39"/>
      <c r="BK55" s="39"/>
      <c r="BL55" s="39">
        <f t="shared" si="8"/>
        <v>0</v>
      </c>
      <c r="BM55" s="54">
        <f t="shared" ca="1" si="9"/>
        <v>5</v>
      </c>
      <c r="BN55" s="58">
        <v>46270</v>
      </c>
      <c r="BO55" s="57">
        <v>46284</v>
      </c>
      <c r="BP55" s="36"/>
      <c r="BQ55" s="36"/>
      <c r="BR55" s="39"/>
      <c r="BS55" s="39"/>
      <c r="BT55" s="39" t="s">
        <v>19</v>
      </c>
      <c r="BU55" s="39"/>
      <c r="BV55" s="39"/>
      <c r="BW55" s="39"/>
      <c r="BX55" s="39"/>
      <c r="BY55" s="39"/>
      <c r="BZ55" s="39">
        <f t="shared" si="10"/>
        <v>0</v>
      </c>
      <c r="CA55" s="39">
        <f t="shared" si="11"/>
        <v>-454</v>
      </c>
      <c r="CB55" s="39">
        <f t="shared" si="12"/>
        <v>-73</v>
      </c>
      <c r="CC55" s="39">
        <f t="shared" si="13"/>
        <v>-31</v>
      </c>
      <c r="CD55" s="39">
        <f t="shared" si="14"/>
        <v>-558</v>
      </c>
      <c r="CE55" s="102">
        <f t="shared" si="15"/>
        <v>-1</v>
      </c>
      <c r="CF55" s="36" t="s">
        <v>296</v>
      </c>
      <c r="CG55" s="39" t="s">
        <v>229</v>
      </c>
      <c r="CH55" s="39"/>
      <c r="CI55" s="25">
        <v>1</v>
      </c>
    </row>
    <row r="56" spans="1:87" ht="24.75" customHeight="1">
      <c r="A56" s="36" t="s">
        <v>50</v>
      </c>
      <c r="B56" s="26">
        <v>48498</v>
      </c>
      <c r="C56" s="36" t="s">
        <v>2202</v>
      </c>
      <c r="D56" s="36" t="s">
        <v>45</v>
      </c>
      <c r="E56" s="39">
        <v>400</v>
      </c>
      <c r="F56" s="39" t="s">
        <v>65</v>
      </c>
      <c r="G56" s="36" t="s">
        <v>322</v>
      </c>
      <c r="H56" s="36" t="s">
        <v>2188</v>
      </c>
      <c r="I56" s="39">
        <v>450</v>
      </c>
      <c r="J56" s="39">
        <v>69</v>
      </c>
      <c r="K56" s="39">
        <v>31</v>
      </c>
      <c r="L56" s="39">
        <f t="shared" si="29"/>
        <v>550</v>
      </c>
      <c r="M56" s="117">
        <v>46259</v>
      </c>
      <c r="N56" s="117">
        <v>46265</v>
      </c>
      <c r="O56" s="39"/>
      <c r="P56" s="39"/>
      <c r="Q56" s="39"/>
      <c r="R56" s="39">
        <f t="shared" si="30"/>
        <v>0</v>
      </c>
      <c r="S56" s="39" t="s">
        <v>31</v>
      </c>
      <c r="T56" s="39"/>
      <c r="U56" s="39"/>
      <c r="V56" s="117" t="s">
        <v>3032</v>
      </c>
      <c r="W56" s="39">
        <f>79+35+514</f>
        <v>628</v>
      </c>
      <c r="X56" s="39"/>
      <c r="Y56" s="39"/>
      <c r="Z56" s="39"/>
      <c r="AA56" s="39"/>
      <c r="AB56" s="118">
        <f t="shared" si="31"/>
        <v>0</v>
      </c>
      <c r="AC56" s="39"/>
      <c r="AD56" s="39"/>
      <c r="AE56" s="39"/>
      <c r="AF56" s="39"/>
      <c r="AG56" s="39"/>
      <c r="AH56" s="39">
        <f t="shared" si="3"/>
        <v>0</v>
      </c>
      <c r="AI56" s="39"/>
      <c r="AJ56" s="39"/>
      <c r="AK56" s="39"/>
      <c r="AL56" s="39"/>
      <c r="AM56" s="39"/>
      <c r="AN56" s="39">
        <f t="shared" si="4"/>
        <v>0</v>
      </c>
      <c r="AO56" s="39"/>
      <c r="AP56" s="39"/>
      <c r="AQ56" s="39"/>
      <c r="AR56" s="39"/>
      <c r="AS56" s="39"/>
      <c r="AT56" s="39">
        <f t="shared" si="5"/>
        <v>0</v>
      </c>
      <c r="AU56" s="39"/>
      <c r="AV56" s="39"/>
      <c r="AW56" s="39"/>
      <c r="AX56" s="39"/>
      <c r="AY56" s="39"/>
      <c r="AZ56" s="39">
        <f t="shared" si="6"/>
        <v>0</v>
      </c>
      <c r="BA56" s="39"/>
      <c r="BB56" s="39"/>
      <c r="BC56" s="39"/>
      <c r="BD56" s="39"/>
      <c r="BE56" s="39"/>
      <c r="BF56" s="39">
        <f t="shared" si="7"/>
        <v>0</v>
      </c>
      <c r="BG56" s="39"/>
      <c r="BH56" s="39"/>
      <c r="BI56" s="39"/>
      <c r="BJ56" s="39"/>
      <c r="BK56" s="39"/>
      <c r="BL56" s="39">
        <f t="shared" si="8"/>
        <v>0</v>
      </c>
      <c r="BM56" s="54">
        <f t="shared" ca="1" si="9"/>
        <v>46283</v>
      </c>
      <c r="BN56" s="58">
        <v>46270</v>
      </c>
      <c r="BO56" s="57">
        <v>46284</v>
      </c>
      <c r="BP56" s="36"/>
      <c r="BQ56" s="36"/>
      <c r="BR56" s="39"/>
      <c r="BS56" s="39"/>
      <c r="BT56" s="39"/>
      <c r="BU56" s="39"/>
      <c r="BV56" s="39"/>
      <c r="BW56" s="39"/>
      <c r="BX56" s="39"/>
      <c r="BY56" s="39"/>
      <c r="BZ56" s="39">
        <f t="shared" si="10"/>
        <v>0</v>
      </c>
      <c r="CA56" s="39">
        <f t="shared" si="11"/>
        <v>-450</v>
      </c>
      <c r="CB56" s="39">
        <f t="shared" si="12"/>
        <v>-69</v>
      </c>
      <c r="CC56" s="39">
        <f t="shared" si="13"/>
        <v>-31</v>
      </c>
      <c r="CD56" s="39">
        <f t="shared" si="14"/>
        <v>-550</v>
      </c>
      <c r="CE56" s="102">
        <f t="shared" si="15"/>
        <v>-1</v>
      </c>
      <c r="CF56" s="36" t="s">
        <v>296</v>
      </c>
      <c r="CG56" s="39" t="s">
        <v>229</v>
      </c>
      <c r="CH56" s="39"/>
      <c r="CI56" s="25">
        <v>1</v>
      </c>
    </row>
    <row r="57" spans="1:87" ht="24.75" customHeight="1">
      <c r="A57" s="36" t="s">
        <v>50</v>
      </c>
      <c r="B57" s="26">
        <v>48499</v>
      </c>
      <c r="C57" s="36" t="s">
        <v>2207</v>
      </c>
      <c r="D57" s="36" t="s">
        <v>45</v>
      </c>
      <c r="E57" s="39">
        <v>400</v>
      </c>
      <c r="F57" s="39" t="s">
        <v>65</v>
      </c>
      <c r="G57" s="36" t="s">
        <v>322</v>
      </c>
      <c r="H57" s="36" t="s">
        <v>2188</v>
      </c>
      <c r="I57" s="39">
        <v>858</v>
      </c>
      <c r="J57" s="39">
        <v>135</v>
      </c>
      <c r="K57" s="39">
        <v>31</v>
      </c>
      <c r="L57" s="39">
        <f t="shared" si="29"/>
        <v>1024</v>
      </c>
      <c r="M57" s="117">
        <v>46249</v>
      </c>
      <c r="N57" s="117">
        <v>46256</v>
      </c>
      <c r="O57" s="39"/>
      <c r="P57" s="39"/>
      <c r="Q57" s="39"/>
      <c r="R57" s="39">
        <f t="shared" si="30"/>
        <v>0</v>
      </c>
      <c r="S57" s="39" t="s">
        <v>31</v>
      </c>
      <c r="T57" s="39"/>
      <c r="U57" s="39"/>
      <c r="V57" s="117" t="s">
        <v>2905</v>
      </c>
      <c r="W57" s="39">
        <f>981+35+154</f>
        <v>1170</v>
      </c>
      <c r="X57" s="39"/>
      <c r="Y57" s="39"/>
      <c r="Z57" s="39"/>
      <c r="AA57" s="39"/>
      <c r="AB57" s="118">
        <f t="shared" si="31"/>
        <v>0</v>
      </c>
      <c r="AC57" s="39"/>
      <c r="AD57" s="39"/>
      <c r="AE57" s="39"/>
      <c r="AF57" s="39"/>
      <c r="AG57" s="39"/>
      <c r="AH57" s="39">
        <f t="shared" si="3"/>
        <v>0</v>
      </c>
      <c r="AI57" s="39"/>
      <c r="AJ57" s="39"/>
      <c r="AK57" s="39"/>
      <c r="AL57" s="39"/>
      <c r="AM57" s="39"/>
      <c r="AN57" s="39">
        <f t="shared" si="4"/>
        <v>0</v>
      </c>
      <c r="AO57" s="39"/>
      <c r="AP57" s="39"/>
      <c r="AQ57" s="39"/>
      <c r="AR57" s="39"/>
      <c r="AS57" s="39"/>
      <c r="AT57" s="39">
        <f t="shared" si="5"/>
        <v>0</v>
      </c>
      <c r="AU57" s="39"/>
      <c r="AV57" s="39"/>
      <c r="AW57" s="39"/>
      <c r="AX57" s="39"/>
      <c r="AY57" s="39"/>
      <c r="AZ57" s="39">
        <f t="shared" si="6"/>
        <v>0</v>
      </c>
      <c r="BA57" s="39"/>
      <c r="BB57" s="39"/>
      <c r="BC57" s="39"/>
      <c r="BD57" s="39"/>
      <c r="BE57" s="39"/>
      <c r="BF57" s="39">
        <f t="shared" si="7"/>
        <v>0</v>
      </c>
      <c r="BG57" s="39"/>
      <c r="BH57" s="39"/>
      <c r="BI57" s="39"/>
      <c r="BJ57" s="39"/>
      <c r="BK57" s="39"/>
      <c r="BL57" s="39">
        <f t="shared" si="8"/>
        <v>0</v>
      </c>
      <c r="BM57" s="54">
        <f t="shared" ca="1" si="9"/>
        <v>46283</v>
      </c>
      <c r="BN57" s="58">
        <v>46267</v>
      </c>
      <c r="BO57" s="57">
        <v>46281</v>
      </c>
      <c r="BP57" s="36"/>
      <c r="BQ57" s="36"/>
      <c r="BR57" s="39"/>
      <c r="BS57" s="39"/>
      <c r="BT57" s="39"/>
      <c r="BU57" s="39"/>
      <c r="BV57" s="39"/>
      <c r="BW57" s="39"/>
      <c r="BX57" s="39"/>
      <c r="BY57" s="39"/>
      <c r="BZ57" s="39">
        <f t="shared" si="10"/>
        <v>0</v>
      </c>
      <c r="CA57" s="39">
        <f t="shared" si="11"/>
        <v>-858</v>
      </c>
      <c r="CB57" s="39">
        <f t="shared" si="12"/>
        <v>-135</v>
      </c>
      <c r="CC57" s="39">
        <f t="shared" si="13"/>
        <v>-31</v>
      </c>
      <c r="CD57" s="39">
        <f t="shared" si="14"/>
        <v>-1024</v>
      </c>
      <c r="CE57" s="102">
        <f t="shared" si="15"/>
        <v>-1</v>
      </c>
      <c r="CF57" s="36" t="s">
        <v>296</v>
      </c>
      <c r="CG57" s="39" t="s">
        <v>229</v>
      </c>
      <c r="CH57" s="39"/>
      <c r="CI57" s="25">
        <v>1</v>
      </c>
    </row>
    <row r="58" spans="1:87" ht="24.75" customHeight="1">
      <c r="A58" s="36" t="s">
        <v>50</v>
      </c>
      <c r="B58" s="26">
        <v>48500</v>
      </c>
      <c r="C58" s="36">
        <v>13269363</v>
      </c>
      <c r="D58" s="36"/>
      <c r="E58" s="39">
        <v>180</v>
      </c>
      <c r="F58" s="39" t="s">
        <v>54</v>
      </c>
      <c r="G58" s="36" t="s">
        <v>93</v>
      </c>
      <c r="H58" s="36" t="s">
        <v>22</v>
      </c>
      <c r="I58" s="39">
        <v>140</v>
      </c>
      <c r="J58" s="39">
        <v>5</v>
      </c>
      <c r="K58" s="39"/>
      <c r="L58" s="39">
        <f t="shared" si="29"/>
        <v>145</v>
      </c>
      <c r="M58" s="117">
        <v>46251</v>
      </c>
      <c r="N58" s="117">
        <v>46256</v>
      </c>
      <c r="O58" s="39"/>
      <c r="P58" s="39"/>
      <c r="Q58" s="39"/>
      <c r="R58" s="39">
        <f t="shared" si="30"/>
        <v>0</v>
      </c>
      <c r="S58" s="39" t="s">
        <v>130</v>
      </c>
      <c r="T58" s="39">
        <v>108772</v>
      </c>
      <c r="U58" s="117">
        <v>46256</v>
      </c>
      <c r="V58" s="39"/>
      <c r="W58" s="39"/>
      <c r="X58" s="39"/>
      <c r="Y58" s="39">
        <v>169</v>
      </c>
      <c r="Z58" s="39">
        <v>8</v>
      </c>
      <c r="AA58" s="39"/>
      <c r="AB58" s="119">
        <f t="shared" si="31"/>
        <v>177</v>
      </c>
      <c r="AC58" s="39"/>
      <c r="AD58" s="39"/>
      <c r="AE58" s="39"/>
      <c r="AF58" s="39"/>
      <c r="AG58" s="39"/>
      <c r="AH58" s="39">
        <f t="shared" si="3"/>
        <v>0</v>
      </c>
      <c r="AI58" s="39"/>
      <c r="AJ58" s="39"/>
      <c r="AK58" s="39"/>
      <c r="AL58" s="39"/>
      <c r="AM58" s="39"/>
      <c r="AN58" s="39">
        <f t="shared" si="4"/>
        <v>0</v>
      </c>
      <c r="AO58" s="39"/>
      <c r="AP58" s="39"/>
      <c r="AQ58" s="39"/>
      <c r="AR58" s="39"/>
      <c r="AS58" s="39"/>
      <c r="AT58" s="39">
        <f t="shared" si="5"/>
        <v>0</v>
      </c>
      <c r="AU58" s="39"/>
      <c r="AV58" s="39"/>
      <c r="AW58" s="39"/>
      <c r="AX58" s="39"/>
      <c r="AY58" s="39"/>
      <c r="AZ58" s="39">
        <f t="shared" si="6"/>
        <v>0</v>
      </c>
      <c r="BA58" s="39"/>
      <c r="BB58" s="39"/>
      <c r="BC58" s="39"/>
      <c r="BD58" s="39"/>
      <c r="BE58" s="39"/>
      <c r="BF58" s="39">
        <f t="shared" si="7"/>
        <v>0</v>
      </c>
      <c r="BG58" s="39"/>
      <c r="BH58" s="39"/>
      <c r="BI58" s="39"/>
      <c r="BJ58" s="39"/>
      <c r="BK58" s="39"/>
      <c r="BL58" s="39">
        <f t="shared" si="8"/>
        <v>0</v>
      </c>
      <c r="BM58" s="54" t="str">
        <f t="shared" si="9"/>
        <v/>
      </c>
      <c r="BN58" s="58">
        <v>46270</v>
      </c>
      <c r="BO58" s="57">
        <v>46282</v>
      </c>
      <c r="BP58" s="36"/>
      <c r="BQ58" s="36"/>
      <c r="BR58" s="117">
        <v>46269</v>
      </c>
      <c r="BS58" s="117">
        <v>46269</v>
      </c>
      <c r="BT58" s="39">
        <v>749</v>
      </c>
      <c r="BU58" s="39">
        <v>143</v>
      </c>
      <c r="BV58" s="39">
        <v>749</v>
      </c>
      <c r="BW58" s="39">
        <v>5</v>
      </c>
      <c r="BX58" s="39"/>
      <c r="BY58" s="39"/>
      <c r="BZ58" s="39">
        <f t="shared" si="10"/>
        <v>148</v>
      </c>
      <c r="CA58" s="39">
        <f t="shared" si="11"/>
        <v>3</v>
      </c>
      <c r="CB58" s="39">
        <f t="shared" si="12"/>
        <v>0</v>
      </c>
      <c r="CC58" s="39">
        <f t="shared" si="13"/>
        <v>0</v>
      </c>
      <c r="CD58" s="39">
        <f t="shared" si="14"/>
        <v>0</v>
      </c>
      <c r="CE58" s="102">
        <f t="shared" si="15"/>
        <v>0</v>
      </c>
      <c r="CF58" s="36" t="s">
        <v>296</v>
      </c>
      <c r="CG58" s="39" t="s">
        <v>229</v>
      </c>
      <c r="CH58" s="39"/>
      <c r="CI58" s="25">
        <v>1</v>
      </c>
    </row>
    <row r="59" spans="1:87" ht="24.75" customHeight="1">
      <c r="A59" s="36" t="s">
        <v>50</v>
      </c>
      <c r="B59" s="26">
        <v>48501</v>
      </c>
      <c r="C59" s="36">
        <v>13269375</v>
      </c>
      <c r="D59" s="36"/>
      <c r="E59" s="39">
        <v>180</v>
      </c>
      <c r="F59" s="39" t="s">
        <v>54</v>
      </c>
      <c r="G59" s="36" t="s">
        <v>310</v>
      </c>
      <c r="H59" s="36" t="s">
        <v>22</v>
      </c>
      <c r="I59" s="39">
        <v>190</v>
      </c>
      <c r="J59" s="39">
        <v>8</v>
      </c>
      <c r="K59" s="39"/>
      <c r="L59" s="39">
        <f t="shared" si="29"/>
        <v>198</v>
      </c>
      <c r="M59" s="117">
        <v>46254</v>
      </c>
      <c r="N59" s="117">
        <v>46259</v>
      </c>
      <c r="O59" s="39"/>
      <c r="P59" s="39"/>
      <c r="Q59" s="39"/>
      <c r="R59" s="39">
        <f t="shared" si="30"/>
        <v>0</v>
      </c>
      <c r="S59" s="39" t="s">
        <v>28</v>
      </c>
      <c r="T59" s="39"/>
      <c r="U59" s="39"/>
      <c r="V59" s="117">
        <v>46259</v>
      </c>
      <c r="W59" s="39">
        <f>218+10</f>
        <v>228</v>
      </c>
      <c r="X59" s="117">
        <v>46275</v>
      </c>
      <c r="Y59" s="39">
        <v>203</v>
      </c>
      <c r="Z59" s="39">
        <v>9</v>
      </c>
      <c r="AA59" s="39"/>
      <c r="AB59" s="119">
        <f t="shared" si="31"/>
        <v>212</v>
      </c>
      <c r="AC59" s="39"/>
      <c r="AD59" s="39"/>
      <c r="AE59" s="39"/>
      <c r="AF59" s="39"/>
      <c r="AG59" s="39"/>
      <c r="AH59" s="39">
        <f t="shared" si="3"/>
        <v>0</v>
      </c>
      <c r="AI59" s="39"/>
      <c r="AJ59" s="39"/>
      <c r="AK59" s="39"/>
      <c r="AL59" s="39"/>
      <c r="AM59" s="39"/>
      <c r="AN59" s="39">
        <f t="shared" si="4"/>
        <v>0</v>
      </c>
      <c r="AO59" s="39"/>
      <c r="AP59" s="39"/>
      <c r="AQ59" s="39"/>
      <c r="AR59" s="39"/>
      <c r="AS59" s="39"/>
      <c r="AT59" s="39">
        <f t="shared" si="5"/>
        <v>0</v>
      </c>
      <c r="AU59" s="39"/>
      <c r="AV59" s="39"/>
      <c r="AW59" s="39"/>
      <c r="AX59" s="39"/>
      <c r="AY59" s="39"/>
      <c r="AZ59" s="39">
        <f t="shared" si="6"/>
        <v>0</v>
      </c>
      <c r="BA59" s="39"/>
      <c r="BB59" s="39"/>
      <c r="BC59" s="39"/>
      <c r="BD59" s="39"/>
      <c r="BE59" s="39"/>
      <c r="BF59" s="39">
        <f t="shared" si="7"/>
        <v>0</v>
      </c>
      <c r="BG59" s="39"/>
      <c r="BH59" s="39"/>
      <c r="BI59" s="39"/>
      <c r="BJ59" s="39"/>
      <c r="BK59" s="39"/>
      <c r="BL59" s="39">
        <f t="shared" si="8"/>
        <v>0</v>
      </c>
      <c r="BM59" s="54" t="str">
        <f t="shared" si="9"/>
        <v/>
      </c>
      <c r="BN59" s="58">
        <v>46269</v>
      </c>
      <c r="BO59" s="57">
        <v>46282</v>
      </c>
      <c r="BP59" s="36"/>
      <c r="BQ59" s="36"/>
      <c r="BR59" s="117">
        <v>46272</v>
      </c>
      <c r="BS59" s="117">
        <v>46272</v>
      </c>
      <c r="BT59" s="39">
        <v>967</v>
      </c>
      <c r="BU59" s="39">
        <v>203</v>
      </c>
      <c r="BV59" s="39">
        <v>967</v>
      </c>
      <c r="BW59" s="39">
        <v>9</v>
      </c>
      <c r="BX59" s="39"/>
      <c r="BY59" s="39"/>
      <c r="BZ59" s="39">
        <f t="shared" si="10"/>
        <v>212</v>
      </c>
      <c r="CA59" s="39">
        <f t="shared" si="11"/>
        <v>13</v>
      </c>
      <c r="CB59" s="39">
        <f t="shared" si="12"/>
        <v>1</v>
      </c>
      <c r="CC59" s="39">
        <f t="shared" si="13"/>
        <v>0</v>
      </c>
      <c r="CD59" s="39">
        <f t="shared" si="14"/>
        <v>0</v>
      </c>
      <c r="CE59" s="102">
        <f t="shared" si="15"/>
        <v>0</v>
      </c>
      <c r="CF59" s="36" t="s">
        <v>296</v>
      </c>
      <c r="CG59" s="39" t="s">
        <v>229</v>
      </c>
      <c r="CH59" s="39"/>
      <c r="CI59" s="25">
        <v>1</v>
      </c>
    </row>
    <row r="60" spans="1:87" ht="24.75" customHeight="1">
      <c r="A60" s="36" t="s">
        <v>50</v>
      </c>
      <c r="B60" s="26">
        <v>48502</v>
      </c>
      <c r="C60" s="36">
        <v>13269373</v>
      </c>
      <c r="D60" s="36"/>
      <c r="E60" s="39">
        <v>180</v>
      </c>
      <c r="F60" s="39" t="s">
        <v>54</v>
      </c>
      <c r="G60" s="36" t="s">
        <v>310</v>
      </c>
      <c r="H60" s="36" t="s">
        <v>22</v>
      </c>
      <c r="I60" s="39">
        <v>193</v>
      </c>
      <c r="J60" s="39">
        <v>8</v>
      </c>
      <c r="K60" s="39"/>
      <c r="L60" s="39">
        <f t="shared" ref="L60:L67" si="32">SUM(I60:K60)</f>
        <v>201</v>
      </c>
      <c r="M60" s="117">
        <v>46249</v>
      </c>
      <c r="N60" s="117">
        <v>46254</v>
      </c>
      <c r="O60" s="39"/>
      <c r="P60" s="39"/>
      <c r="Q60" s="39"/>
      <c r="R60" s="39">
        <f t="shared" si="30"/>
        <v>0</v>
      </c>
      <c r="S60" s="39" t="s">
        <v>28</v>
      </c>
      <c r="T60" s="39"/>
      <c r="U60" s="39"/>
      <c r="V60" s="117">
        <v>46252</v>
      </c>
      <c r="W60" s="39">
        <f>219+10</f>
        <v>229</v>
      </c>
      <c r="X60" s="117">
        <v>46258</v>
      </c>
      <c r="Y60" s="39">
        <v>203</v>
      </c>
      <c r="Z60" s="39">
        <v>8</v>
      </c>
      <c r="AA60" s="39"/>
      <c r="AB60" s="119">
        <f t="shared" si="31"/>
        <v>211</v>
      </c>
      <c r="AC60" s="39"/>
      <c r="AD60" s="39"/>
      <c r="AE60" s="39"/>
      <c r="AF60" s="39"/>
      <c r="AG60" s="39"/>
      <c r="AH60" s="39">
        <f t="shared" si="3"/>
        <v>0</v>
      </c>
      <c r="AI60" s="39"/>
      <c r="AJ60" s="39"/>
      <c r="AK60" s="39"/>
      <c r="AL60" s="39"/>
      <c r="AM60" s="39"/>
      <c r="AN60" s="39">
        <f t="shared" si="4"/>
        <v>0</v>
      </c>
      <c r="AO60" s="39"/>
      <c r="AP60" s="39"/>
      <c r="AQ60" s="39"/>
      <c r="AR60" s="39"/>
      <c r="AS60" s="39"/>
      <c r="AT60" s="39">
        <f t="shared" si="5"/>
        <v>0</v>
      </c>
      <c r="AU60" s="39"/>
      <c r="AV60" s="39"/>
      <c r="AW60" s="39"/>
      <c r="AX60" s="39"/>
      <c r="AY60" s="39"/>
      <c r="AZ60" s="39">
        <f t="shared" si="6"/>
        <v>0</v>
      </c>
      <c r="BA60" s="39"/>
      <c r="BB60" s="39"/>
      <c r="BC60" s="39"/>
      <c r="BD60" s="39"/>
      <c r="BE60" s="39"/>
      <c r="BF60" s="39">
        <f t="shared" si="7"/>
        <v>0</v>
      </c>
      <c r="BG60" s="39"/>
      <c r="BH60" s="39"/>
      <c r="BI60" s="39"/>
      <c r="BJ60" s="39"/>
      <c r="BK60" s="39"/>
      <c r="BL60" s="39">
        <f t="shared" si="8"/>
        <v>0</v>
      </c>
      <c r="BM60" s="54" t="str">
        <f t="shared" si="9"/>
        <v/>
      </c>
      <c r="BN60" s="58">
        <v>46270</v>
      </c>
      <c r="BO60" s="57">
        <v>46280</v>
      </c>
      <c r="BP60" s="36"/>
      <c r="BQ60" s="36"/>
      <c r="BR60" s="117">
        <v>46258</v>
      </c>
      <c r="BS60" s="117">
        <v>46258</v>
      </c>
      <c r="BT60" s="39">
        <v>1989</v>
      </c>
      <c r="BU60" s="39">
        <v>203</v>
      </c>
      <c r="BV60" s="39">
        <v>1989</v>
      </c>
      <c r="BW60" s="39">
        <v>8</v>
      </c>
      <c r="BX60" s="39"/>
      <c r="BY60" s="39"/>
      <c r="BZ60" s="39">
        <f t="shared" si="10"/>
        <v>211</v>
      </c>
      <c r="CA60" s="39">
        <f t="shared" si="11"/>
        <v>10</v>
      </c>
      <c r="CB60" s="39">
        <f t="shared" si="12"/>
        <v>0</v>
      </c>
      <c r="CC60" s="39">
        <f t="shared" si="13"/>
        <v>0</v>
      </c>
      <c r="CD60" s="39">
        <f t="shared" si="14"/>
        <v>0</v>
      </c>
      <c r="CE60" s="102">
        <f t="shared" si="15"/>
        <v>0</v>
      </c>
      <c r="CF60" s="36" t="s">
        <v>296</v>
      </c>
      <c r="CG60" s="39" t="s">
        <v>229</v>
      </c>
      <c r="CH60" s="39"/>
      <c r="CI60" s="25">
        <v>1</v>
      </c>
    </row>
    <row r="61" spans="1:87" ht="24.75" customHeight="1">
      <c r="A61" s="36" t="s">
        <v>50</v>
      </c>
      <c r="B61" s="26">
        <v>48503</v>
      </c>
      <c r="C61" s="36">
        <v>13269374</v>
      </c>
      <c r="D61" s="36"/>
      <c r="E61" s="39">
        <v>180</v>
      </c>
      <c r="F61" s="39" t="s">
        <v>54</v>
      </c>
      <c r="G61" s="36" t="s">
        <v>310</v>
      </c>
      <c r="H61" s="36" t="s">
        <v>22</v>
      </c>
      <c r="I61" s="39">
        <v>194</v>
      </c>
      <c r="J61" s="39">
        <v>8</v>
      </c>
      <c r="K61" s="39"/>
      <c r="L61" s="39">
        <f t="shared" si="32"/>
        <v>202</v>
      </c>
      <c r="M61" s="117">
        <v>46249</v>
      </c>
      <c r="N61" s="117">
        <v>46254</v>
      </c>
      <c r="O61" s="39"/>
      <c r="P61" s="39"/>
      <c r="Q61" s="39"/>
      <c r="R61" s="39">
        <f t="shared" si="30"/>
        <v>0</v>
      </c>
      <c r="S61" s="39" t="s">
        <v>28</v>
      </c>
      <c r="T61" s="39"/>
      <c r="U61" s="39"/>
      <c r="V61" s="117">
        <v>46252</v>
      </c>
      <c r="W61" s="39">
        <f>220+10</f>
        <v>230</v>
      </c>
      <c r="X61" s="117">
        <v>46258</v>
      </c>
      <c r="Y61" s="39">
        <v>195</v>
      </c>
      <c r="Z61" s="39">
        <v>9</v>
      </c>
      <c r="AA61" s="39"/>
      <c r="AB61" s="119">
        <f t="shared" si="31"/>
        <v>204</v>
      </c>
      <c r="AC61" s="39"/>
      <c r="AD61" s="39"/>
      <c r="AE61" s="39"/>
      <c r="AF61" s="39"/>
      <c r="AG61" s="39"/>
      <c r="AH61" s="39">
        <f t="shared" si="3"/>
        <v>0</v>
      </c>
      <c r="AI61" s="39"/>
      <c r="AJ61" s="39"/>
      <c r="AK61" s="39"/>
      <c r="AL61" s="39"/>
      <c r="AM61" s="39"/>
      <c r="AN61" s="39">
        <f t="shared" si="4"/>
        <v>0</v>
      </c>
      <c r="AO61" s="39"/>
      <c r="AP61" s="39"/>
      <c r="AQ61" s="39"/>
      <c r="AR61" s="39"/>
      <c r="AS61" s="39"/>
      <c r="AT61" s="39">
        <f t="shared" si="5"/>
        <v>0</v>
      </c>
      <c r="AU61" s="39"/>
      <c r="AV61" s="39"/>
      <c r="AW61" s="39"/>
      <c r="AX61" s="39"/>
      <c r="AY61" s="39"/>
      <c r="AZ61" s="39">
        <f t="shared" si="6"/>
        <v>0</v>
      </c>
      <c r="BA61" s="39"/>
      <c r="BB61" s="39"/>
      <c r="BC61" s="39"/>
      <c r="BD61" s="39"/>
      <c r="BE61" s="39"/>
      <c r="BF61" s="39">
        <f t="shared" si="7"/>
        <v>0</v>
      </c>
      <c r="BG61" s="39"/>
      <c r="BH61" s="39"/>
      <c r="BI61" s="39"/>
      <c r="BJ61" s="39"/>
      <c r="BK61" s="39"/>
      <c r="BL61" s="39">
        <f t="shared" si="8"/>
        <v>0</v>
      </c>
      <c r="BM61" s="54" t="str">
        <f t="shared" si="9"/>
        <v/>
      </c>
      <c r="BN61" s="58">
        <v>46270</v>
      </c>
      <c r="BO61" s="57">
        <v>46280</v>
      </c>
      <c r="BP61" s="36"/>
      <c r="BQ61" s="36"/>
      <c r="BR61" s="117">
        <v>46258</v>
      </c>
      <c r="BS61" s="117">
        <v>46258</v>
      </c>
      <c r="BT61" s="39">
        <v>1989</v>
      </c>
      <c r="BU61" s="39">
        <v>195</v>
      </c>
      <c r="BV61" s="39">
        <v>1989</v>
      </c>
      <c r="BW61" s="39">
        <v>9</v>
      </c>
      <c r="BX61" s="39"/>
      <c r="BY61" s="39"/>
      <c r="BZ61" s="39">
        <f t="shared" si="10"/>
        <v>204</v>
      </c>
      <c r="CA61" s="39">
        <f t="shared" si="11"/>
        <v>1</v>
      </c>
      <c r="CB61" s="39">
        <f t="shared" si="12"/>
        <v>1</v>
      </c>
      <c r="CC61" s="39">
        <f t="shared" si="13"/>
        <v>0</v>
      </c>
      <c r="CD61" s="39">
        <f t="shared" si="14"/>
        <v>0</v>
      </c>
      <c r="CE61" s="102">
        <f t="shared" si="15"/>
        <v>0</v>
      </c>
      <c r="CF61" s="36" t="s">
        <v>296</v>
      </c>
      <c r="CG61" s="39" t="s">
        <v>229</v>
      </c>
      <c r="CH61" s="39"/>
      <c r="CI61" s="25">
        <v>1</v>
      </c>
    </row>
    <row r="62" spans="1:87" ht="24.75" customHeight="1">
      <c r="A62" s="36" t="s">
        <v>50</v>
      </c>
      <c r="B62" s="26">
        <v>48504</v>
      </c>
      <c r="C62" s="36">
        <v>13269376</v>
      </c>
      <c r="D62" s="36"/>
      <c r="E62" s="39">
        <v>180</v>
      </c>
      <c r="F62" s="39" t="s">
        <v>54</v>
      </c>
      <c r="G62" s="36" t="s">
        <v>310</v>
      </c>
      <c r="H62" s="36" t="s">
        <v>22</v>
      </c>
      <c r="I62" s="39">
        <v>194</v>
      </c>
      <c r="J62" s="39">
        <v>8</v>
      </c>
      <c r="K62" s="39"/>
      <c r="L62" s="39">
        <f t="shared" si="32"/>
        <v>202</v>
      </c>
      <c r="M62" s="117">
        <v>46254</v>
      </c>
      <c r="N62" s="117">
        <v>46259</v>
      </c>
      <c r="O62" s="39"/>
      <c r="P62" s="39"/>
      <c r="Q62" s="39"/>
      <c r="R62" s="39">
        <f t="shared" si="30"/>
        <v>0</v>
      </c>
      <c r="S62" s="39" t="s">
        <v>28</v>
      </c>
      <c r="T62" s="39"/>
      <c r="U62" s="39"/>
      <c r="V62" s="117">
        <v>46259</v>
      </c>
      <c r="W62" s="39">
        <f>222+10</f>
        <v>232</v>
      </c>
      <c r="X62" s="117">
        <v>46274</v>
      </c>
      <c r="Y62" s="39">
        <v>199</v>
      </c>
      <c r="Z62" s="39">
        <v>9</v>
      </c>
      <c r="AA62" s="39"/>
      <c r="AB62" s="119">
        <f t="shared" si="31"/>
        <v>208</v>
      </c>
      <c r="AC62" s="39"/>
      <c r="AD62" s="39"/>
      <c r="AE62" s="39"/>
      <c r="AF62" s="39"/>
      <c r="AG62" s="39"/>
      <c r="AH62" s="39">
        <f t="shared" si="3"/>
        <v>0</v>
      </c>
      <c r="AI62" s="39"/>
      <c r="AJ62" s="39"/>
      <c r="AK62" s="39"/>
      <c r="AL62" s="39"/>
      <c r="AM62" s="39"/>
      <c r="AN62" s="39">
        <f t="shared" si="4"/>
        <v>0</v>
      </c>
      <c r="AO62" s="39"/>
      <c r="AP62" s="39"/>
      <c r="AQ62" s="39"/>
      <c r="AR62" s="39"/>
      <c r="AS62" s="39"/>
      <c r="AT62" s="39">
        <f t="shared" si="5"/>
        <v>0</v>
      </c>
      <c r="AU62" s="39"/>
      <c r="AV62" s="39"/>
      <c r="AW62" s="39"/>
      <c r="AX62" s="39"/>
      <c r="AY62" s="39"/>
      <c r="AZ62" s="39">
        <f t="shared" si="6"/>
        <v>0</v>
      </c>
      <c r="BA62" s="39"/>
      <c r="BB62" s="39"/>
      <c r="BC62" s="39"/>
      <c r="BD62" s="39"/>
      <c r="BE62" s="39"/>
      <c r="BF62" s="39">
        <f t="shared" si="7"/>
        <v>0</v>
      </c>
      <c r="BG62" s="39"/>
      <c r="BH62" s="39"/>
      <c r="BI62" s="39"/>
      <c r="BJ62" s="39"/>
      <c r="BK62" s="39"/>
      <c r="BL62" s="39">
        <f t="shared" si="8"/>
        <v>0</v>
      </c>
      <c r="BM62" s="54" t="str">
        <f t="shared" si="9"/>
        <v/>
      </c>
      <c r="BN62" s="58">
        <v>46270</v>
      </c>
      <c r="BO62" s="57">
        <v>46281</v>
      </c>
      <c r="BP62" s="36"/>
      <c r="BQ62" s="36"/>
      <c r="BR62" s="117">
        <v>46272</v>
      </c>
      <c r="BS62" s="117">
        <v>46272</v>
      </c>
      <c r="BT62" s="39">
        <v>964</v>
      </c>
      <c r="BU62" s="39">
        <v>199</v>
      </c>
      <c r="BV62" s="39">
        <v>964</v>
      </c>
      <c r="BW62" s="39">
        <v>9</v>
      </c>
      <c r="BX62" s="39"/>
      <c r="BY62" s="39"/>
      <c r="BZ62" s="39">
        <f t="shared" si="10"/>
        <v>208</v>
      </c>
      <c r="CA62" s="39">
        <f t="shared" si="11"/>
        <v>5</v>
      </c>
      <c r="CB62" s="39">
        <f t="shared" si="12"/>
        <v>1</v>
      </c>
      <c r="CC62" s="39">
        <f t="shared" si="13"/>
        <v>0</v>
      </c>
      <c r="CD62" s="39">
        <f t="shared" si="14"/>
        <v>0</v>
      </c>
      <c r="CE62" s="102">
        <f t="shared" si="15"/>
        <v>0</v>
      </c>
      <c r="CF62" s="36" t="s">
        <v>296</v>
      </c>
      <c r="CG62" s="39" t="s">
        <v>229</v>
      </c>
      <c r="CH62" s="39"/>
      <c r="CI62" s="25">
        <v>1</v>
      </c>
    </row>
    <row r="63" spans="1:87" ht="24.75" customHeight="1">
      <c r="A63" s="36" t="s">
        <v>50</v>
      </c>
      <c r="B63" s="26">
        <v>48505</v>
      </c>
      <c r="C63" s="227">
        <v>13269407</v>
      </c>
      <c r="D63" s="36"/>
      <c r="E63" s="39">
        <v>180</v>
      </c>
      <c r="F63" s="39" t="s">
        <v>54</v>
      </c>
      <c r="G63" s="36" t="s">
        <v>310</v>
      </c>
      <c r="H63" s="36" t="s">
        <v>22</v>
      </c>
      <c r="I63" s="39">
        <v>530</v>
      </c>
      <c r="J63" s="39">
        <v>22</v>
      </c>
      <c r="K63" s="39"/>
      <c r="L63" s="39">
        <f t="shared" si="32"/>
        <v>552</v>
      </c>
      <c r="M63" s="117">
        <v>46254</v>
      </c>
      <c r="N63" s="117">
        <v>46259</v>
      </c>
      <c r="O63" s="39"/>
      <c r="P63" s="39"/>
      <c r="Q63" s="39"/>
      <c r="R63" s="39">
        <f t="shared" si="30"/>
        <v>0</v>
      </c>
      <c r="S63" s="39" t="s">
        <v>130</v>
      </c>
      <c r="T63" s="39">
        <v>109415</v>
      </c>
      <c r="U63" s="117">
        <v>46279</v>
      </c>
      <c r="V63" s="39"/>
      <c r="W63" s="39"/>
      <c r="X63" s="39"/>
      <c r="Y63" s="39">
        <f>320</f>
        <v>320</v>
      </c>
      <c r="Z63" s="39">
        <f>25</f>
        <v>25</v>
      </c>
      <c r="AA63" s="39"/>
      <c r="AB63" s="118">
        <f t="shared" si="31"/>
        <v>345</v>
      </c>
      <c r="AC63" s="39"/>
      <c r="AD63" s="39"/>
      <c r="AE63" s="39"/>
      <c r="AF63" s="39"/>
      <c r="AG63" s="39"/>
      <c r="AH63" s="39">
        <f t="shared" si="3"/>
        <v>0</v>
      </c>
      <c r="AI63" s="39"/>
      <c r="AJ63" s="39"/>
      <c r="AK63" s="39"/>
      <c r="AL63" s="39"/>
      <c r="AM63" s="39"/>
      <c r="AN63" s="39">
        <f t="shared" si="4"/>
        <v>0</v>
      </c>
      <c r="AO63" s="39"/>
      <c r="AP63" s="39"/>
      <c r="AQ63" s="39"/>
      <c r="AR63" s="39"/>
      <c r="AS63" s="39"/>
      <c r="AT63" s="39">
        <f t="shared" si="5"/>
        <v>0</v>
      </c>
      <c r="AU63" s="39"/>
      <c r="AV63" s="39"/>
      <c r="AW63" s="39"/>
      <c r="AX63" s="39"/>
      <c r="AY63" s="39"/>
      <c r="AZ63" s="39">
        <f t="shared" si="6"/>
        <v>0</v>
      </c>
      <c r="BA63" s="39"/>
      <c r="BB63" s="39"/>
      <c r="BC63" s="39"/>
      <c r="BD63" s="39"/>
      <c r="BE63" s="39"/>
      <c r="BF63" s="39">
        <f t="shared" si="7"/>
        <v>0</v>
      </c>
      <c r="BG63" s="39"/>
      <c r="BH63" s="39"/>
      <c r="BI63" s="39"/>
      <c r="BJ63" s="39"/>
      <c r="BK63" s="39"/>
      <c r="BL63" s="39">
        <f t="shared" si="8"/>
        <v>0</v>
      </c>
      <c r="BM63" s="54">
        <f t="shared" ca="1" si="9"/>
        <v>4</v>
      </c>
      <c r="BN63" s="58">
        <v>46270</v>
      </c>
      <c r="BO63" s="57">
        <v>46283</v>
      </c>
      <c r="BP63" s="36"/>
      <c r="BQ63" s="36"/>
      <c r="BR63" s="117">
        <v>46281</v>
      </c>
      <c r="BS63" s="39"/>
      <c r="BT63" s="39">
        <v>909</v>
      </c>
      <c r="BU63" s="39">
        <f>292</f>
        <v>292</v>
      </c>
      <c r="BV63" s="39"/>
      <c r="BW63" s="39"/>
      <c r="BX63" s="39"/>
      <c r="BY63" s="39"/>
      <c r="BZ63" s="39">
        <f t="shared" si="10"/>
        <v>292</v>
      </c>
      <c r="CA63" s="39">
        <f t="shared" si="11"/>
        <v>-238</v>
      </c>
      <c r="CB63" s="39">
        <f t="shared" si="12"/>
        <v>-22</v>
      </c>
      <c r="CC63" s="39">
        <f t="shared" si="13"/>
        <v>0</v>
      </c>
      <c r="CD63" s="39">
        <f t="shared" si="14"/>
        <v>-260</v>
      </c>
      <c r="CE63" s="102">
        <f t="shared" si="15"/>
        <v>-0.47101449275362317</v>
      </c>
      <c r="CF63" s="36" t="s">
        <v>296</v>
      </c>
      <c r="CG63" s="39" t="s">
        <v>229</v>
      </c>
      <c r="CH63" s="39" t="s">
        <v>114</v>
      </c>
      <c r="CI63" s="25">
        <v>1</v>
      </c>
    </row>
    <row r="64" spans="1:87" ht="24.75" customHeight="1">
      <c r="A64" s="36" t="s">
        <v>50</v>
      </c>
      <c r="B64" s="26">
        <v>48505</v>
      </c>
      <c r="C64" s="228"/>
      <c r="D64" s="36"/>
      <c r="E64" s="39">
        <v>180</v>
      </c>
      <c r="F64" s="39" t="s">
        <v>54</v>
      </c>
      <c r="G64" s="36" t="s">
        <v>93</v>
      </c>
      <c r="H64" s="36" t="s">
        <v>22</v>
      </c>
      <c r="I64" s="39">
        <v>265</v>
      </c>
      <c r="J64" s="39">
        <v>11</v>
      </c>
      <c r="K64" s="39"/>
      <c r="L64" s="39">
        <f t="shared" si="32"/>
        <v>276</v>
      </c>
      <c r="M64" s="117">
        <v>46254</v>
      </c>
      <c r="N64" s="117">
        <v>46259</v>
      </c>
      <c r="O64" s="39"/>
      <c r="P64" s="39"/>
      <c r="Q64" s="39"/>
      <c r="R64" s="39">
        <f t="shared" si="30"/>
        <v>0</v>
      </c>
      <c r="S64" s="39" t="s">
        <v>130</v>
      </c>
      <c r="T64" s="39">
        <v>108773</v>
      </c>
      <c r="U64" s="117">
        <v>46256</v>
      </c>
      <c r="V64" s="39"/>
      <c r="W64" s="39"/>
      <c r="X64" s="39"/>
      <c r="Y64" s="39">
        <v>299</v>
      </c>
      <c r="Z64" s="39">
        <v>13</v>
      </c>
      <c r="AA64" s="39"/>
      <c r="AB64" s="119">
        <f t="shared" si="31"/>
        <v>312</v>
      </c>
      <c r="AC64" s="39"/>
      <c r="AD64" s="39"/>
      <c r="AE64" s="39"/>
      <c r="AF64" s="39"/>
      <c r="AG64" s="39"/>
      <c r="AH64" s="39">
        <f t="shared" si="3"/>
        <v>0</v>
      </c>
      <c r="AI64" s="39"/>
      <c r="AJ64" s="39"/>
      <c r="AK64" s="39"/>
      <c r="AL64" s="39"/>
      <c r="AM64" s="39"/>
      <c r="AN64" s="39">
        <f t="shared" si="4"/>
        <v>0</v>
      </c>
      <c r="AO64" s="39"/>
      <c r="AP64" s="39"/>
      <c r="AQ64" s="39"/>
      <c r="AR64" s="39"/>
      <c r="AS64" s="39"/>
      <c r="AT64" s="39">
        <f t="shared" si="5"/>
        <v>0</v>
      </c>
      <c r="AU64" s="39"/>
      <c r="AV64" s="39"/>
      <c r="AW64" s="39"/>
      <c r="AX64" s="39"/>
      <c r="AY64" s="39"/>
      <c r="AZ64" s="39">
        <f t="shared" si="6"/>
        <v>0</v>
      </c>
      <c r="BA64" s="39"/>
      <c r="BB64" s="39"/>
      <c r="BC64" s="39"/>
      <c r="BD64" s="39"/>
      <c r="BE64" s="39"/>
      <c r="BF64" s="39">
        <f t="shared" si="7"/>
        <v>0</v>
      </c>
      <c r="BG64" s="39"/>
      <c r="BH64" s="39"/>
      <c r="BI64" s="39"/>
      <c r="BJ64" s="39"/>
      <c r="BK64" s="39"/>
      <c r="BL64" s="39">
        <f t="shared" si="8"/>
        <v>0</v>
      </c>
      <c r="BM64" s="54" t="str">
        <f t="shared" si="9"/>
        <v/>
      </c>
      <c r="BN64" s="58">
        <v>46270</v>
      </c>
      <c r="BO64" s="57">
        <v>46283</v>
      </c>
      <c r="BP64" s="36"/>
      <c r="BQ64" s="36"/>
      <c r="BR64" s="117">
        <v>46269</v>
      </c>
      <c r="BS64" s="117">
        <v>46269</v>
      </c>
      <c r="BT64" s="39">
        <v>749</v>
      </c>
      <c r="BU64" s="39">
        <v>292</v>
      </c>
      <c r="BV64" s="39">
        <v>749</v>
      </c>
      <c r="BW64" s="39">
        <v>11</v>
      </c>
      <c r="BX64" s="39"/>
      <c r="BY64" s="39"/>
      <c r="BZ64" s="39">
        <f t="shared" si="10"/>
        <v>303</v>
      </c>
      <c r="CA64" s="39">
        <f t="shared" si="11"/>
        <v>27</v>
      </c>
      <c r="CB64" s="39">
        <f t="shared" si="12"/>
        <v>0</v>
      </c>
      <c r="CC64" s="39">
        <f t="shared" si="13"/>
        <v>0</v>
      </c>
      <c r="CD64" s="39">
        <f t="shared" si="14"/>
        <v>0</v>
      </c>
      <c r="CE64" s="102">
        <f t="shared" si="15"/>
        <v>0</v>
      </c>
      <c r="CF64" s="36" t="s">
        <v>296</v>
      </c>
      <c r="CG64" s="39" t="s">
        <v>229</v>
      </c>
      <c r="CH64" s="39"/>
      <c r="CI64" s="25">
        <v>1</v>
      </c>
    </row>
    <row r="65" spans="1:87" ht="24.75" customHeight="1">
      <c r="A65" s="36" t="s">
        <v>50</v>
      </c>
      <c r="B65" s="26">
        <v>48506</v>
      </c>
      <c r="C65" s="36" t="s">
        <v>2203</v>
      </c>
      <c r="D65" s="36" t="s">
        <v>45</v>
      </c>
      <c r="E65" s="39">
        <v>400</v>
      </c>
      <c r="F65" s="39" t="s">
        <v>65</v>
      </c>
      <c r="G65" s="36" t="s">
        <v>322</v>
      </c>
      <c r="H65" s="36" t="s">
        <v>2188</v>
      </c>
      <c r="I65" s="39">
        <v>375</v>
      </c>
      <c r="J65" s="39">
        <v>55</v>
      </c>
      <c r="K65" s="39">
        <v>29</v>
      </c>
      <c r="L65" s="39">
        <f t="shared" si="32"/>
        <v>459</v>
      </c>
      <c r="M65" s="117">
        <v>46254</v>
      </c>
      <c r="N65" s="117">
        <v>46260</v>
      </c>
      <c r="O65" s="39"/>
      <c r="P65" s="39"/>
      <c r="Q65" s="39"/>
      <c r="R65" s="39">
        <f t="shared" si="30"/>
        <v>0</v>
      </c>
      <c r="S65" s="39" t="s">
        <v>31</v>
      </c>
      <c r="T65" s="39"/>
      <c r="U65" s="39"/>
      <c r="V65" s="117" t="s">
        <v>2905</v>
      </c>
      <c r="W65" s="39">
        <f>430+34+63</f>
        <v>527</v>
      </c>
      <c r="X65" s="39"/>
      <c r="Y65" s="39"/>
      <c r="Z65" s="39"/>
      <c r="AA65" s="39"/>
      <c r="AB65" s="118">
        <f t="shared" si="31"/>
        <v>0</v>
      </c>
      <c r="AC65" s="39"/>
      <c r="AD65" s="39"/>
      <c r="AE65" s="39"/>
      <c r="AF65" s="39"/>
      <c r="AG65" s="39"/>
      <c r="AH65" s="39">
        <f t="shared" si="3"/>
        <v>0</v>
      </c>
      <c r="AI65" s="39"/>
      <c r="AJ65" s="39"/>
      <c r="AK65" s="39"/>
      <c r="AL65" s="39"/>
      <c r="AM65" s="39"/>
      <c r="AN65" s="39">
        <f t="shared" si="4"/>
        <v>0</v>
      </c>
      <c r="AO65" s="39"/>
      <c r="AP65" s="39"/>
      <c r="AQ65" s="39"/>
      <c r="AR65" s="39"/>
      <c r="AS65" s="39"/>
      <c r="AT65" s="39">
        <f t="shared" si="5"/>
        <v>0</v>
      </c>
      <c r="AU65" s="39"/>
      <c r="AV65" s="39"/>
      <c r="AW65" s="39"/>
      <c r="AX65" s="39"/>
      <c r="AY65" s="39"/>
      <c r="AZ65" s="39">
        <f t="shared" si="6"/>
        <v>0</v>
      </c>
      <c r="BA65" s="39"/>
      <c r="BB65" s="39"/>
      <c r="BC65" s="39"/>
      <c r="BD65" s="39"/>
      <c r="BE65" s="39"/>
      <c r="BF65" s="39">
        <f t="shared" si="7"/>
        <v>0</v>
      </c>
      <c r="BG65" s="39"/>
      <c r="BH65" s="39"/>
      <c r="BI65" s="39"/>
      <c r="BJ65" s="39"/>
      <c r="BK65" s="39"/>
      <c r="BL65" s="39">
        <f t="shared" si="8"/>
        <v>0</v>
      </c>
      <c r="BM65" s="54">
        <f t="shared" ca="1" si="9"/>
        <v>46283</v>
      </c>
      <c r="BN65" s="58">
        <v>46270</v>
      </c>
      <c r="BO65" s="57">
        <v>46282</v>
      </c>
      <c r="BP65" s="36"/>
      <c r="BQ65" s="36"/>
      <c r="BR65" s="39"/>
      <c r="BS65" s="39"/>
      <c r="BT65" s="39"/>
      <c r="BU65" s="39"/>
      <c r="BV65" s="39"/>
      <c r="BW65" s="39"/>
      <c r="BX65" s="39"/>
      <c r="BY65" s="39"/>
      <c r="BZ65" s="39">
        <f t="shared" si="10"/>
        <v>0</v>
      </c>
      <c r="CA65" s="39">
        <f t="shared" si="11"/>
        <v>-375</v>
      </c>
      <c r="CB65" s="39">
        <f t="shared" si="12"/>
        <v>-55</v>
      </c>
      <c r="CC65" s="39">
        <f t="shared" si="13"/>
        <v>-29</v>
      </c>
      <c r="CD65" s="39">
        <f t="shared" si="14"/>
        <v>-459</v>
      </c>
      <c r="CE65" s="102">
        <f t="shared" si="15"/>
        <v>-1</v>
      </c>
      <c r="CF65" s="36" t="s">
        <v>296</v>
      </c>
      <c r="CG65" s="39" t="s">
        <v>229</v>
      </c>
      <c r="CH65" s="39"/>
      <c r="CI65" s="25">
        <v>1</v>
      </c>
    </row>
    <row r="66" spans="1:87" ht="24.75" customHeight="1">
      <c r="A66" s="36" t="s">
        <v>50</v>
      </c>
      <c r="B66" s="26">
        <v>48507</v>
      </c>
      <c r="C66" s="36" t="s">
        <v>2204</v>
      </c>
      <c r="D66" s="36" t="s">
        <v>45</v>
      </c>
      <c r="E66" s="39">
        <v>400</v>
      </c>
      <c r="F66" s="39" t="s">
        <v>65</v>
      </c>
      <c r="G66" s="36" t="s">
        <v>322</v>
      </c>
      <c r="H66" s="36" t="s">
        <v>2188</v>
      </c>
      <c r="I66" s="39">
        <v>315</v>
      </c>
      <c r="J66" s="39">
        <v>46</v>
      </c>
      <c r="K66" s="39">
        <v>24</v>
      </c>
      <c r="L66" s="39">
        <f t="shared" si="32"/>
        <v>385</v>
      </c>
      <c r="M66" s="117">
        <v>46257</v>
      </c>
      <c r="N66" s="117">
        <v>46265</v>
      </c>
      <c r="O66" s="39"/>
      <c r="P66" s="39"/>
      <c r="Q66" s="39"/>
      <c r="R66" s="39">
        <f t="shared" si="30"/>
        <v>0</v>
      </c>
      <c r="S66" s="39" t="s">
        <v>31</v>
      </c>
      <c r="T66" s="39"/>
      <c r="U66" s="39"/>
      <c r="V66" s="117" t="s">
        <v>3001</v>
      </c>
      <c r="W66" s="39">
        <f>361+27+52</f>
        <v>440</v>
      </c>
      <c r="X66" s="39"/>
      <c r="Y66" s="39"/>
      <c r="Z66" s="39"/>
      <c r="AA66" s="39"/>
      <c r="AB66" s="118">
        <f t="shared" si="31"/>
        <v>0</v>
      </c>
      <c r="AC66" s="39"/>
      <c r="AD66" s="39"/>
      <c r="AE66" s="39"/>
      <c r="AF66" s="39"/>
      <c r="AG66" s="39"/>
      <c r="AH66" s="39">
        <f t="shared" si="3"/>
        <v>0</v>
      </c>
      <c r="AI66" s="39"/>
      <c r="AJ66" s="39"/>
      <c r="AK66" s="39"/>
      <c r="AL66" s="39"/>
      <c r="AM66" s="39"/>
      <c r="AN66" s="39">
        <f t="shared" si="4"/>
        <v>0</v>
      </c>
      <c r="AO66" s="39"/>
      <c r="AP66" s="39"/>
      <c r="AQ66" s="39"/>
      <c r="AR66" s="39"/>
      <c r="AS66" s="39"/>
      <c r="AT66" s="39">
        <f t="shared" si="5"/>
        <v>0</v>
      </c>
      <c r="AU66" s="39"/>
      <c r="AV66" s="39"/>
      <c r="AW66" s="39"/>
      <c r="AX66" s="39"/>
      <c r="AY66" s="39"/>
      <c r="AZ66" s="39">
        <f t="shared" si="6"/>
        <v>0</v>
      </c>
      <c r="BA66" s="39"/>
      <c r="BB66" s="39"/>
      <c r="BC66" s="39"/>
      <c r="BD66" s="39"/>
      <c r="BE66" s="39"/>
      <c r="BF66" s="39">
        <f t="shared" si="7"/>
        <v>0</v>
      </c>
      <c r="BG66" s="39"/>
      <c r="BH66" s="39"/>
      <c r="BI66" s="39"/>
      <c r="BJ66" s="39"/>
      <c r="BK66" s="39"/>
      <c r="BL66" s="39">
        <f t="shared" si="8"/>
        <v>0</v>
      </c>
      <c r="BM66" s="54">
        <f t="shared" ca="1" si="9"/>
        <v>46283</v>
      </c>
      <c r="BN66" s="58">
        <v>46270</v>
      </c>
      <c r="BO66" s="57">
        <v>46284</v>
      </c>
      <c r="BP66" s="36"/>
      <c r="BQ66" s="36"/>
      <c r="BR66" s="39"/>
      <c r="BS66" s="39"/>
      <c r="BT66" s="39"/>
      <c r="BU66" s="39"/>
      <c r="BV66" s="39"/>
      <c r="BW66" s="39"/>
      <c r="BX66" s="39"/>
      <c r="BY66" s="39"/>
      <c r="BZ66" s="39">
        <f t="shared" si="10"/>
        <v>0</v>
      </c>
      <c r="CA66" s="39">
        <f t="shared" si="11"/>
        <v>-315</v>
      </c>
      <c r="CB66" s="39">
        <f t="shared" si="12"/>
        <v>-46</v>
      </c>
      <c r="CC66" s="39">
        <f t="shared" si="13"/>
        <v>-24</v>
      </c>
      <c r="CD66" s="39">
        <f t="shared" si="14"/>
        <v>-385</v>
      </c>
      <c r="CE66" s="102">
        <f t="shared" si="15"/>
        <v>-1</v>
      </c>
      <c r="CF66" s="36" t="s">
        <v>296</v>
      </c>
      <c r="CG66" s="39" t="s">
        <v>229</v>
      </c>
      <c r="CH66" s="39"/>
      <c r="CI66" s="25">
        <v>1</v>
      </c>
    </row>
    <row r="67" spans="1:87" ht="24.75" customHeight="1">
      <c r="A67" s="36" t="s">
        <v>50</v>
      </c>
      <c r="B67" s="26">
        <v>48508</v>
      </c>
      <c r="C67" s="36" t="s">
        <v>2212</v>
      </c>
      <c r="D67" s="36" t="s">
        <v>45</v>
      </c>
      <c r="E67" s="39">
        <v>400</v>
      </c>
      <c r="F67" s="39" t="s">
        <v>65</v>
      </c>
      <c r="G67" s="36" t="s">
        <v>322</v>
      </c>
      <c r="H67" s="36" t="s">
        <v>2188</v>
      </c>
      <c r="I67" s="39">
        <v>425</v>
      </c>
      <c r="J67" s="39">
        <v>55</v>
      </c>
      <c r="K67" s="39">
        <v>35</v>
      </c>
      <c r="L67" s="39">
        <f t="shared" si="32"/>
        <v>515</v>
      </c>
      <c r="M67" s="117">
        <v>46249</v>
      </c>
      <c r="N67" s="117">
        <v>46254</v>
      </c>
      <c r="O67" s="39"/>
      <c r="P67" s="39"/>
      <c r="Q67" s="39"/>
      <c r="R67" s="39">
        <f t="shared" si="30"/>
        <v>0</v>
      </c>
      <c r="S67" s="39" t="s">
        <v>31</v>
      </c>
      <c r="T67" s="39"/>
      <c r="U67" s="39"/>
      <c r="V67" s="117" t="s">
        <v>2905</v>
      </c>
      <c r="W67" s="39">
        <f>487+40+64</f>
        <v>591</v>
      </c>
      <c r="X67" s="39"/>
      <c r="Y67" s="39"/>
      <c r="Z67" s="39"/>
      <c r="AA67" s="39"/>
      <c r="AB67" s="118">
        <f t="shared" si="31"/>
        <v>0</v>
      </c>
      <c r="AC67" s="39"/>
      <c r="AD67" s="39"/>
      <c r="AE67" s="39"/>
      <c r="AF67" s="39"/>
      <c r="AG67" s="39"/>
      <c r="AH67" s="39">
        <f t="shared" si="3"/>
        <v>0</v>
      </c>
      <c r="AI67" s="39"/>
      <c r="AJ67" s="39"/>
      <c r="AK67" s="39"/>
      <c r="AL67" s="39"/>
      <c r="AM67" s="39"/>
      <c r="AN67" s="39">
        <f t="shared" si="4"/>
        <v>0</v>
      </c>
      <c r="AO67" s="39"/>
      <c r="AP67" s="39"/>
      <c r="AQ67" s="39"/>
      <c r="AR67" s="39"/>
      <c r="AS67" s="39"/>
      <c r="AT67" s="39">
        <f t="shared" si="5"/>
        <v>0</v>
      </c>
      <c r="AU67" s="39"/>
      <c r="AV67" s="39"/>
      <c r="AW67" s="39"/>
      <c r="AX67" s="39"/>
      <c r="AY67" s="39"/>
      <c r="AZ67" s="39">
        <f t="shared" si="6"/>
        <v>0</v>
      </c>
      <c r="BA67" s="39"/>
      <c r="BB67" s="39"/>
      <c r="BC67" s="39"/>
      <c r="BD67" s="39"/>
      <c r="BE67" s="39"/>
      <c r="BF67" s="39">
        <f t="shared" si="7"/>
        <v>0</v>
      </c>
      <c r="BG67" s="39"/>
      <c r="BH67" s="39"/>
      <c r="BI67" s="39"/>
      <c r="BJ67" s="39"/>
      <c r="BK67" s="39"/>
      <c r="BL67" s="39">
        <f t="shared" si="8"/>
        <v>0</v>
      </c>
      <c r="BM67" s="54">
        <f t="shared" ca="1" si="9"/>
        <v>46283</v>
      </c>
      <c r="BN67" s="58">
        <v>46267</v>
      </c>
      <c r="BO67" s="57">
        <v>46279</v>
      </c>
      <c r="BP67" s="36"/>
      <c r="BQ67" s="36"/>
      <c r="BR67" s="39"/>
      <c r="BS67" s="39"/>
      <c r="BT67" s="39"/>
      <c r="BU67" s="39"/>
      <c r="BV67" s="39"/>
      <c r="BW67" s="39"/>
      <c r="BX67" s="39"/>
      <c r="BY67" s="39"/>
      <c r="BZ67" s="39">
        <f t="shared" si="10"/>
        <v>0</v>
      </c>
      <c r="CA67" s="39">
        <f t="shared" si="11"/>
        <v>-425</v>
      </c>
      <c r="CB67" s="39">
        <f t="shared" si="12"/>
        <v>-55</v>
      </c>
      <c r="CC67" s="39">
        <f t="shared" si="13"/>
        <v>-35</v>
      </c>
      <c r="CD67" s="39">
        <f t="shared" si="14"/>
        <v>-515</v>
      </c>
      <c r="CE67" s="102">
        <f t="shared" si="15"/>
        <v>-1</v>
      </c>
      <c r="CF67" s="36" t="s">
        <v>296</v>
      </c>
      <c r="CG67" s="39" t="s">
        <v>229</v>
      </c>
      <c r="CH67" s="39"/>
      <c r="CI67" s="25">
        <v>1</v>
      </c>
    </row>
    <row r="68" spans="1:87" ht="24.75" customHeight="1">
      <c r="A68" s="36" t="s">
        <v>50</v>
      </c>
      <c r="B68" s="26">
        <v>48509</v>
      </c>
      <c r="C68" s="36" t="s">
        <v>2209</v>
      </c>
      <c r="D68" s="36" t="s">
        <v>45</v>
      </c>
      <c r="E68" s="39">
        <v>400</v>
      </c>
      <c r="F68" s="39" t="s">
        <v>65</v>
      </c>
      <c r="G68" s="36" t="s">
        <v>322</v>
      </c>
      <c r="H68" s="36" t="s">
        <v>2188</v>
      </c>
      <c r="I68" s="39">
        <f>303+31</f>
        <v>334</v>
      </c>
      <c r="J68" s="39">
        <v>45</v>
      </c>
      <c r="K68" s="39">
        <v>24</v>
      </c>
      <c r="L68" s="39">
        <f t="shared" ref="L68" si="33">SUM(I68:K68)</f>
        <v>403</v>
      </c>
      <c r="M68" s="117">
        <v>46259</v>
      </c>
      <c r="N68" s="117">
        <v>46264</v>
      </c>
      <c r="O68" s="39"/>
      <c r="P68" s="39"/>
      <c r="Q68" s="39"/>
      <c r="R68" s="39">
        <f t="shared" si="30"/>
        <v>0</v>
      </c>
      <c r="S68" s="39" t="s">
        <v>31</v>
      </c>
      <c r="T68" s="39"/>
      <c r="U68" s="39"/>
      <c r="V68" s="117" t="s">
        <v>2958</v>
      </c>
      <c r="W68" s="39">
        <f>383+29+52</f>
        <v>464</v>
      </c>
      <c r="X68" s="39"/>
      <c r="Y68" s="39"/>
      <c r="Z68" s="39"/>
      <c r="AA68" s="39"/>
      <c r="AB68" s="118">
        <f t="shared" si="31"/>
        <v>0</v>
      </c>
      <c r="AC68" s="39"/>
      <c r="AD68" s="39"/>
      <c r="AE68" s="39"/>
      <c r="AF68" s="39"/>
      <c r="AG68" s="39"/>
      <c r="AH68" s="39">
        <f t="shared" si="3"/>
        <v>0</v>
      </c>
      <c r="AI68" s="39"/>
      <c r="AJ68" s="39"/>
      <c r="AK68" s="39"/>
      <c r="AL68" s="39"/>
      <c r="AM68" s="39"/>
      <c r="AN68" s="39">
        <f t="shared" si="4"/>
        <v>0</v>
      </c>
      <c r="AO68" s="39"/>
      <c r="AP68" s="39"/>
      <c r="AQ68" s="39"/>
      <c r="AR68" s="39"/>
      <c r="AS68" s="39"/>
      <c r="AT68" s="39">
        <f t="shared" si="5"/>
        <v>0</v>
      </c>
      <c r="AU68" s="39"/>
      <c r="AV68" s="39"/>
      <c r="AW68" s="39"/>
      <c r="AX68" s="39"/>
      <c r="AY68" s="39"/>
      <c r="AZ68" s="39">
        <f t="shared" si="6"/>
        <v>0</v>
      </c>
      <c r="BA68" s="39"/>
      <c r="BB68" s="39"/>
      <c r="BC68" s="39"/>
      <c r="BD68" s="39"/>
      <c r="BE68" s="39"/>
      <c r="BF68" s="39">
        <f t="shared" si="7"/>
        <v>0</v>
      </c>
      <c r="BG68" s="39"/>
      <c r="BH68" s="39"/>
      <c r="BI68" s="39"/>
      <c r="BJ68" s="39"/>
      <c r="BK68" s="39"/>
      <c r="BL68" s="39">
        <f t="shared" si="8"/>
        <v>0</v>
      </c>
      <c r="BM68" s="54">
        <f t="shared" ca="1" si="9"/>
        <v>46283</v>
      </c>
      <c r="BN68" s="58">
        <v>46270</v>
      </c>
      <c r="BO68" s="57">
        <v>46284</v>
      </c>
      <c r="BP68" s="36"/>
      <c r="BQ68" s="36"/>
      <c r="BR68" s="39"/>
      <c r="BS68" s="39"/>
      <c r="BT68" s="39"/>
      <c r="BU68" s="39"/>
      <c r="BV68" s="39"/>
      <c r="BW68" s="39"/>
      <c r="BX68" s="39"/>
      <c r="BY68" s="39"/>
      <c r="BZ68" s="39">
        <f t="shared" si="10"/>
        <v>0</v>
      </c>
      <c r="CA68" s="39">
        <f t="shared" si="11"/>
        <v>-334</v>
      </c>
      <c r="CB68" s="39">
        <f t="shared" si="12"/>
        <v>-45</v>
      </c>
      <c r="CC68" s="39">
        <f t="shared" si="13"/>
        <v>-24</v>
      </c>
      <c r="CD68" s="39">
        <f t="shared" si="14"/>
        <v>-403</v>
      </c>
      <c r="CE68" s="102">
        <f t="shared" si="15"/>
        <v>-1</v>
      </c>
      <c r="CF68" s="36" t="s">
        <v>296</v>
      </c>
      <c r="CG68" s="39" t="s">
        <v>229</v>
      </c>
      <c r="CH68" s="39"/>
      <c r="CI68" s="25">
        <v>1</v>
      </c>
    </row>
    <row r="69" spans="1:87" ht="24.75" customHeight="1">
      <c r="A69" s="36" t="s">
        <v>50</v>
      </c>
      <c r="B69" s="26">
        <v>48510</v>
      </c>
      <c r="C69" s="36" t="s">
        <v>2211</v>
      </c>
      <c r="D69" s="36" t="s">
        <v>45</v>
      </c>
      <c r="E69" s="39">
        <v>400</v>
      </c>
      <c r="F69" s="39" t="s">
        <v>65</v>
      </c>
      <c r="G69" s="36" t="s">
        <v>2201</v>
      </c>
      <c r="H69" s="36" t="s">
        <v>2188</v>
      </c>
      <c r="I69" s="39">
        <v>316</v>
      </c>
      <c r="J69" s="39">
        <v>45</v>
      </c>
      <c r="K69" s="39">
        <v>24</v>
      </c>
      <c r="L69" s="39">
        <f t="shared" ref="L69:L85" si="34">SUM(I69:K69)</f>
        <v>385</v>
      </c>
      <c r="M69" s="117">
        <v>46259</v>
      </c>
      <c r="N69" s="117">
        <v>46266</v>
      </c>
      <c r="O69" s="39"/>
      <c r="P69" s="39"/>
      <c r="Q69" s="39"/>
      <c r="R69" s="39">
        <f t="shared" si="30"/>
        <v>0</v>
      </c>
      <c r="S69" s="39" t="s">
        <v>130</v>
      </c>
      <c r="T69" s="39">
        <v>109384</v>
      </c>
      <c r="U69" s="117">
        <v>46278</v>
      </c>
      <c r="V69" s="39"/>
      <c r="W69" s="39"/>
      <c r="X69" s="39"/>
      <c r="Y69" s="39">
        <v>368</v>
      </c>
      <c r="Z69" s="39"/>
      <c r="AA69" s="39"/>
      <c r="AB69" s="118">
        <f t="shared" si="31"/>
        <v>368</v>
      </c>
      <c r="AC69" s="39"/>
      <c r="AD69" s="39"/>
      <c r="AE69" s="39"/>
      <c r="AF69" s="39"/>
      <c r="AG69" s="39"/>
      <c r="AH69" s="39">
        <f t="shared" si="3"/>
        <v>0</v>
      </c>
      <c r="AI69" s="39"/>
      <c r="AJ69" s="39"/>
      <c r="AK69" s="39"/>
      <c r="AL69" s="39"/>
      <c r="AM69" s="39"/>
      <c r="AN69" s="39">
        <f t="shared" si="4"/>
        <v>0</v>
      </c>
      <c r="AO69" s="39" t="s">
        <v>280</v>
      </c>
      <c r="AP69" s="117">
        <v>46280</v>
      </c>
      <c r="AQ69" s="39">
        <v>340</v>
      </c>
      <c r="AR69" s="117">
        <v>46281</v>
      </c>
      <c r="AS69" s="39">
        <f>14</f>
        <v>14</v>
      </c>
      <c r="AT69" s="39">
        <f t="shared" si="5"/>
        <v>-326</v>
      </c>
      <c r="AU69" s="39" t="s">
        <v>257</v>
      </c>
      <c r="AV69" s="117">
        <v>46281</v>
      </c>
      <c r="AW69" s="39">
        <f>14</f>
        <v>14</v>
      </c>
      <c r="AX69" s="117">
        <v>46281</v>
      </c>
      <c r="AY69" s="39">
        <f>13</f>
        <v>13</v>
      </c>
      <c r="AZ69" s="39">
        <f t="shared" si="6"/>
        <v>-1</v>
      </c>
      <c r="BA69" s="39"/>
      <c r="BB69" s="39"/>
      <c r="BC69" s="39"/>
      <c r="BD69" s="39"/>
      <c r="BE69" s="39"/>
      <c r="BF69" s="39">
        <f t="shared" si="7"/>
        <v>0</v>
      </c>
      <c r="BG69" s="39"/>
      <c r="BH69" s="39"/>
      <c r="BI69" s="39"/>
      <c r="BJ69" s="39"/>
      <c r="BK69" s="39"/>
      <c r="BL69" s="39">
        <f t="shared" si="8"/>
        <v>0</v>
      </c>
      <c r="BM69" s="54">
        <f t="shared" ca="1" si="9"/>
        <v>5</v>
      </c>
      <c r="BN69" s="58">
        <v>46270</v>
      </c>
      <c r="BO69" s="57">
        <v>46284</v>
      </c>
      <c r="BP69" s="36"/>
      <c r="BQ69" s="36"/>
      <c r="BR69" s="39"/>
      <c r="BS69" s="39"/>
      <c r="BT69" s="39"/>
      <c r="BU69" s="39"/>
      <c r="BV69" s="39"/>
      <c r="BW69" s="39"/>
      <c r="BX69" s="39"/>
      <c r="BY69" s="39"/>
      <c r="BZ69" s="39">
        <f t="shared" si="10"/>
        <v>0</v>
      </c>
      <c r="CA69" s="39">
        <f t="shared" si="11"/>
        <v>-316</v>
      </c>
      <c r="CB69" s="39">
        <f t="shared" si="12"/>
        <v>-45</v>
      </c>
      <c r="CC69" s="39">
        <f t="shared" si="13"/>
        <v>-24</v>
      </c>
      <c r="CD69" s="39">
        <f t="shared" si="14"/>
        <v>-385</v>
      </c>
      <c r="CE69" s="102">
        <f t="shared" si="15"/>
        <v>-1</v>
      </c>
      <c r="CF69" s="36" t="s">
        <v>296</v>
      </c>
      <c r="CG69" s="39" t="s">
        <v>229</v>
      </c>
      <c r="CH69" s="39"/>
      <c r="CI69" s="25">
        <v>1</v>
      </c>
    </row>
    <row r="70" spans="1:87" ht="24.75" customHeight="1">
      <c r="A70" s="36" t="s">
        <v>50</v>
      </c>
      <c r="B70" s="26">
        <v>48511</v>
      </c>
      <c r="C70" s="36" t="s">
        <v>2206</v>
      </c>
      <c r="D70" s="36" t="s">
        <v>45</v>
      </c>
      <c r="E70" s="39">
        <v>400</v>
      </c>
      <c r="F70" s="39" t="s">
        <v>65</v>
      </c>
      <c r="G70" s="36" t="s">
        <v>322</v>
      </c>
      <c r="H70" s="36" t="s">
        <v>2188</v>
      </c>
      <c r="I70" s="39">
        <v>1215</v>
      </c>
      <c r="J70" s="39">
        <v>178</v>
      </c>
      <c r="K70" s="39">
        <v>93</v>
      </c>
      <c r="L70" s="39">
        <f t="shared" si="34"/>
        <v>1486</v>
      </c>
      <c r="M70" s="117">
        <v>46256</v>
      </c>
      <c r="N70" s="117">
        <v>46265</v>
      </c>
      <c r="O70" s="39"/>
      <c r="P70" s="39"/>
      <c r="Q70" s="39"/>
      <c r="R70" s="39">
        <f t="shared" si="30"/>
        <v>0</v>
      </c>
      <c r="S70" s="39" t="s">
        <v>31</v>
      </c>
      <c r="T70" s="39"/>
      <c r="U70" s="39"/>
      <c r="V70" s="117">
        <v>46279</v>
      </c>
      <c r="W70" s="39">
        <f>1390+204+105</f>
        <v>1699</v>
      </c>
      <c r="X70" s="39"/>
      <c r="Y70" s="39"/>
      <c r="Z70" s="39"/>
      <c r="AA70" s="39"/>
      <c r="AB70" s="118">
        <f t="shared" si="31"/>
        <v>0</v>
      </c>
      <c r="AC70" s="39"/>
      <c r="AD70" s="39"/>
      <c r="AE70" s="39"/>
      <c r="AF70" s="39"/>
      <c r="AG70" s="39"/>
      <c r="AH70" s="39">
        <f t="shared" si="3"/>
        <v>0</v>
      </c>
      <c r="AI70" s="39"/>
      <c r="AJ70" s="39"/>
      <c r="AK70" s="39"/>
      <c r="AL70" s="39"/>
      <c r="AM70" s="39"/>
      <c r="AN70" s="39">
        <f t="shared" si="4"/>
        <v>0</v>
      </c>
      <c r="AO70" s="39"/>
      <c r="AP70" s="39"/>
      <c r="AQ70" s="39"/>
      <c r="AR70" s="39"/>
      <c r="AS70" s="39"/>
      <c r="AT70" s="39">
        <f t="shared" si="5"/>
        <v>0</v>
      </c>
      <c r="AU70" s="39"/>
      <c r="AV70" s="39"/>
      <c r="AW70" s="39"/>
      <c r="AX70" s="39"/>
      <c r="AY70" s="39"/>
      <c r="AZ70" s="39">
        <f t="shared" si="6"/>
        <v>0</v>
      </c>
      <c r="BA70" s="39"/>
      <c r="BB70" s="39"/>
      <c r="BC70" s="39"/>
      <c r="BD70" s="39"/>
      <c r="BE70" s="39"/>
      <c r="BF70" s="39">
        <f t="shared" si="7"/>
        <v>0</v>
      </c>
      <c r="BG70" s="39"/>
      <c r="BH70" s="39"/>
      <c r="BI70" s="39"/>
      <c r="BJ70" s="39"/>
      <c r="BK70" s="39"/>
      <c r="BL70" s="39">
        <f t="shared" si="8"/>
        <v>0</v>
      </c>
      <c r="BM70" s="54">
        <f t="shared" ca="1" si="9"/>
        <v>46283</v>
      </c>
      <c r="BN70" s="58">
        <v>46269</v>
      </c>
      <c r="BO70" s="57">
        <v>46284</v>
      </c>
      <c r="BP70" s="36"/>
      <c r="BQ70" s="36"/>
      <c r="BR70" s="39"/>
      <c r="BS70" s="39"/>
      <c r="BT70" s="39"/>
      <c r="BU70" s="39"/>
      <c r="BV70" s="39"/>
      <c r="BW70" s="39"/>
      <c r="BX70" s="39"/>
      <c r="BY70" s="39"/>
      <c r="BZ70" s="39">
        <f t="shared" si="10"/>
        <v>0</v>
      </c>
      <c r="CA70" s="39">
        <f t="shared" si="11"/>
        <v>-1215</v>
      </c>
      <c r="CB70" s="39">
        <f t="shared" si="12"/>
        <v>-178</v>
      </c>
      <c r="CC70" s="39">
        <f t="shared" si="13"/>
        <v>-93</v>
      </c>
      <c r="CD70" s="39">
        <f t="shared" si="14"/>
        <v>-1486</v>
      </c>
      <c r="CE70" s="102">
        <f t="shared" si="15"/>
        <v>-1</v>
      </c>
      <c r="CF70" s="36" t="s">
        <v>296</v>
      </c>
      <c r="CG70" s="39" t="s">
        <v>229</v>
      </c>
      <c r="CH70" s="39"/>
      <c r="CI70" s="25">
        <v>1</v>
      </c>
    </row>
    <row r="71" spans="1:87" ht="24.75" customHeight="1">
      <c r="A71" s="36" t="s">
        <v>50</v>
      </c>
      <c r="B71" s="26">
        <v>48512</v>
      </c>
      <c r="C71" s="36">
        <v>13269387</v>
      </c>
      <c r="D71" s="36"/>
      <c r="E71" s="39">
        <v>180</v>
      </c>
      <c r="F71" s="39" t="s">
        <v>54</v>
      </c>
      <c r="G71" s="36" t="s">
        <v>310</v>
      </c>
      <c r="H71" s="36" t="s">
        <v>22</v>
      </c>
      <c r="I71" s="39">
        <v>100</v>
      </c>
      <c r="J71" s="39">
        <v>6</v>
      </c>
      <c r="K71" s="39"/>
      <c r="L71" s="39">
        <f t="shared" si="34"/>
        <v>106</v>
      </c>
      <c r="M71" s="117">
        <v>46254</v>
      </c>
      <c r="N71" s="117">
        <v>46258</v>
      </c>
      <c r="O71" s="39"/>
      <c r="P71" s="39"/>
      <c r="Q71" s="39"/>
      <c r="R71" s="39">
        <f t="shared" si="30"/>
        <v>0</v>
      </c>
      <c r="S71" s="39" t="s">
        <v>28</v>
      </c>
      <c r="T71" s="39"/>
      <c r="U71" s="39"/>
      <c r="V71" s="117">
        <v>46259</v>
      </c>
      <c r="W71" s="39">
        <f>118+8</f>
        <v>126</v>
      </c>
      <c r="X71" s="117">
        <v>46274</v>
      </c>
      <c r="Y71" s="39">
        <v>103</v>
      </c>
      <c r="Z71" s="39">
        <v>9</v>
      </c>
      <c r="AA71" s="39"/>
      <c r="AB71" s="119">
        <f t="shared" si="31"/>
        <v>112</v>
      </c>
      <c r="AC71" s="39"/>
      <c r="AD71" s="39"/>
      <c r="AE71" s="39"/>
      <c r="AF71" s="39"/>
      <c r="AG71" s="39"/>
      <c r="AH71" s="39">
        <f t="shared" si="3"/>
        <v>0</v>
      </c>
      <c r="AI71" s="39"/>
      <c r="AJ71" s="39"/>
      <c r="AK71" s="39"/>
      <c r="AL71" s="39"/>
      <c r="AM71" s="39"/>
      <c r="AN71" s="39">
        <f t="shared" si="4"/>
        <v>0</v>
      </c>
      <c r="AO71" s="39"/>
      <c r="AP71" s="39"/>
      <c r="AQ71" s="39"/>
      <c r="AR71" s="39"/>
      <c r="AS71" s="39"/>
      <c r="AT71" s="39">
        <f t="shared" si="5"/>
        <v>0</v>
      </c>
      <c r="AU71" s="39"/>
      <c r="AV71" s="39"/>
      <c r="AW71" s="39"/>
      <c r="AX71" s="39"/>
      <c r="AY71" s="39"/>
      <c r="AZ71" s="39">
        <f t="shared" si="6"/>
        <v>0</v>
      </c>
      <c r="BA71" s="39"/>
      <c r="BB71" s="39"/>
      <c r="BC71" s="39"/>
      <c r="BD71" s="39"/>
      <c r="BE71" s="39"/>
      <c r="BF71" s="39">
        <f t="shared" si="7"/>
        <v>0</v>
      </c>
      <c r="BG71" s="39"/>
      <c r="BH71" s="39"/>
      <c r="BI71" s="39"/>
      <c r="BJ71" s="39"/>
      <c r="BK71" s="39"/>
      <c r="BL71" s="39">
        <f t="shared" si="8"/>
        <v>0</v>
      </c>
      <c r="BM71" s="54" t="str">
        <f t="shared" si="9"/>
        <v/>
      </c>
      <c r="BN71" s="58">
        <v>46270</v>
      </c>
      <c r="BO71" s="57">
        <v>46282</v>
      </c>
      <c r="BP71" s="36"/>
      <c r="BQ71" s="36"/>
      <c r="BR71" s="117">
        <v>46272</v>
      </c>
      <c r="BS71" s="117">
        <v>46272</v>
      </c>
      <c r="BT71" s="39">
        <v>855</v>
      </c>
      <c r="BU71" s="39">
        <v>103</v>
      </c>
      <c r="BV71" s="39">
        <v>964</v>
      </c>
      <c r="BW71" s="39">
        <v>9</v>
      </c>
      <c r="BX71" s="39"/>
      <c r="BY71" s="39"/>
      <c r="BZ71" s="39">
        <f t="shared" si="10"/>
        <v>112</v>
      </c>
      <c r="CA71" s="39">
        <f t="shared" si="11"/>
        <v>3</v>
      </c>
      <c r="CB71" s="39">
        <f t="shared" si="12"/>
        <v>3</v>
      </c>
      <c r="CC71" s="39">
        <f t="shared" si="13"/>
        <v>0</v>
      </c>
      <c r="CD71" s="39">
        <f t="shared" si="14"/>
        <v>0</v>
      </c>
      <c r="CE71" s="102">
        <f t="shared" si="15"/>
        <v>0</v>
      </c>
      <c r="CF71" s="36" t="s">
        <v>296</v>
      </c>
      <c r="CG71" s="39" t="s">
        <v>229</v>
      </c>
      <c r="CH71" s="39"/>
      <c r="CI71" s="25">
        <v>1</v>
      </c>
    </row>
    <row r="72" spans="1:87" ht="24.75" customHeight="1">
      <c r="A72" s="36" t="s">
        <v>50</v>
      </c>
      <c r="B72" s="26">
        <v>48513</v>
      </c>
      <c r="C72" s="36">
        <v>13269383</v>
      </c>
      <c r="D72" s="36"/>
      <c r="E72" s="39">
        <v>180</v>
      </c>
      <c r="F72" s="39" t="s">
        <v>54</v>
      </c>
      <c r="G72" s="36" t="s">
        <v>93</v>
      </c>
      <c r="H72" s="36" t="s">
        <v>22</v>
      </c>
      <c r="I72" s="39">
        <v>84</v>
      </c>
      <c r="J72" s="39">
        <v>5</v>
      </c>
      <c r="K72" s="39"/>
      <c r="L72" s="39">
        <f t="shared" si="34"/>
        <v>89</v>
      </c>
      <c r="M72" s="117">
        <v>46251</v>
      </c>
      <c r="N72" s="117">
        <v>46254</v>
      </c>
      <c r="O72" s="39"/>
      <c r="P72" s="39"/>
      <c r="Q72" s="39"/>
      <c r="R72" s="39">
        <f t="shared" si="30"/>
        <v>0</v>
      </c>
      <c r="S72" s="39" t="s">
        <v>130</v>
      </c>
      <c r="T72" s="39">
        <v>108774</v>
      </c>
      <c r="U72" s="117">
        <v>46256</v>
      </c>
      <c r="V72" s="39"/>
      <c r="W72" s="39"/>
      <c r="X72" s="39"/>
      <c r="Y72" s="39">
        <v>103</v>
      </c>
      <c r="Z72" s="39">
        <v>8</v>
      </c>
      <c r="AA72" s="39"/>
      <c r="AB72" s="119">
        <f t="shared" si="31"/>
        <v>111</v>
      </c>
      <c r="AC72" s="39"/>
      <c r="AD72" s="39"/>
      <c r="AE72" s="39"/>
      <c r="AF72" s="39"/>
      <c r="AG72" s="39"/>
      <c r="AH72" s="39">
        <f t="shared" si="3"/>
        <v>0</v>
      </c>
      <c r="AI72" s="39"/>
      <c r="AJ72" s="39"/>
      <c r="AK72" s="39"/>
      <c r="AL72" s="39"/>
      <c r="AM72" s="39"/>
      <c r="AN72" s="39">
        <f t="shared" si="4"/>
        <v>0</v>
      </c>
      <c r="AO72" s="39"/>
      <c r="AP72" s="39"/>
      <c r="AQ72" s="39"/>
      <c r="AR72" s="39"/>
      <c r="AS72" s="39"/>
      <c r="AT72" s="39">
        <f t="shared" si="5"/>
        <v>0</v>
      </c>
      <c r="AU72" s="39"/>
      <c r="AV72" s="39"/>
      <c r="AW72" s="39"/>
      <c r="AX72" s="39"/>
      <c r="AY72" s="39"/>
      <c r="AZ72" s="39">
        <f t="shared" si="6"/>
        <v>0</v>
      </c>
      <c r="BA72" s="39"/>
      <c r="BB72" s="39"/>
      <c r="BC72" s="39"/>
      <c r="BD72" s="39"/>
      <c r="BE72" s="39"/>
      <c r="BF72" s="39">
        <f t="shared" si="7"/>
        <v>0</v>
      </c>
      <c r="BG72" s="39"/>
      <c r="BH72" s="39"/>
      <c r="BI72" s="39"/>
      <c r="BJ72" s="39"/>
      <c r="BK72" s="39"/>
      <c r="BL72" s="39">
        <f t="shared" si="8"/>
        <v>0</v>
      </c>
      <c r="BM72" s="54" t="str">
        <f t="shared" si="9"/>
        <v/>
      </c>
      <c r="BN72" s="58">
        <v>46266</v>
      </c>
      <c r="BO72" s="57">
        <v>46277</v>
      </c>
      <c r="BP72" s="36"/>
      <c r="BQ72" s="36"/>
      <c r="BR72" s="57">
        <v>46272</v>
      </c>
      <c r="BS72" s="57">
        <v>46272</v>
      </c>
      <c r="BT72" s="39">
        <v>765</v>
      </c>
      <c r="BU72" s="39">
        <v>83</v>
      </c>
      <c r="BV72" s="39">
        <v>765</v>
      </c>
      <c r="BW72" s="39">
        <v>6</v>
      </c>
      <c r="BX72" s="39"/>
      <c r="BY72" s="39"/>
      <c r="BZ72" s="39">
        <f t="shared" si="10"/>
        <v>89</v>
      </c>
      <c r="CA72" s="39">
        <f t="shared" si="11"/>
        <v>-1</v>
      </c>
      <c r="CB72" s="39">
        <f t="shared" si="12"/>
        <v>1</v>
      </c>
      <c r="CC72" s="39">
        <f t="shared" si="13"/>
        <v>0</v>
      </c>
      <c r="CD72" s="39">
        <v>0</v>
      </c>
      <c r="CE72" s="102">
        <f t="shared" si="15"/>
        <v>0</v>
      </c>
      <c r="CF72" s="36" t="s">
        <v>296</v>
      </c>
      <c r="CG72" s="39" t="s">
        <v>229</v>
      </c>
      <c r="CH72" s="39"/>
      <c r="CI72" s="25">
        <v>1</v>
      </c>
    </row>
    <row r="73" spans="1:87" ht="24.75" customHeight="1">
      <c r="A73" s="36" t="s">
        <v>50</v>
      </c>
      <c r="B73" s="26">
        <v>48514</v>
      </c>
      <c r="C73" s="36">
        <v>13269382</v>
      </c>
      <c r="D73" s="36"/>
      <c r="E73" s="39">
        <v>180</v>
      </c>
      <c r="F73" s="39" t="s">
        <v>54</v>
      </c>
      <c r="G73" s="36" t="s">
        <v>310</v>
      </c>
      <c r="H73" s="36" t="s">
        <v>22</v>
      </c>
      <c r="I73" s="39">
        <v>135</v>
      </c>
      <c r="J73" s="39">
        <v>8</v>
      </c>
      <c r="K73" s="39"/>
      <c r="L73" s="39">
        <f t="shared" si="34"/>
        <v>143</v>
      </c>
      <c r="M73" s="117">
        <v>46251</v>
      </c>
      <c r="N73" s="117">
        <v>46254</v>
      </c>
      <c r="O73" s="39"/>
      <c r="P73" s="39"/>
      <c r="Q73" s="39"/>
      <c r="R73" s="39">
        <f t="shared" si="30"/>
        <v>0</v>
      </c>
      <c r="S73" s="39" t="s">
        <v>28</v>
      </c>
      <c r="T73" s="39"/>
      <c r="U73" s="39"/>
      <c r="V73" s="117">
        <v>46252</v>
      </c>
      <c r="W73" s="39">
        <f>158+10</f>
        <v>168</v>
      </c>
      <c r="X73" s="117">
        <v>46258</v>
      </c>
      <c r="Y73" s="39">
        <v>144</v>
      </c>
      <c r="Z73" s="39">
        <v>10</v>
      </c>
      <c r="AA73" s="39"/>
      <c r="AB73" s="119">
        <f t="shared" si="31"/>
        <v>154</v>
      </c>
      <c r="AC73" s="39"/>
      <c r="AD73" s="39"/>
      <c r="AE73" s="39"/>
      <c r="AF73" s="39"/>
      <c r="AG73" s="39"/>
      <c r="AH73" s="39">
        <f t="shared" si="3"/>
        <v>0</v>
      </c>
      <c r="AI73" s="39"/>
      <c r="AJ73" s="39"/>
      <c r="AK73" s="39"/>
      <c r="AL73" s="39"/>
      <c r="AM73" s="39"/>
      <c r="AN73" s="39">
        <f t="shared" si="4"/>
        <v>0</v>
      </c>
      <c r="AO73" s="39"/>
      <c r="AP73" s="39"/>
      <c r="AQ73" s="39"/>
      <c r="AR73" s="39"/>
      <c r="AS73" s="39"/>
      <c r="AT73" s="39">
        <f t="shared" si="5"/>
        <v>0</v>
      </c>
      <c r="AU73" s="39"/>
      <c r="AV73" s="39"/>
      <c r="AW73" s="39"/>
      <c r="AX73" s="39"/>
      <c r="AY73" s="39"/>
      <c r="AZ73" s="39">
        <f t="shared" si="6"/>
        <v>0</v>
      </c>
      <c r="BA73" s="39"/>
      <c r="BB73" s="39"/>
      <c r="BC73" s="39"/>
      <c r="BD73" s="39"/>
      <c r="BE73" s="39"/>
      <c r="BF73" s="39">
        <f t="shared" si="7"/>
        <v>0</v>
      </c>
      <c r="BG73" s="39"/>
      <c r="BH73" s="39"/>
      <c r="BI73" s="39"/>
      <c r="BJ73" s="39"/>
      <c r="BK73" s="39"/>
      <c r="BL73" s="39">
        <f t="shared" si="8"/>
        <v>0</v>
      </c>
      <c r="BM73" s="54" t="str">
        <f t="shared" si="9"/>
        <v/>
      </c>
      <c r="BN73" s="58">
        <v>46266</v>
      </c>
      <c r="BO73" s="57">
        <v>46277</v>
      </c>
      <c r="BP73" s="36"/>
      <c r="BQ73" s="36"/>
      <c r="BR73" s="117">
        <v>46258</v>
      </c>
      <c r="BS73" s="117">
        <v>46258</v>
      </c>
      <c r="BT73" s="39">
        <v>1989</v>
      </c>
      <c r="BU73" s="39">
        <v>144</v>
      </c>
      <c r="BV73" s="39">
        <v>1989</v>
      </c>
      <c r="BW73" s="39">
        <v>10</v>
      </c>
      <c r="BX73" s="39"/>
      <c r="BY73" s="39"/>
      <c r="BZ73" s="39">
        <f t="shared" si="10"/>
        <v>154</v>
      </c>
      <c r="CA73" s="39">
        <f t="shared" si="11"/>
        <v>9</v>
      </c>
      <c r="CB73" s="39">
        <f t="shared" si="12"/>
        <v>2</v>
      </c>
      <c r="CC73" s="39">
        <f t="shared" si="13"/>
        <v>0</v>
      </c>
      <c r="CD73" s="39">
        <f t="shared" si="14"/>
        <v>0</v>
      </c>
      <c r="CE73" s="102">
        <f t="shared" si="15"/>
        <v>0</v>
      </c>
      <c r="CF73" s="36" t="s">
        <v>296</v>
      </c>
      <c r="CG73" s="39" t="s">
        <v>229</v>
      </c>
      <c r="CH73" s="39"/>
      <c r="CI73" s="25">
        <v>1</v>
      </c>
    </row>
    <row r="74" spans="1:87" ht="24.75" customHeight="1">
      <c r="A74" s="36" t="s">
        <v>50</v>
      </c>
      <c r="B74" s="26">
        <v>48515</v>
      </c>
      <c r="C74" s="36">
        <v>13269386</v>
      </c>
      <c r="D74" s="36"/>
      <c r="E74" s="39">
        <v>180</v>
      </c>
      <c r="F74" s="39" t="s">
        <v>54</v>
      </c>
      <c r="G74" s="36" t="s">
        <v>310</v>
      </c>
      <c r="H74" s="36" t="s">
        <v>22</v>
      </c>
      <c r="I74" s="39">
        <v>102</v>
      </c>
      <c r="J74" s="39">
        <v>6</v>
      </c>
      <c r="K74" s="39"/>
      <c r="L74" s="39">
        <f t="shared" si="34"/>
        <v>108</v>
      </c>
      <c r="M74" s="117">
        <v>46251</v>
      </c>
      <c r="N74" s="117">
        <v>46254</v>
      </c>
      <c r="O74" s="39"/>
      <c r="P74" s="39"/>
      <c r="Q74" s="39"/>
      <c r="R74" s="39">
        <f t="shared" si="30"/>
        <v>0</v>
      </c>
      <c r="S74" s="39" t="s">
        <v>28</v>
      </c>
      <c r="T74" s="39"/>
      <c r="U74" s="39"/>
      <c r="V74" s="117">
        <v>46252</v>
      </c>
      <c r="W74" s="39">
        <f>120+8</f>
        <v>128</v>
      </c>
      <c r="X74" s="117" t="s">
        <v>2533</v>
      </c>
      <c r="Y74" s="39">
        <v>109</v>
      </c>
      <c r="Z74" s="39">
        <v>7</v>
      </c>
      <c r="AA74" s="39"/>
      <c r="AB74" s="119">
        <f t="shared" si="31"/>
        <v>116</v>
      </c>
      <c r="AC74" s="39"/>
      <c r="AD74" s="39"/>
      <c r="AE74" s="39"/>
      <c r="AF74" s="39"/>
      <c r="AG74" s="39"/>
      <c r="AH74" s="39">
        <f t="shared" si="3"/>
        <v>0</v>
      </c>
      <c r="AI74" s="39"/>
      <c r="AJ74" s="39"/>
      <c r="AK74" s="39"/>
      <c r="AL74" s="39"/>
      <c r="AM74" s="39"/>
      <c r="AN74" s="39">
        <f t="shared" si="4"/>
        <v>0</v>
      </c>
      <c r="AO74" s="39"/>
      <c r="AP74" s="39"/>
      <c r="AQ74" s="39"/>
      <c r="AR74" s="39"/>
      <c r="AS74" s="39"/>
      <c r="AT74" s="39">
        <f t="shared" si="5"/>
        <v>0</v>
      </c>
      <c r="AU74" s="39"/>
      <c r="AV74" s="39"/>
      <c r="AW74" s="39"/>
      <c r="AX74" s="39"/>
      <c r="AY74" s="39"/>
      <c r="AZ74" s="39">
        <f t="shared" si="6"/>
        <v>0</v>
      </c>
      <c r="BA74" s="39"/>
      <c r="BB74" s="39"/>
      <c r="BC74" s="39"/>
      <c r="BD74" s="39"/>
      <c r="BE74" s="39"/>
      <c r="BF74" s="39">
        <f t="shared" si="7"/>
        <v>0</v>
      </c>
      <c r="BG74" s="39"/>
      <c r="BH74" s="39"/>
      <c r="BI74" s="39"/>
      <c r="BJ74" s="39"/>
      <c r="BK74" s="39"/>
      <c r="BL74" s="39">
        <f t="shared" si="8"/>
        <v>0</v>
      </c>
      <c r="BM74" s="54" t="str">
        <f t="shared" si="9"/>
        <v/>
      </c>
      <c r="BN74" s="58">
        <v>46266</v>
      </c>
      <c r="BO74" s="57">
        <v>46277</v>
      </c>
      <c r="BP74" s="36"/>
      <c r="BQ74" s="36"/>
      <c r="BR74" s="117">
        <v>46256</v>
      </c>
      <c r="BS74" s="117">
        <v>46258</v>
      </c>
      <c r="BT74" s="39">
        <v>583</v>
      </c>
      <c r="BU74" s="39">
        <v>109</v>
      </c>
      <c r="BV74" s="39">
        <v>1989</v>
      </c>
      <c r="BW74" s="39">
        <v>7</v>
      </c>
      <c r="BX74" s="39"/>
      <c r="BY74" s="39"/>
      <c r="BZ74" s="39">
        <f t="shared" si="10"/>
        <v>116</v>
      </c>
      <c r="CA74" s="39">
        <f t="shared" si="11"/>
        <v>7</v>
      </c>
      <c r="CB74" s="39">
        <f t="shared" si="12"/>
        <v>1</v>
      </c>
      <c r="CC74" s="39">
        <f t="shared" si="13"/>
        <v>0</v>
      </c>
      <c r="CD74" s="39">
        <f t="shared" si="14"/>
        <v>0</v>
      </c>
      <c r="CE74" s="102">
        <f t="shared" si="15"/>
        <v>0</v>
      </c>
      <c r="CF74" s="36" t="s">
        <v>296</v>
      </c>
      <c r="CG74" s="39" t="s">
        <v>229</v>
      </c>
      <c r="CH74" s="39"/>
      <c r="CI74" s="25">
        <v>1</v>
      </c>
    </row>
    <row r="75" spans="1:87" ht="24.75" customHeight="1">
      <c r="A75" s="36" t="s">
        <v>50</v>
      </c>
      <c r="B75" s="26">
        <v>48516</v>
      </c>
      <c r="C75" s="36">
        <v>13269384</v>
      </c>
      <c r="D75" s="36"/>
      <c r="E75" s="39">
        <v>180</v>
      </c>
      <c r="F75" s="39" t="s">
        <v>54</v>
      </c>
      <c r="G75" s="36" t="s">
        <v>310</v>
      </c>
      <c r="H75" s="36" t="s">
        <v>22</v>
      </c>
      <c r="I75" s="39">
        <v>102</v>
      </c>
      <c r="J75" s="39">
        <v>6</v>
      </c>
      <c r="K75" s="39"/>
      <c r="L75" s="39">
        <f t="shared" si="34"/>
        <v>108</v>
      </c>
      <c r="M75" s="117">
        <v>46251</v>
      </c>
      <c r="N75" s="117">
        <v>46254</v>
      </c>
      <c r="O75" s="39"/>
      <c r="P75" s="39"/>
      <c r="Q75" s="39"/>
      <c r="R75" s="39">
        <f t="shared" si="30"/>
        <v>0</v>
      </c>
      <c r="S75" s="39" t="s">
        <v>28</v>
      </c>
      <c r="T75" s="39"/>
      <c r="U75" s="39"/>
      <c r="V75" s="117">
        <v>46252</v>
      </c>
      <c r="W75" s="39">
        <f>120+8</f>
        <v>128</v>
      </c>
      <c r="X75" s="117" t="s">
        <v>2533</v>
      </c>
      <c r="Y75" s="39">
        <v>109</v>
      </c>
      <c r="Z75" s="39">
        <v>7</v>
      </c>
      <c r="AA75" s="39"/>
      <c r="AB75" s="119">
        <f t="shared" si="31"/>
        <v>116</v>
      </c>
      <c r="AC75" s="39"/>
      <c r="AD75" s="39"/>
      <c r="AE75" s="39"/>
      <c r="AF75" s="39"/>
      <c r="AG75" s="39"/>
      <c r="AH75" s="39">
        <f t="shared" si="3"/>
        <v>0</v>
      </c>
      <c r="AI75" s="39"/>
      <c r="AJ75" s="39"/>
      <c r="AK75" s="39"/>
      <c r="AL75" s="39"/>
      <c r="AM75" s="39"/>
      <c r="AN75" s="39">
        <f t="shared" si="4"/>
        <v>0</v>
      </c>
      <c r="AO75" s="39"/>
      <c r="AP75" s="39"/>
      <c r="AQ75" s="39"/>
      <c r="AR75" s="39"/>
      <c r="AS75" s="39"/>
      <c r="AT75" s="39">
        <f t="shared" si="5"/>
        <v>0</v>
      </c>
      <c r="AU75" s="39"/>
      <c r="AV75" s="39"/>
      <c r="AW75" s="39"/>
      <c r="AX75" s="39"/>
      <c r="AY75" s="39"/>
      <c r="AZ75" s="39">
        <f t="shared" si="6"/>
        <v>0</v>
      </c>
      <c r="BA75" s="39"/>
      <c r="BB75" s="39"/>
      <c r="BC75" s="39"/>
      <c r="BD75" s="39"/>
      <c r="BE75" s="39"/>
      <c r="BF75" s="39">
        <f t="shared" si="7"/>
        <v>0</v>
      </c>
      <c r="BG75" s="39"/>
      <c r="BH75" s="39"/>
      <c r="BI75" s="39"/>
      <c r="BJ75" s="39"/>
      <c r="BK75" s="39"/>
      <c r="BL75" s="39">
        <f t="shared" si="8"/>
        <v>0</v>
      </c>
      <c r="BM75" s="54" t="str">
        <f t="shared" si="9"/>
        <v/>
      </c>
      <c r="BN75" s="58">
        <v>46267</v>
      </c>
      <c r="BO75" s="57">
        <v>46279</v>
      </c>
      <c r="BP75" s="36"/>
      <c r="BQ75" s="36"/>
      <c r="BR75" s="117">
        <v>46256</v>
      </c>
      <c r="BS75" s="117">
        <v>46258</v>
      </c>
      <c r="BT75" s="39">
        <v>583</v>
      </c>
      <c r="BU75" s="39">
        <v>109</v>
      </c>
      <c r="BV75" s="39">
        <v>1989</v>
      </c>
      <c r="BW75" s="39">
        <v>7</v>
      </c>
      <c r="BX75" s="39"/>
      <c r="BY75" s="39"/>
      <c r="BZ75" s="39">
        <f t="shared" si="10"/>
        <v>116</v>
      </c>
      <c r="CA75" s="39">
        <f t="shared" si="11"/>
        <v>7</v>
      </c>
      <c r="CB75" s="39">
        <f t="shared" si="12"/>
        <v>1</v>
      </c>
      <c r="CC75" s="39">
        <f t="shared" si="13"/>
        <v>0</v>
      </c>
      <c r="CD75" s="39">
        <f t="shared" si="14"/>
        <v>0</v>
      </c>
      <c r="CE75" s="102">
        <f t="shared" si="15"/>
        <v>0</v>
      </c>
      <c r="CF75" s="36" t="s">
        <v>296</v>
      </c>
      <c r="CG75" s="39" t="s">
        <v>229</v>
      </c>
      <c r="CH75" s="39"/>
      <c r="CI75" s="25">
        <v>1</v>
      </c>
    </row>
    <row r="76" spans="1:87" ht="24.75" customHeight="1">
      <c r="A76" s="36" t="s">
        <v>50</v>
      </c>
      <c r="B76" s="26">
        <v>48517</v>
      </c>
      <c r="C76" s="36">
        <v>13269385</v>
      </c>
      <c r="D76" s="36"/>
      <c r="E76" s="39">
        <v>180</v>
      </c>
      <c r="F76" s="39" t="s">
        <v>54</v>
      </c>
      <c r="G76" s="36" t="s">
        <v>93</v>
      </c>
      <c r="H76" s="36" t="s">
        <v>22</v>
      </c>
      <c r="I76" s="39">
        <v>82</v>
      </c>
      <c r="J76" s="39">
        <v>5</v>
      </c>
      <c r="K76" s="39"/>
      <c r="L76" s="39">
        <f t="shared" si="34"/>
        <v>87</v>
      </c>
      <c r="M76" s="117">
        <v>46254</v>
      </c>
      <c r="N76" s="117">
        <v>46258</v>
      </c>
      <c r="O76" s="39"/>
      <c r="P76" s="39"/>
      <c r="Q76" s="39"/>
      <c r="R76" s="39">
        <f t="shared" si="30"/>
        <v>0</v>
      </c>
      <c r="S76" s="39" t="s">
        <v>130</v>
      </c>
      <c r="T76" s="39">
        <v>108781</v>
      </c>
      <c r="U76" s="117">
        <v>46255</v>
      </c>
      <c r="V76" s="39"/>
      <c r="W76" s="39"/>
      <c r="X76" s="39"/>
      <c r="Y76" s="39">
        <v>101</v>
      </c>
      <c r="Z76" s="39">
        <v>7</v>
      </c>
      <c r="AA76" s="39"/>
      <c r="AB76" s="119">
        <f t="shared" si="31"/>
        <v>108</v>
      </c>
      <c r="AC76" s="39"/>
      <c r="AD76" s="39"/>
      <c r="AE76" s="39"/>
      <c r="AF76" s="39"/>
      <c r="AG76" s="39"/>
      <c r="AH76" s="39">
        <f t="shared" si="3"/>
        <v>0</v>
      </c>
      <c r="AI76" s="39"/>
      <c r="AJ76" s="39"/>
      <c r="AK76" s="39"/>
      <c r="AL76" s="39"/>
      <c r="AM76" s="39"/>
      <c r="AN76" s="39">
        <f t="shared" si="4"/>
        <v>0</v>
      </c>
      <c r="AO76" s="39"/>
      <c r="AP76" s="39"/>
      <c r="AQ76" s="39"/>
      <c r="AR76" s="39"/>
      <c r="AS76" s="39"/>
      <c r="AT76" s="39">
        <f t="shared" si="5"/>
        <v>0</v>
      </c>
      <c r="AU76" s="39"/>
      <c r="AV76" s="39"/>
      <c r="AW76" s="39"/>
      <c r="AX76" s="39"/>
      <c r="AY76" s="39"/>
      <c r="AZ76" s="39">
        <f t="shared" si="6"/>
        <v>0</v>
      </c>
      <c r="BA76" s="39"/>
      <c r="BB76" s="39"/>
      <c r="BC76" s="39"/>
      <c r="BD76" s="39"/>
      <c r="BE76" s="39"/>
      <c r="BF76" s="39">
        <f t="shared" si="7"/>
        <v>0</v>
      </c>
      <c r="BG76" s="39"/>
      <c r="BH76" s="39"/>
      <c r="BI76" s="39"/>
      <c r="BJ76" s="39"/>
      <c r="BK76" s="39"/>
      <c r="BL76" s="39">
        <f t="shared" si="8"/>
        <v>0</v>
      </c>
      <c r="BM76" s="54" t="str">
        <f t="shared" si="9"/>
        <v/>
      </c>
      <c r="BN76" s="58">
        <v>46266</v>
      </c>
      <c r="BO76" s="57">
        <v>46277</v>
      </c>
      <c r="BP76" s="36"/>
      <c r="BQ76" s="36"/>
      <c r="BR76" s="117">
        <v>46256</v>
      </c>
      <c r="BS76" s="117">
        <v>46256</v>
      </c>
      <c r="BT76" s="39">
        <v>1029</v>
      </c>
      <c r="BU76" s="39">
        <v>91</v>
      </c>
      <c r="BV76" s="39">
        <v>1029</v>
      </c>
      <c r="BW76" s="39">
        <v>6</v>
      </c>
      <c r="BX76" s="39"/>
      <c r="BY76" s="39"/>
      <c r="BZ76" s="39">
        <f t="shared" si="10"/>
        <v>97</v>
      </c>
      <c r="CA76" s="39">
        <f t="shared" si="11"/>
        <v>9</v>
      </c>
      <c r="CB76" s="39">
        <f t="shared" si="12"/>
        <v>1</v>
      </c>
      <c r="CC76" s="39">
        <f t="shared" si="13"/>
        <v>0</v>
      </c>
      <c r="CD76" s="39">
        <f t="shared" si="14"/>
        <v>0</v>
      </c>
      <c r="CE76" s="102">
        <f t="shared" si="15"/>
        <v>0</v>
      </c>
      <c r="CF76" s="36" t="s">
        <v>296</v>
      </c>
      <c r="CG76" s="39" t="s">
        <v>229</v>
      </c>
      <c r="CH76" s="39"/>
      <c r="CI76" s="25">
        <v>1</v>
      </c>
    </row>
    <row r="77" spans="1:87" ht="24.75" customHeight="1">
      <c r="A77" s="36" t="s">
        <v>50</v>
      </c>
      <c r="B77" s="26">
        <v>48518</v>
      </c>
      <c r="C77" s="227">
        <v>13269403</v>
      </c>
      <c r="D77" s="36"/>
      <c r="E77" s="39">
        <v>180</v>
      </c>
      <c r="F77" s="39" t="s">
        <v>54</v>
      </c>
      <c r="G77" s="36" t="s">
        <v>310</v>
      </c>
      <c r="H77" s="36" t="s">
        <v>22</v>
      </c>
      <c r="I77" s="39">
        <v>337</v>
      </c>
      <c r="J77" s="39">
        <v>20</v>
      </c>
      <c r="K77" s="39"/>
      <c r="L77" s="39">
        <f t="shared" si="34"/>
        <v>357</v>
      </c>
      <c r="M77" s="117">
        <v>46254</v>
      </c>
      <c r="N77" s="117">
        <v>46259</v>
      </c>
      <c r="O77" s="39"/>
      <c r="P77" s="39"/>
      <c r="Q77" s="39"/>
      <c r="R77" s="39">
        <f t="shared" si="30"/>
        <v>0</v>
      </c>
      <c r="S77" s="39" t="s">
        <v>28</v>
      </c>
      <c r="T77" s="39"/>
      <c r="U77" s="39"/>
      <c r="V77" s="117">
        <v>46252</v>
      </c>
      <c r="W77" s="39">
        <f>366+23</f>
        <v>389</v>
      </c>
      <c r="X77" s="117" t="s">
        <v>2718</v>
      </c>
      <c r="Y77" s="39">
        <f>330</f>
        <v>330</v>
      </c>
      <c r="Z77" s="39">
        <v>22</v>
      </c>
      <c r="AA77" s="39"/>
      <c r="AB77" s="120">
        <f t="shared" si="31"/>
        <v>352</v>
      </c>
      <c r="AC77" s="39"/>
      <c r="AD77" s="39"/>
      <c r="AE77" s="39"/>
      <c r="AF77" s="39"/>
      <c r="AG77" s="39"/>
      <c r="AH77" s="39">
        <f t="shared" si="3"/>
        <v>0</v>
      </c>
      <c r="AI77" s="39"/>
      <c r="AJ77" s="39"/>
      <c r="AK77" s="39"/>
      <c r="AL77" s="39"/>
      <c r="AM77" s="39"/>
      <c r="AN77" s="39">
        <f t="shared" si="4"/>
        <v>0</v>
      </c>
      <c r="AO77" s="39"/>
      <c r="AP77" s="39"/>
      <c r="AQ77" s="39"/>
      <c r="AR77" s="39"/>
      <c r="AS77" s="39"/>
      <c r="AT77" s="39">
        <f t="shared" si="5"/>
        <v>0</v>
      </c>
      <c r="AU77" s="39"/>
      <c r="AV77" s="39"/>
      <c r="AW77" s="39"/>
      <c r="AX77" s="39"/>
      <c r="AY77" s="39"/>
      <c r="AZ77" s="39">
        <f t="shared" si="6"/>
        <v>0</v>
      </c>
      <c r="BA77" s="39"/>
      <c r="BB77" s="39"/>
      <c r="BC77" s="39"/>
      <c r="BD77" s="39"/>
      <c r="BE77" s="39"/>
      <c r="BF77" s="39">
        <f t="shared" si="7"/>
        <v>0</v>
      </c>
      <c r="BG77" s="39"/>
      <c r="BH77" s="39"/>
      <c r="BI77" s="39"/>
      <c r="BJ77" s="39"/>
      <c r="BK77" s="39"/>
      <c r="BL77" s="39">
        <f t="shared" si="8"/>
        <v>0</v>
      </c>
      <c r="BM77" s="54" t="str">
        <f t="shared" si="9"/>
        <v/>
      </c>
      <c r="BN77" s="58">
        <v>46270</v>
      </c>
      <c r="BO77" s="57">
        <v>46284</v>
      </c>
      <c r="BP77" s="36"/>
      <c r="BQ77" s="36"/>
      <c r="BR77" s="117">
        <v>46256</v>
      </c>
      <c r="BS77" s="117">
        <v>46267</v>
      </c>
      <c r="BT77" s="39">
        <v>583</v>
      </c>
      <c r="BU77" s="39">
        <f>330</f>
        <v>330</v>
      </c>
      <c r="BV77" s="39">
        <v>594</v>
      </c>
      <c r="BW77" s="39">
        <v>22</v>
      </c>
      <c r="BX77" s="39"/>
      <c r="BY77" s="39"/>
      <c r="BZ77" s="39">
        <f t="shared" si="10"/>
        <v>352</v>
      </c>
      <c r="CA77" s="39">
        <f t="shared" si="11"/>
        <v>-7</v>
      </c>
      <c r="CB77" s="39">
        <f t="shared" si="12"/>
        <v>2</v>
      </c>
      <c r="CC77" s="39">
        <f t="shared" si="13"/>
        <v>0</v>
      </c>
      <c r="CD77" s="39">
        <v>0</v>
      </c>
      <c r="CE77" s="102">
        <f t="shared" si="15"/>
        <v>0</v>
      </c>
      <c r="CF77" s="36" t="s">
        <v>296</v>
      </c>
      <c r="CG77" s="39" t="s">
        <v>229</v>
      </c>
      <c r="CH77" s="39"/>
      <c r="CI77" s="25">
        <v>1</v>
      </c>
    </row>
    <row r="78" spans="1:87" ht="24.75" customHeight="1">
      <c r="A78" s="36" t="s">
        <v>50</v>
      </c>
      <c r="B78" s="26">
        <v>48518</v>
      </c>
      <c r="C78" s="228"/>
      <c r="D78" s="36"/>
      <c r="E78" s="39">
        <v>180</v>
      </c>
      <c r="F78" s="39" t="s">
        <v>54</v>
      </c>
      <c r="G78" s="36" t="s">
        <v>93</v>
      </c>
      <c r="H78" s="36" t="s">
        <v>22</v>
      </c>
      <c r="I78" s="39">
        <v>168</v>
      </c>
      <c r="J78" s="39">
        <v>10</v>
      </c>
      <c r="K78" s="39"/>
      <c r="L78" s="39">
        <f t="shared" si="34"/>
        <v>178</v>
      </c>
      <c r="M78" s="117">
        <v>46254</v>
      </c>
      <c r="N78" s="117">
        <v>46259</v>
      </c>
      <c r="O78" s="39"/>
      <c r="P78" s="39"/>
      <c r="Q78" s="39"/>
      <c r="R78" s="39">
        <f t="shared" si="30"/>
        <v>0</v>
      </c>
      <c r="S78" s="39" t="s">
        <v>130</v>
      </c>
      <c r="T78" s="39">
        <v>108775</v>
      </c>
      <c r="U78" s="117">
        <v>46256</v>
      </c>
      <c r="V78" s="39"/>
      <c r="W78" s="39"/>
      <c r="X78" s="39"/>
      <c r="Y78" s="39">
        <v>202</v>
      </c>
      <c r="Z78" s="39">
        <v>12</v>
      </c>
      <c r="AA78" s="39"/>
      <c r="AB78" s="119">
        <f t="shared" si="31"/>
        <v>214</v>
      </c>
      <c r="AC78" s="39"/>
      <c r="AD78" s="39"/>
      <c r="AE78" s="39"/>
      <c r="AF78" s="39"/>
      <c r="AG78" s="39"/>
      <c r="AH78" s="39">
        <f t="shared" si="3"/>
        <v>0</v>
      </c>
      <c r="AI78" s="39"/>
      <c r="AJ78" s="39"/>
      <c r="AK78" s="39"/>
      <c r="AL78" s="39"/>
      <c r="AM78" s="39"/>
      <c r="AN78" s="39">
        <f t="shared" si="4"/>
        <v>0</v>
      </c>
      <c r="AO78" s="39"/>
      <c r="AP78" s="39"/>
      <c r="AQ78" s="39"/>
      <c r="AR78" s="39"/>
      <c r="AS78" s="39"/>
      <c r="AT78" s="39">
        <f t="shared" si="5"/>
        <v>0</v>
      </c>
      <c r="AU78" s="39"/>
      <c r="AV78" s="39"/>
      <c r="AW78" s="39"/>
      <c r="AX78" s="39"/>
      <c r="AY78" s="39"/>
      <c r="AZ78" s="39">
        <f t="shared" si="6"/>
        <v>0</v>
      </c>
      <c r="BA78" s="39"/>
      <c r="BB78" s="39"/>
      <c r="BC78" s="39"/>
      <c r="BD78" s="39"/>
      <c r="BE78" s="39"/>
      <c r="BF78" s="39">
        <f t="shared" si="7"/>
        <v>0</v>
      </c>
      <c r="BG78" s="39"/>
      <c r="BH78" s="39"/>
      <c r="BI78" s="39"/>
      <c r="BJ78" s="39"/>
      <c r="BK78" s="39"/>
      <c r="BL78" s="39">
        <f t="shared" si="8"/>
        <v>0</v>
      </c>
      <c r="BM78" s="54" t="str">
        <f t="shared" si="9"/>
        <v/>
      </c>
      <c r="BN78" s="58">
        <v>46270</v>
      </c>
      <c r="BO78" s="57">
        <v>46284</v>
      </c>
      <c r="BP78" s="36"/>
      <c r="BQ78" s="36"/>
      <c r="BR78" s="117">
        <v>46269</v>
      </c>
      <c r="BS78" s="117">
        <v>46269</v>
      </c>
      <c r="BT78" s="39">
        <v>749</v>
      </c>
      <c r="BU78" s="39">
        <v>169</v>
      </c>
      <c r="BV78" s="39">
        <v>749</v>
      </c>
      <c r="BW78" s="39">
        <v>14</v>
      </c>
      <c r="BX78" s="39"/>
      <c r="BY78" s="39"/>
      <c r="BZ78" s="39">
        <f t="shared" si="10"/>
        <v>183</v>
      </c>
      <c r="CA78" s="39">
        <f t="shared" si="11"/>
        <v>1</v>
      </c>
      <c r="CB78" s="39">
        <f t="shared" si="12"/>
        <v>4</v>
      </c>
      <c r="CC78" s="39">
        <f t="shared" si="13"/>
        <v>0</v>
      </c>
      <c r="CD78" s="39">
        <f t="shared" si="14"/>
        <v>0</v>
      </c>
      <c r="CE78" s="102">
        <f t="shared" si="15"/>
        <v>0</v>
      </c>
      <c r="CF78" s="36" t="s">
        <v>296</v>
      </c>
      <c r="CG78" s="39" t="s">
        <v>229</v>
      </c>
      <c r="CH78" s="39"/>
      <c r="CI78" s="25">
        <v>1</v>
      </c>
    </row>
    <row r="79" spans="1:87" ht="24.75" customHeight="1">
      <c r="A79" s="36" t="s">
        <v>50</v>
      </c>
      <c r="B79" s="26" t="s">
        <v>2220</v>
      </c>
      <c r="C79" s="227">
        <v>13225095</v>
      </c>
      <c r="D79" s="36" t="s">
        <v>24</v>
      </c>
      <c r="E79" s="39">
        <v>200</v>
      </c>
      <c r="F79" s="39" t="s">
        <v>58</v>
      </c>
      <c r="G79" s="36" t="s">
        <v>556</v>
      </c>
      <c r="H79" s="36" t="s">
        <v>383</v>
      </c>
      <c r="I79" s="39">
        <v>284</v>
      </c>
      <c r="J79" s="39">
        <v>34</v>
      </c>
      <c r="K79" s="39">
        <v>7</v>
      </c>
      <c r="L79" s="39">
        <f t="shared" si="34"/>
        <v>325</v>
      </c>
      <c r="M79" s="117">
        <v>46260</v>
      </c>
      <c r="N79" s="117">
        <v>46270</v>
      </c>
      <c r="O79" s="39"/>
      <c r="P79" s="39"/>
      <c r="Q79" s="39"/>
      <c r="R79" s="39">
        <f t="shared" si="30"/>
        <v>0</v>
      </c>
      <c r="S79" s="39" t="s">
        <v>130</v>
      </c>
      <c r="T79" s="39">
        <v>109175</v>
      </c>
      <c r="U79" s="117">
        <v>46268</v>
      </c>
      <c r="V79" s="39"/>
      <c r="W79" s="39"/>
      <c r="X79" s="39"/>
      <c r="Y79" s="39">
        <v>303</v>
      </c>
      <c r="Z79" s="39">
        <v>36</v>
      </c>
      <c r="AA79" s="39">
        <v>8</v>
      </c>
      <c r="AB79" s="119">
        <f t="shared" si="31"/>
        <v>347</v>
      </c>
      <c r="AC79" s="39"/>
      <c r="AD79" s="39"/>
      <c r="AE79" s="39"/>
      <c r="AF79" s="39"/>
      <c r="AG79" s="39"/>
      <c r="AH79" s="39">
        <f t="shared" si="3"/>
        <v>0</v>
      </c>
      <c r="AI79" s="39"/>
      <c r="AJ79" s="39"/>
      <c r="AK79" s="39"/>
      <c r="AL79" s="39"/>
      <c r="AM79" s="39"/>
      <c r="AN79" s="39">
        <f t="shared" si="4"/>
        <v>0</v>
      </c>
      <c r="AO79" s="39"/>
      <c r="AP79" s="39"/>
      <c r="AQ79" s="39"/>
      <c r="AR79" s="39"/>
      <c r="AS79" s="39"/>
      <c r="AT79" s="39">
        <f t="shared" si="5"/>
        <v>0</v>
      </c>
      <c r="AU79" s="39"/>
      <c r="AV79" s="39"/>
      <c r="AW79" s="39"/>
      <c r="AX79" s="39"/>
      <c r="AY79" s="39"/>
      <c r="AZ79" s="39">
        <f t="shared" si="6"/>
        <v>0</v>
      </c>
      <c r="BA79" s="39"/>
      <c r="BB79" s="39"/>
      <c r="BC79" s="39"/>
      <c r="BD79" s="39"/>
      <c r="BE79" s="39"/>
      <c r="BF79" s="39">
        <f t="shared" si="7"/>
        <v>0</v>
      </c>
      <c r="BG79" s="39"/>
      <c r="BH79" s="39"/>
      <c r="BI79" s="39"/>
      <c r="BJ79" s="39"/>
      <c r="BK79" s="39"/>
      <c r="BL79" s="39">
        <f t="shared" si="8"/>
        <v>0</v>
      </c>
      <c r="BM79" s="54" t="str">
        <f t="shared" si="9"/>
        <v/>
      </c>
      <c r="BN79" s="58">
        <v>46273</v>
      </c>
      <c r="BO79" s="57">
        <v>46281</v>
      </c>
      <c r="BP79" s="36"/>
      <c r="BQ79" s="36"/>
      <c r="BR79" s="117">
        <v>46277</v>
      </c>
      <c r="BS79" s="117">
        <v>46277</v>
      </c>
      <c r="BT79" s="39">
        <v>793</v>
      </c>
      <c r="BU79" s="39">
        <v>300</v>
      </c>
      <c r="BV79" s="39">
        <v>793</v>
      </c>
      <c r="BW79" s="39">
        <v>34</v>
      </c>
      <c r="BX79" s="39">
        <v>793</v>
      </c>
      <c r="BY79" s="39">
        <v>7</v>
      </c>
      <c r="BZ79" s="39">
        <f t="shared" si="10"/>
        <v>341</v>
      </c>
      <c r="CA79" s="39">
        <f t="shared" si="11"/>
        <v>16</v>
      </c>
      <c r="CB79" s="39">
        <f t="shared" si="12"/>
        <v>0</v>
      </c>
      <c r="CC79" s="39">
        <f t="shared" si="13"/>
        <v>0</v>
      </c>
      <c r="CD79" s="39">
        <f t="shared" si="14"/>
        <v>0</v>
      </c>
      <c r="CE79" s="102">
        <f t="shared" si="15"/>
        <v>0</v>
      </c>
      <c r="CF79" s="36" t="s">
        <v>292</v>
      </c>
      <c r="CG79" s="39" t="s">
        <v>281</v>
      </c>
      <c r="CH79" s="39"/>
      <c r="CI79" s="25">
        <v>1</v>
      </c>
    </row>
    <row r="80" spans="1:87" ht="24.75" customHeight="1">
      <c r="A80" s="36" t="s">
        <v>50</v>
      </c>
      <c r="B80" s="26" t="s">
        <v>2220</v>
      </c>
      <c r="C80" s="228"/>
      <c r="D80" s="36" t="s">
        <v>24</v>
      </c>
      <c r="E80" s="39">
        <v>200</v>
      </c>
      <c r="F80" s="39" t="s">
        <v>58</v>
      </c>
      <c r="G80" s="36" t="s">
        <v>557</v>
      </c>
      <c r="H80" s="36" t="s">
        <v>383</v>
      </c>
      <c r="I80" s="39">
        <v>168</v>
      </c>
      <c r="J80" s="39">
        <v>20</v>
      </c>
      <c r="K80" s="39">
        <v>4</v>
      </c>
      <c r="L80" s="39">
        <f t="shared" si="34"/>
        <v>192</v>
      </c>
      <c r="M80" s="117">
        <v>46260</v>
      </c>
      <c r="N80" s="117">
        <v>46270</v>
      </c>
      <c r="O80" s="39"/>
      <c r="P80" s="39"/>
      <c r="Q80" s="39"/>
      <c r="R80" s="39">
        <f t="shared" ref="R80" si="35">SUM(O80:Q80)</f>
        <v>0</v>
      </c>
      <c r="S80" s="39" t="s">
        <v>130</v>
      </c>
      <c r="T80" s="39">
        <v>109320</v>
      </c>
      <c r="U80" s="117">
        <v>46275</v>
      </c>
      <c r="V80" s="39"/>
      <c r="W80" s="39"/>
      <c r="X80" s="39"/>
      <c r="Y80" s="39">
        <v>186</v>
      </c>
      <c r="Z80" s="39">
        <v>22</v>
      </c>
      <c r="AA80" s="39">
        <v>5</v>
      </c>
      <c r="AB80" s="119">
        <f t="shared" si="31"/>
        <v>213</v>
      </c>
      <c r="AC80" s="39"/>
      <c r="AD80" s="39"/>
      <c r="AE80" s="39"/>
      <c r="AF80" s="39"/>
      <c r="AG80" s="39"/>
      <c r="AH80" s="39">
        <f t="shared" si="3"/>
        <v>0</v>
      </c>
      <c r="AI80" s="39"/>
      <c r="AJ80" s="39"/>
      <c r="AK80" s="39"/>
      <c r="AL80" s="39"/>
      <c r="AM80" s="39"/>
      <c r="AN80" s="39">
        <f t="shared" si="4"/>
        <v>0</v>
      </c>
      <c r="AO80" s="39"/>
      <c r="AP80" s="39"/>
      <c r="AQ80" s="39"/>
      <c r="AR80" s="39"/>
      <c r="AS80" s="39"/>
      <c r="AT80" s="39">
        <f t="shared" si="5"/>
        <v>0</v>
      </c>
      <c r="AU80" s="39"/>
      <c r="AV80" s="39"/>
      <c r="AW80" s="39"/>
      <c r="AX80" s="39"/>
      <c r="AY80" s="39"/>
      <c r="AZ80" s="39">
        <f t="shared" si="6"/>
        <v>0</v>
      </c>
      <c r="BA80" s="39"/>
      <c r="BB80" s="39"/>
      <c r="BC80" s="39"/>
      <c r="BD80" s="39"/>
      <c r="BE80" s="39"/>
      <c r="BF80" s="39">
        <f t="shared" si="7"/>
        <v>0</v>
      </c>
      <c r="BG80" s="39"/>
      <c r="BH80" s="39"/>
      <c r="BI80" s="39"/>
      <c r="BJ80" s="39"/>
      <c r="BK80" s="39"/>
      <c r="BL80" s="39">
        <f t="shared" si="8"/>
        <v>0</v>
      </c>
      <c r="BM80" s="54" t="str">
        <f t="shared" si="9"/>
        <v/>
      </c>
      <c r="BN80" s="58">
        <v>46273</v>
      </c>
      <c r="BO80" s="57">
        <v>46281</v>
      </c>
      <c r="BP80" s="36"/>
      <c r="BQ80" s="36"/>
      <c r="BR80" s="117">
        <v>46279</v>
      </c>
      <c r="BS80" s="117">
        <v>46279</v>
      </c>
      <c r="BT80" s="39">
        <v>797</v>
      </c>
      <c r="BU80" s="39">
        <v>180</v>
      </c>
      <c r="BV80" s="39">
        <v>797</v>
      </c>
      <c r="BW80" s="39">
        <v>21</v>
      </c>
      <c r="BX80" s="39">
        <v>797</v>
      </c>
      <c r="BY80" s="39">
        <v>4</v>
      </c>
      <c r="BZ80" s="39">
        <f t="shared" si="10"/>
        <v>205</v>
      </c>
      <c r="CA80" s="39">
        <f t="shared" si="11"/>
        <v>12</v>
      </c>
      <c r="CB80" s="39">
        <f t="shared" si="12"/>
        <v>1</v>
      </c>
      <c r="CC80" s="39">
        <f t="shared" si="13"/>
        <v>0</v>
      </c>
      <c r="CD80" s="39">
        <f t="shared" si="14"/>
        <v>0</v>
      </c>
      <c r="CE80" s="102">
        <f t="shared" si="15"/>
        <v>0</v>
      </c>
      <c r="CF80" s="36" t="s">
        <v>292</v>
      </c>
      <c r="CG80" s="39" t="s">
        <v>281</v>
      </c>
      <c r="CH80" s="39"/>
      <c r="CI80" s="25">
        <v>1</v>
      </c>
    </row>
    <row r="81" spans="1:106" ht="24.75" customHeight="1">
      <c r="A81" s="36" t="s">
        <v>50</v>
      </c>
      <c r="B81" s="26" t="s">
        <v>2195</v>
      </c>
      <c r="C81" s="36">
        <v>13234729</v>
      </c>
      <c r="D81" s="36"/>
      <c r="E81" s="39">
        <v>200</v>
      </c>
      <c r="F81" s="39" t="s">
        <v>60</v>
      </c>
      <c r="G81" s="36" t="s">
        <v>93</v>
      </c>
      <c r="H81" s="36" t="s">
        <v>89</v>
      </c>
      <c r="I81" s="39">
        <v>326</v>
      </c>
      <c r="J81" s="39">
        <v>20</v>
      </c>
      <c r="K81" s="39"/>
      <c r="L81" s="39">
        <f t="shared" si="34"/>
        <v>346</v>
      </c>
      <c r="M81" s="117">
        <v>46251</v>
      </c>
      <c r="N81" s="117">
        <v>46255</v>
      </c>
      <c r="O81" s="39"/>
      <c r="P81" s="39"/>
      <c r="Q81" s="39"/>
      <c r="R81" s="39">
        <f t="shared" si="30"/>
        <v>0</v>
      </c>
      <c r="S81" s="39" t="s">
        <v>130</v>
      </c>
      <c r="T81" s="39">
        <v>109231</v>
      </c>
      <c r="U81" s="117">
        <v>46272</v>
      </c>
      <c r="V81" s="39"/>
      <c r="W81" s="39"/>
      <c r="X81" s="39"/>
      <c r="Y81" s="39">
        <v>368</v>
      </c>
      <c r="Z81" s="39">
        <v>25</v>
      </c>
      <c r="AA81" s="39"/>
      <c r="AB81" s="119">
        <f t="shared" si="31"/>
        <v>393</v>
      </c>
      <c r="AC81" s="39"/>
      <c r="AD81" s="39"/>
      <c r="AE81" s="39"/>
      <c r="AF81" s="39"/>
      <c r="AG81" s="39"/>
      <c r="AH81" s="39">
        <f t="shared" si="3"/>
        <v>0</v>
      </c>
      <c r="AI81" s="39"/>
      <c r="AJ81" s="39"/>
      <c r="AK81" s="39"/>
      <c r="AL81" s="39"/>
      <c r="AM81" s="39"/>
      <c r="AN81" s="39">
        <f t="shared" si="4"/>
        <v>0</v>
      </c>
      <c r="AO81" s="39"/>
      <c r="AP81" s="39"/>
      <c r="AQ81" s="39"/>
      <c r="AR81" s="39"/>
      <c r="AS81" s="39"/>
      <c r="AT81" s="39">
        <f t="shared" si="5"/>
        <v>0</v>
      </c>
      <c r="AU81" s="39"/>
      <c r="AV81" s="39"/>
      <c r="AW81" s="39"/>
      <c r="AX81" s="39"/>
      <c r="AY81" s="39"/>
      <c r="AZ81" s="39">
        <f t="shared" si="6"/>
        <v>0</v>
      </c>
      <c r="BA81" s="39"/>
      <c r="BB81" s="39"/>
      <c r="BC81" s="39"/>
      <c r="BD81" s="39"/>
      <c r="BE81" s="39"/>
      <c r="BF81" s="39">
        <f t="shared" si="7"/>
        <v>0</v>
      </c>
      <c r="BG81" s="39"/>
      <c r="BH81" s="39"/>
      <c r="BI81" s="39"/>
      <c r="BJ81" s="39"/>
      <c r="BK81" s="39"/>
      <c r="BL81" s="39">
        <f t="shared" si="8"/>
        <v>0</v>
      </c>
      <c r="BM81" s="54" t="str">
        <f t="shared" si="9"/>
        <v/>
      </c>
      <c r="BN81" s="58">
        <v>46266</v>
      </c>
      <c r="BO81" s="57">
        <v>46274</v>
      </c>
      <c r="BP81" s="36"/>
      <c r="BQ81" s="36"/>
      <c r="BR81" s="117">
        <v>46272</v>
      </c>
      <c r="BS81" s="39"/>
      <c r="BT81" s="39">
        <v>776</v>
      </c>
      <c r="BU81" s="39">
        <f>293</f>
        <v>293</v>
      </c>
      <c r="BV81" s="39">
        <v>903</v>
      </c>
      <c r="BW81" s="39">
        <v>23</v>
      </c>
      <c r="BX81" s="39"/>
      <c r="BY81" s="39"/>
      <c r="BZ81" s="39">
        <f t="shared" si="10"/>
        <v>316</v>
      </c>
      <c r="CA81" s="39">
        <f t="shared" si="11"/>
        <v>-33</v>
      </c>
      <c r="CB81" s="39">
        <f t="shared" si="12"/>
        <v>3</v>
      </c>
      <c r="CC81" s="39">
        <f t="shared" si="13"/>
        <v>0</v>
      </c>
      <c r="CD81" s="39">
        <f t="shared" si="14"/>
        <v>-33</v>
      </c>
      <c r="CE81" s="102">
        <f t="shared" si="15"/>
        <v>-9.5375722543352595E-2</v>
      </c>
      <c r="CF81" s="36" t="s">
        <v>292</v>
      </c>
      <c r="CG81" s="39" t="s">
        <v>281</v>
      </c>
      <c r="CH81" s="39" t="s">
        <v>2925</v>
      </c>
      <c r="CI81" s="25">
        <v>1</v>
      </c>
    </row>
    <row r="82" spans="1:106" ht="24.75" customHeight="1">
      <c r="A82" s="36" t="s">
        <v>50</v>
      </c>
      <c r="B82" s="26" t="s">
        <v>2196</v>
      </c>
      <c r="C82" s="227">
        <v>13235093</v>
      </c>
      <c r="D82" s="36" t="s">
        <v>45</v>
      </c>
      <c r="E82" s="39">
        <v>240</v>
      </c>
      <c r="F82" s="39" t="s">
        <v>53</v>
      </c>
      <c r="G82" s="36" t="s">
        <v>95</v>
      </c>
      <c r="H82" s="36" t="s">
        <v>196</v>
      </c>
      <c r="I82" s="39">
        <v>330</v>
      </c>
      <c r="J82" s="39">
        <v>65</v>
      </c>
      <c r="K82" s="39"/>
      <c r="L82" s="39">
        <f t="shared" si="34"/>
        <v>395</v>
      </c>
      <c r="M82" s="117">
        <v>46251</v>
      </c>
      <c r="N82" s="117">
        <v>46256</v>
      </c>
      <c r="O82" s="39"/>
      <c r="P82" s="39"/>
      <c r="Q82" s="39"/>
      <c r="R82" s="39">
        <f t="shared" si="30"/>
        <v>0</v>
      </c>
      <c r="S82" s="39" t="s">
        <v>31</v>
      </c>
      <c r="T82" s="39"/>
      <c r="U82" s="39"/>
      <c r="V82" s="117">
        <v>46249</v>
      </c>
      <c r="W82" s="39">
        <f>383+76</f>
        <v>459</v>
      </c>
      <c r="X82" s="117" t="s">
        <v>3035</v>
      </c>
      <c r="Y82" s="39">
        <v>346</v>
      </c>
      <c r="Z82" s="39">
        <f>60</f>
        <v>60</v>
      </c>
      <c r="AA82" s="39"/>
      <c r="AB82" s="120">
        <f t="shared" si="31"/>
        <v>406</v>
      </c>
      <c r="AC82" s="39"/>
      <c r="AD82" s="39"/>
      <c r="AE82" s="39"/>
      <c r="AF82" s="39"/>
      <c r="AG82" s="39"/>
      <c r="AH82" s="39">
        <f t="shared" si="3"/>
        <v>0</v>
      </c>
      <c r="AI82" s="39"/>
      <c r="AJ82" s="39"/>
      <c r="AK82" s="39"/>
      <c r="AL82" s="39"/>
      <c r="AM82" s="39"/>
      <c r="AN82" s="39">
        <f t="shared" si="4"/>
        <v>0</v>
      </c>
      <c r="AO82" s="39" t="s">
        <v>280</v>
      </c>
      <c r="AP82" s="117">
        <v>46266</v>
      </c>
      <c r="AQ82" s="39">
        <v>347</v>
      </c>
      <c r="AR82" s="117">
        <v>46268</v>
      </c>
      <c r="AS82" s="39">
        <v>346</v>
      </c>
      <c r="AT82" s="39">
        <f t="shared" si="5"/>
        <v>-1</v>
      </c>
      <c r="AU82" s="39" t="s">
        <v>257</v>
      </c>
      <c r="AV82" s="117">
        <v>46268</v>
      </c>
      <c r="AW82" s="39">
        <v>346</v>
      </c>
      <c r="AX82" s="117">
        <v>46237</v>
      </c>
      <c r="AY82" s="39">
        <v>340</v>
      </c>
      <c r="AZ82" s="39">
        <f t="shared" si="6"/>
        <v>-6</v>
      </c>
      <c r="BA82" s="39"/>
      <c r="BB82" s="39"/>
      <c r="BC82" s="39"/>
      <c r="BD82" s="39"/>
      <c r="BE82" s="39"/>
      <c r="BF82" s="39">
        <f t="shared" si="7"/>
        <v>0</v>
      </c>
      <c r="BG82" s="39" t="s">
        <v>28</v>
      </c>
      <c r="BH82" s="117">
        <v>46270</v>
      </c>
      <c r="BI82" s="39">
        <v>340</v>
      </c>
      <c r="BJ82" s="117">
        <v>46280</v>
      </c>
      <c r="BK82" s="39">
        <v>330</v>
      </c>
      <c r="BL82" s="39">
        <f t="shared" si="8"/>
        <v>-10</v>
      </c>
      <c r="BM82" s="54" t="str">
        <f t="shared" si="9"/>
        <v/>
      </c>
      <c r="BN82" s="58">
        <v>46266</v>
      </c>
      <c r="BO82" s="57">
        <v>46276</v>
      </c>
      <c r="BP82" s="36"/>
      <c r="BQ82" s="36"/>
      <c r="BR82" s="117">
        <v>46281</v>
      </c>
      <c r="BS82" s="117">
        <v>46281</v>
      </c>
      <c r="BT82" s="39">
        <v>866</v>
      </c>
      <c r="BU82" s="39">
        <v>330</v>
      </c>
      <c r="BV82" s="39">
        <v>867</v>
      </c>
      <c r="BW82" s="39">
        <f>60</f>
        <v>60</v>
      </c>
      <c r="BX82" s="39"/>
      <c r="BY82" s="39"/>
      <c r="BZ82" s="39">
        <f t="shared" si="10"/>
        <v>390</v>
      </c>
      <c r="CA82" s="39">
        <f t="shared" si="11"/>
        <v>0</v>
      </c>
      <c r="CB82" s="39">
        <f t="shared" si="12"/>
        <v>-5</v>
      </c>
      <c r="CC82" s="39">
        <f t="shared" si="13"/>
        <v>0</v>
      </c>
      <c r="CD82" s="39">
        <v>0</v>
      </c>
      <c r="CE82" s="102">
        <f t="shared" si="15"/>
        <v>0</v>
      </c>
      <c r="CF82" s="36" t="s">
        <v>292</v>
      </c>
      <c r="CG82" s="39" t="s">
        <v>281</v>
      </c>
      <c r="CH82" s="39"/>
      <c r="CI82" s="25">
        <v>1</v>
      </c>
    </row>
    <row r="83" spans="1:106" ht="24.75" customHeight="1">
      <c r="A83" s="36" t="s">
        <v>50</v>
      </c>
      <c r="B83" s="26" t="s">
        <v>2196</v>
      </c>
      <c r="C83" s="228"/>
      <c r="D83" s="36"/>
      <c r="E83" s="39"/>
      <c r="F83" s="39"/>
      <c r="G83" s="36" t="s">
        <v>205</v>
      </c>
      <c r="H83" s="36">
        <v>470</v>
      </c>
      <c r="I83" s="39" t="s">
        <v>90</v>
      </c>
      <c r="J83" s="39"/>
      <c r="K83" s="39"/>
      <c r="L83" s="39">
        <f t="shared" si="34"/>
        <v>0</v>
      </c>
      <c r="M83" s="117">
        <v>46251</v>
      </c>
      <c r="N83" s="117">
        <v>46256</v>
      </c>
      <c r="O83" s="39"/>
      <c r="P83" s="39"/>
      <c r="Q83" s="39"/>
      <c r="R83" s="39">
        <f t="shared" ref="R83:R85" si="36">SUM(O83:Q83)</f>
        <v>0</v>
      </c>
      <c r="S83" s="39" t="s">
        <v>130</v>
      </c>
      <c r="T83" s="39"/>
      <c r="U83" s="39"/>
      <c r="V83" s="117">
        <v>46249</v>
      </c>
      <c r="W83" s="39">
        <v>5</v>
      </c>
      <c r="X83" s="117">
        <v>46267</v>
      </c>
      <c r="Y83" s="39">
        <v>5</v>
      </c>
      <c r="Z83" s="39"/>
      <c r="AA83" s="39"/>
      <c r="AB83" s="39">
        <f t="shared" ref="AB83:AB85" si="37">SUM(Y83:AA83)</f>
        <v>5</v>
      </c>
      <c r="AC83" s="39"/>
      <c r="AD83" s="39"/>
      <c r="AE83" s="39"/>
      <c r="AF83" s="39"/>
      <c r="AG83" s="39"/>
      <c r="AH83" s="39">
        <f t="shared" si="3"/>
        <v>0</v>
      </c>
      <c r="AI83" s="39"/>
      <c r="AJ83" s="39"/>
      <c r="AK83" s="39"/>
      <c r="AL83" s="39"/>
      <c r="AM83" s="39"/>
      <c r="AN83" s="39">
        <f t="shared" si="4"/>
        <v>0</v>
      </c>
      <c r="AO83" s="39"/>
      <c r="AP83" s="39"/>
      <c r="AQ83" s="39"/>
      <c r="AR83" s="39"/>
      <c r="AS83" s="39"/>
      <c r="AT83" s="39">
        <f t="shared" si="5"/>
        <v>0</v>
      </c>
      <c r="AU83" s="39"/>
      <c r="AV83" s="39"/>
      <c r="AW83" s="39"/>
      <c r="AX83" s="39"/>
      <c r="AY83" s="39"/>
      <c r="AZ83" s="39">
        <f t="shared" si="6"/>
        <v>0</v>
      </c>
      <c r="BA83" s="39"/>
      <c r="BB83" s="39"/>
      <c r="BC83" s="39"/>
      <c r="BD83" s="39"/>
      <c r="BE83" s="39"/>
      <c r="BF83" s="39">
        <f t="shared" si="7"/>
        <v>0</v>
      </c>
      <c r="BG83" s="39"/>
      <c r="BH83" s="39"/>
      <c r="BI83" s="39"/>
      <c r="BJ83" s="39"/>
      <c r="BK83" s="39"/>
      <c r="BL83" s="39">
        <f t="shared" si="8"/>
        <v>0</v>
      </c>
      <c r="BM83" s="54" t="e">
        <f t="shared" si="9"/>
        <v>#DIV/0!</v>
      </c>
      <c r="BN83" s="58">
        <v>46266</v>
      </c>
      <c r="BO83" s="57">
        <v>46276</v>
      </c>
      <c r="BP83" s="36"/>
      <c r="BQ83" s="36"/>
      <c r="BR83" s="39"/>
      <c r="BS83" s="39"/>
      <c r="BT83" s="39" t="s">
        <v>2812</v>
      </c>
      <c r="BU83" s="39"/>
      <c r="BV83" s="39"/>
      <c r="BW83" s="39"/>
      <c r="BX83" s="39"/>
      <c r="BY83" s="39"/>
      <c r="BZ83" s="39">
        <f t="shared" si="10"/>
        <v>0</v>
      </c>
      <c r="CA83" s="39" t="e">
        <f t="shared" si="11"/>
        <v>#VALUE!</v>
      </c>
      <c r="CB83" s="39">
        <f t="shared" si="12"/>
        <v>0</v>
      </c>
      <c r="CC83" s="39">
        <f t="shared" si="13"/>
        <v>0</v>
      </c>
      <c r="CD83" s="39">
        <f t="shared" si="14"/>
        <v>0</v>
      </c>
      <c r="CE83" s="102" t="e">
        <f t="shared" si="15"/>
        <v>#DIV/0!</v>
      </c>
      <c r="CF83" s="36" t="s">
        <v>292</v>
      </c>
      <c r="CG83" s="39" t="s">
        <v>281</v>
      </c>
      <c r="CH83" s="39"/>
      <c r="CI83" s="25">
        <v>1</v>
      </c>
    </row>
    <row r="84" spans="1:106" ht="24.75" customHeight="1">
      <c r="A84" s="36" t="s">
        <v>50</v>
      </c>
      <c r="B84" s="26" t="s">
        <v>2347</v>
      </c>
      <c r="C84" s="227">
        <v>13235093</v>
      </c>
      <c r="D84" s="36" t="s">
        <v>45</v>
      </c>
      <c r="E84" s="39">
        <v>240</v>
      </c>
      <c r="F84" s="39" t="s">
        <v>53</v>
      </c>
      <c r="G84" s="36" t="s">
        <v>310</v>
      </c>
      <c r="H84" s="36" t="s">
        <v>196</v>
      </c>
      <c r="I84" s="39">
        <v>307</v>
      </c>
      <c r="J84" s="39">
        <v>55</v>
      </c>
      <c r="K84" s="39"/>
      <c r="L84" s="39">
        <f t="shared" si="34"/>
        <v>362</v>
      </c>
      <c r="M84" s="117">
        <v>46262</v>
      </c>
      <c r="N84" s="117">
        <v>46267</v>
      </c>
      <c r="O84" s="39"/>
      <c r="P84" s="39"/>
      <c r="Q84" s="39"/>
      <c r="R84" s="39">
        <f t="shared" si="36"/>
        <v>0</v>
      </c>
      <c r="S84" s="39" t="s">
        <v>28</v>
      </c>
      <c r="T84" s="39"/>
      <c r="U84" s="39"/>
      <c r="V84" s="117">
        <v>46258</v>
      </c>
      <c r="W84" s="39">
        <f>346+63</f>
        <v>409</v>
      </c>
      <c r="X84" s="117">
        <v>46275</v>
      </c>
      <c r="Y84" s="39">
        <v>326</v>
      </c>
      <c r="Z84" s="39"/>
      <c r="AA84" s="39"/>
      <c r="AB84" s="120">
        <f t="shared" si="37"/>
        <v>326</v>
      </c>
      <c r="AC84" s="39" t="s">
        <v>139</v>
      </c>
      <c r="AD84" s="117">
        <v>46280</v>
      </c>
      <c r="AE84" s="39">
        <v>318</v>
      </c>
      <c r="AF84" s="39"/>
      <c r="AG84" s="39"/>
      <c r="AH84" s="39">
        <f t="shared" si="3"/>
        <v>-318</v>
      </c>
      <c r="AI84" s="39"/>
      <c r="AJ84" s="39"/>
      <c r="AK84" s="39"/>
      <c r="AL84" s="39"/>
      <c r="AM84" s="39"/>
      <c r="AN84" s="39">
        <f t="shared" si="4"/>
        <v>0</v>
      </c>
      <c r="AO84" s="39" t="s">
        <v>280</v>
      </c>
      <c r="AP84" s="117">
        <v>46276</v>
      </c>
      <c r="AQ84" s="39">
        <v>327</v>
      </c>
      <c r="AR84" s="117">
        <v>46279</v>
      </c>
      <c r="AS84" s="39">
        <v>320</v>
      </c>
      <c r="AT84" s="39">
        <f t="shared" si="5"/>
        <v>-7</v>
      </c>
      <c r="AU84" s="39" t="s">
        <v>257</v>
      </c>
      <c r="AV84" s="117">
        <v>46279</v>
      </c>
      <c r="AW84" s="39">
        <v>320</v>
      </c>
      <c r="AX84" s="117">
        <v>46279</v>
      </c>
      <c r="AY84" s="39">
        <v>315</v>
      </c>
      <c r="AZ84" s="39">
        <f t="shared" si="6"/>
        <v>-5</v>
      </c>
      <c r="BA84" s="39"/>
      <c r="BB84" s="39"/>
      <c r="BC84" s="39"/>
      <c r="BD84" s="39"/>
      <c r="BE84" s="39"/>
      <c r="BF84" s="39">
        <f t="shared" si="7"/>
        <v>0</v>
      </c>
      <c r="BG84" s="39" t="s">
        <v>139</v>
      </c>
      <c r="BH84" s="117">
        <v>46280</v>
      </c>
      <c r="BI84" s="39">
        <v>318</v>
      </c>
      <c r="BJ84" s="39"/>
      <c r="BK84" s="39"/>
      <c r="BL84" s="39">
        <f t="shared" si="8"/>
        <v>-318</v>
      </c>
      <c r="BM84" s="54">
        <f t="shared" ca="1" si="9"/>
        <v>46283</v>
      </c>
      <c r="BN84" s="58">
        <v>46273</v>
      </c>
      <c r="BO84" s="57">
        <v>46284</v>
      </c>
      <c r="BP84" s="36"/>
      <c r="BQ84" s="36"/>
      <c r="BR84" s="39"/>
      <c r="BS84" s="39"/>
      <c r="BT84" s="39"/>
      <c r="BU84" s="39"/>
      <c r="BV84" s="39"/>
      <c r="BW84" s="39"/>
      <c r="BX84" s="39"/>
      <c r="BY84" s="39"/>
      <c r="BZ84" s="39">
        <f t="shared" si="10"/>
        <v>0</v>
      </c>
      <c r="CA84" s="39">
        <f t="shared" si="11"/>
        <v>-307</v>
      </c>
      <c r="CB84" s="39">
        <f t="shared" si="12"/>
        <v>-55</v>
      </c>
      <c r="CC84" s="39">
        <f t="shared" si="13"/>
        <v>0</v>
      </c>
      <c r="CD84" s="39">
        <f t="shared" si="14"/>
        <v>-362</v>
      </c>
      <c r="CE84" s="102">
        <f t="shared" si="15"/>
        <v>-1</v>
      </c>
      <c r="CF84" s="36" t="s">
        <v>292</v>
      </c>
      <c r="CG84" s="39" t="s">
        <v>281</v>
      </c>
      <c r="CH84" s="39"/>
      <c r="CI84" s="25">
        <v>1</v>
      </c>
    </row>
    <row r="85" spans="1:106" ht="24.75" customHeight="1">
      <c r="A85" s="36" t="s">
        <v>50</v>
      </c>
      <c r="B85" s="26" t="s">
        <v>2347</v>
      </c>
      <c r="C85" s="228"/>
      <c r="D85" s="36"/>
      <c r="E85" s="39"/>
      <c r="F85" s="39"/>
      <c r="G85" s="36" t="s">
        <v>205</v>
      </c>
      <c r="H85" s="36">
        <v>395</v>
      </c>
      <c r="I85" s="39" t="s">
        <v>90</v>
      </c>
      <c r="J85" s="39"/>
      <c r="K85" s="39"/>
      <c r="L85" s="39">
        <f t="shared" si="34"/>
        <v>0</v>
      </c>
      <c r="M85" s="117">
        <v>46262</v>
      </c>
      <c r="N85" s="117">
        <v>46267</v>
      </c>
      <c r="O85" s="39"/>
      <c r="P85" s="39"/>
      <c r="Q85" s="39"/>
      <c r="R85" s="39">
        <f t="shared" si="36"/>
        <v>0</v>
      </c>
      <c r="S85" s="39" t="s">
        <v>130</v>
      </c>
      <c r="T85" s="39"/>
      <c r="U85" s="39"/>
      <c r="V85" s="117">
        <v>46258</v>
      </c>
      <c r="W85" s="39">
        <v>4</v>
      </c>
      <c r="X85" s="117">
        <v>46275</v>
      </c>
      <c r="Y85" s="39">
        <v>4</v>
      </c>
      <c r="Z85" s="39"/>
      <c r="AA85" s="39"/>
      <c r="AB85" s="39">
        <f t="shared" si="37"/>
        <v>4</v>
      </c>
      <c r="AC85" s="39"/>
      <c r="AD85" s="39"/>
      <c r="AE85" s="39"/>
      <c r="AF85" s="39"/>
      <c r="AG85" s="39"/>
      <c r="AH85" s="39">
        <f t="shared" si="3"/>
        <v>0</v>
      </c>
      <c r="AI85" s="39"/>
      <c r="AJ85" s="39"/>
      <c r="AK85" s="39"/>
      <c r="AL85" s="39"/>
      <c r="AM85" s="39"/>
      <c r="AN85" s="39">
        <f t="shared" si="4"/>
        <v>0</v>
      </c>
      <c r="AO85" s="39"/>
      <c r="AP85" s="39"/>
      <c r="AQ85" s="39"/>
      <c r="AR85" s="39"/>
      <c r="AS85" s="39"/>
      <c r="AT85" s="39">
        <f t="shared" si="5"/>
        <v>0</v>
      </c>
      <c r="AU85" s="39"/>
      <c r="AV85" s="39"/>
      <c r="AW85" s="39"/>
      <c r="AX85" s="39"/>
      <c r="AY85" s="39"/>
      <c r="AZ85" s="39">
        <f t="shared" si="6"/>
        <v>0</v>
      </c>
      <c r="BA85" s="39"/>
      <c r="BB85" s="39"/>
      <c r="BC85" s="39"/>
      <c r="BD85" s="39"/>
      <c r="BE85" s="39"/>
      <c r="BF85" s="39">
        <f t="shared" si="7"/>
        <v>0</v>
      </c>
      <c r="BG85" s="39"/>
      <c r="BH85" s="39"/>
      <c r="BI85" s="39"/>
      <c r="BJ85" s="39"/>
      <c r="BK85" s="39"/>
      <c r="BL85" s="39">
        <f t="shared" si="8"/>
        <v>0</v>
      </c>
      <c r="BM85" s="54" t="e">
        <f t="shared" si="9"/>
        <v>#DIV/0!</v>
      </c>
      <c r="BN85" s="58">
        <v>46273</v>
      </c>
      <c r="BO85" s="57">
        <v>46284</v>
      </c>
      <c r="BP85" s="36"/>
      <c r="BQ85" s="36"/>
      <c r="BR85" s="39"/>
      <c r="BS85" s="39"/>
      <c r="BT85" s="39"/>
      <c r="BU85" s="39"/>
      <c r="BV85" s="39"/>
      <c r="BW85" s="39"/>
      <c r="BX85" s="39"/>
      <c r="BY85" s="39"/>
      <c r="BZ85" s="39">
        <f t="shared" si="10"/>
        <v>0</v>
      </c>
      <c r="CA85" s="39" t="e">
        <f t="shared" si="11"/>
        <v>#VALUE!</v>
      </c>
      <c r="CB85" s="39">
        <f t="shared" si="12"/>
        <v>0</v>
      </c>
      <c r="CC85" s="39">
        <f t="shared" si="13"/>
        <v>0</v>
      </c>
      <c r="CD85" s="39">
        <f t="shared" si="14"/>
        <v>0</v>
      </c>
      <c r="CE85" s="102" t="e">
        <f t="shared" si="15"/>
        <v>#DIV/0!</v>
      </c>
      <c r="CF85" s="36" t="s">
        <v>292</v>
      </c>
      <c r="CG85" s="39" t="s">
        <v>281</v>
      </c>
      <c r="CH85" s="39"/>
      <c r="CI85" s="25">
        <v>1</v>
      </c>
    </row>
    <row r="86" spans="1:106" ht="24.75" customHeight="1">
      <c r="A86" s="36" t="s">
        <v>50</v>
      </c>
      <c r="B86" s="26"/>
      <c r="C86" s="36"/>
      <c r="D86" s="36"/>
      <c r="E86" s="39"/>
      <c r="F86" s="39"/>
      <c r="G86" s="36"/>
      <c r="H86" s="39"/>
      <c r="I86" s="39"/>
      <c r="J86" s="39"/>
      <c r="K86" s="39"/>
      <c r="L86" s="39">
        <f t="shared" si="0"/>
        <v>0</v>
      </c>
      <c r="M86" s="39"/>
      <c r="N86" s="39"/>
      <c r="O86" s="39"/>
      <c r="P86" s="39"/>
      <c r="Q86" s="39"/>
      <c r="R86" s="39">
        <f t="shared" si="1"/>
        <v>0</v>
      </c>
      <c r="S86" s="39"/>
      <c r="T86" s="39"/>
      <c r="U86" s="39"/>
      <c r="V86" s="39"/>
      <c r="W86" s="39"/>
      <c r="X86" s="39"/>
      <c r="Y86" s="39"/>
      <c r="Z86" s="39"/>
      <c r="AA86" s="39"/>
      <c r="AB86" s="39">
        <f t="shared" si="2"/>
        <v>0</v>
      </c>
      <c r="AC86" s="39"/>
      <c r="AD86" s="39"/>
      <c r="AE86" s="39"/>
      <c r="AF86" s="39"/>
      <c r="AG86" s="39"/>
      <c r="AH86" s="39">
        <f t="shared" si="3"/>
        <v>0</v>
      </c>
      <c r="AI86" s="39"/>
      <c r="AJ86" s="39"/>
      <c r="AK86" s="39"/>
      <c r="AL86" s="39"/>
      <c r="AM86" s="39"/>
      <c r="AN86" s="39">
        <f t="shared" si="4"/>
        <v>0</v>
      </c>
      <c r="AO86" s="39"/>
      <c r="AP86" s="39"/>
      <c r="AQ86" s="39"/>
      <c r="AR86" s="39"/>
      <c r="AS86" s="39"/>
      <c r="AT86" s="39">
        <f t="shared" si="5"/>
        <v>0</v>
      </c>
      <c r="AU86" s="39"/>
      <c r="AV86" s="39"/>
      <c r="AW86" s="39"/>
      <c r="AX86" s="39"/>
      <c r="AY86" s="39"/>
      <c r="AZ86" s="39">
        <f t="shared" si="6"/>
        <v>0</v>
      </c>
      <c r="BA86" s="39"/>
      <c r="BB86" s="39"/>
      <c r="BC86" s="39"/>
      <c r="BD86" s="39"/>
      <c r="BE86" s="39"/>
      <c r="BF86" s="39">
        <f t="shared" si="7"/>
        <v>0</v>
      </c>
      <c r="BG86" s="39"/>
      <c r="BH86" s="39"/>
      <c r="BI86" s="39"/>
      <c r="BJ86" s="39"/>
      <c r="BK86" s="39"/>
      <c r="BL86" s="39">
        <f t="shared" si="8"/>
        <v>0</v>
      </c>
      <c r="BM86" s="54" t="e">
        <f t="shared" si="9"/>
        <v>#DIV/0!</v>
      </c>
      <c r="BN86" s="64"/>
      <c r="BO86" s="36"/>
      <c r="BP86" s="36"/>
      <c r="BQ86" s="36"/>
      <c r="BR86" s="39"/>
      <c r="BS86" s="39"/>
      <c r="BT86" s="39"/>
      <c r="BU86" s="39"/>
      <c r="BV86" s="39"/>
      <c r="BW86" s="39"/>
      <c r="BX86" s="39"/>
      <c r="BY86" s="39"/>
      <c r="BZ86" s="39">
        <f t="shared" si="10"/>
        <v>0</v>
      </c>
      <c r="CA86" s="39">
        <f t="shared" si="11"/>
        <v>0</v>
      </c>
      <c r="CB86" s="39">
        <f t="shared" si="12"/>
        <v>0</v>
      </c>
      <c r="CC86" s="39">
        <f t="shared" si="13"/>
        <v>0</v>
      </c>
      <c r="CD86" s="39">
        <f t="shared" si="14"/>
        <v>0</v>
      </c>
      <c r="CE86" s="47" t="e">
        <f t="shared" si="15"/>
        <v>#DIV/0!</v>
      </c>
      <c r="CF86" s="36"/>
      <c r="CG86" s="39"/>
      <c r="CH86" s="39"/>
      <c r="CI86" s="25">
        <v>1</v>
      </c>
      <c r="CZ86" s="22"/>
      <c r="DA86" s="22"/>
      <c r="DB86" s="22"/>
    </row>
    <row r="87" spans="1:106" ht="24.75" customHeight="1">
      <c r="A87" s="36" t="s">
        <v>50</v>
      </c>
      <c r="B87" s="26"/>
      <c r="C87" s="36"/>
      <c r="D87" s="36"/>
      <c r="E87" s="39"/>
      <c r="F87" s="39"/>
      <c r="G87" s="36"/>
      <c r="H87" s="39"/>
      <c r="I87" s="39"/>
      <c r="J87" s="39"/>
      <c r="K87" s="39"/>
      <c r="L87" s="39">
        <f t="shared" si="0"/>
        <v>0</v>
      </c>
      <c r="M87" s="39"/>
      <c r="N87" s="39"/>
      <c r="O87" s="39"/>
      <c r="P87" s="39"/>
      <c r="Q87" s="39"/>
      <c r="R87" s="39">
        <f t="shared" si="1"/>
        <v>0</v>
      </c>
      <c r="S87" s="39"/>
      <c r="T87" s="39"/>
      <c r="U87" s="39"/>
      <c r="V87" s="39"/>
      <c r="W87" s="39"/>
      <c r="X87" s="39"/>
      <c r="Y87" s="39"/>
      <c r="Z87" s="39"/>
      <c r="AA87" s="39"/>
      <c r="AB87" s="39">
        <f t="shared" si="2"/>
        <v>0</v>
      </c>
      <c r="AC87" s="39"/>
      <c r="AD87" s="39"/>
      <c r="AE87" s="39"/>
      <c r="AF87" s="39"/>
      <c r="AG87" s="39"/>
      <c r="AH87" s="39">
        <f t="shared" si="3"/>
        <v>0</v>
      </c>
      <c r="AI87" s="39"/>
      <c r="AJ87" s="39"/>
      <c r="AK87" s="39"/>
      <c r="AL87" s="39"/>
      <c r="AM87" s="39"/>
      <c r="AN87" s="39">
        <f t="shared" si="4"/>
        <v>0</v>
      </c>
      <c r="AO87" s="39"/>
      <c r="AP87" s="39"/>
      <c r="AQ87" s="39"/>
      <c r="AR87" s="39"/>
      <c r="AS87" s="39"/>
      <c r="AT87" s="39">
        <f t="shared" si="5"/>
        <v>0</v>
      </c>
      <c r="AU87" s="39"/>
      <c r="AV87" s="39"/>
      <c r="AW87" s="39"/>
      <c r="AX87" s="39"/>
      <c r="AY87" s="39"/>
      <c r="AZ87" s="39">
        <f t="shared" si="6"/>
        <v>0</v>
      </c>
      <c r="BA87" s="39"/>
      <c r="BB87" s="39"/>
      <c r="BC87" s="39"/>
      <c r="BD87" s="39"/>
      <c r="BE87" s="39"/>
      <c r="BF87" s="39">
        <f t="shared" si="7"/>
        <v>0</v>
      </c>
      <c r="BG87" s="39"/>
      <c r="BH87" s="39"/>
      <c r="BI87" s="39"/>
      <c r="BJ87" s="39"/>
      <c r="BK87" s="39"/>
      <c r="BL87" s="39">
        <f t="shared" si="8"/>
        <v>0</v>
      </c>
      <c r="BM87" s="54" t="e">
        <f t="shared" si="9"/>
        <v>#DIV/0!</v>
      </c>
      <c r="BN87" s="64"/>
      <c r="BO87" s="36"/>
      <c r="BP87" s="36"/>
      <c r="BQ87" s="36"/>
      <c r="BR87" s="39"/>
      <c r="BS87" s="39"/>
      <c r="BT87" s="39"/>
      <c r="BU87" s="39"/>
      <c r="BV87" s="39"/>
      <c r="BW87" s="39"/>
      <c r="BX87" s="39"/>
      <c r="BY87" s="39"/>
      <c r="BZ87" s="39">
        <f t="shared" si="10"/>
        <v>0</v>
      </c>
      <c r="CA87" s="39">
        <f t="shared" si="11"/>
        <v>0</v>
      </c>
      <c r="CB87" s="39">
        <f t="shared" si="12"/>
        <v>0</v>
      </c>
      <c r="CC87" s="39">
        <f t="shared" si="13"/>
        <v>0</v>
      </c>
      <c r="CD87" s="39">
        <f t="shared" si="14"/>
        <v>0</v>
      </c>
      <c r="CE87" s="47" t="e">
        <f t="shared" si="15"/>
        <v>#DIV/0!</v>
      </c>
      <c r="CF87" s="36"/>
      <c r="CG87" s="39"/>
      <c r="CH87" s="39"/>
      <c r="CI87" s="25">
        <v>1</v>
      </c>
    </row>
    <row r="88" spans="1:106" ht="24.75" customHeight="1">
      <c r="A88" s="36" t="s">
        <v>50</v>
      </c>
      <c r="B88" s="26"/>
      <c r="C88" s="36"/>
      <c r="D88" s="36"/>
      <c r="E88" s="39"/>
      <c r="F88" s="39"/>
      <c r="G88" s="36"/>
      <c r="H88" s="39"/>
      <c r="I88" s="39"/>
      <c r="J88" s="39"/>
      <c r="K88" s="39"/>
      <c r="L88" s="39">
        <f t="shared" si="0"/>
        <v>0</v>
      </c>
      <c r="M88" s="39"/>
      <c r="N88" s="39"/>
      <c r="O88" s="39"/>
      <c r="P88" s="39"/>
      <c r="Q88" s="39"/>
      <c r="R88" s="39">
        <f t="shared" si="1"/>
        <v>0</v>
      </c>
      <c r="S88" s="39"/>
      <c r="T88" s="39"/>
      <c r="U88" s="39"/>
      <c r="V88" s="39"/>
      <c r="W88" s="39"/>
      <c r="X88" s="39"/>
      <c r="Y88" s="39"/>
      <c r="Z88" s="39"/>
      <c r="AA88" s="39"/>
      <c r="AB88" s="39">
        <f t="shared" si="2"/>
        <v>0</v>
      </c>
      <c r="AC88" s="39"/>
      <c r="AD88" s="39"/>
      <c r="AE88" s="39"/>
      <c r="AF88" s="39"/>
      <c r="AG88" s="39"/>
      <c r="AH88" s="39">
        <f t="shared" si="3"/>
        <v>0</v>
      </c>
      <c r="AI88" s="39"/>
      <c r="AJ88" s="39"/>
      <c r="AK88" s="39"/>
      <c r="AL88" s="39"/>
      <c r="AM88" s="39"/>
      <c r="AN88" s="39">
        <f t="shared" si="4"/>
        <v>0</v>
      </c>
      <c r="AO88" s="39"/>
      <c r="AP88" s="39"/>
      <c r="AQ88" s="39"/>
      <c r="AR88" s="39"/>
      <c r="AS88" s="39"/>
      <c r="AT88" s="39">
        <f t="shared" si="5"/>
        <v>0</v>
      </c>
      <c r="AU88" s="39"/>
      <c r="AV88" s="39"/>
      <c r="AW88" s="39"/>
      <c r="AX88" s="39"/>
      <c r="AY88" s="39"/>
      <c r="AZ88" s="39">
        <f t="shared" si="6"/>
        <v>0</v>
      </c>
      <c r="BA88" s="39"/>
      <c r="BB88" s="39"/>
      <c r="BC88" s="39"/>
      <c r="BD88" s="39"/>
      <c r="BE88" s="39"/>
      <c r="BF88" s="39">
        <f t="shared" si="7"/>
        <v>0</v>
      </c>
      <c r="BG88" s="39"/>
      <c r="BH88" s="39"/>
      <c r="BI88" s="39"/>
      <c r="BJ88" s="39"/>
      <c r="BK88" s="39"/>
      <c r="BL88" s="39">
        <f t="shared" si="8"/>
        <v>0</v>
      </c>
      <c r="BM88" s="54" t="e">
        <f t="shared" si="9"/>
        <v>#DIV/0!</v>
      </c>
      <c r="BN88" s="64"/>
      <c r="BO88" s="36"/>
      <c r="BP88" s="36"/>
      <c r="BQ88" s="36"/>
      <c r="BR88" s="39"/>
      <c r="BS88" s="39"/>
      <c r="BT88" s="39"/>
      <c r="BU88" s="39"/>
      <c r="BV88" s="39"/>
      <c r="BW88" s="39"/>
      <c r="BX88" s="39"/>
      <c r="BY88" s="39"/>
      <c r="BZ88" s="39">
        <f t="shared" si="10"/>
        <v>0</v>
      </c>
      <c r="CA88" s="39">
        <f t="shared" si="11"/>
        <v>0</v>
      </c>
      <c r="CB88" s="39">
        <f t="shared" si="12"/>
        <v>0</v>
      </c>
      <c r="CC88" s="39">
        <f t="shared" si="13"/>
        <v>0</v>
      </c>
      <c r="CD88" s="39">
        <f t="shared" si="14"/>
        <v>0</v>
      </c>
      <c r="CE88" s="47" t="e">
        <f t="shared" si="15"/>
        <v>#DIV/0!</v>
      </c>
      <c r="CF88" s="36"/>
      <c r="CG88" s="39"/>
      <c r="CH88" s="39"/>
      <c r="CI88" s="25">
        <v>1</v>
      </c>
    </row>
    <row r="89" spans="1:106" ht="24.75" customHeight="1">
      <c r="A89" s="36" t="s">
        <v>50</v>
      </c>
      <c r="B89" s="26"/>
      <c r="C89" s="36"/>
      <c r="D89" s="36"/>
      <c r="E89" s="39"/>
      <c r="F89" s="39"/>
      <c r="G89" s="36"/>
      <c r="H89" s="39"/>
      <c r="I89" s="39"/>
      <c r="J89" s="39"/>
      <c r="K89" s="39"/>
      <c r="L89" s="39">
        <f t="shared" si="0"/>
        <v>0</v>
      </c>
      <c r="M89" s="39"/>
      <c r="N89" s="39"/>
      <c r="O89" s="39"/>
      <c r="P89" s="39"/>
      <c r="Q89" s="39"/>
      <c r="R89" s="39">
        <f t="shared" si="1"/>
        <v>0</v>
      </c>
      <c r="S89" s="39"/>
      <c r="T89" s="39"/>
      <c r="U89" s="39"/>
      <c r="V89" s="39"/>
      <c r="W89" s="39"/>
      <c r="X89" s="39"/>
      <c r="Y89" s="39"/>
      <c r="Z89" s="39"/>
      <c r="AA89" s="39"/>
      <c r="AB89" s="39">
        <f t="shared" si="2"/>
        <v>0</v>
      </c>
      <c r="AC89" s="39"/>
      <c r="AD89" s="39"/>
      <c r="AE89" s="39"/>
      <c r="AF89" s="39"/>
      <c r="AG89" s="39"/>
      <c r="AH89" s="39">
        <f t="shared" si="3"/>
        <v>0</v>
      </c>
      <c r="AI89" s="39"/>
      <c r="AJ89" s="39"/>
      <c r="AK89" s="39"/>
      <c r="AL89" s="39"/>
      <c r="AM89" s="39"/>
      <c r="AN89" s="39">
        <f t="shared" si="4"/>
        <v>0</v>
      </c>
      <c r="AO89" s="39"/>
      <c r="AP89" s="39"/>
      <c r="AQ89" s="39"/>
      <c r="AR89" s="39"/>
      <c r="AS89" s="39"/>
      <c r="AT89" s="39">
        <f t="shared" si="5"/>
        <v>0</v>
      </c>
      <c r="AU89" s="39"/>
      <c r="AV89" s="39"/>
      <c r="AW89" s="39"/>
      <c r="AX89" s="39"/>
      <c r="AY89" s="39"/>
      <c r="AZ89" s="39">
        <f t="shared" si="6"/>
        <v>0</v>
      </c>
      <c r="BA89" s="39"/>
      <c r="BB89" s="39"/>
      <c r="BC89" s="39"/>
      <c r="BD89" s="39"/>
      <c r="BE89" s="39"/>
      <c r="BF89" s="39">
        <f t="shared" si="7"/>
        <v>0</v>
      </c>
      <c r="BG89" s="39"/>
      <c r="BH89" s="39"/>
      <c r="BI89" s="39"/>
      <c r="BJ89" s="39"/>
      <c r="BK89" s="39"/>
      <c r="BL89" s="39">
        <f t="shared" si="8"/>
        <v>0</v>
      </c>
      <c r="BM89" s="54" t="e">
        <f t="shared" si="9"/>
        <v>#DIV/0!</v>
      </c>
      <c r="BN89" s="64"/>
      <c r="BO89" s="36"/>
      <c r="BP89" s="36"/>
      <c r="BQ89" s="36"/>
      <c r="BR89" s="39"/>
      <c r="BS89" s="39"/>
      <c r="BT89" s="39"/>
      <c r="BU89" s="39"/>
      <c r="BV89" s="39"/>
      <c r="BW89" s="39"/>
      <c r="BX89" s="39"/>
      <c r="BY89" s="39"/>
      <c r="BZ89" s="39">
        <f t="shared" si="10"/>
        <v>0</v>
      </c>
      <c r="CA89" s="39">
        <f t="shared" si="11"/>
        <v>0</v>
      </c>
      <c r="CB89" s="39">
        <f t="shared" si="12"/>
        <v>0</v>
      </c>
      <c r="CC89" s="39">
        <f t="shared" si="13"/>
        <v>0</v>
      </c>
      <c r="CD89" s="39">
        <f t="shared" si="14"/>
        <v>0</v>
      </c>
      <c r="CE89" s="47" t="e">
        <f t="shared" si="15"/>
        <v>#DIV/0!</v>
      </c>
      <c r="CF89" s="36"/>
      <c r="CG89" s="39"/>
      <c r="CH89" s="39"/>
      <c r="CI89" s="25">
        <v>1</v>
      </c>
    </row>
    <row r="90" spans="1:106" ht="24.75" customHeight="1">
      <c r="A90" s="36" t="s">
        <v>50</v>
      </c>
      <c r="B90" s="26"/>
      <c r="C90" s="36"/>
      <c r="D90" s="36"/>
      <c r="E90" s="39"/>
      <c r="F90" s="39"/>
      <c r="G90" s="36"/>
      <c r="H90" s="39"/>
      <c r="I90" s="39"/>
      <c r="J90" s="39"/>
      <c r="K90" s="39"/>
      <c r="L90" s="39">
        <f t="shared" si="0"/>
        <v>0</v>
      </c>
      <c r="M90" s="39"/>
      <c r="N90" s="39"/>
      <c r="O90" s="39"/>
      <c r="P90" s="39"/>
      <c r="Q90" s="39"/>
      <c r="R90" s="39">
        <f t="shared" si="1"/>
        <v>0</v>
      </c>
      <c r="S90" s="39"/>
      <c r="T90" s="39"/>
      <c r="U90" s="39"/>
      <c r="V90" s="39"/>
      <c r="W90" s="39"/>
      <c r="X90" s="39"/>
      <c r="Y90" s="39"/>
      <c r="Z90" s="39"/>
      <c r="AA90" s="39"/>
      <c r="AB90" s="39">
        <f t="shared" si="2"/>
        <v>0</v>
      </c>
      <c r="AC90" s="39"/>
      <c r="AD90" s="39"/>
      <c r="AE90" s="39"/>
      <c r="AF90" s="39"/>
      <c r="AG90" s="39"/>
      <c r="AH90" s="39">
        <f t="shared" si="3"/>
        <v>0</v>
      </c>
      <c r="AI90" s="39"/>
      <c r="AJ90" s="39"/>
      <c r="AK90" s="39"/>
      <c r="AL90" s="39"/>
      <c r="AM90" s="39"/>
      <c r="AN90" s="39">
        <f t="shared" si="4"/>
        <v>0</v>
      </c>
      <c r="AO90" s="39"/>
      <c r="AP90" s="39"/>
      <c r="AQ90" s="39"/>
      <c r="AR90" s="39"/>
      <c r="AS90" s="39"/>
      <c r="AT90" s="39">
        <f t="shared" si="5"/>
        <v>0</v>
      </c>
      <c r="AU90" s="39"/>
      <c r="AV90" s="39"/>
      <c r="AW90" s="39"/>
      <c r="AX90" s="39"/>
      <c r="AY90" s="39"/>
      <c r="AZ90" s="39">
        <f t="shared" si="6"/>
        <v>0</v>
      </c>
      <c r="BA90" s="39"/>
      <c r="BB90" s="39"/>
      <c r="BC90" s="39"/>
      <c r="BD90" s="39"/>
      <c r="BE90" s="39"/>
      <c r="BF90" s="39">
        <f t="shared" si="7"/>
        <v>0</v>
      </c>
      <c r="BG90" s="39"/>
      <c r="BH90" s="39"/>
      <c r="BI90" s="39"/>
      <c r="BJ90" s="39"/>
      <c r="BK90" s="39"/>
      <c r="BL90" s="39">
        <f t="shared" si="8"/>
        <v>0</v>
      </c>
      <c r="BM90" s="54" t="e">
        <f t="shared" si="9"/>
        <v>#DIV/0!</v>
      </c>
      <c r="BN90" s="64"/>
      <c r="BO90" s="36"/>
      <c r="BP90" s="36"/>
      <c r="BQ90" s="36"/>
      <c r="BR90" s="39"/>
      <c r="BS90" s="39"/>
      <c r="BT90" s="39"/>
      <c r="BU90" s="39"/>
      <c r="BV90" s="39"/>
      <c r="BW90" s="39"/>
      <c r="BX90" s="39"/>
      <c r="BY90" s="39"/>
      <c r="BZ90" s="39">
        <f t="shared" si="10"/>
        <v>0</v>
      </c>
      <c r="CA90" s="39">
        <f t="shared" si="11"/>
        <v>0</v>
      </c>
      <c r="CB90" s="39">
        <f t="shared" si="12"/>
        <v>0</v>
      </c>
      <c r="CC90" s="39">
        <f t="shared" si="13"/>
        <v>0</v>
      </c>
      <c r="CD90" s="39">
        <f t="shared" si="14"/>
        <v>0</v>
      </c>
      <c r="CE90" s="47" t="e">
        <f t="shared" si="15"/>
        <v>#DIV/0!</v>
      </c>
      <c r="CF90" s="36"/>
      <c r="CG90" s="39"/>
      <c r="CH90" s="39"/>
      <c r="CI90" s="25">
        <v>1</v>
      </c>
    </row>
    <row r="91" spans="1:106" ht="24.75" customHeight="1">
      <c r="A91" s="36" t="s">
        <v>50</v>
      </c>
      <c r="B91" s="26"/>
      <c r="C91" s="36"/>
      <c r="D91" s="36"/>
      <c r="E91" s="39"/>
      <c r="F91" s="39"/>
      <c r="G91" s="36"/>
      <c r="H91" s="39"/>
      <c r="I91" s="39"/>
      <c r="J91" s="39"/>
      <c r="K91" s="39"/>
      <c r="L91" s="39">
        <f t="shared" si="0"/>
        <v>0</v>
      </c>
      <c r="M91" s="39"/>
      <c r="N91" s="39"/>
      <c r="O91" s="39"/>
      <c r="P91" s="39"/>
      <c r="Q91" s="39"/>
      <c r="R91" s="39">
        <f t="shared" si="1"/>
        <v>0</v>
      </c>
      <c r="S91" s="39"/>
      <c r="T91" s="39"/>
      <c r="U91" s="39"/>
      <c r="V91" s="39"/>
      <c r="W91" s="39"/>
      <c r="X91" s="39"/>
      <c r="Y91" s="39"/>
      <c r="Z91" s="39"/>
      <c r="AA91" s="39"/>
      <c r="AB91" s="39">
        <f t="shared" si="2"/>
        <v>0</v>
      </c>
      <c r="AC91" s="39"/>
      <c r="AD91" s="39"/>
      <c r="AE91" s="39"/>
      <c r="AF91" s="39"/>
      <c r="AG91" s="39"/>
      <c r="AH91" s="39">
        <f t="shared" si="3"/>
        <v>0</v>
      </c>
      <c r="AI91" s="39"/>
      <c r="AJ91" s="39"/>
      <c r="AK91" s="39"/>
      <c r="AL91" s="39"/>
      <c r="AM91" s="39"/>
      <c r="AN91" s="39">
        <f t="shared" si="4"/>
        <v>0</v>
      </c>
      <c r="AO91" s="39"/>
      <c r="AP91" s="39"/>
      <c r="AQ91" s="39"/>
      <c r="AR91" s="39"/>
      <c r="AS91" s="39"/>
      <c r="AT91" s="39">
        <f t="shared" si="5"/>
        <v>0</v>
      </c>
      <c r="AU91" s="39"/>
      <c r="AV91" s="39"/>
      <c r="AW91" s="39"/>
      <c r="AX91" s="39"/>
      <c r="AY91" s="39"/>
      <c r="AZ91" s="39">
        <f t="shared" si="6"/>
        <v>0</v>
      </c>
      <c r="BA91" s="39"/>
      <c r="BB91" s="39"/>
      <c r="BC91" s="39"/>
      <c r="BD91" s="39"/>
      <c r="BE91" s="39"/>
      <c r="BF91" s="39">
        <f t="shared" si="7"/>
        <v>0</v>
      </c>
      <c r="BG91" s="39"/>
      <c r="BH91" s="39"/>
      <c r="BI91" s="39"/>
      <c r="BJ91" s="39"/>
      <c r="BK91" s="39"/>
      <c r="BL91" s="39">
        <f t="shared" si="8"/>
        <v>0</v>
      </c>
      <c r="BM91" s="54" t="e">
        <f t="shared" si="9"/>
        <v>#DIV/0!</v>
      </c>
      <c r="BN91" s="64"/>
      <c r="BO91" s="36"/>
      <c r="BP91" s="36"/>
      <c r="BQ91" s="36"/>
      <c r="BR91" s="39"/>
      <c r="BS91" s="39"/>
      <c r="BT91" s="39"/>
      <c r="BU91" s="39"/>
      <c r="BV91" s="39"/>
      <c r="BW91" s="39"/>
      <c r="BX91" s="39"/>
      <c r="BY91" s="39"/>
      <c r="BZ91" s="39">
        <f t="shared" si="10"/>
        <v>0</v>
      </c>
      <c r="CA91" s="39">
        <f t="shared" si="11"/>
        <v>0</v>
      </c>
      <c r="CB91" s="39">
        <f t="shared" si="12"/>
        <v>0</v>
      </c>
      <c r="CC91" s="39">
        <f t="shared" si="13"/>
        <v>0</v>
      </c>
      <c r="CD91" s="39">
        <f t="shared" si="14"/>
        <v>0</v>
      </c>
      <c r="CE91" s="47" t="e">
        <f t="shared" si="15"/>
        <v>#DIV/0!</v>
      </c>
      <c r="CF91" s="36"/>
      <c r="CG91" s="39"/>
      <c r="CH91" s="39"/>
      <c r="CI91" s="25">
        <v>1</v>
      </c>
    </row>
    <row r="92" spans="1:106" ht="24.75" customHeight="1">
      <c r="A92" s="36" t="s">
        <v>50</v>
      </c>
      <c r="B92" s="26"/>
      <c r="C92" s="36"/>
      <c r="D92" s="36"/>
      <c r="E92" s="39"/>
      <c r="F92" s="39"/>
      <c r="G92" s="36"/>
      <c r="H92" s="39"/>
      <c r="I92" s="39"/>
      <c r="J92" s="39"/>
      <c r="K92" s="39"/>
      <c r="L92" s="39">
        <f t="shared" si="0"/>
        <v>0</v>
      </c>
      <c r="M92" s="39"/>
      <c r="N92" s="39"/>
      <c r="O92" s="39"/>
      <c r="P92" s="39"/>
      <c r="Q92" s="39"/>
      <c r="R92" s="39">
        <f t="shared" si="1"/>
        <v>0</v>
      </c>
      <c r="S92" s="39"/>
      <c r="T92" s="39"/>
      <c r="U92" s="39"/>
      <c r="V92" s="39"/>
      <c r="W92" s="39"/>
      <c r="X92" s="39"/>
      <c r="Y92" s="39"/>
      <c r="Z92" s="39"/>
      <c r="AA92" s="39"/>
      <c r="AB92" s="39">
        <f t="shared" si="2"/>
        <v>0</v>
      </c>
      <c r="AC92" s="39"/>
      <c r="AD92" s="39"/>
      <c r="AE92" s="39"/>
      <c r="AF92" s="39"/>
      <c r="AG92" s="39"/>
      <c r="AH92" s="39">
        <f t="shared" si="3"/>
        <v>0</v>
      </c>
      <c r="AI92" s="39"/>
      <c r="AJ92" s="39"/>
      <c r="AK92" s="39"/>
      <c r="AL92" s="39"/>
      <c r="AM92" s="39"/>
      <c r="AN92" s="39">
        <f t="shared" si="4"/>
        <v>0</v>
      </c>
      <c r="AO92" s="39"/>
      <c r="AP92" s="39"/>
      <c r="AQ92" s="39"/>
      <c r="AR92" s="39"/>
      <c r="AS92" s="39"/>
      <c r="AT92" s="39">
        <f t="shared" si="5"/>
        <v>0</v>
      </c>
      <c r="AU92" s="39"/>
      <c r="AV92" s="39"/>
      <c r="AW92" s="39"/>
      <c r="AX92" s="39"/>
      <c r="AY92" s="39"/>
      <c r="AZ92" s="39">
        <f t="shared" si="6"/>
        <v>0</v>
      </c>
      <c r="BA92" s="39"/>
      <c r="BB92" s="39"/>
      <c r="BC92" s="39"/>
      <c r="BD92" s="39"/>
      <c r="BE92" s="39"/>
      <c r="BF92" s="39">
        <f t="shared" si="7"/>
        <v>0</v>
      </c>
      <c r="BG92" s="39"/>
      <c r="BH92" s="39"/>
      <c r="BI92" s="39"/>
      <c r="BJ92" s="39"/>
      <c r="BK92" s="39"/>
      <c r="BL92" s="39">
        <f t="shared" si="8"/>
        <v>0</v>
      </c>
      <c r="BM92" s="54" t="e">
        <f t="shared" si="9"/>
        <v>#DIV/0!</v>
      </c>
      <c r="BN92" s="64"/>
      <c r="BO92" s="36"/>
      <c r="BP92" s="36"/>
      <c r="BQ92" s="36"/>
      <c r="BR92" s="39"/>
      <c r="BS92" s="39"/>
      <c r="BT92" s="39"/>
      <c r="BU92" s="39"/>
      <c r="BV92" s="39"/>
      <c r="BW92" s="39"/>
      <c r="BX92" s="39"/>
      <c r="BY92" s="39"/>
      <c r="BZ92" s="39">
        <f t="shared" si="10"/>
        <v>0</v>
      </c>
      <c r="CA92" s="39">
        <f t="shared" si="11"/>
        <v>0</v>
      </c>
      <c r="CB92" s="39">
        <f t="shared" si="12"/>
        <v>0</v>
      </c>
      <c r="CC92" s="39">
        <f t="shared" si="13"/>
        <v>0</v>
      </c>
      <c r="CD92" s="39">
        <f t="shared" si="14"/>
        <v>0</v>
      </c>
      <c r="CE92" s="47" t="e">
        <f t="shared" si="15"/>
        <v>#DIV/0!</v>
      </c>
      <c r="CF92" s="36"/>
      <c r="CG92" s="39"/>
      <c r="CH92" s="39"/>
      <c r="CI92" s="25">
        <v>1</v>
      </c>
    </row>
    <row r="93" spans="1:106" ht="24.75" customHeight="1">
      <c r="A93" s="36" t="s">
        <v>50</v>
      </c>
      <c r="B93" s="26"/>
      <c r="C93" s="36"/>
      <c r="D93" s="36"/>
      <c r="E93" s="39"/>
      <c r="F93" s="39"/>
      <c r="G93" s="36"/>
      <c r="H93" s="39"/>
      <c r="I93" s="39"/>
      <c r="J93" s="39"/>
      <c r="K93" s="39"/>
      <c r="L93" s="39">
        <f t="shared" si="0"/>
        <v>0</v>
      </c>
      <c r="M93" s="39"/>
      <c r="N93" s="39"/>
      <c r="O93" s="39"/>
      <c r="P93" s="39"/>
      <c r="Q93" s="39"/>
      <c r="R93" s="39">
        <f t="shared" si="1"/>
        <v>0</v>
      </c>
      <c r="S93" s="39"/>
      <c r="T93" s="39"/>
      <c r="U93" s="39"/>
      <c r="V93" s="39"/>
      <c r="W93" s="39"/>
      <c r="X93" s="39"/>
      <c r="Y93" s="39"/>
      <c r="Z93" s="39"/>
      <c r="AA93" s="39"/>
      <c r="AB93" s="39">
        <f t="shared" si="2"/>
        <v>0</v>
      </c>
      <c r="AC93" s="39"/>
      <c r="AD93" s="39"/>
      <c r="AE93" s="39"/>
      <c r="AF93" s="39"/>
      <c r="AG93" s="39"/>
      <c r="AH93" s="39">
        <f t="shared" si="3"/>
        <v>0</v>
      </c>
      <c r="AI93" s="39"/>
      <c r="AJ93" s="39"/>
      <c r="AK93" s="39"/>
      <c r="AL93" s="39"/>
      <c r="AM93" s="39"/>
      <c r="AN93" s="39">
        <f t="shared" si="4"/>
        <v>0</v>
      </c>
      <c r="AO93" s="39"/>
      <c r="AP93" s="39"/>
      <c r="AQ93" s="39"/>
      <c r="AR93" s="39"/>
      <c r="AS93" s="39"/>
      <c r="AT93" s="39">
        <f t="shared" si="5"/>
        <v>0</v>
      </c>
      <c r="AU93" s="39"/>
      <c r="AV93" s="39"/>
      <c r="AW93" s="39"/>
      <c r="AX93" s="39"/>
      <c r="AY93" s="39"/>
      <c r="AZ93" s="39">
        <f t="shared" si="6"/>
        <v>0</v>
      </c>
      <c r="BA93" s="39"/>
      <c r="BB93" s="39"/>
      <c r="BC93" s="39"/>
      <c r="BD93" s="39"/>
      <c r="BE93" s="39"/>
      <c r="BF93" s="39">
        <f t="shared" si="7"/>
        <v>0</v>
      </c>
      <c r="BG93" s="39"/>
      <c r="BH93" s="39"/>
      <c r="BI93" s="39"/>
      <c r="BJ93" s="39"/>
      <c r="BK93" s="39"/>
      <c r="BL93" s="39">
        <f t="shared" si="8"/>
        <v>0</v>
      </c>
      <c r="BM93" s="54" t="e">
        <f t="shared" si="9"/>
        <v>#DIV/0!</v>
      </c>
      <c r="BN93" s="64"/>
      <c r="BO93" s="36"/>
      <c r="BP93" s="36"/>
      <c r="BQ93" s="36"/>
      <c r="BR93" s="39"/>
      <c r="BS93" s="39"/>
      <c r="BT93" s="39"/>
      <c r="BU93" s="39"/>
      <c r="BV93" s="39"/>
      <c r="BW93" s="39"/>
      <c r="BX93" s="39"/>
      <c r="BY93" s="39"/>
      <c r="BZ93" s="39">
        <f t="shared" si="10"/>
        <v>0</v>
      </c>
      <c r="CA93" s="39">
        <f t="shared" si="11"/>
        <v>0</v>
      </c>
      <c r="CB93" s="39">
        <f t="shared" si="12"/>
        <v>0</v>
      </c>
      <c r="CC93" s="39">
        <f t="shared" si="13"/>
        <v>0</v>
      </c>
      <c r="CD93" s="39">
        <f t="shared" si="14"/>
        <v>0</v>
      </c>
      <c r="CE93" s="47" t="e">
        <f t="shared" si="15"/>
        <v>#DIV/0!</v>
      </c>
      <c r="CF93" s="36"/>
      <c r="CG93" s="39"/>
      <c r="CH93" s="39"/>
      <c r="CI93" s="25">
        <v>1</v>
      </c>
    </row>
    <row r="94" spans="1:106" ht="24.75" customHeight="1">
      <c r="A94" s="36" t="s">
        <v>50</v>
      </c>
      <c r="B94" s="26"/>
      <c r="C94" s="36"/>
      <c r="D94" s="36"/>
      <c r="E94" s="39"/>
      <c r="F94" s="39"/>
      <c r="G94" s="36"/>
      <c r="H94" s="39"/>
      <c r="I94" s="39"/>
      <c r="J94" s="39"/>
      <c r="K94" s="39"/>
      <c r="L94" s="39">
        <f t="shared" si="0"/>
        <v>0</v>
      </c>
      <c r="M94" s="39"/>
      <c r="N94" s="39"/>
      <c r="O94" s="39"/>
      <c r="P94" s="39"/>
      <c r="Q94" s="39"/>
      <c r="R94" s="39">
        <f t="shared" si="1"/>
        <v>0</v>
      </c>
      <c r="S94" s="39"/>
      <c r="T94" s="39"/>
      <c r="U94" s="39"/>
      <c r="V94" s="39"/>
      <c r="W94" s="39"/>
      <c r="X94" s="39"/>
      <c r="Y94" s="39"/>
      <c r="Z94" s="39"/>
      <c r="AA94" s="39"/>
      <c r="AB94" s="39">
        <f t="shared" si="2"/>
        <v>0</v>
      </c>
      <c r="AC94" s="39"/>
      <c r="AD94" s="39"/>
      <c r="AE94" s="39"/>
      <c r="AF94" s="39"/>
      <c r="AG94" s="39"/>
      <c r="AH94" s="39">
        <f t="shared" si="3"/>
        <v>0</v>
      </c>
      <c r="AI94" s="39"/>
      <c r="AJ94" s="39"/>
      <c r="AK94" s="39"/>
      <c r="AL94" s="39"/>
      <c r="AM94" s="39"/>
      <c r="AN94" s="39">
        <f t="shared" si="4"/>
        <v>0</v>
      </c>
      <c r="AO94" s="39"/>
      <c r="AP94" s="39"/>
      <c r="AQ94" s="39"/>
      <c r="AR94" s="39"/>
      <c r="AS94" s="39"/>
      <c r="AT94" s="39">
        <f t="shared" si="5"/>
        <v>0</v>
      </c>
      <c r="AU94" s="39"/>
      <c r="AV94" s="39"/>
      <c r="AW94" s="39"/>
      <c r="AX94" s="39"/>
      <c r="AY94" s="39"/>
      <c r="AZ94" s="39">
        <f t="shared" si="6"/>
        <v>0</v>
      </c>
      <c r="BA94" s="39"/>
      <c r="BB94" s="39"/>
      <c r="BC94" s="39"/>
      <c r="BD94" s="39"/>
      <c r="BE94" s="39"/>
      <c r="BF94" s="39">
        <f t="shared" si="7"/>
        <v>0</v>
      </c>
      <c r="BG94" s="39"/>
      <c r="BH94" s="39"/>
      <c r="BI94" s="39"/>
      <c r="BJ94" s="39"/>
      <c r="BK94" s="39"/>
      <c r="BL94" s="39">
        <f t="shared" si="8"/>
        <v>0</v>
      </c>
      <c r="BM94" s="54" t="e">
        <f t="shared" si="9"/>
        <v>#DIV/0!</v>
      </c>
      <c r="BN94" s="64"/>
      <c r="BO94" s="36"/>
      <c r="BP94" s="36"/>
      <c r="BQ94" s="36"/>
      <c r="BR94" s="39"/>
      <c r="BS94" s="39"/>
      <c r="BT94" s="39"/>
      <c r="BU94" s="39"/>
      <c r="BV94" s="39"/>
      <c r="BW94" s="39"/>
      <c r="BX94" s="39"/>
      <c r="BY94" s="39"/>
      <c r="BZ94" s="39">
        <f t="shared" si="10"/>
        <v>0</v>
      </c>
      <c r="CA94" s="39">
        <f t="shared" si="11"/>
        <v>0</v>
      </c>
      <c r="CB94" s="39">
        <f t="shared" si="12"/>
        <v>0</v>
      </c>
      <c r="CC94" s="39">
        <f t="shared" si="13"/>
        <v>0</v>
      </c>
      <c r="CD94" s="39">
        <f t="shared" si="14"/>
        <v>0</v>
      </c>
      <c r="CE94" s="47" t="e">
        <f t="shared" si="15"/>
        <v>#DIV/0!</v>
      </c>
      <c r="CF94" s="36"/>
      <c r="CG94" s="39"/>
      <c r="CH94" s="39"/>
      <c r="CI94" s="25">
        <v>1</v>
      </c>
    </row>
    <row r="95" spans="1:106" ht="24.75" customHeight="1">
      <c r="A95" s="36" t="s">
        <v>50</v>
      </c>
      <c r="B95" s="26">
        <v>48091</v>
      </c>
      <c r="C95" s="227" t="s">
        <v>1735</v>
      </c>
      <c r="D95" s="36" t="s">
        <v>24</v>
      </c>
      <c r="E95" s="39">
        <v>200</v>
      </c>
      <c r="F95" s="39" t="s">
        <v>67</v>
      </c>
      <c r="G95" s="36" t="s">
        <v>1727</v>
      </c>
      <c r="H95" s="36" t="s">
        <v>1728</v>
      </c>
      <c r="I95" s="39">
        <v>137</v>
      </c>
      <c r="J95" s="39"/>
      <c r="K95" s="39"/>
      <c r="L95" s="39">
        <f t="shared" ref="L95:L245" si="38">SUM(I95:K95)</f>
        <v>137</v>
      </c>
      <c r="M95" s="117">
        <v>46266</v>
      </c>
      <c r="N95" s="117">
        <v>46275</v>
      </c>
      <c r="O95" s="39"/>
      <c r="P95" s="39"/>
      <c r="Q95" s="39"/>
      <c r="R95" s="39">
        <f t="shared" si="1"/>
        <v>0</v>
      </c>
      <c r="S95" s="39" t="s">
        <v>130</v>
      </c>
      <c r="T95" s="39"/>
      <c r="U95" s="39"/>
      <c r="V95" s="39"/>
      <c r="W95" s="39"/>
      <c r="X95" s="39"/>
      <c r="Y95" s="39"/>
      <c r="Z95" s="39"/>
      <c r="AA95" s="39"/>
      <c r="AB95" s="118">
        <f t="shared" si="2"/>
        <v>0</v>
      </c>
      <c r="AC95" s="39"/>
      <c r="AD95" s="39"/>
      <c r="AE95" s="39"/>
      <c r="AF95" s="39"/>
      <c r="AG95" s="39"/>
      <c r="AH95" s="39">
        <f t="shared" si="3"/>
        <v>0</v>
      </c>
      <c r="AI95" s="39"/>
      <c r="AJ95" s="39"/>
      <c r="AK95" s="39"/>
      <c r="AL95" s="39"/>
      <c r="AM95" s="39"/>
      <c r="AN95" s="39">
        <f t="shared" si="4"/>
        <v>0</v>
      </c>
      <c r="AO95" s="39"/>
      <c r="AP95" s="39"/>
      <c r="AQ95" s="39"/>
      <c r="AR95" s="39"/>
      <c r="AS95" s="39"/>
      <c r="AT95" s="39">
        <f t="shared" si="5"/>
        <v>0</v>
      </c>
      <c r="AU95" s="39"/>
      <c r="AV95" s="39"/>
      <c r="AW95" s="39"/>
      <c r="AX95" s="39"/>
      <c r="AY95" s="39"/>
      <c r="AZ95" s="39">
        <f t="shared" si="6"/>
        <v>0</v>
      </c>
      <c r="BA95" s="39"/>
      <c r="BB95" s="39"/>
      <c r="BC95" s="39"/>
      <c r="BD95" s="39"/>
      <c r="BE95" s="39"/>
      <c r="BF95" s="39">
        <f t="shared" si="7"/>
        <v>0</v>
      </c>
      <c r="BG95" s="39"/>
      <c r="BH95" s="39"/>
      <c r="BI95" s="39"/>
      <c r="BJ95" s="39"/>
      <c r="BK95" s="39"/>
      <c r="BL95" s="39">
        <f t="shared" si="8"/>
        <v>0</v>
      </c>
      <c r="BM95" s="54">
        <f t="shared" ca="1" si="9"/>
        <v>46283</v>
      </c>
      <c r="BN95" s="66">
        <v>46283</v>
      </c>
      <c r="BO95" s="57">
        <v>46291</v>
      </c>
      <c r="BP95" s="36"/>
      <c r="BQ95" s="36"/>
      <c r="BR95" s="36"/>
      <c r="BS95" s="36"/>
      <c r="BT95" s="39"/>
      <c r="BU95" s="39"/>
      <c r="BV95" s="39"/>
      <c r="BW95" s="39"/>
      <c r="BX95" s="39"/>
      <c r="BY95" s="39"/>
      <c r="BZ95" s="39">
        <f t="shared" si="10"/>
        <v>0</v>
      </c>
      <c r="CA95" s="39">
        <f t="shared" si="11"/>
        <v>-137</v>
      </c>
      <c r="CB95" s="39">
        <f t="shared" si="12"/>
        <v>0</v>
      </c>
      <c r="CC95" s="39">
        <f t="shared" si="13"/>
        <v>0</v>
      </c>
      <c r="CD95" s="39">
        <f t="shared" si="14"/>
        <v>-137</v>
      </c>
      <c r="CE95" s="102">
        <f t="shared" si="15"/>
        <v>-1</v>
      </c>
      <c r="CF95" s="36"/>
      <c r="CG95" s="39" t="s">
        <v>228</v>
      </c>
      <c r="CH95" s="39"/>
      <c r="CI95" s="25">
        <v>2</v>
      </c>
    </row>
    <row r="96" spans="1:106" ht="24.75" customHeight="1">
      <c r="A96" s="36" t="s">
        <v>50</v>
      </c>
      <c r="B96" s="26">
        <v>48091</v>
      </c>
      <c r="C96" s="231"/>
      <c r="D96" s="36" t="s">
        <v>24</v>
      </c>
      <c r="E96" s="39">
        <v>200</v>
      </c>
      <c r="F96" s="39" t="s">
        <v>67</v>
      </c>
      <c r="G96" s="36" t="s">
        <v>1730</v>
      </c>
      <c r="H96" s="36" t="s">
        <v>1728</v>
      </c>
      <c r="I96" s="39">
        <v>111</v>
      </c>
      <c r="J96" s="39"/>
      <c r="K96" s="39"/>
      <c r="L96" s="39">
        <f t="shared" si="38"/>
        <v>111</v>
      </c>
      <c r="M96" s="117">
        <v>46266</v>
      </c>
      <c r="N96" s="117">
        <v>46275</v>
      </c>
      <c r="O96" s="39"/>
      <c r="P96" s="39"/>
      <c r="Q96" s="39"/>
      <c r="R96" s="39">
        <f t="shared" ref="R96:R97" si="39">SUM(O96:Q96)</f>
        <v>0</v>
      </c>
      <c r="S96" s="39" t="s">
        <v>130</v>
      </c>
      <c r="T96" s="39"/>
      <c r="U96" s="39"/>
      <c r="V96" s="39"/>
      <c r="W96" s="39"/>
      <c r="X96" s="39"/>
      <c r="Y96" s="39"/>
      <c r="Z96" s="39"/>
      <c r="AA96" s="39"/>
      <c r="AB96" s="118">
        <f t="shared" si="2"/>
        <v>0</v>
      </c>
      <c r="AC96" s="39"/>
      <c r="AD96" s="39"/>
      <c r="AE96" s="39"/>
      <c r="AF96" s="39"/>
      <c r="AG96" s="39"/>
      <c r="AH96" s="39">
        <f t="shared" si="3"/>
        <v>0</v>
      </c>
      <c r="AI96" s="39"/>
      <c r="AJ96" s="39"/>
      <c r="AK96" s="39"/>
      <c r="AL96" s="39"/>
      <c r="AM96" s="39"/>
      <c r="AN96" s="39">
        <f t="shared" si="4"/>
        <v>0</v>
      </c>
      <c r="AO96" s="39"/>
      <c r="AP96" s="39"/>
      <c r="AQ96" s="39"/>
      <c r="AR96" s="39"/>
      <c r="AS96" s="39"/>
      <c r="AT96" s="39">
        <f t="shared" si="5"/>
        <v>0</v>
      </c>
      <c r="AU96" s="39"/>
      <c r="AV96" s="39"/>
      <c r="AW96" s="39"/>
      <c r="AX96" s="39"/>
      <c r="AY96" s="39"/>
      <c r="AZ96" s="39">
        <f t="shared" si="6"/>
        <v>0</v>
      </c>
      <c r="BA96" s="39"/>
      <c r="BB96" s="39"/>
      <c r="BC96" s="39"/>
      <c r="BD96" s="39"/>
      <c r="BE96" s="39"/>
      <c r="BF96" s="39">
        <f t="shared" si="7"/>
        <v>0</v>
      </c>
      <c r="BG96" s="39"/>
      <c r="BH96" s="39"/>
      <c r="BI96" s="39"/>
      <c r="BJ96" s="39"/>
      <c r="BK96" s="39"/>
      <c r="BL96" s="39">
        <f t="shared" si="8"/>
        <v>0</v>
      </c>
      <c r="BM96" s="54">
        <f t="shared" ca="1" si="9"/>
        <v>46283</v>
      </c>
      <c r="BN96" s="66">
        <v>46283</v>
      </c>
      <c r="BO96" s="57">
        <v>46291</v>
      </c>
      <c r="BP96" s="36"/>
      <c r="BQ96" s="36"/>
      <c r="BR96" s="36"/>
      <c r="BS96" s="36"/>
      <c r="BT96" s="39"/>
      <c r="BU96" s="39"/>
      <c r="BV96" s="39"/>
      <c r="BW96" s="39"/>
      <c r="BX96" s="39"/>
      <c r="BY96" s="39"/>
      <c r="BZ96" s="39">
        <f t="shared" si="10"/>
        <v>0</v>
      </c>
      <c r="CA96" s="39">
        <f t="shared" si="11"/>
        <v>-111</v>
      </c>
      <c r="CB96" s="39">
        <f t="shared" si="12"/>
        <v>0</v>
      </c>
      <c r="CC96" s="39">
        <f t="shared" si="13"/>
        <v>0</v>
      </c>
      <c r="CD96" s="39">
        <f t="shared" si="14"/>
        <v>-111</v>
      </c>
      <c r="CE96" s="102">
        <f t="shared" si="15"/>
        <v>-1</v>
      </c>
      <c r="CF96" s="36"/>
      <c r="CG96" s="39" t="s">
        <v>228</v>
      </c>
      <c r="CH96" s="39"/>
      <c r="CI96" s="25">
        <v>2</v>
      </c>
    </row>
    <row r="97" spans="1:87" ht="24.75" customHeight="1">
      <c r="A97" s="36" t="s">
        <v>50</v>
      </c>
      <c r="B97" s="26">
        <v>48091</v>
      </c>
      <c r="C97" s="228"/>
      <c r="D97" s="36"/>
      <c r="E97" s="39"/>
      <c r="F97" s="39"/>
      <c r="G97" s="36" t="s">
        <v>75</v>
      </c>
      <c r="H97" s="36"/>
      <c r="I97" s="39"/>
      <c r="J97" s="39"/>
      <c r="K97" s="39"/>
      <c r="L97" s="39">
        <f t="shared" ref="L97:L114" si="40">SUM(I97:K97)</f>
        <v>0</v>
      </c>
      <c r="M97" s="117">
        <v>46266</v>
      </c>
      <c r="N97" s="117">
        <v>46275</v>
      </c>
      <c r="O97" s="39"/>
      <c r="P97" s="39"/>
      <c r="Q97" s="39"/>
      <c r="R97" s="39">
        <f t="shared" si="39"/>
        <v>0</v>
      </c>
      <c r="S97" s="39" t="s">
        <v>130</v>
      </c>
      <c r="T97" s="39"/>
      <c r="U97" s="39"/>
      <c r="V97" s="39"/>
      <c r="W97" s="39"/>
      <c r="X97" s="39"/>
      <c r="Y97" s="39"/>
      <c r="Z97" s="39"/>
      <c r="AA97" s="39"/>
      <c r="AB97" s="39">
        <f t="shared" si="2"/>
        <v>0</v>
      </c>
      <c r="AC97" s="39"/>
      <c r="AD97" s="39"/>
      <c r="AE97" s="39"/>
      <c r="AF97" s="39"/>
      <c r="AG97" s="39"/>
      <c r="AH97" s="39">
        <f t="shared" si="3"/>
        <v>0</v>
      </c>
      <c r="AI97" s="39"/>
      <c r="AJ97" s="39"/>
      <c r="AK97" s="39"/>
      <c r="AL97" s="39"/>
      <c r="AM97" s="39"/>
      <c r="AN97" s="39">
        <f t="shared" si="4"/>
        <v>0</v>
      </c>
      <c r="AO97" s="39"/>
      <c r="AP97" s="39"/>
      <c r="AQ97" s="39"/>
      <c r="AR97" s="39"/>
      <c r="AS97" s="39"/>
      <c r="AT97" s="39">
        <f t="shared" si="5"/>
        <v>0</v>
      </c>
      <c r="AU97" s="39"/>
      <c r="AV97" s="39"/>
      <c r="AW97" s="39"/>
      <c r="AX97" s="39"/>
      <c r="AY97" s="39"/>
      <c r="AZ97" s="39">
        <f t="shared" si="6"/>
        <v>0</v>
      </c>
      <c r="BA97" s="39"/>
      <c r="BB97" s="39"/>
      <c r="BC97" s="39"/>
      <c r="BD97" s="39"/>
      <c r="BE97" s="39"/>
      <c r="BF97" s="39">
        <f t="shared" si="7"/>
        <v>0</v>
      </c>
      <c r="BG97" s="39"/>
      <c r="BH97" s="39"/>
      <c r="BI97" s="39"/>
      <c r="BJ97" s="39"/>
      <c r="BK97" s="39"/>
      <c r="BL97" s="39">
        <f t="shared" si="8"/>
        <v>0</v>
      </c>
      <c r="BM97" s="54" t="e">
        <f t="shared" si="9"/>
        <v>#DIV/0!</v>
      </c>
      <c r="BN97" s="66">
        <v>46283</v>
      </c>
      <c r="BO97" s="57">
        <v>46291</v>
      </c>
      <c r="BP97" s="36"/>
      <c r="BQ97" s="36"/>
      <c r="BR97" s="36"/>
      <c r="BS97" s="36"/>
      <c r="BT97" s="39"/>
      <c r="BU97" s="39"/>
      <c r="BV97" s="39"/>
      <c r="BW97" s="39"/>
      <c r="BX97" s="39"/>
      <c r="BY97" s="39"/>
      <c r="BZ97" s="39">
        <f t="shared" si="10"/>
        <v>0</v>
      </c>
      <c r="CA97" s="39">
        <f t="shared" si="11"/>
        <v>0</v>
      </c>
      <c r="CB97" s="39">
        <f t="shared" si="12"/>
        <v>0</v>
      </c>
      <c r="CC97" s="39">
        <f t="shared" si="13"/>
        <v>0</v>
      </c>
      <c r="CD97" s="39">
        <f t="shared" si="14"/>
        <v>0</v>
      </c>
      <c r="CE97" s="102" t="e">
        <f t="shared" si="15"/>
        <v>#DIV/0!</v>
      </c>
      <c r="CF97" s="36"/>
      <c r="CG97" s="39" t="s">
        <v>228</v>
      </c>
      <c r="CH97" s="39"/>
      <c r="CI97" s="25">
        <v>2</v>
      </c>
    </row>
    <row r="98" spans="1:87" ht="24.75" customHeight="1">
      <c r="A98" s="36" t="s">
        <v>50</v>
      </c>
      <c r="B98" s="26">
        <v>48092</v>
      </c>
      <c r="C98" s="227" t="s">
        <v>1736</v>
      </c>
      <c r="D98" s="36" t="s">
        <v>24</v>
      </c>
      <c r="E98" s="39">
        <v>200</v>
      </c>
      <c r="F98" s="39" t="s">
        <v>67</v>
      </c>
      <c r="G98" s="36" t="s">
        <v>1727</v>
      </c>
      <c r="H98" s="36" t="s">
        <v>1728</v>
      </c>
      <c r="I98" s="39">
        <v>171</v>
      </c>
      <c r="J98" s="39"/>
      <c r="K98" s="39"/>
      <c r="L98" s="39">
        <f t="shared" si="40"/>
        <v>171</v>
      </c>
      <c r="M98" s="117">
        <v>46266</v>
      </c>
      <c r="N98" s="117">
        <v>46278</v>
      </c>
      <c r="O98" s="39"/>
      <c r="P98" s="39"/>
      <c r="Q98" s="39"/>
      <c r="R98" s="39">
        <f t="shared" si="1"/>
        <v>0</v>
      </c>
      <c r="S98" s="39" t="s">
        <v>130</v>
      </c>
      <c r="T98" s="39"/>
      <c r="U98" s="39"/>
      <c r="V98" s="39"/>
      <c r="W98" s="39"/>
      <c r="X98" s="39"/>
      <c r="Y98" s="39"/>
      <c r="Z98" s="39"/>
      <c r="AA98" s="39"/>
      <c r="AB98" s="118">
        <f t="shared" si="2"/>
        <v>0</v>
      </c>
      <c r="AC98" s="39"/>
      <c r="AD98" s="39"/>
      <c r="AE98" s="39"/>
      <c r="AF98" s="39"/>
      <c r="AG98" s="39"/>
      <c r="AH98" s="39">
        <f t="shared" si="3"/>
        <v>0</v>
      </c>
      <c r="AI98" s="39"/>
      <c r="AJ98" s="39"/>
      <c r="AK98" s="39"/>
      <c r="AL98" s="39"/>
      <c r="AM98" s="39"/>
      <c r="AN98" s="39">
        <f t="shared" si="4"/>
        <v>0</v>
      </c>
      <c r="AO98" s="39"/>
      <c r="AP98" s="39"/>
      <c r="AQ98" s="39"/>
      <c r="AR98" s="39"/>
      <c r="AS98" s="39"/>
      <c r="AT98" s="39">
        <f t="shared" si="5"/>
        <v>0</v>
      </c>
      <c r="AU98" s="39"/>
      <c r="AV98" s="39"/>
      <c r="AW98" s="39"/>
      <c r="AX98" s="39"/>
      <c r="AY98" s="39"/>
      <c r="AZ98" s="39">
        <f t="shared" si="6"/>
        <v>0</v>
      </c>
      <c r="BA98" s="39"/>
      <c r="BB98" s="39"/>
      <c r="BC98" s="39"/>
      <c r="BD98" s="39"/>
      <c r="BE98" s="39"/>
      <c r="BF98" s="39">
        <f t="shared" si="7"/>
        <v>0</v>
      </c>
      <c r="BG98" s="39"/>
      <c r="BH98" s="39"/>
      <c r="BI98" s="39"/>
      <c r="BJ98" s="39"/>
      <c r="BK98" s="39"/>
      <c r="BL98" s="39">
        <f t="shared" si="8"/>
        <v>0</v>
      </c>
      <c r="BM98" s="54">
        <f t="shared" ca="1" si="9"/>
        <v>46283</v>
      </c>
      <c r="BN98" s="66">
        <v>46284</v>
      </c>
      <c r="BO98" s="57">
        <v>46291</v>
      </c>
      <c r="BP98" s="36"/>
      <c r="BQ98" s="36"/>
      <c r="BR98" s="36"/>
      <c r="BS98" s="36"/>
      <c r="BT98" s="39"/>
      <c r="BU98" s="39"/>
      <c r="BV98" s="39"/>
      <c r="BW98" s="39"/>
      <c r="BX98" s="39"/>
      <c r="BY98" s="39"/>
      <c r="BZ98" s="39">
        <f t="shared" si="10"/>
        <v>0</v>
      </c>
      <c r="CA98" s="39">
        <f t="shared" si="11"/>
        <v>-171</v>
      </c>
      <c r="CB98" s="39">
        <f t="shared" si="12"/>
        <v>0</v>
      </c>
      <c r="CC98" s="39">
        <f t="shared" si="13"/>
        <v>0</v>
      </c>
      <c r="CD98" s="39">
        <f t="shared" si="14"/>
        <v>-171</v>
      </c>
      <c r="CE98" s="102">
        <f t="shared" si="15"/>
        <v>-1</v>
      </c>
      <c r="CF98" s="36"/>
      <c r="CG98" s="39" t="s">
        <v>228</v>
      </c>
      <c r="CH98" s="39"/>
      <c r="CI98" s="25">
        <v>2</v>
      </c>
    </row>
    <row r="99" spans="1:87" ht="24.75" customHeight="1">
      <c r="A99" s="36" t="s">
        <v>50</v>
      </c>
      <c r="B99" s="26">
        <v>48092</v>
      </c>
      <c r="C99" s="231"/>
      <c r="D99" s="36" t="s">
        <v>24</v>
      </c>
      <c r="E99" s="39">
        <v>200</v>
      </c>
      <c r="F99" s="39" t="s">
        <v>67</v>
      </c>
      <c r="G99" s="36" t="s">
        <v>1730</v>
      </c>
      <c r="H99" s="36" t="s">
        <v>1728</v>
      </c>
      <c r="I99" s="39">
        <v>171</v>
      </c>
      <c r="J99" s="39"/>
      <c r="K99" s="39"/>
      <c r="L99" s="39">
        <f t="shared" si="40"/>
        <v>171</v>
      </c>
      <c r="M99" s="117">
        <v>46266</v>
      </c>
      <c r="N99" s="117">
        <v>46278</v>
      </c>
      <c r="O99" s="39"/>
      <c r="P99" s="39"/>
      <c r="Q99" s="39"/>
      <c r="R99" s="39">
        <f t="shared" ref="R99:R100" si="41">SUM(O99:Q99)</f>
        <v>0</v>
      </c>
      <c r="S99" s="39" t="s">
        <v>130</v>
      </c>
      <c r="T99" s="39"/>
      <c r="U99" s="39"/>
      <c r="V99" s="39"/>
      <c r="W99" s="39"/>
      <c r="X99" s="39"/>
      <c r="Y99" s="39"/>
      <c r="Z99" s="39"/>
      <c r="AA99" s="39"/>
      <c r="AB99" s="118">
        <f t="shared" ref="AB99:AB100" si="42">SUM(Y99:AA99)</f>
        <v>0</v>
      </c>
      <c r="AC99" s="39"/>
      <c r="AD99" s="39"/>
      <c r="AE99" s="39"/>
      <c r="AF99" s="39"/>
      <c r="AG99" s="39"/>
      <c r="AH99" s="39">
        <f t="shared" si="3"/>
        <v>0</v>
      </c>
      <c r="AI99" s="39"/>
      <c r="AJ99" s="39"/>
      <c r="AK99" s="39"/>
      <c r="AL99" s="39"/>
      <c r="AM99" s="39"/>
      <c r="AN99" s="39">
        <f t="shared" si="4"/>
        <v>0</v>
      </c>
      <c r="AO99" s="39"/>
      <c r="AP99" s="39"/>
      <c r="AQ99" s="39"/>
      <c r="AR99" s="39"/>
      <c r="AS99" s="39"/>
      <c r="AT99" s="39">
        <f t="shared" si="5"/>
        <v>0</v>
      </c>
      <c r="AU99" s="39"/>
      <c r="AV99" s="39"/>
      <c r="AW99" s="39"/>
      <c r="AX99" s="39"/>
      <c r="AY99" s="39"/>
      <c r="AZ99" s="39">
        <f t="shared" si="6"/>
        <v>0</v>
      </c>
      <c r="BA99" s="39"/>
      <c r="BB99" s="39"/>
      <c r="BC99" s="39"/>
      <c r="BD99" s="39"/>
      <c r="BE99" s="39"/>
      <c r="BF99" s="39">
        <f t="shared" si="7"/>
        <v>0</v>
      </c>
      <c r="BG99" s="39"/>
      <c r="BH99" s="39"/>
      <c r="BI99" s="39"/>
      <c r="BJ99" s="39"/>
      <c r="BK99" s="39"/>
      <c r="BL99" s="39">
        <f t="shared" si="8"/>
        <v>0</v>
      </c>
      <c r="BM99" s="54">
        <f t="shared" ca="1" si="9"/>
        <v>46283</v>
      </c>
      <c r="BN99" s="66">
        <v>46284</v>
      </c>
      <c r="BO99" s="57">
        <v>46291</v>
      </c>
      <c r="BP99" s="36"/>
      <c r="BQ99" s="36"/>
      <c r="BR99" s="36"/>
      <c r="BS99" s="36"/>
      <c r="BT99" s="39"/>
      <c r="BU99" s="39"/>
      <c r="BV99" s="39"/>
      <c r="BW99" s="39"/>
      <c r="BX99" s="39"/>
      <c r="BY99" s="39"/>
      <c r="BZ99" s="39">
        <f t="shared" si="10"/>
        <v>0</v>
      </c>
      <c r="CA99" s="39">
        <f t="shared" si="11"/>
        <v>-171</v>
      </c>
      <c r="CB99" s="39">
        <f t="shared" si="12"/>
        <v>0</v>
      </c>
      <c r="CC99" s="39">
        <f t="shared" si="13"/>
        <v>0</v>
      </c>
      <c r="CD99" s="39">
        <f t="shared" si="14"/>
        <v>-171</v>
      </c>
      <c r="CE99" s="102">
        <f t="shared" si="15"/>
        <v>-1</v>
      </c>
      <c r="CF99" s="36"/>
      <c r="CG99" s="39" t="s">
        <v>228</v>
      </c>
      <c r="CH99" s="39"/>
      <c r="CI99" s="25">
        <v>2</v>
      </c>
    </row>
    <row r="100" spans="1:87" ht="24.75" customHeight="1">
      <c r="A100" s="36" t="s">
        <v>50</v>
      </c>
      <c r="B100" s="26">
        <v>48092</v>
      </c>
      <c r="C100" s="228"/>
      <c r="D100" s="36"/>
      <c r="E100" s="39"/>
      <c r="F100" s="39"/>
      <c r="G100" s="36" t="s">
        <v>75</v>
      </c>
      <c r="H100" s="36"/>
      <c r="I100" s="39"/>
      <c r="J100" s="39"/>
      <c r="K100" s="39"/>
      <c r="L100" s="39">
        <f t="shared" si="40"/>
        <v>0</v>
      </c>
      <c r="M100" s="117">
        <v>46266</v>
      </c>
      <c r="N100" s="117">
        <v>46278</v>
      </c>
      <c r="O100" s="39"/>
      <c r="P100" s="39"/>
      <c r="Q100" s="39"/>
      <c r="R100" s="39">
        <f t="shared" si="41"/>
        <v>0</v>
      </c>
      <c r="S100" s="39" t="s">
        <v>130</v>
      </c>
      <c r="T100" s="39"/>
      <c r="U100" s="39"/>
      <c r="V100" s="39"/>
      <c r="W100" s="39"/>
      <c r="X100" s="39"/>
      <c r="Y100" s="39"/>
      <c r="Z100" s="39"/>
      <c r="AA100" s="39"/>
      <c r="AB100" s="39">
        <f t="shared" si="42"/>
        <v>0</v>
      </c>
      <c r="AC100" s="39"/>
      <c r="AD100" s="39"/>
      <c r="AE100" s="39"/>
      <c r="AF100" s="39"/>
      <c r="AG100" s="39"/>
      <c r="AH100" s="39">
        <f t="shared" si="3"/>
        <v>0</v>
      </c>
      <c r="AI100" s="39"/>
      <c r="AJ100" s="39"/>
      <c r="AK100" s="39"/>
      <c r="AL100" s="39"/>
      <c r="AM100" s="39"/>
      <c r="AN100" s="39">
        <f t="shared" si="4"/>
        <v>0</v>
      </c>
      <c r="AO100" s="39"/>
      <c r="AP100" s="39"/>
      <c r="AQ100" s="39"/>
      <c r="AR100" s="39"/>
      <c r="AS100" s="39"/>
      <c r="AT100" s="39">
        <f t="shared" si="5"/>
        <v>0</v>
      </c>
      <c r="AU100" s="39"/>
      <c r="AV100" s="39"/>
      <c r="AW100" s="39"/>
      <c r="AX100" s="39"/>
      <c r="AY100" s="39"/>
      <c r="AZ100" s="39">
        <f t="shared" si="6"/>
        <v>0</v>
      </c>
      <c r="BA100" s="39"/>
      <c r="BB100" s="39"/>
      <c r="BC100" s="39"/>
      <c r="BD100" s="39"/>
      <c r="BE100" s="39"/>
      <c r="BF100" s="39">
        <f t="shared" si="7"/>
        <v>0</v>
      </c>
      <c r="BG100" s="39"/>
      <c r="BH100" s="39"/>
      <c r="BI100" s="39"/>
      <c r="BJ100" s="39"/>
      <c r="BK100" s="39"/>
      <c r="BL100" s="39">
        <f t="shared" si="8"/>
        <v>0</v>
      </c>
      <c r="BM100" s="54" t="e">
        <f t="shared" si="9"/>
        <v>#DIV/0!</v>
      </c>
      <c r="BN100" s="66">
        <v>46284</v>
      </c>
      <c r="BO100" s="57">
        <v>46291</v>
      </c>
      <c r="BP100" s="36"/>
      <c r="BQ100" s="36"/>
      <c r="BR100" s="36"/>
      <c r="BS100" s="36"/>
      <c r="BT100" s="39"/>
      <c r="BU100" s="39"/>
      <c r="BV100" s="39"/>
      <c r="BW100" s="39"/>
      <c r="BX100" s="39"/>
      <c r="BY100" s="39"/>
      <c r="BZ100" s="39">
        <f t="shared" si="10"/>
        <v>0</v>
      </c>
      <c r="CA100" s="39">
        <f t="shared" si="11"/>
        <v>0</v>
      </c>
      <c r="CB100" s="39">
        <f t="shared" si="12"/>
        <v>0</v>
      </c>
      <c r="CC100" s="39">
        <f t="shared" si="13"/>
        <v>0</v>
      </c>
      <c r="CD100" s="39">
        <f t="shared" si="14"/>
        <v>0</v>
      </c>
      <c r="CE100" s="102" t="e">
        <f t="shared" si="15"/>
        <v>#DIV/0!</v>
      </c>
      <c r="CF100" s="36"/>
      <c r="CG100" s="39" t="s">
        <v>228</v>
      </c>
      <c r="CH100" s="39"/>
      <c r="CI100" s="25">
        <v>2</v>
      </c>
    </row>
    <row r="101" spans="1:87" ht="24.75" customHeight="1">
      <c r="A101" s="36" t="s">
        <v>50</v>
      </c>
      <c r="B101" s="26">
        <v>48102</v>
      </c>
      <c r="C101" s="227" t="s">
        <v>2268</v>
      </c>
      <c r="D101" s="36" t="s">
        <v>37</v>
      </c>
      <c r="E101" s="39">
        <v>160</v>
      </c>
      <c r="F101" s="39" t="s">
        <v>55</v>
      </c>
      <c r="G101" s="36" t="s">
        <v>1737</v>
      </c>
      <c r="H101" s="36" t="s">
        <v>22</v>
      </c>
      <c r="I101" s="39">
        <v>186</v>
      </c>
      <c r="J101" s="39"/>
      <c r="K101" s="39"/>
      <c r="L101" s="39">
        <f t="shared" si="40"/>
        <v>186</v>
      </c>
      <c r="M101" s="117">
        <v>46267</v>
      </c>
      <c r="N101" s="117">
        <v>46273</v>
      </c>
      <c r="O101" s="39"/>
      <c r="P101" s="39"/>
      <c r="Q101" s="39"/>
      <c r="R101" s="39">
        <f t="shared" si="1"/>
        <v>0</v>
      </c>
      <c r="S101" s="39" t="s">
        <v>31</v>
      </c>
      <c r="T101" s="39"/>
      <c r="U101" s="39"/>
      <c r="V101" s="117">
        <v>46270</v>
      </c>
      <c r="W101" s="39">
        <v>209</v>
      </c>
      <c r="X101" s="39"/>
      <c r="Y101" s="39"/>
      <c r="Z101" s="39"/>
      <c r="AA101" s="39"/>
      <c r="AB101" s="118">
        <f t="shared" si="2"/>
        <v>0</v>
      </c>
      <c r="AC101" s="39"/>
      <c r="AD101" s="39"/>
      <c r="AE101" s="39"/>
      <c r="AF101" s="39"/>
      <c r="AG101" s="39"/>
      <c r="AH101" s="39">
        <f t="shared" si="3"/>
        <v>0</v>
      </c>
      <c r="AI101" s="39"/>
      <c r="AJ101" s="39"/>
      <c r="AK101" s="39"/>
      <c r="AL101" s="39"/>
      <c r="AM101" s="39"/>
      <c r="AN101" s="39">
        <f t="shared" si="4"/>
        <v>0</v>
      </c>
      <c r="AO101" s="39"/>
      <c r="AP101" s="39"/>
      <c r="AQ101" s="39"/>
      <c r="AR101" s="39"/>
      <c r="AS101" s="39"/>
      <c r="AT101" s="39">
        <f t="shared" si="5"/>
        <v>0</v>
      </c>
      <c r="AU101" s="39"/>
      <c r="AV101" s="39"/>
      <c r="AW101" s="39"/>
      <c r="AX101" s="39"/>
      <c r="AY101" s="39"/>
      <c r="AZ101" s="39">
        <f t="shared" si="6"/>
        <v>0</v>
      </c>
      <c r="BA101" s="39"/>
      <c r="BB101" s="39"/>
      <c r="BC101" s="39"/>
      <c r="BD101" s="39"/>
      <c r="BE101" s="39"/>
      <c r="BF101" s="39">
        <f t="shared" si="7"/>
        <v>0</v>
      </c>
      <c r="BG101" s="39"/>
      <c r="BH101" s="39"/>
      <c r="BI101" s="39"/>
      <c r="BJ101" s="39"/>
      <c r="BK101" s="39"/>
      <c r="BL101" s="39">
        <f t="shared" si="8"/>
        <v>0</v>
      </c>
      <c r="BM101" s="54">
        <f t="shared" ca="1" si="9"/>
        <v>46283</v>
      </c>
      <c r="BN101" s="66">
        <v>46279</v>
      </c>
      <c r="BO101" s="57">
        <v>46295</v>
      </c>
      <c r="BP101" s="57">
        <v>46301</v>
      </c>
      <c r="BQ101" s="57">
        <v>46309</v>
      </c>
      <c r="BR101" s="36"/>
      <c r="BS101" s="36"/>
      <c r="BT101" s="39"/>
      <c r="BU101" s="39"/>
      <c r="BV101" s="39"/>
      <c r="BW101" s="39"/>
      <c r="BX101" s="39"/>
      <c r="BY101" s="39"/>
      <c r="BZ101" s="39">
        <f t="shared" si="10"/>
        <v>0</v>
      </c>
      <c r="CA101" s="39">
        <f t="shared" si="11"/>
        <v>-186</v>
      </c>
      <c r="CB101" s="39">
        <f t="shared" si="12"/>
        <v>0</v>
      </c>
      <c r="CC101" s="39">
        <f t="shared" si="13"/>
        <v>0</v>
      </c>
      <c r="CD101" s="39">
        <f t="shared" si="14"/>
        <v>-186</v>
      </c>
      <c r="CE101" s="102">
        <f t="shared" si="15"/>
        <v>-1</v>
      </c>
      <c r="CF101" s="36"/>
      <c r="CG101" s="39" t="s">
        <v>228</v>
      </c>
      <c r="CH101" s="39"/>
      <c r="CI101" s="25">
        <v>2</v>
      </c>
    </row>
    <row r="102" spans="1:87" ht="24.75" customHeight="1">
      <c r="A102" s="36" t="s">
        <v>50</v>
      </c>
      <c r="B102" s="26">
        <v>48102</v>
      </c>
      <c r="C102" s="231"/>
      <c r="D102" s="36" t="s">
        <v>37</v>
      </c>
      <c r="E102" s="39">
        <v>160</v>
      </c>
      <c r="F102" s="39" t="s">
        <v>55</v>
      </c>
      <c r="G102" s="36" t="s">
        <v>1738</v>
      </c>
      <c r="H102" s="36" t="s">
        <v>22</v>
      </c>
      <c r="I102" s="39">
        <v>166</v>
      </c>
      <c r="J102" s="39"/>
      <c r="K102" s="39"/>
      <c r="L102" s="39">
        <f t="shared" si="40"/>
        <v>166</v>
      </c>
      <c r="M102" s="117">
        <v>46267</v>
      </c>
      <c r="N102" s="117">
        <v>46273</v>
      </c>
      <c r="O102" s="39"/>
      <c r="P102" s="39"/>
      <c r="Q102" s="39"/>
      <c r="R102" s="39">
        <f t="shared" ref="R102:R104" si="43">SUM(O102:Q102)</f>
        <v>0</v>
      </c>
      <c r="S102" s="39" t="s">
        <v>28</v>
      </c>
      <c r="T102" s="39"/>
      <c r="U102" s="39"/>
      <c r="V102" s="117">
        <v>46270</v>
      </c>
      <c r="W102" s="39">
        <v>201</v>
      </c>
      <c r="X102" s="39"/>
      <c r="Y102" s="39"/>
      <c r="Z102" s="39"/>
      <c r="AA102" s="39"/>
      <c r="AB102" s="118">
        <f t="shared" ref="AB102:AB104" si="44">SUM(Y102:AA102)</f>
        <v>0</v>
      </c>
      <c r="AC102" s="39"/>
      <c r="AD102" s="39"/>
      <c r="AE102" s="39"/>
      <c r="AF102" s="39"/>
      <c r="AG102" s="39"/>
      <c r="AH102" s="39">
        <f t="shared" si="3"/>
        <v>0</v>
      </c>
      <c r="AI102" s="39"/>
      <c r="AJ102" s="39"/>
      <c r="AK102" s="39"/>
      <c r="AL102" s="39"/>
      <c r="AM102" s="39"/>
      <c r="AN102" s="39">
        <f t="shared" si="4"/>
        <v>0</v>
      </c>
      <c r="AO102" s="39"/>
      <c r="AP102" s="39"/>
      <c r="AQ102" s="39"/>
      <c r="AR102" s="39"/>
      <c r="AS102" s="39"/>
      <c r="AT102" s="39">
        <f t="shared" si="5"/>
        <v>0</v>
      </c>
      <c r="AU102" s="39"/>
      <c r="AV102" s="39"/>
      <c r="AW102" s="39"/>
      <c r="AX102" s="39"/>
      <c r="AY102" s="39"/>
      <c r="AZ102" s="39">
        <f t="shared" si="6"/>
        <v>0</v>
      </c>
      <c r="BA102" s="39"/>
      <c r="BB102" s="39"/>
      <c r="BC102" s="39"/>
      <c r="BD102" s="39"/>
      <c r="BE102" s="39"/>
      <c r="BF102" s="39">
        <f t="shared" si="7"/>
        <v>0</v>
      </c>
      <c r="BG102" s="39"/>
      <c r="BH102" s="39"/>
      <c r="BI102" s="39"/>
      <c r="BJ102" s="39"/>
      <c r="BK102" s="39"/>
      <c r="BL102" s="39">
        <f t="shared" si="8"/>
        <v>0</v>
      </c>
      <c r="BM102" s="54">
        <f t="shared" ca="1" si="9"/>
        <v>46283</v>
      </c>
      <c r="BN102" s="66">
        <v>46279</v>
      </c>
      <c r="BO102" s="57">
        <v>46295</v>
      </c>
      <c r="BP102" s="57">
        <v>46301</v>
      </c>
      <c r="BQ102" s="57">
        <v>46309</v>
      </c>
      <c r="BR102" s="36"/>
      <c r="BS102" s="36"/>
      <c r="BT102" s="39"/>
      <c r="BU102" s="39"/>
      <c r="BV102" s="39"/>
      <c r="BW102" s="39"/>
      <c r="BX102" s="39"/>
      <c r="BY102" s="39"/>
      <c r="BZ102" s="39">
        <f t="shared" si="10"/>
        <v>0</v>
      </c>
      <c r="CA102" s="39">
        <f t="shared" si="11"/>
        <v>-166</v>
      </c>
      <c r="CB102" s="39">
        <f t="shared" si="12"/>
        <v>0</v>
      </c>
      <c r="CC102" s="39">
        <f t="shared" si="13"/>
        <v>0</v>
      </c>
      <c r="CD102" s="39">
        <f t="shared" si="14"/>
        <v>-166</v>
      </c>
      <c r="CE102" s="102">
        <f t="shared" si="15"/>
        <v>-1</v>
      </c>
      <c r="CF102" s="36"/>
      <c r="CG102" s="39" t="s">
        <v>228</v>
      </c>
      <c r="CH102" s="39"/>
      <c r="CI102" s="25">
        <v>2</v>
      </c>
    </row>
    <row r="103" spans="1:87" ht="24.75" customHeight="1">
      <c r="A103" s="36" t="s">
        <v>50</v>
      </c>
      <c r="B103" s="26">
        <v>48102</v>
      </c>
      <c r="C103" s="231"/>
      <c r="D103" s="36" t="s">
        <v>37</v>
      </c>
      <c r="E103" s="39">
        <v>160</v>
      </c>
      <c r="F103" s="39" t="s">
        <v>55</v>
      </c>
      <c r="G103" s="36" t="s">
        <v>1739</v>
      </c>
      <c r="H103" s="36" t="s">
        <v>22</v>
      </c>
      <c r="I103" s="39">
        <v>155</v>
      </c>
      <c r="J103" s="39"/>
      <c r="K103" s="39"/>
      <c r="L103" s="39">
        <f t="shared" si="40"/>
        <v>155</v>
      </c>
      <c r="M103" s="117">
        <v>46267</v>
      </c>
      <c r="N103" s="117">
        <v>46273</v>
      </c>
      <c r="O103" s="39"/>
      <c r="P103" s="39"/>
      <c r="Q103" s="39"/>
      <c r="R103" s="39">
        <f t="shared" si="43"/>
        <v>0</v>
      </c>
      <c r="S103" s="39" t="s">
        <v>28</v>
      </c>
      <c r="T103" s="39"/>
      <c r="U103" s="39"/>
      <c r="V103" s="117">
        <v>46266</v>
      </c>
      <c r="W103" s="39">
        <v>186</v>
      </c>
      <c r="X103" s="39"/>
      <c r="Y103" s="39"/>
      <c r="Z103" s="39"/>
      <c r="AA103" s="39"/>
      <c r="AB103" s="118">
        <f t="shared" si="44"/>
        <v>0</v>
      </c>
      <c r="AC103" s="39"/>
      <c r="AD103" s="39"/>
      <c r="AE103" s="39"/>
      <c r="AF103" s="39"/>
      <c r="AG103" s="39"/>
      <c r="AH103" s="39">
        <f t="shared" si="3"/>
        <v>0</v>
      </c>
      <c r="AI103" s="39"/>
      <c r="AJ103" s="39"/>
      <c r="AK103" s="39"/>
      <c r="AL103" s="39"/>
      <c r="AM103" s="39"/>
      <c r="AN103" s="39">
        <f t="shared" si="4"/>
        <v>0</v>
      </c>
      <c r="AO103" s="39"/>
      <c r="AP103" s="39"/>
      <c r="AQ103" s="39"/>
      <c r="AR103" s="39"/>
      <c r="AS103" s="39"/>
      <c r="AT103" s="39">
        <f t="shared" si="5"/>
        <v>0</v>
      </c>
      <c r="AU103" s="39"/>
      <c r="AV103" s="39"/>
      <c r="AW103" s="39"/>
      <c r="AX103" s="39"/>
      <c r="AY103" s="39"/>
      <c r="AZ103" s="39">
        <f t="shared" si="6"/>
        <v>0</v>
      </c>
      <c r="BA103" s="39"/>
      <c r="BB103" s="39"/>
      <c r="BC103" s="39"/>
      <c r="BD103" s="39"/>
      <c r="BE103" s="39"/>
      <c r="BF103" s="39">
        <f t="shared" si="7"/>
        <v>0</v>
      </c>
      <c r="BG103" s="39"/>
      <c r="BH103" s="39"/>
      <c r="BI103" s="39"/>
      <c r="BJ103" s="39"/>
      <c r="BK103" s="39"/>
      <c r="BL103" s="39">
        <f t="shared" si="8"/>
        <v>0</v>
      </c>
      <c r="BM103" s="54">
        <f t="shared" ca="1" si="9"/>
        <v>46283</v>
      </c>
      <c r="BN103" s="66">
        <v>46279</v>
      </c>
      <c r="BO103" s="57">
        <v>46295</v>
      </c>
      <c r="BP103" s="57">
        <v>46301</v>
      </c>
      <c r="BQ103" s="57">
        <v>46309</v>
      </c>
      <c r="BR103" s="36"/>
      <c r="BS103" s="36"/>
      <c r="BT103" s="39"/>
      <c r="BU103" s="39"/>
      <c r="BV103" s="39"/>
      <c r="BW103" s="39"/>
      <c r="BX103" s="39"/>
      <c r="BY103" s="39"/>
      <c r="BZ103" s="39">
        <f t="shared" si="10"/>
        <v>0</v>
      </c>
      <c r="CA103" s="39">
        <f t="shared" si="11"/>
        <v>-155</v>
      </c>
      <c r="CB103" s="39">
        <f t="shared" si="12"/>
        <v>0</v>
      </c>
      <c r="CC103" s="39">
        <f t="shared" si="13"/>
        <v>0</v>
      </c>
      <c r="CD103" s="39">
        <f t="shared" si="14"/>
        <v>-155</v>
      </c>
      <c r="CE103" s="102">
        <f t="shared" si="15"/>
        <v>-1</v>
      </c>
      <c r="CF103" s="36"/>
      <c r="CG103" s="39" t="s">
        <v>228</v>
      </c>
      <c r="CH103" s="39"/>
      <c r="CI103" s="25">
        <v>2</v>
      </c>
    </row>
    <row r="104" spans="1:87" ht="24.75" customHeight="1">
      <c r="A104" s="36" t="s">
        <v>50</v>
      </c>
      <c r="B104" s="26">
        <v>48102</v>
      </c>
      <c r="C104" s="228"/>
      <c r="D104" s="36"/>
      <c r="E104" s="39"/>
      <c r="F104" s="39"/>
      <c r="G104" s="36" t="s">
        <v>198</v>
      </c>
      <c r="H104" s="36">
        <f>950+850+800</f>
        <v>2600</v>
      </c>
      <c r="I104" s="39" t="s">
        <v>90</v>
      </c>
      <c r="J104" s="39"/>
      <c r="K104" s="39"/>
      <c r="L104" s="39">
        <f t="shared" si="40"/>
        <v>0</v>
      </c>
      <c r="M104" s="117">
        <v>46267</v>
      </c>
      <c r="N104" s="117">
        <v>46273</v>
      </c>
      <c r="O104" s="39"/>
      <c r="P104" s="39"/>
      <c r="Q104" s="39"/>
      <c r="R104" s="39">
        <f t="shared" si="43"/>
        <v>0</v>
      </c>
      <c r="S104" s="39" t="s">
        <v>130</v>
      </c>
      <c r="T104" s="39"/>
      <c r="U104" s="39"/>
      <c r="V104" s="117" t="s">
        <v>2814</v>
      </c>
      <c r="W104" s="39">
        <f>4+4</f>
        <v>8</v>
      </c>
      <c r="X104" s="39"/>
      <c r="Y104" s="39"/>
      <c r="Z104" s="39"/>
      <c r="AA104" s="39"/>
      <c r="AB104" s="39">
        <f t="shared" si="44"/>
        <v>0</v>
      </c>
      <c r="AC104" s="39"/>
      <c r="AD104" s="39"/>
      <c r="AE104" s="39"/>
      <c r="AF104" s="39"/>
      <c r="AG104" s="39"/>
      <c r="AH104" s="39">
        <f t="shared" si="3"/>
        <v>0</v>
      </c>
      <c r="AI104" s="39"/>
      <c r="AJ104" s="39"/>
      <c r="AK104" s="39"/>
      <c r="AL104" s="39"/>
      <c r="AM104" s="39"/>
      <c r="AN104" s="39">
        <f t="shared" si="4"/>
        <v>0</v>
      </c>
      <c r="AO104" s="39"/>
      <c r="AP104" s="39"/>
      <c r="AQ104" s="39"/>
      <c r="AR104" s="39"/>
      <c r="AS104" s="39"/>
      <c r="AT104" s="39">
        <f t="shared" si="5"/>
        <v>0</v>
      </c>
      <c r="AU104" s="39"/>
      <c r="AV104" s="39"/>
      <c r="AW104" s="39"/>
      <c r="AX104" s="39"/>
      <c r="AY104" s="39"/>
      <c r="AZ104" s="39">
        <f t="shared" si="6"/>
        <v>0</v>
      </c>
      <c r="BA104" s="39"/>
      <c r="BB104" s="39"/>
      <c r="BC104" s="39"/>
      <c r="BD104" s="39"/>
      <c r="BE104" s="39"/>
      <c r="BF104" s="39">
        <f t="shared" si="7"/>
        <v>0</v>
      </c>
      <c r="BG104" s="39"/>
      <c r="BH104" s="39"/>
      <c r="BI104" s="39"/>
      <c r="BJ104" s="39"/>
      <c r="BK104" s="39"/>
      <c r="BL104" s="39">
        <f t="shared" si="8"/>
        <v>0</v>
      </c>
      <c r="BM104" s="54" t="e">
        <f t="shared" si="9"/>
        <v>#DIV/0!</v>
      </c>
      <c r="BN104" s="66">
        <v>46279</v>
      </c>
      <c r="BO104" s="57">
        <v>46295</v>
      </c>
      <c r="BP104" s="57"/>
      <c r="BQ104" s="57"/>
      <c r="BR104" s="36"/>
      <c r="BS104" s="36"/>
      <c r="BT104" s="39"/>
      <c r="BU104" s="39"/>
      <c r="BV104" s="39"/>
      <c r="BW104" s="39"/>
      <c r="BX104" s="39"/>
      <c r="BY104" s="39"/>
      <c r="BZ104" s="39">
        <f t="shared" si="10"/>
        <v>0</v>
      </c>
      <c r="CA104" s="39" t="e">
        <f t="shared" si="11"/>
        <v>#VALUE!</v>
      </c>
      <c r="CB104" s="39">
        <f t="shared" si="12"/>
        <v>0</v>
      </c>
      <c r="CC104" s="39">
        <f t="shared" si="13"/>
        <v>0</v>
      </c>
      <c r="CD104" s="39">
        <f t="shared" si="14"/>
        <v>0</v>
      </c>
      <c r="CE104" s="102" t="e">
        <f t="shared" si="15"/>
        <v>#DIV/0!</v>
      </c>
      <c r="CF104" s="36"/>
      <c r="CG104" s="39" t="s">
        <v>228</v>
      </c>
      <c r="CH104" s="39"/>
      <c r="CI104" s="25">
        <v>2</v>
      </c>
    </row>
    <row r="105" spans="1:87" ht="24.75" customHeight="1">
      <c r="A105" s="36" t="s">
        <v>50</v>
      </c>
      <c r="B105" s="26">
        <v>48105</v>
      </c>
      <c r="C105" s="227">
        <v>13251039</v>
      </c>
      <c r="D105" s="36" t="s">
        <v>37</v>
      </c>
      <c r="E105" s="39">
        <v>160</v>
      </c>
      <c r="F105" s="39" t="s">
        <v>57</v>
      </c>
      <c r="G105" s="36" t="s">
        <v>1737</v>
      </c>
      <c r="H105" s="36" t="s">
        <v>22</v>
      </c>
      <c r="I105" s="39">
        <v>154</v>
      </c>
      <c r="J105" s="39">
        <v>15</v>
      </c>
      <c r="K105" s="39"/>
      <c r="L105" s="39">
        <f t="shared" si="40"/>
        <v>169</v>
      </c>
      <c r="M105" s="117">
        <v>46270</v>
      </c>
      <c r="N105" s="117">
        <v>46275</v>
      </c>
      <c r="O105" s="39"/>
      <c r="P105" s="39"/>
      <c r="Q105" s="39"/>
      <c r="R105" s="39">
        <f t="shared" si="1"/>
        <v>0</v>
      </c>
      <c r="S105" s="39" t="s">
        <v>31</v>
      </c>
      <c r="T105" s="39"/>
      <c r="U105" s="39"/>
      <c r="V105" s="117">
        <v>46249</v>
      </c>
      <c r="W105" s="39">
        <f>182+19</f>
        <v>201</v>
      </c>
      <c r="X105" s="117">
        <v>46281</v>
      </c>
      <c r="Y105" s="39">
        <v>156</v>
      </c>
      <c r="Z105" s="39"/>
      <c r="AA105" s="39"/>
      <c r="AB105" s="120">
        <f t="shared" si="2"/>
        <v>156</v>
      </c>
      <c r="AC105" s="39"/>
      <c r="AD105" s="39"/>
      <c r="AE105" s="39"/>
      <c r="AF105" s="39"/>
      <c r="AG105" s="39"/>
      <c r="AH105" s="39">
        <f t="shared" si="3"/>
        <v>0</v>
      </c>
      <c r="AI105" s="39"/>
      <c r="AJ105" s="39"/>
      <c r="AK105" s="39"/>
      <c r="AL105" s="39"/>
      <c r="AM105" s="39"/>
      <c r="AN105" s="39">
        <f t="shared" si="4"/>
        <v>0</v>
      </c>
      <c r="AO105" s="39"/>
      <c r="AP105" s="39"/>
      <c r="AQ105" s="39"/>
      <c r="AR105" s="39"/>
      <c r="AS105" s="39"/>
      <c r="AT105" s="39">
        <f t="shared" si="5"/>
        <v>0</v>
      </c>
      <c r="AU105" s="39"/>
      <c r="AV105" s="39"/>
      <c r="AW105" s="39"/>
      <c r="AX105" s="39"/>
      <c r="AY105" s="39"/>
      <c r="AZ105" s="39">
        <f t="shared" si="6"/>
        <v>0</v>
      </c>
      <c r="BA105" s="39"/>
      <c r="BB105" s="39"/>
      <c r="BC105" s="39"/>
      <c r="BD105" s="39"/>
      <c r="BE105" s="39"/>
      <c r="BF105" s="39">
        <f t="shared" si="7"/>
        <v>0</v>
      </c>
      <c r="BG105" s="39"/>
      <c r="BH105" s="39"/>
      <c r="BI105" s="39"/>
      <c r="BJ105" s="39"/>
      <c r="BK105" s="39"/>
      <c r="BL105" s="39">
        <f t="shared" si="8"/>
        <v>0</v>
      </c>
      <c r="BM105" s="54">
        <f t="shared" ca="1" si="9"/>
        <v>46283</v>
      </c>
      <c r="BN105" s="66">
        <v>46280</v>
      </c>
      <c r="BO105" s="57">
        <v>46295</v>
      </c>
      <c r="BP105" s="57">
        <v>46304</v>
      </c>
      <c r="BQ105" s="57">
        <v>46314</v>
      </c>
      <c r="BR105" s="36"/>
      <c r="BS105" s="36"/>
      <c r="BT105" s="39"/>
      <c r="BU105" s="39"/>
      <c r="BV105" s="39"/>
      <c r="BW105" s="39"/>
      <c r="BX105" s="39"/>
      <c r="BY105" s="39"/>
      <c r="BZ105" s="39">
        <f t="shared" si="10"/>
        <v>0</v>
      </c>
      <c r="CA105" s="39">
        <f t="shared" si="11"/>
        <v>-154</v>
      </c>
      <c r="CB105" s="39">
        <f t="shared" si="12"/>
        <v>-15</v>
      </c>
      <c r="CC105" s="39">
        <f t="shared" si="13"/>
        <v>0</v>
      </c>
      <c r="CD105" s="39">
        <f t="shared" si="14"/>
        <v>-169</v>
      </c>
      <c r="CE105" s="102">
        <f t="shared" si="15"/>
        <v>-1</v>
      </c>
      <c r="CF105" s="36"/>
      <c r="CG105" s="39" t="s">
        <v>228</v>
      </c>
      <c r="CH105" s="39"/>
      <c r="CI105" s="25">
        <v>2</v>
      </c>
    </row>
    <row r="106" spans="1:87" ht="24.75" customHeight="1">
      <c r="A106" s="36" t="s">
        <v>50</v>
      </c>
      <c r="B106" s="26">
        <v>48105</v>
      </c>
      <c r="C106" s="231"/>
      <c r="D106" s="36" t="s">
        <v>37</v>
      </c>
      <c r="E106" s="39">
        <v>160</v>
      </c>
      <c r="F106" s="39" t="s">
        <v>57</v>
      </c>
      <c r="G106" s="36" t="s">
        <v>1738</v>
      </c>
      <c r="H106" s="36" t="s">
        <v>22</v>
      </c>
      <c r="I106" s="39">
        <v>174</v>
      </c>
      <c r="J106" s="39">
        <v>17</v>
      </c>
      <c r="K106" s="39"/>
      <c r="L106" s="39">
        <f t="shared" si="40"/>
        <v>191</v>
      </c>
      <c r="M106" s="117">
        <v>46270</v>
      </c>
      <c r="N106" s="117">
        <v>46275</v>
      </c>
      <c r="O106" s="39"/>
      <c r="P106" s="39"/>
      <c r="Q106" s="39"/>
      <c r="R106" s="39">
        <f t="shared" ref="R106:R107" si="45">SUM(O106:Q106)</f>
        <v>0</v>
      </c>
      <c r="S106" s="39" t="s">
        <v>326</v>
      </c>
      <c r="T106" s="39"/>
      <c r="U106" s="39"/>
      <c r="V106" s="117">
        <v>46251</v>
      </c>
      <c r="W106" s="39">
        <f>204+20</f>
        <v>224</v>
      </c>
      <c r="X106" s="117">
        <v>46281</v>
      </c>
      <c r="Y106" s="39">
        <f>183-3</f>
        <v>180</v>
      </c>
      <c r="Z106" s="39"/>
      <c r="AA106" s="39"/>
      <c r="AB106" s="120">
        <f t="shared" ref="AB106:AB107" si="46">SUM(Y106:AA106)</f>
        <v>180</v>
      </c>
      <c r="AC106" s="39"/>
      <c r="AD106" s="39"/>
      <c r="AE106" s="39"/>
      <c r="AF106" s="39"/>
      <c r="AG106" s="39"/>
      <c r="AH106" s="39">
        <f t="shared" si="3"/>
        <v>0</v>
      </c>
      <c r="AI106" s="39"/>
      <c r="AJ106" s="39"/>
      <c r="AK106" s="39"/>
      <c r="AL106" s="39"/>
      <c r="AM106" s="39"/>
      <c r="AN106" s="39">
        <f t="shared" si="4"/>
        <v>0</v>
      </c>
      <c r="AO106" s="39"/>
      <c r="AP106" s="39"/>
      <c r="AQ106" s="39"/>
      <c r="AR106" s="39"/>
      <c r="AS106" s="39"/>
      <c r="AT106" s="39">
        <f t="shared" si="5"/>
        <v>0</v>
      </c>
      <c r="AU106" s="39"/>
      <c r="AV106" s="39"/>
      <c r="AW106" s="39"/>
      <c r="AX106" s="39"/>
      <c r="AY106" s="39"/>
      <c r="AZ106" s="39">
        <f t="shared" si="6"/>
        <v>0</v>
      </c>
      <c r="BA106" s="39"/>
      <c r="BB106" s="39"/>
      <c r="BC106" s="39"/>
      <c r="BD106" s="39"/>
      <c r="BE106" s="39"/>
      <c r="BF106" s="39">
        <f t="shared" si="7"/>
        <v>0</v>
      </c>
      <c r="BG106" s="39"/>
      <c r="BH106" s="39"/>
      <c r="BI106" s="39"/>
      <c r="BJ106" s="39"/>
      <c r="BK106" s="39"/>
      <c r="BL106" s="39">
        <f t="shared" si="8"/>
        <v>0</v>
      </c>
      <c r="BM106" s="54">
        <f t="shared" ca="1" si="9"/>
        <v>46283</v>
      </c>
      <c r="BN106" s="66">
        <v>46280</v>
      </c>
      <c r="BO106" s="57">
        <v>46295</v>
      </c>
      <c r="BP106" s="57">
        <v>46304</v>
      </c>
      <c r="BQ106" s="57">
        <v>46314</v>
      </c>
      <c r="BR106" s="36"/>
      <c r="BS106" s="36"/>
      <c r="BT106" s="39"/>
      <c r="BU106" s="39"/>
      <c r="BV106" s="39"/>
      <c r="BW106" s="39"/>
      <c r="BX106" s="39"/>
      <c r="BY106" s="39"/>
      <c r="BZ106" s="39">
        <f t="shared" si="10"/>
        <v>0</v>
      </c>
      <c r="CA106" s="39">
        <f t="shared" si="11"/>
        <v>-174</v>
      </c>
      <c r="CB106" s="39">
        <f t="shared" si="12"/>
        <v>-17</v>
      </c>
      <c r="CC106" s="39">
        <f t="shared" si="13"/>
        <v>0</v>
      </c>
      <c r="CD106" s="39">
        <f t="shared" si="14"/>
        <v>-191</v>
      </c>
      <c r="CE106" s="102">
        <f t="shared" si="15"/>
        <v>-1</v>
      </c>
      <c r="CF106" s="36"/>
      <c r="CG106" s="39" t="s">
        <v>228</v>
      </c>
      <c r="CH106" s="39"/>
      <c r="CI106" s="25">
        <v>2</v>
      </c>
    </row>
    <row r="107" spans="1:87" ht="24.75" customHeight="1">
      <c r="A107" s="36" t="s">
        <v>50</v>
      </c>
      <c r="B107" s="26">
        <v>48105</v>
      </c>
      <c r="C107" s="228"/>
      <c r="D107" s="36" t="s">
        <v>37</v>
      </c>
      <c r="E107" s="39">
        <v>160</v>
      </c>
      <c r="F107" s="39" t="s">
        <v>57</v>
      </c>
      <c r="G107" s="36" t="s">
        <v>1739</v>
      </c>
      <c r="H107" s="36" t="s">
        <v>22</v>
      </c>
      <c r="I107" s="39">
        <v>161</v>
      </c>
      <c r="J107" s="39">
        <v>16</v>
      </c>
      <c r="K107" s="39"/>
      <c r="L107" s="39">
        <f t="shared" si="40"/>
        <v>177</v>
      </c>
      <c r="M107" s="117">
        <v>46270</v>
      </c>
      <c r="N107" s="117">
        <v>46275</v>
      </c>
      <c r="O107" s="39"/>
      <c r="P107" s="39"/>
      <c r="Q107" s="39"/>
      <c r="R107" s="39">
        <f t="shared" si="45"/>
        <v>0</v>
      </c>
      <c r="S107" s="39" t="s">
        <v>326</v>
      </c>
      <c r="T107" s="39"/>
      <c r="U107" s="39"/>
      <c r="V107" s="117">
        <v>46251</v>
      </c>
      <c r="W107" s="39">
        <f>193+19</f>
        <v>212</v>
      </c>
      <c r="X107" s="117" t="s">
        <v>2701</v>
      </c>
      <c r="Y107" s="39">
        <v>171</v>
      </c>
      <c r="Z107" s="39">
        <v>18</v>
      </c>
      <c r="AA107" s="39"/>
      <c r="AB107" s="119">
        <f t="shared" si="46"/>
        <v>189</v>
      </c>
      <c r="AC107" s="39"/>
      <c r="AD107" s="39"/>
      <c r="AE107" s="39"/>
      <c r="AF107" s="39"/>
      <c r="AG107" s="39"/>
      <c r="AH107" s="39">
        <f t="shared" si="3"/>
        <v>0</v>
      </c>
      <c r="AI107" s="39"/>
      <c r="AJ107" s="39"/>
      <c r="AK107" s="39"/>
      <c r="AL107" s="39"/>
      <c r="AM107" s="39"/>
      <c r="AN107" s="39">
        <f t="shared" si="4"/>
        <v>0</v>
      </c>
      <c r="AO107" s="39"/>
      <c r="AP107" s="39"/>
      <c r="AQ107" s="39"/>
      <c r="AR107" s="39"/>
      <c r="AS107" s="39"/>
      <c r="AT107" s="39">
        <f t="shared" si="5"/>
        <v>0</v>
      </c>
      <c r="AU107" s="39"/>
      <c r="AV107" s="39"/>
      <c r="AW107" s="39"/>
      <c r="AX107" s="39"/>
      <c r="AY107" s="39"/>
      <c r="AZ107" s="39">
        <f t="shared" si="6"/>
        <v>0</v>
      </c>
      <c r="BA107" s="39"/>
      <c r="BB107" s="39"/>
      <c r="BC107" s="39"/>
      <c r="BD107" s="39"/>
      <c r="BE107" s="39"/>
      <c r="BF107" s="39">
        <f t="shared" si="7"/>
        <v>0</v>
      </c>
      <c r="BG107" s="39"/>
      <c r="BH107" s="39"/>
      <c r="BI107" s="39"/>
      <c r="BJ107" s="39"/>
      <c r="BK107" s="39"/>
      <c r="BL107" s="39">
        <f t="shared" si="8"/>
        <v>0</v>
      </c>
      <c r="BM107" s="54">
        <f t="shared" ca="1" si="9"/>
        <v>46283</v>
      </c>
      <c r="BN107" s="66">
        <v>46280</v>
      </c>
      <c r="BO107" s="57">
        <v>46295</v>
      </c>
      <c r="BP107" s="57">
        <v>46304</v>
      </c>
      <c r="BQ107" s="57">
        <v>46314</v>
      </c>
      <c r="BR107" s="36"/>
      <c r="BS107" s="36"/>
      <c r="BT107" s="39"/>
      <c r="BU107" s="39"/>
      <c r="BV107" s="39"/>
      <c r="BW107" s="39"/>
      <c r="BX107" s="39"/>
      <c r="BY107" s="39"/>
      <c r="BZ107" s="39">
        <f t="shared" si="10"/>
        <v>0</v>
      </c>
      <c r="CA107" s="39">
        <f t="shared" si="11"/>
        <v>-161</v>
      </c>
      <c r="CB107" s="39">
        <f t="shared" si="12"/>
        <v>-16</v>
      </c>
      <c r="CC107" s="39">
        <f t="shared" si="13"/>
        <v>0</v>
      </c>
      <c r="CD107" s="39">
        <f t="shared" si="14"/>
        <v>-177</v>
      </c>
      <c r="CE107" s="102">
        <f t="shared" si="15"/>
        <v>-1</v>
      </c>
      <c r="CF107" s="36"/>
      <c r="CG107" s="39" t="s">
        <v>228</v>
      </c>
      <c r="CH107" s="39"/>
      <c r="CI107" s="25">
        <v>2</v>
      </c>
    </row>
    <row r="108" spans="1:87" ht="24.75" customHeight="1">
      <c r="A108" s="36" t="s">
        <v>50</v>
      </c>
      <c r="B108" s="26">
        <v>48107</v>
      </c>
      <c r="C108" s="227" t="s">
        <v>2818</v>
      </c>
      <c r="D108" s="36" t="s">
        <v>37</v>
      </c>
      <c r="E108" s="39">
        <v>160</v>
      </c>
      <c r="F108" s="39" t="s">
        <v>53</v>
      </c>
      <c r="G108" s="36" t="s">
        <v>1740</v>
      </c>
      <c r="H108" s="36" t="s">
        <v>87</v>
      </c>
      <c r="I108" s="39">
        <v>350</v>
      </c>
      <c r="J108" s="39"/>
      <c r="K108" s="39"/>
      <c r="L108" s="39">
        <f t="shared" si="40"/>
        <v>350</v>
      </c>
      <c r="M108" s="117">
        <v>46268</v>
      </c>
      <c r="N108" s="117">
        <v>46275</v>
      </c>
      <c r="O108" s="39"/>
      <c r="P108" s="39"/>
      <c r="Q108" s="39"/>
      <c r="R108" s="39">
        <f t="shared" si="1"/>
        <v>0</v>
      </c>
      <c r="S108" s="39" t="s">
        <v>31</v>
      </c>
      <c r="T108" s="39"/>
      <c r="U108" s="39"/>
      <c r="V108" s="117">
        <v>46266</v>
      </c>
      <c r="W108" s="39">
        <v>404</v>
      </c>
      <c r="X108" s="117">
        <v>46280</v>
      </c>
      <c r="Y108" s="39">
        <v>353</v>
      </c>
      <c r="Z108" s="39"/>
      <c r="AA108" s="39"/>
      <c r="AB108" s="119">
        <f t="shared" si="2"/>
        <v>353</v>
      </c>
      <c r="AC108" s="39"/>
      <c r="AD108" s="39"/>
      <c r="AE108" s="39"/>
      <c r="AF108" s="39"/>
      <c r="AG108" s="39"/>
      <c r="AH108" s="39">
        <f t="shared" si="3"/>
        <v>0</v>
      </c>
      <c r="AI108" s="39"/>
      <c r="AJ108" s="39"/>
      <c r="AK108" s="39"/>
      <c r="AL108" s="39"/>
      <c r="AM108" s="39"/>
      <c r="AN108" s="39">
        <f t="shared" si="4"/>
        <v>0</v>
      </c>
      <c r="AO108" s="39"/>
      <c r="AP108" s="39"/>
      <c r="AQ108" s="39"/>
      <c r="AR108" s="39"/>
      <c r="AS108" s="39"/>
      <c r="AT108" s="39">
        <f t="shared" si="5"/>
        <v>0</v>
      </c>
      <c r="AU108" s="39"/>
      <c r="AV108" s="39"/>
      <c r="AW108" s="39"/>
      <c r="AX108" s="39"/>
      <c r="AY108" s="39"/>
      <c r="AZ108" s="39">
        <f t="shared" si="6"/>
        <v>0</v>
      </c>
      <c r="BA108" s="39"/>
      <c r="BB108" s="39"/>
      <c r="BC108" s="39"/>
      <c r="BD108" s="39"/>
      <c r="BE108" s="39"/>
      <c r="BF108" s="39">
        <f t="shared" si="7"/>
        <v>0</v>
      </c>
      <c r="BG108" s="39"/>
      <c r="BH108" s="39"/>
      <c r="BI108" s="39"/>
      <c r="BJ108" s="39"/>
      <c r="BK108" s="39"/>
      <c r="BL108" s="39">
        <f t="shared" si="8"/>
        <v>0</v>
      </c>
      <c r="BM108" s="54">
        <f t="shared" ca="1" si="9"/>
        <v>46283</v>
      </c>
      <c r="BN108" s="66">
        <v>46280</v>
      </c>
      <c r="BO108" s="57">
        <v>46295</v>
      </c>
      <c r="BP108" s="57">
        <v>46301</v>
      </c>
      <c r="BQ108" s="57">
        <v>46312</v>
      </c>
      <c r="BR108" s="36"/>
      <c r="BS108" s="36"/>
      <c r="BT108" s="39"/>
      <c r="BU108" s="39"/>
      <c r="BV108" s="39"/>
      <c r="BW108" s="39"/>
      <c r="BX108" s="39"/>
      <c r="BY108" s="39"/>
      <c r="BZ108" s="39">
        <f t="shared" si="10"/>
        <v>0</v>
      </c>
      <c r="CA108" s="39">
        <f t="shared" si="11"/>
        <v>-350</v>
      </c>
      <c r="CB108" s="39">
        <f t="shared" si="12"/>
        <v>0</v>
      </c>
      <c r="CC108" s="39">
        <f t="shared" si="13"/>
        <v>0</v>
      </c>
      <c r="CD108" s="39">
        <f t="shared" si="14"/>
        <v>-350</v>
      </c>
      <c r="CE108" s="102">
        <f t="shared" si="15"/>
        <v>-1</v>
      </c>
      <c r="CF108" s="36"/>
      <c r="CG108" s="39" t="s">
        <v>228</v>
      </c>
      <c r="CH108" s="39"/>
      <c r="CI108" s="25">
        <v>2</v>
      </c>
    </row>
    <row r="109" spans="1:87" ht="24.75" customHeight="1">
      <c r="A109" s="36" t="s">
        <v>50</v>
      </c>
      <c r="B109" s="26">
        <v>48107</v>
      </c>
      <c r="C109" s="231"/>
      <c r="D109" s="36" t="s">
        <v>37</v>
      </c>
      <c r="E109" s="39">
        <v>160</v>
      </c>
      <c r="F109" s="39" t="s">
        <v>53</v>
      </c>
      <c r="G109" s="36" t="s">
        <v>105</v>
      </c>
      <c r="H109" s="36" t="s">
        <v>87</v>
      </c>
      <c r="I109" s="39">
        <v>277</v>
      </c>
      <c r="J109" s="39"/>
      <c r="K109" s="39"/>
      <c r="L109" s="39">
        <f t="shared" si="40"/>
        <v>277</v>
      </c>
      <c r="M109" s="117">
        <v>46268</v>
      </c>
      <c r="N109" s="117">
        <v>46275</v>
      </c>
      <c r="O109" s="39"/>
      <c r="P109" s="39"/>
      <c r="Q109" s="39"/>
      <c r="R109" s="39">
        <f t="shared" ref="R109:R111" si="47">SUM(O109:Q109)</f>
        <v>0</v>
      </c>
      <c r="S109" s="39" t="s">
        <v>130</v>
      </c>
      <c r="T109" s="39">
        <v>109271</v>
      </c>
      <c r="U109" s="117">
        <v>46276</v>
      </c>
      <c r="V109" s="39"/>
      <c r="W109" s="39"/>
      <c r="X109" s="39"/>
      <c r="Y109" s="39">
        <v>320</v>
      </c>
      <c r="Z109" s="39"/>
      <c r="AA109" s="39"/>
      <c r="AB109" s="119">
        <f t="shared" ref="AB109:AB111" si="48">SUM(Y109:AA109)</f>
        <v>320</v>
      </c>
      <c r="AC109" s="39"/>
      <c r="AD109" s="39"/>
      <c r="AE109" s="39"/>
      <c r="AF109" s="39"/>
      <c r="AG109" s="39"/>
      <c r="AH109" s="39">
        <f t="shared" si="3"/>
        <v>0</v>
      </c>
      <c r="AI109" s="39"/>
      <c r="AJ109" s="39"/>
      <c r="AK109" s="39"/>
      <c r="AL109" s="39"/>
      <c r="AM109" s="39"/>
      <c r="AN109" s="39">
        <f t="shared" si="4"/>
        <v>0</v>
      </c>
      <c r="AO109" s="39"/>
      <c r="AP109" s="39"/>
      <c r="AQ109" s="39"/>
      <c r="AR109" s="39"/>
      <c r="AS109" s="39"/>
      <c r="AT109" s="39">
        <f t="shared" si="5"/>
        <v>0</v>
      </c>
      <c r="AU109" s="39"/>
      <c r="AV109" s="39"/>
      <c r="AW109" s="39"/>
      <c r="AX109" s="39"/>
      <c r="AY109" s="39"/>
      <c r="AZ109" s="39">
        <f t="shared" si="6"/>
        <v>0</v>
      </c>
      <c r="BA109" s="39"/>
      <c r="BB109" s="39"/>
      <c r="BC109" s="39"/>
      <c r="BD109" s="39"/>
      <c r="BE109" s="39"/>
      <c r="BF109" s="39">
        <f t="shared" si="7"/>
        <v>0</v>
      </c>
      <c r="BG109" s="39"/>
      <c r="BH109" s="39"/>
      <c r="BI109" s="39"/>
      <c r="BJ109" s="39"/>
      <c r="BK109" s="39"/>
      <c r="BL109" s="39">
        <f t="shared" si="8"/>
        <v>0</v>
      </c>
      <c r="BM109" s="54">
        <f t="shared" ca="1" si="9"/>
        <v>7</v>
      </c>
      <c r="BN109" s="66">
        <v>46280</v>
      </c>
      <c r="BO109" s="57">
        <v>46295</v>
      </c>
      <c r="BP109" s="57">
        <v>46301</v>
      </c>
      <c r="BQ109" s="57">
        <v>46312</v>
      </c>
      <c r="BR109" s="36"/>
      <c r="BS109" s="36"/>
      <c r="BT109" s="39"/>
      <c r="BU109" s="39"/>
      <c r="BV109" s="39"/>
      <c r="BW109" s="39"/>
      <c r="BX109" s="39"/>
      <c r="BY109" s="39"/>
      <c r="BZ109" s="39">
        <f t="shared" si="10"/>
        <v>0</v>
      </c>
      <c r="CA109" s="39">
        <f t="shared" si="11"/>
        <v>-277</v>
      </c>
      <c r="CB109" s="39">
        <f t="shared" si="12"/>
        <v>0</v>
      </c>
      <c r="CC109" s="39">
        <f t="shared" si="13"/>
        <v>0</v>
      </c>
      <c r="CD109" s="39">
        <f t="shared" si="14"/>
        <v>-277</v>
      </c>
      <c r="CE109" s="102">
        <f t="shared" si="15"/>
        <v>-1</v>
      </c>
      <c r="CF109" s="36"/>
      <c r="CG109" s="39" t="s">
        <v>228</v>
      </c>
      <c r="CH109" s="39"/>
      <c r="CI109" s="25">
        <v>2</v>
      </c>
    </row>
    <row r="110" spans="1:87" ht="24.75" customHeight="1">
      <c r="A110" s="36" t="s">
        <v>50</v>
      </c>
      <c r="B110" s="26">
        <v>48107</v>
      </c>
      <c r="C110" s="231"/>
      <c r="D110" s="36" t="s">
        <v>37</v>
      </c>
      <c r="E110" s="39">
        <v>160</v>
      </c>
      <c r="F110" s="39" t="s">
        <v>53</v>
      </c>
      <c r="G110" s="36" t="s">
        <v>1155</v>
      </c>
      <c r="H110" s="36" t="s">
        <v>87</v>
      </c>
      <c r="I110" s="39">
        <v>302</v>
      </c>
      <c r="J110" s="39"/>
      <c r="K110" s="39"/>
      <c r="L110" s="39">
        <f t="shared" si="40"/>
        <v>302</v>
      </c>
      <c r="M110" s="117">
        <v>46268</v>
      </c>
      <c r="N110" s="117">
        <v>46275</v>
      </c>
      <c r="O110" s="39"/>
      <c r="P110" s="39"/>
      <c r="Q110" s="39"/>
      <c r="R110" s="39">
        <f t="shared" si="47"/>
        <v>0</v>
      </c>
      <c r="S110" s="39" t="s">
        <v>28</v>
      </c>
      <c r="T110" s="39"/>
      <c r="U110" s="39"/>
      <c r="V110" s="117">
        <v>46274</v>
      </c>
      <c r="W110" s="39">
        <v>322</v>
      </c>
      <c r="X110" s="39"/>
      <c r="Y110" s="39"/>
      <c r="Z110" s="39"/>
      <c r="AA110" s="39"/>
      <c r="AB110" s="118">
        <f t="shared" si="48"/>
        <v>0</v>
      </c>
      <c r="AC110" s="39"/>
      <c r="AD110" s="39"/>
      <c r="AE110" s="39"/>
      <c r="AF110" s="39"/>
      <c r="AG110" s="39"/>
      <c r="AH110" s="39">
        <f t="shared" si="3"/>
        <v>0</v>
      </c>
      <c r="AI110" s="39"/>
      <c r="AJ110" s="39"/>
      <c r="AK110" s="39"/>
      <c r="AL110" s="39"/>
      <c r="AM110" s="39"/>
      <c r="AN110" s="39">
        <f t="shared" si="4"/>
        <v>0</v>
      </c>
      <c r="AO110" s="39"/>
      <c r="AP110" s="39"/>
      <c r="AQ110" s="39"/>
      <c r="AR110" s="39"/>
      <c r="AS110" s="39"/>
      <c r="AT110" s="39">
        <f t="shared" si="5"/>
        <v>0</v>
      </c>
      <c r="AU110" s="39"/>
      <c r="AV110" s="39"/>
      <c r="AW110" s="39"/>
      <c r="AX110" s="39"/>
      <c r="AY110" s="39"/>
      <c r="AZ110" s="39">
        <f t="shared" si="6"/>
        <v>0</v>
      </c>
      <c r="BA110" s="39"/>
      <c r="BB110" s="39"/>
      <c r="BC110" s="39"/>
      <c r="BD110" s="39"/>
      <c r="BE110" s="39"/>
      <c r="BF110" s="39">
        <f t="shared" si="7"/>
        <v>0</v>
      </c>
      <c r="BG110" s="39"/>
      <c r="BH110" s="39"/>
      <c r="BI110" s="39"/>
      <c r="BJ110" s="39"/>
      <c r="BK110" s="39"/>
      <c r="BL110" s="39">
        <f t="shared" si="8"/>
        <v>0</v>
      </c>
      <c r="BM110" s="54">
        <f t="shared" ca="1" si="9"/>
        <v>46283</v>
      </c>
      <c r="BN110" s="66">
        <v>46280</v>
      </c>
      <c r="BO110" s="57">
        <v>46295</v>
      </c>
      <c r="BP110" s="57">
        <v>46301</v>
      </c>
      <c r="BQ110" s="57">
        <v>46312</v>
      </c>
      <c r="BR110" s="36"/>
      <c r="BS110" s="36"/>
      <c r="BT110" s="39"/>
      <c r="BU110" s="39"/>
      <c r="BV110" s="39"/>
      <c r="BW110" s="39"/>
      <c r="BX110" s="39"/>
      <c r="BY110" s="39"/>
      <c r="BZ110" s="39">
        <f t="shared" si="10"/>
        <v>0</v>
      </c>
      <c r="CA110" s="39">
        <f t="shared" si="11"/>
        <v>-302</v>
      </c>
      <c r="CB110" s="39">
        <f t="shared" si="12"/>
        <v>0</v>
      </c>
      <c r="CC110" s="39">
        <f t="shared" si="13"/>
        <v>0</v>
      </c>
      <c r="CD110" s="39">
        <f t="shared" si="14"/>
        <v>-302</v>
      </c>
      <c r="CE110" s="102">
        <f t="shared" si="15"/>
        <v>-1</v>
      </c>
      <c r="CF110" s="36"/>
      <c r="CG110" s="39" t="s">
        <v>228</v>
      </c>
      <c r="CH110" s="39"/>
      <c r="CI110" s="25">
        <v>2</v>
      </c>
    </row>
    <row r="111" spans="1:87" ht="24.75" customHeight="1">
      <c r="A111" s="36" t="s">
        <v>50</v>
      </c>
      <c r="B111" s="26">
        <v>48107</v>
      </c>
      <c r="C111" s="228"/>
      <c r="D111" s="36"/>
      <c r="E111" s="39"/>
      <c r="F111" s="39"/>
      <c r="G111" s="36" t="s">
        <v>198</v>
      </c>
      <c r="H111" s="36">
        <f>3000+2500+2500</f>
        <v>8000</v>
      </c>
      <c r="I111" s="39" t="s">
        <v>90</v>
      </c>
      <c r="J111" s="39"/>
      <c r="K111" s="39"/>
      <c r="L111" s="39">
        <f t="shared" si="40"/>
        <v>0</v>
      </c>
      <c r="M111" s="117">
        <v>46268</v>
      </c>
      <c r="N111" s="117">
        <v>46275</v>
      </c>
      <c r="O111" s="39"/>
      <c r="P111" s="39"/>
      <c r="Q111" s="39"/>
      <c r="R111" s="39">
        <f t="shared" si="47"/>
        <v>0</v>
      </c>
      <c r="S111" s="39" t="s">
        <v>130</v>
      </c>
      <c r="T111" s="39">
        <v>109271</v>
      </c>
      <c r="U111" s="117">
        <v>46276</v>
      </c>
      <c r="V111" s="117" t="s">
        <v>2867</v>
      </c>
      <c r="W111" s="39">
        <f>15+12</f>
        <v>27</v>
      </c>
      <c r="X111" s="39"/>
      <c r="Y111" s="39">
        <v>15</v>
      </c>
      <c r="Z111" s="39"/>
      <c r="AA111" s="39"/>
      <c r="AB111" s="39">
        <f t="shared" si="48"/>
        <v>15</v>
      </c>
      <c r="AC111" s="39"/>
      <c r="AD111" s="39"/>
      <c r="AE111" s="39"/>
      <c r="AF111" s="39"/>
      <c r="AG111" s="39"/>
      <c r="AH111" s="39">
        <f t="shared" si="3"/>
        <v>0</v>
      </c>
      <c r="AI111" s="39"/>
      <c r="AJ111" s="39"/>
      <c r="AK111" s="39"/>
      <c r="AL111" s="39"/>
      <c r="AM111" s="39"/>
      <c r="AN111" s="39">
        <f t="shared" si="4"/>
        <v>0</v>
      </c>
      <c r="AO111" s="39"/>
      <c r="AP111" s="39"/>
      <c r="AQ111" s="39"/>
      <c r="AR111" s="39"/>
      <c r="AS111" s="39"/>
      <c r="AT111" s="39">
        <f t="shared" si="5"/>
        <v>0</v>
      </c>
      <c r="AU111" s="39"/>
      <c r="AV111" s="39"/>
      <c r="AW111" s="39"/>
      <c r="AX111" s="39"/>
      <c r="AY111" s="39"/>
      <c r="AZ111" s="39">
        <f t="shared" si="6"/>
        <v>0</v>
      </c>
      <c r="BA111" s="39"/>
      <c r="BB111" s="39"/>
      <c r="BC111" s="39"/>
      <c r="BD111" s="39"/>
      <c r="BE111" s="39"/>
      <c r="BF111" s="39">
        <f t="shared" si="7"/>
        <v>0</v>
      </c>
      <c r="BG111" s="39"/>
      <c r="BH111" s="39"/>
      <c r="BI111" s="39"/>
      <c r="BJ111" s="39"/>
      <c r="BK111" s="39"/>
      <c r="BL111" s="39">
        <f t="shared" si="8"/>
        <v>0</v>
      </c>
      <c r="BM111" s="54" t="e">
        <f t="shared" si="9"/>
        <v>#DIV/0!</v>
      </c>
      <c r="BN111" s="66">
        <v>46280</v>
      </c>
      <c r="BO111" s="57">
        <v>46295</v>
      </c>
      <c r="BP111" s="57"/>
      <c r="BQ111" s="57"/>
      <c r="BR111" s="36"/>
      <c r="BS111" s="36"/>
      <c r="BT111" s="39"/>
      <c r="BU111" s="39"/>
      <c r="BV111" s="39"/>
      <c r="BW111" s="39"/>
      <c r="BX111" s="39"/>
      <c r="BY111" s="39"/>
      <c r="BZ111" s="39">
        <f t="shared" si="10"/>
        <v>0</v>
      </c>
      <c r="CA111" s="39" t="e">
        <f t="shared" si="11"/>
        <v>#VALUE!</v>
      </c>
      <c r="CB111" s="39">
        <f t="shared" si="12"/>
        <v>0</v>
      </c>
      <c r="CC111" s="39">
        <f t="shared" si="13"/>
        <v>0</v>
      </c>
      <c r="CD111" s="39">
        <f t="shared" si="14"/>
        <v>0</v>
      </c>
      <c r="CE111" s="102" t="e">
        <f t="shared" si="15"/>
        <v>#DIV/0!</v>
      </c>
      <c r="CF111" s="36"/>
      <c r="CG111" s="39" t="s">
        <v>228</v>
      </c>
      <c r="CH111" s="39"/>
      <c r="CI111" s="25">
        <v>2</v>
      </c>
    </row>
    <row r="112" spans="1:87" ht="24.75" customHeight="1">
      <c r="A112" s="36" t="s">
        <v>50</v>
      </c>
      <c r="B112" s="26">
        <v>48294</v>
      </c>
      <c r="C112" s="227">
        <v>13267868</v>
      </c>
      <c r="D112" s="36"/>
      <c r="E112" s="39">
        <v>160</v>
      </c>
      <c r="F112" s="39" t="s">
        <v>53</v>
      </c>
      <c r="G112" s="36" t="s">
        <v>1734</v>
      </c>
      <c r="H112" s="36" t="s">
        <v>698</v>
      </c>
      <c r="I112" s="39">
        <v>149</v>
      </c>
      <c r="J112" s="39">
        <v>15</v>
      </c>
      <c r="K112" s="39"/>
      <c r="L112" s="39">
        <f t="shared" si="40"/>
        <v>164</v>
      </c>
      <c r="M112" s="117">
        <v>46266</v>
      </c>
      <c r="N112" s="117">
        <v>46271</v>
      </c>
      <c r="O112" s="39"/>
      <c r="P112" s="39"/>
      <c r="Q112" s="39"/>
      <c r="R112" s="39">
        <f t="shared" ref="R112" si="49">SUM(O112:Q112)</f>
        <v>0</v>
      </c>
      <c r="S112" s="39" t="s">
        <v>28</v>
      </c>
      <c r="T112" s="39"/>
      <c r="U112" s="39"/>
      <c r="V112" s="117">
        <v>46249</v>
      </c>
      <c r="W112" s="39">
        <f>186+18</f>
        <v>204</v>
      </c>
      <c r="X112" s="117">
        <v>46271</v>
      </c>
      <c r="Y112" s="39">
        <v>165</v>
      </c>
      <c r="Z112" s="39"/>
      <c r="AA112" s="39"/>
      <c r="AB112" s="120">
        <f t="shared" ref="AB112" si="50">SUM(Y112:AA112)</f>
        <v>165</v>
      </c>
      <c r="AC112" s="39"/>
      <c r="AD112" s="39"/>
      <c r="AE112" s="39"/>
      <c r="AF112" s="39"/>
      <c r="AG112" s="39"/>
      <c r="AH112" s="39">
        <f t="shared" si="3"/>
        <v>0</v>
      </c>
      <c r="AI112" s="39"/>
      <c r="AJ112" s="39"/>
      <c r="AK112" s="39"/>
      <c r="AL112" s="39"/>
      <c r="AM112" s="39"/>
      <c r="AN112" s="39">
        <f t="shared" si="4"/>
        <v>0</v>
      </c>
      <c r="AO112" s="39"/>
      <c r="AP112" s="39"/>
      <c r="AQ112" s="39"/>
      <c r="AR112" s="39"/>
      <c r="AS112" s="39"/>
      <c r="AT112" s="39">
        <f t="shared" si="5"/>
        <v>0</v>
      </c>
      <c r="AU112" s="39"/>
      <c r="AV112" s="39"/>
      <c r="AW112" s="39"/>
      <c r="AX112" s="39"/>
      <c r="AY112" s="39"/>
      <c r="AZ112" s="39">
        <f t="shared" si="6"/>
        <v>0</v>
      </c>
      <c r="BA112" s="39"/>
      <c r="BB112" s="39"/>
      <c r="BC112" s="39"/>
      <c r="BD112" s="39"/>
      <c r="BE112" s="39"/>
      <c r="BF112" s="39">
        <f t="shared" si="7"/>
        <v>0</v>
      </c>
      <c r="BG112" s="39"/>
      <c r="BH112" s="39"/>
      <c r="BI112" s="39"/>
      <c r="BJ112" s="39"/>
      <c r="BK112" s="39"/>
      <c r="BL112" s="39">
        <f t="shared" si="8"/>
        <v>0</v>
      </c>
      <c r="BM112" s="54" t="str">
        <f t="shared" si="9"/>
        <v/>
      </c>
      <c r="BN112" s="66">
        <v>46280</v>
      </c>
      <c r="BO112" s="57">
        <v>46295</v>
      </c>
      <c r="BP112" s="36"/>
      <c r="BQ112" s="36"/>
      <c r="BR112" s="117">
        <v>46272</v>
      </c>
      <c r="BS112" s="39"/>
      <c r="BT112" s="39">
        <v>599</v>
      </c>
      <c r="BU112" s="39">
        <v>165</v>
      </c>
      <c r="BV112" s="39"/>
      <c r="BW112" s="39"/>
      <c r="BX112" s="39"/>
      <c r="BY112" s="39"/>
      <c r="BZ112" s="39">
        <f t="shared" si="10"/>
        <v>165</v>
      </c>
      <c r="CA112" s="39">
        <f t="shared" si="11"/>
        <v>16</v>
      </c>
      <c r="CB112" s="39">
        <f t="shared" si="12"/>
        <v>-15</v>
      </c>
      <c r="CC112" s="39">
        <f t="shared" si="13"/>
        <v>0</v>
      </c>
      <c r="CD112" s="39">
        <f t="shared" si="14"/>
        <v>-15</v>
      </c>
      <c r="CE112" s="102">
        <f t="shared" si="15"/>
        <v>-9.1463414634146339E-2</v>
      </c>
      <c r="CF112" s="36"/>
      <c r="CG112" s="39" t="s">
        <v>228</v>
      </c>
      <c r="CH112" s="39"/>
      <c r="CI112" s="25">
        <v>2</v>
      </c>
    </row>
    <row r="113" spans="1:87" ht="24.75" customHeight="1">
      <c r="A113" s="36" t="s">
        <v>50</v>
      </c>
      <c r="B113" s="26">
        <v>48294</v>
      </c>
      <c r="C113" s="231"/>
      <c r="D113" s="36"/>
      <c r="E113" s="39">
        <v>160</v>
      </c>
      <c r="F113" s="39" t="s">
        <v>53</v>
      </c>
      <c r="G113" s="36" t="s">
        <v>1741</v>
      </c>
      <c r="H113" s="36" t="s">
        <v>698</v>
      </c>
      <c r="I113" s="39">
        <v>149</v>
      </c>
      <c r="J113" s="39">
        <v>15</v>
      </c>
      <c r="K113" s="39"/>
      <c r="L113" s="39">
        <f t="shared" si="40"/>
        <v>164</v>
      </c>
      <c r="M113" s="117">
        <v>46266</v>
      </c>
      <c r="N113" s="117">
        <v>46271</v>
      </c>
      <c r="O113" s="39"/>
      <c r="P113" s="39"/>
      <c r="Q113" s="39"/>
      <c r="R113" s="39">
        <f t="shared" ref="R113:R121" si="51">SUM(O113:Q113)</f>
        <v>0</v>
      </c>
      <c r="S113" s="39" t="s">
        <v>28</v>
      </c>
      <c r="T113" s="39"/>
      <c r="U113" s="39"/>
      <c r="V113" s="117">
        <v>46249</v>
      </c>
      <c r="W113" s="39">
        <f>185+18</f>
        <v>203</v>
      </c>
      <c r="X113" s="117">
        <v>46271</v>
      </c>
      <c r="Y113" s="39">
        <v>165</v>
      </c>
      <c r="Z113" s="39">
        <v>16</v>
      </c>
      <c r="AA113" s="39"/>
      <c r="AB113" s="119">
        <f t="shared" ref="AB113:AB121" si="52">SUM(Y113:AA113)</f>
        <v>181</v>
      </c>
      <c r="AC113" s="39"/>
      <c r="AD113" s="39"/>
      <c r="AE113" s="39"/>
      <c r="AF113" s="39"/>
      <c r="AG113" s="39"/>
      <c r="AH113" s="39">
        <f t="shared" si="3"/>
        <v>0</v>
      </c>
      <c r="AI113" s="39"/>
      <c r="AJ113" s="39"/>
      <c r="AK113" s="39"/>
      <c r="AL113" s="39"/>
      <c r="AM113" s="39"/>
      <c r="AN113" s="39">
        <f t="shared" si="4"/>
        <v>0</v>
      </c>
      <c r="AO113" s="39"/>
      <c r="AP113" s="39"/>
      <c r="AQ113" s="39"/>
      <c r="AR113" s="39"/>
      <c r="AS113" s="39"/>
      <c r="AT113" s="39">
        <f t="shared" si="5"/>
        <v>0</v>
      </c>
      <c r="AU113" s="39"/>
      <c r="AV113" s="39"/>
      <c r="AW113" s="39"/>
      <c r="AX113" s="39"/>
      <c r="AY113" s="39"/>
      <c r="AZ113" s="39">
        <f t="shared" si="6"/>
        <v>0</v>
      </c>
      <c r="BA113" s="39"/>
      <c r="BB113" s="39"/>
      <c r="BC113" s="39"/>
      <c r="BD113" s="39"/>
      <c r="BE113" s="39"/>
      <c r="BF113" s="39">
        <f t="shared" si="7"/>
        <v>0</v>
      </c>
      <c r="BG113" s="39"/>
      <c r="BH113" s="39"/>
      <c r="BI113" s="39"/>
      <c r="BJ113" s="39"/>
      <c r="BK113" s="39"/>
      <c r="BL113" s="39">
        <f t="shared" si="8"/>
        <v>0</v>
      </c>
      <c r="BM113" s="54" t="str">
        <f t="shared" si="9"/>
        <v/>
      </c>
      <c r="BN113" s="66">
        <v>46280</v>
      </c>
      <c r="BO113" s="57">
        <v>46295</v>
      </c>
      <c r="BP113" s="36"/>
      <c r="BQ113" s="36"/>
      <c r="BR113" s="117">
        <v>46272</v>
      </c>
      <c r="BS113" s="117">
        <v>46272</v>
      </c>
      <c r="BT113" s="39">
        <v>598</v>
      </c>
      <c r="BU113" s="39">
        <v>165</v>
      </c>
      <c r="BV113" s="39">
        <v>598</v>
      </c>
      <c r="BW113" s="39">
        <v>16</v>
      </c>
      <c r="BX113" s="39"/>
      <c r="BY113" s="39"/>
      <c r="BZ113" s="39">
        <f t="shared" si="10"/>
        <v>181</v>
      </c>
      <c r="CA113" s="39">
        <f t="shared" si="11"/>
        <v>16</v>
      </c>
      <c r="CB113" s="39">
        <f t="shared" si="12"/>
        <v>1</v>
      </c>
      <c r="CC113" s="39">
        <f t="shared" si="13"/>
        <v>0</v>
      </c>
      <c r="CD113" s="39">
        <f t="shared" si="14"/>
        <v>0</v>
      </c>
      <c r="CE113" s="102">
        <f t="shared" si="15"/>
        <v>0</v>
      </c>
      <c r="CF113" s="36"/>
      <c r="CG113" s="39" t="s">
        <v>228</v>
      </c>
      <c r="CH113" s="39"/>
      <c r="CI113" s="25">
        <v>2</v>
      </c>
    </row>
    <row r="114" spans="1:87" ht="24.75" customHeight="1">
      <c r="A114" s="36" t="s">
        <v>50</v>
      </c>
      <c r="B114" s="26">
        <v>48294</v>
      </c>
      <c r="C114" s="228"/>
      <c r="D114" s="36"/>
      <c r="E114" s="39">
        <v>160</v>
      </c>
      <c r="F114" s="39" t="s">
        <v>53</v>
      </c>
      <c r="G114" s="36" t="s">
        <v>93</v>
      </c>
      <c r="H114" s="36" t="s">
        <v>698</v>
      </c>
      <c r="I114" s="39">
        <v>103</v>
      </c>
      <c r="J114" s="39">
        <v>11</v>
      </c>
      <c r="K114" s="39"/>
      <c r="L114" s="39">
        <f t="shared" si="40"/>
        <v>114</v>
      </c>
      <c r="M114" s="117">
        <v>46266</v>
      </c>
      <c r="N114" s="117">
        <v>46271</v>
      </c>
      <c r="O114" s="39"/>
      <c r="P114" s="39"/>
      <c r="Q114" s="39"/>
      <c r="R114" s="39">
        <f t="shared" si="51"/>
        <v>0</v>
      </c>
      <c r="S114" s="39" t="s">
        <v>130</v>
      </c>
      <c r="T114" s="39">
        <v>109223</v>
      </c>
      <c r="U114" s="117">
        <v>46281</v>
      </c>
      <c r="V114" s="39"/>
      <c r="W114" s="39"/>
      <c r="X114" s="39"/>
      <c r="Y114" s="39">
        <v>130</v>
      </c>
      <c r="Z114" s="39">
        <v>13</v>
      </c>
      <c r="AA114" s="39"/>
      <c r="AB114" s="119">
        <f t="shared" si="52"/>
        <v>143</v>
      </c>
      <c r="AC114" s="39"/>
      <c r="AD114" s="39"/>
      <c r="AE114" s="39"/>
      <c r="AF114" s="39"/>
      <c r="AG114" s="39"/>
      <c r="AH114" s="39">
        <f t="shared" si="3"/>
        <v>0</v>
      </c>
      <c r="AI114" s="39"/>
      <c r="AJ114" s="39"/>
      <c r="AK114" s="39"/>
      <c r="AL114" s="39"/>
      <c r="AM114" s="39"/>
      <c r="AN114" s="39">
        <f t="shared" si="4"/>
        <v>0</v>
      </c>
      <c r="AO114" s="39"/>
      <c r="AP114" s="39"/>
      <c r="AQ114" s="39"/>
      <c r="AR114" s="39"/>
      <c r="AS114" s="39"/>
      <c r="AT114" s="39">
        <f t="shared" si="5"/>
        <v>0</v>
      </c>
      <c r="AU114" s="39"/>
      <c r="AV114" s="39"/>
      <c r="AW114" s="39"/>
      <c r="AX114" s="39"/>
      <c r="AY114" s="39"/>
      <c r="AZ114" s="39">
        <f t="shared" si="6"/>
        <v>0</v>
      </c>
      <c r="BA114" s="39"/>
      <c r="BB114" s="39"/>
      <c r="BC114" s="39"/>
      <c r="BD114" s="39"/>
      <c r="BE114" s="39"/>
      <c r="BF114" s="39">
        <f t="shared" si="7"/>
        <v>0</v>
      </c>
      <c r="BG114" s="39"/>
      <c r="BH114" s="39"/>
      <c r="BI114" s="39"/>
      <c r="BJ114" s="39"/>
      <c r="BK114" s="39"/>
      <c r="BL114" s="39">
        <f t="shared" si="8"/>
        <v>0</v>
      </c>
      <c r="BM114" s="54">
        <f t="shared" ca="1" si="9"/>
        <v>2</v>
      </c>
      <c r="BN114" s="66">
        <v>46280</v>
      </c>
      <c r="BO114" s="57">
        <v>46295</v>
      </c>
      <c r="BP114" s="36"/>
      <c r="BQ114" s="36"/>
      <c r="BR114" s="39"/>
      <c r="BS114" s="39"/>
      <c r="BT114" s="39"/>
      <c r="BU114" s="39"/>
      <c r="BV114" s="39"/>
      <c r="BW114" s="39"/>
      <c r="BX114" s="39"/>
      <c r="BY114" s="39"/>
      <c r="BZ114" s="39">
        <f t="shared" si="10"/>
        <v>0</v>
      </c>
      <c r="CA114" s="39">
        <f t="shared" si="11"/>
        <v>-103</v>
      </c>
      <c r="CB114" s="39">
        <f t="shared" si="12"/>
        <v>-11</v>
      </c>
      <c r="CC114" s="39">
        <f t="shared" si="13"/>
        <v>0</v>
      </c>
      <c r="CD114" s="39">
        <f t="shared" si="14"/>
        <v>-114</v>
      </c>
      <c r="CE114" s="102">
        <f t="shared" si="15"/>
        <v>-1</v>
      </c>
      <c r="CF114" s="36"/>
      <c r="CG114" s="39" t="s">
        <v>228</v>
      </c>
      <c r="CH114" s="39"/>
      <c r="CI114" s="25">
        <v>2</v>
      </c>
    </row>
    <row r="115" spans="1:87" ht="24.75" customHeight="1">
      <c r="A115" s="36" t="s">
        <v>50</v>
      </c>
      <c r="B115" s="26">
        <v>48112</v>
      </c>
      <c r="C115" s="227">
        <v>13269965</v>
      </c>
      <c r="D115" s="36"/>
      <c r="E115" s="39">
        <v>150</v>
      </c>
      <c r="F115" s="39" t="s">
        <v>65</v>
      </c>
      <c r="G115" s="36" t="s">
        <v>93</v>
      </c>
      <c r="H115" s="36" t="s">
        <v>22</v>
      </c>
      <c r="I115" s="39">
        <v>103</v>
      </c>
      <c r="J115" s="39">
        <v>10</v>
      </c>
      <c r="K115" s="39"/>
      <c r="L115" s="39">
        <f t="shared" ref="L115:L116" si="53">SUM(I115:K115)</f>
        <v>113</v>
      </c>
      <c r="M115" s="117">
        <v>46266</v>
      </c>
      <c r="N115" s="117">
        <v>46271</v>
      </c>
      <c r="O115" s="39"/>
      <c r="P115" s="39"/>
      <c r="Q115" s="39"/>
      <c r="R115" s="39">
        <f t="shared" si="51"/>
        <v>0</v>
      </c>
      <c r="S115" s="39" t="s">
        <v>326</v>
      </c>
      <c r="T115" s="39"/>
      <c r="U115" s="39"/>
      <c r="V115" s="117">
        <v>46282</v>
      </c>
      <c r="W115" s="39">
        <f>127+12</f>
        <v>139</v>
      </c>
      <c r="X115" s="39"/>
      <c r="Y115" s="39"/>
      <c r="Z115" s="39"/>
      <c r="AA115" s="39"/>
      <c r="AB115" s="118">
        <f t="shared" si="52"/>
        <v>0</v>
      </c>
      <c r="AC115" s="39"/>
      <c r="AD115" s="39"/>
      <c r="AE115" s="39"/>
      <c r="AF115" s="39"/>
      <c r="AG115" s="39"/>
      <c r="AH115" s="39">
        <f t="shared" si="3"/>
        <v>0</v>
      </c>
      <c r="AI115" s="39"/>
      <c r="AJ115" s="39"/>
      <c r="AK115" s="39"/>
      <c r="AL115" s="39"/>
      <c r="AM115" s="39"/>
      <c r="AN115" s="39">
        <f t="shared" si="4"/>
        <v>0</v>
      </c>
      <c r="AO115" s="39"/>
      <c r="AP115" s="39"/>
      <c r="AQ115" s="39"/>
      <c r="AR115" s="39"/>
      <c r="AS115" s="39"/>
      <c r="AT115" s="39">
        <f t="shared" si="5"/>
        <v>0</v>
      </c>
      <c r="AU115" s="39"/>
      <c r="AV115" s="39"/>
      <c r="AW115" s="39"/>
      <c r="AX115" s="39"/>
      <c r="AY115" s="39"/>
      <c r="AZ115" s="39">
        <f t="shared" si="6"/>
        <v>0</v>
      </c>
      <c r="BA115" s="39"/>
      <c r="BB115" s="39"/>
      <c r="BC115" s="39"/>
      <c r="BD115" s="39"/>
      <c r="BE115" s="39"/>
      <c r="BF115" s="39">
        <f t="shared" si="7"/>
        <v>0</v>
      </c>
      <c r="BG115" s="39"/>
      <c r="BH115" s="39"/>
      <c r="BI115" s="39"/>
      <c r="BJ115" s="39"/>
      <c r="BK115" s="39"/>
      <c r="BL115" s="39">
        <f t="shared" si="8"/>
        <v>0</v>
      </c>
      <c r="BM115" s="54">
        <f t="shared" ca="1" si="9"/>
        <v>46283</v>
      </c>
      <c r="BN115" s="66">
        <v>46280</v>
      </c>
      <c r="BO115" s="57">
        <v>46295</v>
      </c>
      <c r="BP115" s="36"/>
      <c r="BQ115" s="36"/>
      <c r="BR115" s="39"/>
      <c r="BS115" s="39"/>
      <c r="BT115" s="39"/>
      <c r="BU115" s="39"/>
      <c r="BV115" s="39"/>
      <c r="BW115" s="39"/>
      <c r="BX115" s="39"/>
      <c r="BY115" s="39"/>
      <c r="BZ115" s="39">
        <f t="shared" si="10"/>
        <v>0</v>
      </c>
      <c r="CA115" s="39">
        <f t="shared" si="11"/>
        <v>-103</v>
      </c>
      <c r="CB115" s="39">
        <f t="shared" si="12"/>
        <v>-10</v>
      </c>
      <c r="CC115" s="39">
        <f t="shared" si="13"/>
        <v>0</v>
      </c>
      <c r="CD115" s="39">
        <f t="shared" si="14"/>
        <v>-113</v>
      </c>
      <c r="CE115" s="102">
        <f t="shared" si="15"/>
        <v>-1</v>
      </c>
      <c r="CF115" s="36"/>
      <c r="CG115" s="39" t="s">
        <v>228</v>
      </c>
      <c r="CH115" s="39"/>
      <c r="CI115" s="25">
        <v>2</v>
      </c>
    </row>
    <row r="116" spans="1:87" ht="24.75" customHeight="1">
      <c r="A116" s="36" t="s">
        <v>50</v>
      </c>
      <c r="B116" s="26">
        <v>48112</v>
      </c>
      <c r="C116" s="231"/>
      <c r="D116" s="36"/>
      <c r="E116" s="39">
        <v>150</v>
      </c>
      <c r="F116" s="39" t="s">
        <v>65</v>
      </c>
      <c r="G116" s="36" t="s">
        <v>2241</v>
      </c>
      <c r="H116" s="36" t="s">
        <v>22</v>
      </c>
      <c r="I116" s="39">
        <v>108</v>
      </c>
      <c r="J116" s="39">
        <v>11</v>
      </c>
      <c r="K116" s="39"/>
      <c r="L116" s="39">
        <f t="shared" si="53"/>
        <v>119</v>
      </c>
      <c r="M116" s="117">
        <v>46266</v>
      </c>
      <c r="N116" s="117">
        <v>46271</v>
      </c>
      <c r="O116" s="39"/>
      <c r="P116" s="39"/>
      <c r="Q116" s="39"/>
      <c r="R116" s="39">
        <f t="shared" si="51"/>
        <v>0</v>
      </c>
      <c r="S116" s="39" t="s">
        <v>28</v>
      </c>
      <c r="T116" s="39"/>
      <c r="U116" s="39"/>
      <c r="V116" s="117">
        <v>46249</v>
      </c>
      <c r="W116" s="39">
        <f>130+13</f>
        <v>143</v>
      </c>
      <c r="X116" s="117">
        <v>46266</v>
      </c>
      <c r="Y116" s="39">
        <v>114</v>
      </c>
      <c r="Z116" s="39">
        <v>11</v>
      </c>
      <c r="AA116" s="39"/>
      <c r="AB116" s="119">
        <f t="shared" si="52"/>
        <v>125</v>
      </c>
      <c r="AC116" s="39"/>
      <c r="AD116" s="39"/>
      <c r="AE116" s="39"/>
      <c r="AF116" s="39"/>
      <c r="AG116" s="39"/>
      <c r="AH116" s="39">
        <f t="shared" si="3"/>
        <v>0</v>
      </c>
      <c r="AI116" s="39"/>
      <c r="AJ116" s="39"/>
      <c r="AK116" s="39"/>
      <c r="AL116" s="39"/>
      <c r="AM116" s="39"/>
      <c r="AN116" s="39">
        <f t="shared" si="4"/>
        <v>0</v>
      </c>
      <c r="AO116" s="39"/>
      <c r="AP116" s="39"/>
      <c r="AQ116" s="39"/>
      <c r="AR116" s="39"/>
      <c r="AS116" s="39"/>
      <c r="AT116" s="39">
        <f t="shared" si="5"/>
        <v>0</v>
      </c>
      <c r="AU116" s="39"/>
      <c r="AV116" s="39"/>
      <c r="AW116" s="39"/>
      <c r="AX116" s="39"/>
      <c r="AY116" s="39"/>
      <c r="AZ116" s="39">
        <f t="shared" si="6"/>
        <v>0</v>
      </c>
      <c r="BA116" s="39"/>
      <c r="BB116" s="39"/>
      <c r="BC116" s="39"/>
      <c r="BD116" s="39"/>
      <c r="BE116" s="39"/>
      <c r="BF116" s="39">
        <f t="shared" si="7"/>
        <v>0</v>
      </c>
      <c r="BG116" s="39"/>
      <c r="BH116" s="39"/>
      <c r="BI116" s="39"/>
      <c r="BJ116" s="39"/>
      <c r="BK116" s="39"/>
      <c r="BL116" s="39">
        <f t="shared" si="8"/>
        <v>0</v>
      </c>
      <c r="BM116" s="54" t="str">
        <f t="shared" si="9"/>
        <v/>
      </c>
      <c r="BN116" s="66">
        <v>46280</v>
      </c>
      <c r="BO116" s="57">
        <v>46295</v>
      </c>
      <c r="BP116" s="36"/>
      <c r="BQ116" s="36"/>
      <c r="BR116" s="117">
        <v>46267</v>
      </c>
      <c r="BS116" s="117">
        <v>46267</v>
      </c>
      <c r="BT116" s="39">
        <v>594</v>
      </c>
      <c r="BU116" s="39">
        <v>114</v>
      </c>
      <c r="BV116" s="39">
        <v>594</v>
      </c>
      <c r="BW116" s="39">
        <v>11</v>
      </c>
      <c r="BX116" s="39"/>
      <c r="BY116" s="39"/>
      <c r="BZ116" s="39">
        <f t="shared" si="10"/>
        <v>125</v>
      </c>
      <c r="CA116" s="39">
        <f t="shared" si="11"/>
        <v>6</v>
      </c>
      <c r="CB116" s="39">
        <f t="shared" si="12"/>
        <v>0</v>
      </c>
      <c r="CC116" s="39">
        <f t="shared" si="13"/>
        <v>0</v>
      </c>
      <c r="CD116" s="39">
        <f t="shared" si="14"/>
        <v>0</v>
      </c>
      <c r="CE116" s="102">
        <f t="shared" si="15"/>
        <v>0</v>
      </c>
      <c r="CF116" s="36"/>
      <c r="CG116" s="39" t="s">
        <v>228</v>
      </c>
      <c r="CH116" s="39"/>
      <c r="CI116" s="25">
        <v>2</v>
      </c>
    </row>
    <row r="117" spans="1:87" ht="24.75" customHeight="1">
      <c r="A117" s="36" t="s">
        <v>50</v>
      </c>
      <c r="B117" s="26">
        <v>48112</v>
      </c>
      <c r="C117" s="228"/>
      <c r="D117" s="36"/>
      <c r="E117" s="39">
        <v>150</v>
      </c>
      <c r="F117" s="39" t="s">
        <v>65</v>
      </c>
      <c r="G117" s="36" t="s">
        <v>35</v>
      </c>
      <c r="H117" s="36" t="s">
        <v>22</v>
      </c>
      <c r="I117" s="39">
        <v>103</v>
      </c>
      <c r="J117" s="39">
        <v>10</v>
      </c>
      <c r="K117" s="39"/>
      <c r="L117" s="39">
        <f t="shared" ref="L117:L119" si="54">SUM(I117:K117)</f>
        <v>113</v>
      </c>
      <c r="M117" s="117">
        <v>46266</v>
      </c>
      <c r="N117" s="117">
        <v>46271</v>
      </c>
      <c r="O117" s="39"/>
      <c r="P117" s="39"/>
      <c r="Q117" s="39"/>
      <c r="R117" s="39">
        <f t="shared" si="51"/>
        <v>0</v>
      </c>
      <c r="S117" s="39" t="s">
        <v>326</v>
      </c>
      <c r="T117" s="39"/>
      <c r="U117" s="39"/>
      <c r="V117" s="117">
        <v>46251</v>
      </c>
      <c r="W117" s="39">
        <f>126+12</f>
        <v>138</v>
      </c>
      <c r="X117" s="117" t="s">
        <v>2738</v>
      </c>
      <c r="Y117" s="39">
        <v>108</v>
      </c>
      <c r="Z117" s="39">
        <v>11</v>
      </c>
      <c r="AA117" s="39"/>
      <c r="AB117" s="119">
        <f t="shared" si="52"/>
        <v>119</v>
      </c>
      <c r="AC117" s="39"/>
      <c r="AD117" s="39"/>
      <c r="AE117" s="39"/>
      <c r="AF117" s="39"/>
      <c r="AG117" s="39"/>
      <c r="AH117" s="39">
        <f t="shared" si="3"/>
        <v>0</v>
      </c>
      <c r="AI117" s="39"/>
      <c r="AJ117" s="39"/>
      <c r="AK117" s="39"/>
      <c r="AL117" s="39"/>
      <c r="AM117" s="39"/>
      <c r="AN117" s="39">
        <f t="shared" si="4"/>
        <v>0</v>
      </c>
      <c r="AO117" s="39"/>
      <c r="AP117" s="39"/>
      <c r="AQ117" s="39"/>
      <c r="AR117" s="39"/>
      <c r="AS117" s="39"/>
      <c r="AT117" s="39">
        <f t="shared" si="5"/>
        <v>0</v>
      </c>
      <c r="AU117" s="39"/>
      <c r="AV117" s="39"/>
      <c r="AW117" s="39"/>
      <c r="AX117" s="39"/>
      <c r="AY117" s="39"/>
      <c r="AZ117" s="39">
        <f t="shared" si="6"/>
        <v>0</v>
      </c>
      <c r="BA117" s="39"/>
      <c r="BB117" s="39"/>
      <c r="BC117" s="39"/>
      <c r="BD117" s="39"/>
      <c r="BE117" s="39"/>
      <c r="BF117" s="39">
        <f t="shared" si="7"/>
        <v>0</v>
      </c>
      <c r="BG117" s="39"/>
      <c r="BH117" s="39"/>
      <c r="BI117" s="39"/>
      <c r="BJ117" s="39"/>
      <c r="BK117" s="39"/>
      <c r="BL117" s="39">
        <f t="shared" si="8"/>
        <v>0</v>
      </c>
      <c r="BM117" s="54" t="str">
        <f t="shared" si="9"/>
        <v/>
      </c>
      <c r="BN117" s="66">
        <v>46280</v>
      </c>
      <c r="BO117" s="57">
        <v>46295</v>
      </c>
      <c r="BP117" s="36"/>
      <c r="BQ117" s="36"/>
      <c r="BR117" s="117">
        <v>46266</v>
      </c>
      <c r="BS117" s="117">
        <v>46267</v>
      </c>
      <c r="BT117" s="39">
        <v>952</v>
      </c>
      <c r="BU117" s="39">
        <v>108</v>
      </c>
      <c r="BV117" s="39">
        <v>595</v>
      </c>
      <c r="BW117" s="39">
        <v>11</v>
      </c>
      <c r="BX117" s="39"/>
      <c r="BY117" s="39"/>
      <c r="BZ117" s="39">
        <f t="shared" si="10"/>
        <v>119</v>
      </c>
      <c r="CA117" s="39">
        <f t="shared" si="11"/>
        <v>5</v>
      </c>
      <c r="CB117" s="39">
        <f t="shared" si="12"/>
        <v>1</v>
      </c>
      <c r="CC117" s="39">
        <f t="shared" si="13"/>
        <v>0</v>
      </c>
      <c r="CD117" s="39">
        <f t="shared" si="14"/>
        <v>0</v>
      </c>
      <c r="CE117" s="102">
        <f t="shared" si="15"/>
        <v>0</v>
      </c>
      <c r="CF117" s="36"/>
      <c r="CG117" s="39" t="s">
        <v>228</v>
      </c>
      <c r="CH117" s="39"/>
      <c r="CI117" s="25">
        <v>2</v>
      </c>
    </row>
    <row r="118" spans="1:87" ht="24.75" customHeight="1">
      <c r="A118" s="36" t="s">
        <v>50</v>
      </c>
      <c r="B118" s="26" t="s">
        <v>2346</v>
      </c>
      <c r="C118" s="144">
        <v>13225095</v>
      </c>
      <c r="D118" s="36" t="s">
        <v>24</v>
      </c>
      <c r="E118" s="39">
        <v>200</v>
      </c>
      <c r="F118" s="39" t="s">
        <v>58</v>
      </c>
      <c r="G118" s="36" t="s">
        <v>556</v>
      </c>
      <c r="H118" s="36" t="s">
        <v>383</v>
      </c>
      <c r="I118" s="39">
        <v>299</v>
      </c>
      <c r="J118" s="39">
        <v>34</v>
      </c>
      <c r="K118" s="39">
        <v>7</v>
      </c>
      <c r="L118" s="39">
        <f t="shared" si="54"/>
        <v>340</v>
      </c>
      <c r="M118" s="117">
        <v>46272</v>
      </c>
      <c r="N118" s="117">
        <v>46277</v>
      </c>
      <c r="O118" s="39"/>
      <c r="P118" s="39"/>
      <c r="Q118" s="39"/>
      <c r="R118" s="39">
        <f t="shared" si="51"/>
        <v>0</v>
      </c>
      <c r="S118" s="39" t="s">
        <v>130</v>
      </c>
      <c r="T118" s="39">
        <v>109421</v>
      </c>
      <c r="U118" s="117">
        <v>46280</v>
      </c>
      <c r="V118" s="39"/>
      <c r="W118" s="39"/>
      <c r="X118" s="39"/>
      <c r="Y118" s="39">
        <v>314</v>
      </c>
      <c r="Z118" s="39">
        <v>37</v>
      </c>
      <c r="AA118" s="39">
        <v>8</v>
      </c>
      <c r="AB118" s="119">
        <f t="shared" si="52"/>
        <v>359</v>
      </c>
      <c r="AC118" s="39"/>
      <c r="AD118" s="39"/>
      <c r="AE118" s="39"/>
      <c r="AF118" s="39"/>
      <c r="AG118" s="39"/>
      <c r="AH118" s="39">
        <f t="shared" si="3"/>
        <v>0</v>
      </c>
      <c r="AI118" s="39"/>
      <c r="AJ118" s="39"/>
      <c r="AK118" s="39"/>
      <c r="AL118" s="39"/>
      <c r="AM118" s="39"/>
      <c r="AN118" s="39">
        <f t="shared" si="4"/>
        <v>0</v>
      </c>
      <c r="AO118" s="39"/>
      <c r="AP118" s="39"/>
      <c r="AQ118" s="39"/>
      <c r="AR118" s="39"/>
      <c r="AS118" s="39"/>
      <c r="AT118" s="39">
        <f t="shared" si="5"/>
        <v>0</v>
      </c>
      <c r="AU118" s="39"/>
      <c r="AV118" s="39"/>
      <c r="AW118" s="39"/>
      <c r="AX118" s="39"/>
      <c r="AY118" s="39"/>
      <c r="AZ118" s="39">
        <f t="shared" si="6"/>
        <v>0</v>
      </c>
      <c r="BA118" s="39"/>
      <c r="BB118" s="39"/>
      <c r="BC118" s="39"/>
      <c r="BD118" s="39"/>
      <c r="BE118" s="39"/>
      <c r="BF118" s="39">
        <f t="shared" si="7"/>
        <v>0</v>
      </c>
      <c r="BG118" s="39"/>
      <c r="BH118" s="39"/>
      <c r="BI118" s="39"/>
      <c r="BJ118" s="39"/>
      <c r="BK118" s="39"/>
      <c r="BL118" s="39">
        <f t="shared" si="8"/>
        <v>0</v>
      </c>
      <c r="BM118" s="54">
        <f t="shared" ca="1" si="9"/>
        <v>3</v>
      </c>
      <c r="BN118" s="66">
        <v>46280</v>
      </c>
      <c r="BO118" s="57">
        <v>46286</v>
      </c>
      <c r="BP118" s="36"/>
      <c r="BQ118" s="36"/>
      <c r="BR118" s="39"/>
      <c r="BS118" s="39"/>
      <c r="BT118" s="39"/>
      <c r="BU118" s="39"/>
      <c r="BV118" s="39"/>
      <c r="BW118" s="39"/>
      <c r="BX118" s="39"/>
      <c r="BY118" s="39"/>
      <c r="BZ118" s="39">
        <f t="shared" si="10"/>
        <v>0</v>
      </c>
      <c r="CA118" s="39">
        <f t="shared" si="11"/>
        <v>-299</v>
      </c>
      <c r="CB118" s="39">
        <f t="shared" si="12"/>
        <v>-34</v>
      </c>
      <c r="CC118" s="39">
        <f t="shared" si="13"/>
        <v>-7</v>
      </c>
      <c r="CD118" s="39">
        <f t="shared" si="14"/>
        <v>-340</v>
      </c>
      <c r="CE118" s="102">
        <f t="shared" si="15"/>
        <v>-1</v>
      </c>
      <c r="CF118" s="36"/>
      <c r="CG118" s="39" t="s">
        <v>281</v>
      </c>
      <c r="CH118" s="39"/>
      <c r="CI118" s="25">
        <v>2</v>
      </c>
    </row>
    <row r="119" spans="1:87" ht="24.75" customHeight="1">
      <c r="A119" s="36" t="s">
        <v>50</v>
      </c>
      <c r="B119" s="26">
        <v>48814</v>
      </c>
      <c r="C119" s="227">
        <v>13226056</v>
      </c>
      <c r="D119" s="36"/>
      <c r="E119" s="39">
        <v>180</v>
      </c>
      <c r="F119" s="39" t="s">
        <v>55</v>
      </c>
      <c r="G119" s="36" t="s">
        <v>513</v>
      </c>
      <c r="H119" s="36" t="s">
        <v>403</v>
      </c>
      <c r="I119" s="39">
        <v>45</v>
      </c>
      <c r="J119" s="39"/>
      <c r="K119" s="39"/>
      <c r="L119" s="39">
        <f t="shared" si="54"/>
        <v>45</v>
      </c>
      <c r="M119" s="117">
        <v>46272</v>
      </c>
      <c r="N119" s="117">
        <v>46275</v>
      </c>
      <c r="O119" s="39"/>
      <c r="P119" s="39"/>
      <c r="Q119" s="39"/>
      <c r="R119" s="39">
        <f t="shared" si="51"/>
        <v>0</v>
      </c>
      <c r="S119" s="39" t="s">
        <v>28</v>
      </c>
      <c r="T119" s="39"/>
      <c r="U119" s="39"/>
      <c r="V119" s="117">
        <v>46270</v>
      </c>
      <c r="W119" s="39">
        <v>59</v>
      </c>
      <c r="X119" s="39"/>
      <c r="Y119" s="39"/>
      <c r="Z119" s="39"/>
      <c r="AA119" s="39"/>
      <c r="AB119" s="118">
        <f t="shared" si="52"/>
        <v>0</v>
      </c>
      <c r="AC119" s="39"/>
      <c r="AD119" s="39"/>
      <c r="AE119" s="39"/>
      <c r="AF119" s="39"/>
      <c r="AG119" s="39"/>
      <c r="AH119" s="39">
        <f t="shared" ref="AH119:AH121" si="55">AG119-AE119</f>
        <v>0</v>
      </c>
      <c r="AI119" s="39"/>
      <c r="AJ119" s="39"/>
      <c r="AK119" s="39"/>
      <c r="AL119" s="39"/>
      <c r="AM119" s="39"/>
      <c r="AN119" s="39">
        <f t="shared" ref="AN119:AN121" si="56">AM119-AK119</f>
        <v>0</v>
      </c>
      <c r="AO119" s="39"/>
      <c r="AP119" s="39"/>
      <c r="AQ119" s="39"/>
      <c r="AR119" s="39"/>
      <c r="AS119" s="39"/>
      <c r="AT119" s="39">
        <f t="shared" ref="AT119:AT121" si="57">AS119-AQ119</f>
        <v>0</v>
      </c>
      <c r="AU119" s="39"/>
      <c r="AV119" s="39"/>
      <c r="AW119" s="39"/>
      <c r="AX119" s="39"/>
      <c r="AY119" s="39"/>
      <c r="AZ119" s="39">
        <f t="shared" ref="AZ119:AZ121" si="58">AY119-AW119</f>
        <v>0</v>
      </c>
      <c r="BA119" s="39"/>
      <c r="BB119" s="39"/>
      <c r="BC119" s="39"/>
      <c r="BD119" s="39"/>
      <c r="BE119" s="39"/>
      <c r="BF119" s="39">
        <f t="shared" ref="BF119:BF121" si="59">BE119-BC119</f>
        <v>0</v>
      </c>
      <c r="BG119" s="39"/>
      <c r="BH119" s="39"/>
      <c r="BI119" s="39"/>
      <c r="BJ119" s="39"/>
      <c r="BK119" s="39"/>
      <c r="BL119" s="39">
        <f t="shared" ref="BL119:BL121" si="60">BK119-BI119</f>
        <v>0</v>
      </c>
      <c r="BM119" s="54">
        <f t="shared" ref="BM119:BM121" ca="1" si="61">IF((BZ119/L119)&lt;0.9,$CO$1-U119,"")</f>
        <v>46283</v>
      </c>
      <c r="BN119" s="66">
        <v>46283</v>
      </c>
      <c r="BO119" s="57">
        <v>46325</v>
      </c>
      <c r="BP119" s="36"/>
      <c r="BQ119" s="36"/>
      <c r="BR119" s="39"/>
      <c r="BS119" s="39"/>
      <c r="BT119" s="39"/>
      <c r="BU119" s="39"/>
      <c r="BV119" s="39"/>
      <c r="BW119" s="39"/>
      <c r="BX119" s="39"/>
      <c r="BY119" s="39"/>
      <c r="BZ119" s="39">
        <f t="shared" ref="BZ119:BZ121" si="62">BU119+BW119+BY119</f>
        <v>0</v>
      </c>
      <c r="CA119" s="39">
        <f t="shared" ref="CA119:CA121" si="63">BU119-I119</f>
        <v>-45</v>
      </c>
      <c r="CB119" s="39">
        <f t="shared" ref="CB119:CB121" si="64">BW119-J119</f>
        <v>0</v>
      </c>
      <c r="CC119" s="39">
        <f t="shared" ref="CC119:CC121" si="65">BY119-K119</f>
        <v>0</v>
      </c>
      <c r="CD119" s="39">
        <f t="shared" ref="CD119:CD121" si="66">SUMIF(CA119:CC119,"&lt;0")</f>
        <v>-45</v>
      </c>
      <c r="CE119" s="102">
        <f t="shared" ref="CE119:CE121" si="67">CD119/L119</f>
        <v>-1</v>
      </c>
      <c r="CF119" s="36" t="s">
        <v>248</v>
      </c>
      <c r="CG119" s="39" t="s">
        <v>298</v>
      </c>
      <c r="CH119" s="39"/>
      <c r="CI119" s="25">
        <v>2</v>
      </c>
    </row>
    <row r="120" spans="1:87" ht="24.75" customHeight="1">
      <c r="A120" s="36" t="s">
        <v>50</v>
      </c>
      <c r="B120" s="26">
        <v>48814</v>
      </c>
      <c r="C120" s="228"/>
      <c r="D120" s="36"/>
      <c r="E120" s="39">
        <v>180</v>
      </c>
      <c r="F120" s="39" t="s">
        <v>55</v>
      </c>
      <c r="G120" s="36" t="s">
        <v>1077</v>
      </c>
      <c r="H120" s="36" t="s">
        <v>403</v>
      </c>
      <c r="I120" s="39">
        <v>45</v>
      </c>
      <c r="J120" s="39"/>
      <c r="K120" s="39"/>
      <c r="L120" s="39">
        <f t="shared" ref="L120" si="68">SUM(I120:K120)</f>
        <v>45</v>
      </c>
      <c r="M120" s="117">
        <v>46272</v>
      </c>
      <c r="N120" s="117">
        <v>46275</v>
      </c>
      <c r="O120" s="39"/>
      <c r="P120" s="39"/>
      <c r="Q120" s="39"/>
      <c r="R120" s="39">
        <f t="shared" si="51"/>
        <v>0</v>
      </c>
      <c r="S120" s="39" t="s">
        <v>28</v>
      </c>
      <c r="T120" s="39"/>
      <c r="U120" s="39"/>
      <c r="V120" s="117">
        <v>46270</v>
      </c>
      <c r="W120" s="39">
        <v>59</v>
      </c>
      <c r="X120" s="39"/>
      <c r="Y120" s="39"/>
      <c r="Z120" s="39"/>
      <c r="AA120" s="39"/>
      <c r="AB120" s="118">
        <f t="shared" si="52"/>
        <v>0</v>
      </c>
      <c r="AC120" s="39"/>
      <c r="AD120" s="39"/>
      <c r="AE120" s="39"/>
      <c r="AF120" s="39"/>
      <c r="AG120" s="39"/>
      <c r="AH120" s="39">
        <f t="shared" si="55"/>
        <v>0</v>
      </c>
      <c r="AI120" s="39"/>
      <c r="AJ120" s="39"/>
      <c r="AK120" s="39"/>
      <c r="AL120" s="39"/>
      <c r="AM120" s="39"/>
      <c r="AN120" s="39">
        <f t="shared" si="56"/>
        <v>0</v>
      </c>
      <c r="AO120" s="39"/>
      <c r="AP120" s="39"/>
      <c r="AQ120" s="39"/>
      <c r="AR120" s="39"/>
      <c r="AS120" s="39"/>
      <c r="AT120" s="39">
        <f t="shared" si="57"/>
        <v>0</v>
      </c>
      <c r="AU120" s="39"/>
      <c r="AV120" s="39"/>
      <c r="AW120" s="39"/>
      <c r="AX120" s="39"/>
      <c r="AY120" s="39"/>
      <c r="AZ120" s="39">
        <f t="shared" si="58"/>
        <v>0</v>
      </c>
      <c r="BA120" s="39"/>
      <c r="BB120" s="39"/>
      <c r="BC120" s="39"/>
      <c r="BD120" s="39"/>
      <c r="BE120" s="39"/>
      <c r="BF120" s="39">
        <f t="shared" si="59"/>
        <v>0</v>
      </c>
      <c r="BG120" s="39"/>
      <c r="BH120" s="39"/>
      <c r="BI120" s="39"/>
      <c r="BJ120" s="39"/>
      <c r="BK120" s="39"/>
      <c r="BL120" s="39">
        <f t="shared" si="60"/>
        <v>0</v>
      </c>
      <c r="BM120" s="54">
        <f t="shared" ca="1" si="61"/>
        <v>46283</v>
      </c>
      <c r="BN120" s="66">
        <v>46283</v>
      </c>
      <c r="BO120" s="57">
        <v>46325</v>
      </c>
      <c r="BP120" s="36"/>
      <c r="BQ120" s="36"/>
      <c r="BR120" s="39"/>
      <c r="BS120" s="39"/>
      <c r="BT120" s="39"/>
      <c r="BU120" s="39"/>
      <c r="BV120" s="39"/>
      <c r="BW120" s="39"/>
      <c r="BX120" s="39"/>
      <c r="BY120" s="39"/>
      <c r="BZ120" s="39">
        <f t="shared" si="62"/>
        <v>0</v>
      </c>
      <c r="CA120" s="39">
        <f t="shared" si="63"/>
        <v>-45</v>
      </c>
      <c r="CB120" s="39">
        <f t="shared" si="64"/>
        <v>0</v>
      </c>
      <c r="CC120" s="39">
        <f t="shared" si="65"/>
        <v>0</v>
      </c>
      <c r="CD120" s="39">
        <f t="shared" si="66"/>
        <v>-45</v>
      </c>
      <c r="CE120" s="102">
        <f t="shared" si="67"/>
        <v>-1</v>
      </c>
      <c r="CF120" s="36" t="s">
        <v>248</v>
      </c>
      <c r="CG120" s="39" t="s">
        <v>298</v>
      </c>
      <c r="CH120" s="39"/>
      <c r="CI120" s="25">
        <v>2</v>
      </c>
    </row>
    <row r="121" spans="1:87" ht="24.75" customHeight="1">
      <c r="A121" s="36" t="s">
        <v>50</v>
      </c>
      <c r="B121" s="26">
        <v>48287</v>
      </c>
      <c r="C121" s="36" t="s">
        <v>2793</v>
      </c>
      <c r="D121" s="36"/>
      <c r="E121" s="39"/>
      <c r="F121" s="39"/>
      <c r="G121" s="36" t="s">
        <v>2794</v>
      </c>
      <c r="H121" s="36">
        <v>500</v>
      </c>
      <c r="I121" s="39" t="s">
        <v>90</v>
      </c>
      <c r="J121" s="39"/>
      <c r="K121" s="39"/>
      <c r="L121" s="39">
        <f t="shared" ref="L121" si="69">SUM(I121:K121)</f>
        <v>0</v>
      </c>
      <c r="M121" s="117">
        <v>46275</v>
      </c>
      <c r="N121" s="117">
        <v>46279</v>
      </c>
      <c r="O121" s="39"/>
      <c r="P121" s="39"/>
      <c r="Q121" s="39"/>
      <c r="R121" s="39">
        <f t="shared" si="51"/>
        <v>0</v>
      </c>
      <c r="S121" s="39" t="s">
        <v>130</v>
      </c>
      <c r="T121" s="39"/>
      <c r="U121" s="39"/>
      <c r="V121" s="39"/>
      <c r="W121" s="39"/>
      <c r="X121" s="39"/>
      <c r="Y121" s="39"/>
      <c r="Z121" s="39"/>
      <c r="AA121" s="39"/>
      <c r="AB121" s="39">
        <f t="shared" si="52"/>
        <v>0</v>
      </c>
      <c r="AC121" s="39"/>
      <c r="AD121" s="39"/>
      <c r="AE121" s="39"/>
      <c r="AF121" s="39"/>
      <c r="AG121" s="39"/>
      <c r="AH121" s="39">
        <f t="shared" si="55"/>
        <v>0</v>
      </c>
      <c r="AI121" s="39"/>
      <c r="AJ121" s="39"/>
      <c r="AK121" s="39"/>
      <c r="AL121" s="39"/>
      <c r="AM121" s="39"/>
      <c r="AN121" s="39">
        <f t="shared" si="56"/>
        <v>0</v>
      </c>
      <c r="AO121" s="39"/>
      <c r="AP121" s="39"/>
      <c r="AQ121" s="39"/>
      <c r="AR121" s="39"/>
      <c r="AS121" s="39"/>
      <c r="AT121" s="39">
        <f t="shared" si="57"/>
        <v>0</v>
      </c>
      <c r="AU121" s="39"/>
      <c r="AV121" s="39"/>
      <c r="AW121" s="39"/>
      <c r="AX121" s="39"/>
      <c r="AY121" s="39"/>
      <c r="AZ121" s="39">
        <f t="shared" si="58"/>
        <v>0</v>
      </c>
      <c r="BA121" s="39"/>
      <c r="BB121" s="39"/>
      <c r="BC121" s="39"/>
      <c r="BD121" s="39"/>
      <c r="BE121" s="39"/>
      <c r="BF121" s="39">
        <f t="shared" si="59"/>
        <v>0</v>
      </c>
      <c r="BG121" s="39"/>
      <c r="BH121" s="39"/>
      <c r="BI121" s="39"/>
      <c r="BJ121" s="39"/>
      <c r="BK121" s="39"/>
      <c r="BL121" s="39">
        <f t="shared" si="60"/>
        <v>0</v>
      </c>
      <c r="BM121" s="54" t="e">
        <f t="shared" si="61"/>
        <v>#DIV/0!</v>
      </c>
      <c r="BN121" s="66">
        <v>46283</v>
      </c>
      <c r="BO121" s="57">
        <v>46290</v>
      </c>
      <c r="BP121" s="36"/>
      <c r="BQ121" s="36"/>
      <c r="BR121" s="39"/>
      <c r="BS121" s="39"/>
      <c r="BT121" s="39"/>
      <c r="BU121" s="39"/>
      <c r="BV121" s="39"/>
      <c r="BW121" s="39"/>
      <c r="BX121" s="39"/>
      <c r="BY121" s="39"/>
      <c r="BZ121" s="39">
        <f t="shared" si="62"/>
        <v>0</v>
      </c>
      <c r="CA121" s="39" t="e">
        <f t="shared" si="63"/>
        <v>#VALUE!</v>
      </c>
      <c r="CB121" s="39">
        <f t="shared" si="64"/>
        <v>0</v>
      </c>
      <c r="CC121" s="39">
        <f t="shared" si="65"/>
        <v>0</v>
      </c>
      <c r="CD121" s="39">
        <f t="shared" si="66"/>
        <v>0</v>
      </c>
      <c r="CE121" s="102" t="e">
        <f t="shared" si="67"/>
        <v>#DIV/0!</v>
      </c>
      <c r="CF121" s="36"/>
      <c r="CG121" s="39" t="s">
        <v>298</v>
      </c>
      <c r="CH121" s="39"/>
      <c r="CI121" s="25">
        <v>2</v>
      </c>
    </row>
    <row r="122" spans="1:87" ht="24.75" customHeight="1">
      <c r="A122" s="36" t="s">
        <v>50</v>
      </c>
      <c r="B122" s="26"/>
      <c r="C122" s="36"/>
      <c r="D122" s="36"/>
      <c r="E122" s="39"/>
      <c r="F122" s="39"/>
      <c r="G122" s="36"/>
      <c r="H122" s="39"/>
      <c r="I122" s="39"/>
      <c r="J122" s="39"/>
      <c r="K122" s="39"/>
      <c r="L122" s="39">
        <f t="shared" si="38"/>
        <v>0</v>
      </c>
      <c r="M122" s="39"/>
      <c r="N122" s="39"/>
      <c r="O122" s="39"/>
      <c r="P122" s="39"/>
      <c r="Q122" s="39"/>
      <c r="R122" s="39">
        <f t="shared" si="1"/>
        <v>0</v>
      </c>
      <c r="S122" s="39"/>
      <c r="T122" s="39"/>
      <c r="U122" s="39"/>
      <c r="V122" s="39"/>
      <c r="W122" s="39"/>
      <c r="X122" s="39"/>
      <c r="Y122" s="39"/>
      <c r="Z122" s="39"/>
      <c r="AA122" s="39"/>
      <c r="AB122" s="39">
        <f t="shared" si="2"/>
        <v>0</v>
      </c>
      <c r="AC122" s="39"/>
      <c r="AD122" s="39"/>
      <c r="AE122" s="39"/>
      <c r="AF122" s="39"/>
      <c r="AG122" s="39"/>
      <c r="AH122" s="39">
        <f t="shared" si="3"/>
        <v>0</v>
      </c>
      <c r="AI122" s="39"/>
      <c r="AJ122" s="39"/>
      <c r="AK122" s="39"/>
      <c r="AL122" s="39"/>
      <c r="AM122" s="39"/>
      <c r="AN122" s="39">
        <f t="shared" si="4"/>
        <v>0</v>
      </c>
      <c r="AO122" s="39"/>
      <c r="AP122" s="39"/>
      <c r="AQ122" s="39"/>
      <c r="AR122" s="39"/>
      <c r="AS122" s="39"/>
      <c r="AT122" s="39">
        <f t="shared" si="5"/>
        <v>0</v>
      </c>
      <c r="AU122" s="39"/>
      <c r="AV122" s="39"/>
      <c r="AW122" s="39"/>
      <c r="AX122" s="39"/>
      <c r="AY122" s="39"/>
      <c r="AZ122" s="39">
        <f t="shared" si="6"/>
        <v>0</v>
      </c>
      <c r="BA122" s="39"/>
      <c r="BB122" s="39"/>
      <c r="BC122" s="39"/>
      <c r="BD122" s="39"/>
      <c r="BE122" s="39"/>
      <c r="BF122" s="39">
        <f t="shared" si="7"/>
        <v>0</v>
      </c>
      <c r="BG122" s="39"/>
      <c r="BH122" s="39"/>
      <c r="BI122" s="39"/>
      <c r="BJ122" s="39"/>
      <c r="BK122" s="39"/>
      <c r="BL122" s="39">
        <f t="shared" si="8"/>
        <v>0</v>
      </c>
      <c r="BM122" s="54" t="e">
        <f t="shared" si="9"/>
        <v>#DIV/0!</v>
      </c>
      <c r="BN122" s="65"/>
      <c r="BO122" s="36"/>
      <c r="BP122" s="36"/>
      <c r="BQ122" s="36"/>
      <c r="BR122" s="39"/>
      <c r="BS122" s="39"/>
      <c r="BT122" s="39"/>
      <c r="BU122" s="39"/>
      <c r="BV122" s="39"/>
      <c r="BW122" s="39"/>
      <c r="BX122" s="39"/>
      <c r="BY122" s="39"/>
      <c r="BZ122" s="39">
        <f t="shared" si="10"/>
        <v>0</v>
      </c>
      <c r="CA122" s="39">
        <f t="shared" si="11"/>
        <v>0</v>
      </c>
      <c r="CB122" s="39">
        <f t="shared" si="12"/>
        <v>0</v>
      </c>
      <c r="CC122" s="39">
        <f t="shared" si="13"/>
        <v>0</v>
      </c>
      <c r="CD122" s="39">
        <f t="shared" si="14"/>
        <v>0</v>
      </c>
      <c r="CE122" s="47" t="e">
        <f t="shared" si="15"/>
        <v>#DIV/0!</v>
      </c>
      <c r="CF122" s="36"/>
      <c r="CG122" s="39"/>
      <c r="CH122" s="39"/>
      <c r="CI122" s="25">
        <v>2</v>
      </c>
    </row>
    <row r="123" spans="1:87" ht="24.75" customHeight="1">
      <c r="A123" s="36" t="s">
        <v>50</v>
      </c>
      <c r="B123" s="26"/>
      <c r="C123" s="36"/>
      <c r="D123" s="36"/>
      <c r="E123" s="39"/>
      <c r="F123" s="39"/>
      <c r="G123" s="36"/>
      <c r="H123" s="39"/>
      <c r="I123" s="39"/>
      <c r="J123" s="39"/>
      <c r="K123" s="39"/>
      <c r="L123" s="39">
        <f t="shared" si="38"/>
        <v>0</v>
      </c>
      <c r="M123" s="39"/>
      <c r="N123" s="39"/>
      <c r="O123" s="39"/>
      <c r="P123" s="39"/>
      <c r="Q123" s="39"/>
      <c r="R123" s="39">
        <f t="shared" si="1"/>
        <v>0</v>
      </c>
      <c r="S123" s="39"/>
      <c r="T123" s="39"/>
      <c r="U123" s="39"/>
      <c r="V123" s="39"/>
      <c r="W123" s="39"/>
      <c r="X123" s="39"/>
      <c r="Y123" s="39"/>
      <c r="Z123" s="39"/>
      <c r="AA123" s="39"/>
      <c r="AB123" s="39">
        <f t="shared" si="2"/>
        <v>0</v>
      </c>
      <c r="AC123" s="39"/>
      <c r="AD123" s="39"/>
      <c r="AE123" s="39"/>
      <c r="AF123" s="39"/>
      <c r="AG123" s="39"/>
      <c r="AH123" s="39">
        <f t="shared" si="3"/>
        <v>0</v>
      </c>
      <c r="AI123" s="39"/>
      <c r="AJ123" s="39"/>
      <c r="AK123" s="39"/>
      <c r="AL123" s="39"/>
      <c r="AM123" s="39"/>
      <c r="AN123" s="39">
        <f t="shared" si="4"/>
        <v>0</v>
      </c>
      <c r="AO123" s="39"/>
      <c r="AP123" s="39"/>
      <c r="AQ123" s="39"/>
      <c r="AR123" s="39"/>
      <c r="AS123" s="39"/>
      <c r="AT123" s="39">
        <f t="shared" si="5"/>
        <v>0</v>
      </c>
      <c r="AU123" s="39"/>
      <c r="AV123" s="39"/>
      <c r="AW123" s="39"/>
      <c r="AX123" s="39"/>
      <c r="AY123" s="39"/>
      <c r="AZ123" s="39">
        <f t="shared" si="6"/>
        <v>0</v>
      </c>
      <c r="BA123" s="39"/>
      <c r="BB123" s="39"/>
      <c r="BC123" s="39"/>
      <c r="BD123" s="39"/>
      <c r="BE123" s="39"/>
      <c r="BF123" s="39">
        <f t="shared" si="7"/>
        <v>0</v>
      </c>
      <c r="BG123" s="39"/>
      <c r="BH123" s="39"/>
      <c r="BI123" s="39"/>
      <c r="BJ123" s="39"/>
      <c r="BK123" s="39"/>
      <c r="BL123" s="39">
        <f t="shared" si="8"/>
        <v>0</v>
      </c>
      <c r="BM123" s="54" t="e">
        <f t="shared" si="9"/>
        <v>#DIV/0!</v>
      </c>
      <c r="BN123" s="65"/>
      <c r="BO123" s="36"/>
      <c r="BP123" s="36"/>
      <c r="BQ123" s="36"/>
      <c r="BR123" s="39"/>
      <c r="BS123" s="39"/>
      <c r="BT123" s="39"/>
      <c r="BU123" s="39"/>
      <c r="BV123" s="39"/>
      <c r="BW123" s="39"/>
      <c r="BX123" s="39"/>
      <c r="BY123" s="39"/>
      <c r="BZ123" s="39">
        <f t="shared" si="10"/>
        <v>0</v>
      </c>
      <c r="CA123" s="39">
        <f t="shared" si="11"/>
        <v>0</v>
      </c>
      <c r="CB123" s="39">
        <f t="shared" si="12"/>
        <v>0</v>
      </c>
      <c r="CC123" s="39">
        <f t="shared" si="13"/>
        <v>0</v>
      </c>
      <c r="CD123" s="39">
        <f t="shared" si="14"/>
        <v>0</v>
      </c>
      <c r="CE123" s="47" t="e">
        <f t="shared" si="15"/>
        <v>#DIV/0!</v>
      </c>
      <c r="CF123" s="36"/>
      <c r="CG123" s="39"/>
      <c r="CH123" s="39"/>
      <c r="CI123" s="25">
        <v>2</v>
      </c>
    </row>
    <row r="124" spans="1:87" ht="24.75" customHeight="1">
      <c r="A124" s="36" t="s">
        <v>50</v>
      </c>
      <c r="B124" s="26"/>
      <c r="C124" s="36"/>
      <c r="D124" s="36"/>
      <c r="E124" s="39"/>
      <c r="F124" s="39"/>
      <c r="G124" s="36"/>
      <c r="H124" s="39"/>
      <c r="I124" s="39"/>
      <c r="J124" s="39"/>
      <c r="K124" s="39"/>
      <c r="L124" s="39">
        <f t="shared" si="38"/>
        <v>0</v>
      </c>
      <c r="M124" s="39"/>
      <c r="N124" s="39"/>
      <c r="O124" s="39"/>
      <c r="P124" s="39"/>
      <c r="Q124" s="39"/>
      <c r="R124" s="39">
        <f t="shared" si="1"/>
        <v>0</v>
      </c>
      <c r="S124" s="39"/>
      <c r="T124" s="39"/>
      <c r="U124" s="39"/>
      <c r="V124" s="39"/>
      <c r="W124" s="39"/>
      <c r="X124" s="39"/>
      <c r="Y124" s="39"/>
      <c r="Z124" s="39"/>
      <c r="AA124" s="39"/>
      <c r="AB124" s="39">
        <f t="shared" si="2"/>
        <v>0</v>
      </c>
      <c r="AC124" s="39"/>
      <c r="AD124" s="39"/>
      <c r="AE124" s="39"/>
      <c r="AF124" s="39"/>
      <c r="AG124" s="39"/>
      <c r="AH124" s="39">
        <f t="shared" si="3"/>
        <v>0</v>
      </c>
      <c r="AI124" s="39"/>
      <c r="AJ124" s="39"/>
      <c r="AK124" s="39"/>
      <c r="AL124" s="39"/>
      <c r="AM124" s="39"/>
      <c r="AN124" s="39">
        <f t="shared" si="4"/>
        <v>0</v>
      </c>
      <c r="AO124" s="39"/>
      <c r="AP124" s="39"/>
      <c r="AQ124" s="39"/>
      <c r="AR124" s="39"/>
      <c r="AS124" s="39"/>
      <c r="AT124" s="39">
        <f t="shared" si="5"/>
        <v>0</v>
      </c>
      <c r="AU124" s="39"/>
      <c r="AV124" s="39"/>
      <c r="AW124" s="39"/>
      <c r="AX124" s="39"/>
      <c r="AY124" s="39"/>
      <c r="AZ124" s="39">
        <f t="shared" si="6"/>
        <v>0</v>
      </c>
      <c r="BA124" s="39"/>
      <c r="BB124" s="39"/>
      <c r="BC124" s="39"/>
      <c r="BD124" s="39"/>
      <c r="BE124" s="39"/>
      <c r="BF124" s="39">
        <f t="shared" si="7"/>
        <v>0</v>
      </c>
      <c r="BG124" s="39"/>
      <c r="BH124" s="39"/>
      <c r="BI124" s="39"/>
      <c r="BJ124" s="39"/>
      <c r="BK124" s="39"/>
      <c r="BL124" s="39">
        <f t="shared" si="8"/>
        <v>0</v>
      </c>
      <c r="BM124" s="54" t="e">
        <f t="shared" si="9"/>
        <v>#DIV/0!</v>
      </c>
      <c r="BN124" s="65"/>
      <c r="BO124" s="36"/>
      <c r="BP124" s="36"/>
      <c r="BQ124" s="36"/>
      <c r="BR124" s="39"/>
      <c r="BS124" s="39"/>
      <c r="BT124" s="39"/>
      <c r="BU124" s="39"/>
      <c r="BV124" s="39"/>
      <c r="BW124" s="39"/>
      <c r="BX124" s="39"/>
      <c r="BY124" s="39"/>
      <c r="BZ124" s="39">
        <f t="shared" si="10"/>
        <v>0</v>
      </c>
      <c r="CA124" s="39">
        <f t="shared" si="11"/>
        <v>0</v>
      </c>
      <c r="CB124" s="39">
        <f t="shared" si="12"/>
        <v>0</v>
      </c>
      <c r="CC124" s="39">
        <f t="shared" si="13"/>
        <v>0</v>
      </c>
      <c r="CD124" s="39">
        <f t="shared" si="14"/>
        <v>0</v>
      </c>
      <c r="CE124" s="47" t="e">
        <f t="shared" si="15"/>
        <v>#DIV/0!</v>
      </c>
      <c r="CF124" s="36"/>
      <c r="CG124" s="39"/>
      <c r="CH124" s="39"/>
      <c r="CI124" s="25">
        <v>2</v>
      </c>
    </row>
    <row r="125" spans="1:87" ht="24.75" customHeight="1">
      <c r="A125" s="36" t="s">
        <v>50</v>
      </c>
      <c r="B125" s="26"/>
      <c r="C125" s="36"/>
      <c r="D125" s="36"/>
      <c r="E125" s="39"/>
      <c r="F125" s="39"/>
      <c r="G125" s="36"/>
      <c r="H125" s="39"/>
      <c r="I125" s="39"/>
      <c r="J125" s="39"/>
      <c r="K125" s="39"/>
      <c r="L125" s="39">
        <f t="shared" si="38"/>
        <v>0</v>
      </c>
      <c r="M125" s="39"/>
      <c r="N125" s="39"/>
      <c r="O125" s="39"/>
      <c r="P125" s="39"/>
      <c r="Q125" s="39"/>
      <c r="R125" s="39">
        <f t="shared" si="1"/>
        <v>0</v>
      </c>
      <c r="S125" s="39"/>
      <c r="T125" s="39"/>
      <c r="U125" s="39"/>
      <c r="V125" s="39"/>
      <c r="W125" s="39"/>
      <c r="X125" s="39"/>
      <c r="Y125" s="39"/>
      <c r="Z125" s="39"/>
      <c r="AA125" s="39"/>
      <c r="AB125" s="39">
        <f t="shared" si="2"/>
        <v>0</v>
      </c>
      <c r="AC125" s="39"/>
      <c r="AD125" s="39"/>
      <c r="AE125" s="39"/>
      <c r="AF125" s="39"/>
      <c r="AG125" s="39"/>
      <c r="AH125" s="39">
        <f t="shared" si="3"/>
        <v>0</v>
      </c>
      <c r="AI125" s="39"/>
      <c r="AJ125" s="39"/>
      <c r="AK125" s="39"/>
      <c r="AL125" s="39"/>
      <c r="AM125" s="39"/>
      <c r="AN125" s="39">
        <f t="shared" si="4"/>
        <v>0</v>
      </c>
      <c r="AO125" s="39"/>
      <c r="AP125" s="39"/>
      <c r="AQ125" s="39"/>
      <c r="AR125" s="39"/>
      <c r="AS125" s="39"/>
      <c r="AT125" s="39">
        <f t="shared" si="5"/>
        <v>0</v>
      </c>
      <c r="AU125" s="39"/>
      <c r="AV125" s="39"/>
      <c r="AW125" s="39"/>
      <c r="AX125" s="39"/>
      <c r="AY125" s="39"/>
      <c r="AZ125" s="39">
        <f t="shared" si="6"/>
        <v>0</v>
      </c>
      <c r="BA125" s="39"/>
      <c r="BB125" s="39"/>
      <c r="BC125" s="39"/>
      <c r="BD125" s="39"/>
      <c r="BE125" s="39"/>
      <c r="BF125" s="39">
        <f t="shared" si="7"/>
        <v>0</v>
      </c>
      <c r="BG125" s="39"/>
      <c r="BH125" s="39"/>
      <c r="BI125" s="39"/>
      <c r="BJ125" s="39"/>
      <c r="BK125" s="39"/>
      <c r="BL125" s="39">
        <f t="shared" si="8"/>
        <v>0</v>
      </c>
      <c r="BM125" s="54" t="e">
        <f t="shared" si="9"/>
        <v>#DIV/0!</v>
      </c>
      <c r="BN125" s="65"/>
      <c r="BO125" s="36"/>
      <c r="BP125" s="36"/>
      <c r="BQ125" s="36"/>
      <c r="BR125" s="39"/>
      <c r="BS125" s="39"/>
      <c r="BT125" s="39"/>
      <c r="BU125" s="39"/>
      <c r="BV125" s="39"/>
      <c r="BW125" s="39"/>
      <c r="BX125" s="39"/>
      <c r="BY125" s="39"/>
      <c r="BZ125" s="39">
        <f t="shared" si="10"/>
        <v>0</v>
      </c>
      <c r="CA125" s="39">
        <f t="shared" si="11"/>
        <v>0</v>
      </c>
      <c r="CB125" s="39">
        <f t="shared" si="12"/>
        <v>0</v>
      </c>
      <c r="CC125" s="39">
        <f t="shared" si="13"/>
        <v>0</v>
      </c>
      <c r="CD125" s="39">
        <f t="shared" si="14"/>
        <v>0</v>
      </c>
      <c r="CE125" s="47" t="e">
        <f t="shared" si="15"/>
        <v>#DIV/0!</v>
      </c>
      <c r="CF125" s="36"/>
      <c r="CG125" s="39"/>
      <c r="CH125" s="39"/>
      <c r="CI125" s="25">
        <v>2</v>
      </c>
    </row>
    <row r="126" spans="1:87" ht="24.75" customHeight="1">
      <c r="A126" s="36" t="s">
        <v>50</v>
      </c>
      <c r="B126" s="26"/>
      <c r="C126" s="36"/>
      <c r="D126" s="36"/>
      <c r="E126" s="39"/>
      <c r="F126" s="39"/>
      <c r="G126" s="36"/>
      <c r="H126" s="39"/>
      <c r="I126" s="39"/>
      <c r="J126" s="39"/>
      <c r="K126" s="39"/>
      <c r="L126" s="39">
        <f t="shared" si="38"/>
        <v>0</v>
      </c>
      <c r="M126" s="39"/>
      <c r="N126" s="39"/>
      <c r="O126" s="39"/>
      <c r="P126" s="39"/>
      <c r="Q126" s="39"/>
      <c r="R126" s="39">
        <f t="shared" si="1"/>
        <v>0</v>
      </c>
      <c r="S126" s="39"/>
      <c r="T126" s="39"/>
      <c r="U126" s="39"/>
      <c r="V126" s="39"/>
      <c r="W126" s="39"/>
      <c r="X126" s="39"/>
      <c r="Y126" s="39"/>
      <c r="Z126" s="39"/>
      <c r="AA126" s="39"/>
      <c r="AB126" s="39">
        <f t="shared" si="2"/>
        <v>0</v>
      </c>
      <c r="AC126" s="39"/>
      <c r="AD126" s="39"/>
      <c r="AE126" s="39"/>
      <c r="AF126" s="39"/>
      <c r="AG126" s="39"/>
      <c r="AH126" s="39">
        <f t="shared" si="3"/>
        <v>0</v>
      </c>
      <c r="AI126" s="39"/>
      <c r="AJ126" s="39"/>
      <c r="AK126" s="39"/>
      <c r="AL126" s="39"/>
      <c r="AM126" s="39"/>
      <c r="AN126" s="39">
        <f t="shared" si="4"/>
        <v>0</v>
      </c>
      <c r="AO126" s="39"/>
      <c r="AP126" s="39"/>
      <c r="AQ126" s="39"/>
      <c r="AR126" s="39"/>
      <c r="AS126" s="39"/>
      <c r="AT126" s="39">
        <f t="shared" si="5"/>
        <v>0</v>
      </c>
      <c r="AU126" s="39"/>
      <c r="AV126" s="39"/>
      <c r="AW126" s="39"/>
      <c r="AX126" s="39"/>
      <c r="AY126" s="39"/>
      <c r="AZ126" s="39">
        <f t="shared" si="6"/>
        <v>0</v>
      </c>
      <c r="BA126" s="39"/>
      <c r="BB126" s="39"/>
      <c r="BC126" s="39"/>
      <c r="BD126" s="39"/>
      <c r="BE126" s="39"/>
      <c r="BF126" s="39">
        <f t="shared" si="7"/>
        <v>0</v>
      </c>
      <c r="BG126" s="39"/>
      <c r="BH126" s="39"/>
      <c r="BI126" s="39"/>
      <c r="BJ126" s="39"/>
      <c r="BK126" s="39"/>
      <c r="BL126" s="39">
        <f t="shared" si="8"/>
        <v>0</v>
      </c>
      <c r="BM126" s="54" t="e">
        <f t="shared" si="9"/>
        <v>#DIV/0!</v>
      </c>
      <c r="BN126" s="65"/>
      <c r="BO126" s="36"/>
      <c r="BP126" s="36"/>
      <c r="BQ126" s="36"/>
      <c r="BR126" s="39"/>
      <c r="BS126" s="39"/>
      <c r="BT126" s="39"/>
      <c r="BU126" s="39"/>
      <c r="BV126" s="39"/>
      <c r="BW126" s="39"/>
      <c r="BX126" s="39"/>
      <c r="BY126" s="39"/>
      <c r="BZ126" s="39">
        <f t="shared" si="10"/>
        <v>0</v>
      </c>
      <c r="CA126" s="39">
        <f t="shared" si="11"/>
        <v>0</v>
      </c>
      <c r="CB126" s="39">
        <f t="shared" si="12"/>
        <v>0</v>
      </c>
      <c r="CC126" s="39">
        <f t="shared" si="13"/>
        <v>0</v>
      </c>
      <c r="CD126" s="39">
        <f t="shared" si="14"/>
        <v>0</v>
      </c>
      <c r="CE126" s="47" t="e">
        <f t="shared" si="15"/>
        <v>#DIV/0!</v>
      </c>
      <c r="CF126" s="36"/>
      <c r="CG126" s="39"/>
      <c r="CH126" s="39"/>
      <c r="CI126" s="25">
        <v>2</v>
      </c>
    </row>
    <row r="127" spans="1:87" ht="24.75" customHeight="1">
      <c r="A127" s="36" t="s">
        <v>50</v>
      </c>
      <c r="B127" s="26"/>
      <c r="C127" s="36"/>
      <c r="D127" s="36"/>
      <c r="E127" s="39"/>
      <c r="F127" s="39"/>
      <c r="G127" s="36"/>
      <c r="H127" s="39"/>
      <c r="I127" s="39"/>
      <c r="J127" s="39"/>
      <c r="K127" s="39"/>
      <c r="L127" s="39">
        <f t="shared" si="38"/>
        <v>0</v>
      </c>
      <c r="M127" s="39"/>
      <c r="N127" s="39"/>
      <c r="O127" s="39"/>
      <c r="P127" s="39"/>
      <c r="Q127" s="39"/>
      <c r="R127" s="39">
        <f t="shared" si="1"/>
        <v>0</v>
      </c>
      <c r="S127" s="39"/>
      <c r="T127" s="39"/>
      <c r="U127" s="39"/>
      <c r="V127" s="39"/>
      <c r="W127" s="39"/>
      <c r="X127" s="39"/>
      <c r="Y127" s="39"/>
      <c r="Z127" s="39"/>
      <c r="AA127" s="39"/>
      <c r="AB127" s="39">
        <f t="shared" si="2"/>
        <v>0</v>
      </c>
      <c r="AC127" s="39"/>
      <c r="AD127" s="39"/>
      <c r="AE127" s="39"/>
      <c r="AF127" s="39"/>
      <c r="AG127" s="39"/>
      <c r="AH127" s="39">
        <f t="shared" si="3"/>
        <v>0</v>
      </c>
      <c r="AI127" s="39"/>
      <c r="AJ127" s="39"/>
      <c r="AK127" s="39"/>
      <c r="AL127" s="39"/>
      <c r="AM127" s="39"/>
      <c r="AN127" s="39">
        <f t="shared" si="4"/>
        <v>0</v>
      </c>
      <c r="AO127" s="39"/>
      <c r="AP127" s="39"/>
      <c r="AQ127" s="39"/>
      <c r="AR127" s="39"/>
      <c r="AS127" s="39"/>
      <c r="AT127" s="39">
        <f t="shared" si="5"/>
        <v>0</v>
      </c>
      <c r="AU127" s="39"/>
      <c r="AV127" s="39"/>
      <c r="AW127" s="39"/>
      <c r="AX127" s="39"/>
      <c r="AY127" s="39"/>
      <c r="AZ127" s="39">
        <f t="shared" si="6"/>
        <v>0</v>
      </c>
      <c r="BA127" s="39"/>
      <c r="BB127" s="39"/>
      <c r="BC127" s="39"/>
      <c r="BD127" s="39"/>
      <c r="BE127" s="39"/>
      <c r="BF127" s="39">
        <f t="shared" si="7"/>
        <v>0</v>
      </c>
      <c r="BG127" s="39"/>
      <c r="BH127" s="39"/>
      <c r="BI127" s="39"/>
      <c r="BJ127" s="39"/>
      <c r="BK127" s="39"/>
      <c r="BL127" s="39">
        <f t="shared" si="8"/>
        <v>0</v>
      </c>
      <c r="BM127" s="54" t="e">
        <f t="shared" si="9"/>
        <v>#DIV/0!</v>
      </c>
      <c r="BN127" s="65"/>
      <c r="BO127" s="36"/>
      <c r="BP127" s="36"/>
      <c r="BQ127" s="36"/>
      <c r="BR127" s="39"/>
      <c r="BS127" s="39"/>
      <c r="BT127" s="39"/>
      <c r="BU127" s="39"/>
      <c r="BV127" s="39"/>
      <c r="BW127" s="39"/>
      <c r="BX127" s="39"/>
      <c r="BY127" s="39"/>
      <c r="BZ127" s="39">
        <f t="shared" si="10"/>
        <v>0</v>
      </c>
      <c r="CA127" s="39">
        <f t="shared" si="11"/>
        <v>0</v>
      </c>
      <c r="CB127" s="39">
        <f t="shared" si="12"/>
        <v>0</v>
      </c>
      <c r="CC127" s="39">
        <f t="shared" si="13"/>
        <v>0</v>
      </c>
      <c r="CD127" s="39">
        <f t="shared" si="14"/>
        <v>0</v>
      </c>
      <c r="CE127" s="47" t="e">
        <f t="shared" si="15"/>
        <v>#DIV/0!</v>
      </c>
      <c r="CF127" s="36"/>
      <c r="CG127" s="39"/>
      <c r="CH127" s="39"/>
      <c r="CI127" s="25">
        <v>2</v>
      </c>
    </row>
    <row r="128" spans="1:87" ht="24.75" customHeight="1">
      <c r="A128" s="36" t="s">
        <v>50</v>
      </c>
      <c r="B128" s="26"/>
      <c r="C128" s="36"/>
      <c r="D128" s="36"/>
      <c r="E128" s="39"/>
      <c r="F128" s="39"/>
      <c r="G128" s="36"/>
      <c r="H128" s="39"/>
      <c r="I128" s="39"/>
      <c r="J128" s="39"/>
      <c r="K128" s="39"/>
      <c r="L128" s="39">
        <f t="shared" si="38"/>
        <v>0</v>
      </c>
      <c r="M128" s="39"/>
      <c r="N128" s="39"/>
      <c r="O128" s="39"/>
      <c r="P128" s="39"/>
      <c r="Q128" s="39"/>
      <c r="R128" s="39">
        <f t="shared" si="1"/>
        <v>0</v>
      </c>
      <c r="S128" s="39"/>
      <c r="T128" s="39"/>
      <c r="U128" s="39"/>
      <c r="V128" s="39"/>
      <c r="W128" s="39"/>
      <c r="X128" s="39"/>
      <c r="Y128" s="39"/>
      <c r="Z128" s="39"/>
      <c r="AA128" s="39"/>
      <c r="AB128" s="39">
        <f t="shared" si="2"/>
        <v>0</v>
      </c>
      <c r="AC128" s="39"/>
      <c r="AD128" s="39"/>
      <c r="AE128" s="39"/>
      <c r="AF128" s="39"/>
      <c r="AG128" s="39"/>
      <c r="AH128" s="39">
        <f t="shared" si="3"/>
        <v>0</v>
      </c>
      <c r="AI128" s="39"/>
      <c r="AJ128" s="39"/>
      <c r="AK128" s="39"/>
      <c r="AL128" s="39"/>
      <c r="AM128" s="39"/>
      <c r="AN128" s="39">
        <f t="shared" si="4"/>
        <v>0</v>
      </c>
      <c r="AO128" s="39"/>
      <c r="AP128" s="39"/>
      <c r="AQ128" s="39"/>
      <c r="AR128" s="39"/>
      <c r="AS128" s="39"/>
      <c r="AT128" s="39">
        <f t="shared" si="5"/>
        <v>0</v>
      </c>
      <c r="AU128" s="39"/>
      <c r="AV128" s="39"/>
      <c r="AW128" s="39"/>
      <c r="AX128" s="39"/>
      <c r="AY128" s="39"/>
      <c r="AZ128" s="39">
        <f t="shared" si="6"/>
        <v>0</v>
      </c>
      <c r="BA128" s="39"/>
      <c r="BB128" s="39"/>
      <c r="BC128" s="39"/>
      <c r="BD128" s="39"/>
      <c r="BE128" s="39"/>
      <c r="BF128" s="39">
        <f t="shared" si="7"/>
        <v>0</v>
      </c>
      <c r="BG128" s="39"/>
      <c r="BH128" s="39"/>
      <c r="BI128" s="39"/>
      <c r="BJ128" s="39"/>
      <c r="BK128" s="39"/>
      <c r="BL128" s="39">
        <f t="shared" si="8"/>
        <v>0</v>
      </c>
      <c r="BM128" s="54" t="e">
        <f t="shared" si="9"/>
        <v>#DIV/0!</v>
      </c>
      <c r="BN128" s="65"/>
      <c r="BO128" s="36"/>
      <c r="BP128" s="36"/>
      <c r="BQ128" s="36"/>
      <c r="BR128" s="39"/>
      <c r="BS128" s="39"/>
      <c r="BT128" s="39"/>
      <c r="BU128" s="39"/>
      <c r="BV128" s="39"/>
      <c r="BW128" s="39"/>
      <c r="BX128" s="39"/>
      <c r="BY128" s="39"/>
      <c r="BZ128" s="39">
        <f t="shared" si="10"/>
        <v>0</v>
      </c>
      <c r="CA128" s="39">
        <f t="shared" si="11"/>
        <v>0</v>
      </c>
      <c r="CB128" s="39">
        <f t="shared" si="12"/>
        <v>0</v>
      </c>
      <c r="CC128" s="39">
        <f t="shared" si="13"/>
        <v>0</v>
      </c>
      <c r="CD128" s="39">
        <f t="shared" si="14"/>
        <v>0</v>
      </c>
      <c r="CE128" s="47" t="e">
        <f t="shared" si="15"/>
        <v>#DIV/0!</v>
      </c>
      <c r="CF128" s="36"/>
      <c r="CG128" s="39"/>
      <c r="CH128" s="39"/>
      <c r="CI128" s="25">
        <v>2</v>
      </c>
    </row>
    <row r="129" spans="1:87" ht="24.75" customHeight="1">
      <c r="A129" s="36" t="s">
        <v>50</v>
      </c>
      <c r="B129" s="26">
        <v>48101</v>
      </c>
      <c r="C129" s="227">
        <v>13251004</v>
      </c>
      <c r="D129" s="36" t="s">
        <v>37</v>
      </c>
      <c r="E129" s="39">
        <v>160</v>
      </c>
      <c r="F129" s="39" t="s">
        <v>54</v>
      </c>
      <c r="G129" s="36" t="s">
        <v>1737</v>
      </c>
      <c r="H129" s="36" t="s">
        <v>22</v>
      </c>
      <c r="I129" s="39">
        <v>157</v>
      </c>
      <c r="J129" s="39">
        <v>10</v>
      </c>
      <c r="K129" s="39"/>
      <c r="L129" s="39">
        <f t="shared" ref="L129:L132" si="70">SUM(I129:K129)</f>
        <v>167</v>
      </c>
      <c r="M129" s="117">
        <v>46273</v>
      </c>
      <c r="N129" s="117">
        <v>46280</v>
      </c>
      <c r="O129" s="39"/>
      <c r="P129" s="39"/>
      <c r="Q129" s="39"/>
      <c r="R129" s="39">
        <f t="shared" si="1"/>
        <v>0</v>
      </c>
      <c r="S129" s="39" t="s">
        <v>31</v>
      </c>
      <c r="T129" s="39"/>
      <c r="U129" s="39"/>
      <c r="V129" s="117">
        <v>46262</v>
      </c>
      <c r="W129" s="39">
        <f>190+12</f>
        <v>202</v>
      </c>
      <c r="X129" s="117">
        <v>46281</v>
      </c>
      <c r="Y129" s="39">
        <f>89</f>
        <v>89</v>
      </c>
      <c r="Z129" s="39"/>
      <c r="AA129" s="39"/>
      <c r="AB129" s="120">
        <f t="shared" si="2"/>
        <v>89</v>
      </c>
      <c r="AC129" s="39"/>
      <c r="AD129" s="39"/>
      <c r="AE129" s="39"/>
      <c r="AF129" s="39"/>
      <c r="AG129" s="39"/>
      <c r="AH129" s="39">
        <f t="shared" si="3"/>
        <v>0</v>
      </c>
      <c r="AI129" s="39"/>
      <c r="AJ129" s="39"/>
      <c r="AK129" s="39"/>
      <c r="AL129" s="39"/>
      <c r="AM129" s="39"/>
      <c r="AN129" s="39">
        <f t="shared" si="4"/>
        <v>0</v>
      </c>
      <c r="AO129" s="39"/>
      <c r="AP129" s="39"/>
      <c r="AQ129" s="39"/>
      <c r="AR129" s="39"/>
      <c r="AS129" s="39"/>
      <c r="AT129" s="39">
        <f t="shared" si="5"/>
        <v>0</v>
      </c>
      <c r="AU129" s="39"/>
      <c r="AV129" s="39"/>
      <c r="AW129" s="39"/>
      <c r="AX129" s="39"/>
      <c r="AY129" s="39"/>
      <c r="AZ129" s="39">
        <f t="shared" si="6"/>
        <v>0</v>
      </c>
      <c r="BA129" s="39"/>
      <c r="BB129" s="39"/>
      <c r="BC129" s="39"/>
      <c r="BD129" s="39"/>
      <c r="BE129" s="39"/>
      <c r="BF129" s="39">
        <f t="shared" si="7"/>
        <v>0</v>
      </c>
      <c r="BG129" s="39"/>
      <c r="BH129" s="39"/>
      <c r="BI129" s="39"/>
      <c r="BJ129" s="39"/>
      <c r="BK129" s="39"/>
      <c r="BL129" s="39">
        <f t="shared" si="8"/>
        <v>0</v>
      </c>
      <c r="BM129" s="54">
        <f t="shared" ca="1" si="9"/>
        <v>46283</v>
      </c>
      <c r="BN129" s="60">
        <v>46288</v>
      </c>
      <c r="BO129" s="57">
        <v>46300</v>
      </c>
      <c r="BP129" s="57">
        <v>46305</v>
      </c>
      <c r="BQ129" s="57">
        <v>46312</v>
      </c>
      <c r="BR129" s="36"/>
      <c r="BS129" s="36"/>
      <c r="BT129" s="39"/>
      <c r="BU129" s="39"/>
      <c r="BV129" s="39"/>
      <c r="BW129" s="39"/>
      <c r="BX129" s="39"/>
      <c r="BY129" s="39"/>
      <c r="BZ129" s="39">
        <f t="shared" si="10"/>
        <v>0</v>
      </c>
      <c r="CA129" s="39">
        <f t="shared" si="11"/>
        <v>-157</v>
      </c>
      <c r="CB129" s="39">
        <f t="shared" si="12"/>
        <v>-10</v>
      </c>
      <c r="CC129" s="39">
        <f t="shared" si="13"/>
        <v>0</v>
      </c>
      <c r="CD129" s="39">
        <f t="shared" si="14"/>
        <v>-167</v>
      </c>
      <c r="CE129" s="102">
        <f t="shared" si="15"/>
        <v>-1</v>
      </c>
      <c r="CF129" s="36"/>
      <c r="CG129" s="39" t="s">
        <v>228</v>
      </c>
      <c r="CH129" s="39"/>
      <c r="CI129" s="25">
        <v>3</v>
      </c>
    </row>
    <row r="130" spans="1:87" ht="24.75" customHeight="1">
      <c r="A130" s="36" t="s">
        <v>50</v>
      </c>
      <c r="B130" s="26">
        <v>48101</v>
      </c>
      <c r="C130" s="231"/>
      <c r="D130" s="36" t="s">
        <v>37</v>
      </c>
      <c r="E130" s="39">
        <v>160</v>
      </c>
      <c r="F130" s="39" t="s">
        <v>54</v>
      </c>
      <c r="G130" s="36" t="s">
        <v>1738</v>
      </c>
      <c r="H130" s="36" t="s">
        <v>22</v>
      </c>
      <c r="I130" s="39">
        <v>181</v>
      </c>
      <c r="J130" s="39">
        <v>11</v>
      </c>
      <c r="K130" s="39"/>
      <c r="L130" s="39">
        <f t="shared" si="70"/>
        <v>192</v>
      </c>
      <c r="M130" s="117">
        <v>46273</v>
      </c>
      <c r="N130" s="117">
        <v>46280</v>
      </c>
      <c r="O130" s="39"/>
      <c r="P130" s="39"/>
      <c r="Q130" s="39"/>
      <c r="R130" s="39">
        <f t="shared" ref="R130:R131" si="71">SUM(O130:Q130)</f>
        <v>0</v>
      </c>
      <c r="S130" s="39" t="s">
        <v>28</v>
      </c>
      <c r="T130" s="39"/>
      <c r="U130" s="39"/>
      <c r="V130" s="117">
        <v>46275</v>
      </c>
      <c r="W130" s="39">
        <f>212+14</f>
        <v>226</v>
      </c>
      <c r="X130" s="39"/>
      <c r="Y130" s="39"/>
      <c r="Z130" s="39"/>
      <c r="AA130" s="39"/>
      <c r="AB130" s="118">
        <f t="shared" ref="AB130:AB131" si="72">SUM(Y130:AA130)</f>
        <v>0</v>
      </c>
      <c r="AC130" s="39"/>
      <c r="AD130" s="39"/>
      <c r="AE130" s="39"/>
      <c r="AF130" s="39"/>
      <c r="AG130" s="39"/>
      <c r="AH130" s="39">
        <f t="shared" si="3"/>
        <v>0</v>
      </c>
      <c r="AI130" s="39"/>
      <c r="AJ130" s="39"/>
      <c r="AK130" s="39"/>
      <c r="AL130" s="39"/>
      <c r="AM130" s="39"/>
      <c r="AN130" s="39">
        <f t="shared" si="4"/>
        <v>0</v>
      </c>
      <c r="AO130" s="39"/>
      <c r="AP130" s="39"/>
      <c r="AQ130" s="39"/>
      <c r="AR130" s="39"/>
      <c r="AS130" s="39"/>
      <c r="AT130" s="39">
        <f t="shared" si="5"/>
        <v>0</v>
      </c>
      <c r="AU130" s="39"/>
      <c r="AV130" s="39"/>
      <c r="AW130" s="39"/>
      <c r="AX130" s="39"/>
      <c r="AY130" s="39"/>
      <c r="AZ130" s="39">
        <f t="shared" si="6"/>
        <v>0</v>
      </c>
      <c r="BA130" s="39"/>
      <c r="BB130" s="39"/>
      <c r="BC130" s="39"/>
      <c r="BD130" s="39"/>
      <c r="BE130" s="39"/>
      <c r="BF130" s="39">
        <f t="shared" si="7"/>
        <v>0</v>
      </c>
      <c r="BG130" s="39"/>
      <c r="BH130" s="39"/>
      <c r="BI130" s="39"/>
      <c r="BJ130" s="39"/>
      <c r="BK130" s="39"/>
      <c r="BL130" s="39">
        <f t="shared" si="8"/>
        <v>0</v>
      </c>
      <c r="BM130" s="54">
        <f t="shared" ca="1" si="9"/>
        <v>46283</v>
      </c>
      <c r="BN130" s="60">
        <v>46288</v>
      </c>
      <c r="BO130" s="57">
        <v>46300</v>
      </c>
      <c r="BP130" s="57">
        <v>46305</v>
      </c>
      <c r="BQ130" s="57">
        <v>46312</v>
      </c>
      <c r="BR130" s="36"/>
      <c r="BS130" s="36"/>
      <c r="BT130" s="39"/>
      <c r="BU130" s="39"/>
      <c r="BV130" s="39"/>
      <c r="BW130" s="39"/>
      <c r="BX130" s="39"/>
      <c r="BY130" s="39"/>
      <c r="BZ130" s="39">
        <f t="shared" si="10"/>
        <v>0</v>
      </c>
      <c r="CA130" s="39">
        <f t="shared" si="11"/>
        <v>-181</v>
      </c>
      <c r="CB130" s="39">
        <f t="shared" si="12"/>
        <v>-11</v>
      </c>
      <c r="CC130" s="39">
        <f t="shared" si="13"/>
        <v>0</v>
      </c>
      <c r="CD130" s="39">
        <f t="shared" si="14"/>
        <v>-192</v>
      </c>
      <c r="CE130" s="102">
        <f t="shared" si="15"/>
        <v>-1</v>
      </c>
      <c r="CF130" s="36"/>
      <c r="CG130" s="39" t="s">
        <v>228</v>
      </c>
      <c r="CH130" s="39"/>
      <c r="CI130" s="25">
        <v>3</v>
      </c>
    </row>
    <row r="131" spans="1:87" ht="24.75" customHeight="1">
      <c r="A131" s="36" t="s">
        <v>50</v>
      </c>
      <c r="B131" s="26">
        <v>48101</v>
      </c>
      <c r="C131" s="228"/>
      <c r="D131" s="36" t="s">
        <v>37</v>
      </c>
      <c r="E131" s="39">
        <v>160</v>
      </c>
      <c r="F131" s="39" t="s">
        <v>54</v>
      </c>
      <c r="G131" s="36" t="s">
        <v>1739</v>
      </c>
      <c r="H131" s="36" t="s">
        <v>22</v>
      </c>
      <c r="I131" s="39">
        <v>211</v>
      </c>
      <c r="J131" s="39">
        <v>13</v>
      </c>
      <c r="K131" s="39"/>
      <c r="L131" s="39">
        <f t="shared" si="70"/>
        <v>224</v>
      </c>
      <c r="M131" s="117">
        <v>46273</v>
      </c>
      <c r="N131" s="117">
        <v>46280</v>
      </c>
      <c r="O131" s="39"/>
      <c r="P131" s="39"/>
      <c r="Q131" s="39"/>
      <c r="R131" s="39">
        <f t="shared" si="71"/>
        <v>0</v>
      </c>
      <c r="S131" s="39" t="s">
        <v>28</v>
      </c>
      <c r="T131" s="39"/>
      <c r="U131" s="39"/>
      <c r="V131" s="117">
        <v>46275</v>
      </c>
      <c r="W131" s="39">
        <f>236+16</f>
        <v>252</v>
      </c>
      <c r="X131" s="39"/>
      <c r="Y131" s="39"/>
      <c r="Z131" s="39"/>
      <c r="AA131" s="39"/>
      <c r="AB131" s="118">
        <f t="shared" si="72"/>
        <v>0</v>
      </c>
      <c r="AC131" s="39"/>
      <c r="AD131" s="39"/>
      <c r="AE131" s="39"/>
      <c r="AF131" s="39"/>
      <c r="AG131" s="39"/>
      <c r="AH131" s="39">
        <f t="shared" si="3"/>
        <v>0</v>
      </c>
      <c r="AI131" s="39"/>
      <c r="AJ131" s="39"/>
      <c r="AK131" s="39"/>
      <c r="AL131" s="39"/>
      <c r="AM131" s="39"/>
      <c r="AN131" s="39">
        <f t="shared" si="4"/>
        <v>0</v>
      </c>
      <c r="AO131" s="39"/>
      <c r="AP131" s="39"/>
      <c r="AQ131" s="39"/>
      <c r="AR131" s="39"/>
      <c r="AS131" s="39"/>
      <c r="AT131" s="39">
        <f t="shared" si="5"/>
        <v>0</v>
      </c>
      <c r="AU131" s="39"/>
      <c r="AV131" s="39"/>
      <c r="AW131" s="39"/>
      <c r="AX131" s="39"/>
      <c r="AY131" s="39"/>
      <c r="AZ131" s="39">
        <f t="shared" si="6"/>
        <v>0</v>
      </c>
      <c r="BA131" s="39"/>
      <c r="BB131" s="39"/>
      <c r="BC131" s="39"/>
      <c r="BD131" s="39"/>
      <c r="BE131" s="39"/>
      <c r="BF131" s="39">
        <f t="shared" si="7"/>
        <v>0</v>
      </c>
      <c r="BG131" s="39"/>
      <c r="BH131" s="39"/>
      <c r="BI131" s="39"/>
      <c r="BJ131" s="39"/>
      <c r="BK131" s="39"/>
      <c r="BL131" s="39">
        <f t="shared" si="8"/>
        <v>0</v>
      </c>
      <c r="BM131" s="54">
        <f t="shared" ca="1" si="9"/>
        <v>46283</v>
      </c>
      <c r="BN131" s="60">
        <v>46288</v>
      </c>
      <c r="BO131" s="57">
        <v>46300</v>
      </c>
      <c r="BP131" s="57">
        <v>46305</v>
      </c>
      <c r="BQ131" s="57">
        <v>46312</v>
      </c>
      <c r="BR131" s="36"/>
      <c r="BS131" s="36"/>
      <c r="BT131" s="39"/>
      <c r="BU131" s="39"/>
      <c r="BV131" s="39"/>
      <c r="BW131" s="39"/>
      <c r="BX131" s="39"/>
      <c r="BY131" s="39"/>
      <c r="BZ131" s="39">
        <f t="shared" si="10"/>
        <v>0</v>
      </c>
      <c r="CA131" s="39">
        <f t="shared" si="11"/>
        <v>-211</v>
      </c>
      <c r="CB131" s="39">
        <f t="shared" si="12"/>
        <v>-13</v>
      </c>
      <c r="CC131" s="39">
        <f t="shared" si="13"/>
        <v>0</v>
      </c>
      <c r="CD131" s="39">
        <f t="shared" si="14"/>
        <v>-224</v>
      </c>
      <c r="CE131" s="102">
        <f t="shared" si="15"/>
        <v>-1</v>
      </c>
      <c r="CF131" s="36"/>
      <c r="CG131" s="39" t="s">
        <v>228</v>
      </c>
      <c r="CH131" s="39"/>
      <c r="CI131" s="25">
        <v>3</v>
      </c>
    </row>
    <row r="132" spans="1:87" ht="24.75" customHeight="1">
      <c r="A132" s="36" t="s">
        <v>50</v>
      </c>
      <c r="B132" s="26">
        <v>48103</v>
      </c>
      <c r="C132" s="227" t="s">
        <v>1742</v>
      </c>
      <c r="D132" s="36"/>
      <c r="E132" s="39">
        <v>150</v>
      </c>
      <c r="F132" s="39" t="s">
        <v>65</v>
      </c>
      <c r="G132" s="36" t="s">
        <v>1743</v>
      </c>
      <c r="H132" s="36" t="s">
        <v>22</v>
      </c>
      <c r="I132" s="39">
        <v>262</v>
      </c>
      <c r="J132" s="39">
        <v>18</v>
      </c>
      <c r="K132" s="39"/>
      <c r="L132" s="39">
        <f t="shared" si="70"/>
        <v>280</v>
      </c>
      <c r="M132" s="117">
        <v>46280</v>
      </c>
      <c r="N132" s="117">
        <v>46285</v>
      </c>
      <c r="O132" s="39"/>
      <c r="P132" s="39"/>
      <c r="Q132" s="39"/>
      <c r="R132" s="39">
        <f t="shared" si="1"/>
        <v>0</v>
      </c>
      <c r="S132" s="39" t="s">
        <v>31</v>
      </c>
      <c r="T132" s="39"/>
      <c r="U132" s="39"/>
      <c r="V132" s="117">
        <v>46249</v>
      </c>
      <c r="W132" s="39">
        <f>296+22</f>
        <v>318</v>
      </c>
      <c r="X132" s="39"/>
      <c r="Y132" s="39"/>
      <c r="Z132" s="39"/>
      <c r="AA132" s="39"/>
      <c r="AB132" s="118">
        <f t="shared" si="2"/>
        <v>0</v>
      </c>
      <c r="AC132" s="39"/>
      <c r="AD132" s="39"/>
      <c r="AE132" s="39"/>
      <c r="AF132" s="39"/>
      <c r="AG132" s="39"/>
      <c r="AH132" s="39">
        <f t="shared" si="3"/>
        <v>0</v>
      </c>
      <c r="AI132" s="39"/>
      <c r="AJ132" s="39"/>
      <c r="AK132" s="39"/>
      <c r="AL132" s="39"/>
      <c r="AM132" s="39"/>
      <c r="AN132" s="39">
        <f t="shared" si="4"/>
        <v>0</v>
      </c>
      <c r="AO132" s="39"/>
      <c r="AP132" s="39"/>
      <c r="AQ132" s="39"/>
      <c r="AR132" s="39"/>
      <c r="AS132" s="39"/>
      <c r="AT132" s="39">
        <f t="shared" si="5"/>
        <v>0</v>
      </c>
      <c r="AU132" s="39"/>
      <c r="AV132" s="39"/>
      <c r="AW132" s="39"/>
      <c r="AX132" s="39"/>
      <c r="AY132" s="39"/>
      <c r="AZ132" s="39">
        <f t="shared" si="6"/>
        <v>0</v>
      </c>
      <c r="BA132" s="39"/>
      <c r="BB132" s="39"/>
      <c r="BC132" s="39"/>
      <c r="BD132" s="39"/>
      <c r="BE132" s="39"/>
      <c r="BF132" s="39">
        <f t="shared" si="7"/>
        <v>0</v>
      </c>
      <c r="BG132" s="39"/>
      <c r="BH132" s="39"/>
      <c r="BI132" s="39"/>
      <c r="BJ132" s="39"/>
      <c r="BK132" s="39"/>
      <c r="BL132" s="39">
        <f t="shared" si="8"/>
        <v>0</v>
      </c>
      <c r="BM132" s="54">
        <f t="shared" ca="1" si="9"/>
        <v>46283</v>
      </c>
      <c r="BN132" s="60">
        <v>46290</v>
      </c>
      <c r="BO132" s="57">
        <v>46305</v>
      </c>
      <c r="BP132" s="36"/>
      <c r="BQ132" s="36"/>
      <c r="BR132" s="36"/>
      <c r="BS132" s="36"/>
      <c r="BT132" s="39"/>
      <c r="BU132" s="39"/>
      <c r="BV132" s="39"/>
      <c r="BW132" s="39"/>
      <c r="BX132" s="39"/>
      <c r="BY132" s="39"/>
      <c r="BZ132" s="39">
        <f t="shared" si="10"/>
        <v>0</v>
      </c>
      <c r="CA132" s="39">
        <f t="shared" si="11"/>
        <v>-262</v>
      </c>
      <c r="CB132" s="39">
        <f t="shared" si="12"/>
        <v>-18</v>
      </c>
      <c r="CC132" s="39">
        <f t="shared" si="13"/>
        <v>0</v>
      </c>
      <c r="CD132" s="39">
        <f t="shared" si="14"/>
        <v>-280</v>
      </c>
      <c r="CE132" s="102">
        <f t="shared" si="15"/>
        <v>-1</v>
      </c>
      <c r="CF132" s="36"/>
      <c r="CG132" s="39" t="s">
        <v>228</v>
      </c>
      <c r="CH132" s="39"/>
      <c r="CI132" s="25">
        <v>3</v>
      </c>
    </row>
    <row r="133" spans="1:87" ht="24.75" customHeight="1">
      <c r="A133" s="36" t="s">
        <v>50</v>
      </c>
      <c r="B133" s="26">
        <v>48103</v>
      </c>
      <c r="C133" s="231"/>
      <c r="D133" s="36"/>
      <c r="E133" s="39">
        <v>150</v>
      </c>
      <c r="F133" s="39" t="s">
        <v>65</v>
      </c>
      <c r="G133" s="36" t="s">
        <v>1744</v>
      </c>
      <c r="H133" s="36" t="s">
        <v>22</v>
      </c>
      <c r="I133" s="39">
        <v>293</v>
      </c>
      <c r="J133" s="39">
        <v>20</v>
      </c>
      <c r="K133" s="39"/>
      <c r="L133" s="39">
        <f t="shared" ref="L133:L138" si="73">SUM(I133:K133)</f>
        <v>313</v>
      </c>
      <c r="M133" s="117">
        <v>46280</v>
      </c>
      <c r="N133" s="117">
        <v>46285</v>
      </c>
      <c r="O133" s="39"/>
      <c r="P133" s="39"/>
      <c r="Q133" s="39"/>
      <c r="R133" s="39">
        <f t="shared" ref="R133:R134" si="74">SUM(O133:Q133)</f>
        <v>0</v>
      </c>
      <c r="S133" s="39" t="s">
        <v>28</v>
      </c>
      <c r="T133" s="39"/>
      <c r="U133" s="39"/>
      <c r="V133" s="39"/>
      <c r="W133" s="39"/>
      <c r="X133" s="39"/>
      <c r="Y133" s="39"/>
      <c r="Z133" s="39"/>
      <c r="AA133" s="39"/>
      <c r="AB133" s="118">
        <f t="shared" ref="AB133:AB134" si="75">SUM(Y133:AA133)</f>
        <v>0</v>
      </c>
      <c r="AC133" s="39"/>
      <c r="AD133" s="39"/>
      <c r="AE133" s="39"/>
      <c r="AF133" s="39"/>
      <c r="AG133" s="39"/>
      <c r="AH133" s="39">
        <f t="shared" si="3"/>
        <v>0</v>
      </c>
      <c r="AI133" s="39"/>
      <c r="AJ133" s="39"/>
      <c r="AK133" s="39"/>
      <c r="AL133" s="39"/>
      <c r="AM133" s="39"/>
      <c r="AN133" s="39">
        <f t="shared" si="4"/>
        <v>0</v>
      </c>
      <c r="AO133" s="39"/>
      <c r="AP133" s="39"/>
      <c r="AQ133" s="39"/>
      <c r="AR133" s="39"/>
      <c r="AS133" s="39"/>
      <c r="AT133" s="39">
        <f t="shared" si="5"/>
        <v>0</v>
      </c>
      <c r="AU133" s="39"/>
      <c r="AV133" s="39"/>
      <c r="AW133" s="39"/>
      <c r="AX133" s="39"/>
      <c r="AY133" s="39"/>
      <c r="AZ133" s="39">
        <f t="shared" si="6"/>
        <v>0</v>
      </c>
      <c r="BA133" s="39"/>
      <c r="BB133" s="39"/>
      <c r="BC133" s="39"/>
      <c r="BD133" s="39"/>
      <c r="BE133" s="39"/>
      <c r="BF133" s="39">
        <f t="shared" si="7"/>
        <v>0</v>
      </c>
      <c r="BG133" s="39"/>
      <c r="BH133" s="39"/>
      <c r="BI133" s="39"/>
      <c r="BJ133" s="39"/>
      <c r="BK133" s="39"/>
      <c r="BL133" s="39">
        <f t="shared" si="8"/>
        <v>0</v>
      </c>
      <c r="BM133" s="54">
        <f t="shared" ca="1" si="9"/>
        <v>46283</v>
      </c>
      <c r="BN133" s="60">
        <v>46290</v>
      </c>
      <c r="BO133" s="57">
        <v>46305</v>
      </c>
      <c r="BP133" s="36"/>
      <c r="BQ133" s="36"/>
      <c r="BR133" s="36"/>
      <c r="BS133" s="36"/>
      <c r="BT133" s="39"/>
      <c r="BU133" s="39"/>
      <c r="BV133" s="39"/>
      <c r="BW133" s="39"/>
      <c r="BX133" s="39"/>
      <c r="BY133" s="39"/>
      <c r="BZ133" s="39">
        <f t="shared" si="10"/>
        <v>0</v>
      </c>
      <c r="CA133" s="39">
        <f t="shared" si="11"/>
        <v>-293</v>
      </c>
      <c r="CB133" s="39">
        <f t="shared" si="12"/>
        <v>-20</v>
      </c>
      <c r="CC133" s="39">
        <f t="shared" si="13"/>
        <v>0</v>
      </c>
      <c r="CD133" s="39">
        <f t="shared" si="14"/>
        <v>-313</v>
      </c>
      <c r="CE133" s="102">
        <f t="shared" si="15"/>
        <v>-1</v>
      </c>
      <c r="CF133" s="36"/>
      <c r="CG133" s="39" t="s">
        <v>228</v>
      </c>
      <c r="CH133" s="39"/>
      <c r="CI133" s="25">
        <v>3</v>
      </c>
    </row>
    <row r="134" spans="1:87" ht="24.75" customHeight="1">
      <c r="A134" s="36" t="s">
        <v>50</v>
      </c>
      <c r="B134" s="26">
        <v>48103</v>
      </c>
      <c r="C134" s="228"/>
      <c r="D134" s="36"/>
      <c r="E134" s="39">
        <v>150</v>
      </c>
      <c r="F134" s="39" t="s">
        <v>65</v>
      </c>
      <c r="G134" s="36" t="s">
        <v>93</v>
      </c>
      <c r="H134" s="36" t="s">
        <v>22</v>
      </c>
      <c r="I134" s="39">
        <v>369</v>
      </c>
      <c r="J134" s="39">
        <v>25</v>
      </c>
      <c r="K134" s="39"/>
      <c r="L134" s="39">
        <f t="shared" si="73"/>
        <v>394</v>
      </c>
      <c r="M134" s="117">
        <v>46280</v>
      </c>
      <c r="N134" s="117">
        <v>46285</v>
      </c>
      <c r="O134" s="39"/>
      <c r="P134" s="39"/>
      <c r="Q134" s="39"/>
      <c r="R134" s="39">
        <f t="shared" si="74"/>
        <v>0</v>
      </c>
      <c r="S134" s="39" t="s">
        <v>326</v>
      </c>
      <c r="T134" s="39"/>
      <c r="U134" s="39"/>
      <c r="V134" s="39"/>
      <c r="W134" s="39"/>
      <c r="X134" s="39"/>
      <c r="Y134" s="39"/>
      <c r="Z134" s="39"/>
      <c r="AA134" s="39"/>
      <c r="AB134" s="118">
        <f t="shared" si="75"/>
        <v>0</v>
      </c>
      <c r="AC134" s="39"/>
      <c r="AD134" s="39"/>
      <c r="AE134" s="39"/>
      <c r="AF134" s="39"/>
      <c r="AG134" s="39"/>
      <c r="AH134" s="39">
        <f t="shared" si="3"/>
        <v>0</v>
      </c>
      <c r="AI134" s="39"/>
      <c r="AJ134" s="39"/>
      <c r="AK134" s="39"/>
      <c r="AL134" s="39"/>
      <c r="AM134" s="39"/>
      <c r="AN134" s="39">
        <f t="shared" si="4"/>
        <v>0</v>
      </c>
      <c r="AO134" s="39"/>
      <c r="AP134" s="39"/>
      <c r="AQ134" s="39"/>
      <c r="AR134" s="39"/>
      <c r="AS134" s="39"/>
      <c r="AT134" s="39">
        <f t="shared" si="5"/>
        <v>0</v>
      </c>
      <c r="AU134" s="39"/>
      <c r="AV134" s="39"/>
      <c r="AW134" s="39"/>
      <c r="AX134" s="39"/>
      <c r="AY134" s="39"/>
      <c r="AZ134" s="39">
        <f t="shared" si="6"/>
        <v>0</v>
      </c>
      <c r="BA134" s="39"/>
      <c r="BB134" s="39"/>
      <c r="BC134" s="39"/>
      <c r="BD134" s="39"/>
      <c r="BE134" s="39"/>
      <c r="BF134" s="39">
        <f t="shared" si="7"/>
        <v>0</v>
      </c>
      <c r="BG134" s="39"/>
      <c r="BH134" s="39"/>
      <c r="BI134" s="39"/>
      <c r="BJ134" s="39"/>
      <c r="BK134" s="39"/>
      <c r="BL134" s="39">
        <f t="shared" si="8"/>
        <v>0</v>
      </c>
      <c r="BM134" s="54">
        <f t="shared" ca="1" si="9"/>
        <v>46283</v>
      </c>
      <c r="BN134" s="60">
        <v>46290</v>
      </c>
      <c r="BO134" s="57">
        <v>46305</v>
      </c>
      <c r="BP134" s="36"/>
      <c r="BQ134" s="36"/>
      <c r="BR134" s="36"/>
      <c r="BS134" s="36"/>
      <c r="BT134" s="39"/>
      <c r="BU134" s="39"/>
      <c r="BV134" s="39"/>
      <c r="BW134" s="39"/>
      <c r="BX134" s="39"/>
      <c r="BY134" s="39"/>
      <c r="BZ134" s="39">
        <f t="shared" si="10"/>
        <v>0</v>
      </c>
      <c r="CA134" s="39">
        <f t="shared" si="11"/>
        <v>-369</v>
      </c>
      <c r="CB134" s="39">
        <f t="shared" si="12"/>
        <v>-25</v>
      </c>
      <c r="CC134" s="39">
        <f t="shared" si="13"/>
        <v>0</v>
      </c>
      <c r="CD134" s="39">
        <f t="shared" si="14"/>
        <v>-394</v>
      </c>
      <c r="CE134" s="102">
        <f t="shared" si="15"/>
        <v>-1</v>
      </c>
      <c r="CF134" s="36"/>
      <c r="CG134" s="39" t="s">
        <v>228</v>
      </c>
      <c r="CH134" s="39"/>
      <c r="CI134" s="25">
        <v>3</v>
      </c>
    </row>
    <row r="135" spans="1:87" ht="24.75" customHeight="1">
      <c r="A135" s="36" t="s">
        <v>50</v>
      </c>
      <c r="B135" s="26">
        <v>48106</v>
      </c>
      <c r="C135" s="227">
        <v>13251045</v>
      </c>
      <c r="D135" s="36" t="s">
        <v>37</v>
      </c>
      <c r="E135" s="39">
        <v>160</v>
      </c>
      <c r="F135" s="39" t="s">
        <v>57</v>
      </c>
      <c r="G135" s="36" t="s">
        <v>1737</v>
      </c>
      <c r="H135" s="36" t="s">
        <v>22</v>
      </c>
      <c r="I135" s="39">
        <v>174</v>
      </c>
      <c r="J135" s="39"/>
      <c r="K135" s="39"/>
      <c r="L135" s="39">
        <f t="shared" si="73"/>
        <v>174</v>
      </c>
      <c r="M135" s="117">
        <v>46270</v>
      </c>
      <c r="N135" s="117">
        <v>46280</v>
      </c>
      <c r="O135" s="39"/>
      <c r="P135" s="39"/>
      <c r="Q135" s="39"/>
      <c r="R135" s="39">
        <f t="shared" si="1"/>
        <v>0</v>
      </c>
      <c r="S135" s="39" t="s">
        <v>31</v>
      </c>
      <c r="T135" s="39"/>
      <c r="U135" s="39"/>
      <c r="V135" s="117">
        <v>46249</v>
      </c>
      <c r="W135" s="39">
        <v>204</v>
      </c>
      <c r="X135" s="117">
        <v>46281</v>
      </c>
      <c r="Y135" s="39">
        <v>178</v>
      </c>
      <c r="Z135" s="39"/>
      <c r="AA135" s="39"/>
      <c r="AB135" s="119">
        <f t="shared" si="2"/>
        <v>178</v>
      </c>
      <c r="AC135" s="39"/>
      <c r="AD135" s="39"/>
      <c r="AE135" s="39"/>
      <c r="AF135" s="39"/>
      <c r="AG135" s="39"/>
      <c r="AH135" s="39">
        <f t="shared" si="3"/>
        <v>0</v>
      </c>
      <c r="AI135" s="39"/>
      <c r="AJ135" s="39"/>
      <c r="AK135" s="39"/>
      <c r="AL135" s="39"/>
      <c r="AM135" s="39"/>
      <c r="AN135" s="39">
        <f t="shared" si="4"/>
        <v>0</v>
      </c>
      <c r="AO135" s="39"/>
      <c r="AP135" s="39"/>
      <c r="AQ135" s="39"/>
      <c r="AR135" s="39"/>
      <c r="AS135" s="39"/>
      <c r="AT135" s="39">
        <f t="shared" si="5"/>
        <v>0</v>
      </c>
      <c r="AU135" s="39"/>
      <c r="AV135" s="39"/>
      <c r="AW135" s="39"/>
      <c r="AX135" s="39"/>
      <c r="AY135" s="39"/>
      <c r="AZ135" s="39">
        <f t="shared" si="6"/>
        <v>0</v>
      </c>
      <c r="BA135" s="39"/>
      <c r="BB135" s="39"/>
      <c r="BC135" s="39"/>
      <c r="BD135" s="39"/>
      <c r="BE135" s="39"/>
      <c r="BF135" s="39">
        <f t="shared" si="7"/>
        <v>0</v>
      </c>
      <c r="BG135" s="39"/>
      <c r="BH135" s="39"/>
      <c r="BI135" s="39"/>
      <c r="BJ135" s="39"/>
      <c r="BK135" s="39"/>
      <c r="BL135" s="39">
        <f t="shared" si="8"/>
        <v>0</v>
      </c>
      <c r="BM135" s="54">
        <f t="shared" ca="1" si="9"/>
        <v>46283</v>
      </c>
      <c r="BN135" s="60">
        <v>46290</v>
      </c>
      <c r="BO135" s="57">
        <v>46307</v>
      </c>
      <c r="BP135" s="57">
        <v>46312</v>
      </c>
      <c r="BQ135" s="57">
        <v>46322</v>
      </c>
      <c r="BR135" s="36"/>
      <c r="BS135" s="36"/>
      <c r="BT135" s="39"/>
      <c r="BU135" s="39"/>
      <c r="BV135" s="39"/>
      <c r="BW135" s="39"/>
      <c r="BX135" s="39"/>
      <c r="BY135" s="39"/>
      <c r="BZ135" s="39">
        <f t="shared" si="10"/>
        <v>0</v>
      </c>
      <c r="CA135" s="39">
        <f t="shared" si="11"/>
        <v>-174</v>
      </c>
      <c r="CB135" s="39">
        <f t="shared" si="12"/>
        <v>0</v>
      </c>
      <c r="CC135" s="39">
        <f t="shared" si="13"/>
        <v>0</v>
      </c>
      <c r="CD135" s="39">
        <f t="shared" si="14"/>
        <v>-174</v>
      </c>
      <c r="CE135" s="102">
        <f t="shared" si="15"/>
        <v>-1</v>
      </c>
      <c r="CF135" s="36"/>
      <c r="CG135" s="39" t="s">
        <v>228</v>
      </c>
      <c r="CH135" s="39"/>
      <c r="CI135" s="25">
        <v>3</v>
      </c>
    </row>
    <row r="136" spans="1:87" ht="24.75" customHeight="1">
      <c r="A136" s="36" t="s">
        <v>50</v>
      </c>
      <c r="B136" s="26">
        <v>48106</v>
      </c>
      <c r="C136" s="231"/>
      <c r="D136" s="36" t="s">
        <v>37</v>
      </c>
      <c r="E136" s="39">
        <v>160</v>
      </c>
      <c r="F136" s="39" t="s">
        <v>57</v>
      </c>
      <c r="G136" s="36" t="s">
        <v>1738</v>
      </c>
      <c r="H136" s="36" t="s">
        <v>22</v>
      </c>
      <c r="I136" s="39">
        <v>196</v>
      </c>
      <c r="J136" s="39"/>
      <c r="K136" s="39"/>
      <c r="L136" s="39">
        <f t="shared" si="73"/>
        <v>196</v>
      </c>
      <c r="M136" s="117">
        <v>46270</v>
      </c>
      <c r="N136" s="117">
        <v>46280</v>
      </c>
      <c r="O136" s="39"/>
      <c r="P136" s="39"/>
      <c r="Q136" s="39"/>
      <c r="R136" s="39">
        <f t="shared" ref="R136:R139" si="76">SUM(O136:Q136)</f>
        <v>0</v>
      </c>
      <c r="S136" s="39" t="s">
        <v>326</v>
      </c>
      <c r="T136" s="39"/>
      <c r="U136" s="39"/>
      <c r="V136" s="117">
        <v>46251</v>
      </c>
      <c r="W136" s="39">
        <v>229</v>
      </c>
      <c r="X136" s="117">
        <v>46281</v>
      </c>
      <c r="Y136" s="39">
        <f>194+3</f>
        <v>197</v>
      </c>
      <c r="Z136" s="39"/>
      <c r="AA136" s="39"/>
      <c r="AB136" s="119">
        <f t="shared" ref="AB136:AB139" si="77">SUM(Y136:AA136)</f>
        <v>197</v>
      </c>
      <c r="AC136" s="39"/>
      <c r="AD136" s="39"/>
      <c r="AE136" s="39"/>
      <c r="AF136" s="39"/>
      <c r="AG136" s="39"/>
      <c r="AH136" s="39">
        <f t="shared" si="3"/>
        <v>0</v>
      </c>
      <c r="AI136" s="39"/>
      <c r="AJ136" s="39"/>
      <c r="AK136" s="39"/>
      <c r="AL136" s="39"/>
      <c r="AM136" s="39"/>
      <c r="AN136" s="39">
        <f t="shared" si="4"/>
        <v>0</v>
      </c>
      <c r="AO136" s="39"/>
      <c r="AP136" s="39"/>
      <c r="AQ136" s="39"/>
      <c r="AR136" s="39"/>
      <c r="AS136" s="39"/>
      <c r="AT136" s="39">
        <f t="shared" si="5"/>
        <v>0</v>
      </c>
      <c r="AU136" s="39"/>
      <c r="AV136" s="39"/>
      <c r="AW136" s="39"/>
      <c r="AX136" s="39"/>
      <c r="AY136" s="39"/>
      <c r="AZ136" s="39">
        <f t="shared" si="6"/>
        <v>0</v>
      </c>
      <c r="BA136" s="39"/>
      <c r="BB136" s="39"/>
      <c r="BC136" s="39"/>
      <c r="BD136" s="39"/>
      <c r="BE136" s="39"/>
      <c r="BF136" s="39">
        <f t="shared" si="7"/>
        <v>0</v>
      </c>
      <c r="BG136" s="39"/>
      <c r="BH136" s="39"/>
      <c r="BI136" s="39"/>
      <c r="BJ136" s="39"/>
      <c r="BK136" s="39"/>
      <c r="BL136" s="39">
        <f t="shared" si="8"/>
        <v>0</v>
      </c>
      <c r="BM136" s="54">
        <f t="shared" ca="1" si="9"/>
        <v>46283</v>
      </c>
      <c r="BN136" s="60">
        <v>46290</v>
      </c>
      <c r="BO136" s="57">
        <v>46307</v>
      </c>
      <c r="BP136" s="57">
        <v>46312</v>
      </c>
      <c r="BQ136" s="57">
        <v>46322</v>
      </c>
      <c r="BR136" s="36"/>
      <c r="BS136" s="36"/>
      <c r="BT136" s="39"/>
      <c r="BU136" s="39"/>
      <c r="BV136" s="39"/>
      <c r="BW136" s="39"/>
      <c r="BX136" s="39"/>
      <c r="BY136" s="39"/>
      <c r="BZ136" s="39">
        <f t="shared" si="10"/>
        <v>0</v>
      </c>
      <c r="CA136" s="39">
        <f t="shared" si="11"/>
        <v>-196</v>
      </c>
      <c r="CB136" s="39">
        <f t="shared" si="12"/>
        <v>0</v>
      </c>
      <c r="CC136" s="39">
        <f t="shared" si="13"/>
        <v>0</v>
      </c>
      <c r="CD136" s="39">
        <f t="shared" si="14"/>
        <v>-196</v>
      </c>
      <c r="CE136" s="102">
        <f t="shared" si="15"/>
        <v>-1</v>
      </c>
      <c r="CF136" s="36"/>
      <c r="CG136" s="39" t="s">
        <v>228</v>
      </c>
      <c r="CH136" s="39"/>
      <c r="CI136" s="25">
        <v>3</v>
      </c>
    </row>
    <row r="137" spans="1:87" ht="24.75" customHeight="1">
      <c r="A137" s="36" t="s">
        <v>50</v>
      </c>
      <c r="B137" s="26">
        <v>48106</v>
      </c>
      <c r="C137" s="231"/>
      <c r="D137" s="36" t="s">
        <v>37</v>
      </c>
      <c r="E137" s="39">
        <v>160</v>
      </c>
      <c r="F137" s="39" t="s">
        <v>57</v>
      </c>
      <c r="G137" s="36" t="s">
        <v>1739</v>
      </c>
      <c r="H137" s="36" t="s">
        <v>22</v>
      </c>
      <c r="I137" s="39">
        <v>126</v>
      </c>
      <c r="J137" s="39"/>
      <c r="K137" s="39"/>
      <c r="L137" s="39">
        <f t="shared" si="73"/>
        <v>126</v>
      </c>
      <c r="M137" s="117">
        <v>46270</v>
      </c>
      <c r="N137" s="117">
        <v>46280</v>
      </c>
      <c r="O137" s="39"/>
      <c r="P137" s="39"/>
      <c r="Q137" s="39"/>
      <c r="R137" s="39">
        <f t="shared" si="76"/>
        <v>0</v>
      </c>
      <c r="S137" s="39" t="s">
        <v>326</v>
      </c>
      <c r="T137" s="39"/>
      <c r="U137" s="39"/>
      <c r="V137" s="117">
        <v>46251</v>
      </c>
      <c r="W137" s="39">
        <v>152</v>
      </c>
      <c r="X137" s="117">
        <v>46281</v>
      </c>
      <c r="Y137" s="39">
        <v>132</v>
      </c>
      <c r="Z137" s="39"/>
      <c r="AA137" s="39"/>
      <c r="AB137" s="119">
        <f t="shared" si="77"/>
        <v>132</v>
      </c>
      <c r="AC137" s="39"/>
      <c r="AD137" s="39"/>
      <c r="AE137" s="39"/>
      <c r="AF137" s="39"/>
      <c r="AG137" s="39"/>
      <c r="AH137" s="39">
        <f t="shared" si="3"/>
        <v>0</v>
      </c>
      <c r="AI137" s="39"/>
      <c r="AJ137" s="39"/>
      <c r="AK137" s="39"/>
      <c r="AL137" s="39"/>
      <c r="AM137" s="39"/>
      <c r="AN137" s="39">
        <f t="shared" si="4"/>
        <v>0</v>
      </c>
      <c r="AO137" s="39"/>
      <c r="AP137" s="39"/>
      <c r="AQ137" s="39"/>
      <c r="AR137" s="39"/>
      <c r="AS137" s="39"/>
      <c r="AT137" s="39">
        <f t="shared" si="5"/>
        <v>0</v>
      </c>
      <c r="AU137" s="39"/>
      <c r="AV137" s="39"/>
      <c r="AW137" s="39"/>
      <c r="AX137" s="39"/>
      <c r="AY137" s="39"/>
      <c r="AZ137" s="39">
        <f t="shared" si="6"/>
        <v>0</v>
      </c>
      <c r="BA137" s="39"/>
      <c r="BB137" s="39"/>
      <c r="BC137" s="39"/>
      <c r="BD137" s="39"/>
      <c r="BE137" s="39"/>
      <c r="BF137" s="39">
        <f t="shared" si="7"/>
        <v>0</v>
      </c>
      <c r="BG137" s="39"/>
      <c r="BH137" s="39"/>
      <c r="BI137" s="39"/>
      <c r="BJ137" s="39"/>
      <c r="BK137" s="39"/>
      <c r="BL137" s="39">
        <f t="shared" si="8"/>
        <v>0</v>
      </c>
      <c r="BM137" s="54">
        <f t="shared" ca="1" si="9"/>
        <v>46283</v>
      </c>
      <c r="BN137" s="60">
        <v>46290</v>
      </c>
      <c r="BO137" s="57">
        <v>46307</v>
      </c>
      <c r="BP137" s="57">
        <v>46312</v>
      </c>
      <c r="BQ137" s="57">
        <v>46322</v>
      </c>
      <c r="BR137" s="36"/>
      <c r="BS137" s="36"/>
      <c r="BT137" s="39"/>
      <c r="BU137" s="39"/>
      <c r="BV137" s="39"/>
      <c r="BW137" s="39"/>
      <c r="BX137" s="39"/>
      <c r="BY137" s="39"/>
      <c r="BZ137" s="39">
        <f t="shared" si="10"/>
        <v>0</v>
      </c>
      <c r="CA137" s="39">
        <f t="shared" si="11"/>
        <v>-126</v>
      </c>
      <c r="CB137" s="39">
        <f t="shared" si="12"/>
        <v>0</v>
      </c>
      <c r="CC137" s="39">
        <f t="shared" si="13"/>
        <v>0</v>
      </c>
      <c r="CD137" s="39">
        <f t="shared" si="14"/>
        <v>-126</v>
      </c>
      <c r="CE137" s="102">
        <f t="shared" si="15"/>
        <v>-1</v>
      </c>
      <c r="CF137" s="36"/>
      <c r="CG137" s="39" t="s">
        <v>228</v>
      </c>
      <c r="CH137" s="39"/>
      <c r="CI137" s="25">
        <v>3</v>
      </c>
    </row>
    <row r="138" spans="1:87" ht="24.75" customHeight="1">
      <c r="A138" s="36" t="s">
        <v>50</v>
      </c>
      <c r="B138" s="26">
        <v>48106</v>
      </c>
      <c r="C138" s="228"/>
      <c r="D138" s="36"/>
      <c r="E138" s="39"/>
      <c r="F138" s="39"/>
      <c r="G138" s="36" t="s">
        <v>198</v>
      </c>
      <c r="H138" s="36">
        <f>1150+1450+1050</f>
        <v>3650</v>
      </c>
      <c r="I138" s="39" t="s">
        <v>90</v>
      </c>
      <c r="J138" s="39"/>
      <c r="K138" s="39"/>
      <c r="L138" s="39">
        <f t="shared" si="73"/>
        <v>0</v>
      </c>
      <c r="M138" s="117">
        <v>46270</v>
      </c>
      <c r="N138" s="117">
        <v>46280</v>
      </c>
      <c r="O138" s="39"/>
      <c r="P138" s="39"/>
      <c r="Q138" s="39"/>
      <c r="R138" s="39">
        <f t="shared" si="76"/>
        <v>0</v>
      </c>
      <c r="S138" s="39" t="s">
        <v>130</v>
      </c>
      <c r="T138" s="39"/>
      <c r="U138" s="39"/>
      <c r="V138" s="117" t="s">
        <v>2449</v>
      </c>
      <c r="W138" s="39">
        <f>7+6</f>
        <v>13</v>
      </c>
      <c r="X138" s="39"/>
      <c r="Y138" s="39"/>
      <c r="Z138" s="39"/>
      <c r="AA138" s="39"/>
      <c r="AB138" s="39">
        <f t="shared" si="77"/>
        <v>0</v>
      </c>
      <c r="AC138" s="39"/>
      <c r="AD138" s="39"/>
      <c r="AE138" s="39"/>
      <c r="AF138" s="39"/>
      <c r="AG138" s="39"/>
      <c r="AH138" s="39">
        <f t="shared" si="3"/>
        <v>0</v>
      </c>
      <c r="AI138" s="39"/>
      <c r="AJ138" s="39"/>
      <c r="AK138" s="39"/>
      <c r="AL138" s="39"/>
      <c r="AM138" s="39"/>
      <c r="AN138" s="39">
        <f t="shared" si="4"/>
        <v>0</v>
      </c>
      <c r="AO138" s="39"/>
      <c r="AP138" s="39"/>
      <c r="AQ138" s="39"/>
      <c r="AR138" s="39"/>
      <c r="AS138" s="39"/>
      <c r="AT138" s="39">
        <f t="shared" si="5"/>
        <v>0</v>
      </c>
      <c r="AU138" s="39"/>
      <c r="AV138" s="39"/>
      <c r="AW138" s="39"/>
      <c r="AX138" s="39"/>
      <c r="AY138" s="39"/>
      <c r="AZ138" s="39">
        <f t="shared" si="6"/>
        <v>0</v>
      </c>
      <c r="BA138" s="39"/>
      <c r="BB138" s="39"/>
      <c r="BC138" s="39"/>
      <c r="BD138" s="39"/>
      <c r="BE138" s="39"/>
      <c r="BF138" s="39">
        <f t="shared" si="7"/>
        <v>0</v>
      </c>
      <c r="BG138" s="39"/>
      <c r="BH138" s="39"/>
      <c r="BI138" s="39"/>
      <c r="BJ138" s="39"/>
      <c r="BK138" s="39"/>
      <c r="BL138" s="39">
        <f t="shared" si="8"/>
        <v>0</v>
      </c>
      <c r="BM138" s="54" t="e">
        <f t="shared" si="9"/>
        <v>#DIV/0!</v>
      </c>
      <c r="BN138" s="60">
        <v>46290</v>
      </c>
      <c r="BO138" s="57">
        <v>46307</v>
      </c>
      <c r="BP138" s="57"/>
      <c r="BQ138" s="57"/>
      <c r="BR138" s="36"/>
      <c r="BS138" s="36"/>
      <c r="BT138" s="39"/>
      <c r="BU138" s="39"/>
      <c r="BV138" s="39"/>
      <c r="BW138" s="39"/>
      <c r="BX138" s="39"/>
      <c r="BY138" s="39"/>
      <c r="BZ138" s="39">
        <f t="shared" si="10"/>
        <v>0</v>
      </c>
      <c r="CA138" s="39" t="e">
        <f t="shared" si="11"/>
        <v>#VALUE!</v>
      </c>
      <c r="CB138" s="39">
        <f t="shared" si="12"/>
        <v>0</v>
      </c>
      <c r="CC138" s="39">
        <f t="shared" si="13"/>
        <v>0</v>
      </c>
      <c r="CD138" s="39">
        <f t="shared" si="14"/>
        <v>0</v>
      </c>
      <c r="CE138" s="102" t="e">
        <f t="shared" si="15"/>
        <v>#DIV/0!</v>
      </c>
      <c r="CF138" s="36"/>
      <c r="CG138" s="39" t="s">
        <v>228</v>
      </c>
      <c r="CH138" s="39"/>
      <c r="CI138" s="25">
        <v>3</v>
      </c>
    </row>
    <row r="139" spans="1:87" ht="24.75" customHeight="1">
      <c r="A139" s="36" t="s">
        <v>50</v>
      </c>
      <c r="B139" s="26">
        <v>48296</v>
      </c>
      <c r="C139" s="227" t="s">
        <v>1745</v>
      </c>
      <c r="D139" s="36" t="s">
        <v>24</v>
      </c>
      <c r="E139" s="39">
        <v>180</v>
      </c>
      <c r="F139" s="39" t="s">
        <v>57</v>
      </c>
      <c r="G139" s="36" t="s">
        <v>1746</v>
      </c>
      <c r="H139" s="36" t="s">
        <v>22</v>
      </c>
      <c r="I139" s="39">
        <v>136</v>
      </c>
      <c r="J139" s="39">
        <v>11</v>
      </c>
      <c r="K139" s="39">
        <v>4</v>
      </c>
      <c r="L139" s="39">
        <f t="shared" ref="L139:L143" si="78">SUM(I139:K139)</f>
        <v>151</v>
      </c>
      <c r="M139" s="117">
        <v>46275</v>
      </c>
      <c r="N139" s="117">
        <v>46286</v>
      </c>
      <c r="O139" s="39"/>
      <c r="P139" s="39"/>
      <c r="Q139" s="39"/>
      <c r="R139" s="39">
        <f t="shared" si="76"/>
        <v>0</v>
      </c>
      <c r="S139" s="39" t="s">
        <v>130</v>
      </c>
      <c r="T139" s="39"/>
      <c r="U139" s="39"/>
      <c r="V139" s="39"/>
      <c r="W139" s="39"/>
      <c r="X139" s="39"/>
      <c r="Y139" s="39"/>
      <c r="Z139" s="39"/>
      <c r="AA139" s="39"/>
      <c r="AB139" s="118">
        <f t="shared" si="77"/>
        <v>0</v>
      </c>
      <c r="AC139" s="39"/>
      <c r="AD139" s="39"/>
      <c r="AE139" s="39"/>
      <c r="AF139" s="39"/>
      <c r="AG139" s="39"/>
      <c r="AH139" s="39">
        <f t="shared" si="3"/>
        <v>0</v>
      </c>
      <c r="AI139" s="39"/>
      <c r="AJ139" s="39"/>
      <c r="AK139" s="39"/>
      <c r="AL139" s="39"/>
      <c r="AM139" s="39"/>
      <c r="AN139" s="39">
        <f t="shared" si="4"/>
        <v>0</v>
      </c>
      <c r="AO139" s="39"/>
      <c r="AP139" s="39"/>
      <c r="AQ139" s="39"/>
      <c r="AR139" s="39"/>
      <c r="AS139" s="39"/>
      <c r="AT139" s="39">
        <f t="shared" si="5"/>
        <v>0</v>
      </c>
      <c r="AU139" s="39"/>
      <c r="AV139" s="39"/>
      <c r="AW139" s="39"/>
      <c r="AX139" s="39"/>
      <c r="AY139" s="39"/>
      <c r="AZ139" s="39">
        <f t="shared" si="6"/>
        <v>0</v>
      </c>
      <c r="BA139" s="39"/>
      <c r="BB139" s="39"/>
      <c r="BC139" s="39"/>
      <c r="BD139" s="39"/>
      <c r="BE139" s="39"/>
      <c r="BF139" s="39">
        <f t="shared" si="7"/>
        <v>0</v>
      </c>
      <c r="BG139" s="39"/>
      <c r="BH139" s="39"/>
      <c r="BI139" s="39"/>
      <c r="BJ139" s="39"/>
      <c r="BK139" s="39"/>
      <c r="BL139" s="39">
        <f t="shared" si="8"/>
        <v>0</v>
      </c>
      <c r="BM139" s="54">
        <f t="shared" ca="1" si="9"/>
        <v>46283</v>
      </c>
      <c r="BN139" s="60">
        <v>46290</v>
      </c>
      <c r="BO139" s="57">
        <v>46300</v>
      </c>
      <c r="BP139" s="36"/>
      <c r="BQ139" s="36"/>
      <c r="BR139" s="36"/>
      <c r="BS139" s="36"/>
      <c r="BT139" s="39"/>
      <c r="BU139" s="39"/>
      <c r="BV139" s="39"/>
      <c r="BW139" s="39"/>
      <c r="BX139" s="39"/>
      <c r="BY139" s="39"/>
      <c r="BZ139" s="39">
        <f t="shared" si="10"/>
        <v>0</v>
      </c>
      <c r="CA139" s="39">
        <f t="shared" si="11"/>
        <v>-136</v>
      </c>
      <c r="CB139" s="39">
        <f t="shared" si="12"/>
        <v>-11</v>
      </c>
      <c r="CC139" s="39">
        <f t="shared" si="13"/>
        <v>-4</v>
      </c>
      <c r="CD139" s="39">
        <f t="shared" si="14"/>
        <v>-151</v>
      </c>
      <c r="CE139" s="102">
        <f t="shared" si="15"/>
        <v>-1</v>
      </c>
      <c r="CF139" s="36"/>
      <c r="CG139" s="39" t="s">
        <v>228</v>
      </c>
      <c r="CH139" s="39"/>
      <c r="CI139" s="25">
        <v>3</v>
      </c>
    </row>
    <row r="140" spans="1:87" ht="24.75" customHeight="1">
      <c r="A140" s="36" t="s">
        <v>50</v>
      </c>
      <c r="B140" s="26">
        <v>48296</v>
      </c>
      <c r="C140" s="228"/>
      <c r="D140" s="36" t="s">
        <v>24</v>
      </c>
      <c r="E140" s="39">
        <v>180</v>
      </c>
      <c r="F140" s="39" t="s">
        <v>57</v>
      </c>
      <c r="G140" s="36" t="s">
        <v>1747</v>
      </c>
      <c r="H140" s="36" t="s">
        <v>22</v>
      </c>
      <c r="I140" s="39">
        <v>136</v>
      </c>
      <c r="J140" s="39">
        <v>11</v>
      </c>
      <c r="K140" s="39">
        <v>4</v>
      </c>
      <c r="L140" s="39">
        <f t="shared" si="78"/>
        <v>151</v>
      </c>
      <c r="M140" s="117">
        <v>46275</v>
      </c>
      <c r="N140" s="117">
        <v>46286</v>
      </c>
      <c r="O140" s="39"/>
      <c r="P140" s="39"/>
      <c r="Q140" s="39"/>
      <c r="R140" s="39">
        <f t="shared" ref="R140:R203" si="79">SUM(O140:Q140)</f>
        <v>0</v>
      </c>
      <c r="S140" s="39" t="s">
        <v>130</v>
      </c>
      <c r="T140" s="39"/>
      <c r="U140" s="39"/>
      <c r="V140" s="39"/>
      <c r="W140" s="39"/>
      <c r="X140" s="39"/>
      <c r="Y140" s="39"/>
      <c r="Z140" s="39"/>
      <c r="AA140" s="39"/>
      <c r="AB140" s="118">
        <f t="shared" ref="AB140:AB203" si="80">SUM(Y140:AA140)</f>
        <v>0</v>
      </c>
      <c r="AC140" s="39"/>
      <c r="AD140" s="39"/>
      <c r="AE140" s="39"/>
      <c r="AF140" s="39"/>
      <c r="AG140" s="39"/>
      <c r="AH140" s="39">
        <f t="shared" si="3"/>
        <v>0</v>
      </c>
      <c r="AI140" s="39"/>
      <c r="AJ140" s="39"/>
      <c r="AK140" s="39"/>
      <c r="AL140" s="39"/>
      <c r="AM140" s="39"/>
      <c r="AN140" s="39">
        <f t="shared" si="4"/>
        <v>0</v>
      </c>
      <c r="AO140" s="39"/>
      <c r="AP140" s="39"/>
      <c r="AQ140" s="39"/>
      <c r="AR140" s="39"/>
      <c r="AS140" s="39"/>
      <c r="AT140" s="39">
        <f t="shared" si="5"/>
        <v>0</v>
      </c>
      <c r="AU140" s="39"/>
      <c r="AV140" s="39"/>
      <c r="AW140" s="39"/>
      <c r="AX140" s="39"/>
      <c r="AY140" s="39"/>
      <c r="AZ140" s="39">
        <f t="shared" si="6"/>
        <v>0</v>
      </c>
      <c r="BA140" s="39"/>
      <c r="BB140" s="39"/>
      <c r="BC140" s="39"/>
      <c r="BD140" s="39"/>
      <c r="BE140" s="39"/>
      <c r="BF140" s="39">
        <f t="shared" si="7"/>
        <v>0</v>
      </c>
      <c r="BG140" s="39"/>
      <c r="BH140" s="39"/>
      <c r="BI140" s="39"/>
      <c r="BJ140" s="39"/>
      <c r="BK140" s="39"/>
      <c r="BL140" s="39">
        <f t="shared" si="8"/>
        <v>0</v>
      </c>
      <c r="BM140" s="54">
        <f t="shared" ca="1" si="9"/>
        <v>46283</v>
      </c>
      <c r="BN140" s="60">
        <v>46290</v>
      </c>
      <c r="BO140" s="57">
        <v>46300</v>
      </c>
      <c r="BP140" s="36"/>
      <c r="BQ140" s="36"/>
      <c r="BR140" s="36"/>
      <c r="BS140" s="36"/>
      <c r="BT140" s="39"/>
      <c r="BU140" s="39"/>
      <c r="BV140" s="39"/>
      <c r="BW140" s="39"/>
      <c r="BX140" s="39"/>
      <c r="BY140" s="39"/>
      <c r="BZ140" s="39">
        <f t="shared" si="10"/>
        <v>0</v>
      </c>
      <c r="CA140" s="39">
        <f t="shared" si="11"/>
        <v>-136</v>
      </c>
      <c r="CB140" s="39">
        <f t="shared" si="12"/>
        <v>-11</v>
      </c>
      <c r="CC140" s="39">
        <f t="shared" si="13"/>
        <v>-4</v>
      </c>
      <c r="CD140" s="39">
        <f t="shared" si="14"/>
        <v>-151</v>
      </c>
      <c r="CE140" s="102">
        <f t="shared" si="15"/>
        <v>-1</v>
      </c>
      <c r="CF140" s="36"/>
      <c r="CG140" s="39" t="s">
        <v>228</v>
      </c>
      <c r="CH140" s="39"/>
      <c r="CI140" s="25">
        <v>3</v>
      </c>
    </row>
    <row r="141" spans="1:87" ht="24.75" customHeight="1">
      <c r="A141" s="36" t="s">
        <v>50</v>
      </c>
      <c r="B141" s="26">
        <v>48941</v>
      </c>
      <c r="C141" s="227" t="s">
        <v>2894</v>
      </c>
      <c r="D141" s="36"/>
      <c r="E141" s="39">
        <v>150</v>
      </c>
      <c r="F141" s="39" t="s">
        <v>65</v>
      </c>
      <c r="G141" s="36" t="s">
        <v>2578</v>
      </c>
      <c r="H141" s="36" t="s">
        <v>22</v>
      </c>
      <c r="I141" s="39">
        <v>1184</v>
      </c>
      <c r="J141" s="39">
        <v>86</v>
      </c>
      <c r="K141" s="39"/>
      <c r="L141" s="39">
        <f t="shared" si="78"/>
        <v>1270</v>
      </c>
      <c r="M141" s="117">
        <v>46275</v>
      </c>
      <c r="N141" s="117">
        <v>46287</v>
      </c>
      <c r="O141" s="39"/>
      <c r="P141" s="39"/>
      <c r="Q141" s="39"/>
      <c r="R141" s="39">
        <f t="shared" si="79"/>
        <v>0</v>
      </c>
      <c r="S141" s="39" t="s">
        <v>28</v>
      </c>
      <c r="T141" s="39"/>
      <c r="U141" s="39"/>
      <c r="V141" s="117" t="s">
        <v>3078</v>
      </c>
      <c r="W141" s="39">
        <f>889+103+437</f>
        <v>1429</v>
      </c>
      <c r="X141" s="39"/>
      <c r="Y141" s="39"/>
      <c r="Z141" s="39"/>
      <c r="AA141" s="39"/>
      <c r="AB141" s="118">
        <f t="shared" si="80"/>
        <v>0</v>
      </c>
      <c r="AC141" s="39"/>
      <c r="AD141" s="39"/>
      <c r="AE141" s="39"/>
      <c r="AF141" s="39"/>
      <c r="AG141" s="39"/>
      <c r="AH141" s="39">
        <f t="shared" si="3"/>
        <v>0</v>
      </c>
      <c r="AI141" s="39"/>
      <c r="AJ141" s="39"/>
      <c r="AK141" s="39"/>
      <c r="AL141" s="39"/>
      <c r="AM141" s="39"/>
      <c r="AN141" s="39">
        <f t="shared" si="4"/>
        <v>0</v>
      </c>
      <c r="AO141" s="39"/>
      <c r="AP141" s="39"/>
      <c r="AQ141" s="39"/>
      <c r="AR141" s="39"/>
      <c r="AS141" s="39"/>
      <c r="AT141" s="39">
        <f t="shared" si="5"/>
        <v>0</v>
      </c>
      <c r="AU141" s="39"/>
      <c r="AV141" s="39"/>
      <c r="AW141" s="39"/>
      <c r="AX141" s="39"/>
      <c r="AY141" s="39"/>
      <c r="AZ141" s="39">
        <f t="shared" si="6"/>
        <v>0</v>
      </c>
      <c r="BA141" s="39"/>
      <c r="BB141" s="39"/>
      <c r="BC141" s="39"/>
      <c r="BD141" s="39"/>
      <c r="BE141" s="39"/>
      <c r="BF141" s="39">
        <f t="shared" si="7"/>
        <v>0</v>
      </c>
      <c r="BG141" s="39"/>
      <c r="BH141" s="39"/>
      <c r="BI141" s="39"/>
      <c r="BJ141" s="39"/>
      <c r="BK141" s="39"/>
      <c r="BL141" s="39">
        <f t="shared" si="8"/>
        <v>0</v>
      </c>
      <c r="BM141" s="54">
        <f t="shared" ca="1" si="9"/>
        <v>46283</v>
      </c>
      <c r="BN141" s="60">
        <v>46292</v>
      </c>
      <c r="BO141" s="57">
        <v>46307</v>
      </c>
      <c r="BP141" s="36"/>
      <c r="BQ141" s="36"/>
      <c r="BR141" s="39"/>
      <c r="BS141" s="39"/>
      <c r="BT141" s="39"/>
      <c r="BU141" s="39"/>
      <c r="BV141" s="39"/>
      <c r="BW141" s="39"/>
      <c r="BX141" s="39"/>
      <c r="BY141" s="39"/>
      <c r="BZ141" s="39">
        <f t="shared" si="10"/>
        <v>0</v>
      </c>
      <c r="CA141" s="39">
        <f t="shared" si="11"/>
        <v>-1184</v>
      </c>
      <c r="CB141" s="39">
        <f t="shared" si="12"/>
        <v>-86</v>
      </c>
      <c r="CC141" s="39">
        <f t="shared" si="13"/>
        <v>0</v>
      </c>
      <c r="CD141" s="39">
        <f t="shared" si="14"/>
        <v>-1270</v>
      </c>
      <c r="CE141" s="102">
        <f t="shared" si="15"/>
        <v>-1</v>
      </c>
      <c r="CF141" s="36" t="s">
        <v>292</v>
      </c>
      <c r="CG141" s="39" t="s">
        <v>281</v>
      </c>
      <c r="CH141" s="39"/>
      <c r="CI141" s="25">
        <v>3</v>
      </c>
    </row>
    <row r="142" spans="1:87" ht="24.75" customHeight="1">
      <c r="A142" s="36" t="s">
        <v>50</v>
      </c>
      <c r="B142" s="26">
        <v>48941</v>
      </c>
      <c r="C142" s="228"/>
      <c r="D142" s="36"/>
      <c r="E142" s="39">
        <v>150</v>
      </c>
      <c r="F142" s="39" t="s">
        <v>65</v>
      </c>
      <c r="G142" s="36" t="s">
        <v>2682</v>
      </c>
      <c r="H142" s="36" t="s">
        <v>22</v>
      </c>
      <c r="I142" s="39">
        <v>1169</v>
      </c>
      <c r="J142" s="39">
        <v>84</v>
      </c>
      <c r="K142" s="39"/>
      <c r="L142" s="39">
        <f t="shared" si="78"/>
        <v>1253</v>
      </c>
      <c r="M142" s="117">
        <v>46275</v>
      </c>
      <c r="N142" s="117">
        <v>46287</v>
      </c>
      <c r="O142" s="39"/>
      <c r="P142" s="39"/>
      <c r="Q142" s="39"/>
      <c r="R142" s="39">
        <f t="shared" si="79"/>
        <v>0</v>
      </c>
      <c r="S142" s="39" t="s">
        <v>28</v>
      </c>
      <c r="T142" s="39"/>
      <c r="U142" s="39"/>
      <c r="V142" s="117">
        <v>46275</v>
      </c>
      <c r="W142" s="39">
        <f>1309+98</f>
        <v>1407</v>
      </c>
      <c r="X142" s="39"/>
      <c r="Y142" s="39"/>
      <c r="Z142" s="39"/>
      <c r="AA142" s="39"/>
      <c r="AB142" s="118">
        <f t="shared" si="80"/>
        <v>0</v>
      </c>
      <c r="AC142" s="39"/>
      <c r="AD142" s="39"/>
      <c r="AE142" s="39"/>
      <c r="AF142" s="39"/>
      <c r="AG142" s="39"/>
      <c r="AH142" s="39">
        <f t="shared" si="3"/>
        <v>0</v>
      </c>
      <c r="AI142" s="39"/>
      <c r="AJ142" s="39"/>
      <c r="AK142" s="39"/>
      <c r="AL142" s="39"/>
      <c r="AM142" s="39"/>
      <c r="AN142" s="39">
        <f t="shared" si="4"/>
        <v>0</v>
      </c>
      <c r="AO142" s="39"/>
      <c r="AP142" s="39"/>
      <c r="AQ142" s="39"/>
      <c r="AR142" s="39"/>
      <c r="AS142" s="39"/>
      <c r="AT142" s="39">
        <f t="shared" si="5"/>
        <v>0</v>
      </c>
      <c r="AU142" s="39"/>
      <c r="AV142" s="39"/>
      <c r="AW142" s="39"/>
      <c r="AX142" s="39"/>
      <c r="AY142" s="39"/>
      <c r="AZ142" s="39">
        <f t="shared" si="6"/>
        <v>0</v>
      </c>
      <c r="BA142" s="39"/>
      <c r="BB142" s="39"/>
      <c r="BC142" s="39"/>
      <c r="BD142" s="39"/>
      <c r="BE142" s="39"/>
      <c r="BF142" s="39">
        <f t="shared" si="7"/>
        <v>0</v>
      </c>
      <c r="BG142" s="39"/>
      <c r="BH142" s="39"/>
      <c r="BI142" s="39"/>
      <c r="BJ142" s="39"/>
      <c r="BK142" s="39"/>
      <c r="BL142" s="39">
        <f t="shared" si="8"/>
        <v>0</v>
      </c>
      <c r="BM142" s="54">
        <f t="shared" ca="1" si="9"/>
        <v>46283</v>
      </c>
      <c r="BN142" s="60">
        <v>46292</v>
      </c>
      <c r="BO142" s="57">
        <v>46307</v>
      </c>
      <c r="BP142" s="36"/>
      <c r="BQ142" s="36"/>
      <c r="BR142" s="39"/>
      <c r="BS142" s="39"/>
      <c r="BT142" s="39"/>
      <c r="BU142" s="39"/>
      <c r="BV142" s="39"/>
      <c r="BW142" s="39"/>
      <c r="BX142" s="39"/>
      <c r="BY142" s="39"/>
      <c r="BZ142" s="39">
        <f t="shared" si="10"/>
        <v>0</v>
      </c>
      <c r="CA142" s="39">
        <f t="shared" si="11"/>
        <v>-1169</v>
      </c>
      <c r="CB142" s="39">
        <f t="shared" si="12"/>
        <v>-84</v>
      </c>
      <c r="CC142" s="39">
        <f t="shared" si="13"/>
        <v>0</v>
      </c>
      <c r="CD142" s="39">
        <f t="shared" si="14"/>
        <v>-1253</v>
      </c>
      <c r="CE142" s="102">
        <f t="shared" si="15"/>
        <v>-1</v>
      </c>
      <c r="CF142" s="36" t="s">
        <v>292</v>
      </c>
      <c r="CG142" s="39" t="s">
        <v>281</v>
      </c>
      <c r="CH142" s="39"/>
      <c r="CI142" s="25">
        <v>3</v>
      </c>
    </row>
    <row r="143" spans="1:87" ht="24.75" customHeight="1">
      <c r="A143" s="36" t="s">
        <v>50</v>
      </c>
      <c r="B143" s="26" t="s">
        <v>2683</v>
      </c>
      <c r="C143" s="227" t="s">
        <v>3021</v>
      </c>
      <c r="D143" s="36" t="s">
        <v>37</v>
      </c>
      <c r="E143" s="39">
        <v>150</v>
      </c>
      <c r="F143" s="39" t="s">
        <v>65</v>
      </c>
      <c r="G143" s="36" t="s">
        <v>2684</v>
      </c>
      <c r="H143" s="36" t="s">
        <v>382</v>
      </c>
      <c r="I143" s="39">
        <v>775</v>
      </c>
      <c r="J143" s="39">
        <v>64</v>
      </c>
      <c r="K143" s="39"/>
      <c r="L143" s="39">
        <f t="shared" si="78"/>
        <v>839</v>
      </c>
      <c r="M143" s="117">
        <v>46277</v>
      </c>
      <c r="N143" s="117">
        <v>46290</v>
      </c>
      <c r="O143" s="39"/>
      <c r="P143" s="39"/>
      <c r="Q143" s="39"/>
      <c r="R143" s="39">
        <f t="shared" si="79"/>
        <v>0</v>
      </c>
      <c r="S143" s="39" t="s">
        <v>28</v>
      </c>
      <c r="T143" s="39"/>
      <c r="U143" s="39"/>
      <c r="V143" s="117">
        <v>46282</v>
      </c>
      <c r="W143" s="39">
        <f>869+75</f>
        <v>944</v>
      </c>
      <c r="X143" s="39"/>
      <c r="Y143" s="39"/>
      <c r="Z143" s="39"/>
      <c r="AA143" s="39"/>
      <c r="AB143" s="118">
        <f t="shared" si="80"/>
        <v>0</v>
      </c>
      <c r="AC143" s="39"/>
      <c r="AD143" s="39"/>
      <c r="AE143" s="39"/>
      <c r="AF143" s="39"/>
      <c r="AG143" s="39"/>
      <c r="AH143" s="39">
        <f t="shared" si="3"/>
        <v>0</v>
      </c>
      <c r="AI143" s="39"/>
      <c r="AJ143" s="39"/>
      <c r="AK143" s="39"/>
      <c r="AL143" s="39"/>
      <c r="AM143" s="39"/>
      <c r="AN143" s="39">
        <f t="shared" si="4"/>
        <v>0</v>
      </c>
      <c r="AO143" s="39"/>
      <c r="AP143" s="39"/>
      <c r="AQ143" s="39"/>
      <c r="AR143" s="39"/>
      <c r="AS143" s="39"/>
      <c r="AT143" s="39">
        <f t="shared" si="5"/>
        <v>0</v>
      </c>
      <c r="AU143" s="39"/>
      <c r="AV143" s="39"/>
      <c r="AW143" s="39"/>
      <c r="AX143" s="39"/>
      <c r="AY143" s="39"/>
      <c r="AZ143" s="39">
        <f t="shared" si="6"/>
        <v>0</v>
      </c>
      <c r="BA143" s="39"/>
      <c r="BB143" s="39"/>
      <c r="BC143" s="39"/>
      <c r="BD143" s="39"/>
      <c r="BE143" s="39"/>
      <c r="BF143" s="39">
        <f t="shared" si="7"/>
        <v>0</v>
      </c>
      <c r="BG143" s="39"/>
      <c r="BH143" s="39"/>
      <c r="BI143" s="39"/>
      <c r="BJ143" s="39"/>
      <c r="BK143" s="39"/>
      <c r="BL143" s="39">
        <f t="shared" si="8"/>
        <v>0</v>
      </c>
      <c r="BM143" s="54">
        <f t="shared" ca="1" si="9"/>
        <v>46283</v>
      </c>
      <c r="BN143" s="60">
        <v>46292</v>
      </c>
      <c r="BO143" s="57">
        <v>46313</v>
      </c>
      <c r="BP143" s="57">
        <v>46310</v>
      </c>
      <c r="BQ143" s="57">
        <v>46325</v>
      </c>
      <c r="BR143" s="39"/>
      <c r="BS143" s="39"/>
      <c r="BT143" s="39"/>
      <c r="BU143" s="39"/>
      <c r="BV143" s="39"/>
      <c r="BW143" s="39"/>
      <c r="BX143" s="39"/>
      <c r="BY143" s="39"/>
      <c r="BZ143" s="39">
        <f t="shared" si="10"/>
        <v>0</v>
      </c>
      <c r="CA143" s="39">
        <f t="shared" si="11"/>
        <v>-775</v>
      </c>
      <c r="CB143" s="39">
        <f t="shared" si="12"/>
        <v>-64</v>
      </c>
      <c r="CC143" s="39">
        <f t="shared" si="13"/>
        <v>0</v>
      </c>
      <c r="CD143" s="39">
        <f t="shared" si="14"/>
        <v>-839</v>
      </c>
      <c r="CE143" s="102">
        <f t="shared" si="15"/>
        <v>-1</v>
      </c>
      <c r="CF143" s="36"/>
      <c r="CG143" s="39" t="s">
        <v>281</v>
      </c>
      <c r="CH143" s="39"/>
      <c r="CI143" s="25">
        <v>3</v>
      </c>
    </row>
    <row r="144" spans="1:87" ht="24.75" customHeight="1">
      <c r="A144" s="36" t="s">
        <v>50</v>
      </c>
      <c r="B144" s="26" t="s">
        <v>2683</v>
      </c>
      <c r="C144" s="231"/>
      <c r="D144" s="36" t="s">
        <v>37</v>
      </c>
      <c r="E144" s="39">
        <v>150</v>
      </c>
      <c r="F144" s="39" t="s">
        <v>65</v>
      </c>
      <c r="G144" s="36" t="s">
        <v>481</v>
      </c>
      <c r="H144" s="36" t="s">
        <v>382</v>
      </c>
      <c r="I144" s="39">
        <v>478</v>
      </c>
      <c r="J144" s="39">
        <v>40</v>
      </c>
      <c r="K144" s="39"/>
      <c r="L144" s="39">
        <f t="shared" ref="L144:L147" si="81">SUM(I144:K144)</f>
        <v>518</v>
      </c>
      <c r="M144" s="117">
        <v>46277</v>
      </c>
      <c r="N144" s="117">
        <v>46290</v>
      </c>
      <c r="O144" s="39"/>
      <c r="P144" s="39"/>
      <c r="Q144" s="39"/>
      <c r="R144" s="39">
        <f t="shared" si="79"/>
        <v>0</v>
      </c>
      <c r="S144" s="39" t="s">
        <v>28</v>
      </c>
      <c r="T144" s="39"/>
      <c r="U144" s="39"/>
      <c r="V144" s="117">
        <v>46282</v>
      </c>
      <c r="W144" s="39">
        <f>50</f>
        <v>50</v>
      </c>
      <c r="X144" s="39"/>
      <c r="Y144" s="39"/>
      <c r="Z144" s="39"/>
      <c r="AA144" s="39"/>
      <c r="AB144" s="118">
        <f t="shared" si="80"/>
        <v>0</v>
      </c>
      <c r="AC144" s="39"/>
      <c r="AD144" s="39"/>
      <c r="AE144" s="39"/>
      <c r="AF144" s="39"/>
      <c r="AG144" s="39"/>
      <c r="AH144" s="39">
        <f t="shared" si="3"/>
        <v>0</v>
      </c>
      <c r="AI144" s="39"/>
      <c r="AJ144" s="39"/>
      <c r="AK144" s="39"/>
      <c r="AL144" s="39"/>
      <c r="AM144" s="39"/>
      <c r="AN144" s="39">
        <f t="shared" si="4"/>
        <v>0</v>
      </c>
      <c r="AO144" s="39"/>
      <c r="AP144" s="39"/>
      <c r="AQ144" s="39"/>
      <c r="AR144" s="39"/>
      <c r="AS144" s="39"/>
      <c r="AT144" s="39">
        <f t="shared" si="5"/>
        <v>0</v>
      </c>
      <c r="AU144" s="39"/>
      <c r="AV144" s="39"/>
      <c r="AW144" s="39"/>
      <c r="AX144" s="39"/>
      <c r="AY144" s="39"/>
      <c r="AZ144" s="39">
        <f t="shared" si="6"/>
        <v>0</v>
      </c>
      <c r="BA144" s="39"/>
      <c r="BB144" s="39"/>
      <c r="BC144" s="39"/>
      <c r="BD144" s="39"/>
      <c r="BE144" s="39"/>
      <c r="BF144" s="39">
        <f t="shared" si="7"/>
        <v>0</v>
      </c>
      <c r="BG144" s="39"/>
      <c r="BH144" s="39"/>
      <c r="BI144" s="39"/>
      <c r="BJ144" s="39"/>
      <c r="BK144" s="39"/>
      <c r="BL144" s="39">
        <f t="shared" si="8"/>
        <v>0</v>
      </c>
      <c r="BM144" s="54">
        <f t="shared" ca="1" si="9"/>
        <v>46283</v>
      </c>
      <c r="BN144" s="60">
        <v>46292</v>
      </c>
      <c r="BO144" s="57">
        <v>46313</v>
      </c>
      <c r="BP144" s="57">
        <v>46310</v>
      </c>
      <c r="BQ144" s="57">
        <v>46325</v>
      </c>
      <c r="BR144" s="39"/>
      <c r="BS144" s="39"/>
      <c r="BT144" s="39"/>
      <c r="BU144" s="39"/>
      <c r="BV144" s="39"/>
      <c r="BW144" s="39"/>
      <c r="BX144" s="39"/>
      <c r="BY144" s="39"/>
      <c r="BZ144" s="39">
        <f t="shared" si="10"/>
        <v>0</v>
      </c>
      <c r="CA144" s="39">
        <f t="shared" si="11"/>
        <v>-478</v>
      </c>
      <c r="CB144" s="39">
        <f t="shared" si="12"/>
        <v>-40</v>
      </c>
      <c r="CC144" s="39">
        <f t="shared" si="13"/>
        <v>0</v>
      </c>
      <c r="CD144" s="39">
        <f t="shared" si="14"/>
        <v>-518</v>
      </c>
      <c r="CE144" s="102">
        <f t="shared" si="15"/>
        <v>-1</v>
      </c>
      <c r="CF144" s="36"/>
      <c r="CG144" s="39" t="s">
        <v>281</v>
      </c>
      <c r="CH144" s="39"/>
      <c r="CI144" s="25">
        <v>3</v>
      </c>
    </row>
    <row r="145" spans="1:87" ht="24.75" customHeight="1">
      <c r="A145" s="36" t="s">
        <v>50</v>
      </c>
      <c r="B145" s="26" t="s">
        <v>2683</v>
      </c>
      <c r="C145" s="231"/>
      <c r="D145" s="36" t="s">
        <v>37</v>
      </c>
      <c r="E145" s="39">
        <v>150</v>
      </c>
      <c r="F145" s="39" t="s">
        <v>65</v>
      </c>
      <c r="G145" s="36" t="s">
        <v>2685</v>
      </c>
      <c r="H145" s="36" t="s">
        <v>382</v>
      </c>
      <c r="I145" s="39">
        <v>1072</v>
      </c>
      <c r="J145" s="39">
        <v>89</v>
      </c>
      <c r="K145" s="39"/>
      <c r="L145" s="39">
        <f t="shared" si="81"/>
        <v>1161</v>
      </c>
      <c r="M145" s="117">
        <v>46277</v>
      </c>
      <c r="N145" s="117">
        <v>46290</v>
      </c>
      <c r="O145" s="39"/>
      <c r="P145" s="39"/>
      <c r="Q145" s="39"/>
      <c r="R145" s="39">
        <f t="shared" si="79"/>
        <v>0</v>
      </c>
      <c r="S145" s="39" t="s">
        <v>28</v>
      </c>
      <c r="T145" s="39"/>
      <c r="U145" s="39"/>
      <c r="V145" s="117">
        <v>46282</v>
      </c>
      <c r="W145" s="39">
        <f>105</f>
        <v>105</v>
      </c>
      <c r="X145" s="39"/>
      <c r="Y145" s="39"/>
      <c r="Z145" s="39"/>
      <c r="AA145" s="39"/>
      <c r="AB145" s="118">
        <f t="shared" si="80"/>
        <v>0</v>
      </c>
      <c r="AC145" s="39"/>
      <c r="AD145" s="39"/>
      <c r="AE145" s="39"/>
      <c r="AF145" s="39"/>
      <c r="AG145" s="39"/>
      <c r="AH145" s="39">
        <f t="shared" si="3"/>
        <v>0</v>
      </c>
      <c r="AI145" s="39"/>
      <c r="AJ145" s="39"/>
      <c r="AK145" s="39"/>
      <c r="AL145" s="39"/>
      <c r="AM145" s="39"/>
      <c r="AN145" s="39">
        <f t="shared" si="4"/>
        <v>0</v>
      </c>
      <c r="AO145" s="39"/>
      <c r="AP145" s="39"/>
      <c r="AQ145" s="39"/>
      <c r="AR145" s="39"/>
      <c r="AS145" s="39"/>
      <c r="AT145" s="39">
        <f t="shared" si="5"/>
        <v>0</v>
      </c>
      <c r="AU145" s="39"/>
      <c r="AV145" s="39"/>
      <c r="AW145" s="39"/>
      <c r="AX145" s="39"/>
      <c r="AY145" s="39"/>
      <c r="AZ145" s="39">
        <f t="shared" si="6"/>
        <v>0</v>
      </c>
      <c r="BA145" s="39"/>
      <c r="BB145" s="39"/>
      <c r="BC145" s="39"/>
      <c r="BD145" s="39"/>
      <c r="BE145" s="39"/>
      <c r="BF145" s="39">
        <f t="shared" si="7"/>
        <v>0</v>
      </c>
      <c r="BG145" s="39"/>
      <c r="BH145" s="39"/>
      <c r="BI145" s="39"/>
      <c r="BJ145" s="39"/>
      <c r="BK145" s="39"/>
      <c r="BL145" s="39">
        <f t="shared" si="8"/>
        <v>0</v>
      </c>
      <c r="BM145" s="54">
        <f t="shared" ca="1" si="9"/>
        <v>46283</v>
      </c>
      <c r="BN145" s="60">
        <v>46292</v>
      </c>
      <c r="BO145" s="57">
        <v>46313</v>
      </c>
      <c r="BP145" s="57">
        <v>46310</v>
      </c>
      <c r="BQ145" s="57">
        <v>46325</v>
      </c>
      <c r="BR145" s="39"/>
      <c r="BS145" s="39"/>
      <c r="BT145" s="39"/>
      <c r="BU145" s="39"/>
      <c r="BV145" s="39"/>
      <c r="BW145" s="39"/>
      <c r="BX145" s="39"/>
      <c r="BY145" s="39"/>
      <c r="BZ145" s="39">
        <f t="shared" si="10"/>
        <v>0</v>
      </c>
      <c r="CA145" s="39">
        <f t="shared" si="11"/>
        <v>-1072</v>
      </c>
      <c r="CB145" s="39">
        <f t="shared" si="12"/>
        <v>-89</v>
      </c>
      <c r="CC145" s="39">
        <f t="shared" si="13"/>
        <v>0</v>
      </c>
      <c r="CD145" s="39">
        <f t="shared" si="14"/>
        <v>-1161</v>
      </c>
      <c r="CE145" s="102">
        <f t="shared" si="15"/>
        <v>-1</v>
      </c>
      <c r="CF145" s="36"/>
      <c r="CG145" s="39" t="s">
        <v>281</v>
      </c>
      <c r="CH145" s="39"/>
      <c r="CI145" s="25">
        <v>3</v>
      </c>
    </row>
    <row r="146" spans="1:87" ht="24.75" customHeight="1">
      <c r="A146" s="36" t="s">
        <v>50</v>
      </c>
      <c r="B146" s="26" t="s">
        <v>2683</v>
      </c>
      <c r="C146" s="228"/>
      <c r="D146" s="36" t="s">
        <v>37</v>
      </c>
      <c r="E146" s="39">
        <v>150</v>
      </c>
      <c r="F146" s="39" t="s">
        <v>65</v>
      </c>
      <c r="G146" s="36" t="s">
        <v>2686</v>
      </c>
      <c r="H146" s="36" t="s">
        <v>382</v>
      </c>
      <c r="I146" s="39">
        <v>1323</v>
      </c>
      <c r="J146" s="39">
        <v>115</v>
      </c>
      <c r="K146" s="39"/>
      <c r="L146" s="39">
        <f t="shared" si="81"/>
        <v>1438</v>
      </c>
      <c r="M146" s="117">
        <v>46277</v>
      </c>
      <c r="N146" s="117">
        <v>46290</v>
      </c>
      <c r="O146" s="39"/>
      <c r="P146" s="39"/>
      <c r="Q146" s="39"/>
      <c r="R146" s="39">
        <f t="shared" si="79"/>
        <v>0</v>
      </c>
      <c r="S146" s="39" t="s">
        <v>28</v>
      </c>
      <c r="T146" s="39"/>
      <c r="U146" s="39"/>
      <c r="V146" s="117">
        <v>46282</v>
      </c>
      <c r="W146" s="39">
        <f>131</f>
        <v>131</v>
      </c>
      <c r="X146" s="39"/>
      <c r="Y146" s="39"/>
      <c r="Z146" s="39"/>
      <c r="AA146" s="39"/>
      <c r="AB146" s="118">
        <f t="shared" si="80"/>
        <v>0</v>
      </c>
      <c r="AC146" s="39"/>
      <c r="AD146" s="39"/>
      <c r="AE146" s="39"/>
      <c r="AF146" s="39"/>
      <c r="AG146" s="39"/>
      <c r="AH146" s="39">
        <f t="shared" si="3"/>
        <v>0</v>
      </c>
      <c r="AI146" s="39"/>
      <c r="AJ146" s="39"/>
      <c r="AK146" s="39"/>
      <c r="AL146" s="39"/>
      <c r="AM146" s="39"/>
      <c r="AN146" s="39">
        <f t="shared" si="4"/>
        <v>0</v>
      </c>
      <c r="AO146" s="39"/>
      <c r="AP146" s="39"/>
      <c r="AQ146" s="39"/>
      <c r="AR146" s="39"/>
      <c r="AS146" s="39"/>
      <c r="AT146" s="39">
        <f t="shared" si="5"/>
        <v>0</v>
      </c>
      <c r="AU146" s="39"/>
      <c r="AV146" s="39"/>
      <c r="AW146" s="39"/>
      <c r="AX146" s="39"/>
      <c r="AY146" s="39"/>
      <c r="AZ146" s="39">
        <f t="shared" si="6"/>
        <v>0</v>
      </c>
      <c r="BA146" s="39"/>
      <c r="BB146" s="39"/>
      <c r="BC146" s="39"/>
      <c r="BD146" s="39"/>
      <c r="BE146" s="39"/>
      <c r="BF146" s="39">
        <f t="shared" si="7"/>
        <v>0</v>
      </c>
      <c r="BG146" s="39"/>
      <c r="BH146" s="39"/>
      <c r="BI146" s="39"/>
      <c r="BJ146" s="39"/>
      <c r="BK146" s="39"/>
      <c r="BL146" s="39">
        <f t="shared" si="8"/>
        <v>0</v>
      </c>
      <c r="BM146" s="54">
        <f t="shared" ca="1" si="9"/>
        <v>46283</v>
      </c>
      <c r="BN146" s="60">
        <v>46292</v>
      </c>
      <c r="BO146" s="57">
        <v>46313</v>
      </c>
      <c r="BP146" s="57">
        <v>46310</v>
      </c>
      <c r="BQ146" s="57">
        <v>46325</v>
      </c>
      <c r="BR146" s="39"/>
      <c r="BS146" s="39"/>
      <c r="BT146" s="39"/>
      <c r="BU146" s="39"/>
      <c r="BV146" s="39"/>
      <c r="BW146" s="39"/>
      <c r="BX146" s="39"/>
      <c r="BY146" s="39"/>
      <c r="BZ146" s="39">
        <f t="shared" si="10"/>
        <v>0</v>
      </c>
      <c r="CA146" s="39">
        <f t="shared" si="11"/>
        <v>-1323</v>
      </c>
      <c r="CB146" s="39">
        <f t="shared" si="12"/>
        <v>-115</v>
      </c>
      <c r="CC146" s="39">
        <f t="shared" si="13"/>
        <v>0</v>
      </c>
      <c r="CD146" s="39">
        <f t="shared" si="14"/>
        <v>-1438</v>
      </c>
      <c r="CE146" s="102">
        <f t="shared" si="15"/>
        <v>-1</v>
      </c>
      <c r="CF146" s="36"/>
      <c r="CG146" s="39" t="s">
        <v>281</v>
      </c>
      <c r="CH146" s="39"/>
      <c r="CI146" s="25">
        <v>3</v>
      </c>
    </row>
    <row r="147" spans="1:87" ht="24.75" customHeight="1">
      <c r="A147" s="36" t="s">
        <v>50</v>
      </c>
      <c r="B147" s="26">
        <v>48765</v>
      </c>
      <c r="C147" s="227">
        <v>13214406</v>
      </c>
      <c r="D147" s="36" t="s">
        <v>37</v>
      </c>
      <c r="E147" s="39">
        <v>150</v>
      </c>
      <c r="F147" s="39" t="s">
        <v>65</v>
      </c>
      <c r="G147" s="36" t="s">
        <v>2685</v>
      </c>
      <c r="H147" s="36" t="s">
        <v>22</v>
      </c>
      <c r="I147" s="39">
        <v>356</v>
      </c>
      <c r="J147" s="39">
        <v>22</v>
      </c>
      <c r="K147" s="39"/>
      <c r="L147" s="39">
        <f t="shared" si="81"/>
        <v>378</v>
      </c>
      <c r="M147" s="117">
        <v>46270</v>
      </c>
      <c r="N147" s="117">
        <v>46278</v>
      </c>
      <c r="O147" s="39"/>
      <c r="P147" s="39"/>
      <c r="Q147" s="39"/>
      <c r="R147" s="39">
        <f t="shared" si="79"/>
        <v>0</v>
      </c>
      <c r="S147" s="39" t="s">
        <v>28</v>
      </c>
      <c r="T147" s="39"/>
      <c r="U147" s="39"/>
      <c r="V147" s="117">
        <v>46276</v>
      </c>
      <c r="W147" s="39">
        <f>399+26</f>
        <v>425</v>
      </c>
      <c r="X147" s="39"/>
      <c r="Y147" s="39"/>
      <c r="Z147" s="39"/>
      <c r="AA147" s="39"/>
      <c r="AB147" s="118">
        <f t="shared" si="80"/>
        <v>0</v>
      </c>
      <c r="AC147" s="39"/>
      <c r="AD147" s="39"/>
      <c r="AE147" s="39"/>
      <c r="AF147" s="39"/>
      <c r="AG147" s="39"/>
      <c r="AH147" s="39">
        <f t="shared" si="3"/>
        <v>0</v>
      </c>
      <c r="AI147" s="39"/>
      <c r="AJ147" s="39"/>
      <c r="AK147" s="39"/>
      <c r="AL147" s="39"/>
      <c r="AM147" s="39"/>
      <c r="AN147" s="39">
        <f t="shared" si="4"/>
        <v>0</v>
      </c>
      <c r="AO147" s="39"/>
      <c r="AP147" s="39"/>
      <c r="AQ147" s="39"/>
      <c r="AR147" s="39"/>
      <c r="AS147" s="39"/>
      <c r="AT147" s="39">
        <f t="shared" si="5"/>
        <v>0</v>
      </c>
      <c r="AU147" s="39"/>
      <c r="AV147" s="39"/>
      <c r="AW147" s="39"/>
      <c r="AX147" s="39"/>
      <c r="AY147" s="39"/>
      <c r="AZ147" s="39">
        <f t="shared" si="6"/>
        <v>0</v>
      </c>
      <c r="BA147" s="39"/>
      <c r="BB147" s="39"/>
      <c r="BC147" s="39"/>
      <c r="BD147" s="39"/>
      <c r="BE147" s="39"/>
      <c r="BF147" s="39">
        <f t="shared" si="7"/>
        <v>0</v>
      </c>
      <c r="BG147" s="39"/>
      <c r="BH147" s="39"/>
      <c r="BI147" s="39"/>
      <c r="BJ147" s="39"/>
      <c r="BK147" s="39"/>
      <c r="BL147" s="39">
        <f t="shared" si="8"/>
        <v>0</v>
      </c>
      <c r="BM147" s="54">
        <f t="shared" ca="1" si="9"/>
        <v>46283</v>
      </c>
      <c r="BN147" s="60">
        <v>46286</v>
      </c>
      <c r="BO147" s="57">
        <v>46300</v>
      </c>
      <c r="BP147" s="57">
        <v>46301</v>
      </c>
      <c r="BQ147" s="57">
        <v>46309</v>
      </c>
      <c r="BR147" s="39"/>
      <c r="BS147" s="39"/>
      <c r="BT147" s="39"/>
      <c r="BU147" s="39"/>
      <c r="BV147" s="39"/>
      <c r="BW147" s="39"/>
      <c r="BX147" s="39"/>
      <c r="BY147" s="39"/>
      <c r="BZ147" s="39">
        <f t="shared" si="10"/>
        <v>0</v>
      </c>
      <c r="CA147" s="39">
        <f t="shared" si="11"/>
        <v>-356</v>
      </c>
      <c r="CB147" s="39">
        <f t="shared" si="12"/>
        <v>-22</v>
      </c>
      <c r="CC147" s="39">
        <f t="shared" si="13"/>
        <v>0</v>
      </c>
      <c r="CD147" s="39">
        <f t="shared" si="14"/>
        <v>-378</v>
      </c>
      <c r="CE147" s="102">
        <f t="shared" si="15"/>
        <v>-1</v>
      </c>
      <c r="CF147" s="36"/>
      <c r="CG147" s="39" t="s">
        <v>258</v>
      </c>
      <c r="CH147" s="39"/>
      <c r="CI147" s="25">
        <v>3</v>
      </c>
    </row>
    <row r="148" spans="1:87" ht="24.75" customHeight="1">
      <c r="A148" s="36" t="s">
        <v>50</v>
      </c>
      <c r="B148" s="26">
        <v>48765</v>
      </c>
      <c r="C148" s="231"/>
      <c r="D148" s="36" t="s">
        <v>37</v>
      </c>
      <c r="E148" s="39">
        <v>150</v>
      </c>
      <c r="F148" s="39" t="s">
        <v>65</v>
      </c>
      <c r="G148" s="36" t="s">
        <v>2712</v>
      </c>
      <c r="H148" s="36" t="s">
        <v>22</v>
      </c>
      <c r="I148" s="39">
        <v>157</v>
      </c>
      <c r="J148" s="39">
        <v>10</v>
      </c>
      <c r="K148" s="39"/>
      <c r="L148" s="39">
        <f t="shared" ref="L148:L151" si="82">SUM(I148:K148)</f>
        <v>167</v>
      </c>
      <c r="M148" s="117">
        <v>46270</v>
      </c>
      <c r="N148" s="117">
        <v>46278</v>
      </c>
      <c r="O148" s="39"/>
      <c r="P148" s="39"/>
      <c r="Q148" s="39"/>
      <c r="R148" s="39">
        <f t="shared" si="79"/>
        <v>0</v>
      </c>
      <c r="S148" s="39" t="s">
        <v>28</v>
      </c>
      <c r="T148" s="39"/>
      <c r="U148" s="39"/>
      <c r="V148" s="117">
        <v>46275</v>
      </c>
      <c r="W148" s="39">
        <f>189+12</f>
        <v>201</v>
      </c>
      <c r="X148" s="39"/>
      <c r="Y148" s="39"/>
      <c r="Z148" s="39"/>
      <c r="AA148" s="39"/>
      <c r="AB148" s="118">
        <f t="shared" si="80"/>
        <v>0</v>
      </c>
      <c r="AC148" s="39"/>
      <c r="AD148" s="39"/>
      <c r="AE148" s="39"/>
      <c r="AF148" s="39"/>
      <c r="AG148" s="39"/>
      <c r="AH148" s="39">
        <f t="shared" si="3"/>
        <v>0</v>
      </c>
      <c r="AI148" s="39"/>
      <c r="AJ148" s="39"/>
      <c r="AK148" s="39"/>
      <c r="AL148" s="39"/>
      <c r="AM148" s="39"/>
      <c r="AN148" s="39">
        <f t="shared" si="4"/>
        <v>0</v>
      </c>
      <c r="AO148" s="39"/>
      <c r="AP148" s="39"/>
      <c r="AQ148" s="39"/>
      <c r="AR148" s="39"/>
      <c r="AS148" s="39"/>
      <c r="AT148" s="39">
        <f t="shared" si="5"/>
        <v>0</v>
      </c>
      <c r="AU148" s="39"/>
      <c r="AV148" s="39"/>
      <c r="AW148" s="39"/>
      <c r="AX148" s="39"/>
      <c r="AY148" s="39"/>
      <c r="AZ148" s="39">
        <f t="shared" si="6"/>
        <v>0</v>
      </c>
      <c r="BA148" s="39"/>
      <c r="BB148" s="39"/>
      <c r="BC148" s="39"/>
      <c r="BD148" s="39"/>
      <c r="BE148" s="39"/>
      <c r="BF148" s="39">
        <f t="shared" si="7"/>
        <v>0</v>
      </c>
      <c r="BG148" s="39"/>
      <c r="BH148" s="39"/>
      <c r="BI148" s="39"/>
      <c r="BJ148" s="39"/>
      <c r="BK148" s="39"/>
      <c r="BL148" s="39">
        <f t="shared" si="8"/>
        <v>0</v>
      </c>
      <c r="BM148" s="54">
        <f t="shared" ca="1" si="9"/>
        <v>46283</v>
      </c>
      <c r="BN148" s="60">
        <v>46286</v>
      </c>
      <c r="BO148" s="57">
        <v>46300</v>
      </c>
      <c r="BP148" s="57">
        <v>46301</v>
      </c>
      <c r="BQ148" s="57">
        <v>46309</v>
      </c>
      <c r="BR148" s="39"/>
      <c r="BS148" s="39"/>
      <c r="BT148" s="39"/>
      <c r="BU148" s="39"/>
      <c r="BV148" s="39"/>
      <c r="BW148" s="39"/>
      <c r="BX148" s="39"/>
      <c r="BY148" s="39"/>
      <c r="BZ148" s="39">
        <f t="shared" si="10"/>
        <v>0</v>
      </c>
      <c r="CA148" s="39">
        <f t="shared" si="11"/>
        <v>-157</v>
      </c>
      <c r="CB148" s="39">
        <f t="shared" si="12"/>
        <v>-10</v>
      </c>
      <c r="CC148" s="39">
        <f t="shared" si="13"/>
        <v>0</v>
      </c>
      <c r="CD148" s="39">
        <f t="shared" si="14"/>
        <v>-167</v>
      </c>
      <c r="CE148" s="102">
        <f t="shared" si="15"/>
        <v>-1</v>
      </c>
      <c r="CF148" s="36"/>
      <c r="CG148" s="39" t="s">
        <v>258</v>
      </c>
      <c r="CH148" s="39"/>
      <c r="CI148" s="25">
        <v>3</v>
      </c>
    </row>
    <row r="149" spans="1:87" ht="24.75" customHeight="1">
      <c r="A149" s="36" t="s">
        <v>50</v>
      </c>
      <c r="B149" s="26">
        <v>48765</v>
      </c>
      <c r="C149" s="228"/>
      <c r="D149" s="36" t="s">
        <v>37</v>
      </c>
      <c r="E149" s="39">
        <v>150</v>
      </c>
      <c r="F149" s="39" t="s">
        <v>65</v>
      </c>
      <c r="G149" s="36" t="s">
        <v>2686</v>
      </c>
      <c r="H149" s="36" t="s">
        <v>22</v>
      </c>
      <c r="I149" s="39">
        <v>347</v>
      </c>
      <c r="J149" s="39">
        <v>21</v>
      </c>
      <c r="K149" s="39"/>
      <c r="L149" s="39">
        <f t="shared" si="82"/>
        <v>368</v>
      </c>
      <c r="M149" s="117">
        <v>46270</v>
      </c>
      <c r="N149" s="117">
        <v>46278</v>
      </c>
      <c r="O149" s="39"/>
      <c r="P149" s="39"/>
      <c r="Q149" s="39"/>
      <c r="R149" s="39">
        <f t="shared" si="79"/>
        <v>0</v>
      </c>
      <c r="S149" s="39" t="s">
        <v>28</v>
      </c>
      <c r="T149" s="39"/>
      <c r="U149" s="39"/>
      <c r="V149" s="117">
        <v>46276</v>
      </c>
      <c r="W149" s="39">
        <f>389+25</f>
        <v>414</v>
      </c>
      <c r="X149" s="39"/>
      <c r="Y149" s="39"/>
      <c r="Z149" s="39"/>
      <c r="AA149" s="39"/>
      <c r="AB149" s="118">
        <f t="shared" si="80"/>
        <v>0</v>
      </c>
      <c r="AC149" s="39"/>
      <c r="AD149" s="39"/>
      <c r="AE149" s="39"/>
      <c r="AF149" s="39"/>
      <c r="AG149" s="39"/>
      <c r="AH149" s="39">
        <f t="shared" si="3"/>
        <v>0</v>
      </c>
      <c r="AI149" s="39"/>
      <c r="AJ149" s="39"/>
      <c r="AK149" s="39"/>
      <c r="AL149" s="39"/>
      <c r="AM149" s="39"/>
      <c r="AN149" s="39">
        <f t="shared" si="4"/>
        <v>0</v>
      </c>
      <c r="AO149" s="39"/>
      <c r="AP149" s="39"/>
      <c r="AQ149" s="39"/>
      <c r="AR149" s="39"/>
      <c r="AS149" s="39"/>
      <c r="AT149" s="39">
        <f t="shared" si="5"/>
        <v>0</v>
      </c>
      <c r="AU149" s="39"/>
      <c r="AV149" s="39"/>
      <c r="AW149" s="39"/>
      <c r="AX149" s="39"/>
      <c r="AY149" s="39"/>
      <c r="AZ149" s="39">
        <f t="shared" si="6"/>
        <v>0</v>
      </c>
      <c r="BA149" s="39"/>
      <c r="BB149" s="39"/>
      <c r="BC149" s="39"/>
      <c r="BD149" s="39"/>
      <c r="BE149" s="39"/>
      <c r="BF149" s="39">
        <f t="shared" si="7"/>
        <v>0</v>
      </c>
      <c r="BG149" s="39"/>
      <c r="BH149" s="39"/>
      <c r="BI149" s="39"/>
      <c r="BJ149" s="39"/>
      <c r="BK149" s="39"/>
      <c r="BL149" s="39">
        <f t="shared" si="8"/>
        <v>0</v>
      </c>
      <c r="BM149" s="54">
        <f t="shared" ca="1" si="9"/>
        <v>46283</v>
      </c>
      <c r="BN149" s="60">
        <v>46286</v>
      </c>
      <c r="BO149" s="57">
        <v>46300</v>
      </c>
      <c r="BP149" s="57">
        <v>46301</v>
      </c>
      <c r="BQ149" s="57">
        <v>46309</v>
      </c>
      <c r="BR149" s="39"/>
      <c r="BS149" s="39"/>
      <c r="BT149" s="39"/>
      <c r="BU149" s="39"/>
      <c r="BV149" s="39"/>
      <c r="BW149" s="39"/>
      <c r="BX149" s="39"/>
      <c r="BY149" s="39"/>
      <c r="BZ149" s="39">
        <f t="shared" si="10"/>
        <v>0</v>
      </c>
      <c r="CA149" s="39">
        <f t="shared" si="11"/>
        <v>-347</v>
      </c>
      <c r="CB149" s="39">
        <f t="shared" si="12"/>
        <v>-21</v>
      </c>
      <c r="CC149" s="39">
        <f t="shared" si="13"/>
        <v>0</v>
      </c>
      <c r="CD149" s="39">
        <f t="shared" si="14"/>
        <v>-368</v>
      </c>
      <c r="CE149" s="102">
        <f t="shared" si="15"/>
        <v>-1</v>
      </c>
      <c r="CF149" s="36"/>
      <c r="CG149" s="39" t="s">
        <v>258</v>
      </c>
      <c r="CH149" s="39"/>
      <c r="CI149" s="25">
        <v>3</v>
      </c>
    </row>
    <row r="150" spans="1:87" ht="24.75" customHeight="1">
      <c r="A150" s="36" t="s">
        <v>50</v>
      </c>
      <c r="B150" s="26">
        <v>48761</v>
      </c>
      <c r="C150" s="227">
        <v>13259697</v>
      </c>
      <c r="D150" s="36"/>
      <c r="E150" s="39">
        <v>180</v>
      </c>
      <c r="F150" s="39" t="s">
        <v>54</v>
      </c>
      <c r="G150" s="36" t="s">
        <v>1339</v>
      </c>
      <c r="H150" s="36" t="s">
        <v>22</v>
      </c>
      <c r="I150" s="39">
        <v>325</v>
      </c>
      <c r="J150" s="39">
        <v>22</v>
      </c>
      <c r="K150" s="39"/>
      <c r="L150" s="39">
        <f t="shared" si="82"/>
        <v>347</v>
      </c>
      <c r="M150" s="117">
        <v>46272</v>
      </c>
      <c r="N150" s="117">
        <v>46280</v>
      </c>
      <c r="O150" s="39"/>
      <c r="P150" s="39"/>
      <c r="Q150" s="39"/>
      <c r="R150" s="39">
        <f t="shared" si="79"/>
        <v>0</v>
      </c>
      <c r="S150" s="39" t="s">
        <v>28</v>
      </c>
      <c r="T150" s="39"/>
      <c r="U150" s="39"/>
      <c r="V150" s="117">
        <v>46275</v>
      </c>
      <c r="W150" s="39">
        <f>364+26</f>
        <v>390</v>
      </c>
      <c r="X150" s="39"/>
      <c r="Y150" s="39"/>
      <c r="Z150" s="39"/>
      <c r="AA150" s="39"/>
      <c r="AB150" s="118">
        <f t="shared" si="80"/>
        <v>0</v>
      </c>
      <c r="AC150" s="39"/>
      <c r="AD150" s="39"/>
      <c r="AE150" s="39"/>
      <c r="AF150" s="39"/>
      <c r="AG150" s="39"/>
      <c r="AH150" s="39">
        <f t="shared" si="3"/>
        <v>0</v>
      </c>
      <c r="AI150" s="39"/>
      <c r="AJ150" s="39"/>
      <c r="AK150" s="39"/>
      <c r="AL150" s="39"/>
      <c r="AM150" s="39"/>
      <c r="AN150" s="39">
        <f t="shared" si="4"/>
        <v>0</v>
      </c>
      <c r="AO150" s="39"/>
      <c r="AP150" s="39"/>
      <c r="AQ150" s="39"/>
      <c r="AR150" s="39"/>
      <c r="AS150" s="39"/>
      <c r="AT150" s="39">
        <f t="shared" si="5"/>
        <v>0</v>
      </c>
      <c r="AU150" s="39"/>
      <c r="AV150" s="39"/>
      <c r="AW150" s="39"/>
      <c r="AX150" s="39"/>
      <c r="AY150" s="39"/>
      <c r="AZ150" s="39">
        <f t="shared" si="6"/>
        <v>0</v>
      </c>
      <c r="BA150" s="39"/>
      <c r="BB150" s="39"/>
      <c r="BC150" s="39"/>
      <c r="BD150" s="39"/>
      <c r="BE150" s="39"/>
      <c r="BF150" s="39">
        <f t="shared" si="7"/>
        <v>0</v>
      </c>
      <c r="BG150" s="39"/>
      <c r="BH150" s="39"/>
      <c r="BI150" s="39"/>
      <c r="BJ150" s="39"/>
      <c r="BK150" s="39"/>
      <c r="BL150" s="39">
        <f t="shared" si="8"/>
        <v>0</v>
      </c>
      <c r="BM150" s="54">
        <f t="shared" ca="1" si="9"/>
        <v>46283</v>
      </c>
      <c r="BN150" s="60">
        <v>46290</v>
      </c>
      <c r="BO150" s="57">
        <v>46308</v>
      </c>
      <c r="BP150" s="36"/>
      <c r="BQ150" s="36"/>
      <c r="BR150" s="39"/>
      <c r="BS150" s="39"/>
      <c r="BT150" s="39"/>
      <c r="BU150" s="39"/>
      <c r="BV150" s="39"/>
      <c r="BW150" s="39"/>
      <c r="BX150" s="39"/>
      <c r="BY150" s="39"/>
      <c r="BZ150" s="39">
        <f t="shared" si="10"/>
        <v>0</v>
      </c>
      <c r="CA150" s="39">
        <f t="shared" si="11"/>
        <v>-325</v>
      </c>
      <c r="CB150" s="39">
        <f t="shared" si="12"/>
        <v>-22</v>
      </c>
      <c r="CC150" s="39">
        <f t="shared" si="13"/>
        <v>0</v>
      </c>
      <c r="CD150" s="39">
        <f t="shared" si="14"/>
        <v>-347</v>
      </c>
      <c r="CE150" s="102">
        <f t="shared" si="15"/>
        <v>-1</v>
      </c>
      <c r="CF150" s="36"/>
      <c r="CG150" s="39" t="s">
        <v>258</v>
      </c>
      <c r="CH150" s="39"/>
      <c r="CI150" s="25">
        <v>3</v>
      </c>
    </row>
    <row r="151" spans="1:87" ht="24.75" customHeight="1">
      <c r="A151" s="36" t="s">
        <v>50</v>
      </c>
      <c r="B151" s="26">
        <v>48761</v>
      </c>
      <c r="C151" s="231"/>
      <c r="D151" s="36"/>
      <c r="E151" s="39">
        <v>180</v>
      </c>
      <c r="F151" s="39" t="s">
        <v>54</v>
      </c>
      <c r="G151" s="36" t="s">
        <v>1078</v>
      </c>
      <c r="H151" s="36" t="s">
        <v>22</v>
      </c>
      <c r="I151" s="39">
        <v>211</v>
      </c>
      <c r="J151" s="39">
        <v>14</v>
      </c>
      <c r="K151" s="39"/>
      <c r="L151" s="39">
        <f t="shared" si="82"/>
        <v>225</v>
      </c>
      <c r="M151" s="117">
        <v>46272</v>
      </c>
      <c r="N151" s="117">
        <v>46280</v>
      </c>
      <c r="O151" s="39"/>
      <c r="P151" s="39"/>
      <c r="Q151" s="39"/>
      <c r="R151" s="39">
        <f t="shared" si="79"/>
        <v>0</v>
      </c>
      <c r="S151" s="39" t="s">
        <v>100</v>
      </c>
      <c r="T151" s="39"/>
      <c r="U151" s="39"/>
      <c r="V151" s="117">
        <v>46277</v>
      </c>
      <c r="W151" s="39">
        <f>237+16</f>
        <v>253</v>
      </c>
      <c r="X151" s="39"/>
      <c r="Y151" s="39"/>
      <c r="Z151" s="39"/>
      <c r="AA151" s="39"/>
      <c r="AB151" s="118">
        <f t="shared" si="80"/>
        <v>0</v>
      </c>
      <c r="AC151" s="39"/>
      <c r="AD151" s="39"/>
      <c r="AE151" s="39"/>
      <c r="AF151" s="39"/>
      <c r="AG151" s="39"/>
      <c r="AH151" s="39">
        <f t="shared" si="3"/>
        <v>0</v>
      </c>
      <c r="AI151" s="39"/>
      <c r="AJ151" s="39"/>
      <c r="AK151" s="39"/>
      <c r="AL151" s="39"/>
      <c r="AM151" s="39"/>
      <c r="AN151" s="39">
        <f t="shared" si="4"/>
        <v>0</v>
      </c>
      <c r="AO151" s="39"/>
      <c r="AP151" s="39"/>
      <c r="AQ151" s="39"/>
      <c r="AR151" s="39"/>
      <c r="AS151" s="39"/>
      <c r="AT151" s="39">
        <f t="shared" si="5"/>
        <v>0</v>
      </c>
      <c r="AU151" s="39"/>
      <c r="AV151" s="39"/>
      <c r="AW151" s="39"/>
      <c r="AX151" s="39"/>
      <c r="AY151" s="39"/>
      <c r="AZ151" s="39">
        <f t="shared" si="6"/>
        <v>0</v>
      </c>
      <c r="BA151" s="39"/>
      <c r="BB151" s="39"/>
      <c r="BC151" s="39"/>
      <c r="BD151" s="39"/>
      <c r="BE151" s="39"/>
      <c r="BF151" s="39">
        <f t="shared" si="7"/>
        <v>0</v>
      </c>
      <c r="BG151" s="39"/>
      <c r="BH151" s="39"/>
      <c r="BI151" s="39"/>
      <c r="BJ151" s="39"/>
      <c r="BK151" s="39"/>
      <c r="BL151" s="39">
        <f t="shared" si="8"/>
        <v>0</v>
      </c>
      <c r="BM151" s="54">
        <f t="shared" ca="1" si="9"/>
        <v>46283</v>
      </c>
      <c r="BN151" s="60">
        <v>46290</v>
      </c>
      <c r="BO151" s="57">
        <v>46308</v>
      </c>
      <c r="BP151" s="36"/>
      <c r="BQ151" s="36"/>
      <c r="BR151" s="39"/>
      <c r="BS151" s="39"/>
      <c r="BT151" s="39"/>
      <c r="BU151" s="39"/>
      <c r="BV151" s="39"/>
      <c r="BW151" s="39"/>
      <c r="BX151" s="39"/>
      <c r="BY151" s="39"/>
      <c r="BZ151" s="39">
        <f t="shared" si="10"/>
        <v>0</v>
      </c>
      <c r="CA151" s="39">
        <f t="shared" si="11"/>
        <v>-211</v>
      </c>
      <c r="CB151" s="39">
        <f t="shared" si="12"/>
        <v>-14</v>
      </c>
      <c r="CC151" s="39">
        <f t="shared" si="13"/>
        <v>0</v>
      </c>
      <c r="CD151" s="39">
        <f t="shared" si="14"/>
        <v>-225</v>
      </c>
      <c r="CE151" s="102">
        <f t="shared" si="15"/>
        <v>-1</v>
      </c>
      <c r="CF151" s="36"/>
      <c r="CG151" s="39" t="s">
        <v>258</v>
      </c>
      <c r="CH151" s="39"/>
      <c r="CI151" s="25">
        <v>3</v>
      </c>
    </row>
    <row r="152" spans="1:87" ht="24.75" customHeight="1">
      <c r="A152" s="36" t="s">
        <v>50</v>
      </c>
      <c r="B152" s="26">
        <v>48761</v>
      </c>
      <c r="C152" s="231"/>
      <c r="D152" s="36"/>
      <c r="E152" s="39">
        <v>180</v>
      </c>
      <c r="F152" s="39" t="s">
        <v>54</v>
      </c>
      <c r="G152" s="36" t="s">
        <v>1600</v>
      </c>
      <c r="H152" s="36" t="s">
        <v>22</v>
      </c>
      <c r="I152" s="39">
        <v>280</v>
      </c>
      <c r="J152" s="39">
        <v>19</v>
      </c>
      <c r="K152" s="39"/>
      <c r="L152" s="39">
        <f t="shared" ref="L152" si="83">SUM(I152:K152)</f>
        <v>299</v>
      </c>
      <c r="M152" s="117">
        <v>46272</v>
      </c>
      <c r="N152" s="117">
        <v>46280</v>
      </c>
      <c r="O152" s="39"/>
      <c r="P152" s="39"/>
      <c r="Q152" s="39"/>
      <c r="R152" s="39">
        <f t="shared" si="79"/>
        <v>0</v>
      </c>
      <c r="S152" s="39" t="s">
        <v>28</v>
      </c>
      <c r="T152" s="39"/>
      <c r="U152" s="39"/>
      <c r="V152" s="117">
        <v>46280</v>
      </c>
      <c r="W152" s="39">
        <f>316+23</f>
        <v>339</v>
      </c>
      <c r="X152" s="39"/>
      <c r="Y152" s="39"/>
      <c r="Z152" s="39"/>
      <c r="AA152" s="39"/>
      <c r="AB152" s="118">
        <f t="shared" si="80"/>
        <v>0</v>
      </c>
      <c r="AC152" s="39"/>
      <c r="AD152" s="39"/>
      <c r="AE152" s="39"/>
      <c r="AF152" s="39"/>
      <c r="AG152" s="39"/>
      <c r="AH152" s="39">
        <f t="shared" si="3"/>
        <v>0</v>
      </c>
      <c r="AI152" s="39"/>
      <c r="AJ152" s="39"/>
      <c r="AK152" s="39"/>
      <c r="AL152" s="39"/>
      <c r="AM152" s="39"/>
      <c r="AN152" s="39">
        <f t="shared" si="4"/>
        <v>0</v>
      </c>
      <c r="AO152" s="39"/>
      <c r="AP152" s="39"/>
      <c r="AQ152" s="39"/>
      <c r="AR152" s="39"/>
      <c r="AS152" s="39"/>
      <c r="AT152" s="39">
        <f t="shared" si="5"/>
        <v>0</v>
      </c>
      <c r="AU152" s="39"/>
      <c r="AV152" s="39"/>
      <c r="AW152" s="39"/>
      <c r="AX152" s="39"/>
      <c r="AY152" s="39"/>
      <c r="AZ152" s="39">
        <f t="shared" si="6"/>
        <v>0</v>
      </c>
      <c r="BA152" s="39"/>
      <c r="BB152" s="39"/>
      <c r="BC152" s="39"/>
      <c r="BD152" s="39"/>
      <c r="BE152" s="39"/>
      <c r="BF152" s="39">
        <f t="shared" si="7"/>
        <v>0</v>
      </c>
      <c r="BG152" s="39"/>
      <c r="BH152" s="39"/>
      <c r="BI152" s="39"/>
      <c r="BJ152" s="39"/>
      <c r="BK152" s="39"/>
      <c r="BL152" s="39">
        <f t="shared" si="8"/>
        <v>0</v>
      </c>
      <c r="BM152" s="54">
        <f t="shared" ca="1" si="9"/>
        <v>46283</v>
      </c>
      <c r="BN152" s="60">
        <v>46290</v>
      </c>
      <c r="BO152" s="57">
        <v>46308</v>
      </c>
      <c r="BP152" s="36"/>
      <c r="BQ152" s="36"/>
      <c r="BR152" s="39"/>
      <c r="BS152" s="39"/>
      <c r="BT152" s="39"/>
      <c r="BU152" s="39"/>
      <c r="BV152" s="39"/>
      <c r="BW152" s="39"/>
      <c r="BX152" s="39"/>
      <c r="BY152" s="39"/>
      <c r="BZ152" s="39">
        <f t="shared" si="10"/>
        <v>0</v>
      </c>
      <c r="CA152" s="39">
        <f t="shared" si="11"/>
        <v>-280</v>
      </c>
      <c r="CB152" s="39">
        <f t="shared" si="12"/>
        <v>-19</v>
      </c>
      <c r="CC152" s="39">
        <f t="shared" si="13"/>
        <v>0</v>
      </c>
      <c r="CD152" s="39">
        <f t="shared" si="14"/>
        <v>-299</v>
      </c>
      <c r="CE152" s="102">
        <f t="shared" si="15"/>
        <v>-1</v>
      </c>
      <c r="CF152" s="36"/>
      <c r="CG152" s="39" t="s">
        <v>258</v>
      </c>
      <c r="CH152" s="39"/>
      <c r="CI152" s="25">
        <v>3</v>
      </c>
    </row>
    <row r="153" spans="1:87" ht="24.75" customHeight="1">
      <c r="A153" s="36" t="s">
        <v>50</v>
      </c>
      <c r="B153" s="26">
        <v>48761</v>
      </c>
      <c r="C153" s="228"/>
      <c r="D153" s="36"/>
      <c r="E153" s="39">
        <v>180</v>
      </c>
      <c r="F153" s="39" t="s">
        <v>54</v>
      </c>
      <c r="G153" s="36" t="s">
        <v>391</v>
      </c>
      <c r="H153" s="36" t="s">
        <v>22</v>
      </c>
      <c r="I153" s="39">
        <v>281</v>
      </c>
      <c r="J153" s="39">
        <v>19</v>
      </c>
      <c r="K153" s="39"/>
      <c r="L153" s="39">
        <f t="shared" ref="L153:L156" si="84">SUM(I153:K153)</f>
        <v>300</v>
      </c>
      <c r="M153" s="117">
        <v>46272</v>
      </c>
      <c r="N153" s="117">
        <v>46280</v>
      </c>
      <c r="O153" s="39"/>
      <c r="P153" s="39"/>
      <c r="Q153" s="39"/>
      <c r="R153" s="39">
        <f t="shared" si="79"/>
        <v>0</v>
      </c>
      <c r="S153" s="39" t="s">
        <v>130</v>
      </c>
      <c r="T153" s="39">
        <v>109372</v>
      </c>
      <c r="U153" s="117">
        <v>46278</v>
      </c>
      <c r="V153" s="39"/>
      <c r="W153" s="39"/>
      <c r="X153" s="39"/>
      <c r="Y153" s="39">
        <v>315</v>
      </c>
      <c r="Z153" s="39">
        <v>22</v>
      </c>
      <c r="AA153" s="39"/>
      <c r="AB153" s="119">
        <f t="shared" si="80"/>
        <v>337</v>
      </c>
      <c r="AC153" s="39"/>
      <c r="AD153" s="39"/>
      <c r="AE153" s="39"/>
      <c r="AF153" s="39"/>
      <c r="AG153" s="39"/>
      <c r="AH153" s="39">
        <f t="shared" si="3"/>
        <v>0</v>
      </c>
      <c r="AI153" s="39"/>
      <c r="AJ153" s="39"/>
      <c r="AK153" s="39"/>
      <c r="AL153" s="39"/>
      <c r="AM153" s="39"/>
      <c r="AN153" s="39">
        <f t="shared" si="4"/>
        <v>0</v>
      </c>
      <c r="AO153" s="39"/>
      <c r="AP153" s="39"/>
      <c r="AQ153" s="39"/>
      <c r="AR153" s="39"/>
      <c r="AS153" s="39"/>
      <c r="AT153" s="39">
        <f t="shared" si="5"/>
        <v>0</v>
      </c>
      <c r="AU153" s="39"/>
      <c r="AV153" s="39"/>
      <c r="AW153" s="39"/>
      <c r="AX153" s="39"/>
      <c r="AY153" s="39"/>
      <c r="AZ153" s="39">
        <f t="shared" si="6"/>
        <v>0</v>
      </c>
      <c r="BA153" s="39"/>
      <c r="BB153" s="39"/>
      <c r="BC153" s="39"/>
      <c r="BD153" s="39"/>
      <c r="BE153" s="39"/>
      <c r="BF153" s="39">
        <f t="shared" si="7"/>
        <v>0</v>
      </c>
      <c r="BG153" s="39"/>
      <c r="BH153" s="39"/>
      <c r="BI153" s="39"/>
      <c r="BJ153" s="39"/>
      <c r="BK153" s="39"/>
      <c r="BL153" s="39">
        <f t="shared" si="8"/>
        <v>0</v>
      </c>
      <c r="BM153" s="54">
        <f t="shared" ca="1" si="9"/>
        <v>5</v>
      </c>
      <c r="BN153" s="60">
        <v>46290</v>
      </c>
      <c r="BO153" s="57">
        <v>46308</v>
      </c>
      <c r="BP153" s="36"/>
      <c r="BQ153" s="36"/>
      <c r="BR153" s="39"/>
      <c r="BS153" s="39"/>
      <c r="BT153" s="39"/>
      <c r="BU153" s="39"/>
      <c r="BV153" s="39"/>
      <c r="BW153" s="39"/>
      <c r="BX153" s="39"/>
      <c r="BY153" s="39"/>
      <c r="BZ153" s="39">
        <f t="shared" si="10"/>
        <v>0</v>
      </c>
      <c r="CA153" s="39">
        <f t="shared" si="11"/>
        <v>-281</v>
      </c>
      <c r="CB153" s="39">
        <f t="shared" si="12"/>
        <v>-19</v>
      </c>
      <c r="CC153" s="39">
        <f t="shared" si="13"/>
        <v>0</v>
      </c>
      <c r="CD153" s="39">
        <f t="shared" si="14"/>
        <v>-300</v>
      </c>
      <c r="CE153" s="102">
        <f t="shared" si="15"/>
        <v>-1</v>
      </c>
      <c r="CF153" s="36"/>
      <c r="CG153" s="39" t="s">
        <v>258</v>
      </c>
      <c r="CH153" s="39"/>
      <c r="CI153" s="25">
        <v>3</v>
      </c>
    </row>
    <row r="154" spans="1:87" ht="24.75" customHeight="1">
      <c r="A154" s="36" t="s">
        <v>50</v>
      </c>
      <c r="B154" s="26">
        <v>48756</v>
      </c>
      <c r="C154" s="227">
        <v>13231015</v>
      </c>
      <c r="D154" s="36" t="s">
        <v>37</v>
      </c>
      <c r="E154" s="39">
        <v>150</v>
      </c>
      <c r="F154" s="39" t="s">
        <v>65</v>
      </c>
      <c r="G154" s="36" t="s">
        <v>2685</v>
      </c>
      <c r="H154" s="36" t="s">
        <v>22</v>
      </c>
      <c r="I154" s="39">
        <v>169</v>
      </c>
      <c r="J154" s="39">
        <v>15</v>
      </c>
      <c r="K154" s="39"/>
      <c r="L154" s="39">
        <f t="shared" si="84"/>
        <v>184</v>
      </c>
      <c r="M154" s="117">
        <v>46273</v>
      </c>
      <c r="N154" s="117">
        <v>46280</v>
      </c>
      <c r="O154" s="39"/>
      <c r="P154" s="39"/>
      <c r="Q154" s="39"/>
      <c r="R154" s="39">
        <f t="shared" si="79"/>
        <v>0</v>
      </c>
      <c r="S154" s="39" t="s">
        <v>28</v>
      </c>
      <c r="T154" s="39"/>
      <c r="U154" s="39"/>
      <c r="V154" s="117">
        <v>46276</v>
      </c>
      <c r="W154" s="39">
        <f>203+18</f>
        <v>221</v>
      </c>
      <c r="X154" s="39"/>
      <c r="Y154" s="39"/>
      <c r="Z154" s="39"/>
      <c r="AA154" s="39"/>
      <c r="AB154" s="118">
        <f t="shared" si="80"/>
        <v>0</v>
      </c>
      <c r="AC154" s="39"/>
      <c r="AD154" s="39"/>
      <c r="AE154" s="39"/>
      <c r="AF154" s="39"/>
      <c r="AG154" s="39"/>
      <c r="AH154" s="39">
        <f t="shared" si="3"/>
        <v>0</v>
      </c>
      <c r="AI154" s="39"/>
      <c r="AJ154" s="39"/>
      <c r="AK154" s="39"/>
      <c r="AL154" s="39"/>
      <c r="AM154" s="39"/>
      <c r="AN154" s="39">
        <f t="shared" si="4"/>
        <v>0</v>
      </c>
      <c r="AO154" s="39"/>
      <c r="AP154" s="39"/>
      <c r="AQ154" s="39"/>
      <c r="AR154" s="39"/>
      <c r="AS154" s="39"/>
      <c r="AT154" s="39">
        <f t="shared" si="5"/>
        <v>0</v>
      </c>
      <c r="AU154" s="39"/>
      <c r="AV154" s="39"/>
      <c r="AW154" s="39"/>
      <c r="AX154" s="39"/>
      <c r="AY154" s="39"/>
      <c r="AZ154" s="39">
        <f t="shared" si="6"/>
        <v>0</v>
      </c>
      <c r="BA154" s="39"/>
      <c r="BB154" s="39"/>
      <c r="BC154" s="39"/>
      <c r="BD154" s="39"/>
      <c r="BE154" s="39"/>
      <c r="BF154" s="39">
        <f t="shared" si="7"/>
        <v>0</v>
      </c>
      <c r="BG154" s="39"/>
      <c r="BH154" s="39"/>
      <c r="BI154" s="39"/>
      <c r="BJ154" s="39"/>
      <c r="BK154" s="39"/>
      <c r="BL154" s="39">
        <f t="shared" si="8"/>
        <v>0</v>
      </c>
      <c r="BM154" s="54">
        <f t="shared" ca="1" si="9"/>
        <v>46283</v>
      </c>
      <c r="BN154" s="60">
        <v>46288</v>
      </c>
      <c r="BO154" s="57">
        <v>46303</v>
      </c>
      <c r="BP154" s="57">
        <v>46304</v>
      </c>
      <c r="BQ154" s="57">
        <v>46311</v>
      </c>
      <c r="BR154" s="39"/>
      <c r="BS154" s="39"/>
      <c r="BT154" s="39"/>
      <c r="BU154" s="39"/>
      <c r="BV154" s="39"/>
      <c r="BW154" s="39"/>
      <c r="BX154" s="39"/>
      <c r="BY154" s="39"/>
      <c r="BZ154" s="39">
        <f t="shared" si="10"/>
        <v>0</v>
      </c>
      <c r="CA154" s="39">
        <f t="shared" si="11"/>
        <v>-169</v>
      </c>
      <c r="CB154" s="39">
        <f t="shared" si="12"/>
        <v>-15</v>
      </c>
      <c r="CC154" s="39">
        <f t="shared" si="13"/>
        <v>0</v>
      </c>
      <c r="CD154" s="39">
        <f t="shared" si="14"/>
        <v>-184</v>
      </c>
      <c r="CE154" s="102">
        <f t="shared" si="15"/>
        <v>-1</v>
      </c>
      <c r="CF154" s="36"/>
      <c r="CG154" s="39" t="s">
        <v>258</v>
      </c>
      <c r="CH154" s="39"/>
      <c r="CI154" s="25">
        <v>3</v>
      </c>
    </row>
    <row r="155" spans="1:87" ht="24.75" customHeight="1">
      <c r="A155" s="36" t="s">
        <v>50</v>
      </c>
      <c r="B155" s="26">
        <v>48756</v>
      </c>
      <c r="C155" s="231"/>
      <c r="D155" s="36" t="s">
        <v>37</v>
      </c>
      <c r="E155" s="39">
        <v>150</v>
      </c>
      <c r="F155" s="39" t="s">
        <v>65</v>
      </c>
      <c r="G155" s="36" t="s">
        <v>2712</v>
      </c>
      <c r="H155" s="36" t="s">
        <v>22</v>
      </c>
      <c r="I155" s="39">
        <v>155</v>
      </c>
      <c r="J155" s="39">
        <v>13</v>
      </c>
      <c r="K155" s="39"/>
      <c r="L155" s="39">
        <f t="shared" si="84"/>
        <v>168</v>
      </c>
      <c r="M155" s="117">
        <v>46273</v>
      </c>
      <c r="N155" s="117">
        <v>46280</v>
      </c>
      <c r="O155" s="39"/>
      <c r="P155" s="39"/>
      <c r="Q155" s="39"/>
      <c r="R155" s="39">
        <f t="shared" si="79"/>
        <v>0</v>
      </c>
      <c r="S155" s="39" t="s">
        <v>28</v>
      </c>
      <c r="T155" s="39"/>
      <c r="U155" s="39"/>
      <c r="V155" s="117">
        <v>46275</v>
      </c>
      <c r="W155" s="39">
        <f>186+15</f>
        <v>201</v>
      </c>
      <c r="X155" s="39"/>
      <c r="Y155" s="39"/>
      <c r="Z155" s="39"/>
      <c r="AA155" s="39"/>
      <c r="AB155" s="118">
        <f t="shared" si="80"/>
        <v>0</v>
      </c>
      <c r="AC155" s="39"/>
      <c r="AD155" s="39"/>
      <c r="AE155" s="39"/>
      <c r="AF155" s="39"/>
      <c r="AG155" s="39"/>
      <c r="AH155" s="39">
        <f t="shared" si="3"/>
        <v>0</v>
      </c>
      <c r="AI155" s="39"/>
      <c r="AJ155" s="39"/>
      <c r="AK155" s="39"/>
      <c r="AL155" s="39"/>
      <c r="AM155" s="39"/>
      <c r="AN155" s="39">
        <f t="shared" si="4"/>
        <v>0</v>
      </c>
      <c r="AO155" s="39"/>
      <c r="AP155" s="39"/>
      <c r="AQ155" s="39"/>
      <c r="AR155" s="39"/>
      <c r="AS155" s="39"/>
      <c r="AT155" s="39">
        <f t="shared" si="5"/>
        <v>0</v>
      </c>
      <c r="AU155" s="39"/>
      <c r="AV155" s="39"/>
      <c r="AW155" s="39"/>
      <c r="AX155" s="39"/>
      <c r="AY155" s="39"/>
      <c r="AZ155" s="39">
        <f t="shared" si="6"/>
        <v>0</v>
      </c>
      <c r="BA155" s="39"/>
      <c r="BB155" s="39"/>
      <c r="BC155" s="39"/>
      <c r="BD155" s="39"/>
      <c r="BE155" s="39"/>
      <c r="BF155" s="39">
        <f t="shared" si="7"/>
        <v>0</v>
      </c>
      <c r="BG155" s="39"/>
      <c r="BH155" s="39"/>
      <c r="BI155" s="39"/>
      <c r="BJ155" s="39"/>
      <c r="BK155" s="39"/>
      <c r="BL155" s="39">
        <f t="shared" si="8"/>
        <v>0</v>
      </c>
      <c r="BM155" s="54">
        <f t="shared" ca="1" si="9"/>
        <v>46283</v>
      </c>
      <c r="BN155" s="60">
        <v>46288</v>
      </c>
      <c r="BO155" s="57">
        <v>46303</v>
      </c>
      <c r="BP155" s="57">
        <v>46304</v>
      </c>
      <c r="BQ155" s="57">
        <v>46311</v>
      </c>
      <c r="BR155" s="39"/>
      <c r="BS155" s="39"/>
      <c r="BT155" s="39"/>
      <c r="BU155" s="39"/>
      <c r="BV155" s="39"/>
      <c r="BW155" s="39"/>
      <c r="BX155" s="39"/>
      <c r="BY155" s="39"/>
      <c r="BZ155" s="39">
        <f t="shared" si="10"/>
        <v>0</v>
      </c>
      <c r="CA155" s="39">
        <f t="shared" si="11"/>
        <v>-155</v>
      </c>
      <c r="CB155" s="39">
        <f t="shared" si="12"/>
        <v>-13</v>
      </c>
      <c r="CC155" s="39">
        <f t="shared" si="13"/>
        <v>0</v>
      </c>
      <c r="CD155" s="39">
        <f t="shared" si="14"/>
        <v>-168</v>
      </c>
      <c r="CE155" s="102">
        <f t="shared" si="15"/>
        <v>-1</v>
      </c>
      <c r="CF155" s="36"/>
      <c r="CG155" s="39" t="s">
        <v>258</v>
      </c>
      <c r="CH155" s="39"/>
      <c r="CI155" s="25">
        <v>3</v>
      </c>
    </row>
    <row r="156" spans="1:87" ht="24.75" customHeight="1">
      <c r="A156" s="36" t="s">
        <v>50</v>
      </c>
      <c r="B156" s="26">
        <v>48756</v>
      </c>
      <c r="C156" s="228"/>
      <c r="D156" s="36" t="s">
        <v>37</v>
      </c>
      <c r="E156" s="39">
        <v>150</v>
      </c>
      <c r="F156" s="39" t="s">
        <v>65</v>
      </c>
      <c r="G156" s="36" t="s">
        <v>2686</v>
      </c>
      <c r="H156" s="36" t="s">
        <v>22</v>
      </c>
      <c r="I156" s="39">
        <v>182</v>
      </c>
      <c r="J156" s="39">
        <v>16</v>
      </c>
      <c r="K156" s="39"/>
      <c r="L156" s="39">
        <f t="shared" si="84"/>
        <v>198</v>
      </c>
      <c r="M156" s="117">
        <v>46273</v>
      </c>
      <c r="N156" s="117">
        <v>46280</v>
      </c>
      <c r="O156" s="39"/>
      <c r="P156" s="39"/>
      <c r="Q156" s="39"/>
      <c r="R156" s="39">
        <f t="shared" si="79"/>
        <v>0</v>
      </c>
      <c r="S156" s="39" t="s">
        <v>28</v>
      </c>
      <c r="T156" s="39"/>
      <c r="U156" s="39"/>
      <c r="V156" s="117">
        <v>46276</v>
      </c>
      <c r="W156" s="39">
        <f>218+19</f>
        <v>237</v>
      </c>
      <c r="X156" s="39"/>
      <c r="Y156" s="39"/>
      <c r="Z156" s="39"/>
      <c r="AA156" s="39"/>
      <c r="AB156" s="118">
        <f t="shared" si="80"/>
        <v>0</v>
      </c>
      <c r="AC156" s="39"/>
      <c r="AD156" s="39"/>
      <c r="AE156" s="39"/>
      <c r="AF156" s="39"/>
      <c r="AG156" s="39"/>
      <c r="AH156" s="39">
        <f t="shared" si="3"/>
        <v>0</v>
      </c>
      <c r="AI156" s="39"/>
      <c r="AJ156" s="39"/>
      <c r="AK156" s="39"/>
      <c r="AL156" s="39"/>
      <c r="AM156" s="39"/>
      <c r="AN156" s="39">
        <f t="shared" si="4"/>
        <v>0</v>
      </c>
      <c r="AO156" s="39"/>
      <c r="AP156" s="39"/>
      <c r="AQ156" s="39"/>
      <c r="AR156" s="39"/>
      <c r="AS156" s="39"/>
      <c r="AT156" s="39">
        <f t="shared" si="5"/>
        <v>0</v>
      </c>
      <c r="AU156" s="39"/>
      <c r="AV156" s="39"/>
      <c r="AW156" s="39"/>
      <c r="AX156" s="39"/>
      <c r="AY156" s="39"/>
      <c r="AZ156" s="39">
        <f t="shared" si="6"/>
        <v>0</v>
      </c>
      <c r="BA156" s="39"/>
      <c r="BB156" s="39"/>
      <c r="BC156" s="39"/>
      <c r="BD156" s="39"/>
      <c r="BE156" s="39"/>
      <c r="BF156" s="39">
        <f t="shared" si="7"/>
        <v>0</v>
      </c>
      <c r="BG156" s="39"/>
      <c r="BH156" s="39"/>
      <c r="BI156" s="39"/>
      <c r="BJ156" s="39"/>
      <c r="BK156" s="39"/>
      <c r="BL156" s="39">
        <f t="shared" si="8"/>
        <v>0</v>
      </c>
      <c r="BM156" s="54">
        <f t="shared" ca="1" si="9"/>
        <v>46283</v>
      </c>
      <c r="BN156" s="60">
        <v>46288</v>
      </c>
      <c r="BO156" s="57">
        <v>46303</v>
      </c>
      <c r="BP156" s="57">
        <v>46304</v>
      </c>
      <c r="BQ156" s="57">
        <v>46311</v>
      </c>
      <c r="BR156" s="39"/>
      <c r="BS156" s="39"/>
      <c r="BT156" s="39"/>
      <c r="BU156" s="39"/>
      <c r="BV156" s="39"/>
      <c r="BW156" s="39"/>
      <c r="BX156" s="39"/>
      <c r="BY156" s="39"/>
      <c r="BZ156" s="39">
        <f t="shared" si="10"/>
        <v>0</v>
      </c>
      <c r="CA156" s="39">
        <f t="shared" si="11"/>
        <v>-182</v>
      </c>
      <c r="CB156" s="39">
        <f t="shared" si="12"/>
        <v>-16</v>
      </c>
      <c r="CC156" s="39">
        <f t="shared" si="13"/>
        <v>0</v>
      </c>
      <c r="CD156" s="39">
        <f t="shared" si="14"/>
        <v>-198</v>
      </c>
      <c r="CE156" s="102">
        <f t="shared" si="15"/>
        <v>-1</v>
      </c>
      <c r="CF156" s="36"/>
      <c r="CG156" s="39" t="s">
        <v>258</v>
      </c>
      <c r="CH156" s="39"/>
      <c r="CI156" s="25">
        <v>3</v>
      </c>
    </row>
    <row r="157" spans="1:87" ht="24.75" customHeight="1">
      <c r="A157" s="36" t="s">
        <v>50</v>
      </c>
      <c r="B157" s="26">
        <v>48754</v>
      </c>
      <c r="C157" s="227">
        <v>13241567</v>
      </c>
      <c r="D157" s="36"/>
      <c r="E157" s="39">
        <v>180</v>
      </c>
      <c r="F157" s="39" t="s">
        <v>54</v>
      </c>
      <c r="G157" s="36" t="s">
        <v>1078</v>
      </c>
      <c r="H157" s="36" t="s">
        <v>22</v>
      </c>
      <c r="I157" s="39">
        <v>344</v>
      </c>
      <c r="J157" s="39">
        <v>34</v>
      </c>
      <c r="K157" s="39"/>
      <c r="L157" s="39">
        <f t="shared" ref="L157" si="85">SUM(I157:K157)</f>
        <v>378</v>
      </c>
      <c r="M157" s="117">
        <v>46272</v>
      </c>
      <c r="N157" s="117">
        <v>46280</v>
      </c>
      <c r="O157" s="39"/>
      <c r="P157" s="39"/>
      <c r="Q157" s="39"/>
      <c r="R157" s="39">
        <f t="shared" si="79"/>
        <v>0</v>
      </c>
      <c r="S157" s="39" t="s">
        <v>100</v>
      </c>
      <c r="T157" s="39"/>
      <c r="U157" s="39"/>
      <c r="V157" s="117">
        <v>46277</v>
      </c>
      <c r="W157" s="39">
        <f>386+40</f>
        <v>426</v>
      </c>
      <c r="X157" s="39"/>
      <c r="Y157" s="39"/>
      <c r="Z157" s="39"/>
      <c r="AA157" s="39"/>
      <c r="AB157" s="118">
        <f t="shared" si="80"/>
        <v>0</v>
      </c>
      <c r="AC157" s="39"/>
      <c r="AD157" s="39"/>
      <c r="AE157" s="39"/>
      <c r="AF157" s="39"/>
      <c r="AG157" s="39"/>
      <c r="AH157" s="39">
        <f t="shared" si="3"/>
        <v>0</v>
      </c>
      <c r="AI157" s="39"/>
      <c r="AJ157" s="39"/>
      <c r="AK157" s="39"/>
      <c r="AL157" s="39"/>
      <c r="AM157" s="39"/>
      <c r="AN157" s="39">
        <f t="shared" si="4"/>
        <v>0</v>
      </c>
      <c r="AO157" s="39"/>
      <c r="AP157" s="39"/>
      <c r="AQ157" s="39"/>
      <c r="AR157" s="39"/>
      <c r="AS157" s="39"/>
      <c r="AT157" s="39">
        <f t="shared" si="5"/>
        <v>0</v>
      </c>
      <c r="AU157" s="39"/>
      <c r="AV157" s="39"/>
      <c r="AW157" s="39"/>
      <c r="AX157" s="39"/>
      <c r="AY157" s="39"/>
      <c r="AZ157" s="39">
        <f t="shared" si="6"/>
        <v>0</v>
      </c>
      <c r="BA157" s="39"/>
      <c r="BB157" s="39"/>
      <c r="BC157" s="39"/>
      <c r="BD157" s="39"/>
      <c r="BE157" s="39"/>
      <c r="BF157" s="39">
        <f t="shared" si="7"/>
        <v>0</v>
      </c>
      <c r="BG157" s="39"/>
      <c r="BH157" s="39"/>
      <c r="BI157" s="39"/>
      <c r="BJ157" s="39"/>
      <c r="BK157" s="39"/>
      <c r="BL157" s="39">
        <f t="shared" si="8"/>
        <v>0</v>
      </c>
      <c r="BM157" s="54">
        <f t="shared" ca="1" si="9"/>
        <v>46283</v>
      </c>
      <c r="BN157" s="60">
        <v>46290</v>
      </c>
      <c r="BO157" s="57">
        <v>46305</v>
      </c>
      <c r="BP157" s="36"/>
      <c r="BQ157" s="36"/>
      <c r="BR157" s="39"/>
      <c r="BS157" s="39"/>
      <c r="BT157" s="39"/>
      <c r="BU157" s="39"/>
      <c r="BV157" s="39"/>
      <c r="BW157" s="39"/>
      <c r="BX157" s="39"/>
      <c r="BY157" s="39"/>
      <c r="BZ157" s="39">
        <f t="shared" si="10"/>
        <v>0</v>
      </c>
      <c r="CA157" s="39">
        <f t="shared" si="11"/>
        <v>-344</v>
      </c>
      <c r="CB157" s="39">
        <f t="shared" si="12"/>
        <v>-34</v>
      </c>
      <c r="CC157" s="39">
        <f t="shared" si="13"/>
        <v>0</v>
      </c>
      <c r="CD157" s="39">
        <f t="shared" si="14"/>
        <v>-378</v>
      </c>
      <c r="CE157" s="102">
        <f t="shared" si="15"/>
        <v>-1</v>
      </c>
      <c r="CF157" s="36"/>
      <c r="CG157" s="39" t="s">
        <v>258</v>
      </c>
      <c r="CH157" s="39"/>
      <c r="CI157" s="25">
        <v>3</v>
      </c>
    </row>
    <row r="158" spans="1:87" ht="24.75" customHeight="1">
      <c r="A158" s="36" t="s">
        <v>50</v>
      </c>
      <c r="B158" s="26">
        <v>48754</v>
      </c>
      <c r="C158" s="231"/>
      <c r="D158" s="36"/>
      <c r="E158" s="39">
        <v>180</v>
      </c>
      <c r="F158" s="39" t="s">
        <v>54</v>
      </c>
      <c r="G158" s="36" t="s">
        <v>1079</v>
      </c>
      <c r="H158" s="36" t="s">
        <v>22</v>
      </c>
      <c r="I158" s="39">
        <v>46</v>
      </c>
      <c r="J158" s="39">
        <v>4</v>
      </c>
      <c r="K158" s="39"/>
      <c r="L158" s="39">
        <f t="shared" ref="L158:L161" si="86">SUM(I158:K158)</f>
        <v>50</v>
      </c>
      <c r="M158" s="117">
        <v>46272</v>
      </c>
      <c r="N158" s="117">
        <v>46280</v>
      </c>
      <c r="O158" s="39"/>
      <c r="P158" s="39"/>
      <c r="Q158" s="39"/>
      <c r="R158" s="39">
        <f t="shared" si="79"/>
        <v>0</v>
      </c>
      <c r="S158" s="39" t="s">
        <v>28</v>
      </c>
      <c r="T158" s="39"/>
      <c r="U158" s="39"/>
      <c r="V158" s="117">
        <v>46275</v>
      </c>
      <c r="W158" s="39">
        <f>60+5</f>
        <v>65</v>
      </c>
      <c r="X158" s="39"/>
      <c r="Y158" s="39"/>
      <c r="Z158" s="39"/>
      <c r="AA158" s="39"/>
      <c r="AB158" s="118">
        <f t="shared" si="80"/>
        <v>0</v>
      </c>
      <c r="AC158" s="39"/>
      <c r="AD158" s="39"/>
      <c r="AE158" s="39"/>
      <c r="AF158" s="39"/>
      <c r="AG158" s="39"/>
      <c r="AH158" s="39">
        <f t="shared" si="3"/>
        <v>0</v>
      </c>
      <c r="AI158" s="39"/>
      <c r="AJ158" s="39"/>
      <c r="AK158" s="39"/>
      <c r="AL158" s="39"/>
      <c r="AM158" s="39"/>
      <c r="AN158" s="39">
        <f t="shared" si="4"/>
        <v>0</v>
      </c>
      <c r="AO158" s="39"/>
      <c r="AP158" s="39"/>
      <c r="AQ158" s="39"/>
      <c r="AR158" s="39"/>
      <c r="AS158" s="39"/>
      <c r="AT158" s="39">
        <f t="shared" si="5"/>
        <v>0</v>
      </c>
      <c r="AU158" s="39"/>
      <c r="AV158" s="39"/>
      <c r="AW158" s="39"/>
      <c r="AX158" s="39"/>
      <c r="AY158" s="39"/>
      <c r="AZ158" s="39">
        <f t="shared" si="6"/>
        <v>0</v>
      </c>
      <c r="BA158" s="39"/>
      <c r="BB158" s="39"/>
      <c r="BC158" s="39"/>
      <c r="BD158" s="39"/>
      <c r="BE158" s="39"/>
      <c r="BF158" s="39">
        <f t="shared" si="7"/>
        <v>0</v>
      </c>
      <c r="BG158" s="39"/>
      <c r="BH158" s="39"/>
      <c r="BI158" s="39"/>
      <c r="BJ158" s="39"/>
      <c r="BK158" s="39"/>
      <c r="BL158" s="39">
        <f t="shared" si="8"/>
        <v>0</v>
      </c>
      <c r="BM158" s="54">
        <f t="shared" ca="1" si="9"/>
        <v>46283</v>
      </c>
      <c r="BN158" s="60">
        <v>46290</v>
      </c>
      <c r="BO158" s="57">
        <v>46305</v>
      </c>
      <c r="BP158" s="36"/>
      <c r="BQ158" s="36"/>
      <c r="BR158" s="39"/>
      <c r="BS158" s="39"/>
      <c r="BT158" s="39"/>
      <c r="BU158" s="39"/>
      <c r="BV158" s="39"/>
      <c r="BW158" s="39"/>
      <c r="BX158" s="39"/>
      <c r="BY158" s="39"/>
      <c r="BZ158" s="39">
        <f t="shared" si="10"/>
        <v>0</v>
      </c>
      <c r="CA158" s="39">
        <f t="shared" si="11"/>
        <v>-46</v>
      </c>
      <c r="CB158" s="39">
        <f t="shared" si="12"/>
        <v>-4</v>
      </c>
      <c r="CC158" s="39">
        <f t="shared" si="13"/>
        <v>0</v>
      </c>
      <c r="CD158" s="39">
        <f t="shared" si="14"/>
        <v>-50</v>
      </c>
      <c r="CE158" s="102">
        <f t="shared" si="15"/>
        <v>-1</v>
      </c>
      <c r="CF158" s="36"/>
      <c r="CG158" s="39" t="s">
        <v>258</v>
      </c>
      <c r="CH158" s="39"/>
      <c r="CI158" s="25">
        <v>3</v>
      </c>
    </row>
    <row r="159" spans="1:87" ht="24.75" customHeight="1">
      <c r="A159" s="36" t="s">
        <v>50</v>
      </c>
      <c r="B159" s="26">
        <v>48754</v>
      </c>
      <c r="C159" s="231"/>
      <c r="D159" s="36"/>
      <c r="E159" s="39">
        <v>180</v>
      </c>
      <c r="F159" s="39" t="s">
        <v>54</v>
      </c>
      <c r="G159" s="36" t="s">
        <v>1079</v>
      </c>
      <c r="H159" s="36" t="s">
        <v>22</v>
      </c>
      <c r="I159" s="39">
        <v>149</v>
      </c>
      <c r="J159" s="39">
        <v>15</v>
      </c>
      <c r="K159" s="39"/>
      <c r="L159" s="39">
        <f t="shared" si="86"/>
        <v>164</v>
      </c>
      <c r="M159" s="117">
        <v>46272</v>
      </c>
      <c r="N159" s="117">
        <v>46280</v>
      </c>
      <c r="O159" s="39"/>
      <c r="P159" s="39"/>
      <c r="Q159" s="39"/>
      <c r="R159" s="39">
        <f t="shared" si="79"/>
        <v>0</v>
      </c>
      <c r="S159" s="39" t="s">
        <v>28</v>
      </c>
      <c r="T159" s="39"/>
      <c r="U159" s="39"/>
      <c r="V159" s="117">
        <v>46275</v>
      </c>
      <c r="W159" s="39">
        <f>168+17</f>
        <v>185</v>
      </c>
      <c r="X159" s="39"/>
      <c r="Y159" s="39"/>
      <c r="Z159" s="39"/>
      <c r="AA159" s="39"/>
      <c r="AB159" s="118">
        <f t="shared" si="80"/>
        <v>0</v>
      </c>
      <c r="AC159" s="39"/>
      <c r="AD159" s="39"/>
      <c r="AE159" s="39"/>
      <c r="AF159" s="39"/>
      <c r="AG159" s="39"/>
      <c r="AH159" s="39">
        <f t="shared" si="3"/>
        <v>0</v>
      </c>
      <c r="AI159" s="39"/>
      <c r="AJ159" s="39"/>
      <c r="AK159" s="39"/>
      <c r="AL159" s="39"/>
      <c r="AM159" s="39"/>
      <c r="AN159" s="39">
        <f t="shared" si="4"/>
        <v>0</v>
      </c>
      <c r="AO159" s="39"/>
      <c r="AP159" s="39"/>
      <c r="AQ159" s="39"/>
      <c r="AR159" s="39"/>
      <c r="AS159" s="39"/>
      <c r="AT159" s="39">
        <f t="shared" si="5"/>
        <v>0</v>
      </c>
      <c r="AU159" s="39"/>
      <c r="AV159" s="39"/>
      <c r="AW159" s="39"/>
      <c r="AX159" s="39"/>
      <c r="AY159" s="39"/>
      <c r="AZ159" s="39">
        <f t="shared" si="6"/>
        <v>0</v>
      </c>
      <c r="BA159" s="39"/>
      <c r="BB159" s="39"/>
      <c r="BC159" s="39"/>
      <c r="BD159" s="39"/>
      <c r="BE159" s="39"/>
      <c r="BF159" s="39">
        <f t="shared" si="7"/>
        <v>0</v>
      </c>
      <c r="BG159" s="39"/>
      <c r="BH159" s="39"/>
      <c r="BI159" s="39"/>
      <c r="BJ159" s="39"/>
      <c r="BK159" s="39"/>
      <c r="BL159" s="39">
        <f t="shared" si="8"/>
        <v>0</v>
      </c>
      <c r="BM159" s="54">
        <f t="shared" ca="1" si="9"/>
        <v>46283</v>
      </c>
      <c r="BN159" s="60">
        <v>46290</v>
      </c>
      <c r="BO159" s="57">
        <v>46305</v>
      </c>
      <c r="BP159" s="36"/>
      <c r="BQ159" s="36"/>
      <c r="BR159" s="39"/>
      <c r="BS159" s="39"/>
      <c r="BT159" s="39"/>
      <c r="BU159" s="39"/>
      <c r="BV159" s="39"/>
      <c r="BW159" s="39"/>
      <c r="BX159" s="39"/>
      <c r="BY159" s="39"/>
      <c r="BZ159" s="39">
        <f t="shared" si="10"/>
        <v>0</v>
      </c>
      <c r="CA159" s="39">
        <f t="shared" si="11"/>
        <v>-149</v>
      </c>
      <c r="CB159" s="39">
        <f t="shared" si="12"/>
        <v>-15</v>
      </c>
      <c r="CC159" s="39">
        <f t="shared" si="13"/>
        <v>0</v>
      </c>
      <c r="CD159" s="39">
        <f t="shared" si="14"/>
        <v>-164</v>
      </c>
      <c r="CE159" s="102">
        <f t="shared" si="15"/>
        <v>-1</v>
      </c>
      <c r="CF159" s="36"/>
      <c r="CG159" s="39" t="s">
        <v>258</v>
      </c>
      <c r="CH159" s="39"/>
      <c r="CI159" s="25">
        <v>3</v>
      </c>
    </row>
    <row r="160" spans="1:87" ht="24.75" customHeight="1">
      <c r="A160" s="36" t="s">
        <v>50</v>
      </c>
      <c r="B160" s="26">
        <v>48754</v>
      </c>
      <c r="C160" s="231"/>
      <c r="D160" s="36"/>
      <c r="E160" s="39">
        <v>180</v>
      </c>
      <c r="F160" s="39" t="s">
        <v>54</v>
      </c>
      <c r="G160" s="36" t="s">
        <v>1600</v>
      </c>
      <c r="H160" s="36" t="s">
        <v>22</v>
      </c>
      <c r="I160" s="39">
        <v>158</v>
      </c>
      <c r="J160" s="39">
        <v>15</v>
      </c>
      <c r="K160" s="39"/>
      <c r="L160" s="39">
        <f t="shared" si="86"/>
        <v>173</v>
      </c>
      <c r="M160" s="117">
        <v>46272</v>
      </c>
      <c r="N160" s="117">
        <v>46280</v>
      </c>
      <c r="O160" s="39"/>
      <c r="P160" s="39"/>
      <c r="Q160" s="39"/>
      <c r="R160" s="39">
        <f t="shared" si="79"/>
        <v>0</v>
      </c>
      <c r="S160" s="39" t="s">
        <v>28</v>
      </c>
      <c r="T160" s="39"/>
      <c r="U160" s="39"/>
      <c r="V160" s="117">
        <v>46276</v>
      </c>
      <c r="W160" s="39">
        <f>190+19</f>
        <v>209</v>
      </c>
      <c r="X160" s="39"/>
      <c r="Y160" s="39"/>
      <c r="Z160" s="39"/>
      <c r="AA160" s="39"/>
      <c r="AB160" s="118">
        <f t="shared" si="80"/>
        <v>0</v>
      </c>
      <c r="AC160" s="39"/>
      <c r="AD160" s="39"/>
      <c r="AE160" s="39"/>
      <c r="AF160" s="39"/>
      <c r="AG160" s="39"/>
      <c r="AH160" s="39">
        <f t="shared" si="3"/>
        <v>0</v>
      </c>
      <c r="AI160" s="39"/>
      <c r="AJ160" s="39"/>
      <c r="AK160" s="39"/>
      <c r="AL160" s="39"/>
      <c r="AM160" s="39"/>
      <c r="AN160" s="39">
        <f t="shared" si="4"/>
        <v>0</v>
      </c>
      <c r="AO160" s="39"/>
      <c r="AP160" s="39"/>
      <c r="AQ160" s="39"/>
      <c r="AR160" s="39"/>
      <c r="AS160" s="39"/>
      <c r="AT160" s="39">
        <f t="shared" si="5"/>
        <v>0</v>
      </c>
      <c r="AU160" s="39"/>
      <c r="AV160" s="39"/>
      <c r="AW160" s="39"/>
      <c r="AX160" s="39"/>
      <c r="AY160" s="39"/>
      <c r="AZ160" s="39">
        <f t="shared" si="6"/>
        <v>0</v>
      </c>
      <c r="BA160" s="39"/>
      <c r="BB160" s="39"/>
      <c r="BC160" s="39"/>
      <c r="BD160" s="39"/>
      <c r="BE160" s="39"/>
      <c r="BF160" s="39">
        <f t="shared" si="7"/>
        <v>0</v>
      </c>
      <c r="BG160" s="39"/>
      <c r="BH160" s="39"/>
      <c r="BI160" s="39"/>
      <c r="BJ160" s="39"/>
      <c r="BK160" s="39"/>
      <c r="BL160" s="39">
        <f t="shared" si="8"/>
        <v>0</v>
      </c>
      <c r="BM160" s="54">
        <f t="shared" ca="1" si="9"/>
        <v>46283</v>
      </c>
      <c r="BN160" s="60">
        <v>46290</v>
      </c>
      <c r="BO160" s="57">
        <v>46305</v>
      </c>
      <c r="BP160" s="36"/>
      <c r="BQ160" s="36"/>
      <c r="BR160" s="39"/>
      <c r="BS160" s="39"/>
      <c r="BT160" s="39"/>
      <c r="BU160" s="39"/>
      <c r="BV160" s="39"/>
      <c r="BW160" s="39"/>
      <c r="BX160" s="39"/>
      <c r="BY160" s="39"/>
      <c r="BZ160" s="39">
        <f t="shared" si="10"/>
        <v>0</v>
      </c>
      <c r="CA160" s="39">
        <f t="shared" si="11"/>
        <v>-158</v>
      </c>
      <c r="CB160" s="39">
        <f t="shared" si="12"/>
        <v>-15</v>
      </c>
      <c r="CC160" s="39">
        <f t="shared" si="13"/>
        <v>0</v>
      </c>
      <c r="CD160" s="39">
        <f t="shared" si="14"/>
        <v>-173</v>
      </c>
      <c r="CE160" s="102">
        <f t="shared" si="15"/>
        <v>-1</v>
      </c>
      <c r="CF160" s="36"/>
      <c r="CG160" s="39" t="s">
        <v>258</v>
      </c>
      <c r="CH160" s="39"/>
      <c r="CI160" s="25">
        <v>3</v>
      </c>
    </row>
    <row r="161" spans="1:87" ht="24.75" customHeight="1">
      <c r="A161" s="36" t="s">
        <v>50</v>
      </c>
      <c r="B161" s="26">
        <v>48754</v>
      </c>
      <c r="C161" s="228"/>
      <c r="D161" s="36"/>
      <c r="E161" s="39">
        <v>180</v>
      </c>
      <c r="F161" s="39" t="s">
        <v>54</v>
      </c>
      <c r="G161" s="36" t="s">
        <v>391</v>
      </c>
      <c r="H161" s="36" t="s">
        <v>22</v>
      </c>
      <c r="I161" s="39">
        <v>258</v>
      </c>
      <c r="J161" s="39">
        <v>25</v>
      </c>
      <c r="K161" s="39"/>
      <c r="L161" s="39">
        <f t="shared" si="86"/>
        <v>283</v>
      </c>
      <c r="M161" s="117">
        <v>46272</v>
      </c>
      <c r="N161" s="117">
        <v>46280</v>
      </c>
      <c r="O161" s="39"/>
      <c r="P161" s="39"/>
      <c r="Q161" s="39"/>
      <c r="R161" s="39">
        <f t="shared" si="79"/>
        <v>0</v>
      </c>
      <c r="S161" s="39" t="s">
        <v>130</v>
      </c>
      <c r="T161" s="39">
        <v>109373</v>
      </c>
      <c r="U161" s="117">
        <v>46278</v>
      </c>
      <c r="V161" s="39"/>
      <c r="W161" s="39"/>
      <c r="X161" s="39"/>
      <c r="Y161" s="39">
        <v>289</v>
      </c>
      <c r="Z161" s="39">
        <v>29</v>
      </c>
      <c r="AA161" s="39"/>
      <c r="AB161" s="119">
        <f t="shared" si="80"/>
        <v>318</v>
      </c>
      <c r="AC161" s="39"/>
      <c r="AD161" s="39"/>
      <c r="AE161" s="39"/>
      <c r="AF161" s="39"/>
      <c r="AG161" s="39"/>
      <c r="AH161" s="39">
        <f t="shared" si="3"/>
        <v>0</v>
      </c>
      <c r="AI161" s="39"/>
      <c r="AJ161" s="39"/>
      <c r="AK161" s="39"/>
      <c r="AL161" s="39"/>
      <c r="AM161" s="39"/>
      <c r="AN161" s="39">
        <f t="shared" si="4"/>
        <v>0</v>
      </c>
      <c r="AO161" s="39"/>
      <c r="AP161" s="39"/>
      <c r="AQ161" s="39"/>
      <c r="AR161" s="39"/>
      <c r="AS161" s="39"/>
      <c r="AT161" s="39">
        <f t="shared" si="5"/>
        <v>0</v>
      </c>
      <c r="AU161" s="39"/>
      <c r="AV161" s="39"/>
      <c r="AW161" s="39"/>
      <c r="AX161" s="39"/>
      <c r="AY161" s="39"/>
      <c r="AZ161" s="39">
        <f t="shared" si="6"/>
        <v>0</v>
      </c>
      <c r="BA161" s="39"/>
      <c r="BB161" s="39"/>
      <c r="BC161" s="39"/>
      <c r="BD161" s="39"/>
      <c r="BE161" s="39"/>
      <c r="BF161" s="39">
        <f t="shared" si="7"/>
        <v>0</v>
      </c>
      <c r="BG161" s="39"/>
      <c r="BH161" s="39"/>
      <c r="BI161" s="39"/>
      <c r="BJ161" s="39"/>
      <c r="BK161" s="39"/>
      <c r="BL161" s="39">
        <f t="shared" si="8"/>
        <v>0</v>
      </c>
      <c r="BM161" s="54">
        <f t="shared" ca="1" si="9"/>
        <v>5</v>
      </c>
      <c r="BN161" s="60">
        <v>46290</v>
      </c>
      <c r="BO161" s="57">
        <v>46305</v>
      </c>
      <c r="BP161" s="36"/>
      <c r="BQ161" s="36"/>
      <c r="BR161" s="39"/>
      <c r="BS161" s="39"/>
      <c r="BT161" s="39"/>
      <c r="BU161" s="39"/>
      <c r="BV161" s="39"/>
      <c r="BW161" s="39"/>
      <c r="BX161" s="39"/>
      <c r="BY161" s="39"/>
      <c r="BZ161" s="39">
        <f t="shared" si="10"/>
        <v>0</v>
      </c>
      <c r="CA161" s="39">
        <f t="shared" si="11"/>
        <v>-258</v>
      </c>
      <c r="CB161" s="39">
        <f t="shared" si="12"/>
        <v>-25</v>
      </c>
      <c r="CC161" s="39">
        <f t="shared" si="13"/>
        <v>0</v>
      </c>
      <c r="CD161" s="39">
        <f t="shared" si="14"/>
        <v>-283</v>
      </c>
      <c r="CE161" s="102">
        <f t="shared" si="15"/>
        <v>-1</v>
      </c>
      <c r="CF161" s="36"/>
      <c r="CG161" s="39" t="s">
        <v>258</v>
      </c>
      <c r="CH161" s="39"/>
      <c r="CI161" s="25">
        <v>3</v>
      </c>
    </row>
    <row r="162" spans="1:87" ht="24.75" customHeight="1">
      <c r="A162" s="36" t="s">
        <v>50</v>
      </c>
      <c r="B162" s="26">
        <v>48755</v>
      </c>
      <c r="C162" s="227">
        <v>13234339</v>
      </c>
      <c r="D162" s="36"/>
      <c r="E162" s="39">
        <v>150</v>
      </c>
      <c r="F162" s="39" t="s">
        <v>65</v>
      </c>
      <c r="G162" s="36" t="s">
        <v>47</v>
      </c>
      <c r="H162" s="36" t="s">
        <v>22</v>
      </c>
      <c r="I162" s="39">
        <v>100</v>
      </c>
      <c r="J162" s="39">
        <v>10</v>
      </c>
      <c r="K162" s="39"/>
      <c r="L162" s="39">
        <f t="shared" ref="L162" si="87">SUM(I162:K162)</f>
        <v>110</v>
      </c>
      <c r="M162" s="117">
        <v>46273</v>
      </c>
      <c r="N162" s="117">
        <v>46282</v>
      </c>
      <c r="O162" s="39"/>
      <c r="P162" s="39"/>
      <c r="Q162" s="39"/>
      <c r="R162" s="39">
        <f t="shared" si="79"/>
        <v>0</v>
      </c>
      <c r="S162" s="39" t="s">
        <v>28</v>
      </c>
      <c r="T162" s="39"/>
      <c r="U162" s="39"/>
      <c r="V162" s="117">
        <v>46280</v>
      </c>
      <c r="W162" s="39">
        <f>122+12</f>
        <v>134</v>
      </c>
      <c r="X162" s="39"/>
      <c r="Y162" s="39"/>
      <c r="Z162" s="39"/>
      <c r="AA162" s="39"/>
      <c r="AB162" s="118">
        <f t="shared" si="80"/>
        <v>0</v>
      </c>
      <c r="AC162" s="39"/>
      <c r="AD162" s="39"/>
      <c r="AE162" s="39"/>
      <c r="AF162" s="39"/>
      <c r="AG162" s="39"/>
      <c r="AH162" s="39">
        <f t="shared" si="3"/>
        <v>0</v>
      </c>
      <c r="AI162" s="39"/>
      <c r="AJ162" s="39"/>
      <c r="AK162" s="39"/>
      <c r="AL162" s="39"/>
      <c r="AM162" s="39"/>
      <c r="AN162" s="39">
        <f t="shared" si="4"/>
        <v>0</v>
      </c>
      <c r="AO162" s="39"/>
      <c r="AP162" s="39"/>
      <c r="AQ162" s="39"/>
      <c r="AR162" s="39"/>
      <c r="AS162" s="39"/>
      <c r="AT162" s="39">
        <f t="shared" si="5"/>
        <v>0</v>
      </c>
      <c r="AU162" s="39"/>
      <c r="AV162" s="39"/>
      <c r="AW162" s="39"/>
      <c r="AX162" s="39"/>
      <c r="AY162" s="39"/>
      <c r="AZ162" s="39">
        <f t="shared" si="6"/>
        <v>0</v>
      </c>
      <c r="BA162" s="39"/>
      <c r="BB162" s="39"/>
      <c r="BC162" s="39"/>
      <c r="BD162" s="39"/>
      <c r="BE162" s="39"/>
      <c r="BF162" s="39">
        <f t="shared" si="7"/>
        <v>0</v>
      </c>
      <c r="BG162" s="39"/>
      <c r="BH162" s="39"/>
      <c r="BI162" s="39"/>
      <c r="BJ162" s="39"/>
      <c r="BK162" s="39"/>
      <c r="BL162" s="39">
        <f t="shared" si="8"/>
        <v>0</v>
      </c>
      <c r="BM162" s="54">
        <f t="shared" ca="1" si="9"/>
        <v>46283</v>
      </c>
      <c r="BN162" s="60">
        <v>46287</v>
      </c>
      <c r="BO162" s="57">
        <v>46305</v>
      </c>
      <c r="BP162" s="36"/>
      <c r="BQ162" s="36"/>
      <c r="BR162" s="39"/>
      <c r="BS162" s="39"/>
      <c r="BT162" s="39"/>
      <c r="BU162" s="39"/>
      <c r="BV162" s="39"/>
      <c r="BW162" s="39"/>
      <c r="BX162" s="39"/>
      <c r="BY162" s="39"/>
      <c r="BZ162" s="39">
        <f t="shared" si="10"/>
        <v>0</v>
      </c>
      <c r="CA162" s="39">
        <f t="shared" si="11"/>
        <v>-100</v>
      </c>
      <c r="CB162" s="39">
        <f t="shared" si="12"/>
        <v>-10</v>
      </c>
      <c r="CC162" s="39">
        <f t="shared" si="13"/>
        <v>0</v>
      </c>
      <c r="CD162" s="39">
        <f t="shared" si="14"/>
        <v>-110</v>
      </c>
      <c r="CE162" s="102">
        <f t="shared" si="15"/>
        <v>-1</v>
      </c>
      <c r="CF162" s="36"/>
      <c r="CG162" s="39" t="s">
        <v>258</v>
      </c>
      <c r="CH162" s="39"/>
      <c r="CI162" s="25">
        <v>3</v>
      </c>
    </row>
    <row r="163" spans="1:87" ht="24.75" customHeight="1">
      <c r="A163" s="36" t="s">
        <v>50</v>
      </c>
      <c r="B163" s="26">
        <v>48755</v>
      </c>
      <c r="C163" s="231"/>
      <c r="D163" s="36"/>
      <c r="E163" s="39">
        <v>150</v>
      </c>
      <c r="F163" s="39" t="s">
        <v>65</v>
      </c>
      <c r="G163" s="36" t="s">
        <v>1078</v>
      </c>
      <c r="H163" s="36" t="s">
        <v>22</v>
      </c>
      <c r="I163" s="39">
        <v>17</v>
      </c>
      <c r="J163" s="39">
        <v>2</v>
      </c>
      <c r="K163" s="39"/>
      <c r="L163" s="39">
        <f t="shared" ref="L163:L166" si="88">SUM(I163:K163)</f>
        <v>19</v>
      </c>
      <c r="M163" s="117">
        <v>46273</v>
      </c>
      <c r="N163" s="117">
        <v>46282</v>
      </c>
      <c r="O163" s="39"/>
      <c r="P163" s="39"/>
      <c r="Q163" s="39"/>
      <c r="R163" s="39">
        <f t="shared" si="79"/>
        <v>0</v>
      </c>
      <c r="S163" s="39" t="s">
        <v>100</v>
      </c>
      <c r="T163" s="39"/>
      <c r="U163" s="39"/>
      <c r="V163" s="117">
        <v>46277</v>
      </c>
      <c r="W163" s="39">
        <f>25+4</f>
        <v>29</v>
      </c>
      <c r="X163" s="39"/>
      <c r="Y163" s="39"/>
      <c r="Z163" s="39"/>
      <c r="AA163" s="39"/>
      <c r="AB163" s="118">
        <f t="shared" si="80"/>
        <v>0</v>
      </c>
      <c r="AC163" s="39"/>
      <c r="AD163" s="39"/>
      <c r="AE163" s="39"/>
      <c r="AF163" s="39"/>
      <c r="AG163" s="39"/>
      <c r="AH163" s="39">
        <f t="shared" si="3"/>
        <v>0</v>
      </c>
      <c r="AI163" s="39"/>
      <c r="AJ163" s="39"/>
      <c r="AK163" s="39"/>
      <c r="AL163" s="39"/>
      <c r="AM163" s="39"/>
      <c r="AN163" s="39">
        <f t="shared" si="4"/>
        <v>0</v>
      </c>
      <c r="AO163" s="39"/>
      <c r="AP163" s="39"/>
      <c r="AQ163" s="39"/>
      <c r="AR163" s="39"/>
      <c r="AS163" s="39"/>
      <c r="AT163" s="39">
        <f t="shared" si="5"/>
        <v>0</v>
      </c>
      <c r="AU163" s="39"/>
      <c r="AV163" s="39"/>
      <c r="AW163" s="39"/>
      <c r="AX163" s="39"/>
      <c r="AY163" s="39"/>
      <c r="AZ163" s="39">
        <f t="shared" si="6"/>
        <v>0</v>
      </c>
      <c r="BA163" s="39"/>
      <c r="BB163" s="39"/>
      <c r="BC163" s="39"/>
      <c r="BD163" s="39"/>
      <c r="BE163" s="39"/>
      <c r="BF163" s="39">
        <f t="shared" si="7"/>
        <v>0</v>
      </c>
      <c r="BG163" s="39"/>
      <c r="BH163" s="39"/>
      <c r="BI163" s="39"/>
      <c r="BJ163" s="39"/>
      <c r="BK163" s="39"/>
      <c r="BL163" s="39">
        <f t="shared" si="8"/>
        <v>0</v>
      </c>
      <c r="BM163" s="54">
        <f t="shared" ca="1" si="9"/>
        <v>46283</v>
      </c>
      <c r="BN163" s="60">
        <v>46287</v>
      </c>
      <c r="BO163" s="57">
        <v>46305</v>
      </c>
      <c r="BP163" s="36"/>
      <c r="BQ163" s="36"/>
      <c r="BR163" s="39"/>
      <c r="BS163" s="39"/>
      <c r="BT163" s="39"/>
      <c r="BU163" s="39"/>
      <c r="BV163" s="39"/>
      <c r="BW163" s="39"/>
      <c r="BX163" s="39"/>
      <c r="BY163" s="39"/>
      <c r="BZ163" s="39">
        <f t="shared" si="10"/>
        <v>0</v>
      </c>
      <c r="CA163" s="39">
        <f t="shared" si="11"/>
        <v>-17</v>
      </c>
      <c r="CB163" s="39">
        <f t="shared" si="12"/>
        <v>-2</v>
      </c>
      <c r="CC163" s="39">
        <f t="shared" si="13"/>
        <v>0</v>
      </c>
      <c r="CD163" s="39">
        <f t="shared" si="14"/>
        <v>-19</v>
      </c>
      <c r="CE163" s="102">
        <f t="shared" si="15"/>
        <v>-1</v>
      </c>
      <c r="CF163" s="36"/>
      <c r="CG163" s="39" t="s">
        <v>258</v>
      </c>
      <c r="CH163" s="39"/>
      <c r="CI163" s="25">
        <v>3</v>
      </c>
    </row>
    <row r="164" spans="1:87" ht="24.75" customHeight="1">
      <c r="A164" s="36" t="s">
        <v>50</v>
      </c>
      <c r="B164" s="26">
        <v>48755</v>
      </c>
      <c r="C164" s="231"/>
      <c r="D164" s="36"/>
      <c r="E164" s="39">
        <v>150</v>
      </c>
      <c r="F164" s="39" t="s">
        <v>65</v>
      </c>
      <c r="G164" s="36" t="s">
        <v>1079</v>
      </c>
      <c r="H164" s="36" t="s">
        <v>22</v>
      </c>
      <c r="I164" s="39">
        <v>85</v>
      </c>
      <c r="J164" s="39">
        <v>8</v>
      </c>
      <c r="K164" s="39"/>
      <c r="L164" s="39">
        <f t="shared" si="88"/>
        <v>93</v>
      </c>
      <c r="M164" s="117">
        <v>46273</v>
      </c>
      <c r="N164" s="117">
        <v>46282</v>
      </c>
      <c r="O164" s="39"/>
      <c r="P164" s="39"/>
      <c r="Q164" s="39"/>
      <c r="R164" s="39">
        <f t="shared" si="79"/>
        <v>0</v>
      </c>
      <c r="S164" s="39" t="s">
        <v>28</v>
      </c>
      <c r="T164" s="39"/>
      <c r="U164" s="39"/>
      <c r="V164" s="117">
        <v>46275</v>
      </c>
      <c r="W164" s="39">
        <f>105+10</f>
        <v>115</v>
      </c>
      <c r="X164" s="39"/>
      <c r="Y164" s="39"/>
      <c r="Z164" s="39"/>
      <c r="AA164" s="39"/>
      <c r="AB164" s="118">
        <f t="shared" si="80"/>
        <v>0</v>
      </c>
      <c r="AC164" s="39"/>
      <c r="AD164" s="39"/>
      <c r="AE164" s="39"/>
      <c r="AF164" s="39"/>
      <c r="AG164" s="39"/>
      <c r="AH164" s="39">
        <f t="shared" si="3"/>
        <v>0</v>
      </c>
      <c r="AI164" s="39"/>
      <c r="AJ164" s="39"/>
      <c r="AK164" s="39"/>
      <c r="AL164" s="39"/>
      <c r="AM164" s="39"/>
      <c r="AN164" s="39">
        <f t="shared" si="4"/>
        <v>0</v>
      </c>
      <c r="AO164" s="39"/>
      <c r="AP164" s="39"/>
      <c r="AQ164" s="39"/>
      <c r="AR164" s="39"/>
      <c r="AS164" s="39"/>
      <c r="AT164" s="39">
        <f t="shared" si="5"/>
        <v>0</v>
      </c>
      <c r="AU164" s="39"/>
      <c r="AV164" s="39"/>
      <c r="AW164" s="39"/>
      <c r="AX164" s="39"/>
      <c r="AY164" s="39"/>
      <c r="AZ164" s="39">
        <f t="shared" si="6"/>
        <v>0</v>
      </c>
      <c r="BA164" s="39"/>
      <c r="BB164" s="39"/>
      <c r="BC164" s="39"/>
      <c r="BD164" s="39"/>
      <c r="BE164" s="39"/>
      <c r="BF164" s="39">
        <f t="shared" si="7"/>
        <v>0</v>
      </c>
      <c r="BG164" s="39"/>
      <c r="BH164" s="39"/>
      <c r="BI164" s="39"/>
      <c r="BJ164" s="39"/>
      <c r="BK164" s="39"/>
      <c r="BL164" s="39">
        <f t="shared" si="8"/>
        <v>0</v>
      </c>
      <c r="BM164" s="54">
        <f t="shared" ca="1" si="9"/>
        <v>46283</v>
      </c>
      <c r="BN164" s="60">
        <v>46287</v>
      </c>
      <c r="BO164" s="57">
        <v>46305</v>
      </c>
      <c r="BP164" s="36"/>
      <c r="BQ164" s="36"/>
      <c r="BR164" s="39"/>
      <c r="BS164" s="39"/>
      <c r="BT164" s="39"/>
      <c r="BU164" s="39"/>
      <c r="BV164" s="39"/>
      <c r="BW164" s="39"/>
      <c r="BX164" s="39"/>
      <c r="BY164" s="39"/>
      <c r="BZ164" s="39">
        <f t="shared" si="10"/>
        <v>0</v>
      </c>
      <c r="CA164" s="39">
        <f t="shared" si="11"/>
        <v>-85</v>
      </c>
      <c r="CB164" s="39">
        <f t="shared" si="12"/>
        <v>-8</v>
      </c>
      <c r="CC164" s="39">
        <f t="shared" si="13"/>
        <v>0</v>
      </c>
      <c r="CD164" s="39">
        <f t="shared" si="14"/>
        <v>-93</v>
      </c>
      <c r="CE164" s="102">
        <f t="shared" si="15"/>
        <v>-1</v>
      </c>
      <c r="CF164" s="36"/>
      <c r="CG164" s="39" t="s">
        <v>258</v>
      </c>
      <c r="CH164" s="39"/>
      <c r="CI164" s="25">
        <v>3</v>
      </c>
    </row>
    <row r="165" spans="1:87" ht="24.75" customHeight="1">
      <c r="A165" s="36" t="s">
        <v>50</v>
      </c>
      <c r="B165" s="26">
        <v>48755</v>
      </c>
      <c r="C165" s="228"/>
      <c r="D165" s="36"/>
      <c r="E165" s="39">
        <v>150</v>
      </c>
      <c r="F165" s="39" t="s">
        <v>65</v>
      </c>
      <c r="G165" s="36" t="s">
        <v>1600</v>
      </c>
      <c r="H165" s="36" t="s">
        <v>22</v>
      </c>
      <c r="I165" s="39">
        <v>107</v>
      </c>
      <c r="J165" s="39">
        <v>10</v>
      </c>
      <c r="K165" s="39"/>
      <c r="L165" s="39">
        <f t="shared" si="88"/>
        <v>117</v>
      </c>
      <c r="M165" s="117">
        <v>46273</v>
      </c>
      <c r="N165" s="117">
        <v>46282</v>
      </c>
      <c r="O165" s="39"/>
      <c r="P165" s="39"/>
      <c r="Q165" s="39"/>
      <c r="R165" s="39">
        <f t="shared" si="79"/>
        <v>0</v>
      </c>
      <c r="S165" s="39" t="s">
        <v>28</v>
      </c>
      <c r="T165" s="39"/>
      <c r="U165" s="39"/>
      <c r="V165" s="117">
        <v>46275</v>
      </c>
      <c r="W165" s="39">
        <f>130+12</f>
        <v>142</v>
      </c>
      <c r="X165" s="39"/>
      <c r="Y165" s="39"/>
      <c r="Z165" s="39"/>
      <c r="AA165" s="39"/>
      <c r="AB165" s="118">
        <f t="shared" si="80"/>
        <v>0</v>
      </c>
      <c r="AC165" s="39"/>
      <c r="AD165" s="39"/>
      <c r="AE165" s="39"/>
      <c r="AF165" s="39"/>
      <c r="AG165" s="39"/>
      <c r="AH165" s="39">
        <f t="shared" si="3"/>
        <v>0</v>
      </c>
      <c r="AI165" s="39"/>
      <c r="AJ165" s="39"/>
      <c r="AK165" s="39"/>
      <c r="AL165" s="39"/>
      <c r="AM165" s="39"/>
      <c r="AN165" s="39">
        <f t="shared" si="4"/>
        <v>0</v>
      </c>
      <c r="AO165" s="39"/>
      <c r="AP165" s="39"/>
      <c r="AQ165" s="39"/>
      <c r="AR165" s="39"/>
      <c r="AS165" s="39"/>
      <c r="AT165" s="39">
        <f t="shared" si="5"/>
        <v>0</v>
      </c>
      <c r="AU165" s="39"/>
      <c r="AV165" s="39"/>
      <c r="AW165" s="39"/>
      <c r="AX165" s="39"/>
      <c r="AY165" s="39"/>
      <c r="AZ165" s="39">
        <f t="shared" si="6"/>
        <v>0</v>
      </c>
      <c r="BA165" s="39"/>
      <c r="BB165" s="39"/>
      <c r="BC165" s="39"/>
      <c r="BD165" s="39"/>
      <c r="BE165" s="39"/>
      <c r="BF165" s="39">
        <f t="shared" si="7"/>
        <v>0</v>
      </c>
      <c r="BG165" s="39"/>
      <c r="BH165" s="39"/>
      <c r="BI165" s="39"/>
      <c r="BJ165" s="39"/>
      <c r="BK165" s="39"/>
      <c r="BL165" s="39">
        <f t="shared" si="8"/>
        <v>0</v>
      </c>
      <c r="BM165" s="54">
        <f t="shared" ca="1" si="9"/>
        <v>46283</v>
      </c>
      <c r="BN165" s="60">
        <v>46287</v>
      </c>
      <c r="BO165" s="57">
        <v>46305</v>
      </c>
      <c r="BP165" s="36"/>
      <c r="BQ165" s="36"/>
      <c r="BR165" s="39"/>
      <c r="BS165" s="39"/>
      <c r="BT165" s="39"/>
      <c r="BU165" s="39"/>
      <c r="BV165" s="39"/>
      <c r="BW165" s="39"/>
      <c r="BX165" s="39"/>
      <c r="BY165" s="39"/>
      <c r="BZ165" s="39">
        <f t="shared" si="10"/>
        <v>0</v>
      </c>
      <c r="CA165" s="39">
        <f t="shared" si="11"/>
        <v>-107</v>
      </c>
      <c r="CB165" s="39">
        <f t="shared" si="12"/>
        <v>-10</v>
      </c>
      <c r="CC165" s="39">
        <f t="shared" si="13"/>
        <v>0</v>
      </c>
      <c r="CD165" s="39">
        <f t="shared" si="14"/>
        <v>-117</v>
      </c>
      <c r="CE165" s="102">
        <f t="shared" si="15"/>
        <v>-1</v>
      </c>
      <c r="CF165" s="36"/>
      <c r="CG165" s="39" t="s">
        <v>258</v>
      </c>
      <c r="CH165" s="39"/>
      <c r="CI165" s="25">
        <v>3</v>
      </c>
    </row>
    <row r="166" spans="1:87" ht="24.75" customHeight="1">
      <c r="A166" s="36" t="s">
        <v>50</v>
      </c>
      <c r="B166" s="26">
        <v>48763</v>
      </c>
      <c r="C166" s="227">
        <v>13267490</v>
      </c>
      <c r="D166" s="36"/>
      <c r="E166" s="39">
        <v>150</v>
      </c>
      <c r="F166" s="39" t="s">
        <v>65</v>
      </c>
      <c r="G166" s="36" t="s">
        <v>47</v>
      </c>
      <c r="H166" s="36" t="s">
        <v>22</v>
      </c>
      <c r="I166" s="39">
        <v>170</v>
      </c>
      <c r="J166" s="39">
        <v>13</v>
      </c>
      <c r="K166" s="39"/>
      <c r="L166" s="39">
        <f t="shared" si="88"/>
        <v>183</v>
      </c>
      <c r="M166" s="117">
        <v>46274</v>
      </c>
      <c r="N166" s="117">
        <v>46280</v>
      </c>
      <c r="O166" s="39"/>
      <c r="P166" s="39"/>
      <c r="Q166" s="39"/>
      <c r="R166" s="39">
        <f t="shared" si="79"/>
        <v>0</v>
      </c>
      <c r="S166" s="39" t="s">
        <v>28</v>
      </c>
      <c r="T166" s="39"/>
      <c r="U166" s="39"/>
      <c r="V166" s="117">
        <v>46280</v>
      </c>
      <c r="W166" s="39">
        <f>204+15</f>
        <v>219</v>
      </c>
      <c r="X166" s="39"/>
      <c r="Y166" s="39"/>
      <c r="Z166" s="39"/>
      <c r="AA166" s="39"/>
      <c r="AB166" s="118">
        <f t="shared" si="80"/>
        <v>0</v>
      </c>
      <c r="AC166" s="39"/>
      <c r="AD166" s="39"/>
      <c r="AE166" s="39"/>
      <c r="AF166" s="39"/>
      <c r="AG166" s="39"/>
      <c r="AH166" s="39">
        <f t="shared" si="3"/>
        <v>0</v>
      </c>
      <c r="AI166" s="39"/>
      <c r="AJ166" s="39"/>
      <c r="AK166" s="39"/>
      <c r="AL166" s="39"/>
      <c r="AM166" s="39"/>
      <c r="AN166" s="39">
        <f t="shared" si="4"/>
        <v>0</v>
      </c>
      <c r="AO166" s="39"/>
      <c r="AP166" s="39"/>
      <c r="AQ166" s="39"/>
      <c r="AR166" s="39"/>
      <c r="AS166" s="39"/>
      <c r="AT166" s="39">
        <f t="shared" si="5"/>
        <v>0</v>
      </c>
      <c r="AU166" s="39"/>
      <c r="AV166" s="39"/>
      <c r="AW166" s="39"/>
      <c r="AX166" s="39"/>
      <c r="AY166" s="39"/>
      <c r="AZ166" s="39">
        <f t="shared" si="6"/>
        <v>0</v>
      </c>
      <c r="BA166" s="39"/>
      <c r="BB166" s="39"/>
      <c r="BC166" s="39"/>
      <c r="BD166" s="39"/>
      <c r="BE166" s="39"/>
      <c r="BF166" s="39">
        <f t="shared" si="7"/>
        <v>0</v>
      </c>
      <c r="BG166" s="39"/>
      <c r="BH166" s="39"/>
      <c r="BI166" s="39"/>
      <c r="BJ166" s="39"/>
      <c r="BK166" s="39"/>
      <c r="BL166" s="39">
        <f t="shared" si="8"/>
        <v>0</v>
      </c>
      <c r="BM166" s="54">
        <f t="shared" ca="1" si="9"/>
        <v>46283</v>
      </c>
      <c r="BN166" s="60">
        <v>46292</v>
      </c>
      <c r="BO166" s="57">
        <v>46308</v>
      </c>
      <c r="BP166" s="36"/>
      <c r="BQ166" s="36"/>
      <c r="BR166" s="39"/>
      <c r="BS166" s="39"/>
      <c r="BT166" s="39"/>
      <c r="BU166" s="39"/>
      <c r="BV166" s="39"/>
      <c r="BW166" s="39"/>
      <c r="BX166" s="39"/>
      <c r="BY166" s="39"/>
      <c r="BZ166" s="39">
        <f t="shared" si="10"/>
        <v>0</v>
      </c>
      <c r="CA166" s="39">
        <f t="shared" si="11"/>
        <v>-170</v>
      </c>
      <c r="CB166" s="39">
        <f t="shared" si="12"/>
        <v>-13</v>
      </c>
      <c r="CC166" s="39">
        <f t="shared" si="13"/>
        <v>0</v>
      </c>
      <c r="CD166" s="39">
        <f t="shared" si="14"/>
        <v>-183</v>
      </c>
      <c r="CE166" s="102">
        <f t="shared" si="15"/>
        <v>-1</v>
      </c>
      <c r="CF166" s="36"/>
      <c r="CG166" s="39" t="s">
        <v>258</v>
      </c>
      <c r="CH166" s="39"/>
      <c r="CI166" s="25">
        <v>3</v>
      </c>
    </row>
    <row r="167" spans="1:87" ht="24.75" customHeight="1">
      <c r="A167" s="36" t="s">
        <v>50</v>
      </c>
      <c r="B167" s="26">
        <v>48763</v>
      </c>
      <c r="C167" s="231"/>
      <c r="D167" s="36"/>
      <c r="E167" s="39">
        <v>150</v>
      </c>
      <c r="F167" s="39" t="s">
        <v>65</v>
      </c>
      <c r="G167" s="36" t="s">
        <v>2713</v>
      </c>
      <c r="H167" s="36" t="s">
        <v>22</v>
      </c>
      <c r="I167" s="39">
        <v>223</v>
      </c>
      <c r="J167" s="39">
        <v>17</v>
      </c>
      <c r="K167" s="39"/>
      <c r="L167" s="39">
        <f t="shared" ref="L167" si="89">SUM(I167:K167)</f>
        <v>240</v>
      </c>
      <c r="M167" s="117">
        <v>46274</v>
      </c>
      <c r="N167" s="117">
        <v>46280</v>
      </c>
      <c r="O167" s="39"/>
      <c r="P167" s="39"/>
      <c r="Q167" s="39"/>
      <c r="R167" s="39">
        <f t="shared" si="79"/>
        <v>0</v>
      </c>
      <c r="S167" s="39" t="s">
        <v>28</v>
      </c>
      <c r="T167" s="39"/>
      <c r="U167" s="39"/>
      <c r="V167" s="117">
        <v>46275</v>
      </c>
      <c r="W167" s="39">
        <f>250+20</f>
        <v>270</v>
      </c>
      <c r="X167" s="39"/>
      <c r="Y167" s="39"/>
      <c r="Z167" s="39"/>
      <c r="AA167" s="39"/>
      <c r="AB167" s="118">
        <f t="shared" si="80"/>
        <v>0</v>
      </c>
      <c r="AC167" s="39"/>
      <c r="AD167" s="39"/>
      <c r="AE167" s="39"/>
      <c r="AF167" s="39"/>
      <c r="AG167" s="39"/>
      <c r="AH167" s="39">
        <f t="shared" si="3"/>
        <v>0</v>
      </c>
      <c r="AI167" s="39"/>
      <c r="AJ167" s="39"/>
      <c r="AK167" s="39"/>
      <c r="AL167" s="39"/>
      <c r="AM167" s="39"/>
      <c r="AN167" s="39">
        <f t="shared" si="4"/>
        <v>0</v>
      </c>
      <c r="AO167" s="39"/>
      <c r="AP167" s="39"/>
      <c r="AQ167" s="39"/>
      <c r="AR167" s="39"/>
      <c r="AS167" s="39"/>
      <c r="AT167" s="39">
        <f t="shared" si="5"/>
        <v>0</v>
      </c>
      <c r="AU167" s="39"/>
      <c r="AV167" s="39"/>
      <c r="AW167" s="39"/>
      <c r="AX167" s="39"/>
      <c r="AY167" s="39"/>
      <c r="AZ167" s="39">
        <f t="shared" si="6"/>
        <v>0</v>
      </c>
      <c r="BA167" s="39"/>
      <c r="BB167" s="39"/>
      <c r="BC167" s="39"/>
      <c r="BD167" s="39"/>
      <c r="BE167" s="39"/>
      <c r="BF167" s="39">
        <f t="shared" si="7"/>
        <v>0</v>
      </c>
      <c r="BG167" s="39"/>
      <c r="BH167" s="39"/>
      <c r="BI167" s="39"/>
      <c r="BJ167" s="39"/>
      <c r="BK167" s="39"/>
      <c r="BL167" s="39">
        <f t="shared" si="8"/>
        <v>0</v>
      </c>
      <c r="BM167" s="54">
        <f t="shared" ca="1" si="9"/>
        <v>46283</v>
      </c>
      <c r="BN167" s="60">
        <v>46292</v>
      </c>
      <c r="BO167" s="57">
        <v>46308</v>
      </c>
      <c r="BP167" s="36"/>
      <c r="BQ167" s="36"/>
      <c r="BR167" s="39"/>
      <c r="BS167" s="39"/>
      <c r="BT167" s="39"/>
      <c r="BU167" s="39"/>
      <c r="BV167" s="39"/>
      <c r="BW167" s="39"/>
      <c r="BX167" s="39"/>
      <c r="BY167" s="39"/>
      <c r="BZ167" s="39">
        <f t="shared" si="10"/>
        <v>0</v>
      </c>
      <c r="CA167" s="39">
        <f t="shared" si="11"/>
        <v>-223</v>
      </c>
      <c r="CB167" s="39">
        <f t="shared" si="12"/>
        <v>-17</v>
      </c>
      <c r="CC167" s="39">
        <f t="shared" si="13"/>
        <v>0</v>
      </c>
      <c r="CD167" s="39">
        <f t="shared" si="14"/>
        <v>-240</v>
      </c>
      <c r="CE167" s="102">
        <f t="shared" si="15"/>
        <v>-1</v>
      </c>
      <c r="CF167" s="36"/>
      <c r="CG167" s="39" t="s">
        <v>258</v>
      </c>
      <c r="CH167" s="39"/>
      <c r="CI167" s="25">
        <v>3</v>
      </c>
    </row>
    <row r="168" spans="1:87" ht="24.75" customHeight="1">
      <c r="A168" s="36" t="s">
        <v>50</v>
      </c>
      <c r="B168" s="26">
        <v>48763</v>
      </c>
      <c r="C168" s="228"/>
      <c r="D168" s="36"/>
      <c r="E168" s="39">
        <v>150</v>
      </c>
      <c r="F168" s="39" t="s">
        <v>65</v>
      </c>
      <c r="G168" s="36" t="s">
        <v>2714</v>
      </c>
      <c r="H168" s="36" t="s">
        <v>22</v>
      </c>
      <c r="I168" s="39">
        <v>223</v>
      </c>
      <c r="J168" s="39">
        <v>17</v>
      </c>
      <c r="K168" s="39"/>
      <c r="L168" s="39">
        <f t="shared" ref="L168:L171" si="90">SUM(I168:K168)</f>
        <v>240</v>
      </c>
      <c r="M168" s="117">
        <v>46274</v>
      </c>
      <c r="N168" s="117">
        <v>46280</v>
      </c>
      <c r="O168" s="39"/>
      <c r="P168" s="39"/>
      <c r="Q168" s="39"/>
      <c r="R168" s="39">
        <f t="shared" si="79"/>
        <v>0</v>
      </c>
      <c r="S168" s="39" t="s">
        <v>28</v>
      </c>
      <c r="T168" s="39"/>
      <c r="U168" s="39"/>
      <c r="V168" s="117">
        <v>46275</v>
      </c>
      <c r="W168" s="39">
        <f>251+20</f>
        <v>271</v>
      </c>
      <c r="X168" s="39"/>
      <c r="Y168" s="39"/>
      <c r="Z168" s="39"/>
      <c r="AA168" s="39"/>
      <c r="AB168" s="118">
        <f t="shared" si="80"/>
        <v>0</v>
      </c>
      <c r="AC168" s="39"/>
      <c r="AD168" s="39"/>
      <c r="AE168" s="39"/>
      <c r="AF168" s="39"/>
      <c r="AG168" s="39"/>
      <c r="AH168" s="39">
        <f t="shared" si="3"/>
        <v>0</v>
      </c>
      <c r="AI168" s="39"/>
      <c r="AJ168" s="39"/>
      <c r="AK168" s="39"/>
      <c r="AL168" s="39"/>
      <c r="AM168" s="39"/>
      <c r="AN168" s="39">
        <f t="shared" si="4"/>
        <v>0</v>
      </c>
      <c r="AO168" s="39"/>
      <c r="AP168" s="39"/>
      <c r="AQ168" s="39"/>
      <c r="AR168" s="39"/>
      <c r="AS168" s="39"/>
      <c r="AT168" s="39">
        <f t="shared" si="5"/>
        <v>0</v>
      </c>
      <c r="AU168" s="39"/>
      <c r="AV168" s="39"/>
      <c r="AW168" s="39"/>
      <c r="AX168" s="39"/>
      <c r="AY168" s="39"/>
      <c r="AZ168" s="39">
        <f t="shared" si="6"/>
        <v>0</v>
      </c>
      <c r="BA168" s="39"/>
      <c r="BB168" s="39"/>
      <c r="BC168" s="39"/>
      <c r="BD168" s="39"/>
      <c r="BE168" s="39"/>
      <c r="BF168" s="39">
        <f t="shared" si="7"/>
        <v>0</v>
      </c>
      <c r="BG168" s="39"/>
      <c r="BH168" s="39"/>
      <c r="BI168" s="39"/>
      <c r="BJ168" s="39"/>
      <c r="BK168" s="39"/>
      <c r="BL168" s="39">
        <f t="shared" si="8"/>
        <v>0</v>
      </c>
      <c r="BM168" s="54">
        <f t="shared" ca="1" si="9"/>
        <v>46283</v>
      </c>
      <c r="BN168" s="60">
        <v>46292</v>
      </c>
      <c r="BO168" s="57">
        <v>46308</v>
      </c>
      <c r="BP168" s="36"/>
      <c r="BQ168" s="36"/>
      <c r="BR168" s="39"/>
      <c r="BS168" s="39"/>
      <c r="BT168" s="39"/>
      <c r="BU168" s="39"/>
      <c r="BV168" s="39"/>
      <c r="BW168" s="39"/>
      <c r="BX168" s="39"/>
      <c r="BY168" s="39"/>
      <c r="BZ168" s="39">
        <f t="shared" si="10"/>
        <v>0</v>
      </c>
      <c r="CA168" s="39">
        <f t="shared" si="11"/>
        <v>-223</v>
      </c>
      <c r="CB168" s="39">
        <f t="shared" si="12"/>
        <v>-17</v>
      </c>
      <c r="CC168" s="39">
        <f t="shared" si="13"/>
        <v>0</v>
      </c>
      <c r="CD168" s="39">
        <f t="shared" si="14"/>
        <v>-240</v>
      </c>
      <c r="CE168" s="102">
        <f t="shared" si="15"/>
        <v>-1</v>
      </c>
      <c r="CF168" s="36"/>
      <c r="CG168" s="39" t="s">
        <v>258</v>
      </c>
      <c r="CH168" s="39"/>
      <c r="CI168" s="25">
        <v>3</v>
      </c>
    </row>
    <row r="169" spans="1:87" ht="24.75" customHeight="1">
      <c r="A169" s="36" t="s">
        <v>50</v>
      </c>
      <c r="B169" s="26">
        <v>48757</v>
      </c>
      <c r="C169" s="227">
        <v>13230153</v>
      </c>
      <c r="D169" s="36"/>
      <c r="E169" s="39">
        <v>150</v>
      </c>
      <c r="F169" s="39" t="s">
        <v>65</v>
      </c>
      <c r="G169" s="36" t="s">
        <v>2685</v>
      </c>
      <c r="H169" s="36" t="s">
        <v>22</v>
      </c>
      <c r="I169" s="39">
        <v>421</v>
      </c>
      <c r="J169" s="39"/>
      <c r="K169" s="39"/>
      <c r="L169" s="39">
        <f t="shared" si="90"/>
        <v>421</v>
      </c>
      <c r="M169" s="117">
        <v>46275</v>
      </c>
      <c r="N169" s="117">
        <v>46280</v>
      </c>
      <c r="O169" s="39"/>
      <c r="P169" s="39"/>
      <c r="Q169" s="39"/>
      <c r="R169" s="39">
        <f t="shared" si="79"/>
        <v>0</v>
      </c>
      <c r="S169" s="39" t="s">
        <v>28</v>
      </c>
      <c r="T169" s="39"/>
      <c r="U169" s="39"/>
      <c r="V169" s="117">
        <v>46276</v>
      </c>
      <c r="W169" s="39">
        <v>472</v>
      </c>
      <c r="X169" s="39"/>
      <c r="Y169" s="39"/>
      <c r="Z169" s="39"/>
      <c r="AA169" s="39"/>
      <c r="AB169" s="118">
        <f t="shared" si="80"/>
        <v>0</v>
      </c>
      <c r="AC169" s="39"/>
      <c r="AD169" s="39"/>
      <c r="AE169" s="39"/>
      <c r="AF169" s="39"/>
      <c r="AG169" s="39"/>
      <c r="AH169" s="39">
        <f t="shared" si="3"/>
        <v>0</v>
      </c>
      <c r="AI169" s="39"/>
      <c r="AJ169" s="39"/>
      <c r="AK169" s="39"/>
      <c r="AL169" s="39"/>
      <c r="AM169" s="39"/>
      <c r="AN169" s="39">
        <f t="shared" si="4"/>
        <v>0</v>
      </c>
      <c r="AO169" s="39"/>
      <c r="AP169" s="39"/>
      <c r="AQ169" s="39"/>
      <c r="AR169" s="39"/>
      <c r="AS169" s="39"/>
      <c r="AT169" s="39">
        <f t="shared" si="5"/>
        <v>0</v>
      </c>
      <c r="AU169" s="39"/>
      <c r="AV169" s="39"/>
      <c r="AW169" s="39"/>
      <c r="AX169" s="39"/>
      <c r="AY169" s="39"/>
      <c r="AZ169" s="39">
        <f t="shared" si="6"/>
        <v>0</v>
      </c>
      <c r="BA169" s="39"/>
      <c r="BB169" s="39"/>
      <c r="BC169" s="39"/>
      <c r="BD169" s="39"/>
      <c r="BE169" s="39"/>
      <c r="BF169" s="39">
        <f t="shared" si="7"/>
        <v>0</v>
      </c>
      <c r="BG169" s="39"/>
      <c r="BH169" s="39"/>
      <c r="BI169" s="39"/>
      <c r="BJ169" s="39"/>
      <c r="BK169" s="39"/>
      <c r="BL169" s="39">
        <f t="shared" si="8"/>
        <v>0</v>
      </c>
      <c r="BM169" s="54">
        <f t="shared" ca="1" si="9"/>
        <v>46283</v>
      </c>
      <c r="BN169" s="60">
        <v>46287</v>
      </c>
      <c r="BO169" s="57">
        <v>46300</v>
      </c>
      <c r="BP169" s="57">
        <v>46301</v>
      </c>
      <c r="BQ169" s="57">
        <v>46307</v>
      </c>
      <c r="BR169" s="39"/>
      <c r="BS169" s="39"/>
      <c r="BT169" s="39"/>
      <c r="BU169" s="39"/>
      <c r="BV169" s="39"/>
      <c r="BW169" s="39"/>
      <c r="BX169" s="39"/>
      <c r="BY169" s="39"/>
      <c r="BZ169" s="39">
        <f t="shared" si="10"/>
        <v>0</v>
      </c>
      <c r="CA169" s="39">
        <f t="shared" si="11"/>
        <v>-421</v>
      </c>
      <c r="CB169" s="39">
        <f t="shared" si="12"/>
        <v>0</v>
      </c>
      <c r="CC169" s="39">
        <f t="shared" si="13"/>
        <v>0</v>
      </c>
      <c r="CD169" s="39">
        <f t="shared" si="14"/>
        <v>-421</v>
      </c>
      <c r="CE169" s="102">
        <f t="shared" si="15"/>
        <v>-1</v>
      </c>
      <c r="CF169" s="36"/>
      <c r="CG169" s="39" t="s">
        <v>258</v>
      </c>
      <c r="CH169" s="39"/>
      <c r="CI169" s="25">
        <v>3</v>
      </c>
    </row>
    <row r="170" spans="1:87" ht="24.75" customHeight="1">
      <c r="A170" s="36" t="s">
        <v>50</v>
      </c>
      <c r="B170" s="26">
        <v>48757</v>
      </c>
      <c r="C170" s="228"/>
      <c r="D170" s="36"/>
      <c r="E170" s="39">
        <v>150</v>
      </c>
      <c r="F170" s="39" t="s">
        <v>65</v>
      </c>
      <c r="G170" s="36" t="s">
        <v>1075</v>
      </c>
      <c r="H170" s="36" t="s">
        <v>22</v>
      </c>
      <c r="I170" s="39">
        <v>421</v>
      </c>
      <c r="J170" s="39"/>
      <c r="K170" s="39"/>
      <c r="L170" s="39">
        <f t="shared" si="90"/>
        <v>421</v>
      </c>
      <c r="M170" s="117">
        <v>46275</v>
      </c>
      <c r="N170" s="117">
        <v>46280</v>
      </c>
      <c r="O170" s="39"/>
      <c r="P170" s="39"/>
      <c r="Q170" s="39"/>
      <c r="R170" s="39">
        <f t="shared" si="79"/>
        <v>0</v>
      </c>
      <c r="S170" s="39" t="s">
        <v>28</v>
      </c>
      <c r="T170" s="39"/>
      <c r="U170" s="39"/>
      <c r="V170" s="117">
        <v>46275</v>
      </c>
      <c r="W170" s="39">
        <v>472</v>
      </c>
      <c r="X170" s="39"/>
      <c r="Y170" s="39"/>
      <c r="Z170" s="39"/>
      <c r="AA170" s="39"/>
      <c r="AB170" s="118">
        <f t="shared" si="80"/>
        <v>0</v>
      </c>
      <c r="AC170" s="39"/>
      <c r="AD170" s="39"/>
      <c r="AE170" s="39"/>
      <c r="AF170" s="39"/>
      <c r="AG170" s="39"/>
      <c r="AH170" s="39">
        <f t="shared" si="3"/>
        <v>0</v>
      </c>
      <c r="AI170" s="39"/>
      <c r="AJ170" s="39"/>
      <c r="AK170" s="39"/>
      <c r="AL170" s="39"/>
      <c r="AM170" s="39"/>
      <c r="AN170" s="39">
        <f t="shared" si="4"/>
        <v>0</v>
      </c>
      <c r="AO170" s="39"/>
      <c r="AP170" s="39"/>
      <c r="AQ170" s="39"/>
      <c r="AR170" s="39"/>
      <c r="AS170" s="39"/>
      <c r="AT170" s="39">
        <f t="shared" si="5"/>
        <v>0</v>
      </c>
      <c r="AU170" s="39"/>
      <c r="AV170" s="39"/>
      <c r="AW170" s="39"/>
      <c r="AX170" s="39"/>
      <c r="AY170" s="39"/>
      <c r="AZ170" s="39">
        <f t="shared" si="6"/>
        <v>0</v>
      </c>
      <c r="BA170" s="39"/>
      <c r="BB170" s="39"/>
      <c r="BC170" s="39"/>
      <c r="BD170" s="39"/>
      <c r="BE170" s="39"/>
      <c r="BF170" s="39">
        <f t="shared" si="7"/>
        <v>0</v>
      </c>
      <c r="BG170" s="39"/>
      <c r="BH170" s="39"/>
      <c r="BI170" s="39"/>
      <c r="BJ170" s="39"/>
      <c r="BK170" s="39"/>
      <c r="BL170" s="39">
        <f t="shared" si="8"/>
        <v>0</v>
      </c>
      <c r="BM170" s="54">
        <f t="shared" ca="1" si="9"/>
        <v>46283</v>
      </c>
      <c r="BN170" s="60">
        <v>46287</v>
      </c>
      <c r="BO170" s="57">
        <v>46300</v>
      </c>
      <c r="BP170" s="57">
        <v>46301</v>
      </c>
      <c r="BQ170" s="57">
        <v>46307</v>
      </c>
      <c r="BR170" s="39"/>
      <c r="BS170" s="39"/>
      <c r="BT170" s="39"/>
      <c r="BU170" s="39"/>
      <c r="BV170" s="39"/>
      <c r="BW170" s="39"/>
      <c r="BX170" s="39"/>
      <c r="BY170" s="39"/>
      <c r="BZ170" s="39">
        <f t="shared" si="10"/>
        <v>0</v>
      </c>
      <c r="CA170" s="39">
        <f t="shared" si="11"/>
        <v>-421</v>
      </c>
      <c r="CB170" s="39">
        <f t="shared" si="12"/>
        <v>0</v>
      </c>
      <c r="CC170" s="39">
        <f t="shared" si="13"/>
        <v>0</v>
      </c>
      <c r="CD170" s="39">
        <f t="shared" si="14"/>
        <v>-421</v>
      </c>
      <c r="CE170" s="102">
        <f t="shared" si="15"/>
        <v>-1</v>
      </c>
      <c r="CF170" s="36"/>
      <c r="CG170" s="39" t="s">
        <v>258</v>
      </c>
      <c r="CH170" s="39"/>
      <c r="CI170" s="25">
        <v>3</v>
      </c>
    </row>
    <row r="171" spans="1:87" ht="24.75" customHeight="1">
      <c r="A171" s="36" t="s">
        <v>50</v>
      </c>
      <c r="B171" s="26">
        <v>48753</v>
      </c>
      <c r="C171" s="227">
        <v>13228145</v>
      </c>
      <c r="D171" s="36"/>
      <c r="E171" s="39">
        <v>180</v>
      </c>
      <c r="F171" s="39" t="s">
        <v>55</v>
      </c>
      <c r="G171" s="36" t="s">
        <v>523</v>
      </c>
      <c r="H171" s="36" t="s">
        <v>87</v>
      </c>
      <c r="I171" s="39">
        <v>108</v>
      </c>
      <c r="J171" s="39">
        <v>12</v>
      </c>
      <c r="K171" s="39"/>
      <c r="L171" s="39">
        <f t="shared" si="90"/>
        <v>120</v>
      </c>
      <c r="M171" s="117">
        <v>46273</v>
      </c>
      <c r="N171" s="117">
        <v>46279</v>
      </c>
      <c r="O171" s="39"/>
      <c r="P171" s="39"/>
      <c r="Q171" s="39"/>
      <c r="R171" s="39">
        <f t="shared" si="79"/>
        <v>0</v>
      </c>
      <c r="S171" s="39" t="s">
        <v>28</v>
      </c>
      <c r="T171" s="39"/>
      <c r="U171" s="39"/>
      <c r="V171" s="117">
        <v>46279</v>
      </c>
      <c r="W171" s="39">
        <f>135+14</f>
        <v>149</v>
      </c>
      <c r="X171" s="39"/>
      <c r="Y171" s="39"/>
      <c r="Z171" s="39"/>
      <c r="AA171" s="39"/>
      <c r="AB171" s="118">
        <f t="shared" si="80"/>
        <v>0</v>
      </c>
      <c r="AC171" s="39"/>
      <c r="AD171" s="39"/>
      <c r="AE171" s="39"/>
      <c r="AF171" s="39"/>
      <c r="AG171" s="39"/>
      <c r="AH171" s="39">
        <f t="shared" si="3"/>
        <v>0</v>
      </c>
      <c r="AI171" s="39"/>
      <c r="AJ171" s="39"/>
      <c r="AK171" s="39"/>
      <c r="AL171" s="39"/>
      <c r="AM171" s="39"/>
      <c r="AN171" s="39">
        <f t="shared" si="4"/>
        <v>0</v>
      </c>
      <c r="AO171" s="39"/>
      <c r="AP171" s="39"/>
      <c r="AQ171" s="39"/>
      <c r="AR171" s="39"/>
      <c r="AS171" s="39"/>
      <c r="AT171" s="39">
        <f t="shared" si="5"/>
        <v>0</v>
      </c>
      <c r="AU171" s="39"/>
      <c r="AV171" s="39"/>
      <c r="AW171" s="39"/>
      <c r="AX171" s="39"/>
      <c r="AY171" s="39"/>
      <c r="AZ171" s="39">
        <f t="shared" si="6"/>
        <v>0</v>
      </c>
      <c r="BA171" s="39"/>
      <c r="BB171" s="39"/>
      <c r="BC171" s="39"/>
      <c r="BD171" s="39"/>
      <c r="BE171" s="39"/>
      <c r="BF171" s="39">
        <f t="shared" si="7"/>
        <v>0</v>
      </c>
      <c r="BG171" s="39"/>
      <c r="BH171" s="39"/>
      <c r="BI171" s="39"/>
      <c r="BJ171" s="39"/>
      <c r="BK171" s="39"/>
      <c r="BL171" s="39">
        <f t="shared" si="8"/>
        <v>0</v>
      </c>
      <c r="BM171" s="54">
        <f t="shared" ca="1" si="9"/>
        <v>46283</v>
      </c>
      <c r="BN171" s="60">
        <v>46288</v>
      </c>
      <c r="BO171" s="57">
        <v>46304</v>
      </c>
      <c r="BP171" s="36"/>
      <c r="BQ171" s="36"/>
      <c r="BR171" s="39"/>
      <c r="BS171" s="39"/>
      <c r="BT171" s="39"/>
      <c r="BU171" s="39"/>
      <c r="BV171" s="39"/>
      <c r="BW171" s="39"/>
      <c r="BX171" s="39"/>
      <c r="BY171" s="39"/>
      <c r="BZ171" s="39">
        <f t="shared" si="10"/>
        <v>0</v>
      </c>
      <c r="CA171" s="39">
        <f t="shared" si="11"/>
        <v>-108</v>
      </c>
      <c r="CB171" s="39">
        <f t="shared" si="12"/>
        <v>-12</v>
      </c>
      <c r="CC171" s="39">
        <f t="shared" si="13"/>
        <v>0</v>
      </c>
      <c r="CD171" s="39">
        <f t="shared" si="14"/>
        <v>-120</v>
      </c>
      <c r="CE171" s="102">
        <f t="shared" si="15"/>
        <v>-1</v>
      </c>
      <c r="CF171" s="36"/>
      <c r="CG171" s="39" t="s">
        <v>258</v>
      </c>
      <c r="CH171" s="39"/>
      <c r="CI171" s="25">
        <v>3</v>
      </c>
    </row>
    <row r="172" spans="1:87" ht="24.75" customHeight="1">
      <c r="A172" s="36" t="s">
        <v>50</v>
      </c>
      <c r="B172" s="26">
        <v>48753</v>
      </c>
      <c r="C172" s="231"/>
      <c r="D172" s="36"/>
      <c r="E172" s="39">
        <v>180</v>
      </c>
      <c r="F172" s="39" t="s">
        <v>55</v>
      </c>
      <c r="G172" s="36" t="s">
        <v>513</v>
      </c>
      <c r="H172" s="36" t="s">
        <v>87</v>
      </c>
      <c r="I172" s="39">
        <v>111</v>
      </c>
      <c r="J172" s="39">
        <v>12</v>
      </c>
      <c r="K172" s="39"/>
      <c r="L172" s="39">
        <f t="shared" ref="L172" si="91">SUM(I172:K172)</f>
        <v>123</v>
      </c>
      <c r="M172" s="117">
        <v>46273</v>
      </c>
      <c r="N172" s="117">
        <v>46279</v>
      </c>
      <c r="O172" s="39"/>
      <c r="P172" s="39"/>
      <c r="Q172" s="39"/>
      <c r="R172" s="39">
        <f t="shared" si="79"/>
        <v>0</v>
      </c>
      <c r="S172" s="39" t="s">
        <v>28</v>
      </c>
      <c r="T172" s="39"/>
      <c r="U172" s="39"/>
      <c r="V172" s="117">
        <v>46279</v>
      </c>
      <c r="W172" s="39">
        <f>138+14</f>
        <v>152</v>
      </c>
      <c r="X172" s="39"/>
      <c r="Y172" s="39"/>
      <c r="Z172" s="39"/>
      <c r="AA172" s="39"/>
      <c r="AB172" s="118">
        <f t="shared" si="80"/>
        <v>0</v>
      </c>
      <c r="AC172" s="39"/>
      <c r="AD172" s="39"/>
      <c r="AE172" s="39"/>
      <c r="AF172" s="39"/>
      <c r="AG172" s="39"/>
      <c r="AH172" s="39">
        <f t="shared" si="3"/>
        <v>0</v>
      </c>
      <c r="AI172" s="39"/>
      <c r="AJ172" s="39"/>
      <c r="AK172" s="39"/>
      <c r="AL172" s="39"/>
      <c r="AM172" s="39"/>
      <c r="AN172" s="39">
        <f t="shared" si="4"/>
        <v>0</v>
      </c>
      <c r="AO172" s="39"/>
      <c r="AP172" s="39"/>
      <c r="AQ172" s="39"/>
      <c r="AR172" s="39"/>
      <c r="AS172" s="39"/>
      <c r="AT172" s="39">
        <f t="shared" si="5"/>
        <v>0</v>
      </c>
      <c r="AU172" s="39"/>
      <c r="AV172" s="39"/>
      <c r="AW172" s="39"/>
      <c r="AX172" s="39"/>
      <c r="AY172" s="39"/>
      <c r="AZ172" s="39">
        <f t="shared" si="6"/>
        <v>0</v>
      </c>
      <c r="BA172" s="39"/>
      <c r="BB172" s="39"/>
      <c r="BC172" s="39"/>
      <c r="BD172" s="39"/>
      <c r="BE172" s="39"/>
      <c r="BF172" s="39">
        <f t="shared" si="7"/>
        <v>0</v>
      </c>
      <c r="BG172" s="39"/>
      <c r="BH172" s="39"/>
      <c r="BI172" s="39"/>
      <c r="BJ172" s="39"/>
      <c r="BK172" s="39"/>
      <c r="BL172" s="39">
        <f t="shared" si="8"/>
        <v>0</v>
      </c>
      <c r="BM172" s="54">
        <f t="shared" ca="1" si="9"/>
        <v>46283</v>
      </c>
      <c r="BN172" s="60">
        <v>46288</v>
      </c>
      <c r="BO172" s="57">
        <v>46304</v>
      </c>
      <c r="BP172" s="36"/>
      <c r="BQ172" s="36"/>
      <c r="BR172" s="39"/>
      <c r="BS172" s="39"/>
      <c r="BT172" s="39"/>
      <c r="BU172" s="39"/>
      <c r="BV172" s="39"/>
      <c r="BW172" s="39"/>
      <c r="BX172" s="39"/>
      <c r="BY172" s="39"/>
      <c r="BZ172" s="39">
        <f t="shared" si="10"/>
        <v>0</v>
      </c>
      <c r="CA172" s="39">
        <f t="shared" si="11"/>
        <v>-111</v>
      </c>
      <c r="CB172" s="39">
        <f t="shared" si="12"/>
        <v>-12</v>
      </c>
      <c r="CC172" s="39">
        <f t="shared" si="13"/>
        <v>0</v>
      </c>
      <c r="CD172" s="39">
        <f t="shared" si="14"/>
        <v>-123</v>
      </c>
      <c r="CE172" s="102">
        <f t="shared" si="15"/>
        <v>-1</v>
      </c>
      <c r="CF172" s="36"/>
      <c r="CG172" s="39" t="s">
        <v>258</v>
      </c>
      <c r="CH172" s="39"/>
      <c r="CI172" s="25">
        <v>3</v>
      </c>
    </row>
    <row r="173" spans="1:87" ht="24.75" customHeight="1">
      <c r="A173" s="36" t="s">
        <v>50</v>
      </c>
      <c r="B173" s="26">
        <v>48753</v>
      </c>
      <c r="C173" s="228"/>
      <c r="D173" s="36"/>
      <c r="E173" s="39">
        <v>180</v>
      </c>
      <c r="F173" s="39" t="s">
        <v>55</v>
      </c>
      <c r="G173" s="36" t="s">
        <v>1077</v>
      </c>
      <c r="H173" s="36" t="s">
        <v>87</v>
      </c>
      <c r="I173" s="39">
        <v>96</v>
      </c>
      <c r="J173" s="39">
        <v>10</v>
      </c>
      <c r="K173" s="39"/>
      <c r="L173" s="39">
        <f t="shared" ref="L173:L179" si="92">SUM(I173:K173)</f>
        <v>106</v>
      </c>
      <c r="M173" s="117">
        <v>46273</v>
      </c>
      <c r="N173" s="117">
        <v>46279</v>
      </c>
      <c r="O173" s="39"/>
      <c r="P173" s="39"/>
      <c r="Q173" s="39"/>
      <c r="R173" s="39">
        <f t="shared" si="79"/>
        <v>0</v>
      </c>
      <c r="S173" s="39" t="s">
        <v>28</v>
      </c>
      <c r="T173" s="39"/>
      <c r="U173" s="39"/>
      <c r="V173" s="117">
        <v>46279</v>
      </c>
      <c r="W173" s="39">
        <f>120+12</f>
        <v>132</v>
      </c>
      <c r="X173" s="39"/>
      <c r="Y173" s="39"/>
      <c r="Z173" s="39"/>
      <c r="AA173" s="39"/>
      <c r="AB173" s="118">
        <f t="shared" si="80"/>
        <v>0</v>
      </c>
      <c r="AC173" s="39"/>
      <c r="AD173" s="39"/>
      <c r="AE173" s="39"/>
      <c r="AF173" s="39"/>
      <c r="AG173" s="39"/>
      <c r="AH173" s="39">
        <f t="shared" si="3"/>
        <v>0</v>
      </c>
      <c r="AI173" s="39"/>
      <c r="AJ173" s="39"/>
      <c r="AK173" s="39"/>
      <c r="AL173" s="39"/>
      <c r="AM173" s="39"/>
      <c r="AN173" s="39">
        <f t="shared" si="4"/>
        <v>0</v>
      </c>
      <c r="AO173" s="39"/>
      <c r="AP173" s="39"/>
      <c r="AQ173" s="39"/>
      <c r="AR173" s="39"/>
      <c r="AS173" s="39"/>
      <c r="AT173" s="39">
        <f t="shared" si="5"/>
        <v>0</v>
      </c>
      <c r="AU173" s="39"/>
      <c r="AV173" s="39"/>
      <c r="AW173" s="39"/>
      <c r="AX173" s="39"/>
      <c r="AY173" s="39"/>
      <c r="AZ173" s="39">
        <f t="shared" si="6"/>
        <v>0</v>
      </c>
      <c r="BA173" s="39"/>
      <c r="BB173" s="39"/>
      <c r="BC173" s="39"/>
      <c r="BD173" s="39"/>
      <c r="BE173" s="39"/>
      <c r="BF173" s="39">
        <f t="shared" si="7"/>
        <v>0</v>
      </c>
      <c r="BG173" s="39"/>
      <c r="BH173" s="39"/>
      <c r="BI173" s="39"/>
      <c r="BJ173" s="39"/>
      <c r="BK173" s="39"/>
      <c r="BL173" s="39">
        <f t="shared" si="8"/>
        <v>0</v>
      </c>
      <c r="BM173" s="54">
        <f t="shared" ca="1" si="9"/>
        <v>46283</v>
      </c>
      <c r="BN173" s="60">
        <v>46288</v>
      </c>
      <c r="BO173" s="57">
        <v>46304</v>
      </c>
      <c r="BP173" s="36"/>
      <c r="BQ173" s="36"/>
      <c r="BR173" s="39"/>
      <c r="BS173" s="39"/>
      <c r="BT173" s="39"/>
      <c r="BU173" s="39"/>
      <c r="BV173" s="39"/>
      <c r="BW173" s="39"/>
      <c r="BX173" s="39"/>
      <c r="BY173" s="39"/>
      <c r="BZ173" s="39">
        <f t="shared" si="10"/>
        <v>0</v>
      </c>
      <c r="CA173" s="39">
        <f t="shared" si="11"/>
        <v>-96</v>
      </c>
      <c r="CB173" s="39">
        <f t="shared" si="12"/>
        <v>-10</v>
      </c>
      <c r="CC173" s="39">
        <f t="shared" si="13"/>
        <v>0</v>
      </c>
      <c r="CD173" s="39">
        <f t="shared" si="14"/>
        <v>-106</v>
      </c>
      <c r="CE173" s="102">
        <f t="shared" si="15"/>
        <v>-1</v>
      </c>
      <c r="CF173" s="36"/>
      <c r="CG173" s="39" t="s">
        <v>258</v>
      </c>
      <c r="CH173" s="39"/>
      <c r="CI173" s="25">
        <v>3</v>
      </c>
    </row>
    <row r="174" spans="1:87" ht="24.75" customHeight="1">
      <c r="A174" s="36" t="s">
        <v>50</v>
      </c>
      <c r="B174" s="26">
        <v>48752</v>
      </c>
      <c r="C174" s="227">
        <v>13224958</v>
      </c>
      <c r="D174" s="36"/>
      <c r="E174" s="39">
        <v>180</v>
      </c>
      <c r="F174" s="39" t="s">
        <v>55</v>
      </c>
      <c r="G174" s="36" t="s">
        <v>523</v>
      </c>
      <c r="H174" s="36" t="s">
        <v>87</v>
      </c>
      <c r="I174" s="39">
        <v>59</v>
      </c>
      <c r="J174" s="39">
        <v>7</v>
      </c>
      <c r="K174" s="39"/>
      <c r="L174" s="39">
        <f t="shared" si="92"/>
        <v>66</v>
      </c>
      <c r="M174" s="117">
        <v>46275</v>
      </c>
      <c r="N174" s="117">
        <v>46279</v>
      </c>
      <c r="O174" s="39"/>
      <c r="P174" s="39"/>
      <c r="Q174" s="39"/>
      <c r="R174" s="39">
        <f t="shared" si="79"/>
        <v>0</v>
      </c>
      <c r="S174" s="39" t="s">
        <v>28</v>
      </c>
      <c r="T174" s="39"/>
      <c r="U174" s="39"/>
      <c r="V174" s="117">
        <v>46279</v>
      </c>
      <c r="W174" s="39">
        <f>76+9</f>
        <v>85</v>
      </c>
      <c r="X174" s="39"/>
      <c r="Y174" s="39"/>
      <c r="Z174" s="39"/>
      <c r="AA174" s="39"/>
      <c r="AB174" s="118">
        <f t="shared" si="80"/>
        <v>0</v>
      </c>
      <c r="AC174" s="39"/>
      <c r="AD174" s="39"/>
      <c r="AE174" s="39"/>
      <c r="AF174" s="39"/>
      <c r="AG174" s="39"/>
      <c r="AH174" s="39">
        <f t="shared" si="3"/>
        <v>0</v>
      </c>
      <c r="AI174" s="39"/>
      <c r="AJ174" s="39"/>
      <c r="AK174" s="39"/>
      <c r="AL174" s="39"/>
      <c r="AM174" s="39"/>
      <c r="AN174" s="39">
        <f t="shared" si="4"/>
        <v>0</v>
      </c>
      <c r="AO174" s="39"/>
      <c r="AP174" s="39"/>
      <c r="AQ174" s="39"/>
      <c r="AR174" s="39"/>
      <c r="AS174" s="39"/>
      <c r="AT174" s="39">
        <f t="shared" si="5"/>
        <v>0</v>
      </c>
      <c r="AU174" s="39"/>
      <c r="AV174" s="39"/>
      <c r="AW174" s="39"/>
      <c r="AX174" s="39"/>
      <c r="AY174" s="39"/>
      <c r="AZ174" s="39">
        <f t="shared" si="6"/>
        <v>0</v>
      </c>
      <c r="BA174" s="39"/>
      <c r="BB174" s="39"/>
      <c r="BC174" s="39"/>
      <c r="BD174" s="39"/>
      <c r="BE174" s="39"/>
      <c r="BF174" s="39">
        <f t="shared" si="7"/>
        <v>0</v>
      </c>
      <c r="BG174" s="39"/>
      <c r="BH174" s="39"/>
      <c r="BI174" s="39"/>
      <c r="BJ174" s="39"/>
      <c r="BK174" s="39"/>
      <c r="BL174" s="39">
        <f t="shared" si="8"/>
        <v>0</v>
      </c>
      <c r="BM174" s="54">
        <f t="shared" ca="1" si="9"/>
        <v>46283</v>
      </c>
      <c r="BN174" s="60">
        <v>46290</v>
      </c>
      <c r="BO174" s="57">
        <v>46305</v>
      </c>
      <c r="BP174" s="36"/>
      <c r="BQ174" s="36"/>
      <c r="BR174" s="39"/>
      <c r="BS174" s="39"/>
      <c r="BT174" s="39"/>
      <c r="BU174" s="39"/>
      <c r="BV174" s="39"/>
      <c r="BW174" s="39"/>
      <c r="BX174" s="39"/>
      <c r="BY174" s="39"/>
      <c r="BZ174" s="39">
        <f t="shared" si="10"/>
        <v>0</v>
      </c>
      <c r="CA174" s="39">
        <f t="shared" si="11"/>
        <v>-59</v>
      </c>
      <c r="CB174" s="39">
        <f t="shared" si="12"/>
        <v>-7</v>
      </c>
      <c r="CC174" s="39">
        <f t="shared" si="13"/>
        <v>0</v>
      </c>
      <c r="CD174" s="39">
        <f t="shared" si="14"/>
        <v>-66</v>
      </c>
      <c r="CE174" s="102">
        <f t="shared" si="15"/>
        <v>-1</v>
      </c>
      <c r="CF174" s="36"/>
      <c r="CG174" s="39" t="s">
        <v>258</v>
      </c>
      <c r="CH174" s="39"/>
      <c r="CI174" s="25">
        <v>3</v>
      </c>
    </row>
    <row r="175" spans="1:87" ht="24.75" customHeight="1">
      <c r="A175" s="36" t="s">
        <v>50</v>
      </c>
      <c r="B175" s="26">
        <v>48752</v>
      </c>
      <c r="C175" s="231"/>
      <c r="D175" s="36"/>
      <c r="E175" s="39">
        <v>180</v>
      </c>
      <c r="F175" s="39" t="s">
        <v>55</v>
      </c>
      <c r="G175" s="36" t="s">
        <v>47</v>
      </c>
      <c r="H175" s="36" t="s">
        <v>87</v>
      </c>
      <c r="I175" s="39">
        <v>48</v>
      </c>
      <c r="J175" s="39">
        <v>5</v>
      </c>
      <c r="K175" s="39"/>
      <c r="L175" s="39">
        <f t="shared" si="92"/>
        <v>53</v>
      </c>
      <c r="M175" s="117">
        <v>46275</v>
      </c>
      <c r="N175" s="117">
        <v>46279</v>
      </c>
      <c r="O175" s="39"/>
      <c r="P175" s="39"/>
      <c r="Q175" s="39"/>
      <c r="R175" s="39">
        <f t="shared" si="79"/>
        <v>0</v>
      </c>
      <c r="S175" s="39" t="s">
        <v>130</v>
      </c>
      <c r="T175" s="39"/>
      <c r="U175" s="39"/>
      <c r="V175" s="39"/>
      <c r="W175" s="39"/>
      <c r="X175" s="39"/>
      <c r="Y175" s="39"/>
      <c r="Z175" s="39"/>
      <c r="AA175" s="39"/>
      <c r="AB175" s="118">
        <f t="shared" si="80"/>
        <v>0</v>
      </c>
      <c r="AC175" s="39"/>
      <c r="AD175" s="39"/>
      <c r="AE175" s="39"/>
      <c r="AF175" s="39"/>
      <c r="AG175" s="39"/>
      <c r="AH175" s="39">
        <f t="shared" si="3"/>
        <v>0</v>
      </c>
      <c r="AI175" s="39"/>
      <c r="AJ175" s="39"/>
      <c r="AK175" s="39"/>
      <c r="AL175" s="39"/>
      <c r="AM175" s="39"/>
      <c r="AN175" s="39">
        <f t="shared" si="4"/>
        <v>0</v>
      </c>
      <c r="AO175" s="39"/>
      <c r="AP175" s="39"/>
      <c r="AQ175" s="39"/>
      <c r="AR175" s="39"/>
      <c r="AS175" s="39"/>
      <c r="AT175" s="39">
        <f t="shared" si="5"/>
        <v>0</v>
      </c>
      <c r="AU175" s="39"/>
      <c r="AV175" s="39"/>
      <c r="AW175" s="39"/>
      <c r="AX175" s="39"/>
      <c r="AY175" s="39"/>
      <c r="AZ175" s="39">
        <f t="shared" si="6"/>
        <v>0</v>
      </c>
      <c r="BA175" s="39"/>
      <c r="BB175" s="39"/>
      <c r="BC175" s="39"/>
      <c r="BD175" s="39"/>
      <c r="BE175" s="39"/>
      <c r="BF175" s="39">
        <f t="shared" si="7"/>
        <v>0</v>
      </c>
      <c r="BG175" s="39"/>
      <c r="BH175" s="39"/>
      <c r="BI175" s="39"/>
      <c r="BJ175" s="39"/>
      <c r="BK175" s="39"/>
      <c r="BL175" s="39">
        <f t="shared" si="8"/>
        <v>0</v>
      </c>
      <c r="BM175" s="54">
        <f t="shared" ca="1" si="9"/>
        <v>46283</v>
      </c>
      <c r="BN175" s="60">
        <v>46290</v>
      </c>
      <c r="BO175" s="57">
        <v>46305</v>
      </c>
      <c r="BP175" s="36"/>
      <c r="BQ175" s="36"/>
      <c r="BR175" s="39"/>
      <c r="BS175" s="39"/>
      <c r="BT175" s="39"/>
      <c r="BU175" s="39"/>
      <c r="BV175" s="39"/>
      <c r="BW175" s="39"/>
      <c r="BX175" s="39"/>
      <c r="BY175" s="39"/>
      <c r="BZ175" s="39">
        <f t="shared" si="10"/>
        <v>0</v>
      </c>
      <c r="CA175" s="39">
        <f t="shared" si="11"/>
        <v>-48</v>
      </c>
      <c r="CB175" s="39">
        <f t="shared" si="12"/>
        <v>-5</v>
      </c>
      <c r="CC175" s="39">
        <f t="shared" si="13"/>
        <v>0</v>
      </c>
      <c r="CD175" s="39">
        <f t="shared" si="14"/>
        <v>-53</v>
      </c>
      <c r="CE175" s="102">
        <f t="shared" si="15"/>
        <v>-1</v>
      </c>
      <c r="CF175" s="36"/>
      <c r="CG175" s="39" t="s">
        <v>258</v>
      </c>
      <c r="CH175" s="39"/>
      <c r="CI175" s="25">
        <v>3</v>
      </c>
    </row>
    <row r="176" spans="1:87" ht="24.75" customHeight="1">
      <c r="A176" s="36" t="s">
        <v>50</v>
      </c>
      <c r="B176" s="26">
        <v>48752</v>
      </c>
      <c r="C176" s="228"/>
      <c r="D176" s="36"/>
      <c r="E176" s="39">
        <v>180</v>
      </c>
      <c r="F176" s="39" t="s">
        <v>55</v>
      </c>
      <c r="G176" s="36" t="s">
        <v>1163</v>
      </c>
      <c r="H176" s="36" t="s">
        <v>87</v>
      </c>
      <c r="I176" s="39">
        <v>48</v>
      </c>
      <c r="J176" s="39">
        <v>5</v>
      </c>
      <c r="K176" s="39"/>
      <c r="L176" s="39">
        <f t="shared" si="92"/>
        <v>53</v>
      </c>
      <c r="M176" s="117">
        <v>46275</v>
      </c>
      <c r="N176" s="117">
        <v>46279</v>
      </c>
      <c r="O176" s="39"/>
      <c r="P176" s="39"/>
      <c r="Q176" s="39"/>
      <c r="R176" s="39">
        <f t="shared" si="79"/>
        <v>0</v>
      </c>
      <c r="S176" s="39" t="s">
        <v>28</v>
      </c>
      <c r="T176" s="39"/>
      <c r="U176" s="39"/>
      <c r="V176" s="117">
        <v>46279</v>
      </c>
      <c r="W176" s="39">
        <f>63+7</f>
        <v>70</v>
      </c>
      <c r="X176" s="39"/>
      <c r="Y176" s="39"/>
      <c r="Z176" s="39"/>
      <c r="AA176" s="39"/>
      <c r="AB176" s="118">
        <f t="shared" si="80"/>
        <v>0</v>
      </c>
      <c r="AC176" s="39"/>
      <c r="AD176" s="39"/>
      <c r="AE176" s="39"/>
      <c r="AF176" s="39"/>
      <c r="AG176" s="39"/>
      <c r="AH176" s="39">
        <f t="shared" si="3"/>
        <v>0</v>
      </c>
      <c r="AI176" s="39"/>
      <c r="AJ176" s="39"/>
      <c r="AK176" s="39"/>
      <c r="AL176" s="39"/>
      <c r="AM176" s="39"/>
      <c r="AN176" s="39">
        <f t="shared" si="4"/>
        <v>0</v>
      </c>
      <c r="AO176" s="39"/>
      <c r="AP176" s="39"/>
      <c r="AQ176" s="39"/>
      <c r="AR176" s="39"/>
      <c r="AS176" s="39"/>
      <c r="AT176" s="39">
        <f t="shared" si="5"/>
        <v>0</v>
      </c>
      <c r="AU176" s="39"/>
      <c r="AV176" s="39"/>
      <c r="AW176" s="39"/>
      <c r="AX176" s="39"/>
      <c r="AY176" s="39"/>
      <c r="AZ176" s="39">
        <f t="shared" si="6"/>
        <v>0</v>
      </c>
      <c r="BA176" s="39"/>
      <c r="BB176" s="39"/>
      <c r="BC176" s="39"/>
      <c r="BD176" s="39"/>
      <c r="BE176" s="39"/>
      <c r="BF176" s="39">
        <f t="shared" si="7"/>
        <v>0</v>
      </c>
      <c r="BG176" s="39"/>
      <c r="BH176" s="39"/>
      <c r="BI176" s="39"/>
      <c r="BJ176" s="39"/>
      <c r="BK176" s="39"/>
      <c r="BL176" s="39">
        <f t="shared" si="8"/>
        <v>0</v>
      </c>
      <c r="BM176" s="54">
        <f t="shared" ca="1" si="9"/>
        <v>46283</v>
      </c>
      <c r="BN176" s="60">
        <v>46290</v>
      </c>
      <c r="BO176" s="57">
        <v>46305</v>
      </c>
      <c r="BP176" s="36"/>
      <c r="BQ176" s="36"/>
      <c r="BR176" s="39"/>
      <c r="BS176" s="39"/>
      <c r="BT176" s="39"/>
      <c r="BU176" s="39"/>
      <c r="BV176" s="39"/>
      <c r="BW176" s="39"/>
      <c r="BX176" s="39"/>
      <c r="BY176" s="39"/>
      <c r="BZ176" s="39">
        <f t="shared" si="10"/>
        <v>0</v>
      </c>
      <c r="CA176" s="39">
        <f t="shared" si="11"/>
        <v>-48</v>
      </c>
      <c r="CB176" s="39">
        <f t="shared" si="12"/>
        <v>-5</v>
      </c>
      <c r="CC176" s="39">
        <f t="shared" si="13"/>
        <v>0</v>
      </c>
      <c r="CD176" s="39">
        <f t="shared" si="14"/>
        <v>-53</v>
      </c>
      <c r="CE176" s="102">
        <f t="shared" si="15"/>
        <v>-1</v>
      </c>
      <c r="CF176" s="36"/>
      <c r="CG176" s="39" t="s">
        <v>258</v>
      </c>
      <c r="CH176" s="39"/>
      <c r="CI176" s="25">
        <v>3</v>
      </c>
    </row>
    <row r="177" spans="1:87" ht="24.75" customHeight="1">
      <c r="A177" s="36" t="s">
        <v>50</v>
      </c>
      <c r="B177" s="26">
        <v>48816</v>
      </c>
      <c r="C177" s="227">
        <v>13229233</v>
      </c>
      <c r="D177" s="36" t="s">
        <v>37</v>
      </c>
      <c r="E177" s="39">
        <v>180</v>
      </c>
      <c r="F177" s="39" t="s">
        <v>55</v>
      </c>
      <c r="G177" s="36" t="s">
        <v>497</v>
      </c>
      <c r="H177" s="36" t="s">
        <v>403</v>
      </c>
      <c r="I177" s="39">
        <v>94</v>
      </c>
      <c r="J177" s="39"/>
      <c r="K177" s="39"/>
      <c r="L177" s="39">
        <f t="shared" si="92"/>
        <v>94</v>
      </c>
      <c r="M177" s="117">
        <v>46275</v>
      </c>
      <c r="N177" s="117">
        <v>46280</v>
      </c>
      <c r="O177" s="39"/>
      <c r="P177" s="39"/>
      <c r="Q177" s="39"/>
      <c r="R177" s="39">
        <f t="shared" si="79"/>
        <v>0</v>
      </c>
      <c r="S177" s="39" t="s">
        <v>28</v>
      </c>
      <c r="T177" s="39"/>
      <c r="U177" s="39"/>
      <c r="V177" s="117">
        <v>46272</v>
      </c>
      <c r="W177" s="39">
        <v>118</v>
      </c>
      <c r="X177" s="39"/>
      <c r="Y177" s="39"/>
      <c r="Z177" s="39"/>
      <c r="AA177" s="39"/>
      <c r="AB177" s="118">
        <f t="shared" si="80"/>
        <v>0</v>
      </c>
      <c r="AC177" s="39"/>
      <c r="AD177" s="39"/>
      <c r="AE177" s="39"/>
      <c r="AF177" s="39"/>
      <c r="AG177" s="39"/>
      <c r="AH177" s="39">
        <f t="shared" si="3"/>
        <v>0</v>
      </c>
      <c r="AI177" s="39"/>
      <c r="AJ177" s="39"/>
      <c r="AK177" s="39"/>
      <c r="AL177" s="39"/>
      <c r="AM177" s="39"/>
      <c r="AN177" s="39">
        <f t="shared" si="4"/>
        <v>0</v>
      </c>
      <c r="AO177" s="39"/>
      <c r="AP177" s="39"/>
      <c r="AQ177" s="39"/>
      <c r="AR177" s="39"/>
      <c r="AS177" s="39"/>
      <c r="AT177" s="39">
        <f t="shared" si="5"/>
        <v>0</v>
      </c>
      <c r="AU177" s="39"/>
      <c r="AV177" s="39"/>
      <c r="AW177" s="39"/>
      <c r="AX177" s="39"/>
      <c r="AY177" s="39"/>
      <c r="AZ177" s="39">
        <f t="shared" si="6"/>
        <v>0</v>
      </c>
      <c r="BA177" s="39"/>
      <c r="BB177" s="39"/>
      <c r="BC177" s="39"/>
      <c r="BD177" s="39"/>
      <c r="BE177" s="39"/>
      <c r="BF177" s="39">
        <f t="shared" si="7"/>
        <v>0</v>
      </c>
      <c r="BG177" s="39"/>
      <c r="BH177" s="39"/>
      <c r="BI177" s="39"/>
      <c r="BJ177" s="39"/>
      <c r="BK177" s="39"/>
      <c r="BL177" s="39">
        <f t="shared" si="8"/>
        <v>0</v>
      </c>
      <c r="BM177" s="54">
        <f t="shared" ca="1" si="9"/>
        <v>46283</v>
      </c>
      <c r="BN177" s="60">
        <v>46292</v>
      </c>
      <c r="BO177" s="57">
        <v>46302</v>
      </c>
      <c r="BP177" s="57">
        <v>46304</v>
      </c>
      <c r="BQ177" s="57">
        <v>46310</v>
      </c>
      <c r="BR177" s="39"/>
      <c r="BS177" s="39"/>
      <c r="BT177" s="39"/>
      <c r="BU177" s="39"/>
      <c r="BV177" s="39"/>
      <c r="BW177" s="39"/>
      <c r="BX177" s="39"/>
      <c r="BY177" s="39"/>
      <c r="BZ177" s="39">
        <f t="shared" si="10"/>
        <v>0</v>
      </c>
      <c r="CA177" s="39">
        <f t="shared" si="11"/>
        <v>-94</v>
      </c>
      <c r="CB177" s="39">
        <f t="shared" si="12"/>
        <v>0</v>
      </c>
      <c r="CC177" s="39">
        <f t="shared" si="13"/>
        <v>0</v>
      </c>
      <c r="CD177" s="39">
        <f t="shared" si="14"/>
        <v>-94</v>
      </c>
      <c r="CE177" s="102">
        <f t="shared" si="15"/>
        <v>-1</v>
      </c>
      <c r="CF177" s="36" t="s">
        <v>248</v>
      </c>
      <c r="CG177" s="39" t="s">
        <v>298</v>
      </c>
      <c r="CH177" s="39"/>
      <c r="CI177" s="25">
        <v>3</v>
      </c>
    </row>
    <row r="178" spans="1:87" ht="24.75" customHeight="1">
      <c r="A178" s="36" t="s">
        <v>50</v>
      </c>
      <c r="B178" s="26">
        <v>48816</v>
      </c>
      <c r="C178" s="228"/>
      <c r="D178" s="36" t="s">
        <v>37</v>
      </c>
      <c r="E178" s="39">
        <v>180</v>
      </c>
      <c r="F178" s="39" t="s">
        <v>55</v>
      </c>
      <c r="G178" s="36" t="s">
        <v>2734</v>
      </c>
      <c r="H178" s="36" t="s">
        <v>403</v>
      </c>
      <c r="I178" s="39">
        <v>94</v>
      </c>
      <c r="J178" s="39"/>
      <c r="K178" s="39"/>
      <c r="L178" s="39">
        <f t="shared" si="92"/>
        <v>94</v>
      </c>
      <c r="M178" s="117">
        <v>46275</v>
      </c>
      <c r="N178" s="117">
        <v>46280</v>
      </c>
      <c r="O178" s="39"/>
      <c r="P178" s="39"/>
      <c r="Q178" s="39"/>
      <c r="R178" s="39">
        <f t="shared" si="79"/>
        <v>0</v>
      </c>
      <c r="S178" s="39" t="s">
        <v>28</v>
      </c>
      <c r="T178" s="39"/>
      <c r="U178" s="39"/>
      <c r="V178" s="117">
        <v>46272</v>
      </c>
      <c r="W178" s="39">
        <v>118</v>
      </c>
      <c r="X178" s="39"/>
      <c r="Y178" s="39"/>
      <c r="Z178" s="39"/>
      <c r="AA178" s="39"/>
      <c r="AB178" s="118">
        <f t="shared" si="80"/>
        <v>0</v>
      </c>
      <c r="AC178" s="39"/>
      <c r="AD178" s="39"/>
      <c r="AE178" s="39"/>
      <c r="AF178" s="39"/>
      <c r="AG178" s="39"/>
      <c r="AH178" s="39">
        <f t="shared" si="3"/>
        <v>0</v>
      </c>
      <c r="AI178" s="39"/>
      <c r="AJ178" s="39"/>
      <c r="AK178" s="39"/>
      <c r="AL178" s="39"/>
      <c r="AM178" s="39"/>
      <c r="AN178" s="39">
        <f t="shared" si="4"/>
        <v>0</v>
      </c>
      <c r="AO178" s="39"/>
      <c r="AP178" s="39"/>
      <c r="AQ178" s="39"/>
      <c r="AR178" s="39"/>
      <c r="AS178" s="39"/>
      <c r="AT178" s="39">
        <f t="shared" si="5"/>
        <v>0</v>
      </c>
      <c r="AU178" s="39"/>
      <c r="AV178" s="39"/>
      <c r="AW178" s="39"/>
      <c r="AX178" s="39"/>
      <c r="AY178" s="39"/>
      <c r="AZ178" s="39">
        <f t="shared" si="6"/>
        <v>0</v>
      </c>
      <c r="BA178" s="39"/>
      <c r="BB178" s="39"/>
      <c r="BC178" s="39"/>
      <c r="BD178" s="39"/>
      <c r="BE178" s="39"/>
      <c r="BF178" s="39">
        <f t="shared" si="7"/>
        <v>0</v>
      </c>
      <c r="BG178" s="39"/>
      <c r="BH178" s="39"/>
      <c r="BI178" s="39"/>
      <c r="BJ178" s="39"/>
      <c r="BK178" s="39"/>
      <c r="BL178" s="39">
        <f t="shared" si="8"/>
        <v>0</v>
      </c>
      <c r="BM178" s="54">
        <f t="shared" ca="1" si="9"/>
        <v>46283</v>
      </c>
      <c r="BN178" s="60">
        <v>46292</v>
      </c>
      <c r="BO178" s="57">
        <v>46302</v>
      </c>
      <c r="BP178" s="57">
        <v>46304</v>
      </c>
      <c r="BQ178" s="57">
        <v>46310</v>
      </c>
      <c r="BR178" s="39"/>
      <c r="BS178" s="39"/>
      <c r="BT178" s="39"/>
      <c r="BU178" s="39"/>
      <c r="BV178" s="39"/>
      <c r="BW178" s="39"/>
      <c r="BX178" s="39"/>
      <c r="BY178" s="39"/>
      <c r="BZ178" s="39">
        <f t="shared" si="10"/>
        <v>0</v>
      </c>
      <c r="CA178" s="39">
        <f t="shared" si="11"/>
        <v>-94</v>
      </c>
      <c r="CB178" s="39">
        <f t="shared" si="12"/>
        <v>0</v>
      </c>
      <c r="CC178" s="39">
        <f t="shared" si="13"/>
        <v>0</v>
      </c>
      <c r="CD178" s="39">
        <f t="shared" si="14"/>
        <v>-94</v>
      </c>
      <c r="CE178" s="102">
        <f t="shared" si="15"/>
        <v>-1</v>
      </c>
      <c r="CF178" s="36" t="s">
        <v>248</v>
      </c>
      <c r="CG178" s="39" t="s">
        <v>298</v>
      </c>
      <c r="CH178" s="39"/>
      <c r="CI178" s="25">
        <v>3</v>
      </c>
    </row>
    <row r="179" spans="1:87" ht="24.75" customHeight="1">
      <c r="A179" s="36" t="s">
        <v>50</v>
      </c>
      <c r="B179" s="26">
        <v>48817</v>
      </c>
      <c r="C179" s="227">
        <v>13229234</v>
      </c>
      <c r="D179" s="36" t="s">
        <v>37</v>
      </c>
      <c r="E179" s="39">
        <v>180</v>
      </c>
      <c r="F179" s="39" t="s">
        <v>55</v>
      </c>
      <c r="G179" s="36" t="s">
        <v>497</v>
      </c>
      <c r="H179" s="36" t="s">
        <v>403</v>
      </c>
      <c r="I179" s="39">
        <v>200</v>
      </c>
      <c r="J179" s="39"/>
      <c r="K179" s="39"/>
      <c r="L179" s="39">
        <f t="shared" si="92"/>
        <v>200</v>
      </c>
      <c r="M179" s="117">
        <v>46275</v>
      </c>
      <c r="N179" s="117">
        <v>46280</v>
      </c>
      <c r="O179" s="39"/>
      <c r="P179" s="39"/>
      <c r="Q179" s="39"/>
      <c r="R179" s="39">
        <f t="shared" si="79"/>
        <v>0</v>
      </c>
      <c r="S179" s="39" t="s">
        <v>28</v>
      </c>
      <c r="T179" s="39"/>
      <c r="U179" s="39"/>
      <c r="V179" s="117">
        <v>46272</v>
      </c>
      <c r="W179" s="39">
        <v>230</v>
      </c>
      <c r="X179" s="39"/>
      <c r="Y179" s="39"/>
      <c r="Z179" s="39"/>
      <c r="AA179" s="39"/>
      <c r="AB179" s="118">
        <f t="shared" si="80"/>
        <v>0</v>
      </c>
      <c r="AC179" s="39"/>
      <c r="AD179" s="39"/>
      <c r="AE179" s="39"/>
      <c r="AF179" s="39"/>
      <c r="AG179" s="39"/>
      <c r="AH179" s="39">
        <f t="shared" si="3"/>
        <v>0</v>
      </c>
      <c r="AI179" s="39"/>
      <c r="AJ179" s="39"/>
      <c r="AK179" s="39"/>
      <c r="AL179" s="39"/>
      <c r="AM179" s="39"/>
      <c r="AN179" s="39">
        <f t="shared" si="4"/>
        <v>0</v>
      </c>
      <c r="AO179" s="39"/>
      <c r="AP179" s="39"/>
      <c r="AQ179" s="39"/>
      <c r="AR179" s="39"/>
      <c r="AS179" s="39"/>
      <c r="AT179" s="39">
        <f t="shared" si="5"/>
        <v>0</v>
      </c>
      <c r="AU179" s="39"/>
      <c r="AV179" s="39"/>
      <c r="AW179" s="39"/>
      <c r="AX179" s="39"/>
      <c r="AY179" s="39"/>
      <c r="AZ179" s="39">
        <f t="shared" si="6"/>
        <v>0</v>
      </c>
      <c r="BA179" s="39"/>
      <c r="BB179" s="39"/>
      <c r="BC179" s="39"/>
      <c r="BD179" s="39"/>
      <c r="BE179" s="39"/>
      <c r="BF179" s="39">
        <f t="shared" si="7"/>
        <v>0</v>
      </c>
      <c r="BG179" s="39"/>
      <c r="BH179" s="39"/>
      <c r="BI179" s="39"/>
      <c r="BJ179" s="39"/>
      <c r="BK179" s="39"/>
      <c r="BL179" s="39">
        <f t="shared" si="8"/>
        <v>0</v>
      </c>
      <c r="BM179" s="54">
        <f t="shared" ca="1" si="9"/>
        <v>46283</v>
      </c>
      <c r="BN179" s="60">
        <v>46287</v>
      </c>
      <c r="BO179" s="57">
        <v>46300</v>
      </c>
      <c r="BP179" s="57">
        <v>46302</v>
      </c>
      <c r="BQ179" s="57">
        <v>46310</v>
      </c>
      <c r="BR179" s="39"/>
      <c r="BS179" s="39"/>
      <c r="BT179" s="39"/>
      <c r="BU179" s="39"/>
      <c r="BV179" s="39"/>
      <c r="BW179" s="39"/>
      <c r="BX179" s="39"/>
      <c r="BY179" s="39"/>
      <c r="BZ179" s="39">
        <f t="shared" si="10"/>
        <v>0</v>
      </c>
      <c r="CA179" s="39">
        <f t="shared" si="11"/>
        <v>-200</v>
      </c>
      <c r="CB179" s="39">
        <f t="shared" si="12"/>
        <v>0</v>
      </c>
      <c r="CC179" s="39">
        <f t="shared" si="13"/>
        <v>0</v>
      </c>
      <c r="CD179" s="39">
        <f t="shared" si="14"/>
        <v>-200</v>
      </c>
      <c r="CE179" s="102">
        <f t="shared" si="15"/>
        <v>-1</v>
      </c>
      <c r="CF179" s="36" t="s">
        <v>248</v>
      </c>
      <c r="CG179" s="39" t="s">
        <v>298</v>
      </c>
      <c r="CH179" s="39"/>
      <c r="CI179" s="25">
        <v>3</v>
      </c>
    </row>
    <row r="180" spans="1:87" ht="24.75" customHeight="1">
      <c r="A180" s="36" t="s">
        <v>50</v>
      </c>
      <c r="B180" s="26">
        <v>48817</v>
      </c>
      <c r="C180" s="228"/>
      <c r="D180" s="36" t="s">
        <v>37</v>
      </c>
      <c r="E180" s="39">
        <v>180</v>
      </c>
      <c r="F180" s="39" t="s">
        <v>55</v>
      </c>
      <c r="G180" s="36" t="s">
        <v>2734</v>
      </c>
      <c r="H180" s="36" t="s">
        <v>403</v>
      </c>
      <c r="I180" s="39">
        <v>190</v>
      </c>
      <c r="J180" s="39"/>
      <c r="K180" s="39"/>
      <c r="L180" s="39">
        <f t="shared" ref="L180:L185" si="93">SUM(I180:K180)</f>
        <v>190</v>
      </c>
      <c r="M180" s="117">
        <v>46275</v>
      </c>
      <c r="N180" s="117">
        <v>46280</v>
      </c>
      <c r="O180" s="39"/>
      <c r="P180" s="39"/>
      <c r="Q180" s="39"/>
      <c r="R180" s="39">
        <f t="shared" si="79"/>
        <v>0</v>
      </c>
      <c r="S180" s="39" t="s">
        <v>28</v>
      </c>
      <c r="T180" s="39"/>
      <c r="U180" s="39"/>
      <c r="V180" s="117">
        <v>46272</v>
      </c>
      <c r="W180" s="39">
        <v>228</v>
      </c>
      <c r="X180" s="39"/>
      <c r="Y180" s="39"/>
      <c r="Z180" s="39"/>
      <c r="AA180" s="39"/>
      <c r="AB180" s="118">
        <f t="shared" si="80"/>
        <v>0</v>
      </c>
      <c r="AC180" s="39"/>
      <c r="AD180" s="39"/>
      <c r="AE180" s="39"/>
      <c r="AF180" s="39"/>
      <c r="AG180" s="39"/>
      <c r="AH180" s="39">
        <f t="shared" ref="AH180:AH238" si="94">AG180-AE180</f>
        <v>0</v>
      </c>
      <c r="AI180" s="39"/>
      <c r="AJ180" s="39"/>
      <c r="AK180" s="39"/>
      <c r="AL180" s="39"/>
      <c r="AM180" s="39"/>
      <c r="AN180" s="39">
        <f t="shared" si="4"/>
        <v>0</v>
      </c>
      <c r="AO180" s="39"/>
      <c r="AP180" s="39"/>
      <c r="AQ180" s="39"/>
      <c r="AR180" s="39"/>
      <c r="AS180" s="39"/>
      <c r="AT180" s="39">
        <f t="shared" ref="AT180:AT238" si="95">AS180-AQ180</f>
        <v>0</v>
      </c>
      <c r="AU180" s="39"/>
      <c r="AV180" s="39"/>
      <c r="AW180" s="39"/>
      <c r="AX180" s="39"/>
      <c r="AY180" s="39"/>
      <c r="AZ180" s="39">
        <f t="shared" ref="AZ180:AZ238" si="96">AY180-AW180</f>
        <v>0</v>
      </c>
      <c r="BA180" s="39"/>
      <c r="BB180" s="39"/>
      <c r="BC180" s="39"/>
      <c r="BD180" s="39"/>
      <c r="BE180" s="39"/>
      <c r="BF180" s="39">
        <f t="shared" ref="BF180:BF238" si="97">BE180-BC180</f>
        <v>0</v>
      </c>
      <c r="BG180" s="39"/>
      <c r="BH180" s="39"/>
      <c r="BI180" s="39"/>
      <c r="BJ180" s="39"/>
      <c r="BK180" s="39"/>
      <c r="BL180" s="39">
        <f t="shared" ref="BL180:BL238" si="98">BK180-BI180</f>
        <v>0</v>
      </c>
      <c r="BM180" s="54">
        <f t="shared" ref="BM180:BM238" ca="1" si="99">IF((BZ180/L180)&lt;0.9,$CO$1-U180,"")</f>
        <v>46283</v>
      </c>
      <c r="BN180" s="60">
        <v>46287</v>
      </c>
      <c r="BO180" s="57">
        <v>46300</v>
      </c>
      <c r="BP180" s="57">
        <v>46302</v>
      </c>
      <c r="BQ180" s="57">
        <v>46310</v>
      </c>
      <c r="BR180" s="39"/>
      <c r="BS180" s="39"/>
      <c r="BT180" s="39"/>
      <c r="BU180" s="39"/>
      <c r="BV180" s="39"/>
      <c r="BW180" s="39"/>
      <c r="BX180" s="39"/>
      <c r="BY180" s="39"/>
      <c r="BZ180" s="39">
        <f t="shared" ref="BZ180:BZ238" si="100">BU180+BW180+BY180</f>
        <v>0</v>
      </c>
      <c r="CA180" s="39">
        <f t="shared" ref="CA180:CA238" si="101">BU180-I180</f>
        <v>-190</v>
      </c>
      <c r="CB180" s="39">
        <f t="shared" ref="CB180:CB238" si="102">BW180-J180</f>
        <v>0</v>
      </c>
      <c r="CC180" s="39">
        <f t="shared" ref="CC180:CC238" si="103">BY180-K180</f>
        <v>0</v>
      </c>
      <c r="CD180" s="39">
        <f t="shared" si="14"/>
        <v>-190</v>
      </c>
      <c r="CE180" s="102">
        <f t="shared" ref="CE180:CE238" si="104">CD180/L180</f>
        <v>-1</v>
      </c>
      <c r="CF180" s="36" t="s">
        <v>248</v>
      </c>
      <c r="CG180" s="39" t="s">
        <v>298</v>
      </c>
      <c r="CH180" s="39"/>
      <c r="CI180" s="25">
        <v>3</v>
      </c>
    </row>
    <row r="181" spans="1:87" ht="24.75" customHeight="1">
      <c r="A181" s="36" t="s">
        <v>50</v>
      </c>
      <c r="B181" s="26">
        <v>48818</v>
      </c>
      <c r="C181" s="227" t="s">
        <v>2783</v>
      </c>
      <c r="D181" s="36" t="s">
        <v>37</v>
      </c>
      <c r="E181" s="39">
        <v>180</v>
      </c>
      <c r="F181" s="39" t="s">
        <v>55</v>
      </c>
      <c r="G181" s="36" t="s">
        <v>2735</v>
      </c>
      <c r="H181" s="36" t="s">
        <v>403</v>
      </c>
      <c r="I181" s="39">
        <v>200</v>
      </c>
      <c r="J181" s="39"/>
      <c r="K181" s="39"/>
      <c r="L181" s="39">
        <f t="shared" si="93"/>
        <v>200</v>
      </c>
      <c r="M181" s="117">
        <v>46274</v>
      </c>
      <c r="N181" s="117">
        <v>46280</v>
      </c>
      <c r="O181" s="39"/>
      <c r="P181" s="39"/>
      <c r="Q181" s="39"/>
      <c r="R181" s="39">
        <f t="shared" si="79"/>
        <v>0</v>
      </c>
      <c r="S181" s="39" t="s">
        <v>28</v>
      </c>
      <c r="T181" s="39"/>
      <c r="U181" s="39"/>
      <c r="V181" s="117">
        <v>46272</v>
      </c>
      <c r="W181" s="39">
        <v>230</v>
      </c>
      <c r="X181" s="39"/>
      <c r="Y181" s="39"/>
      <c r="Z181" s="39"/>
      <c r="AA181" s="39"/>
      <c r="AB181" s="118">
        <f t="shared" si="80"/>
        <v>0</v>
      </c>
      <c r="AC181" s="39"/>
      <c r="AD181" s="39"/>
      <c r="AE181" s="39"/>
      <c r="AF181" s="39"/>
      <c r="AG181" s="39"/>
      <c r="AH181" s="39">
        <f t="shared" si="94"/>
        <v>0</v>
      </c>
      <c r="AI181" s="39"/>
      <c r="AJ181" s="39"/>
      <c r="AK181" s="39"/>
      <c r="AL181" s="39"/>
      <c r="AM181" s="39"/>
      <c r="AN181" s="39">
        <f t="shared" si="4"/>
        <v>0</v>
      </c>
      <c r="AO181" s="39"/>
      <c r="AP181" s="39"/>
      <c r="AQ181" s="39"/>
      <c r="AR181" s="39"/>
      <c r="AS181" s="39"/>
      <c r="AT181" s="39">
        <f t="shared" si="95"/>
        <v>0</v>
      </c>
      <c r="AU181" s="39"/>
      <c r="AV181" s="39"/>
      <c r="AW181" s="39"/>
      <c r="AX181" s="39"/>
      <c r="AY181" s="39"/>
      <c r="AZ181" s="39">
        <f t="shared" si="96"/>
        <v>0</v>
      </c>
      <c r="BA181" s="39"/>
      <c r="BB181" s="39"/>
      <c r="BC181" s="39"/>
      <c r="BD181" s="39"/>
      <c r="BE181" s="39"/>
      <c r="BF181" s="39">
        <f t="shared" si="97"/>
        <v>0</v>
      </c>
      <c r="BG181" s="39"/>
      <c r="BH181" s="39"/>
      <c r="BI181" s="39"/>
      <c r="BJ181" s="39"/>
      <c r="BK181" s="39"/>
      <c r="BL181" s="39">
        <f t="shared" si="98"/>
        <v>0</v>
      </c>
      <c r="BM181" s="54">
        <f t="shared" ca="1" si="99"/>
        <v>46283</v>
      </c>
      <c r="BN181" s="60">
        <v>46288</v>
      </c>
      <c r="BO181" s="57">
        <v>46302</v>
      </c>
      <c r="BP181" s="57">
        <v>46304</v>
      </c>
      <c r="BQ181" s="57">
        <v>46311</v>
      </c>
      <c r="BR181" s="39"/>
      <c r="BS181" s="39"/>
      <c r="BT181" s="39"/>
      <c r="BU181" s="39"/>
      <c r="BV181" s="39"/>
      <c r="BW181" s="39"/>
      <c r="BX181" s="39"/>
      <c r="BY181" s="39"/>
      <c r="BZ181" s="39">
        <f t="shared" si="100"/>
        <v>0</v>
      </c>
      <c r="CA181" s="39">
        <f t="shared" si="101"/>
        <v>-200</v>
      </c>
      <c r="CB181" s="39">
        <f t="shared" si="102"/>
        <v>0</v>
      </c>
      <c r="CC181" s="39">
        <f t="shared" si="103"/>
        <v>0</v>
      </c>
      <c r="CD181" s="39">
        <f t="shared" si="14"/>
        <v>-200</v>
      </c>
      <c r="CE181" s="102">
        <f t="shared" si="104"/>
        <v>-1</v>
      </c>
      <c r="CF181" s="36" t="s">
        <v>248</v>
      </c>
      <c r="CG181" s="39" t="s">
        <v>298</v>
      </c>
      <c r="CH181" s="39"/>
      <c r="CI181" s="25">
        <v>3</v>
      </c>
    </row>
    <row r="182" spans="1:87" ht="24.75" customHeight="1">
      <c r="A182" s="36" t="s">
        <v>50</v>
      </c>
      <c r="B182" s="26">
        <v>48818</v>
      </c>
      <c r="C182" s="228"/>
      <c r="D182" s="36" t="s">
        <v>37</v>
      </c>
      <c r="E182" s="39">
        <v>180</v>
      </c>
      <c r="F182" s="39" t="s">
        <v>55</v>
      </c>
      <c r="G182" s="36" t="s">
        <v>1075</v>
      </c>
      <c r="H182" s="36" t="s">
        <v>403</v>
      </c>
      <c r="I182" s="39">
        <v>190</v>
      </c>
      <c r="J182" s="39"/>
      <c r="K182" s="39"/>
      <c r="L182" s="39">
        <f t="shared" si="93"/>
        <v>190</v>
      </c>
      <c r="M182" s="117">
        <v>46274</v>
      </c>
      <c r="N182" s="117">
        <v>46280</v>
      </c>
      <c r="O182" s="39"/>
      <c r="P182" s="39"/>
      <c r="Q182" s="39"/>
      <c r="R182" s="39">
        <f t="shared" si="79"/>
        <v>0</v>
      </c>
      <c r="S182" s="39" t="s">
        <v>28</v>
      </c>
      <c r="T182" s="39"/>
      <c r="U182" s="39"/>
      <c r="V182" s="117">
        <v>46270</v>
      </c>
      <c r="W182" s="39">
        <v>228</v>
      </c>
      <c r="X182" s="39"/>
      <c r="Y182" s="39"/>
      <c r="Z182" s="39"/>
      <c r="AA182" s="39"/>
      <c r="AB182" s="118">
        <f t="shared" si="80"/>
        <v>0</v>
      </c>
      <c r="AC182" s="39"/>
      <c r="AD182" s="39"/>
      <c r="AE182" s="39"/>
      <c r="AF182" s="39"/>
      <c r="AG182" s="39"/>
      <c r="AH182" s="39">
        <f t="shared" si="94"/>
        <v>0</v>
      </c>
      <c r="AI182" s="39"/>
      <c r="AJ182" s="39"/>
      <c r="AK182" s="39"/>
      <c r="AL182" s="39"/>
      <c r="AM182" s="39"/>
      <c r="AN182" s="39">
        <f t="shared" si="4"/>
        <v>0</v>
      </c>
      <c r="AO182" s="39"/>
      <c r="AP182" s="39"/>
      <c r="AQ182" s="39"/>
      <c r="AR182" s="39"/>
      <c r="AS182" s="39"/>
      <c r="AT182" s="39">
        <f t="shared" si="95"/>
        <v>0</v>
      </c>
      <c r="AU182" s="39"/>
      <c r="AV182" s="39"/>
      <c r="AW182" s="39"/>
      <c r="AX182" s="39"/>
      <c r="AY182" s="39"/>
      <c r="AZ182" s="39">
        <f t="shared" si="96"/>
        <v>0</v>
      </c>
      <c r="BA182" s="39"/>
      <c r="BB182" s="39"/>
      <c r="BC182" s="39"/>
      <c r="BD182" s="39"/>
      <c r="BE182" s="39"/>
      <c r="BF182" s="39">
        <f t="shared" si="97"/>
        <v>0</v>
      </c>
      <c r="BG182" s="39"/>
      <c r="BH182" s="39"/>
      <c r="BI182" s="39"/>
      <c r="BJ182" s="39"/>
      <c r="BK182" s="39"/>
      <c r="BL182" s="39">
        <f t="shared" si="98"/>
        <v>0</v>
      </c>
      <c r="BM182" s="54">
        <f t="shared" ca="1" si="99"/>
        <v>46283</v>
      </c>
      <c r="BN182" s="60">
        <v>46288</v>
      </c>
      <c r="BO182" s="57">
        <v>46302</v>
      </c>
      <c r="BP182" s="57">
        <v>46304</v>
      </c>
      <c r="BQ182" s="57">
        <v>46311</v>
      </c>
      <c r="BR182" s="39"/>
      <c r="BS182" s="39"/>
      <c r="BT182" s="39"/>
      <c r="BU182" s="39"/>
      <c r="BV182" s="39"/>
      <c r="BW182" s="39"/>
      <c r="BX182" s="39"/>
      <c r="BY182" s="39"/>
      <c r="BZ182" s="39">
        <f t="shared" si="100"/>
        <v>0</v>
      </c>
      <c r="CA182" s="39">
        <f t="shared" si="101"/>
        <v>-190</v>
      </c>
      <c r="CB182" s="39">
        <f t="shared" si="102"/>
        <v>0</v>
      </c>
      <c r="CC182" s="39">
        <f t="shared" si="103"/>
        <v>0</v>
      </c>
      <c r="CD182" s="39">
        <f t="shared" ref="CD182:CD238" si="105">SUMIF(CA182:CC182,"&lt;0")</f>
        <v>-190</v>
      </c>
      <c r="CE182" s="102">
        <f t="shared" si="104"/>
        <v>-1</v>
      </c>
      <c r="CF182" s="36" t="s">
        <v>248</v>
      </c>
      <c r="CG182" s="39" t="s">
        <v>298</v>
      </c>
      <c r="CH182" s="39"/>
      <c r="CI182" s="25">
        <v>3</v>
      </c>
    </row>
    <row r="183" spans="1:87" ht="24.75" customHeight="1">
      <c r="A183" s="36" t="s">
        <v>50</v>
      </c>
      <c r="B183" s="26">
        <v>48821</v>
      </c>
      <c r="C183" s="227">
        <v>13230813</v>
      </c>
      <c r="D183" s="36"/>
      <c r="E183" s="39">
        <v>180</v>
      </c>
      <c r="F183" s="39" t="s">
        <v>55</v>
      </c>
      <c r="G183" s="36" t="s">
        <v>1077</v>
      </c>
      <c r="H183" s="36" t="s">
        <v>403</v>
      </c>
      <c r="I183" s="39">
        <v>56</v>
      </c>
      <c r="J183" s="39">
        <v>25</v>
      </c>
      <c r="K183" s="39"/>
      <c r="L183" s="39">
        <f t="shared" si="93"/>
        <v>81</v>
      </c>
      <c r="M183" s="117">
        <v>46275</v>
      </c>
      <c r="N183" s="117">
        <v>46280</v>
      </c>
      <c r="O183" s="39"/>
      <c r="P183" s="39"/>
      <c r="Q183" s="39"/>
      <c r="R183" s="39">
        <f t="shared" si="79"/>
        <v>0</v>
      </c>
      <c r="S183" s="39" t="s">
        <v>28</v>
      </c>
      <c r="T183" s="39"/>
      <c r="U183" s="39"/>
      <c r="V183" s="117">
        <v>46272</v>
      </c>
      <c r="W183" s="39">
        <f>73+29</f>
        <v>102</v>
      </c>
      <c r="X183" s="39"/>
      <c r="Y183" s="39"/>
      <c r="Z183" s="39"/>
      <c r="AA183" s="39"/>
      <c r="AB183" s="118">
        <f t="shared" si="80"/>
        <v>0</v>
      </c>
      <c r="AC183" s="39"/>
      <c r="AD183" s="39"/>
      <c r="AE183" s="39"/>
      <c r="AF183" s="39"/>
      <c r="AG183" s="39"/>
      <c r="AH183" s="39">
        <f t="shared" si="94"/>
        <v>0</v>
      </c>
      <c r="AI183" s="39"/>
      <c r="AJ183" s="39"/>
      <c r="AK183" s="39"/>
      <c r="AL183" s="39"/>
      <c r="AM183" s="39"/>
      <c r="AN183" s="39">
        <f t="shared" si="4"/>
        <v>0</v>
      </c>
      <c r="AO183" s="39"/>
      <c r="AP183" s="39"/>
      <c r="AQ183" s="39"/>
      <c r="AR183" s="39"/>
      <c r="AS183" s="39"/>
      <c r="AT183" s="39">
        <f t="shared" si="95"/>
        <v>0</v>
      </c>
      <c r="AU183" s="39"/>
      <c r="AV183" s="39"/>
      <c r="AW183" s="39"/>
      <c r="AX183" s="39"/>
      <c r="AY183" s="39"/>
      <c r="AZ183" s="39">
        <f t="shared" si="96"/>
        <v>0</v>
      </c>
      <c r="BA183" s="39"/>
      <c r="BB183" s="39"/>
      <c r="BC183" s="39"/>
      <c r="BD183" s="39"/>
      <c r="BE183" s="39"/>
      <c r="BF183" s="39">
        <f t="shared" si="97"/>
        <v>0</v>
      </c>
      <c r="BG183" s="39"/>
      <c r="BH183" s="39"/>
      <c r="BI183" s="39"/>
      <c r="BJ183" s="39"/>
      <c r="BK183" s="39"/>
      <c r="BL183" s="39">
        <f t="shared" si="98"/>
        <v>0</v>
      </c>
      <c r="BM183" s="54">
        <f t="shared" ca="1" si="99"/>
        <v>46283</v>
      </c>
      <c r="BN183" s="60">
        <v>46292</v>
      </c>
      <c r="BO183" s="57">
        <v>46305</v>
      </c>
      <c r="BP183" s="36"/>
      <c r="BQ183" s="36"/>
      <c r="BR183" s="39"/>
      <c r="BS183" s="39"/>
      <c r="BT183" s="39"/>
      <c r="BU183" s="39"/>
      <c r="BV183" s="39"/>
      <c r="BW183" s="39"/>
      <c r="BX183" s="39"/>
      <c r="BY183" s="39"/>
      <c r="BZ183" s="39">
        <f t="shared" si="100"/>
        <v>0</v>
      </c>
      <c r="CA183" s="39">
        <f t="shared" si="101"/>
        <v>-56</v>
      </c>
      <c r="CB183" s="39">
        <f t="shared" si="102"/>
        <v>-25</v>
      </c>
      <c r="CC183" s="39">
        <f t="shared" si="103"/>
        <v>0</v>
      </c>
      <c r="CD183" s="39">
        <f t="shared" si="105"/>
        <v>-81</v>
      </c>
      <c r="CE183" s="102">
        <f t="shared" si="104"/>
        <v>-1</v>
      </c>
      <c r="CF183" s="36" t="s">
        <v>248</v>
      </c>
      <c r="CG183" s="39" t="s">
        <v>298</v>
      </c>
      <c r="CH183" s="39"/>
      <c r="CI183" s="25">
        <v>3</v>
      </c>
    </row>
    <row r="184" spans="1:87" ht="24.75" customHeight="1">
      <c r="A184" s="36" t="s">
        <v>50</v>
      </c>
      <c r="B184" s="26">
        <v>48821</v>
      </c>
      <c r="C184" s="231"/>
      <c r="D184" s="36"/>
      <c r="E184" s="39">
        <v>180</v>
      </c>
      <c r="F184" s="39" t="s">
        <v>55</v>
      </c>
      <c r="G184" s="36" t="s">
        <v>513</v>
      </c>
      <c r="H184" s="36" t="s">
        <v>403</v>
      </c>
      <c r="I184" s="39">
        <v>56</v>
      </c>
      <c r="J184" s="39">
        <v>25</v>
      </c>
      <c r="K184" s="39"/>
      <c r="L184" s="39">
        <f t="shared" si="93"/>
        <v>81</v>
      </c>
      <c r="M184" s="117">
        <v>46275</v>
      </c>
      <c r="N184" s="117">
        <v>46280</v>
      </c>
      <c r="O184" s="39"/>
      <c r="P184" s="39"/>
      <c r="Q184" s="39"/>
      <c r="R184" s="39">
        <f t="shared" si="79"/>
        <v>0</v>
      </c>
      <c r="S184" s="39" t="s">
        <v>28</v>
      </c>
      <c r="T184" s="39"/>
      <c r="U184" s="39"/>
      <c r="V184" s="117">
        <v>46272</v>
      </c>
      <c r="W184" s="39">
        <f>72+29</f>
        <v>101</v>
      </c>
      <c r="X184" s="39"/>
      <c r="Y184" s="39"/>
      <c r="Z184" s="39"/>
      <c r="AA184" s="39"/>
      <c r="AB184" s="118">
        <f t="shared" si="80"/>
        <v>0</v>
      </c>
      <c r="AC184" s="39"/>
      <c r="AD184" s="39"/>
      <c r="AE184" s="39"/>
      <c r="AF184" s="39"/>
      <c r="AG184" s="39"/>
      <c r="AH184" s="39">
        <f t="shared" si="94"/>
        <v>0</v>
      </c>
      <c r="AI184" s="39"/>
      <c r="AJ184" s="39"/>
      <c r="AK184" s="39"/>
      <c r="AL184" s="39"/>
      <c r="AM184" s="39"/>
      <c r="AN184" s="39">
        <f t="shared" si="4"/>
        <v>0</v>
      </c>
      <c r="AO184" s="39"/>
      <c r="AP184" s="39"/>
      <c r="AQ184" s="39"/>
      <c r="AR184" s="39"/>
      <c r="AS184" s="39"/>
      <c r="AT184" s="39">
        <f t="shared" si="95"/>
        <v>0</v>
      </c>
      <c r="AU184" s="39"/>
      <c r="AV184" s="39"/>
      <c r="AW184" s="39"/>
      <c r="AX184" s="39"/>
      <c r="AY184" s="39"/>
      <c r="AZ184" s="39">
        <f t="shared" si="96"/>
        <v>0</v>
      </c>
      <c r="BA184" s="39"/>
      <c r="BB184" s="39"/>
      <c r="BC184" s="39"/>
      <c r="BD184" s="39"/>
      <c r="BE184" s="39"/>
      <c r="BF184" s="39">
        <f t="shared" si="97"/>
        <v>0</v>
      </c>
      <c r="BG184" s="39"/>
      <c r="BH184" s="39"/>
      <c r="BI184" s="39"/>
      <c r="BJ184" s="39"/>
      <c r="BK184" s="39"/>
      <c r="BL184" s="39">
        <f t="shared" si="98"/>
        <v>0</v>
      </c>
      <c r="BM184" s="54">
        <f t="shared" ca="1" si="99"/>
        <v>46283</v>
      </c>
      <c r="BN184" s="60">
        <v>46292</v>
      </c>
      <c r="BO184" s="57">
        <v>46305</v>
      </c>
      <c r="BP184" s="36"/>
      <c r="BQ184" s="36"/>
      <c r="BR184" s="39"/>
      <c r="BS184" s="39"/>
      <c r="BT184" s="39"/>
      <c r="BU184" s="39"/>
      <c r="BV184" s="39"/>
      <c r="BW184" s="39"/>
      <c r="BX184" s="39"/>
      <c r="BY184" s="39"/>
      <c r="BZ184" s="39">
        <f t="shared" si="100"/>
        <v>0</v>
      </c>
      <c r="CA184" s="39">
        <f t="shared" si="101"/>
        <v>-56</v>
      </c>
      <c r="CB184" s="39">
        <f t="shared" si="102"/>
        <v>-25</v>
      </c>
      <c r="CC184" s="39">
        <f t="shared" si="103"/>
        <v>0</v>
      </c>
      <c r="CD184" s="39">
        <f t="shared" si="105"/>
        <v>-81</v>
      </c>
      <c r="CE184" s="102">
        <f t="shared" si="104"/>
        <v>-1</v>
      </c>
      <c r="CF184" s="36" t="s">
        <v>248</v>
      </c>
      <c r="CG184" s="39" t="s">
        <v>298</v>
      </c>
      <c r="CH184" s="39"/>
      <c r="CI184" s="25">
        <v>3</v>
      </c>
    </row>
    <row r="185" spans="1:87" ht="24.75" customHeight="1">
      <c r="A185" s="36" t="s">
        <v>50</v>
      </c>
      <c r="B185" s="26">
        <v>48821</v>
      </c>
      <c r="C185" s="228"/>
      <c r="D185" s="36"/>
      <c r="E185" s="39"/>
      <c r="F185" s="39"/>
      <c r="G185" s="36" t="s">
        <v>198</v>
      </c>
      <c r="H185" s="36">
        <f>200+200</f>
        <v>400</v>
      </c>
      <c r="I185" s="39" t="s">
        <v>90</v>
      </c>
      <c r="J185" s="39"/>
      <c r="K185" s="39"/>
      <c r="L185" s="39">
        <f t="shared" si="93"/>
        <v>0</v>
      </c>
      <c r="M185" s="117">
        <v>46275</v>
      </c>
      <c r="N185" s="117">
        <v>46280</v>
      </c>
      <c r="O185" s="39"/>
      <c r="P185" s="39"/>
      <c r="Q185" s="39"/>
      <c r="R185" s="39">
        <f t="shared" si="79"/>
        <v>0</v>
      </c>
      <c r="S185" s="39" t="s">
        <v>130</v>
      </c>
      <c r="T185" s="39"/>
      <c r="U185" s="39"/>
      <c r="V185" s="117">
        <v>46272</v>
      </c>
      <c r="W185" s="39">
        <f>2</f>
        <v>2</v>
      </c>
      <c r="X185" s="39"/>
      <c r="Y185" s="39"/>
      <c r="Z185" s="39"/>
      <c r="AA185" s="39"/>
      <c r="AB185" s="39">
        <f t="shared" si="80"/>
        <v>0</v>
      </c>
      <c r="AC185" s="39"/>
      <c r="AD185" s="39"/>
      <c r="AE185" s="39"/>
      <c r="AF185" s="39"/>
      <c r="AG185" s="39"/>
      <c r="AH185" s="39">
        <f t="shared" si="94"/>
        <v>0</v>
      </c>
      <c r="AI185" s="39"/>
      <c r="AJ185" s="39"/>
      <c r="AK185" s="39"/>
      <c r="AL185" s="39"/>
      <c r="AM185" s="39"/>
      <c r="AN185" s="39">
        <f t="shared" si="4"/>
        <v>0</v>
      </c>
      <c r="AO185" s="39"/>
      <c r="AP185" s="39"/>
      <c r="AQ185" s="39"/>
      <c r="AR185" s="39"/>
      <c r="AS185" s="39"/>
      <c r="AT185" s="39">
        <f t="shared" si="95"/>
        <v>0</v>
      </c>
      <c r="AU185" s="39"/>
      <c r="AV185" s="39"/>
      <c r="AW185" s="39"/>
      <c r="AX185" s="39"/>
      <c r="AY185" s="39"/>
      <c r="AZ185" s="39">
        <f t="shared" si="96"/>
        <v>0</v>
      </c>
      <c r="BA185" s="39"/>
      <c r="BB185" s="39"/>
      <c r="BC185" s="39"/>
      <c r="BD185" s="39"/>
      <c r="BE185" s="39"/>
      <c r="BF185" s="39">
        <f t="shared" si="97"/>
        <v>0</v>
      </c>
      <c r="BG185" s="39"/>
      <c r="BH185" s="39"/>
      <c r="BI185" s="39"/>
      <c r="BJ185" s="39"/>
      <c r="BK185" s="39"/>
      <c r="BL185" s="39">
        <f t="shared" si="98"/>
        <v>0</v>
      </c>
      <c r="BM185" s="54" t="e">
        <f t="shared" si="99"/>
        <v>#DIV/0!</v>
      </c>
      <c r="BN185" s="60">
        <v>46292</v>
      </c>
      <c r="BO185" s="57">
        <v>46305</v>
      </c>
      <c r="BP185" s="36"/>
      <c r="BQ185" s="36"/>
      <c r="BR185" s="39"/>
      <c r="BS185" s="39"/>
      <c r="BT185" s="39"/>
      <c r="BU185" s="39"/>
      <c r="BV185" s="39"/>
      <c r="BW185" s="39"/>
      <c r="BX185" s="39"/>
      <c r="BY185" s="39"/>
      <c r="BZ185" s="39">
        <f t="shared" si="100"/>
        <v>0</v>
      </c>
      <c r="CA185" s="39" t="e">
        <f t="shared" si="101"/>
        <v>#VALUE!</v>
      </c>
      <c r="CB185" s="39">
        <f t="shared" si="102"/>
        <v>0</v>
      </c>
      <c r="CC185" s="39">
        <f t="shared" si="103"/>
        <v>0</v>
      </c>
      <c r="CD185" s="39">
        <f t="shared" si="105"/>
        <v>0</v>
      </c>
      <c r="CE185" s="102" t="e">
        <f t="shared" si="104"/>
        <v>#DIV/0!</v>
      </c>
      <c r="CF185" s="36" t="s">
        <v>248</v>
      </c>
      <c r="CG185" s="39" t="s">
        <v>298</v>
      </c>
      <c r="CH185" s="39"/>
      <c r="CI185" s="25">
        <v>3</v>
      </c>
    </row>
    <row r="186" spans="1:87" ht="24.75" customHeight="1">
      <c r="A186" s="36" t="s">
        <v>50</v>
      </c>
      <c r="B186" s="26">
        <v>48822</v>
      </c>
      <c r="C186" s="227" t="s">
        <v>2782</v>
      </c>
      <c r="D186" s="36" t="s">
        <v>37</v>
      </c>
      <c r="E186" s="39">
        <v>180</v>
      </c>
      <c r="F186" s="39" t="s">
        <v>55</v>
      </c>
      <c r="G186" s="36" t="s">
        <v>1075</v>
      </c>
      <c r="H186" s="36" t="s">
        <v>403</v>
      </c>
      <c r="I186" s="39">
        <v>131</v>
      </c>
      <c r="J186" s="39"/>
      <c r="K186" s="39"/>
      <c r="L186" s="39">
        <f t="shared" ref="L186" si="106">SUM(I186:K186)</f>
        <v>131</v>
      </c>
      <c r="M186" s="117">
        <v>46273</v>
      </c>
      <c r="N186" s="117">
        <v>46280</v>
      </c>
      <c r="O186" s="39"/>
      <c r="P186" s="39"/>
      <c r="Q186" s="39"/>
      <c r="R186" s="39">
        <f t="shared" si="79"/>
        <v>0</v>
      </c>
      <c r="S186" s="39" t="s">
        <v>28</v>
      </c>
      <c r="T186" s="39"/>
      <c r="U186" s="39"/>
      <c r="V186" s="117">
        <v>46270</v>
      </c>
      <c r="W186" s="39">
        <v>162</v>
      </c>
      <c r="X186" s="39"/>
      <c r="Y186" s="39"/>
      <c r="Z186" s="39"/>
      <c r="AA186" s="39"/>
      <c r="AB186" s="118">
        <f t="shared" si="80"/>
        <v>0</v>
      </c>
      <c r="AC186" s="39"/>
      <c r="AD186" s="39"/>
      <c r="AE186" s="39"/>
      <c r="AF186" s="39"/>
      <c r="AG186" s="39"/>
      <c r="AH186" s="39">
        <f t="shared" si="94"/>
        <v>0</v>
      </c>
      <c r="AI186" s="39"/>
      <c r="AJ186" s="39"/>
      <c r="AK186" s="39"/>
      <c r="AL186" s="39"/>
      <c r="AM186" s="39"/>
      <c r="AN186" s="39">
        <f t="shared" si="4"/>
        <v>0</v>
      </c>
      <c r="AO186" s="39"/>
      <c r="AP186" s="39"/>
      <c r="AQ186" s="39"/>
      <c r="AR186" s="39"/>
      <c r="AS186" s="39"/>
      <c r="AT186" s="39">
        <f t="shared" si="95"/>
        <v>0</v>
      </c>
      <c r="AU186" s="39"/>
      <c r="AV186" s="39"/>
      <c r="AW186" s="39"/>
      <c r="AX186" s="39"/>
      <c r="AY186" s="39"/>
      <c r="AZ186" s="39">
        <f t="shared" si="96"/>
        <v>0</v>
      </c>
      <c r="BA186" s="39"/>
      <c r="BB186" s="39"/>
      <c r="BC186" s="39"/>
      <c r="BD186" s="39"/>
      <c r="BE186" s="39"/>
      <c r="BF186" s="39">
        <f t="shared" si="97"/>
        <v>0</v>
      </c>
      <c r="BG186" s="39"/>
      <c r="BH186" s="39"/>
      <c r="BI186" s="39"/>
      <c r="BJ186" s="39"/>
      <c r="BK186" s="39"/>
      <c r="BL186" s="39">
        <f t="shared" si="98"/>
        <v>0</v>
      </c>
      <c r="BM186" s="54">
        <f t="shared" ca="1" si="99"/>
        <v>46283</v>
      </c>
      <c r="BN186" s="60">
        <v>46287</v>
      </c>
      <c r="BO186" s="57">
        <v>46305</v>
      </c>
      <c r="BP186" s="57">
        <v>46307</v>
      </c>
      <c r="BQ186" s="57">
        <v>46315</v>
      </c>
      <c r="BR186" s="39"/>
      <c r="BS186" s="39"/>
      <c r="BT186" s="39"/>
      <c r="BU186" s="39"/>
      <c r="BV186" s="39"/>
      <c r="BW186" s="39"/>
      <c r="BX186" s="39"/>
      <c r="BY186" s="39"/>
      <c r="BZ186" s="39">
        <f t="shared" si="100"/>
        <v>0</v>
      </c>
      <c r="CA186" s="39">
        <f t="shared" si="101"/>
        <v>-131</v>
      </c>
      <c r="CB186" s="39">
        <f t="shared" si="102"/>
        <v>0</v>
      </c>
      <c r="CC186" s="39">
        <f t="shared" si="103"/>
        <v>0</v>
      </c>
      <c r="CD186" s="39">
        <f t="shared" si="105"/>
        <v>-131</v>
      </c>
      <c r="CE186" s="102">
        <f t="shared" si="104"/>
        <v>-1</v>
      </c>
      <c r="CF186" s="36" t="s">
        <v>248</v>
      </c>
      <c r="CG186" s="39" t="s">
        <v>298</v>
      </c>
      <c r="CH186" s="39"/>
      <c r="CI186" s="25">
        <v>3</v>
      </c>
    </row>
    <row r="187" spans="1:87" ht="24.75" customHeight="1">
      <c r="A187" s="36" t="s">
        <v>50</v>
      </c>
      <c r="B187" s="26">
        <v>48822</v>
      </c>
      <c r="C187" s="231"/>
      <c r="D187" s="36" t="s">
        <v>37</v>
      </c>
      <c r="E187" s="39">
        <v>180</v>
      </c>
      <c r="F187" s="39" t="s">
        <v>55</v>
      </c>
      <c r="G187" s="36" t="s">
        <v>2735</v>
      </c>
      <c r="H187" s="36" t="s">
        <v>403</v>
      </c>
      <c r="I187" s="39">
        <v>131</v>
      </c>
      <c r="J187" s="39"/>
      <c r="K187" s="39"/>
      <c r="L187" s="39">
        <f t="shared" ref="L187:L192" si="107">SUM(I187:K187)</f>
        <v>131</v>
      </c>
      <c r="M187" s="117">
        <v>46273</v>
      </c>
      <c r="N187" s="117">
        <v>46280</v>
      </c>
      <c r="O187" s="39"/>
      <c r="P187" s="39"/>
      <c r="Q187" s="39"/>
      <c r="R187" s="39">
        <f t="shared" si="79"/>
        <v>0</v>
      </c>
      <c r="S187" s="39" t="s">
        <v>28</v>
      </c>
      <c r="T187" s="39"/>
      <c r="U187" s="39"/>
      <c r="V187" s="117">
        <v>46270</v>
      </c>
      <c r="W187" s="39">
        <v>264</v>
      </c>
      <c r="X187" s="39"/>
      <c r="Y187" s="39"/>
      <c r="Z187" s="39"/>
      <c r="AA187" s="39"/>
      <c r="AB187" s="118">
        <f t="shared" si="80"/>
        <v>0</v>
      </c>
      <c r="AC187" s="39"/>
      <c r="AD187" s="39"/>
      <c r="AE187" s="39"/>
      <c r="AF187" s="39"/>
      <c r="AG187" s="39"/>
      <c r="AH187" s="39">
        <f t="shared" si="94"/>
        <v>0</v>
      </c>
      <c r="AI187" s="39"/>
      <c r="AJ187" s="39"/>
      <c r="AK187" s="39"/>
      <c r="AL187" s="39"/>
      <c r="AM187" s="39"/>
      <c r="AN187" s="39">
        <f t="shared" si="4"/>
        <v>0</v>
      </c>
      <c r="AO187" s="39"/>
      <c r="AP187" s="39"/>
      <c r="AQ187" s="39"/>
      <c r="AR187" s="39"/>
      <c r="AS187" s="39"/>
      <c r="AT187" s="39">
        <f t="shared" si="95"/>
        <v>0</v>
      </c>
      <c r="AU187" s="39"/>
      <c r="AV187" s="39"/>
      <c r="AW187" s="39"/>
      <c r="AX187" s="39"/>
      <c r="AY187" s="39"/>
      <c r="AZ187" s="39">
        <f t="shared" si="96"/>
        <v>0</v>
      </c>
      <c r="BA187" s="39"/>
      <c r="BB187" s="39"/>
      <c r="BC187" s="39"/>
      <c r="BD187" s="39"/>
      <c r="BE187" s="39"/>
      <c r="BF187" s="39">
        <f t="shared" si="97"/>
        <v>0</v>
      </c>
      <c r="BG187" s="39"/>
      <c r="BH187" s="39"/>
      <c r="BI187" s="39"/>
      <c r="BJ187" s="39"/>
      <c r="BK187" s="39"/>
      <c r="BL187" s="39">
        <f t="shared" si="98"/>
        <v>0</v>
      </c>
      <c r="BM187" s="54">
        <f t="shared" ca="1" si="99"/>
        <v>46283</v>
      </c>
      <c r="BN187" s="60">
        <v>46287</v>
      </c>
      <c r="BO187" s="57">
        <v>46305</v>
      </c>
      <c r="BP187" s="57">
        <v>46307</v>
      </c>
      <c r="BQ187" s="57">
        <v>46315</v>
      </c>
      <c r="BR187" s="39"/>
      <c r="BS187" s="39"/>
      <c r="BT187" s="39"/>
      <c r="BU187" s="39"/>
      <c r="BV187" s="39"/>
      <c r="BW187" s="39"/>
      <c r="BX187" s="39"/>
      <c r="BY187" s="39"/>
      <c r="BZ187" s="39">
        <f t="shared" si="100"/>
        <v>0</v>
      </c>
      <c r="CA187" s="39">
        <f t="shared" si="101"/>
        <v>-131</v>
      </c>
      <c r="CB187" s="39">
        <f t="shared" si="102"/>
        <v>0</v>
      </c>
      <c r="CC187" s="39">
        <f t="shared" si="103"/>
        <v>0</v>
      </c>
      <c r="CD187" s="39">
        <f t="shared" si="105"/>
        <v>-131</v>
      </c>
      <c r="CE187" s="102">
        <f t="shared" si="104"/>
        <v>-1</v>
      </c>
      <c r="CF187" s="36" t="s">
        <v>248</v>
      </c>
      <c r="CG187" s="39" t="s">
        <v>298</v>
      </c>
      <c r="CH187" s="39"/>
      <c r="CI187" s="25">
        <v>3</v>
      </c>
    </row>
    <row r="188" spans="1:87" ht="24.75" customHeight="1">
      <c r="A188" s="36" t="s">
        <v>50</v>
      </c>
      <c r="B188" s="26">
        <v>48822</v>
      </c>
      <c r="C188" s="228"/>
      <c r="D188" s="36"/>
      <c r="E188" s="39">
        <v>180</v>
      </c>
      <c r="F188" s="39" t="s">
        <v>55</v>
      </c>
      <c r="G188" s="36" t="s">
        <v>513</v>
      </c>
      <c r="H188" s="36" t="s">
        <v>403</v>
      </c>
      <c r="I188" s="39">
        <v>98</v>
      </c>
      <c r="J188" s="39"/>
      <c r="K188" s="39"/>
      <c r="L188" s="39">
        <f t="shared" si="107"/>
        <v>98</v>
      </c>
      <c r="M188" s="117">
        <v>46273</v>
      </c>
      <c r="N188" s="117">
        <v>46280</v>
      </c>
      <c r="O188" s="39"/>
      <c r="P188" s="39"/>
      <c r="Q188" s="39"/>
      <c r="R188" s="39">
        <f t="shared" si="79"/>
        <v>0</v>
      </c>
      <c r="S188" s="39" t="s">
        <v>28</v>
      </c>
      <c r="T188" s="39"/>
      <c r="U188" s="39"/>
      <c r="V188" s="39"/>
      <c r="W188" s="39"/>
      <c r="X188" s="39"/>
      <c r="Y188" s="39"/>
      <c r="Z188" s="39"/>
      <c r="AA188" s="39"/>
      <c r="AB188" s="118">
        <f t="shared" si="80"/>
        <v>0</v>
      </c>
      <c r="AC188" s="39"/>
      <c r="AD188" s="39"/>
      <c r="AE188" s="39"/>
      <c r="AF188" s="39"/>
      <c r="AG188" s="39"/>
      <c r="AH188" s="39">
        <f t="shared" si="94"/>
        <v>0</v>
      </c>
      <c r="AI188" s="39"/>
      <c r="AJ188" s="39"/>
      <c r="AK188" s="39"/>
      <c r="AL188" s="39"/>
      <c r="AM188" s="39"/>
      <c r="AN188" s="39">
        <f t="shared" si="4"/>
        <v>0</v>
      </c>
      <c r="AO188" s="39"/>
      <c r="AP188" s="39"/>
      <c r="AQ188" s="39"/>
      <c r="AR188" s="39"/>
      <c r="AS188" s="39"/>
      <c r="AT188" s="39">
        <f t="shared" si="95"/>
        <v>0</v>
      </c>
      <c r="AU188" s="39"/>
      <c r="AV188" s="39"/>
      <c r="AW188" s="39"/>
      <c r="AX188" s="39"/>
      <c r="AY188" s="39"/>
      <c r="AZ188" s="39">
        <f t="shared" si="96"/>
        <v>0</v>
      </c>
      <c r="BA188" s="39"/>
      <c r="BB188" s="39"/>
      <c r="BC188" s="39"/>
      <c r="BD188" s="39"/>
      <c r="BE188" s="39"/>
      <c r="BF188" s="39">
        <f t="shared" si="97"/>
        <v>0</v>
      </c>
      <c r="BG188" s="39"/>
      <c r="BH188" s="39"/>
      <c r="BI188" s="39"/>
      <c r="BJ188" s="39"/>
      <c r="BK188" s="39"/>
      <c r="BL188" s="39">
        <f t="shared" si="98"/>
        <v>0</v>
      </c>
      <c r="BM188" s="54">
        <f t="shared" ca="1" si="99"/>
        <v>46283</v>
      </c>
      <c r="BN188" s="60">
        <v>46287</v>
      </c>
      <c r="BO188" s="57">
        <v>46305</v>
      </c>
      <c r="BP188" s="57"/>
      <c r="BQ188" s="57"/>
      <c r="BR188" s="39"/>
      <c r="BS188" s="39"/>
      <c r="BT188" s="39"/>
      <c r="BU188" s="39"/>
      <c r="BV188" s="39"/>
      <c r="BW188" s="39"/>
      <c r="BX188" s="39"/>
      <c r="BY188" s="39"/>
      <c r="BZ188" s="39">
        <f t="shared" si="100"/>
        <v>0</v>
      </c>
      <c r="CA188" s="39">
        <f t="shared" si="101"/>
        <v>-98</v>
      </c>
      <c r="CB188" s="39">
        <f t="shared" si="102"/>
        <v>0</v>
      </c>
      <c r="CC188" s="39">
        <f t="shared" si="103"/>
        <v>0</v>
      </c>
      <c r="CD188" s="39">
        <f t="shared" si="105"/>
        <v>-98</v>
      </c>
      <c r="CE188" s="102">
        <f t="shared" si="104"/>
        <v>-1</v>
      </c>
      <c r="CF188" s="36" t="s">
        <v>248</v>
      </c>
      <c r="CG188" s="39" t="s">
        <v>298</v>
      </c>
      <c r="CH188" s="39"/>
      <c r="CI188" s="25">
        <v>3</v>
      </c>
    </row>
    <row r="189" spans="1:87" ht="24.75" customHeight="1">
      <c r="A189" s="36" t="s">
        <v>50</v>
      </c>
      <c r="B189" s="26">
        <v>48823</v>
      </c>
      <c r="C189" s="227">
        <v>13267901</v>
      </c>
      <c r="D189" s="36" t="s">
        <v>37</v>
      </c>
      <c r="E189" s="39">
        <v>180</v>
      </c>
      <c r="F189" s="39" t="s">
        <v>55</v>
      </c>
      <c r="G189" s="36" t="s">
        <v>1075</v>
      </c>
      <c r="H189" s="36" t="s">
        <v>403</v>
      </c>
      <c r="I189" s="39">
        <v>97</v>
      </c>
      <c r="J189" s="39"/>
      <c r="K189" s="39"/>
      <c r="L189" s="39">
        <f t="shared" si="107"/>
        <v>97</v>
      </c>
      <c r="M189" s="117">
        <v>46275</v>
      </c>
      <c r="N189" s="117">
        <v>46281</v>
      </c>
      <c r="O189" s="39"/>
      <c r="P189" s="39"/>
      <c r="Q189" s="39"/>
      <c r="R189" s="39">
        <f t="shared" si="79"/>
        <v>0</v>
      </c>
      <c r="S189" s="39" t="s">
        <v>28</v>
      </c>
      <c r="T189" s="39"/>
      <c r="U189" s="39"/>
      <c r="V189" s="117">
        <v>46270</v>
      </c>
      <c r="W189" s="39">
        <v>110</v>
      </c>
      <c r="X189" s="39"/>
      <c r="Y189" s="39"/>
      <c r="Z189" s="39"/>
      <c r="AA189" s="39"/>
      <c r="AB189" s="118">
        <f t="shared" si="80"/>
        <v>0</v>
      </c>
      <c r="AC189" s="39"/>
      <c r="AD189" s="39"/>
      <c r="AE189" s="39"/>
      <c r="AF189" s="39"/>
      <c r="AG189" s="39"/>
      <c r="AH189" s="39">
        <f t="shared" si="94"/>
        <v>0</v>
      </c>
      <c r="AI189" s="39"/>
      <c r="AJ189" s="39"/>
      <c r="AK189" s="39"/>
      <c r="AL189" s="39"/>
      <c r="AM189" s="39"/>
      <c r="AN189" s="39">
        <f t="shared" si="4"/>
        <v>0</v>
      </c>
      <c r="AO189" s="39"/>
      <c r="AP189" s="39"/>
      <c r="AQ189" s="39"/>
      <c r="AR189" s="39"/>
      <c r="AS189" s="39"/>
      <c r="AT189" s="39">
        <f t="shared" si="95"/>
        <v>0</v>
      </c>
      <c r="AU189" s="39"/>
      <c r="AV189" s="39"/>
      <c r="AW189" s="39"/>
      <c r="AX189" s="39"/>
      <c r="AY189" s="39"/>
      <c r="AZ189" s="39">
        <f t="shared" si="96"/>
        <v>0</v>
      </c>
      <c r="BA189" s="39"/>
      <c r="BB189" s="39"/>
      <c r="BC189" s="39"/>
      <c r="BD189" s="39"/>
      <c r="BE189" s="39"/>
      <c r="BF189" s="39">
        <f t="shared" si="97"/>
        <v>0</v>
      </c>
      <c r="BG189" s="39"/>
      <c r="BH189" s="39"/>
      <c r="BI189" s="39"/>
      <c r="BJ189" s="39"/>
      <c r="BK189" s="39"/>
      <c r="BL189" s="39">
        <f t="shared" si="98"/>
        <v>0</v>
      </c>
      <c r="BM189" s="54">
        <f t="shared" ca="1" si="99"/>
        <v>46283</v>
      </c>
      <c r="BN189" s="60">
        <v>46290</v>
      </c>
      <c r="BO189" s="57">
        <v>46305</v>
      </c>
      <c r="BP189" s="57">
        <v>46307</v>
      </c>
      <c r="BQ189" s="57">
        <v>46312</v>
      </c>
      <c r="BR189" s="39"/>
      <c r="BS189" s="39"/>
      <c r="BT189" s="39"/>
      <c r="BU189" s="39"/>
      <c r="BV189" s="39"/>
      <c r="BW189" s="39"/>
      <c r="BX189" s="39"/>
      <c r="BY189" s="39"/>
      <c r="BZ189" s="39">
        <f t="shared" si="100"/>
        <v>0</v>
      </c>
      <c r="CA189" s="39">
        <f t="shared" si="101"/>
        <v>-97</v>
      </c>
      <c r="CB189" s="39">
        <f t="shared" si="102"/>
        <v>0</v>
      </c>
      <c r="CC189" s="39">
        <f t="shared" si="103"/>
        <v>0</v>
      </c>
      <c r="CD189" s="39">
        <f t="shared" si="105"/>
        <v>-97</v>
      </c>
      <c r="CE189" s="102">
        <f t="shared" si="104"/>
        <v>-1</v>
      </c>
      <c r="CF189" s="36" t="s">
        <v>248</v>
      </c>
      <c r="CG189" s="39" t="s">
        <v>298</v>
      </c>
      <c r="CH189" s="39"/>
      <c r="CI189" s="25">
        <v>3</v>
      </c>
    </row>
    <row r="190" spans="1:87" ht="24.75" customHeight="1">
      <c r="A190" s="36" t="s">
        <v>50</v>
      </c>
      <c r="B190" s="26">
        <v>48823</v>
      </c>
      <c r="C190" s="231"/>
      <c r="D190" s="36"/>
      <c r="E190" s="39">
        <v>180</v>
      </c>
      <c r="F190" s="39" t="s">
        <v>55</v>
      </c>
      <c r="G190" s="36" t="s">
        <v>513</v>
      </c>
      <c r="H190" s="36" t="s">
        <v>403</v>
      </c>
      <c r="I190" s="39">
        <v>59</v>
      </c>
      <c r="J190" s="39"/>
      <c r="K190" s="39"/>
      <c r="L190" s="39">
        <f t="shared" si="107"/>
        <v>59</v>
      </c>
      <c r="M190" s="117">
        <v>46275</v>
      </c>
      <c r="N190" s="117">
        <v>46281</v>
      </c>
      <c r="O190" s="39"/>
      <c r="P190" s="39"/>
      <c r="Q190" s="39"/>
      <c r="R190" s="39">
        <f t="shared" si="79"/>
        <v>0</v>
      </c>
      <c r="S190" s="39" t="s">
        <v>28</v>
      </c>
      <c r="T190" s="39"/>
      <c r="U190" s="39"/>
      <c r="V190" s="117">
        <v>46272</v>
      </c>
      <c r="W190" s="39">
        <v>70</v>
      </c>
      <c r="X190" s="39"/>
      <c r="Y190" s="39"/>
      <c r="Z190" s="39"/>
      <c r="AA190" s="39"/>
      <c r="AB190" s="118">
        <f t="shared" si="80"/>
        <v>0</v>
      </c>
      <c r="AC190" s="39"/>
      <c r="AD190" s="39"/>
      <c r="AE190" s="39"/>
      <c r="AF190" s="39"/>
      <c r="AG190" s="39"/>
      <c r="AH190" s="39">
        <f t="shared" si="94"/>
        <v>0</v>
      </c>
      <c r="AI190" s="39"/>
      <c r="AJ190" s="39"/>
      <c r="AK190" s="39"/>
      <c r="AL190" s="39"/>
      <c r="AM190" s="39"/>
      <c r="AN190" s="39">
        <f t="shared" si="4"/>
        <v>0</v>
      </c>
      <c r="AO190" s="39"/>
      <c r="AP190" s="39"/>
      <c r="AQ190" s="39"/>
      <c r="AR190" s="39"/>
      <c r="AS190" s="39"/>
      <c r="AT190" s="39">
        <f t="shared" si="95"/>
        <v>0</v>
      </c>
      <c r="AU190" s="39"/>
      <c r="AV190" s="39"/>
      <c r="AW190" s="39"/>
      <c r="AX190" s="39"/>
      <c r="AY190" s="39"/>
      <c r="AZ190" s="39">
        <f t="shared" si="96"/>
        <v>0</v>
      </c>
      <c r="BA190" s="39"/>
      <c r="BB190" s="39"/>
      <c r="BC190" s="39"/>
      <c r="BD190" s="39"/>
      <c r="BE190" s="39"/>
      <c r="BF190" s="39">
        <f t="shared" si="97"/>
        <v>0</v>
      </c>
      <c r="BG190" s="39"/>
      <c r="BH190" s="39"/>
      <c r="BI190" s="39"/>
      <c r="BJ190" s="39"/>
      <c r="BK190" s="39"/>
      <c r="BL190" s="39">
        <f t="shared" si="98"/>
        <v>0</v>
      </c>
      <c r="BM190" s="54">
        <f t="shared" ca="1" si="99"/>
        <v>46283</v>
      </c>
      <c r="BN190" s="60">
        <v>46290</v>
      </c>
      <c r="BO190" s="57">
        <v>46305</v>
      </c>
      <c r="BP190" s="57"/>
      <c r="BQ190" s="57"/>
      <c r="BR190" s="39"/>
      <c r="BS190" s="39"/>
      <c r="BT190" s="39"/>
      <c r="BU190" s="39"/>
      <c r="BV190" s="39"/>
      <c r="BW190" s="39"/>
      <c r="BX190" s="39"/>
      <c r="BY190" s="39"/>
      <c r="BZ190" s="39">
        <f t="shared" si="100"/>
        <v>0</v>
      </c>
      <c r="CA190" s="39">
        <f t="shared" si="101"/>
        <v>-59</v>
      </c>
      <c r="CB190" s="39">
        <f t="shared" si="102"/>
        <v>0</v>
      </c>
      <c r="CC190" s="39">
        <f t="shared" si="103"/>
        <v>0</v>
      </c>
      <c r="CD190" s="39">
        <f t="shared" si="105"/>
        <v>-59</v>
      </c>
      <c r="CE190" s="102">
        <f t="shared" si="104"/>
        <v>-1</v>
      </c>
      <c r="CF190" s="36" t="s">
        <v>248</v>
      </c>
      <c r="CG190" s="39" t="s">
        <v>298</v>
      </c>
      <c r="CH190" s="39"/>
      <c r="CI190" s="25">
        <v>3</v>
      </c>
    </row>
    <row r="191" spans="1:87" ht="24.75" customHeight="1">
      <c r="A191" s="36" t="s">
        <v>50</v>
      </c>
      <c r="B191" s="26">
        <v>48823</v>
      </c>
      <c r="C191" s="231"/>
      <c r="D191" s="36" t="s">
        <v>37</v>
      </c>
      <c r="E191" s="39">
        <v>180</v>
      </c>
      <c r="F191" s="39" t="s">
        <v>55</v>
      </c>
      <c r="G191" s="36" t="s">
        <v>1075</v>
      </c>
      <c r="H191" s="36" t="s">
        <v>403</v>
      </c>
      <c r="I191" s="39">
        <v>69</v>
      </c>
      <c r="J191" s="39"/>
      <c r="K191" s="39"/>
      <c r="L191" s="39">
        <f t="shared" si="107"/>
        <v>69</v>
      </c>
      <c r="M191" s="117">
        <v>46275</v>
      </c>
      <c r="N191" s="117">
        <v>46281</v>
      </c>
      <c r="O191" s="39"/>
      <c r="P191" s="39"/>
      <c r="Q191" s="39"/>
      <c r="R191" s="39">
        <f t="shared" si="79"/>
        <v>0</v>
      </c>
      <c r="S191" s="39" t="s">
        <v>28</v>
      </c>
      <c r="T191" s="39"/>
      <c r="U191" s="39"/>
      <c r="V191" s="117">
        <v>46270</v>
      </c>
      <c r="W191" s="39">
        <v>80</v>
      </c>
      <c r="X191" s="39"/>
      <c r="Y191" s="39"/>
      <c r="Z191" s="39"/>
      <c r="AA191" s="39"/>
      <c r="AB191" s="118">
        <f t="shared" si="80"/>
        <v>0</v>
      </c>
      <c r="AC191" s="39"/>
      <c r="AD191" s="39"/>
      <c r="AE191" s="39"/>
      <c r="AF191" s="39"/>
      <c r="AG191" s="39"/>
      <c r="AH191" s="39">
        <f t="shared" si="94"/>
        <v>0</v>
      </c>
      <c r="AI191" s="39"/>
      <c r="AJ191" s="39"/>
      <c r="AK191" s="39"/>
      <c r="AL191" s="39"/>
      <c r="AM191" s="39"/>
      <c r="AN191" s="39">
        <f t="shared" si="4"/>
        <v>0</v>
      </c>
      <c r="AO191" s="39"/>
      <c r="AP191" s="39"/>
      <c r="AQ191" s="39"/>
      <c r="AR191" s="39"/>
      <c r="AS191" s="39"/>
      <c r="AT191" s="39">
        <f t="shared" si="95"/>
        <v>0</v>
      </c>
      <c r="AU191" s="39"/>
      <c r="AV191" s="39"/>
      <c r="AW191" s="39"/>
      <c r="AX191" s="39"/>
      <c r="AY191" s="39"/>
      <c r="AZ191" s="39">
        <f t="shared" si="96"/>
        <v>0</v>
      </c>
      <c r="BA191" s="39"/>
      <c r="BB191" s="39"/>
      <c r="BC191" s="39"/>
      <c r="BD191" s="39"/>
      <c r="BE191" s="39"/>
      <c r="BF191" s="39">
        <f t="shared" si="97"/>
        <v>0</v>
      </c>
      <c r="BG191" s="39"/>
      <c r="BH191" s="39"/>
      <c r="BI191" s="39"/>
      <c r="BJ191" s="39"/>
      <c r="BK191" s="39"/>
      <c r="BL191" s="39">
        <f t="shared" si="98"/>
        <v>0</v>
      </c>
      <c r="BM191" s="54">
        <f t="shared" ca="1" si="99"/>
        <v>46283</v>
      </c>
      <c r="BN191" s="60">
        <v>46290</v>
      </c>
      <c r="BO191" s="57">
        <v>46305</v>
      </c>
      <c r="BP191" s="57">
        <v>46307</v>
      </c>
      <c r="BQ191" s="57">
        <v>46312</v>
      </c>
      <c r="BR191" s="39"/>
      <c r="BS191" s="39"/>
      <c r="BT191" s="39"/>
      <c r="BU191" s="39"/>
      <c r="BV191" s="39"/>
      <c r="BW191" s="39"/>
      <c r="BX191" s="39"/>
      <c r="BY191" s="39"/>
      <c r="BZ191" s="39">
        <f t="shared" si="100"/>
        <v>0</v>
      </c>
      <c r="CA191" s="39">
        <f t="shared" si="101"/>
        <v>-69</v>
      </c>
      <c r="CB191" s="39">
        <f t="shared" si="102"/>
        <v>0</v>
      </c>
      <c r="CC191" s="39">
        <f t="shared" si="103"/>
        <v>0</v>
      </c>
      <c r="CD191" s="39">
        <f t="shared" si="105"/>
        <v>-69</v>
      </c>
      <c r="CE191" s="102">
        <f t="shared" si="104"/>
        <v>-1</v>
      </c>
      <c r="CF191" s="36" t="s">
        <v>248</v>
      </c>
      <c r="CG191" s="39" t="s">
        <v>298</v>
      </c>
      <c r="CH191" s="39"/>
      <c r="CI191" s="25">
        <v>3</v>
      </c>
    </row>
    <row r="192" spans="1:87" ht="24.75" customHeight="1">
      <c r="A192" s="36" t="s">
        <v>50</v>
      </c>
      <c r="B192" s="26">
        <v>48823</v>
      </c>
      <c r="C192" s="231"/>
      <c r="D192" s="36"/>
      <c r="E192" s="39">
        <v>180</v>
      </c>
      <c r="F192" s="39" t="s">
        <v>55</v>
      </c>
      <c r="G192" s="36" t="s">
        <v>1077</v>
      </c>
      <c r="H192" s="36" t="s">
        <v>403</v>
      </c>
      <c r="I192" s="39">
        <v>21</v>
      </c>
      <c r="J192" s="39"/>
      <c r="K192" s="39"/>
      <c r="L192" s="39">
        <f t="shared" si="107"/>
        <v>21</v>
      </c>
      <c r="M192" s="117">
        <v>46275</v>
      </c>
      <c r="N192" s="117">
        <v>46281</v>
      </c>
      <c r="O192" s="39"/>
      <c r="P192" s="39"/>
      <c r="Q192" s="39"/>
      <c r="R192" s="39">
        <f t="shared" si="79"/>
        <v>0</v>
      </c>
      <c r="S192" s="39" t="s">
        <v>28</v>
      </c>
      <c r="T192" s="39"/>
      <c r="U192" s="39"/>
      <c r="V192" s="117">
        <v>46270</v>
      </c>
      <c r="W192" s="39">
        <v>26</v>
      </c>
      <c r="X192" s="39"/>
      <c r="Y192" s="39"/>
      <c r="Z192" s="39"/>
      <c r="AA192" s="39"/>
      <c r="AB192" s="118">
        <f t="shared" si="80"/>
        <v>0</v>
      </c>
      <c r="AC192" s="39"/>
      <c r="AD192" s="39"/>
      <c r="AE192" s="39"/>
      <c r="AF192" s="39"/>
      <c r="AG192" s="39"/>
      <c r="AH192" s="39">
        <f t="shared" si="94"/>
        <v>0</v>
      </c>
      <c r="AI192" s="39"/>
      <c r="AJ192" s="39"/>
      <c r="AK192" s="39"/>
      <c r="AL192" s="39"/>
      <c r="AM192" s="39"/>
      <c r="AN192" s="39">
        <f t="shared" si="4"/>
        <v>0</v>
      </c>
      <c r="AO192" s="39"/>
      <c r="AP192" s="39"/>
      <c r="AQ192" s="39"/>
      <c r="AR192" s="39"/>
      <c r="AS192" s="39"/>
      <c r="AT192" s="39">
        <f t="shared" si="95"/>
        <v>0</v>
      </c>
      <c r="AU192" s="39"/>
      <c r="AV192" s="39"/>
      <c r="AW192" s="39"/>
      <c r="AX192" s="39"/>
      <c r="AY192" s="39"/>
      <c r="AZ192" s="39">
        <f t="shared" si="96"/>
        <v>0</v>
      </c>
      <c r="BA192" s="39"/>
      <c r="BB192" s="39"/>
      <c r="BC192" s="39"/>
      <c r="BD192" s="39"/>
      <c r="BE192" s="39"/>
      <c r="BF192" s="39">
        <f t="shared" si="97"/>
        <v>0</v>
      </c>
      <c r="BG192" s="39"/>
      <c r="BH192" s="39"/>
      <c r="BI192" s="39"/>
      <c r="BJ192" s="39"/>
      <c r="BK192" s="39"/>
      <c r="BL192" s="39">
        <f t="shared" si="98"/>
        <v>0</v>
      </c>
      <c r="BM192" s="54">
        <f t="shared" ca="1" si="99"/>
        <v>46283</v>
      </c>
      <c r="BN192" s="60">
        <v>46290</v>
      </c>
      <c r="BO192" s="57">
        <v>46305</v>
      </c>
      <c r="BP192" s="57"/>
      <c r="BQ192" s="57"/>
      <c r="BR192" s="39"/>
      <c r="BS192" s="39"/>
      <c r="BT192" s="39"/>
      <c r="BU192" s="39"/>
      <c r="BV192" s="39"/>
      <c r="BW192" s="39"/>
      <c r="BX192" s="39"/>
      <c r="BY192" s="39"/>
      <c r="BZ192" s="39">
        <f t="shared" si="100"/>
        <v>0</v>
      </c>
      <c r="CA192" s="39">
        <f t="shared" si="101"/>
        <v>-21</v>
      </c>
      <c r="CB192" s="39">
        <f t="shared" si="102"/>
        <v>0</v>
      </c>
      <c r="CC192" s="39">
        <f t="shared" si="103"/>
        <v>0</v>
      </c>
      <c r="CD192" s="39">
        <f t="shared" si="105"/>
        <v>-21</v>
      </c>
      <c r="CE192" s="102">
        <f t="shared" si="104"/>
        <v>-1</v>
      </c>
      <c r="CF192" s="36" t="s">
        <v>248</v>
      </c>
      <c r="CG192" s="39" t="s">
        <v>298</v>
      </c>
      <c r="CH192" s="39"/>
      <c r="CI192" s="25">
        <v>3</v>
      </c>
    </row>
    <row r="193" spans="1:87" ht="24.75" customHeight="1">
      <c r="A193" s="36" t="s">
        <v>50</v>
      </c>
      <c r="B193" s="26">
        <v>48823</v>
      </c>
      <c r="C193" s="231"/>
      <c r="D193" s="36" t="s">
        <v>37</v>
      </c>
      <c r="E193" s="39">
        <v>180</v>
      </c>
      <c r="F193" s="39" t="s">
        <v>55</v>
      </c>
      <c r="G193" s="36" t="s">
        <v>2735</v>
      </c>
      <c r="H193" s="36" t="s">
        <v>403</v>
      </c>
      <c r="I193" s="39">
        <v>86</v>
      </c>
      <c r="J193" s="39"/>
      <c r="K193" s="39"/>
      <c r="L193" s="39">
        <f t="shared" ref="L193" si="108">SUM(I193:K193)</f>
        <v>86</v>
      </c>
      <c r="M193" s="117">
        <v>46275</v>
      </c>
      <c r="N193" s="117">
        <v>46281</v>
      </c>
      <c r="O193" s="39"/>
      <c r="P193" s="39"/>
      <c r="Q193" s="39"/>
      <c r="R193" s="39">
        <f t="shared" si="79"/>
        <v>0</v>
      </c>
      <c r="S193" s="39" t="s">
        <v>28</v>
      </c>
      <c r="T193" s="39"/>
      <c r="U193" s="39"/>
      <c r="V193" s="117">
        <v>46272</v>
      </c>
      <c r="W193" s="39">
        <v>97</v>
      </c>
      <c r="X193" s="39"/>
      <c r="Y193" s="39"/>
      <c r="Z193" s="39"/>
      <c r="AA193" s="39"/>
      <c r="AB193" s="118">
        <f t="shared" si="80"/>
        <v>0</v>
      </c>
      <c r="AC193" s="39"/>
      <c r="AD193" s="39"/>
      <c r="AE193" s="39"/>
      <c r="AF193" s="39"/>
      <c r="AG193" s="39"/>
      <c r="AH193" s="39">
        <f t="shared" si="94"/>
        <v>0</v>
      </c>
      <c r="AI193" s="39"/>
      <c r="AJ193" s="39"/>
      <c r="AK193" s="39"/>
      <c r="AL193" s="39"/>
      <c r="AM193" s="39"/>
      <c r="AN193" s="39">
        <f t="shared" si="4"/>
        <v>0</v>
      </c>
      <c r="AO193" s="39"/>
      <c r="AP193" s="39"/>
      <c r="AQ193" s="39"/>
      <c r="AR193" s="39"/>
      <c r="AS193" s="39"/>
      <c r="AT193" s="39">
        <f t="shared" si="95"/>
        <v>0</v>
      </c>
      <c r="AU193" s="39"/>
      <c r="AV193" s="39"/>
      <c r="AW193" s="39"/>
      <c r="AX193" s="39"/>
      <c r="AY193" s="39"/>
      <c r="AZ193" s="39">
        <f t="shared" si="96"/>
        <v>0</v>
      </c>
      <c r="BA193" s="39"/>
      <c r="BB193" s="39"/>
      <c r="BC193" s="39"/>
      <c r="BD193" s="39"/>
      <c r="BE193" s="39"/>
      <c r="BF193" s="39">
        <f t="shared" si="97"/>
        <v>0</v>
      </c>
      <c r="BG193" s="39"/>
      <c r="BH193" s="39"/>
      <c r="BI193" s="39"/>
      <c r="BJ193" s="39"/>
      <c r="BK193" s="39"/>
      <c r="BL193" s="39">
        <f t="shared" si="98"/>
        <v>0</v>
      </c>
      <c r="BM193" s="54">
        <f t="shared" ca="1" si="99"/>
        <v>46283</v>
      </c>
      <c r="BN193" s="60">
        <v>46290</v>
      </c>
      <c r="BO193" s="57">
        <v>46305</v>
      </c>
      <c r="BP193" s="57">
        <v>46307</v>
      </c>
      <c r="BQ193" s="57">
        <v>46312</v>
      </c>
      <c r="BR193" s="39"/>
      <c r="BS193" s="39"/>
      <c r="BT193" s="39"/>
      <c r="BU193" s="39"/>
      <c r="BV193" s="39"/>
      <c r="BW193" s="39"/>
      <c r="BX193" s="39"/>
      <c r="BY193" s="39"/>
      <c r="BZ193" s="39">
        <f t="shared" si="100"/>
        <v>0</v>
      </c>
      <c r="CA193" s="39">
        <f t="shared" si="101"/>
        <v>-86</v>
      </c>
      <c r="CB193" s="39">
        <f t="shared" si="102"/>
        <v>0</v>
      </c>
      <c r="CC193" s="39">
        <f t="shared" si="103"/>
        <v>0</v>
      </c>
      <c r="CD193" s="39">
        <f t="shared" si="105"/>
        <v>-86</v>
      </c>
      <c r="CE193" s="102">
        <f t="shared" si="104"/>
        <v>-1</v>
      </c>
      <c r="CF193" s="36" t="s">
        <v>248</v>
      </c>
      <c r="CG193" s="39" t="s">
        <v>298</v>
      </c>
      <c r="CH193" s="39"/>
      <c r="CI193" s="25">
        <v>3</v>
      </c>
    </row>
    <row r="194" spans="1:87" ht="24.75" customHeight="1">
      <c r="A194" s="36" t="s">
        <v>50</v>
      </c>
      <c r="B194" s="26">
        <v>48823</v>
      </c>
      <c r="C194" s="231"/>
      <c r="D194" s="36"/>
      <c r="E194" s="39">
        <v>180</v>
      </c>
      <c r="F194" s="39" t="s">
        <v>55</v>
      </c>
      <c r="G194" s="36" t="s">
        <v>1077</v>
      </c>
      <c r="H194" s="36" t="s">
        <v>403</v>
      </c>
      <c r="I194" s="39">
        <v>52</v>
      </c>
      <c r="J194" s="39"/>
      <c r="K194" s="39"/>
      <c r="L194" s="39">
        <f t="shared" ref="L194:L207" si="109">SUM(I194:K194)</f>
        <v>52</v>
      </c>
      <c r="M194" s="117">
        <v>46275</v>
      </c>
      <c r="N194" s="117">
        <v>46281</v>
      </c>
      <c r="O194" s="39"/>
      <c r="P194" s="39"/>
      <c r="Q194" s="39"/>
      <c r="R194" s="39">
        <f t="shared" si="79"/>
        <v>0</v>
      </c>
      <c r="S194" s="39" t="s">
        <v>28</v>
      </c>
      <c r="T194" s="39"/>
      <c r="U194" s="39"/>
      <c r="V194" s="117">
        <v>46270</v>
      </c>
      <c r="W194" s="39">
        <v>59</v>
      </c>
      <c r="X194" s="39"/>
      <c r="Y194" s="39"/>
      <c r="Z194" s="39"/>
      <c r="AA194" s="39"/>
      <c r="AB194" s="118">
        <f t="shared" si="80"/>
        <v>0</v>
      </c>
      <c r="AC194" s="39"/>
      <c r="AD194" s="39"/>
      <c r="AE194" s="39"/>
      <c r="AF194" s="39"/>
      <c r="AG194" s="39"/>
      <c r="AH194" s="39">
        <f t="shared" si="94"/>
        <v>0</v>
      </c>
      <c r="AI194" s="39"/>
      <c r="AJ194" s="39"/>
      <c r="AK194" s="39"/>
      <c r="AL194" s="39"/>
      <c r="AM194" s="39"/>
      <c r="AN194" s="39">
        <f t="shared" si="4"/>
        <v>0</v>
      </c>
      <c r="AO194" s="39"/>
      <c r="AP194" s="39"/>
      <c r="AQ194" s="39"/>
      <c r="AR194" s="39"/>
      <c r="AS194" s="39"/>
      <c r="AT194" s="39">
        <f t="shared" si="95"/>
        <v>0</v>
      </c>
      <c r="AU194" s="39"/>
      <c r="AV194" s="39"/>
      <c r="AW194" s="39"/>
      <c r="AX194" s="39"/>
      <c r="AY194" s="39"/>
      <c r="AZ194" s="39">
        <f t="shared" si="96"/>
        <v>0</v>
      </c>
      <c r="BA194" s="39"/>
      <c r="BB194" s="39"/>
      <c r="BC194" s="39"/>
      <c r="BD194" s="39"/>
      <c r="BE194" s="39"/>
      <c r="BF194" s="39">
        <f t="shared" si="97"/>
        <v>0</v>
      </c>
      <c r="BG194" s="39"/>
      <c r="BH194" s="39"/>
      <c r="BI194" s="39"/>
      <c r="BJ194" s="39"/>
      <c r="BK194" s="39"/>
      <c r="BL194" s="39">
        <f t="shared" si="98"/>
        <v>0</v>
      </c>
      <c r="BM194" s="54">
        <f t="shared" ca="1" si="99"/>
        <v>46283</v>
      </c>
      <c r="BN194" s="60">
        <v>46290</v>
      </c>
      <c r="BO194" s="57">
        <v>46305</v>
      </c>
      <c r="BP194" s="57"/>
      <c r="BQ194" s="57"/>
      <c r="BR194" s="39"/>
      <c r="BS194" s="39"/>
      <c r="BT194" s="39"/>
      <c r="BU194" s="39"/>
      <c r="BV194" s="39"/>
      <c r="BW194" s="39"/>
      <c r="BX194" s="39"/>
      <c r="BY194" s="39"/>
      <c r="BZ194" s="39">
        <f t="shared" si="100"/>
        <v>0</v>
      </c>
      <c r="CA194" s="39">
        <f t="shared" si="101"/>
        <v>-52</v>
      </c>
      <c r="CB194" s="39">
        <f t="shared" si="102"/>
        <v>0</v>
      </c>
      <c r="CC194" s="39">
        <f t="shared" si="103"/>
        <v>0</v>
      </c>
      <c r="CD194" s="39">
        <f t="shared" si="105"/>
        <v>-52</v>
      </c>
      <c r="CE194" s="102">
        <f t="shared" si="104"/>
        <v>-1</v>
      </c>
      <c r="CF194" s="36" t="s">
        <v>248</v>
      </c>
      <c r="CG194" s="39" t="s">
        <v>298</v>
      </c>
      <c r="CH194" s="39"/>
      <c r="CI194" s="25">
        <v>3</v>
      </c>
    </row>
    <row r="195" spans="1:87" ht="24.75" customHeight="1">
      <c r="A195" s="36" t="s">
        <v>50</v>
      </c>
      <c r="B195" s="26">
        <v>48823</v>
      </c>
      <c r="C195" s="228"/>
      <c r="D195" s="36"/>
      <c r="E195" s="39">
        <v>180</v>
      </c>
      <c r="F195" s="39" t="s">
        <v>55</v>
      </c>
      <c r="G195" s="36" t="s">
        <v>513</v>
      </c>
      <c r="H195" s="36" t="s">
        <v>403</v>
      </c>
      <c r="I195" s="39">
        <v>75</v>
      </c>
      <c r="J195" s="39"/>
      <c r="K195" s="39"/>
      <c r="L195" s="39">
        <f t="shared" si="109"/>
        <v>75</v>
      </c>
      <c r="M195" s="117">
        <v>46275</v>
      </c>
      <c r="N195" s="117">
        <v>46281</v>
      </c>
      <c r="O195" s="39"/>
      <c r="P195" s="39"/>
      <c r="Q195" s="39"/>
      <c r="R195" s="39">
        <f t="shared" si="79"/>
        <v>0</v>
      </c>
      <c r="S195" s="39" t="s">
        <v>28</v>
      </c>
      <c r="T195" s="39"/>
      <c r="U195" s="39"/>
      <c r="V195" s="117">
        <v>46272</v>
      </c>
      <c r="W195" s="39">
        <v>86</v>
      </c>
      <c r="X195" s="39"/>
      <c r="Y195" s="39"/>
      <c r="Z195" s="39"/>
      <c r="AA195" s="39"/>
      <c r="AB195" s="118">
        <f t="shared" si="80"/>
        <v>0</v>
      </c>
      <c r="AC195" s="39"/>
      <c r="AD195" s="39"/>
      <c r="AE195" s="39"/>
      <c r="AF195" s="39"/>
      <c r="AG195" s="39"/>
      <c r="AH195" s="39">
        <f t="shared" si="94"/>
        <v>0</v>
      </c>
      <c r="AI195" s="39"/>
      <c r="AJ195" s="39"/>
      <c r="AK195" s="39"/>
      <c r="AL195" s="39"/>
      <c r="AM195" s="39"/>
      <c r="AN195" s="39">
        <f t="shared" si="4"/>
        <v>0</v>
      </c>
      <c r="AO195" s="39"/>
      <c r="AP195" s="39"/>
      <c r="AQ195" s="39"/>
      <c r="AR195" s="39"/>
      <c r="AS195" s="39"/>
      <c r="AT195" s="39">
        <f t="shared" si="95"/>
        <v>0</v>
      </c>
      <c r="AU195" s="39"/>
      <c r="AV195" s="39"/>
      <c r="AW195" s="39"/>
      <c r="AX195" s="39"/>
      <c r="AY195" s="39"/>
      <c r="AZ195" s="39">
        <f t="shared" si="96"/>
        <v>0</v>
      </c>
      <c r="BA195" s="39"/>
      <c r="BB195" s="39"/>
      <c r="BC195" s="39"/>
      <c r="BD195" s="39"/>
      <c r="BE195" s="39"/>
      <c r="BF195" s="39">
        <f t="shared" si="97"/>
        <v>0</v>
      </c>
      <c r="BG195" s="39"/>
      <c r="BH195" s="39"/>
      <c r="BI195" s="39"/>
      <c r="BJ195" s="39"/>
      <c r="BK195" s="39"/>
      <c r="BL195" s="39">
        <f t="shared" si="98"/>
        <v>0</v>
      </c>
      <c r="BM195" s="54">
        <f t="shared" ca="1" si="99"/>
        <v>46283</v>
      </c>
      <c r="BN195" s="60">
        <v>46290</v>
      </c>
      <c r="BO195" s="57">
        <v>46305</v>
      </c>
      <c r="BP195" s="57"/>
      <c r="BQ195" s="57"/>
      <c r="BR195" s="39"/>
      <c r="BS195" s="39"/>
      <c r="BT195" s="39"/>
      <c r="BU195" s="39"/>
      <c r="BV195" s="39"/>
      <c r="BW195" s="39"/>
      <c r="BX195" s="39"/>
      <c r="BY195" s="39"/>
      <c r="BZ195" s="39">
        <f t="shared" si="100"/>
        <v>0</v>
      </c>
      <c r="CA195" s="39">
        <f t="shared" si="101"/>
        <v>-75</v>
      </c>
      <c r="CB195" s="39">
        <f t="shared" si="102"/>
        <v>0</v>
      </c>
      <c r="CC195" s="39">
        <f t="shared" si="103"/>
        <v>0</v>
      </c>
      <c r="CD195" s="39">
        <f t="shared" si="105"/>
        <v>-75</v>
      </c>
      <c r="CE195" s="102">
        <f t="shared" si="104"/>
        <v>-1</v>
      </c>
      <c r="CF195" s="36" t="s">
        <v>248</v>
      </c>
      <c r="CG195" s="39" t="s">
        <v>298</v>
      </c>
      <c r="CH195" s="39"/>
      <c r="CI195" s="25">
        <v>3</v>
      </c>
    </row>
    <row r="196" spans="1:87" ht="24.75" customHeight="1">
      <c r="A196" s="36" t="s">
        <v>50</v>
      </c>
      <c r="B196" s="26">
        <v>48824</v>
      </c>
      <c r="C196" s="227">
        <v>13267906</v>
      </c>
      <c r="D196" s="36" t="s">
        <v>37</v>
      </c>
      <c r="E196" s="39">
        <v>180</v>
      </c>
      <c r="F196" s="39" t="s">
        <v>55</v>
      </c>
      <c r="G196" s="36" t="s">
        <v>497</v>
      </c>
      <c r="H196" s="36" t="s">
        <v>403</v>
      </c>
      <c r="I196" s="39">
        <v>48</v>
      </c>
      <c r="J196" s="39">
        <v>17</v>
      </c>
      <c r="K196" s="39"/>
      <c r="L196" s="39">
        <f t="shared" si="109"/>
        <v>65</v>
      </c>
      <c r="M196" s="117">
        <v>46275</v>
      </c>
      <c r="N196" s="117">
        <v>46280</v>
      </c>
      <c r="O196" s="39"/>
      <c r="P196" s="39"/>
      <c r="Q196" s="39"/>
      <c r="R196" s="39">
        <f t="shared" si="79"/>
        <v>0</v>
      </c>
      <c r="S196" s="39" t="s">
        <v>28</v>
      </c>
      <c r="T196" s="39"/>
      <c r="U196" s="39"/>
      <c r="V196" s="117">
        <v>46272</v>
      </c>
      <c r="W196" s="39">
        <f>62+20</f>
        <v>82</v>
      </c>
      <c r="X196" s="39"/>
      <c r="Y196" s="39"/>
      <c r="Z196" s="39"/>
      <c r="AA196" s="39"/>
      <c r="AB196" s="118">
        <f t="shared" si="80"/>
        <v>0</v>
      </c>
      <c r="AC196" s="39"/>
      <c r="AD196" s="39"/>
      <c r="AE196" s="39"/>
      <c r="AF196" s="39"/>
      <c r="AG196" s="39"/>
      <c r="AH196" s="39">
        <f t="shared" si="94"/>
        <v>0</v>
      </c>
      <c r="AI196" s="39"/>
      <c r="AJ196" s="39"/>
      <c r="AK196" s="39"/>
      <c r="AL196" s="39"/>
      <c r="AM196" s="39"/>
      <c r="AN196" s="39">
        <f t="shared" si="4"/>
        <v>0</v>
      </c>
      <c r="AO196" s="39"/>
      <c r="AP196" s="39"/>
      <c r="AQ196" s="39"/>
      <c r="AR196" s="39"/>
      <c r="AS196" s="39"/>
      <c r="AT196" s="39">
        <f t="shared" si="95"/>
        <v>0</v>
      </c>
      <c r="AU196" s="39"/>
      <c r="AV196" s="39"/>
      <c r="AW196" s="39"/>
      <c r="AX196" s="39"/>
      <c r="AY196" s="39"/>
      <c r="AZ196" s="39">
        <f t="shared" si="96"/>
        <v>0</v>
      </c>
      <c r="BA196" s="39"/>
      <c r="BB196" s="39"/>
      <c r="BC196" s="39"/>
      <c r="BD196" s="39"/>
      <c r="BE196" s="39"/>
      <c r="BF196" s="39">
        <f t="shared" si="97"/>
        <v>0</v>
      </c>
      <c r="BG196" s="39"/>
      <c r="BH196" s="39"/>
      <c r="BI196" s="39"/>
      <c r="BJ196" s="39"/>
      <c r="BK196" s="39"/>
      <c r="BL196" s="39">
        <f t="shared" si="98"/>
        <v>0</v>
      </c>
      <c r="BM196" s="54">
        <f t="shared" ca="1" si="99"/>
        <v>46283</v>
      </c>
      <c r="BN196" s="60">
        <v>46292</v>
      </c>
      <c r="BO196" s="57">
        <v>46305</v>
      </c>
      <c r="BP196" s="57">
        <v>46307</v>
      </c>
      <c r="BQ196" s="57">
        <v>46313</v>
      </c>
      <c r="BR196" s="39"/>
      <c r="BS196" s="39"/>
      <c r="BT196" s="39"/>
      <c r="BU196" s="39"/>
      <c r="BV196" s="39"/>
      <c r="BW196" s="39"/>
      <c r="BX196" s="39"/>
      <c r="BY196" s="39"/>
      <c r="BZ196" s="39">
        <f t="shared" si="100"/>
        <v>0</v>
      </c>
      <c r="CA196" s="39">
        <f t="shared" si="101"/>
        <v>-48</v>
      </c>
      <c r="CB196" s="39">
        <f t="shared" si="102"/>
        <v>-17</v>
      </c>
      <c r="CC196" s="39">
        <f t="shared" si="103"/>
        <v>0</v>
      </c>
      <c r="CD196" s="39">
        <f t="shared" si="105"/>
        <v>-65</v>
      </c>
      <c r="CE196" s="102">
        <f t="shared" si="104"/>
        <v>-1</v>
      </c>
      <c r="CF196" s="36" t="s">
        <v>248</v>
      </c>
      <c r="CG196" s="39" t="s">
        <v>298</v>
      </c>
      <c r="CH196" s="39"/>
      <c r="CI196" s="25">
        <v>3</v>
      </c>
    </row>
    <row r="197" spans="1:87" ht="24.75" customHeight="1">
      <c r="A197" s="36" t="s">
        <v>50</v>
      </c>
      <c r="B197" s="26">
        <v>48824</v>
      </c>
      <c r="C197" s="231"/>
      <c r="D197" s="36"/>
      <c r="E197" s="39">
        <v>180</v>
      </c>
      <c r="F197" s="39" t="s">
        <v>55</v>
      </c>
      <c r="G197" s="36" t="s">
        <v>316</v>
      </c>
      <c r="H197" s="36" t="s">
        <v>403</v>
      </c>
      <c r="I197" s="39">
        <v>45</v>
      </c>
      <c r="J197" s="39">
        <v>17</v>
      </c>
      <c r="K197" s="39"/>
      <c r="L197" s="39">
        <f t="shared" si="109"/>
        <v>62</v>
      </c>
      <c r="M197" s="117">
        <v>46275</v>
      </c>
      <c r="N197" s="117">
        <v>46280</v>
      </c>
      <c r="O197" s="39"/>
      <c r="P197" s="39"/>
      <c r="Q197" s="39"/>
      <c r="R197" s="39">
        <f t="shared" si="79"/>
        <v>0</v>
      </c>
      <c r="S197" s="39" t="s">
        <v>28</v>
      </c>
      <c r="T197" s="39"/>
      <c r="U197" s="39"/>
      <c r="V197" s="117">
        <v>46272</v>
      </c>
      <c r="W197" s="39">
        <f>59+20</f>
        <v>79</v>
      </c>
      <c r="X197" s="39"/>
      <c r="Y197" s="39"/>
      <c r="Z197" s="39"/>
      <c r="AA197" s="39"/>
      <c r="AB197" s="118">
        <f t="shared" si="80"/>
        <v>0</v>
      </c>
      <c r="AC197" s="39"/>
      <c r="AD197" s="39"/>
      <c r="AE197" s="39"/>
      <c r="AF197" s="39"/>
      <c r="AG197" s="39"/>
      <c r="AH197" s="39">
        <f t="shared" si="94"/>
        <v>0</v>
      </c>
      <c r="AI197" s="39"/>
      <c r="AJ197" s="39"/>
      <c r="AK197" s="39"/>
      <c r="AL197" s="39"/>
      <c r="AM197" s="39"/>
      <c r="AN197" s="39">
        <f t="shared" si="4"/>
        <v>0</v>
      </c>
      <c r="AO197" s="39"/>
      <c r="AP197" s="39"/>
      <c r="AQ197" s="39"/>
      <c r="AR197" s="39"/>
      <c r="AS197" s="39"/>
      <c r="AT197" s="39">
        <f t="shared" si="95"/>
        <v>0</v>
      </c>
      <c r="AU197" s="39"/>
      <c r="AV197" s="39"/>
      <c r="AW197" s="39"/>
      <c r="AX197" s="39"/>
      <c r="AY197" s="39"/>
      <c r="AZ197" s="39">
        <f t="shared" si="96"/>
        <v>0</v>
      </c>
      <c r="BA197" s="39"/>
      <c r="BB197" s="39"/>
      <c r="BC197" s="39"/>
      <c r="BD197" s="39"/>
      <c r="BE197" s="39"/>
      <c r="BF197" s="39">
        <f t="shared" si="97"/>
        <v>0</v>
      </c>
      <c r="BG197" s="39"/>
      <c r="BH197" s="39"/>
      <c r="BI197" s="39"/>
      <c r="BJ197" s="39"/>
      <c r="BK197" s="39"/>
      <c r="BL197" s="39">
        <f t="shared" si="98"/>
        <v>0</v>
      </c>
      <c r="BM197" s="54">
        <f t="shared" ca="1" si="99"/>
        <v>46283</v>
      </c>
      <c r="BN197" s="60">
        <v>46292</v>
      </c>
      <c r="BO197" s="57">
        <v>46305</v>
      </c>
      <c r="BP197" s="57"/>
      <c r="BQ197" s="57"/>
      <c r="BR197" s="39"/>
      <c r="BS197" s="39"/>
      <c r="BT197" s="39"/>
      <c r="BU197" s="39"/>
      <c r="BV197" s="39"/>
      <c r="BW197" s="39"/>
      <c r="BX197" s="39"/>
      <c r="BY197" s="39"/>
      <c r="BZ197" s="39">
        <f t="shared" si="100"/>
        <v>0</v>
      </c>
      <c r="CA197" s="39">
        <f t="shared" si="101"/>
        <v>-45</v>
      </c>
      <c r="CB197" s="39">
        <f t="shared" si="102"/>
        <v>-17</v>
      </c>
      <c r="CC197" s="39">
        <f t="shared" si="103"/>
        <v>0</v>
      </c>
      <c r="CD197" s="39">
        <f t="shared" si="105"/>
        <v>-62</v>
      </c>
      <c r="CE197" s="102">
        <f t="shared" si="104"/>
        <v>-1</v>
      </c>
      <c r="CF197" s="36" t="s">
        <v>248</v>
      </c>
      <c r="CG197" s="39" t="s">
        <v>298</v>
      </c>
      <c r="CH197" s="39"/>
      <c r="CI197" s="25">
        <v>3</v>
      </c>
    </row>
    <row r="198" spans="1:87" ht="24.75" customHeight="1">
      <c r="A198" s="36" t="s">
        <v>50</v>
      </c>
      <c r="B198" s="26">
        <v>48824</v>
      </c>
      <c r="C198" s="228"/>
      <c r="D198" s="36"/>
      <c r="E198" s="39"/>
      <c r="F198" s="39"/>
      <c r="G198" s="36" t="s">
        <v>198</v>
      </c>
      <c r="H198" s="36">
        <f>300+300</f>
        <v>600</v>
      </c>
      <c r="I198" s="39" t="s">
        <v>90</v>
      </c>
      <c r="J198" s="39"/>
      <c r="K198" s="39"/>
      <c r="L198" s="39">
        <f t="shared" si="109"/>
        <v>0</v>
      </c>
      <c r="M198" s="117">
        <v>46275</v>
      </c>
      <c r="N198" s="117">
        <v>46280</v>
      </c>
      <c r="O198" s="39"/>
      <c r="P198" s="39"/>
      <c r="Q198" s="39"/>
      <c r="R198" s="39">
        <f t="shared" si="79"/>
        <v>0</v>
      </c>
      <c r="S198" s="39" t="s">
        <v>130</v>
      </c>
      <c r="T198" s="39"/>
      <c r="U198" s="39"/>
      <c r="V198" s="117">
        <v>46272</v>
      </c>
      <c r="W198" s="39">
        <v>3</v>
      </c>
      <c r="X198" s="39"/>
      <c r="Y198" s="39"/>
      <c r="Z198" s="39"/>
      <c r="AA198" s="39"/>
      <c r="AB198" s="39">
        <f t="shared" si="80"/>
        <v>0</v>
      </c>
      <c r="AC198" s="39"/>
      <c r="AD198" s="39"/>
      <c r="AE198" s="39"/>
      <c r="AF198" s="39"/>
      <c r="AG198" s="39"/>
      <c r="AH198" s="39">
        <f t="shared" si="94"/>
        <v>0</v>
      </c>
      <c r="AI198" s="39"/>
      <c r="AJ198" s="39"/>
      <c r="AK198" s="39"/>
      <c r="AL198" s="39"/>
      <c r="AM198" s="39"/>
      <c r="AN198" s="39">
        <f t="shared" ref="AN198:AN238" si="110">AM198-AK198</f>
        <v>0</v>
      </c>
      <c r="AO198" s="39"/>
      <c r="AP198" s="39"/>
      <c r="AQ198" s="39"/>
      <c r="AR198" s="39"/>
      <c r="AS198" s="39"/>
      <c r="AT198" s="39">
        <f t="shared" si="95"/>
        <v>0</v>
      </c>
      <c r="AU198" s="39"/>
      <c r="AV198" s="39"/>
      <c r="AW198" s="39"/>
      <c r="AX198" s="39"/>
      <c r="AY198" s="39"/>
      <c r="AZ198" s="39">
        <f t="shared" si="96"/>
        <v>0</v>
      </c>
      <c r="BA198" s="39"/>
      <c r="BB198" s="39"/>
      <c r="BC198" s="39"/>
      <c r="BD198" s="39"/>
      <c r="BE198" s="39"/>
      <c r="BF198" s="39">
        <f t="shared" si="97"/>
        <v>0</v>
      </c>
      <c r="BG198" s="39"/>
      <c r="BH198" s="39"/>
      <c r="BI198" s="39"/>
      <c r="BJ198" s="39"/>
      <c r="BK198" s="39"/>
      <c r="BL198" s="39">
        <f t="shared" si="98"/>
        <v>0</v>
      </c>
      <c r="BM198" s="54" t="e">
        <f t="shared" si="99"/>
        <v>#DIV/0!</v>
      </c>
      <c r="BN198" s="60">
        <v>46292</v>
      </c>
      <c r="BO198" s="57">
        <v>46305</v>
      </c>
      <c r="BP198" s="57"/>
      <c r="BQ198" s="57"/>
      <c r="BR198" s="39"/>
      <c r="BS198" s="39"/>
      <c r="BT198" s="39"/>
      <c r="BU198" s="39"/>
      <c r="BV198" s="39"/>
      <c r="BW198" s="39"/>
      <c r="BX198" s="39"/>
      <c r="BY198" s="39"/>
      <c r="BZ198" s="39">
        <f t="shared" si="100"/>
        <v>0</v>
      </c>
      <c r="CA198" s="39" t="e">
        <f t="shared" si="101"/>
        <v>#VALUE!</v>
      </c>
      <c r="CB198" s="39">
        <f t="shared" si="102"/>
        <v>0</v>
      </c>
      <c r="CC198" s="39">
        <f t="shared" si="103"/>
        <v>0</v>
      </c>
      <c r="CD198" s="39">
        <f t="shared" si="105"/>
        <v>0</v>
      </c>
      <c r="CE198" s="102" t="e">
        <f t="shared" si="104"/>
        <v>#DIV/0!</v>
      </c>
      <c r="CF198" s="36" t="s">
        <v>248</v>
      </c>
      <c r="CG198" s="39" t="s">
        <v>298</v>
      </c>
      <c r="CH198" s="39"/>
      <c r="CI198" s="25">
        <v>3</v>
      </c>
    </row>
    <row r="199" spans="1:87" ht="24.75" customHeight="1">
      <c r="A199" s="36" t="s">
        <v>50</v>
      </c>
      <c r="B199" s="26">
        <v>48825</v>
      </c>
      <c r="C199" s="227">
        <v>13267909</v>
      </c>
      <c r="D199" s="36" t="s">
        <v>37</v>
      </c>
      <c r="E199" s="39">
        <v>180</v>
      </c>
      <c r="F199" s="39" t="s">
        <v>55</v>
      </c>
      <c r="G199" s="36" t="s">
        <v>497</v>
      </c>
      <c r="H199" s="36" t="s">
        <v>403</v>
      </c>
      <c r="I199" s="39">
        <v>56</v>
      </c>
      <c r="J199" s="39"/>
      <c r="K199" s="39"/>
      <c r="L199" s="39">
        <f t="shared" si="109"/>
        <v>56</v>
      </c>
      <c r="M199" s="117">
        <v>46275</v>
      </c>
      <c r="N199" s="117">
        <v>46279</v>
      </c>
      <c r="O199" s="39"/>
      <c r="P199" s="39"/>
      <c r="Q199" s="39"/>
      <c r="R199" s="39">
        <f t="shared" si="79"/>
        <v>0</v>
      </c>
      <c r="S199" s="39" t="s">
        <v>28</v>
      </c>
      <c r="T199" s="39"/>
      <c r="U199" s="39"/>
      <c r="V199" s="117">
        <v>46272</v>
      </c>
      <c r="W199" s="39">
        <v>70</v>
      </c>
      <c r="X199" s="39"/>
      <c r="Y199" s="39"/>
      <c r="Z199" s="39"/>
      <c r="AA199" s="39"/>
      <c r="AB199" s="118">
        <f t="shared" si="80"/>
        <v>0</v>
      </c>
      <c r="AC199" s="39"/>
      <c r="AD199" s="39"/>
      <c r="AE199" s="39"/>
      <c r="AF199" s="39"/>
      <c r="AG199" s="39"/>
      <c r="AH199" s="39">
        <f t="shared" si="94"/>
        <v>0</v>
      </c>
      <c r="AI199" s="39"/>
      <c r="AJ199" s="39"/>
      <c r="AK199" s="39"/>
      <c r="AL199" s="39"/>
      <c r="AM199" s="39"/>
      <c r="AN199" s="39">
        <f t="shared" si="110"/>
        <v>0</v>
      </c>
      <c r="AO199" s="39"/>
      <c r="AP199" s="39"/>
      <c r="AQ199" s="39"/>
      <c r="AR199" s="39"/>
      <c r="AS199" s="39"/>
      <c r="AT199" s="39">
        <f t="shared" si="95"/>
        <v>0</v>
      </c>
      <c r="AU199" s="39"/>
      <c r="AV199" s="39"/>
      <c r="AW199" s="39"/>
      <c r="AX199" s="39"/>
      <c r="AY199" s="39"/>
      <c r="AZ199" s="39">
        <f t="shared" si="96"/>
        <v>0</v>
      </c>
      <c r="BA199" s="39"/>
      <c r="BB199" s="39"/>
      <c r="BC199" s="39"/>
      <c r="BD199" s="39"/>
      <c r="BE199" s="39"/>
      <c r="BF199" s="39">
        <f t="shared" si="97"/>
        <v>0</v>
      </c>
      <c r="BG199" s="39"/>
      <c r="BH199" s="39"/>
      <c r="BI199" s="39"/>
      <c r="BJ199" s="39"/>
      <c r="BK199" s="39"/>
      <c r="BL199" s="39">
        <f t="shared" si="98"/>
        <v>0</v>
      </c>
      <c r="BM199" s="54">
        <f t="shared" ca="1" si="99"/>
        <v>46283</v>
      </c>
      <c r="BN199" s="60">
        <v>46290</v>
      </c>
      <c r="BO199" s="57">
        <v>46303</v>
      </c>
      <c r="BP199" s="57">
        <v>46305</v>
      </c>
      <c r="BQ199" s="57">
        <v>46312</v>
      </c>
      <c r="BR199" s="39"/>
      <c r="BS199" s="39"/>
      <c r="BT199" s="39"/>
      <c r="BU199" s="39"/>
      <c r="BV199" s="39"/>
      <c r="BW199" s="39"/>
      <c r="BX199" s="39"/>
      <c r="BY199" s="39"/>
      <c r="BZ199" s="39">
        <f t="shared" si="100"/>
        <v>0</v>
      </c>
      <c r="CA199" s="39">
        <f t="shared" si="101"/>
        <v>-56</v>
      </c>
      <c r="CB199" s="39">
        <f t="shared" si="102"/>
        <v>0</v>
      </c>
      <c r="CC199" s="39">
        <f t="shared" si="103"/>
        <v>0</v>
      </c>
      <c r="CD199" s="39">
        <f t="shared" si="105"/>
        <v>-56</v>
      </c>
      <c r="CE199" s="102">
        <f t="shared" si="104"/>
        <v>-1</v>
      </c>
      <c r="CF199" s="36" t="s">
        <v>248</v>
      </c>
      <c r="CG199" s="39" t="s">
        <v>298</v>
      </c>
      <c r="CH199" s="39"/>
      <c r="CI199" s="25">
        <v>3</v>
      </c>
    </row>
    <row r="200" spans="1:87" ht="24.75" customHeight="1">
      <c r="A200" s="36" t="s">
        <v>50</v>
      </c>
      <c r="B200" s="26">
        <v>48825</v>
      </c>
      <c r="C200" s="231"/>
      <c r="D200" s="36" t="s">
        <v>37</v>
      </c>
      <c r="E200" s="39">
        <v>180</v>
      </c>
      <c r="F200" s="39" t="s">
        <v>55</v>
      </c>
      <c r="G200" s="36" t="s">
        <v>2734</v>
      </c>
      <c r="H200" s="36" t="s">
        <v>403</v>
      </c>
      <c r="I200" s="39">
        <v>56</v>
      </c>
      <c r="J200" s="39"/>
      <c r="K200" s="39"/>
      <c r="L200" s="39">
        <f t="shared" ref="L200" si="111">SUM(I200:K200)</f>
        <v>56</v>
      </c>
      <c r="M200" s="117">
        <v>46275</v>
      </c>
      <c r="N200" s="117">
        <v>46279</v>
      </c>
      <c r="O200" s="39"/>
      <c r="P200" s="39"/>
      <c r="Q200" s="39"/>
      <c r="R200" s="39">
        <f t="shared" si="79"/>
        <v>0</v>
      </c>
      <c r="S200" s="39" t="s">
        <v>28</v>
      </c>
      <c r="T200" s="39"/>
      <c r="U200" s="39"/>
      <c r="V200" s="117">
        <v>46272</v>
      </c>
      <c r="W200" s="39">
        <v>72</v>
      </c>
      <c r="X200" s="39"/>
      <c r="Y200" s="39"/>
      <c r="Z200" s="39"/>
      <c r="AA200" s="39"/>
      <c r="AB200" s="118">
        <f t="shared" si="80"/>
        <v>0</v>
      </c>
      <c r="AC200" s="39"/>
      <c r="AD200" s="39"/>
      <c r="AE200" s="39"/>
      <c r="AF200" s="39"/>
      <c r="AG200" s="39"/>
      <c r="AH200" s="39">
        <f t="shared" si="94"/>
        <v>0</v>
      </c>
      <c r="AI200" s="39"/>
      <c r="AJ200" s="39"/>
      <c r="AK200" s="39"/>
      <c r="AL200" s="39"/>
      <c r="AM200" s="39"/>
      <c r="AN200" s="39">
        <f t="shared" si="110"/>
        <v>0</v>
      </c>
      <c r="AO200" s="39"/>
      <c r="AP200" s="39"/>
      <c r="AQ200" s="39"/>
      <c r="AR200" s="39"/>
      <c r="AS200" s="39"/>
      <c r="AT200" s="39">
        <f t="shared" si="95"/>
        <v>0</v>
      </c>
      <c r="AU200" s="39"/>
      <c r="AV200" s="39"/>
      <c r="AW200" s="39"/>
      <c r="AX200" s="39"/>
      <c r="AY200" s="39"/>
      <c r="AZ200" s="39">
        <f t="shared" si="96"/>
        <v>0</v>
      </c>
      <c r="BA200" s="39"/>
      <c r="BB200" s="39"/>
      <c r="BC200" s="39"/>
      <c r="BD200" s="39"/>
      <c r="BE200" s="39"/>
      <c r="BF200" s="39">
        <f t="shared" si="97"/>
        <v>0</v>
      </c>
      <c r="BG200" s="39"/>
      <c r="BH200" s="39"/>
      <c r="BI200" s="39"/>
      <c r="BJ200" s="39"/>
      <c r="BK200" s="39"/>
      <c r="BL200" s="39">
        <f t="shared" si="98"/>
        <v>0</v>
      </c>
      <c r="BM200" s="54">
        <f t="shared" ca="1" si="99"/>
        <v>46283</v>
      </c>
      <c r="BN200" s="60">
        <v>46290</v>
      </c>
      <c r="BO200" s="57">
        <v>46303</v>
      </c>
      <c r="BP200" s="57">
        <v>46305</v>
      </c>
      <c r="BQ200" s="57">
        <v>46312</v>
      </c>
      <c r="BR200" s="39"/>
      <c r="BS200" s="39"/>
      <c r="BT200" s="39"/>
      <c r="BU200" s="39"/>
      <c r="BV200" s="39"/>
      <c r="BW200" s="39"/>
      <c r="BX200" s="39"/>
      <c r="BY200" s="39"/>
      <c r="BZ200" s="39">
        <f t="shared" si="100"/>
        <v>0</v>
      </c>
      <c r="CA200" s="39">
        <f t="shared" si="101"/>
        <v>-56</v>
      </c>
      <c r="CB200" s="39">
        <f t="shared" si="102"/>
        <v>0</v>
      </c>
      <c r="CC200" s="39">
        <f t="shared" si="103"/>
        <v>0</v>
      </c>
      <c r="CD200" s="39">
        <f t="shared" si="105"/>
        <v>-56</v>
      </c>
      <c r="CE200" s="102">
        <f t="shared" si="104"/>
        <v>-1</v>
      </c>
      <c r="CF200" s="36" t="s">
        <v>248</v>
      </c>
      <c r="CG200" s="39" t="s">
        <v>298</v>
      </c>
      <c r="CH200" s="39"/>
      <c r="CI200" s="25">
        <v>3</v>
      </c>
    </row>
    <row r="201" spans="1:87" ht="24.75" customHeight="1">
      <c r="A201" s="36" t="s">
        <v>50</v>
      </c>
      <c r="B201" s="26">
        <v>48825</v>
      </c>
      <c r="C201" s="228"/>
      <c r="D201" s="36"/>
      <c r="E201" s="39">
        <v>180</v>
      </c>
      <c r="F201" s="39" t="s">
        <v>55</v>
      </c>
      <c r="G201" s="36" t="s">
        <v>287</v>
      </c>
      <c r="H201" s="36" t="s">
        <v>403</v>
      </c>
      <c r="I201" s="39">
        <v>43</v>
      </c>
      <c r="J201" s="39"/>
      <c r="K201" s="39"/>
      <c r="L201" s="39">
        <f t="shared" ref="L201:L206" si="112">SUM(I201:K201)</f>
        <v>43</v>
      </c>
      <c r="M201" s="117">
        <v>46275</v>
      </c>
      <c r="N201" s="117">
        <v>46279</v>
      </c>
      <c r="O201" s="39"/>
      <c r="P201" s="39"/>
      <c r="Q201" s="39"/>
      <c r="R201" s="39">
        <f t="shared" si="79"/>
        <v>0</v>
      </c>
      <c r="S201" s="39" t="s">
        <v>28</v>
      </c>
      <c r="T201" s="39"/>
      <c r="U201" s="39"/>
      <c r="V201" s="117">
        <v>46272</v>
      </c>
      <c r="W201" s="39">
        <v>54</v>
      </c>
      <c r="X201" s="39"/>
      <c r="Y201" s="39"/>
      <c r="Z201" s="39"/>
      <c r="AA201" s="39"/>
      <c r="AB201" s="118">
        <f t="shared" si="80"/>
        <v>0</v>
      </c>
      <c r="AC201" s="39"/>
      <c r="AD201" s="39"/>
      <c r="AE201" s="39"/>
      <c r="AF201" s="39"/>
      <c r="AG201" s="39"/>
      <c r="AH201" s="39">
        <f t="shared" si="94"/>
        <v>0</v>
      </c>
      <c r="AI201" s="39"/>
      <c r="AJ201" s="39"/>
      <c r="AK201" s="39"/>
      <c r="AL201" s="39"/>
      <c r="AM201" s="39"/>
      <c r="AN201" s="39">
        <f t="shared" si="110"/>
        <v>0</v>
      </c>
      <c r="AO201" s="39"/>
      <c r="AP201" s="39"/>
      <c r="AQ201" s="39"/>
      <c r="AR201" s="39"/>
      <c r="AS201" s="39"/>
      <c r="AT201" s="39">
        <f t="shared" si="95"/>
        <v>0</v>
      </c>
      <c r="AU201" s="39"/>
      <c r="AV201" s="39"/>
      <c r="AW201" s="39"/>
      <c r="AX201" s="39"/>
      <c r="AY201" s="39"/>
      <c r="AZ201" s="39">
        <f t="shared" si="96"/>
        <v>0</v>
      </c>
      <c r="BA201" s="39"/>
      <c r="BB201" s="39"/>
      <c r="BC201" s="39"/>
      <c r="BD201" s="39"/>
      <c r="BE201" s="39"/>
      <c r="BF201" s="39">
        <f t="shared" si="97"/>
        <v>0</v>
      </c>
      <c r="BG201" s="39"/>
      <c r="BH201" s="39"/>
      <c r="BI201" s="39"/>
      <c r="BJ201" s="39"/>
      <c r="BK201" s="39"/>
      <c r="BL201" s="39">
        <f t="shared" si="98"/>
        <v>0</v>
      </c>
      <c r="BM201" s="54">
        <f t="shared" ca="1" si="99"/>
        <v>46283</v>
      </c>
      <c r="BN201" s="60">
        <v>46290</v>
      </c>
      <c r="BO201" s="57">
        <v>46303</v>
      </c>
      <c r="BP201" s="57"/>
      <c r="BQ201" s="57"/>
      <c r="BR201" s="39"/>
      <c r="BS201" s="39"/>
      <c r="BT201" s="39"/>
      <c r="BU201" s="39"/>
      <c r="BV201" s="39"/>
      <c r="BW201" s="39"/>
      <c r="BX201" s="39"/>
      <c r="BY201" s="39"/>
      <c r="BZ201" s="39">
        <f t="shared" si="100"/>
        <v>0</v>
      </c>
      <c r="CA201" s="39">
        <f t="shared" si="101"/>
        <v>-43</v>
      </c>
      <c r="CB201" s="39">
        <f t="shared" si="102"/>
        <v>0</v>
      </c>
      <c r="CC201" s="39">
        <f t="shared" si="103"/>
        <v>0</v>
      </c>
      <c r="CD201" s="39">
        <f t="shared" si="105"/>
        <v>-43</v>
      </c>
      <c r="CE201" s="102">
        <f t="shared" si="104"/>
        <v>-1</v>
      </c>
      <c r="CF201" s="36" t="s">
        <v>248</v>
      </c>
      <c r="CG201" s="39" t="s">
        <v>298</v>
      </c>
      <c r="CH201" s="39"/>
      <c r="CI201" s="25">
        <v>3</v>
      </c>
    </row>
    <row r="202" spans="1:87" ht="24.75" customHeight="1">
      <c r="A202" s="36" t="s">
        <v>50</v>
      </c>
      <c r="B202" s="26">
        <v>48826</v>
      </c>
      <c r="C202" s="227" t="s">
        <v>2780</v>
      </c>
      <c r="D202" s="36" t="s">
        <v>37</v>
      </c>
      <c r="E202" s="39">
        <v>180</v>
      </c>
      <c r="F202" s="39" t="s">
        <v>55</v>
      </c>
      <c r="G202" s="36" t="s">
        <v>2735</v>
      </c>
      <c r="H202" s="36" t="s">
        <v>403</v>
      </c>
      <c r="I202" s="39">
        <v>40</v>
      </c>
      <c r="J202" s="39">
        <v>10</v>
      </c>
      <c r="K202" s="39"/>
      <c r="L202" s="39">
        <f t="shared" si="112"/>
        <v>50</v>
      </c>
      <c r="M202" s="117">
        <v>46275</v>
      </c>
      <c r="N202" s="117">
        <v>46279</v>
      </c>
      <c r="O202" s="39"/>
      <c r="P202" s="39"/>
      <c r="Q202" s="39"/>
      <c r="R202" s="39">
        <f t="shared" si="79"/>
        <v>0</v>
      </c>
      <c r="S202" s="39" t="s">
        <v>28</v>
      </c>
      <c r="T202" s="39"/>
      <c r="U202" s="39"/>
      <c r="V202" s="117">
        <v>46272</v>
      </c>
      <c r="W202" s="39">
        <f>52+12</f>
        <v>64</v>
      </c>
      <c r="X202" s="39"/>
      <c r="Y202" s="39"/>
      <c r="Z202" s="39"/>
      <c r="AA202" s="39"/>
      <c r="AB202" s="118">
        <f t="shared" si="80"/>
        <v>0</v>
      </c>
      <c r="AC202" s="39"/>
      <c r="AD202" s="39"/>
      <c r="AE202" s="39"/>
      <c r="AF202" s="39"/>
      <c r="AG202" s="39"/>
      <c r="AH202" s="39">
        <f t="shared" si="94"/>
        <v>0</v>
      </c>
      <c r="AI202" s="39"/>
      <c r="AJ202" s="39"/>
      <c r="AK202" s="39"/>
      <c r="AL202" s="39"/>
      <c r="AM202" s="39"/>
      <c r="AN202" s="39">
        <f t="shared" si="110"/>
        <v>0</v>
      </c>
      <c r="AO202" s="39"/>
      <c r="AP202" s="39"/>
      <c r="AQ202" s="39"/>
      <c r="AR202" s="39"/>
      <c r="AS202" s="39"/>
      <c r="AT202" s="39">
        <f t="shared" si="95"/>
        <v>0</v>
      </c>
      <c r="AU202" s="39"/>
      <c r="AV202" s="39"/>
      <c r="AW202" s="39"/>
      <c r="AX202" s="39"/>
      <c r="AY202" s="39"/>
      <c r="AZ202" s="39">
        <f t="shared" si="96"/>
        <v>0</v>
      </c>
      <c r="BA202" s="39"/>
      <c r="BB202" s="39"/>
      <c r="BC202" s="39"/>
      <c r="BD202" s="39"/>
      <c r="BE202" s="39"/>
      <c r="BF202" s="39">
        <f t="shared" si="97"/>
        <v>0</v>
      </c>
      <c r="BG202" s="39"/>
      <c r="BH202" s="39"/>
      <c r="BI202" s="39"/>
      <c r="BJ202" s="39"/>
      <c r="BK202" s="39"/>
      <c r="BL202" s="39">
        <f t="shared" si="98"/>
        <v>0</v>
      </c>
      <c r="BM202" s="54">
        <f t="shared" ca="1" si="99"/>
        <v>46283</v>
      </c>
      <c r="BN202" s="60">
        <v>46290</v>
      </c>
      <c r="BO202" s="57">
        <v>46301</v>
      </c>
      <c r="BP202" s="57">
        <v>46303</v>
      </c>
      <c r="BQ202" s="57">
        <v>46309</v>
      </c>
      <c r="BR202" s="39"/>
      <c r="BS202" s="39"/>
      <c r="BT202" s="39"/>
      <c r="BU202" s="39"/>
      <c r="BV202" s="39"/>
      <c r="BW202" s="39"/>
      <c r="BX202" s="39"/>
      <c r="BY202" s="39"/>
      <c r="BZ202" s="39">
        <f t="shared" si="100"/>
        <v>0</v>
      </c>
      <c r="CA202" s="39">
        <f t="shared" si="101"/>
        <v>-40</v>
      </c>
      <c r="CB202" s="39">
        <f t="shared" si="102"/>
        <v>-10</v>
      </c>
      <c r="CC202" s="39">
        <f t="shared" si="103"/>
        <v>0</v>
      </c>
      <c r="CD202" s="39">
        <f t="shared" si="105"/>
        <v>-50</v>
      </c>
      <c r="CE202" s="102">
        <f t="shared" si="104"/>
        <v>-1</v>
      </c>
      <c r="CF202" s="36" t="s">
        <v>248</v>
      </c>
      <c r="CG202" s="39" t="s">
        <v>298</v>
      </c>
      <c r="CH202" s="39"/>
      <c r="CI202" s="25">
        <v>3</v>
      </c>
    </row>
    <row r="203" spans="1:87" ht="24.75" customHeight="1">
      <c r="A203" s="36" t="s">
        <v>50</v>
      </c>
      <c r="B203" s="26">
        <v>48826</v>
      </c>
      <c r="C203" s="228"/>
      <c r="D203" s="36" t="s">
        <v>37</v>
      </c>
      <c r="E203" s="39">
        <v>180</v>
      </c>
      <c r="F203" s="39" t="s">
        <v>55</v>
      </c>
      <c r="G203" s="36" t="s">
        <v>1075</v>
      </c>
      <c r="H203" s="36" t="s">
        <v>403</v>
      </c>
      <c r="I203" s="39">
        <v>40</v>
      </c>
      <c r="J203" s="39">
        <v>10</v>
      </c>
      <c r="K203" s="39"/>
      <c r="L203" s="39">
        <f t="shared" si="112"/>
        <v>50</v>
      </c>
      <c r="M203" s="117">
        <v>46275</v>
      </c>
      <c r="N203" s="117">
        <v>46279</v>
      </c>
      <c r="O203" s="39"/>
      <c r="P203" s="39"/>
      <c r="Q203" s="39"/>
      <c r="R203" s="39">
        <f t="shared" si="79"/>
        <v>0</v>
      </c>
      <c r="S203" s="39" t="s">
        <v>28</v>
      </c>
      <c r="T203" s="39"/>
      <c r="U203" s="39"/>
      <c r="V203" s="117" t="s">
        <v>2816</v>
      </c>
      <c r="W203" s="39">
        <f>53+12</f>
        <v>65</v>
      </c>
      <c r="X203" s="39"/>
      <c r="Y203" s="39"/>
      <c r="Z203" s="39"/>
      <c r="AA203" s="39"/>
      <c r="AB203" s="118">
        <f t="shared" si="80"/>
        <v>0</v>
      </c>
      <c r="AC203" s="39"/>
      <c r="AD203" s="39"/>
      <c r="AE203" s="39"/>
      <c r="AF203" s="39"/>
      <c r="AG203" s="39"/>
      <c r="AH203" s="39">
        <f t="shared" si="94"/>
        <v>0</v>
      </c>
      <c r="AI203" s="39"/>
      <c r="AJ203" s="39"/>
      <c r="AK203" s="39"/>
      <c r="AL203" s="39"/>
      <c r="AM203" s="39"/>
      <c r="AN203" s="39">
        <f t="shared" si="110"/>
        <v>0</v>
      </c>
      <c r="AO203" s="39"/>
      <c r="AP203" s="39"/>
      <c r="AQ203" s="39"/>
      <c r="AR203" s="39"/>
      <c r="AS203" s="39"/>
      <c r="AT203" s="39">
        <f t="shared" si="95"/>
        <v>0</v>
      </c>
      <c r="AU203" s="39"/>
      <c r="AV203" s="39"/>
      <c r="AW203" s="39"/>
      <c r="AX203" s="39"/>
      <c r="AY203" s="39"/>
      <c r="AZ203" s="39">
        <f t="shared" si="96"/>
        <v>0</v>
      </c>
      <c r="BA203" s="39"/>
      <c r="BB203" s="39"/>
      <c r="BC203" s="39"/>
      <c r="BD203" s="39"/>
      <c r="BE203" s="39"/>
      <c r="BF203" s="39">
        <f t="shared" si="97"/>
        <v>0</v>
      </c>
      <c r="BG203" s="39"/>
      <c r="BH203" s="39"/>
      <c r="BI203" s="39"/>
      <c r="BJ203" s="39"/>
      <c r="BK203" s="39"/>
      <c r="BL203" s="39">
        <f t="shared" si="98"/>
        <v>0</v>
      </c>
      <c r="BM203" s="54">
        <f t="shared" ca="1" si="99"/>
        <v>46283</v>
      </c>
      <c r="BN203" s="60">
        <v>46290</v>
      </c>
      <c r="BO203" s="57">
        <v>46301</v>
      </c>
      <c r="BP203" s="57">
        <v>46303</v>
      </c>
      <c r="BQ203" s="57">
        <v>46309</v>
      </c>
      <c r="BR203" s="39"/>
      <c r="BS203" s="39"/>
      <c r="BT203" s="39"/>
      <c r="BU203" s="39"/>
      <c r="BV203" s="39"/>
      <c r="BW203" s="39"/>
      <c r="BX203" s="39"/>
      <c r="BY203" s="39"/>
      <c r="BZ203" s="39">
        <f t="shared" si="100"/>
        <v>0</v>
      </c>
      <c r="CA203" s="39">
        <f t="shared" si="101"/>
        <v>-40</v>
      </c>
      <c r="CB203" s="39">
        <f t="shared" si="102"/>
        <v>-10</v>
      </c>
      <c r="CC203" s="39">
        <f t="shared" si="103"/>
        <v>0</v>
      </c>
      <c r="CD203" s="39">
        <f t="shared" si="105"/>
        <v>-50</v>
      </c>
      <c r="CE203" s="102">
        <f t="shared" si="104"/>
        <v>-1</v>
      </c>
      <c r="CF203" s="36" t="s">
        <v>248</v>
      </c>
      <c r="CG203" s="39" t="s">
        <v>298</v>
      </c>
      <c r="CH203" s="39"/>
      <c r="CI203" s="25">
        <v>3</v>
      </c>
    </row>
    <row r="204" spans="1:87" ht="24.75" customHeight="1">
      <c r="A204" s="36" t="s">
        <v>50</v>
      </c>
      <c r="B204" s="26">
        <v>48827</v>
      </c>
      <c r="C204" s="227" t="s">
        <v>2781</v>
      </c>
      <c r="D204" s="36" t="s">
        <v>37</v>
      </c>
      <c r="E204" s="39">
        <v>180</v>
      </c>
      <c r="F204" s="39" t="s">
        <v>55</v>
      </c>
      <c r="G204" s="36" t="s">
        <v>2735</v>
      </c>
      <c r="H204" s="36" t="s">
        <v>403</v>
      </c>
      <c r="I204" s="39">
        <v>82</v>
      </c>
      <c r="J204" s="39">
        <v>29</v>
      </c>
      <c r="K204" s="39"/>
      <c r="L204" s="39">
        <f t="shared" si="112"/>
        <v>111</v>
      </c>
      <c r="M204" s="117">
        <v>46275</v>
      </c>
      <c r="N204" s="117">
        <v>46280</v>
      </c>
      <c r="O204" s="39"/>
      <c r="P204" s="39"/>
      <c r="Q204" s="39"/>
      <c r="R204" s="39">
        <f t="shared" ref="R204:R236" si="113">SUM(O204:Q204)</f>
        <v>0</v>
      </c>
      <c r="S204" s="39" t="s">
        <v>28</v>
      </c>
      <c r="T204" s="39"/>
      <c r="U204" s="39"/>
      <c r="V204" s="117">
        <v>46272</v>
      </c>
      <c r="W204" s="39">
        <f>103+34</f>
        <v>137</v>
      </c>
      <c r="X204" s="39"/>
      <c r="Y204" s="39"/>
      <c r="Z204" s="39"/>
      <c r="AA204" s="39"/>
      <c r="AB204" s="118">
        <f t="shared" ref="AB204:AB238" si="114">SUM(Y204:AA204)</f>
        <v>0</v>
      </c>
      <c r="AC204" s="39"/>
      <c r="AD204" s="39"/>
      <c r="AE204" s="39"/>
      <c r="AF204" s="39"/>
      <c r="AG204" s="39"/>
      <c r="AH204" s="39">
        <f t="shared" si="94"/>
        <v>0</v>
      </c>
      <c r="AI204" s="39"/>
      <c r="AJ204" s="39"/>
      <c r="AK204" s="39"/>
      <c r="AL204" s="39"/>
      <c r="AM204" s="39"/>
      <c r="AN204" s="39">
        <f t="shared" si="110"/>
        <v>0</v>
      </c>
      <c r="AO204" s="39"/>
      <c r="AP204" s="39"/>
      <c r="AQ204" s="39"/>
      <c r="AR204" s="39"/>
      <c r="AS204" s="39"/>
      <c r="AT204" s="39">
        <f t="shared" si="95"/>
        <v>0</v>
      </c>
      <c r="AU204" s="39"/>
      <c r="AV204" s="39"/>
      <c r="AW204" s="39"/>
      <c r="AX204" s="39"/>
      <c r="AY204" s="39"/>
      <c r="AZ204" s="39">
        <f t="shared" si="96"/>
        <v>0</v>
      </c>
      <c r="BA204" s="39"/>
      <c r="BB204" s="39"/>
      <c r="BC204" s="39"/>
      <c r="BD204" s="39"/>
      <c r="BE204" s="39"/>
      <c r="BF204" s="39">
        <f t="shared" si="97"/>
        <v>0</v>
      </c>
      <c r="BG204" s="39"/>
      <c r="BH204" s="39"/>
      <c r="BI204" s="39"/>
      <c r="BJ204" s="39"/>
      <c r="BK204" s="39"/>
      <c r="BL204" s="39">
        <f t="shared" si="98"/>
        <v>0</v>
      </c>
      <c r="BM204" s="54">
        <f t="shared" ca="1" si="99"/>
        <v>46283</v>
      </c>
      <c r="BN204" s="60">
        <v>46290</v>
      </c>
      <c r="BO204" s="57">
        <v>46305</v>
      </c>
      <c r="BP204" s="57">
        <v>46307</v>
      </c>
      <c r="BQ204" s="57">
        <v>46312</v>
      </c>
      <c r="BR204" s="39"/>
      <c r="BS204" s="39"/>
      <c r="BT204" s="39"/>
      <c r="BU204" s="39"/>
      <c r="BV204" s="39"/>
      <c r="BW204" s="39"/>
      <c r="BX204" s="39"/>
      <c r="BY204" s="39"/>
      <c r="BZ204" s="39">
        <f t="shared" si="100"/>
        <v>0</v>
      </c>
      <c r="CA204" s="39">
        <f t="shared" si="101"/>
        <v>-82</v>
      </c>
      <c r="CB204" s="39">
        <f t="shared" si="102"/>
        <v>-29</v>
      </c>
      <c r="CC204" s="39">
        <f t="shared" si="103"/>
        <v>0</v>
      </c>
      <c r="CD204" s="39">
        <f t="shared" si="105"/>
        <v>-111</v>
      </c>
      <c r="CE204" s="102">
        <f t="shared" si="104"/>
        <v>-1</v>
      </c>
      <c r="CF204" s="36" t="s">
        <v>248</v>
      </c>
      <c r="CG204" s="39" t="s">
        <v>298</v>
      </c>
      <c r="CH204" s="39"/>
      <c r="CI204" s="25">
        <v>3</v>
      </c>
    </row>
    <row r="205" spans="1:87" ht="24.75" customHeight="1">
      <c r="A205" s="36" t="s">
        <v>50</v>
      </c>
      <c r="B205" s="26">
        <v>48827</v>
      </c>
      <c r="C205" s="231"/>
      <c r="D205" s="36"/>
      <c r="E205" s="39">
        <v>180</v>
      </c>
      <c r="F205" s="39" t="s">
        <v>55</v>
      </c>
      <c r="G205" s="36" t="s">
        <v>1077</v>
      </c>
      <c r="H205" s="36" t="s">
        <v>403</v>
      </c>
      <c r="I205" s="39">
        <v>76</v>
      </c>
      <c r="J205" s="39">
        <v>29</v>
      </c>
      <c r="K205" s="39"/>
      <c r="L205" s="39">
        <f t="shared" si="112"/>
        <v>105</v>
      </c>
      <c r="M205" s="117">
        <v>46275</v>
      </c>
      <c r="N205" s="117">
        <v>46280</v>
      </c>
      <c r="O205" s="39"/>
      <c r="P205" s="39"/>
      <c r="Q205" s="39"/>
      <c r="R205" s="39">
        <f t="shared" si="113"/>
        <v>0</v>
      </c>
      <c r="S205" s="39" t="s">
        <v>28</v>
      </c>
      <c r="T205" s="39"/>
      <c r="U205" s="39"/>
      <c r="V205" s="117" t="s">
        <v>2831</v>
      </c>
      <c r="W205" s="39">
        <f>96+34</f>
        <v>130</v>
      </c>
      <c r="X205" s="39"/>
      <c r="Y205" s="39"/>
      <c r="Z205" s="39"/>
      <c r="AA205" s="39"/>
      <c r="AB205" s="118">
        <f t="shared" si="114"/>
        <v>0</v>
      </c>
      <c r="AC205" s="39"/>
      <c r="AD205" s="39"/>
      <c r="AE205" s="39"/>
      <c r="AF205" s="39"/>
      <c r="AG205" s="39"/>
      <c r="AH205" s="39">
        <f t="shared" si="94"/>
        <v>0</v>
      </c>
      <c r="AI205" s="39"/>
      <c r="AJ205" s="39"/>
      <c r="AK205" s="39"/>
      <c r="AL205" s="39"/>
      <c r="AM205" s="39"/>
      <c r="AN205" s="39">
        <f t="shared" si="110"/>
        <v>0</v>
      </c>
      <c r="AO205" s="39"/>
      <c r="AP205" s="39"/>
      <c r="AQ205" s="39"/>
      <c r="AR205" s="39"/>
      <c r="AS205" s="39"/>
      <c r="AT205" s="39">
        <f t="shared" si="95"/>
        <v>0</v>
      </c>
      <c r="AU205" s="39"/>
      <c r="AV205" s="39"/>
      <c r="AW205" s="39"/>
      <c r="AX205" s="39"/>
      <c r="AY205" s="39"/>
      <c r="AZ205" s="39">
        <f t="shared" si="96"/>
        <v>0</v>
      </c>
      <c r="BA205" s="39"/>
      <c r="BB205" s="39"/>
      <c r="BC205" s="39"/>
      <c r="BD205" s="39"/>
      <c r="BE205" s="39"/>
      <c r="BF205" s="39">
        <f t="shared" si="97"/>
        <v>0</v>
      </c>
      <c r="BG205" s="39"/>
      <c r="BH205" s="39"/>
      <c r="BI205" s="39"/>
      <c r="BJ205" s="39"/>
      <c r="BK205" s="39"/>
      <c r="BL205" s="39">
        <f t="shared" si="98"/>
        <v>0</v>
      </c>
      <c r="BM205" s="54">
        <f t="shared" ca="1" si="99"/>
        <v>46283</v>
      </c>
      <c r="BN205" s="60">
        <v>46290</v>
      </c>
      <c r="BO205" s="57">
        <v>46305</v>
      </c>
      <c r="BP205" s="57">
        <v>46307</v>
      </c>
      <c r="BQ205" s="57">
        <v>46312</v>
      </c>
      <c r="BR205" s="39"/>
      <c r="BS205" s="39"/>
      <c r="BT205" s="39"/>
      <c r="BU205" s="39"/>
      <c r="BV205" s="39"/>
      <c r="BW205" s="39"/>
      <c r="BX205" s="39"/>
      <c r="BY205" s="39"/>
      <c r="BZ205" s="39">
        <f t="shared" si="100"/>
        <v>0</v>
      </c>
      <c r="CA205" s="39">
        <f t="shared" si="101"/>
        <v>-76</v>
      </c>
      <c r="CB205" s="39">
        <f t="shared" si="102"/>
        <v>-29</v>
      </c>
      <c r="CC205" s="39">
        <f t="shared" si="103"/>
        <v>0</v>
      </c>
      <c r="CD205" s="39">
        <f t="shared" si="105"/>
        <v>-105</v>
      </c>
      <c r="CE205" s="102">
        <f t="shared" si="104"/>
        <v>-1</v>
      </c>
      <c r="CF205" s="36" t="s">
        <v>248</v>
      </c>
      <c r="CG205" s="39" t="s">
        <v>298</v>
      </c>
      <c r="CH205" s="39"/>
      <c r="CI205" s="25">
        <v>3</v>
      </c>
    </row>
    <row r="206" spans="1:87" ht="24.75" customHeight="1">
      <c r="A206" s="36" t="s">
        <v>50</v>
      </c>
      <c r="B206" s="26">
        <v>48827</v>
      </c>
      <c r="C206" s="228"/>
      <c r="D206" s="36"/>
      <c r="E206" s="39"/>
      <c r="F206" s="39"/>
      <c r="G206" s="36" t="s">
        <v>198</v>
      </c>
      <c r="H206" s="36">
        <f>500+500</f>
        <v>1000</v>
      </c>
      <c r="I206" s="39" t="s">
        <v>90</v>
      </c>
      <c r="J206" s="39"/>
      <c r="K206" s="39"/>
      <c r="L206" s="39">
        <f t="shared" si="112"/>
        <v>0</v>
      </c>
      <c r="M206" s="117">
        <v>46275</v>
      </c>
      <c r="N206" s="117">
        <v>46280</v>
      </c>
      <c r="O206" s="39"/>
      <c r="P206" s="39"/>
      <c r="Q206" s="39"/>
      <c r="R206" s="39">
        <f t="shared" si="113"/>
        <v>0</v>
      </c>
      <c r="S206" s="39" t="s">
        <v>130</v>
      </c>
      <c r="T206" s="39"/>
      <c r="U206" s="39"/>
      <c r="V206" s="117">
        <v>46272</v>
      </c>
      <c r="W206" s="39">
        <v>5</v>
      </c>
      <c r="X206" s="39"/>
      <c r="Y206" s="39"/>
      <c r="Z206" s="39"/>
      <c r="AA206" s="39"/>
      <c r="AB206" s="39">
        <f t="shared" si="114"/>
        <v>0</v>
      </c>
      <c r="AC206" s="39"/>
      <c r="AD206" s="39"/>
      <c r="AE206" s="39"/>
      <c r="AF206" s="39"/>
      <c r="AG206" s="39"/>
      <c r="AH206" s="39">
        <f t="shared" si="94"/>
        <v>0</v>
      </c>
      <c r="AI206" s="39"/>
      <c r="AJ206" s="39"/>
      <c r="AK206" s="39"/>
      <c r="AL206" s="39"/>
      <c r="AM206" s="39"/>
      <c r="AN206" s="39">
        <f t="shared" si="110"/>
        <v>0</v>
      </c>
      <c r="AO206" s="39"/>
      <c r="AP206" s="39"/>
      <c r="AQ206" s="39"/>
      <c r="AR206" s="39"/>
      <c r="AS206" s="39"/>
      <c r="AT206" s="39">
        <f t="shared" si="95"/>
        <v>0</v>
      </c>
      <c r="AU206" s="39"/>
      <c r="AV206" s="39"/>
      <c r="AW206" s="39"/>
      <c r="AX206" s="39"/>
      <c r="AY206" s="39"/>
      <c r="AZ206" s="39">
        <f t="shared" si="96"/>
        <v>0</v>
      </c>
      <c r="BA206" s="39"/>
      <c r="BB206" s="39"/>
      <c r="BC206" s="39"/>
      <c r="BD206" s="39"/>
      <c r="BE206" s="39"/>
      <c r="BF206" s="39">
        <f t="shared" si="97"/>
        <v>0</v>
      </c>
      <c r="BG206" s="39"/>
      <c r="BH206" s="39"/>
      <c r="BI206" s="39"/>
      <c r="BJ206" s="39"/>
      <c r="BK206" s="39"/>
      <c r="BL206" s="39">
        <f t="shared" si="98"/>
        <v>0</v>
      </c>
      <c r="BM206" s="54" t="e">
        <f t="shared" si="99"/>
        <v>#DIV/0!</v>
      </c>
      <c r="BN206" s="60">
        <v>46290</v>
      </c>
      <c r="BO206" s="57">
        <v>46305</v>
      </c>
      <c r="BP206" s="57"/>
      <c r="BQ206" s="57"/>
      <c r="BR206" s="39"/>
      <c r="BS206" s="39"/>
      <c r="BT206" s="39"/>
      <c r="BU206" s="39"/>
      <c r="BV206" s="39"/>
      <c r="BW206" s="39"/>
      <c r="BX206" s="39"/>
      <c r="BY206" s="39"/>
      <c r="BZ206" s="39">
        <f t="shared" si="100"/>
        <v>0</v>
      </c>
      <c r="CA206" s="39" t="e">
        <f t="shared" si="101"/>
        <v>#VALUE!</v>
      </c>
      <c r="CB206" s="39">
        <f t="shared" si="102"/>
        <v>0</v>
      </c>
      <c r="CC206" s="39">
        <f t="shared" si="103"/>
        <v>0</v>
      </c>
      <c r="CD206" s="39">
        <f t="shared" si="105"/>
        <v>0</v>
      </c>
      <c r="CE206" s="102" t="e">
        <f t="shared" si="104"/>
        <v>#DIV/0!</v>
      </c>
      <c r="CF206" s="36" t="s">
        <v>248</v>
      </c>
      <c r="CG206" s="39" t="s">
        <v>298</v>
      </c>
      <c r="CH206" s="39"/>
      <c r="CI206" s="25">
        <v>3</v>
      </c>
    </row>
    <row r="207" spans="1:87" ht="24.75" customHeight="1">
      <c r="A207" s="36" t="s">
        <v>50</v>
      </c>
      <c r="B207" s="26">
        <v>48830</v>
      </c>
      <c r="C207" s="227">
        <v>13267910</v>
      </c>
      <c r="D207" s="36" t="s">
        <v>37</v>
      </c>
      <c r="E207" s="39">
        <v>180</v>
      </c>
      <c r="F207" s="39" t="s">
        <v>55</v>
      </c>
      <c r="G207" s="36" t="s">
        <v>287</v>
      </c>
      <c r="H207" s="36" t="s">
        <v>403</v>
      </c>
      <c r="I207" s="39">
        <v>66</v>
      </c>
      <c r="J207" s="39"/>
      <c r="K207" s="39"/>
      <c r="L207" s="39">
        <f t="shared" si="109"/>
        <v>66</v>
      </c>
      <c r="M207" s="117">
        <v>46275</v>
      </c>
      <c r="N207" s="117">
        <v>46280</v>
      </c>
      <c r="O207" s="39"/>
      <c r="P207" s="39"/>
      <c r="Q207" s="39"/>
      <c r="R207" s="39">
        <f t="shared" si="113"/>
        <v>0</v>
      </c>
      <c r="S207" s="39" t="s">
        <v>28</v>
      </c>
      <c r="T207" s="39"/>
      <c r="U207" s="39"/>
      <c r="V207" s="117">
        <v>46272</v>
      </c>
      <c r="W207" s="39">
        <v>78</v>
      </c>
      <c r="X207" s="39"/>
      <c r="Y207" s="39"/>
      <c r="Z207" s="39"/>
      <c r="AA207" s="39"/>
      <c r="AB207" s="118">
        <f t="shared" si="114"/>
        <v>0</v>
      </c>
      <c r="AC207" s="39"/>
      <c r="AD207" s="39"/>
      <c r="AE207" s="39"/>
      <c r="AF207" s="39"/>
      <c r="AG207" s="39"/>
      <c r="AH207" s="39">
        <f t="shared" si="94"/>
        <v>0</v>
      </c>
      <c r="AI207" s="39"/>
      <c r="AJ207" s="39"/>
      <c r="AK207" s="39"/>
      <c r="AL207" s="39"/>
      <c r="AM207" s="39"/>
      <c r="AN207" s="39">
        <f t="shared" si="110"/>
        <v>0</v>
      </c>
      <c r="AO207" s="39"/>
      <c r="AP207" s="39"/>
      <c r="AQ207" s="39"/>
      <c r="AR207" s="39"/>
      <c r="AS207" s="39"/>
      <c r="AT207" s="39">
        <f t="shared" si="95"/>
        <v>0</v>
      </c>
      <c r="AU207" s="39"/>
      <c r="AV207" s="39"/>
      <c r="AW207" s="39"/>
      <c r="AX207" s="39"/>
      <c r="AY207" s="39"/>
      <c r="AZ207" s="39">
        <f t="shared" si="96"/>
        <v>0</v>
      </c>
      <c r="BA207" s="39"/>
      <c r="BB207" s="39"/>
      <c r="BC207" s="39"/>
      <c r="BD207" s="39"/>
      <c r="BE207" s="39"/>
      <c r="BF207" s="39">
        <f t="shared" si="97"/>
        <v>0</v>
      </c>
      <c r="BG207" s="39"/>
      <c r="BH207" s="39"/>
      <c r="BI207" s="39"/>
      <c r="BJ207" s="39"/>
      <c r="BK207" s="39"/>
      <c r="BL207" s="39">
        <f t="shared" si="98"/>
        <v>0</v>
      </c>
      <c r="BM207" s="54">
        <f t="shared" ca="1" si="99"/>
        <v>46283</v>
      </c>
      <c r="BN207" s="60">
        <v>46292</v>
      </c>
      <c r="BO207" s="57">
        <v>46302</v>
      </c>
      <c r="BP207" s="57">
        <v>46304</v>
      </c>
      <c r="BQ207" s="57">
        <v>46310</v>
      </c>
      <c r="BR207" s="39"/>
      <c r="BS207" s="39"/>
      <c r="BT207" s="39"/>
      <c r="BU207" s="39"/>
      <c r="BV207" s="39"/>
      <c r="BW207" s="39"/>
      <c r="BX207" s="39"/>
      <c r="BY207" s="39"/>
      <c r="BZ207" s="39">
        <f t="shared" si="100"/>
        <v>0</v>
      </c>
      <c r="CA207" s="39">
        <f t="shared" si="101"/>
        <v>-66</v>
      </c>
      <c r="CB207" s="39">
        <f t="shared" si="102"/>
        <v>0</v>
      </c>
      <c r="CC207" s="39">
        <f t="shared" si="103"/>
        <v>0</v>
      </c>
      <c r="CD207" s="39">
        <f t="shared" si="105"/>
        <v>-66</v>
      </c>
      <c r="CE207" s="102">
        <f t="shared" si="104"/>
        <v>-1</v>
      </c>
      <c r="CF207" s="36" t="s">
        <v>248</v>
      </c>
      <c r="CG207" s="39" t="s">
        <v>298</v>
      </c>
      <c r="CH207" s="39"/>
      <c r="CI207" s="25">
        <v>3</v>
      </c>
    </row>
    <row r="208" spans="1:87" ht="24.75" customHeight="1">
      <c r="A208" s="36" t="s">
        <v>50</v>
      </c>
      <c r="B208" s="26">
        <v>48830</v>
      </c>
      <c r="C208" s="231"/>
      <c r="D208" s="36"/>
      <c r="E208" s="39">
        <v>180</v>
      </c>
      <c r="F208" s="39" t="s">
        <v>55</v>
      </c>
      <c r="G208" s="36" t="s">
        <v>316</v>
      </c>
      <c r="H208" s="36" t="s">
        <v>403</v>
      </c>
      <c r="I208" s="39">
        <v>42</v>
      </c>
      <c r="J208" s="39"/>
      <c r="K208" s="39"/>
      <c r="L208" s="39">
        <f t="shared" ref="L208" si="115">SUM(I208:K208)</f>
        <v>42</v>
      </c>
      <c r="M208" s="117">
        <v>46275</v>
      </c>
      <c r="N208" s="117">
        <v>46280</v>
      </c>
      <c r="O208" s="39"/>
      <c r="P208" s="39"/>
      <c r="Q208" s="39"/>
      <c r="R208" s="39">
        <f t="shared" si="113"/>
        <v>0</v>
      </c>
      <c r="S208" s="39" t="s">
        <v>28</v>
      </c>
      <c r="T208" s="39"/>
      <c r="U208" s="39"/>
      <c r="V208" s="117">
        <v>46272</v>
      </c>
      <c r="W208" s="39">
        <v>55</v>
      </c>
      <c r="X208" s="39"/>
      <c r="Y208" s="39"/>
      <c r="Z208" s="39"/>
      <c r="AA208" s="39"/>
      <c r="AB208" s="118">
        <f t="shared" si="114"/>
        <v>0</v>
      </c>
      <c r="AC208" s="39"/>
      <c r="AD208" s="39"/>
      <c r="AE208" s="39"/>
      <c r="AF208" s="39"/>
      <c r="AG208" s="39"/>
      <c r="AH208" s="39">
        <f t="shared" si="94"/>
        <v>0</v>
      </c>
      <c r="AI208" s="39"/>
      <c r="AJ208" s="39"/>
      <c r="AK208" s="39"/>
      <c r="AL208" s="39"/>
      <c r="AM208" s="39"/>
      <c r="AN208" s="39">
        <f t="shared" si="110"/>
        <v>0</v>
      </c>
      <c r="AO208" s="39"/>
      <c r="AP208" s="39"/>
      <c r="AQ208" s="39"/>
      <c r="AR208" s="39"/>
      <c r="AS208" s="39"/>
      <c r="AT208" s="39">
        <f t="shared" si="95"/>
        <v>0</v>
      </c>
      <c r="AU208" s="39"/>
      <c r="AV208" s="39"/>
      <c r="AW208" s="39"/>
      <c r="AX208" s="39"/>
      <c r="AY208" s="39"/>
      <c r="AZ208" s="39">
        <f t="shared" si="96"/>
        <v>0</v>
      </c>
      <c r="BA208" s="39"/>
      <c r="BB208" s="39"/>
      <c r="BC208" s="39"/>
      <c r="BD208" s="39"/>
      <c r="BE208" s="39"/>
      <c r="BF208" s="39">
        <f t="shared" si="97"/>
        <v>0</v>
      </c>
      <c r="BG208" s="39"/>
      <c r="BH208" s="39"/>
      <c r="BI208" s="39"/>
      <c r="BJ208" s="39"/>
      <c r="BK208" s="39"/>
      <c r="BL208" s="39">
        <f t="shared" si="98"/>
        <v>0</v>
      </c>
      <c r="BM208" s="54">
        <f t="shared" ca="1" si="99"/>
        <v>46283</v>
      </c>
      <c r="BN208" s="60">
        <v>46292</v>
      </c>
      <c r="BO208" s="57">
        <v>46302</v>
      </c>
      <c r="BP208" s="57"/>
      <c r="BQ208" s="57"/>
      <c r="BR208" s="39"/>
      <c r="BS208" s="39"/>
      <c r="BT208" s="39"/>
      <c r="BU208" s="39"/>
      <c r="BV208" s="39"/>
      <c r="BW208" s="39"/>
      <c r="BX208" s="39"/>
      <c r="BY208" s="39"/>
      <c r="BZ208" s="39">
        <f t="shared" si="100"/>
        <v>0</v>
      </c>
      <c r="CA208" s="39">
        <f t="shared" si="101"/>
        <v>-42</v>
      </c>
      <c r="CB208" s="39">
        <f t="shared" si="102"/>
        <v>0</v>
      </c>
      <c r="CC208" s="39">
        <f t="shared" si="103"/>
        <v>0</v>
      </c>
      <c r="CD208" s="39">
        <f t="shared" si="105"/>
        <v>-42</v>
      </c>
      <c r="CE208" s="102">
        <f t="shared" si="104"/>
        <v>-1</v>
      </c>
      <c r="CF208" s="36" t="s">
        <v>248</v>
      </c>
      <c r="CG208" s="39" t="s">
        <v>298</v>
      </c>
      <c r="CH208" s="39"/>
      <c r="CI208" s="25">
        <v>3</v>
      </c>
    </row>
    <row r="209" spans="1:87" ht="24.75" customHeight="1">
      <c r="A209" s="36" t="s">
        <v>50</v>
      </c>
      <c r="B209" s="26">
        <v>48830</v>
      </c>
      <c r="C209" s="231"/>
      <c r="D209" s="36"/>
      <c r="E209" s="39">
        <v>180</v>
      </c>
      <c r="F209" s="39" t="s">
        <v>55</v>
      </c>
      <c r="G209" s="36" t="s">
        <v>287</v>
      </c>
      <c r="H209" s="36" t="s">
        <v>403</v>
      </c>
      <c r="I209" s="39">
        <v>57</v>
      </c>
      <c r="J209" s="39"/>
      <c r="K209" s="39"/>
      <c r="L209" s="39">
        <f t="shared" ref="L209:L214" si="116">SUM(I209:K209)</f>
        <v>57</v>
      </c>
      <c r="M209" s="117">
        <v>46275</v>
      </c>
      <c r="N209" s="117">
        <v>46280</v>
      </c>
      <c r="O209" s="39"/>
      <c r="P209" s="39"/>
      <c r="Q209" s="39"/>
      <c r="R209" s="39">
        <f t="shared" si="113"/>
        <v>0</v>
      </c>
      <c r="S209" s="39" t="s">
        <v>28</v>
      </c>
      <c r="T209" s="39"/>
      <c r="U209" s="39"/>
      <c r="V209" s="117">
        <v>46272</v>
      </c>
      <c r="W209" s="39">
        <v>70</v>
      </c>
      <c r="X209" s="39"/>
      <c r="Y209" s="39"/>
      <c r="Z209" s="39"/>
      <c r="AA209" s="39"/>
      <c r="AB209" s="118">
        <f t="shared" si="114"/>
        <v>0</v>
      </c>
      <c r="AC209" s="39"/>
      <c r="AD209" s="39"/>
      <c r="AE209" s="39"/>
      <c r="AF209" s="39"/>
      <c r="AG209" s="39"/>
      <c r="AH209" s="39">
        <f t="shared" si="94"/>
        <v>0</v>
      </c>
      <c r="AI209" s="39"/>
      <c r="AJ209" s="39"/>
      <c r="AK209" s="39"/>
      <c r="AL209" s="39"/>
      <c r="AM209" s="39"/>
      <c r="AN209" s="39">
        <f t="shared" si="110"/>
        <v>0</v>
      </c>
      <c r="AO209" s="39"/>
      <c r="AP209" s="39"/>
      <c r="AQ209" s="39"/>
      <c r="AR209" s="39"/>
      <c r="AS209" s="39"/>
      <c r="AT209" s="39">
        <f t="shared" si="95"/>
        <v>0</v>
      </c>
      <c r="AU209" s="39"/>
      <c r="AV209" s="39"/>
      <c r="AW209" s="39"/>
      <c r="AX209" s="39"/>
      <c r="AY209" s="39"/>
      <c r="AZ209" s="39">
        <f t="shared" si="96"/>
        <v>0</v>
      </c>
      <c r="BA209" s="39"/>
      <c r="BB209" s="39"/>
      <c r="BC209" s="39"/>
      <c r="BD209" s="39"/>
      <c r="BE209" s="39"/>
      <c r="BF209" s="39">
        <f t="shared" si="97"/>
        <v>0</v>
      </c>
      <c r="BG209" s="39"/>
      <c r="BH209" s="39"/>
      <c r="BI209" s="39"/>
      <c r="BJ209" s="39"/>
      <c r="BK209" s="39"/>
      <c r="BL209" s="39">
        <f t="shared" si="98"/>
        <v>0</v>
      </c>
      <c r="BM209" s="54">
        <f t="shared" ca="1" si="99"/>
        <v>46283</v>
      </c>
      <c r="BN209" s="60">
        <v>46292</v>
      </c>
      <c r="BO209" s="57">
        <v>46302</v>
      </c>
      <c r="BP209" s="57"/>
      <c r="BQ209" s="57"/>
      <c r="BR209" s="39"/>
      <c r="BS209" s="39"/>
      <c r="BT209" s="39"/>
      <c r="BU209" s="39"/>
      <c r="BV209" s="39"/>
      <c r="BW209" s="39"/>
      <c r="BX209" s="39"/>
      <c r="BY209" s="39"/>
      <c r="BZ209" s="39">
        <f t="shared" si="100"/>
        <v>0</v>
      </c>
      <c r="CA209" s="39">
        <f t="shared" si="101"/>
        <v>-57</v>
      </c>
      <c r="CB209" s="39">
        <f t="shared" si="102"/>
        <v>0</v>
      </c>
      <c r="CC209" s="39">
        <f t="shared" si="103"/>
        <v>0</v>
      </c>
      <c r="CD209" s="39">
        <f t="shared" si="105"/>
        <v>-57</v>
      </c>
      <c r="CE209" s="102">
        <f t="shared" si="104"/>
        <v>-1</v>
      </c>
      <c r="CF209" s="36" t="s">
        <v>248</v>
      </c>
      <c r="CG209" s="39" t="s">
        <v>298</v>
      </c>
      <c r="CH209" s="39"/>
      <c r="CI209" s="25">
        <v>3</v>
      </c>
    </row>
    <row r="210" spans="1:87" ht="24.75" customHeight="1">
      <c r="A210" s="36" t="s">
        <v>50</v>
      </c>
      <c r="B210" s="26">
        <v>48830</v>
      </c>
      <c r="C210" s="231"/>
      <c r="D210" s="36" t="s">
        <v>37</v>
      </c>
      <c r="E210" s="39">
        <v>180</v>
      </c>
      <c r="F210" s="39" t="s">
        <v>55</v>
      </c>
      <c r="G210" s="36" t="s">
        <v>2734</v>
      </c>
      <c r="H210" s="36" t="s">
        <v>403</v>
      </c>
      <c r="I210" s="39">
        <v>97</v>
      </c>
      <c r="J210" s="39"/>
      <c r="K210" s="39"/>
      <c r="L210" s="39">
        <f t="shared" si="116"/>
        <v>97</v>
      </c>
      <c r="M210" s="117">
        <v>46275</v>
      </c>
      <c r="N210" s="117">
        <v>46280</v>
      </c>
      <c r="O210" s="39"/>
      <c r="P210" s="39"/>
      <c r="Q210" s="39"/>
      <c r="R210" s="39">
        <f t="shared" si="113"/>
        <v>0</v>
      </c>
      <c r="S210" s="39" t="s">
        <v>28</v>
      </c>
      <c r="T210" s="39"/>
      <c r="U210" s="39"/>
      <c r="V210" s="117">
        <v>46272</v>
      </c>
      <c r="W210" s="39">
        <v>110</v>
      </c>
      <c r="X210" s="39"/>
      <c r="Y210" s="39"/>
      <c r="Z210" s="39"/>
      <c r="AA210" s="39"/>
      <c r="AB210" s="118">
        <f t="shared" si="114"/>
        <v>0</v>
      </c>
      <c r="AC210" s="39"/>
      <c r="AD210" s="39"/>
      <c r="AE210" s="39"/>
      <c r="AF210" s="39"/>
      <c r="AG210" s="39"/>
      <c r="AH210" s="39">
        <f t="shared" si="94"/>
        <v>0</v>
      </c>
      <c r="AI210" s="39"/>
      <c r="AJ210" s="39"/>
      <c r="AK210" s="39"/>
      <c r="AL210" s="39"/>
      <c r="AM210" s="39"/>
      <c r="AN210" s="39">
        <f t="shared" si="110"/>
        <v>0</v>
      </c>
      <c r="AO210" s="39"/>
      <c r="AP210" s="39"/>
      <c r="AQ210" s="39"/>
      <c r="AR210" s="39"/>
      <c r="AS210" s="39"/>
      <c r="AT210" s="39">
        <f t="shared" si="95"/>
        <v>0</v>
      </c>
      <c r="AU210" s="39"/>
      <c r="AV210" s="39"/>
      <c r="AW210" s="39"/>
      <c r="AX210" s="39"/>
      <c r="AY210" s="39"/>
      <c r="AZ210" s="39">
        <f t="shared" si="96"/>
        <v>0</v>
      </c>
      <c r="BA210" s="39"/>
      <c r="BB210" s="39"/>
      <c r="BC210" s="39"/>
      <c r="BD210" s="39"/>
      <c r="BE210" s="39"/>
      <c r="BF210" s="39">
        <f t="shared" si="97"/>
        <v>0</v>
      </c>
      <c r="BG210" s="39"/>
      <c r="BH210" s="39"/>
      <c r="BI210" s="39"/>
      <c r="BJ210" s="39"/>
      <c r="BK210" s="39"/>
      <c r="BL210" s="39">
        <f t="shared" si="98"/>
        <v>0</v>
      </c>
      <c r="BM210" s="54">
        <f t="shared" ca="1" si="99"/>
        <v>46283</v>
      </c>
      <c r="BN210" s="60">
        <v>46292</v>
      </c>
      <c r="BO210" s="57">
        <v>46302</v>
      </c>
      <c r="BP210" s="57">
        <v>46304</v>
      </c>
      <c r="BQ210" s="57">
        <v>46310</v>
      </c>
      <c r="BR210" s="39"/>
      <c r="BS210" s="39"/>
      <c r="BT210" s="39"/>
      <c r="BU210" s="39"/>
      <c r="BV210" s="39"/>
      <c r="BW210" s="39"/>
      <c r="BX210" s="39"/>
      <c r="BY210" s="39"/>
      <c r="BZ210" s="39">
        <f t="shared" si="100"/>
        <v>0</v>
      </c>
      <c r="CA210" s="39">
        <f t="shared" si="101"/>
        <v>-97</v>
      </c>
      <c r="CB210" s="39">
        <f t="shared" si="102"/>
        <v>0</v>
      </c>
      <c r="CC210" s="39">
        <f t="shared" si="103"/>
        <v>0</v>
      </c>
      <c r="CD210" s="39">
        <f t="shared" si="105"/>
        <v>-97</v>
      </c>
      <c r="CE210" s="102">
        <f t="shared" si="104"/>
        <v>-1</v>
      </c>
      <c r="CF210" s="36" t="s">
        <v>248</v>
      </c>
      <c r="CG210" s="39" t="s">
        <v>298</v>
      </c>
      <c r="CH210" s="39"/>
      <c r="CI210" s="25">
        <v>3</v>
      </c>
    </row>
    <row r="211" spans="1:87" ht="24.75" customHeight="1">
      <c r="A211" s="36" t="s">
        <v>50</v>
      </c>
      <c r="B211" s="26">
        <v>48830</v>
      </c>
      <c r="C211" s="231"/>
      <c r="D211" s="36"/>
      <c r="E211" s="39">
        <v>180</v>
      </c>
      <c r="F211" s="39" t="s">
        <v>55</v>
      </c>
      <c r="G211" s="36" t="s">
        <v>287</v>
      </c>
      <c r="H211" s="36" t="s">
        <v>403</v>
      </c>
      <c r="I211" s="39">
        <v>61</v>
      </c>
      <c r="J211" s="39"/>
      <c r="K211" s="39"/>
      <c r="L211" s="39">
        <f t="shared" si="116"/>
        <v>61</v>
      </c>
      <c r="M211" s="117">
        <v>46275</v>
      </c>
      <c r="N211" s="117">
        <v>46280</v>
      </c>
      <c r="O211" s="39"/>
      <c r="P211" s="39"/>
      <c r="Q211" s="39"/>
      <c r="R211" s="39">
        <f t="shared" si="113"/>
        <v>0</v>
      </c>
      <c r="S211" s="39" t="s">
        <v>28</v>
      </c>
      <c r="T211" s="39"/>
      <c r="U211" s="39"/>
      <c r="V211" s="117">
        <v>46272</v>
      </c>
      <c r="W211" s="39">
        <v>73</v>
      </c>
      <c r="X211" s="39"/>
      <c r="Y211" s="39"/>
      <c r="Z211" s="39"/>
      <c r="AA211" s="39"/>
      <c r="AB211" s="118">
        <f t="shared" si="114"/>
        <v>0</v>
      </c>
      <c r="AC211" s="39"/>
      <c r="AD211" s="39"/>
      <c r="AE211" s="39"/>
      <c r="AF211" s="39"/>
      <c r="AG211" s="39"/>
      <c r="AH211" s="39">
        <f t="shared" si="94"/>
        <v>0</v>
      </c>
      <c r="AI211" s="39"/>
      <c r="AJ211" s="39"/>
      <c r="AK211" s="39"/>
      <c r="AL211" s="39"/>
      <c r="AM211" s="39"/>
      <c r="AN211" s="39">
        <f t="shared" si="110"/>
        <v>0</v>
      </c>
      <c r="AO211" s="39"/>
      <c r="AP211" s="39"/>
      <c r="AQ211" s="39"/>
      <c r="AR211" s="39"/>
      <c r="AS211" s="39"/>
      <c r="AT211" s="39">
        <f t="shared" si="95"/>
        <v>0</v>
      </c>
      <c r="AU211" s="39"/>
      <c r="AV211" s="39"/>
      <c r="AW211" s="39"/>
      <c r="AX211" s="39"/>
      <c r="AY211" s="39"/>
      <c r="AZ211" s="39">
        <f t="shared" si="96"/>
        <v>0</v>
      </c>
      <c r="BA211" s="39"/>
      <c r="BB211" s="39"/>
      <c r="BC211" s="39"/>
      <c r="BD211" s="39"/>
      <c r="BE211" s="39"/>
      <c r="BF211" s="39">
        <f t="shared" si="97"/>
        <v>0</v>
      </c>
      <c r="BG211" s="39"/>
      <c r="BH211" s="39"/>
      <c r="BI211" s="39"/>
      <c r="BJ211" s="39"/>
      <c r="BK211" s="39"/>
      <c r="BL211" s="39">
        <f t="shared" si="98"/>
        <v>0</v>
      </c>
      <c r="BM211" s="54">
        <f t="shared" ca="1" si="99"/>
        <v>46283</v>
      </c>
      <c r="BN211" s="60">
        <v>46292</v>
      </c>
      <c r="BO211" s="57">
        <v>46302</v>
      </c>
      <c r="BP211" s="57"/>
      <c r="BQ211" s="57"/>
      <c r="BR211" s="39"/>
      <c r="BS211" s="39"/>
      <c r="BT211" s="39"/>
      <c r="BU211" s="39"/>
      <c r="BV211" s="39"/>
      <c r="BW211" s="39"/>
      <c r="BX211" s="39"/>
      <c r="BY211" s="39"/>
      <c r="BZ211" s="39">
        <f t="shared" si="100"/>
        <v>0</v>
      </c>
      <c r="CA211" s="39">
        <f t="shared" si="101"/>
        <v>-61</v>
      </c>
      <c r="CB211" s="39">
        <f t="shared" si="102"/>
        <v>0</v>
      </c>
      <c r="CC211" s="39">
        <f t="shared" si="103"/>
        <v>0</v>
      </c>
      <c r="CD211" s="39">
        <f t="shared" si="105"/>
        <v>-61</v>
      </c>
      <c r="CE211" s="102">
        <f t="shared" si="104"/>
        <v>-1</v>
      </c>
      <c r="CF211" s="36" t="s">
        <v>248</v>
      </c>
      <c r="CG211" s="39" t="s">
        <v>298</v>
      </c>
      <c r="CH211" s="39"/>
      <c r="CI211" s="25">
        <v>3</v>
      </c>
    </row>
    <row r="212" spans="1:87" ht="24.75" customHeight="1">
      <c r="A212" s="36" t="s">
        <v>50</v>
      </c>
      <c r="B212" s="26">
        <v>48830</v>
      </c>
      <c r="C212" s="231"/>
      <c r="D212" s="36" t="s">
        <v>37</v>
      </c>
      <c r="E212" s="39">
        <v>180</v>
      </c>
      <c r="F212" s="39" t="s">
        <v>55</v>
      </c>
      <c r="G212" s="36" t="s">
        <v>2734</v>
      </c>
      <c r="H212" s="36" t="s">
        <v>403</v>
      </c>
      <c r="I212" s="39">
        <v>67</v>
      </c>
      <c r="J212" s="39"/>
      <c r="K212" s="39"/>
      <c r="L212" s="39">
        <f t="shared" si="116"/>
        <v>67</v>
      </c>
      <c r="M212" s="117">
        <v>46275</v>
      </c>
      <c r="N212" s="117">
        <v>46280</v>
      </c>
      <c r="O212" s="39"/>
      <c r="P212" s="39"/>
      <c r="Q212" s="39"/>
      <c r="R212" s="39">
        <f t="shared" si="113"/>
        <v>0</v>
      </c>
      <c r="S212" s="39" t="s">
        <v>28</v>
      </c>
      <c r="T212" s="39"/>
      <c r="U212" s="39"/>
      <c r="V212" s="117">
        <v>46272</v>
      </c>
      <c r="W212" s="39">
        <v>80</v>
      </c>
      <c r="X212" s="39"/>
      <c r="Y212" s="39"/>
      <c r="Z212" s="39"/>
      <c r="AA212" s="39"/>
      <c r="AB212" s="118">
        <f t="shared" si="114"/>
        <v>0</v>
      </c>
      <c r="AC212" s="39"/>
      <c r="AD212" s="39"/>
      <c r="AE212" s="39"/>
      <c r="AF212" s="39"/>
      <c r="AG212" s="39"/>
      <c r="AH212" s="39">
        <f t="shared" si="94"/>
        <v>0</v>
      </c>
      <c r="AI212" s="39"/>
      <c r="AJ212" s="39"/>
      <c r="AK212" s="39"/>
      <c r="AL212" s="39"/>
      <c r="AM212" s="39"/>
      <c r="AN212" s="39">
        <f t="shared" si="110"/>
        <v>0</v>
      </c>
      <c r="AO212" s="39"/>
      <c r="AP212" s="39"/>
      <c r="AQ212" s="39"/>
      <c r="AR212" s="39"/>
      <c r="AS212" s="39"/>
      <c r="AT212" s="39">
        <f t="shared" si="95"/>
        <v>0</v>
      </c>
      <c r="AU212" s="39"/>
      <c r="AV212" s="39"/>
      <c r="AW212" s="39"/>
      <c r="AX212" s="39"/>
      <c r="AY212" s="39"/>
      <c r="AZ212" s="39">
        <f t="shared" si="96"/>
        <v>0</v>
      </c>
      <c r="BA212" s="39"/>
      <c r="BB212" s="39"/>
      <c r="BC212" s="39"/>
      <c r="BD212" s="39"/>
      <c r="BE212" s="39"/>
      <c r="BF212" s="39">
        <f t="shared" si="97"/>
        <v>0</v>
      </c>
      <c r="BG212" s="39"/>
      <c r="BH212" s="39"/>
      <c r="BI212" s="39"/>
      <c r="BJ212" s="39"/>
      <c r="BK212" s="39"/>
      <c r="BL212" s="39">
        <f t="shared" si="98"/>
        <v>0</v>
      </c>
      <c r="BM212" s="54">
        <f t="shared" ca="1" si="99"/>
        <v>46283</v>
      </c>
      <c r="BN212" s="60">
        <v>46292</v>
      </c>
      <c r="BO212" s="57">
        <v>46302</v>
      </c>
      <c r="BP212" s="57">
        <v>46304</v>
      </c>
      <c r="BQ212" s="57">
        <v>46310</v>
      </c>
      <c r="BR212" s="39"/>
      <c r="BS212" s="39"/>
      <c r="BT212" s="39"/>
      <c r="BU212" s="39"/>
      <c r="BV212" s="39"/>
      <c r="BW212" s="39"/>
      <c r="BX212" s="39"/>
      <c r="BY212" s="39"/>
      <c r="BZ212" s="39">
        <f t="shared" si="100"/>
        <v>0</v>
      </c>
      <c r="CA212" s="39">
        <f t="shared" si="101"/>
        <v>-67</v>
      </c>
      <c r="CB212" s="39">
        <f t="shared" si="102"/>
        <v>0</v>
      </c>
      <c r="CC212" s="39">
        <f t="shared" si="103"/>
        <v>0</v>
      </c>
      <c r="CD212" s="39">
        <f t="shared" si="105"/>
        <v>-67</v>
      </c>
      <c r="CE212" s="102">
        <f t="shared" si="104"/>
        <v>-1</v>
      </c>
      <c r="CF212" s="36" t="s">
        <v>248</v>
      </c>
      <c r="CG212" s="39" t="s">
        <v>298</v>
      </c>
      <c r="CH212" s="39"/>
      <c r="CI212" s="25">
        <v>3</v>
      </c>
    </row>
    <row r="213" spans="1:87" ht="24.75" customHeight="1">
      <c r="A213" s="36" t="s">
        <v>50</v>
      </c>
      <c r="B213" s="26">
        <v>48830</v>
      </c>
      <c r="C213" s="228"/>
      <c r="D213" s="36"/>
      <c r="E213" s="39">
        <v>180</v>
      </c>
      <c r="F213" s="39" t="s">
        <v>55</v>
      </c>
      <c r="G213" s="36" t="s">
        <v>1255</v>
      </c>
      <c r="H213" s="36" t="s">
        <v>403</v>
      </c>
      <c r="I213" s="39">
        <v>20</v>
      </c>
      <c r="J213" s="39"/>
      <c r="K213" s="39"/>
      <c r="L213" s="39">
        <f t="shared" si="116"/>
        <v>20</v>
      </c>
      <c r="M213" s="117">
        <v>46275</v>
      </c>
      <c r="N213" s="117">
        <v>46280</v>
      </c>
      <c r="O213" s="39"/>
      <c r="P213" s="39"/>
      <c r="Q213" s="39"/>
      <c r="R213" s="39">
        <f t="shared" si="113"/>
        <v>0</v>
      </c>
      <c r="S213" s="39" t="s">
        <v>28</v>
      </c>
      <c r="T213" s="39"/>
      <c r="U213" s="39"/>
      <c r="V213" s="117">
        <v>46272</v>
      </c>
      <c r="W213" s="39">
        <v>31</v>
      </c>
      <c r="X213" s="39"/>
      <c r="Y213" s="39"/>
      <c r="Z213" s="39"/>
      <c r="AA213" s="39"/>
      <c r="AB213" s="118">
        <f t="shared" si="114"/>
        <v>0</v>
      </c>
      <c r="AC213" s="39"/>
      <c r="AD213" s="39"/>
      <c r="AE213" s="39"/>
      <c r="AF213" s="39"/>
      <c r="AG213" s="39"/>
      <c r="AH213" s="39">
        <f t="shared" si="94"/>
        <v>0</v>
      </c>
      <c r="AI213" s="39"/>
      <c r="AJ213" s="39"/>
      <c r="AK213" s="39"/>
      <c r="AL213" s="39"/>
      <c r="AM213" s="39"/>
      <c r="AN213" s="39">
        <f t="shared" si="110"/>
        <v>0</v>
      </c>
      <c r="AO213" s="39"/>
      <c r="AP213" s="39"/>
      <c r="AQ213" s="39"/>
      <c r="AR213" s="39"/>
      <c r="AS213" s="39"/>
      <c r="AT213" s="39">
        <f t="shared" si="95"/>
        <v>0</v>
      </c>
      <c r="AU213" s="39"/>
      <c r="AV213" s="39"/>
      <c r="AW213" s="39"/>
      <c r="AX213" s="39"/>
      <c r="AY213" s="39"/>
      <c r="AZ213" s="39">
        <f t="shared" si="96"/>
        <v>0</v>
      </c>
      <c r="BA213" s="39"/>
      <c r="BB213" s="39"/>
      <c r="BC213" s="39"/>
      <c r="BD213" s="39"/>
      <c r="BE213" s="39"/>
      <c r="BF213" s="39">
        <f t="shared" si="97"/>
        <v>0</v>
      </c>
      <c r="BG213" s="39"/>
      <c r="BH213" s="39"/>
      <c r="BI213" s="39"/>
      <c r="BJ213" s="39"/>
      <c r="BK213" s="39"/>
      <c r="BL213" s="39">
        <f t="shared" si="98"/>
        <v>0</v>
      </c>
      <c r="BM213" s="54">
        <f t="shared" ca="1" si="99"/>
        <v>46283</v>
      </c>
      <c r="BN213" s="60">
        <v>46292</v>
      </c>
      <c r="BO213" s="57">
        <v>46302</v>
      </c>
      <c r="BP213" s="57"/>
      <c r="BQ213" s="57"/>
      <c r="BR213" s="39"/>
      <c r="BS213" s="39"/>
      <c r="BT213" s="39"/>
      <c r="BU213" s="39"/>
      <c r="BV213" s="39"/>
      <c r="BW213" s="39"/>
      <c r="BX213" s="39"/>
      <c r="BY213" s="39"/>
      <c r="BZ213" s="39">
        <f t="shared" si="100"/>
        <v>0</v>
      </c>
      <c r="CA213" s="39">
        <f t="shared" si="101"/>
        <v>-20</v>
      </c>
      <c r="CB213" s="39">
        <f t="shared" si="102"/>
        <v>0</v>
      </c>
      <c r="CC213" s="39">
        <f t="shared" si="103"/>
        <v>0</v>
      </c>
      <c r="CD213" s="39">
        <f t="shared" si="105"/>
        <v>-20</v>
      </c>
      <c r="CE213" s="102">
        <f t="shared" si="104"/>
        <v>-1</v>
      </c>
      <c r="CF213" s="36" t="s">
        <v>248</v>
      </c>
      <c r="CG213" s="39" t="s">
        <v>298</v>
      </c>
      <c r="CH213" s="39"/>
      <c r="CI213" s="25">
        <v>3</v>
      </c>
    </row>
    <row r="214" spans="1:87" ht="24.75" customHeight="1">
      <c r="A214" s="36" t="s">
        <v>50</v>
      </c>
      <c r="B214" s="26">
        <v>48939</v>
      </c>
      <c r="C214" s="227">
        <v>13265710</v>
      </c>
      <c r="D214" s="36"/>
      <c r="E214" s="39">
        <v>200</v>
      </c>
      <c r="F214" s="39" t="s">
        <v>60</v>
      </c>
      <c r="G214" s="36" t="s">
        <v>523</v>
      </c>
      <c r="H214" s="36" t="s">
        <v>89</v>
      </c>
      <c r="I214" s="39">
        <f>221+58</f>
        <v>279</v>
      </c>
      <c r="J214" s="39"/>
      <c r="K214" s="39">
        <v>279</v>
      </c>
      <c r="L214" s="39">
        <f t="shared" si="116"/>
        <v>558</v>
      </c>
      <c r="M214" s="117">
        <v>46275</v>
      </c>
      <c r="N214" s="117">
        <v>46287</v>
      </c>
      <c r="O214" s="39"/>
      <c r="P214" s="39"/>
      <c r="Q214" s="39"/>
      <c r="R214" s="39">
        <f t="shared" si="113"/>
        <v>0</v>
      </c>
      <c r="S214" s="39" t="s">
        <v>28</v>
      </c>
      <c r="T214" s="39"/>
      <c r="U214" s="39"/>
      <c r="V214" s="117">
        <v>46270</v>
      </c>
      <c r="W214" s="39">
        <v>316</v>
      </c>
      <c r="X214" s="39"/>
      <c r="Y214" s="39"/>
      <c r="Z214" s="39"/>
      <c r="AA214" s="39"/>
      <c r="AB214" s="118">
        <f t="shared" si="114"/>
        <v>0</v>
      </c>
      <c r="AC214" s="39"/>
      <c r="AD214" s="39"/>
      <c r="AE214" s="39"/>
      <c r="AF214" s="39"/>
      <c r="AG214" s="39"/>
      <c r="AH214" s="39">
        <f t="shared" si="94"/>
        <v>0</v>
      </c>
      <c r="AI214" s="39"/>
      <c r="AJ214" s="39"/>
      <c r="AK214" s="39"/>
      <c r="AL214" s="39"/>
      <c r="AM214" s="39"/>
      <c r="AN214" s="39">
        <f t="shared" si="110"/>
        <v>0</v>
      </c>
      <c r="AO214" s="39"/>
      <c r="AP214" s="39"/>
      <c r="AQ214" s="39"/>
      <c r="AR214" s="39"/>
      <c r="AS214" s="39"/>
      <c r="AT214" s="39">
        <f t="shared" si="95"/>
        <v>0</v>
      </c>
      <c r="AU214" s="39"/>
      <c r="AV214" s="39"/>
      <c r="AW214" s="39"/>
      <c r="AX214" s="39"/>
      <c r="AY214" s="39"/>
      <c r="AZ214" s="39">
        <f t="shared" si="96"/>
        <v>0</v>
      </c>
      <c r="BA214" s="39"/>
      <c r="BB214" s="39"/>
      <c r="BC214" s="39"/>
      <c r="BD214" s="39"/>
      <c r="BE214" s="39"/>
      <c r="BF214" s="39">
        <f t="shared" si="97"/>
        <v>0</v>
      </c>
      <c r="BG214" s="39"/>
      <c r="BH214" s="39"/>
      <c r="BI214" s="39"/>
      <c r="BJ214" s="39"/>
      <c r="BK214" s="39"/>
      <c r="BL214" s="39">
        <f t="shared" si="98"/>
        <v>0</v>
      </c>
      <c r="BM214" s="54">
        <f t="shared" ca="1" si="99"/>
        <v>46283</v>
      </c>
      <c r="BN214" s="60">
        <v>46290</v>
      </c>
      <c r="BO214" s="57">
        <v>46308</v>
      </c>
      <c r="BP214" s="36"/>
      <c r="BQ214" s="36"/>
      <c r="BR214" s="39"/>
      <c r="BS214" s="39"/>
      <c r="BT214" s="39"/>
      <c r="BU214" s="39"/>
      <c r="BV214" s="39"/>
      <c r="BW214" s="39"/>
      <c r="BX214" s="39"/>
      <c r="BY214" s="39"/>
      <c r="BZ214" s="39">
        <f t="shared" si="100"/>
        <v>0</v>
      </c>
      <c r="CA214" s="39">
        <f t="shared" si="101"/>
        <v>-279</v>
      </c>
      <c r="CB214" s="39">
        <f t="shared" si="102"/>
        <v>0</v>
      </c>
      <c r="CC214" s="39">
        <f t="shared" si="103"/>
        <v>-279</v>
      </c>
      <c r="CD214" s="39">
        <f t="shared" si="105"/>
        <v>-558</v>
      </c>
      <c r="CE214" s="102">
        <f t="shared" si="104"/>
        <v>-1</v>
      </c>
      <c r="CF214" s="36" t="s">
        <v>292</v>
      </c>
      <c r="CG214" s="39" t="s">
        <v>281</v>
      </c>
      <c r="CH214" s="39"/>
      <c r="CI214" s="25">
        <v>3</v>
      </c>
    </row>
    <row r="215" spans="1:87" ht="24.75" customHeight="1">
      <c r="A215" s="36" t="s">
        <v>50</v>
      </c>
      <c r="B215" s="26">
        <v>48939</v>
      </c>
      <c r="C215" s="231"/>
      <c r="D215" s="36"/>
      <c r="E215" s="39">
        <v>200</v>
      </c>
      <c r="F215" s="39" t="s">
        <v>60</v>
      </c>
      <c r="G215" s="36" t="s">
        <v>2681</v>
      </c>
      <c r="H215" s="36" t="s">
        <v>89</v>
      </c>
      <c r="I215" s="39">
        <f>524+137</f>
        <v>661</v>
      </c>
      <c r="J215" s="39"/>
      <c r="K215" s="39">
        <v>662</v>
      </c>
      <c r="L215" s="39">
        <f t="shared" ref="L215:L221" si="117">SUM(I215:K215)</f>
        <v>1323</v>
      </c>
      <c r="M215" s="117">
        <v>46275</v>
      </c>
      <c r="N215" s="117">
        <v>46287</v>
      </c>
      <c r="O215" s="39"/>
      <c r="P215" s="39"/>
      <c r="Q215" s="39"/>
      <c r="R215" s="39">
        <f t="shared" si="113"/>
        <v>0</v>
      </c>
      <c r="S215" s="39" t="s">
        <v>28</v>
      </c>
      <c r="T215" s="39"/>
      <c r="U215" s="39"/>
      <c r="V215" s="117">
        <v>46270</v>
      </c>
      <c r="W215" s="39">
        <f>741</f>
        <v>741</v>
      </c>
      <c r="X215" s="39"/>
      <c r="Y215" s="39"/>
      <c r="Z215" s="39"/>
      <c r="AA215" s="39"/>
      <c r="AB215" s="118">
        <f t="shared" si="114"/>
        <v>0</v>
      </c>
      <c r="AC215" s="39"/>
      <c r="AD215" s="39"/>
      <c r="AE215" s="39"/>
      <c r="AF215" s="39"/>
      <c r="AG215" s="39"/>
      <c r="AH215" s="39">
        <f t="shared" si="94"/>
        <v>0</v>
      </c>
      <c r="AI215" s="39"/>
      <c r="AJ215" s="39"/>
      <c r="AK215" s="39"/>
      <c r="AL215" s="39"/>
      <c r="AM215" s="39"/>
      <c r="AN215" s="39">
        <f t="shared" si="110"/>
        <v>0</v>
      </c>
      <c r="AO215" s="39"/>
      <c r="AP215" s="39"/>
      <c r="AQ215" s="39"/>
      <c r="AR215" s="39"/>
      <c r="AS215" s="39"/>
      <c r="AT215" s="39">
        <f t="shared" si="95"/>
        <v>0</v>
      </c>
      <c r="AU215" s="39"/>
      <c r="AV215" s="39"/>
      <c r="AW215" s="39"/>
      <c r="AX215" s="39"/>
      <c r="AY215" s="39"/>
      <c r="AZ215" s="39">
        <f t="shared" si="96"/>
        <v>0</v>
      </c>
      <c r="BA215" s="39"/>
      <c r="BB215" s="39"/>
      <c r="BC215" s="39"/>
      <c r="BD215" s="39"/>
      <c r="BE215" s="39"/>
      <c r="BF215" s="39">
        <f t="shared" si="97"/>
        <v>0</v>
      </c>
      <c r="BG215" s="39"/>
      <c r="BH215" s="39"/>
      <c r="BI215" s="39"/>
      <c r="BJ215" s="39"/>
      <c r="BK215" s="39"/>
      <c r="BL215" s="39">
        <f t="shared" si="98"/>
        <v>0</v>
      </c>
      <c r="BM215" s="54">
        <f t="shared" ca="1" si="99"/>
        <v>46283</v>
      </c>
      <c r="BN215" s="60">
        <v>46290</v>
      </c>
      <c r="BO215" s="57">
        <v>46308</v>
      </c>
      <c r="BP215" s="36"/>
      <c r="BQ215" s="36"/>
      <c r="BR215" s="39"/>
      <c r="BS215" s="39"/>
      <c r="BT215" s="39"/>
      <c r="BU215" s="39"/>
      <c r="BV215" s="39"/>
      <c r="BW215" s="39"/>
      <c r="BX215" s="39"/>
      <c r="BY215" s="39"/>
      <c r="BZ215" s="39">
        <f t="shared" si="100"/>
        <v>0</v>
      </c>
      <c r="CA215" s="39">
        <f t="shared" si="101"/>
        <v>-661</v>
      </c>
      <c r="CB215" s="39">
        <f t="shared" si="102"/>
        <v>0</v>
      </c>
      <c r="CC215" s="39">
        <f t="shared" si="103"/>
        <v>-662</v>
      </c>
      <c r="CD215" s="39">
        <f t="shared" si="105"/>
        <v>-1323</v>
      </c>
      <c r="CE215" s="102">
        <f t="shared" si="104"/>
        <v>-1</v>
      </c>
      <c r="CF215" s="36" t="s">
        <v>292</v>
      </c>
      <c r="CG215" s="39" t="s">
        <v>281</v>
      </c>
      <c r="CH215" s="39"/>
      <c r="CI215" s="25">
        <v>3</v>
      </c>
    </row>
    <row r="216" spans="1:87" ht="24.75" customHeight="1">
      <c r="A216" s="36" t="s">
        <v>50</v>
      </c>
      <c r="B216" s="26">
        <v>48939</v>
      </c>
      <c r="C216" s="228"/>
      <c r="D216" s="36"/>
      <c r="E216" s="39"/>
      <c r="F216" s="39"/>
      <c r="G216" s="36" t="s">
        <v>2761</v>
      </c>
      <c r="H216" s="36">
        <f>3536+8391</f>
        <v>11927</v>
      </c>
      <c r="I216" s="39" t="s">
        <v>90</v>
      </c>
      <c r="J216" s="39"/>
      <c r="K216" s="39"/>
      <c r="L216" s="39">
        <f t="shared" si="117"/>
        <v>0</v>
      </c>
      <c r="M216" s="117">
        <v>46275</v>
      </c>
      <c r="N216" s="117">
        <v>46287</v>
      </c>
      <c r="O216" s="39"/>
      <c r="P216" s="39"/>
      <c r="Q216" s="39"/>
      <c r="R216" s="39">
        <f t="shared" si="113"/>
        <v>0</v>
      </c>
      <c r="S216" s="39" t="s">
        <v>130</v>
      </c>
      <c r="T216" s="39"/>
      <c r="U216" s="39"/>
      <c r="V216" s="39"/>
      <c r="W216" s="39"/>
      <c r="X216" s="39"/>
      <c r="Y216" s="39"/>
      <c r="Z216" s="39"/>
      <c r="AA216" s="39"/>
      <c r="AB216" s="39">
        <f t="shared" si="114"/>
        <v>0</v>
      </c>
      <c r="AC216" s="39"/>
      <c r="AD216" s="39"/>
      <c r="AE216" s="39"/>
      <c r="AF216" s="39"/>
      <c r="AG216" s="39"/>
      <c r="AH216" s="39">
        <f t="shared" si="94"/>
        <v>0</v>
      </c>
      <c r="AI216" s="39"/>
      <c r="AJ216" s="39"/>
      <c r="AK216" s="39"/>
      <c r="AL216" s="39"/>
      <c r="AM216" s="39"/>
      <c r="AN216" s="39">
        <f t="shared" si="110"/>
        <v>0</v>
      </c>
      <c r="AO216" s="39"/>
      <c r="AP216" s="39"/>
      <c r="AQ216" s="39"/>
      <c r="AR216" s="39"/>
      <c r="AS216" s="39"/>
      <c r="AT216" s="39">
        <f t="shared" si="95"/>
        <v>0</v>
      </c>
      <c r="AU216" s="39"/>
      <c r="AV216" s="39"/>
      <c r="AW216" s="39"/>
      <c r="AX216" s="39"/>
      <c r="AY216" s="39"/>
      <c r="AZ216" s="39">
        <f t="shared" si="96"/>
        <v>0</v>
      </c>
      <c r="BA216" s="39"/>
      <c r="BB216" s="39"/>
      <c r="BC216" s="39"/>
      <c r="BD216" s="39"/>
      <c r="BE216" s="39"/>
      <c r="BF216" s="39">
        <f t="shared" si="97"/>
        <v>0</v>
      </c>
      <c r="BG216" s="39"/>
      <c r="BH216" s="39"/>
      <c r="BI216" s="39"/>
      <c r="BJ216" s="39"/>
      <c r="BK216" s="39"/>
      <c r="BL216" s="39">
        <f t="shared" si="98"/>
        <v>0</v>
      </c>
      <c r="BM216" s="54" t="e">
        <f t="shared" si="99"/>
        <v>#DIV/0!</v>
      </c>
      <c r="BN216" s="60">
        <v>46290</v>
      </c>
      <c r="BO216" s="57">
        <v>46308</v>
      </c>
      <c r="BP216" s="36"/>
      <c r="BQ216" s="36"/>
      <c r="BR216" s="39"/>
      <c r="BS216" s="39"/>
      <c r="BT216" s="39"/>
      <c r="BU216" s="39"/>
      <c r="BV216" s="39"/>
      <c r="BW216" s="39"/>
      <c r="BX216" s="39"/>
      <c r="BY216" s="39"/>
      <c r="BZ216" s="39">
        <f t="shared" si="100"/>
        <v>0</v>
      </c>
      <c r="CA216" s="39" t="e">
        <f t="shared" si="101"/>
        <v>#VALUE!</v>
      </c>
      <c r="CB216" s="39">
        <f t="shared" si="102"/>
        <v>0</v>
      </c>
      <c r="CC216" s="39">
        <f t="shared" si="103"/>
        <v>0</v>
      </c>
      <c r="CD216" s="39">
        <f t="shared" si="105"/>
        <v>0</v>
      </c>
      <c r="CE216" s="102" t="e">
        <f t="shared" si="104"/>
        <v>#DIV/0!</v>
      </c>
      <c r="CF216" s="36" t="s">
        <v>292</v>
      </c>
      <c r="CG216" s="39" t="s">
        <v>281</v>
      </c>
      <c r="CH216" s="39"/>
      <c r="CI216" s="25">
        <v>3</v>
      </c>
    </row>
    <row r="217" spans="1:87" ht="24.75" customHeight="1">
      <c r="A217" s="36" t="s">
        <v>50</v>
      </c>
      <c r="B217" s="26" t="s">
        <v>2762</v>
      </c>
      <c r="C217" s="227">
        <v>13244670</v>
      </c>
      <c r="D217" s="36"/>
      <c r="E217" s="39">
        <v>150</v>
      </c>
      <c r="F217" s="39" t="s">
        <v>65</v>
      </c>
      <c r="G217" s="36" t="s">
        <v>47</v>
      </c>
      <c r="H217" s="36" t="s">
        <v>22</v>
      </c>
      <c r="I217" s="39">
        <v>258</v>
      </c>
      <c r="J217" s="39">
        <v>21</v>
      </c>
      <c r="K217" s="39"/>
      <c r="L217" s="39">
        <f t="shared" si="117"/>
        <v>279</v>
      </c>
      <c r="M217" s="117">
        <v>46275</v>
      </c>
      <c r="N217" s="117">
        <v>46281</v>
      </c>
      <c r="O217" s="39"/>
      <c r="P217" s="39"/>
      <c r="Q217" s="39"/>
      <c r="R217" s="39">
        <f t="shared" si="113"/>
        <v>0</v>
      </c>
      <c r="S217" s="39" t="s">
        <v>28</v>
      </c>
      <c r="T217" s="39"/>
      <c r="U217" s="39"/>
      <c r="V217" s="117">
        <v>46280</v>
      </c>
      <c r="W217" s="39">
        <f>289+26</f>
        <v>315</v>
      </c>
      <c r="X217" s="39"/>
      <c r="Y217" s="39"/>
      <c r="Z217" s="39"/>
      <c r="AA217" s="39"/>
      <c r="AB217" s="118">
        <f t="shared" si="114"/>
        <v>0</v>
      </c>
      <c r="AC217" s="39"/>
      <c r="AD217" s="39"/>
      <c r="AE217" s="39"/>
      <c r="AF217" s="39"/>
      <c r="AG217" s="39"/>
      <c r="AH217" s="39">
        <f t="shared" si="94"/>
        <v>0</v>
      </c>
      <c r="AI217" s="39"/>
      <c r="AJ217" s="39"/>
      <c r="AK217" s="39"/>
      <c r="AL217" s="39"/>
      <c r="AM217" s="39"/>
      <c r="AN217" s="39">
        <f t="shared" si="110"/>
        <v>0</v>
      </c>
      <c r="AO217" s="39"/>
      <c r="AP217" s="39"/>
      <c r="AQ217" s="39"/>
      <c r="AR217" s="39"/>
      <c r="AS217" s="39"/>
      <c r="AT217" s="39">
        <f t="shared" si="95"/>
        <v>0</v>
      </c>
      <c r="AU217" s="39"/>
      <c r="AV217" s="39"/>
      <c r="AW217" s="39"/>
      <c r="AX217" s="39"/>
      <c r="AY217" s="39"/>
      <c r="AZ217" s="39">
        <f t="shared" si="96"/>
        <v>0</v>
      </c>
      <c r="BA217" s="39"/>
      <c r="BB217" s="39"/>
      <c r="BC217" s="39"/>
      <c r="BD217" s="39"/>
      <c r="BE217" s="39"/>
      <c r="BF217" s="39">
        <f t="shared" si="97"/>
        <v>0</v>
      </c>
      <c r="BG217" s="39"/>
      <c r="BH217" s="39"/>
      <c r="BI217" s="39"/>
      <c r="BJ217" s="39"/>
      <c r="BK217" s="39"/>
      <c r="BL217" s="39">
        <f t="shared" si="98"/>
        <v>0</v>
      </c>
      <c r="BM217" s="54">
        <f t="shared" ca="1" si="99"/>
        <v>46283</v>
      </c>
      <c r="BN217" s="60">
        <v>46292</v>
      </c>
      <c r="BO217" s="57">
        <v>46309</v>
      </c>
      <c r="BP217" s="36"/>
      <c r="BQ217" s="36"/>
      <c r="BR217" s="39"/>
      <c r="BS217" s="39"/>
      <c r="BT217" s="39"/>
      <c r="BU217" s="39"/>
      <c r="BV217" s="39"/>
      <c r="BW217" s="39"/>
      <c r="BX217" s="39"/>
      <c r="BY217" s="39"/>
      <c r="BZ217" s="39">
        <f t="shared" si="100"/>
        <v>0</v>
      </c>
      <c r="CA217" s="39">
        <f t="shared" si="101"/>
        <v>-258</v>
      </c>
      <c r="CB217" s="39">
        <f t="shared" si="102"/>
        <v>-21</v>
      </c>
      <c r="CC217" s="39">
        <f t="shared" si="103"/>
        <v>0</v>
      </c>
      <c r="CD217" s="39">
        <f t="shared" si="105"/>
        <v>-279</v>
      </c>
      <c r="CE217" s="102">
        <f t="shared" si="104"/>
        <v>-1</v>
      </c>
      <c r="CF217" s="36" t="s">
        <v>292</v>
      </c>
      <c r="CG217" s="39" t="s">
        <v>281</v>
      </c>
      <c r="CH217" s="39"/>
      <c r="CI217" s="25">
        <v>3</v>
      </c>
    </row>
    <row r="218" spans="1:87" ht="24.75" customHeight="1">
      <c r="A218" s="36" t="s">
        <v>50</v>
      </c>
      <c r="B218" s="26" t="s">
        <v>2762</v>
      </c>
      <c r="C218" s="231"/>
      <c r="D218" s="36"/>
      <c r="E218" s="39">
        <v>150</v>
      </c>
      <c r="F218" s="39" t="s">
        <v>65</v>
      </c>
      <c r="G218" s="36" t="s">
        <v>523</v>
      </c>
      <c r="H218" s="36" t="s">
        <v>22</v>
      </c>
      <c r="I218" s="39">
        <v>258</v>
      </c>
      <c r="J218" s="39">
        <v>21</v>
      </c>
      <c r="K218" s="39"/>
      <c r="L218" s="39">
        <f t="shared" si="117"/>
        <v>279</v>
      </c>
      <c r="M218" s="117">
        <v>46275</v>
      </c>
      <c r="N218" s="117">
        <v>46281</v>
      </c>
      <c r="O218" s="39"/>
      <c r="P218" s="39"/>
      <c r="Q218" s="39"/>
      <c r="R218" s="39">
        <f t="shared" si="113"/>
        <v>0</v>
      </c>
      <c r="S218" s="39" t="s">
        <v>28</v>
      </c>
      <c r="T218" s="39"/>
      <c r="U218" s="39"/>
      <c r="V218" s="117">
        <v>46276</v>
      </c>
      <c r="W218" s="39">
        <f>289+25</f>
        <v>314</v>
      </c>
      <c r="X218" s="39"/>
      <c r="Y218" s="39"/>
      <c r="Z218" s="39"/>
      <c r="AA218" s="39"/>
      <c r="AB218" s="118">
        <f t="shared" si="114"/>
        <v>0</v>
      </c>
      <c r="AC218" s="39"/>
      <c r="AD218" s="39"/>
      <c r="AE218" s="39"/>
      <c r="AF218" s="39"/>
      <c r="AG218" s="39"/>
      <c r="AH218" s="39">
        <f t="shared" si="94"/>
        <v>0</v>
      </c>
      <c r="AI218" s="39"/>
      <c r="AJ218" s="39"/>
      <c r="AK218" s="39"/>
      <c r="AL218" s="39"/>
      <c r="AM218" s="39"/>
      <c r="AN218" s="39">
        <f t="shared" si="110"/>
        <v>0</v>
      </c>
      <c r="AO218" s="39"/>
      <c r="AP218" s="39"/>
      <c r="AQ218" s="39"/>
      <c r="AR218" s="39"/>
      <c r="AS218" s="39"/>
      <c r="AT218" s="39">
        <f t="shared" si="95"/>
        <v>0</v>
      </c>
      <c r="AU218" s="39"/>
      <c r="AV218" s="39"/>
      <c r="AW218" s="39"/>
      <c r="AX218" s="39"/>
      <c r="AY218" s="39"/>
      <c r="AZ218" s="39">
        <f t="shared" si="96"/>
        <v>0</v>
      </c>
      <c r="BA218" s="39"/>
      <c r="BB218" s="39"/>
      <c r="BC218" s="39"/>
      <c r="BD218" s="39"/>
      <c r="BE218" s="39"/>
      <c r="BF218" s="39">
        <f t="shared" si="97"/>
        <v>0</v>
      </c>
      <c r="BG218" s="39"/>
      <c r="BH218" s="39"/>
      <c r="BI218" s="39"/>
      <c r="BJ218" s="39"/>
      <c r="BK218" s="39"/>
      <c r="BL218" s="39">
        <f t="shared" si="98"/>
        <v>0</v>
      </c>
      <c r="BM218" s="54">
        <f t="shared" ca="1" si="99"/>
        <v>46283</v>
      </c>
      <c r="BN218" s="60">
        <v>46292</v>
      </c>
      <c r="BO218" s="57">
        <v>46309</v>
      </c>
      <c r="BP218" s="36"/>
      <c r="BQ218" s="36"/>
      <c r="BR218" s="39"/>
      <c r="BS218" s="39"/>
      <c r="BT218" s="39"/>
      <c r="BU218" s="39"/>
      <c r="BV218" s="39"/>
      <c r="BW218" s="39"/>
      <c r="BX218" s="39"/>
      <c r="BY218" s="39"/>
      <c r="BZ218" s="39">
        <f t="shared" si="100"/>
        <v>0</v>
      </c>
      <c r="CA218" s="39">
        <f t="shared" si="101"/>
        <v>-258</v>
      </c>
      <c r="CB218" s="39">
        <f t="shared" si="102"/>
        <v>-21</v>
      </c>
      <c r="CC218" s="39">
        <f t="shared" si="103"/>
        <v>0</v>
      </c>
      <c r="CD218" s="39">
        <f t="shared" si="105"/>
        <v>-279</v>
      </c>
      <c r="CE218" s="102">
        <f t="shared" si="104"/>
        <v>-1</v>
      </c>
      <c r="CF218" s="36" t="s">
        <v>292</v>
      </c>
      <c r="CG218" s="39" t="s">
        <v>281</v>
      </c>
      <c r="CH218" s="39"/>
      <c r="CI218" s="25">
        <v>3</v>
      </c>
    </row>
    <row r="219" spans="1:87" ht="24.75" customHeight="1">
      <c r="A219" s="36" t="s">
        <v>50</v>
      </c>
      <c r="B219" s="26" t="s">
        <v>2762</v>
      </c>
      <c r="C219" s="228"/>
      <c r="D219" s="36"/>
      <c r="E219" s="39">
        <v>150</v>
      </c>
      <c r="F219" s="39" t="s">
        <v>65</v>
      </c>
      <c r="G219" s="36" t="s">
        <v>1838</v>
      </c>
      <c r="H219" s="36" t="s">
        <v>22</v>
      </c>
      <c r="I219" s="39">
        <v>258</v>
      </c>
      <c r="J219" s="39">
        <v>21</v>
      </c>
      <c r="K219" s="39"/>
      <c r="L219" s="39">
        <f t="shared" si="117"/>
        <v>279</v>
      </c>
      <c r="M219" s="117">
        <v>46275</v>
      </c>
      <c r="N219" s="117">
        <v>46281</v>
      </c>
      <c r="O219" s="39"/>
      <c r="P219" s="39"/>
      <c r="Q219" s="39"/>
      <c r="R219" s="39">
        <f t="shared" si="113"/>
        <v>0</v>
      </c>
      <c r="S219" s="39" t="s">
        <v>28</v>
      </c>
      <c r="T219" s="39"/>
      <c r="U219" s="39"/>
      <c r="V219" s="117">
        <v>46276</v>
      </c>
      <c r="W219" s="39">
        <f>289+25</f>
        <v>314</v>
      </c>
      <c r="X219" s="39"/>
      <c r="Y219" s="39"/>
      <c r="Z219" s="39"/>
      <c r="AA219" s="39"/>
      <c r="AB219" s="118">
        <f t="shared" si="114"/>
        <v>0</v>
      </c>
      <c r="AC219" s="39"/>
      <c r="AD219" s="39"/>
      <c r="AE219" s="39"/>
      <c r="AF219" s="39"/>
      <c r="AG219" s="39"/>
      <c r="AH219" s="39">
        <f t="shared" si="94"/>
        <v>0</v>
      </c>
      <c r="AI219" s="39"/>
      <c r="AJ219" s="39"/>
      <c r="AK219" s="39"/>
      <c r="AL219" s="39"/>
      <c r="AM219" s="39"/>
      <c r="AN219" s="39">
        <f t="shared" si="110"/>
        <v>0</v>
      </c>
      <c r="AO219" s="39"/>
      <c r="AP219" s="39"/>
      <c r="AQ219" s="39"/>
      <c r="AR219" s="39"/>
      <c r="AS219" s="39"/>
      <c r="AT219" s="39">
        <f t="shared" si="95"/>
        <v>0</v>
      </c>
      <c r="AU219" s="39"/>
      <c r="AV219" s="39"/>
      <c r="AW219" s="39"/>
      <c r="AX219" s="39"/>
      <c r="AY219" s="39"/>
      <c r="AZ219" s="39">
        <f t="shared" si="96"/>
        <v>0</v>
      </c>
      <c r="BA219" s="39"/>
      <c r="BB219" s="39"/>
      <c r="BC219" s="39"/>
      <c r="BD219" s="39"/>
      <c r="BE219" s="39"/>
      <c r="BF219" s="39">
        <f t="shared" si="97"/>
        <v>0</v>
      </c>
      <c r="BG219" s="39"/>
      <c r="BH219" s="39"/>
      <c r="BI219" s="39"/>
      <c r="BJ219" s="39"/>
      <c r="BK219" s="39"/>
      <c r="BL219" s="39">
        <f t="shared" si="98"/>
        <v>0</v>
      </c>
      <c r="BM219" s="54">
        <f t="shared" ca="1" si="99"/>
        <v>46283</v>
      </c>
      <c r="BN219" s="60">
        <v>46292</v>
      </c>
      <c r="BO219" s="57">
        <v>46309</v>
      </c>
      <c r="BP219" s="36"/>
      <c r="BQ219" s="36"/>
      <c r="BR219" s="39"/>
      <c r="BS219" s="39"/>
      <c r="BT219" s="39"/>
      <c r="BU219" s="39"/>
      <c r="BV219" s="39"/>
      <c r="BW219" s="39"/>
      <c r="BX219" s="39"/>
      <c r="BY219" s="39"/>
      <c r="BZ219" s="39">
        <f t="shared" si="100"/>
        <v>0</v>
      </c>
      <c r="CA219" s="39">
        <f t="shared" si="101"/>
        <v>-258</v>
      </c>
      <c r="CB219" s="39">
        <f t="shared" si="102"/>
        <v>-21</v>
      </c>
      <c r="CC219" s="39">
        <f t="shared" si="103"/>
        <v>0</v>
      </c>
      <c r="CD219" s="39">
        <f t="shared" si="105"/>
        <v>-279</v>
      </c>
      <c r="CE219" s="102">
        <f t="shared" si="104"/>
        <v>-1</v>
      </c>
      <c r="CF219" s="36" t="s">
        <v>292</v>
      </c>
      <c r="CG219" s="39" t="s">
        <v>281</v>
      </c>
      <c r="CH219" s="39"/>
      <c r="CI219" s="25">
        <v>3</v>
      </c>
    </row>
    <row r="220" spans="1:87" ht="24.75" customHeight="1">
      <c r="A220" s="36" t="s">
        <v>50</v>
      </c>
      <c r="B220" s="26">
        <v>48792</v>
      </c>
      <c r="C220" s="227" t="s">
        <v>2770</v>
      </c>
      <c r="D220" s="36"/>
      <c r="E220" s="39">
        <v>180</v>
      </c>
      <c r="F220" s="39" t="s">
        <v>54</v>
      </c>
      <c r="G220" s="36" t="s">
        <v>93</v>
      </c>
      <c r="H220" s="36" t="s">
        <v>22</v>
      </c>
      <c r="I220" s="39">
        <v>86</v>
      </c>
      <c r="J220" s="39">
        <v>25</v>
      </c>
      <c r="K220" s="39"/>
      <c r="L220" s="39">
        <f t="shared" si="117"/>
        <v>111</v>
      </c>
      <c r="M220" s="117">
        <v>46273</v>
      </c>
      <c r="N220" s="117">
        <v>46280</v>
      </c>
      <c r="O220" s="39"/>
      <c r="P220" s="39"/>
      <c r="Q220" s="39"/>
      <c r="R220" s="39">
        <f t="shared" si="113"/>
        <v>0</v>
      </c>
      <c r="S220" s="39" t="s">
        <v>326</v>
      </c>
      <c r="T220" s="39"/>
      <c r="U220" s="39"/>
      <c r="V220" s="117">
        <v>46281</v>
      </c>
      <c r="W220" s="39">
        <f>100+30</f>
        <v>130</v>
      </c>
      <c r="X220" s="39"/>
      <c r="Y220" s="39"/>
      <c r="Z220" s="39"/>
      <c r="AA220" s="39"/>
      <c r="AB220" s="118">
        <f t="shared" si="114"/>
        <v>0</v>
      </c>
      <c r="AC220" s="39"/>
      <c r="AD220" s="39"/>
      <c r="AE220" s="39"/>
      <c r="AF220" s="39"/>
      <c r="AG220" s="39"/>
      <c r="AH220" s="39">
        <f t="shared" si="94"/>
        <v>0</v>
      </c>
      <c r="AI220" s="39"/>
      <c r="AJ220" s="39"/>
      <c r="AK220" s="39"/>
      <c r="AL220" s="39"/>
      <c r="AM220" s="39"/>
      <c r="AN220" s="39">
        <f t="shared" si="110"/>
        <v>0</v>
      </c>
      <c r="AO220" s="39"/>
      <c r="AP220" s="39"/>
      <c r="AQ220" s="39"/>
      <c r="AR220" s="39"/>
      <c r="AS220" s="39"/>
      <c r="AT220" s="39">
        <f t="shared" si="95"/>
        <v>0</v>
      </c>
      <c r="AU220" s="39"/>
      <c r="AV220" s="39"/>
      <c r="AW220" s="39"/>
      <c r="AX220" s="39"/>
      <c r="AY220" s="39"/>
      <c r="AZ220" s="39">
        <f t="shared" si="96"/>
        <v>0</v>
      </c>
      <c r="BA220" s="39"/>
      <c r="BB220" s="39"/>
      <c r="BC220" s="39"/>
      <c r="BD220" s="39"/>
      <c r="BE220" s="39"/>
      <c r="BF220" s="39">
        <f t="shared" si="97"/>
        <v>0</v>
      </c>
      <c r="BG220" s="39"/>
      <c r="BH220" s="39"/>
      <c r="BI220" s="39"/>
      <c r="BJ220" s="39"/>
      <c r="BK220" s="39"/>
      <c r="BL220" s="39">
        <f t="shared" si="98"/>
        <v>0</v>
      </c>
      <c r="BM220" s="54">
        <f t="shared" ca="1" si="99"/>
        <v>46283</v>
      </c>
      <c r="BN220" s="60">
        <v>46289</v>
      </c>
      <c r="BO220" s="57">
        <v>46302</v>
      </c>
      <c r="BP220" s="36"/>
      <c r="BQ220" s="36"/>
      <c r="BR220" s="39"/>
      <c r="BS220" s="39"/>
      <c r="BT220" s="39"/>
      <c r="BU220" s="39"/>
      <c r="BV220" s="39"/>
      <c r="BW220" s="39"/>
      <c r="BX220" s="39"/>
      <c r="BY220" s="39"/>
      <c r="BZ220" s="39">
        <f t="shared" si="100"/>
        <v>0</v>
      </c>
      <c r="CA220" s="39">
        <f t="shared" si="101"/>
        <v>-86</v>
      </c>
      <c r="CB220" s="39">
        <f t="shared" si="102"/>
        <v>-25</v>
      </c>
      <c r="CC220" s="39">
        <f t="shared" si="103"/>
        <v>0</v>
      </c>
      <c r="CD220" s="39">
        <f t="shared" si="105"/>
        <v>-111</v>
      </c>
      <c r="CE220" s="102">
        <f t="shared" si="104"/>
        <v>-1</v>
      </c>
      <c r="CF220" s="36" t="s">
        <v>248</v>
      </c>
      <c r="CG220" s="39" t="s">
        <v>492</v>
      </c>
      <c r="CH220" s="39"/>
      <c r="CI220" s="25">
        <v>3</v>
      </c>
    </row>
    <row r="221" spans="1:87" ht="24.75" customHeight="1">
      <c r="A221" s="36" t="s">
        <v>50</v>
      </c>
      <c r="B221" s="26">
        <v>48792</v>
      </c>
      <c r="C221" s="231"/>
      <c r="D221" s="36"/>
      <c r="E221" s="39">
        <v>180</v>
      </c>
      <c r="F221" s="39" t="s">
        <v>54</v>
      </c>
      <c r="G221" s="36" t="s">
        <v>93</v>
      </c>
      <c r="H221" s="36" t="s">
        <v>22</v>
      </c>
      <c r="I221" s="39">
        <v>112</v>
      </c>
      <c r="J221" s="39">
        <v>33</v>
      </c>
      <c r="K221" s="39"/>
      <c r="L221" s="39">
        <f t="shared" si="117"/>
        <v>145</v>
      </c>
      <c r="M221" s="117">
        <v>46273</v>
      </c>
      <c r="N221" s="117">
        <v>46280</v>
      </c>
      <c r="O221" s="39"/>
      <c r="P221" s="39"/>
      <c r="Q221" s="39"/>
      <c r="R221" s="39">
        <f t="shared" si="113"/>
        <v>0</v>
      </c>
      <c r="S221" s="39" t="s">
        <v>326</v>
      </c>
      <c r="T221" s="39"/>
      <c r="U221" s="39"/>
      <c r="V221" s="117">
        <v>46281</v>
      </c>
      <c r="W221" s="39">
        <f>134+39</f>
        <v>173</v>
      </c>
      <c r="X221" s="39"/>
      <c r="Y221" s="39"/>
      <c r="Z221" s="39"/>
      <c r="AA221" s="39"/>
      <c r="AB221" s="118">
        <f t="shared" si="114"/>
        <v>0</v>
      </c>
      <c r="AC221" s="39"/>
      <c r="AD221" s="39"/>
      <c r="AE221" s="39"/>
      <c r="AF221" s="39"/>
      <c r="AG221" s="39"/>
      <c r="AH221" s="39">
        <f t="shared" si="94"/>
        <v>0</v>
      </c>
      <c r="AI221" s="39"/>
      <c r="AJ221" s="39"/>
      <c r="AK221" s="39"/>
      <c r="AL221" s="39"/>
      <c r="AM221" s="39"/>
      <c r="AN221" s="39">
        <f t="shared" si="110"/>
        <v>0</v>
      </c>
      <c r="AO221" s="39"/>
      <c r="AP221" s="39"/>
      <c r="AQ221" s="39"/>
      <c r="AR221" s="39"/>
      <c r="AS221" s="39"/>
      <c r="AT221" s="39">
        <f t="shared" si="95"/>
        <v>0</v>
      </c>
      <c r="AU221" s="39"/>
      <c r="AV221" s="39"/>
      <c r="AW221" s="39"/>
      <c r="AX221" s="39"/>
      <c r="AY221" s="39"/>
      <c r="AZ221" s="39">
        <f t="shared" si="96"/>
        <v>0</v>
      </c>
      <c r="BA221" s="39"/>
      <c r="BB221" s="39"/>
      <c r="BC221" s="39"/>
      <c r="BD221" s="39"/>
      <c r="BE221" s="39"/>
      <c r="BF221" s="39">
        <f t="shared" si="97"/>
        <v>0</v>
      </c>
      <c r="BG221" s="39"/>
      <c r="BH221" s="39"/>
      <c r="BI221" s="39"/>
      <c r="BJ221" s="39"/>
      <c r="BK221" s="39"/>
      <c r="BL221" s="39">
        <f t="shared" si="98"/>
        <v>0</v>
      </c>
      <c r="BM221" s="54">
        <f t="shared" ca="1" si="99"/>
        <v>46283</v>
      </c>
      <c r="BN221" s="60">
        <v>46289</v>
      </c>
      <c r="BO221" s="57">
        <v>46302</v>
      </c>
      <c r="BP221" s="36"/>
      <c r="BQ221" s="36"/>
      <c r="BR221" s="39"/>
      <c r="BS221" s="39"/>
      <c r="BT221" s="39"/>
      <c r="BU221" s="39"/>
      <c r="BV221" s="39"/>
      <c r="BW221" s="39"/>
      <c r="BX221" s="39"/>
      <c r="BY221" s="39"/>
      <c r="BZ221" s="39">
        <f t="shared" si="100"/>
        <v>0</v>
      </c>
      <c r="CA221" s="39">
        <f t="shared" si="101"/>
        <v>-112</v>
      </c>
      <c r="CB221" s="39">
        <f t="shared" si="102"/>
        <v>-33</v>
      </c>
      <c r="CC221" s="39">
        <f t="shared" si="103"/>
        <v>0</v>
      </c>
      <c r="CD221" s="39">
        <f t="shared" si="105"/>
        <v>-145</v>
      </c>
      <c r="CE221" s="102">
        <f t="shared" si="104"/>
        <v>-1</v>
      </c>
      <c r="CF221" s="36" t="s">
        <v>248</v>
      </c>
      <c r="CG221" s="39" t="s">
        <v>492</v>
      </c>
      <c r="CH221" s="39"/>
      <c r="CI221" s="25">
        <v>3</v>
      </c>
    </row>
    <row r="222" spans="1:87" ht="24.75" customHeight="1">
      <c r="A222" s="36" t="s">
        <v>50</v>
      </c>
      <c r="B222" s="26">
        <v>48792</v>
      </c>
      <c r="C222" s="228"/>
      <c r="D222" s="36"/>
      <c r="E222" s="39"/>
      <c r="F222" s="39"/>
      <c r="G222" s="36" t="s">
        <v>476</v>
      </c>
      <c r="H222" s="36">
        <f>285+12+371+16</f>
        <v>684</v>
      </c>
      <c r="I222" s="39" t="s">
        <v>90</v>
      </c>
      <c r="J222" s="39"/>
      <c r="K222" s="39"/>
      <c r="L222" s="39">
        <f t="shared" ref="L222:L232" si="118">SUM(I222:K222)</f>
        <v>0</v>
      </c>
      <c r="M222" s="117">
        <v>46273</v>
      </c>
      <c r="N222" s="117">
        <v>46280</v>
      </c>
      <c r="O222" s="39"/>
      <c r="P222" s="39"/>
      <c r="Q222" s="39"/>
      <c r="R222" s="39">
        <f t="shared" si="113"/>
        <v>0</v>
      </c>
      <c r="S222" s="39" t="s">
        <v>130</v>
      </c>
      <c r="T222" s="39"/>
      <c r="U222" s="39"/>
      <c r="V222" s="39"/>
      <c r="W222" s="39"/>
      <c r="X222" s="39"/>
      <c r="Y222" s="39"/>
      <c r="Z222" s="39"/>
      <c r="AA222" s="39"/>
      <c r="AB222" s="39">
        <f t="shared" si="114"/>
        <v>0</v>
      </c>
      <c r="AC222" s="39"/>
      <c r="AD222" s="39"/>
      <c r="AE222" s="39"/>
      <c r="AF222" s="39"/>
      <c r="AG222" s="39"/>
      <c r="AH222" s="39">
        <f t="shared" si="94"/>
        <v>0</v>
      </c>
      <c r="AI222" s="39"/>
      <c r="AJ222" s="39"/>
      <c r="AK222" s="39"/>
      <c r="AL222" s="39"/>
      <c r="AM222" s="39"/>
      <c r="AN222" s="39">
        <f t="shared" si="110"/>
        <v>0</v>
      </c>
      <c r="AO222" s="39"/>
      <c r="AP222" s="39"/>
      <c r="AQ222" s="39"/>
      <c r="AR222" s="39"/>
      <c r="AS222" s="39"/>
      <c r="AT222" s="39">
        <f t="shared" si="95"/>
        <v>0</v>
      </c>
      <c r="AU222" s="39"/>
      <c r="AV222" s="39"/>
      <c r="AW222" s="39"/>
      <c r="AX222" s="39"/>
      <c r="AY222" s="39"/>
      <c r="AZ222" s="39">
        <f t="shared" si="96"/>
        <v>0</v>
      </c>
      <c r="BA222" s="39"/>
      <c r="BB222" s="39"/>
      <c r="BC222" s="39"/>
      <c r="BD222" s="39"/>
      <c r="BE222" s="39"/>
      <c r="BF222" s="39">
        <f t="shared" si="97"/>
        <v>0</v>
      </c>
      <c r="BG222" s="39"/>
      <c r="BH222" s="39"/>
      <c r="BI222" s="39"/>
      <c r="BJ222" s="39"/>
      <c r="BK222" s="39"/>
      <c r="BL222" s="39">
        <f t="shared" si="98"/>
        <v>0</v>
      </c>
      <c r="BM222" s="54" t="e">
        <f t="shared" si="99"/>
        <v>#DIV/0!</v>
      </c>
      <c r="BN222" s="60">
        <v>46289</v>
      </c>
      <c r="BO222" s="57">
        <v>46302</v>
      </c>
      <c r="BP222" s="36"/>
      <c r="BQ222" s="36"/>
      <c r="BR222" s="39"/>
      <c r="BS222" s="39"/>
      <c r="BT222" s="39"/>
      <c r="BU222" s="39"/>
      <c r="BV222" s="39"/>
      <c r="BW222" s="39"/>
      <c r="BX222" s="39"/>
      <c r="BY222" s="39"/>
      <c r="BZ222" s="39">
        <f t="shared" si="100"/>
        <v>0</v>
      </c>
      <c r="CA222" s="39" t="e">
        <f t="shared" si="101"/>
        <v>#VALUE!</v>
      </c>
      <c r="CB222" s="39">
        <f t="shared" si="102"/>
        <v>0</v>
      </c>
      <c r="CC222" s="39">
        <f t="shared" si="103"/>
        <v>0</v>
      </c>
      <c r="CD222" s="39">
        <f t="shared" si="105"/>
        <v>0</v>
      </c>
      <c r="CE222" s="102" t="e">
        <f t="shared" si="104"/>
        <v>#DIV/0!</v>
      </c>
      <c r="CF222" s="36" t="s">
        <v>248</v>
      </c>
      <c r="CG222" s="39" t="s">
        <v>492</v>
      </c>
      <c r="CH222" s="39"/>
      <c r="CI222" s="25">
        <v>3</v>
      </c>
    </row>
    <row r="223" spans="1:87" ht="24.75" customHeight="1">
      <c r="A223" s="36" t="s">
        <v>50</v>
      </c>
      <c r="B223" s="26">
        <v>48795</v>
      </c>
      <c r="C223" s="227">
        <v>13265536</v>
      </c>
      <c r="D223" s="36"/>
      <c r="E223" s="39">
        <v>180</v>
      </c>
      <c r="F223" s="39" t="s">
        <v>55</v>
      </c>
      <c r="G223" s="36" t="s">
        <v>47</v>
      </c>
      <c r="H223" s="36" t="s">
        <v>403</v>
      </c>
      <c r="I223" s="39">
        <v>59</v>
      </c>
      <c r="J223" s="39">
        <v>8</v>
      </c>
      <c r="K223" s="39"/>
      <c r="L223" s="39">
        <f t="shared" si="118"/>
        <v>67</v>
      </c>
      <c r="M223" s="117">
        <v>46275</v>
      </c>
      <c r="N223" s="117">
        <v>46280</v>
      </c>
      <c r="O223" s="39"/>
      <c r="P223" s="39"/>
      <c r="Q223" s="39"/>
      <c r="R223" s="39">
        <f t="shared" si="113"/>
        <v>0</v>
      </c>
      <c r="S223" s="39" t="s">
        <v>130</v>
      </c>
      <c r="T223" s="39"/>
      <c r="U223" s="39"/>
      <c r="V223" s="39"/>
      <c r="W223" s="39"/>
      <c r="X223" s="39"/>
      <c r="Y223" s="39"/>
      <c r="Z223" s="39"/>
      <c r="AA223" s="39"/>
      <c r="AB223" s="118">
        <f t="shared" si="114"/>
        <v>0</v>
      </c>
      <c r="AC223" s="39"/>
      <c r="AD223" s="39"/>
      <c r="AE223" s="39"/>
      <c r="AF223" s="39"/>
      <c r="AG223" s="39"/>
      <c r="AH223" s="39">
        <f t="shared" si="94"/>
        <v>0</v>
      </c>
      <c r="AI223" s="39"/>
      <c r="AJ223" s="39"/>
      <c r="AK223" s="39"/>
      <c r="AL223" s="39"/>
      <c r="AM223" s="39"/>
      <c r="AN223" s="39">
        <f t="shared" si="110"/>
        <v>0</v>
      </c>
      <c r="AO223" s="39"/>
      <c r="AP223" s="39"/>
      <c r="AQ223" s="39"/>
      <c r="AR223" s="39"/>
      <c r="AS223" s="39"/>
      <c r="AT223" s="39">
        <f t="shared" si="95"/>
        <v>0</v>
      </c>
      <c r="AU223" s="39"/>
      <c r="AV223" s="39"/>
      <c r="AW223" s="39"/>
      <c r="AX223" s="39"/>
      <c r="AY223" s="39"/>
      <c r="AZ223" s="39">
        <f t="shared" si="96"/>
        <v>0</v>
      </c>
      <c r="BA223" s="39"/>
      <c r="BB223" s="39"/>
      <c r="BC223" s="39"/>
      <c r="BD223" s="39"/>
      <c r="BE223" s="39"/>
      <c r="BF223" s="39">
        <f t="shared" si="97"/>
        <v>0</v>
      </c>
      <c r="BG223" s="39"/>
      <c r="BH223" s="39"/>
      <c r="BI223" s="39"/>
      <c r="BJ223" s="39"/>
      <c r="BK223" s="39"/>
      <c r="BL223" s="39">
        <f t="shared" si="98"/>
        <v>0</v>
      </c>
      <c r="BM223" s="54">
        <f t="shared" ca="1" si="99"/>
        <v>46283</v>
      </c>
      <c r="BN223" s="60">
        <v>46288</v>
      </c>
      <c r="BO223" s="57">
        <v>46300</v>
      </c>
      <c r="BP223" s="36"/>
      <c r="BQ223" s="36"/>
      <c r="BR223" s="39"/>
      <c r="BS223" s="39"/>
      <c r="BT223" s="39"/>
      <c r="BU223" s="39"/>
      <c r="BV223" s="39"/>
      <c r="BW223" s="39"/>
      <c r="BX223" s="39"/>
      <c r="BY223" s="39"/>
      <c r="BZ223" s="39">
        <f t="shared" si="100"/>
        <v>0</v>
      </c>
      <c r="CA223" s="39">
        <f t="shared" si="101"/>
        <v>-59</v>
      </c>
      <c r="CB223" s="39">
        <f t="shared" si="102"/>
        <v>-8</v>
      </c>
      <c r="CC223" s="39">
        <f t="shared" si="103"/>
        <v>0</v>
      </c>
      <c r="CD223" s="39">
        <f t="shared" si="105"/>
        <v>-67</v>
      </c>
      <c r="CE223" s="102">
        <f t="shared" si="104"/>
        <v>-1</v>
      </c>
      <c r="CF223" s="36" t="s">
        <v>248</v>
      </c>
      <c r="CG223" s="39" t="s">
        <v>492</v>
      </c>
      <c r="CH223" s="39"/>
      <c r="CI223" s="25">
        <v>3</v>
      </c>
    </row>
    <row r="224" spans="1:87" ht="24.75" customHeight="1">
      <c r="A224" s="36" t="s">
        <v>50</v>
      </c>
      <c r="B224" s="26">
        <v>48795</v>
      </c>
      <c r="C224" s="228"/>
      <c r="D224" s="36"/>
      <c r="E224" s="39">
        <v>180</v>
      </c>
      <c r="F224" s="39" t="s">
        <v>55</v>
      </c>
      <c r="G224" s="36" t="s">
        <v>637</v>
      </c>
      <c r="H224" s="36" t="s">
        <v>403</v>
      </c>
      <c r="I224" s="39">
        <v>63</v>
      </c>
      <c r="J224" s="39">
        <v>9</v>
      </c>
      <c r="K224" s="39"/>
      <c r="L224" s="39">
        <f t="shared" si="118"/>
        <v>72</v>
      </c>
      <c r="M224" s="117">
        <v>46275</v>
      </c>
      <c r="N224" s="117">
        <v>46280</v>
      </c>
      <c r="O224" s="39"/>
      <c r="P224" s="39"/>
      <c r="Q224" s="39"/>
      <c r="R224" s="39">
        <f t="shared" si="113"/>
        <v>0</v>
      </c>
      <c r="S224" s="39" t="s">
        <v>28</v>
      </c>
      <c r="T224" s="39"/>
      <c r="U224" s="39"/>
      <c r="V224" s="117">
        <v>46279</v>
      </c>
      <c r="W224" s="39">
        <f>82+11</f>
        <v>93</v>
      </c>
      <c r="X224" s="39"/>
      <c r="Y224" s="39"/>
      <c r="Z224" s="39"/>
      <c r="AA224" s="39"/>
      <c r="AB224" s="118">
        <f t="shared" si="114"/>
        <v>0</v>
      </c>
      <c r="AC224" s="39"/>
      <c r="AD224" s="39"/>
      <c r="AE224" s="39"/>
      <c r="AF224" s="39"/>
      <c r="AG224" s="39"/>
      <c r="AH224" s="39">
        <f t="shared" si="94"/>
        <v>0</v>
      </c>
      <c r="AI224" s="39"/>
      <c r="AJ224" s="39"/>
      <c r="AK224" s="39"/>
      <c r="AL224" s="39"/>
      <c r="AM224" s="39"/>
      <c r="AN224" s="39">
        <f t="shared" si="110"/>
        <v>0</v>
      </c>
      <c r="AO224" s="39"/>
      <c r="AP224" s="39"/>
      <c r="AQ224" s="39"/>
      <c r="AR224" s="39"/>
      <c r="AS224" s="39"/>
      <c r="AT224" s="39">
        <f t="shared" si="95"/>
        <v>0</v>
      </c>
      <c r="AU224" s="39"/>
      <c r="AV224" s="39"/>
      <c r="AW224" s="39"/>
      <c r="AX224" s="39"/>
      <c r="AY224" s="39"/>
      <c r="AZ224" s="39">
        <f t="shared" si="96"/>
        <v>0</v>
      </c>
      <c r="BA224" s="39"/>
      <c r="BB224" s="39"/>
      <c r="BC224" s="39"/>
      <c r="BD224" s="39"/>
      <c r="BE224" s="39"/>
      <c r="BF224" s="39">
        <f t="shared" si="97"/>
        <v>0</v>
      </c>
      <c r="BG224" s="39"/>
      <c r="BH224" s="39"/>
      <c r="BI224" s="39"/>
      <c r="BJ224" s="39"/>
      <c r="BK224" s="39"/>
      <c r="BL224" s="39">
        <f t="shared" si="98"/>
        <v>0</v>
      </c>
      <c r="BM224" s="54">
        <f t="shared" ca="1" si="99"/>
        <v>46283</v>
      </c>
      <c r="BN224" s="60">
        <v>46288</v>
      </c>
      <c r="BO224" s="57">
        <v>46300</v>
      </c>
      <c r="BP224" s="36"/>
      <c r="BQ224" s="36"/>
      <c r="BR224" s="39"/>
      <c r="BS224" s="39"/>
      <c r="BT224" s="39"/>
      <c r="BU224" s="39"/>
      <c r="BV224" s="39"/>
      <c r="BW224" s="39"/>
      <c r="BX224" s="39"/>
      <c r="BY224" s="39"/>
      <c r="BZ224" s="39">
        <f t="shared" si="100"/>
        <v>0</v>
      </c>
      <c r="CA224" s="39">
        <f t="shared" si="101"/>
        <v>-63</v>
      </c>
      <c r="CB224" s="39">
        <f t="shared" si="102"/>
        <v>-9</v>
      </c>
      <c r="CC224" s="39">
        <f t="shared" si="103"/>
        <v>0</v>
      </c>
      <c r="CD224" s="39">
        <f t="shared" si="105"/>
        <v>-72</v>
      </c>
      <c r="CE224" s="102">
        <f t="shared" si="104"/>
        <v>-1</v>
      </c>
      <c r="CF224" s="36" t="s">
        <v>248</v>
      </c>
      <c r="CG224" s="39" t="s">
        <v>492</v>
      </c>
      <c r="CH224" s="39"/>
      <c r="CI224" s="25">
        <v>3</v>
      </c>
    </row>
    <row r="225" spans="1:87" ht="24.75" customHeight="1">
      <c r="A225" s="36" t="s">
        <v>50</v>
      </c>
      <c r="B225" s="26">
        <v>48797</v>
      </c>
      <c r="C225" s="227">
        <v>13265547</v>
      </c>
      <c r="D225" s="36"/>
      <c r="E225" s="39">
        <v>240</v>
      </c>
      <c r="F225" s="39" t="s">
        <v>55</v>
      </c>
      <c r="G225" s="36" t="s">
        <v>612</v>
      </c>
      <c r="H225" s="36" t="s">
        <v>402</v>
      </c>
      <c r="I225" s="39">
        <v>84</v>
      </c>
      <c r="J225" s="39">
        <v>34</v>
      </c>
      <c r="K225" s="39"/>
      <c r="L225" s="39">
        <f t="shared" si="118"/>
        <v>118</v>
      </c>
      <c r="M225" s="117">
        <v>46273</v>
      </c>
      <c r="N225" s="117">
        <v>46281</v>
      </c>
      <c r="O225" s="39"/>
      <c r="P225" s="39"/>
      <c r="Q225" s="39"/>
      <c r="R225" s="39">
        <f t="shared" si="113"/>
        <v>0</v>
      </c>
      <c r="S225" s="39" t="s">
        <v>28</v>
      </c>
      <c r="T225" s="39"/>
      <c r="U225" s="39"/>
      <c r="V225" s="117">
        <v>46279</v>
      </c>
      <c r="W225" s="39">
        <f>106+41</f>
        <v>147</v>
      </c>
      <c r="X225" s="39"/>
      <c r="Y225" s="39"/>
      <c r="Z225" s="39"/>
      <c r="AA225" s="39"/>
      <c r="AB225" s="118">
        <f t="shared" si="114"/>
        <v>0</v>
      </c>
      <c r="AC225" s="39"/>
      <c r="AD225" s="39"/>
      <c r="AE225" s="39"/>
      <c r="AF225" s="39"/>
      <c r="AG225" s="39"/>
      <c r="AH225" s="39">
        <f t="shared" si="94"/>
        <v>0</v>
      </c>
      <c r="AI225" s="39"/>
      <c r="AJ225" s="39"/>
      <c r="AK225" s="39"/>
      <c r="AL225" s="39"/>
      <c r="AM225" s="39"/>
      <c r="AN225" s="39">
        <f t="shared" si="110"/>
        <v>0</v>
      </c>
      <c r="AO225" s="39"/>
      <c r="AP225" s="39"/>
      <c r="AQ225" s="39"/>
      <c r="AR225" s="39"/>
      <c r="AS225" s="39"/>
      <c r="AT225" s="39">
        <f t="shared" si="95"/>
        <v>0</v>
      </c>
      <c r="AU225" s="39"/>
      <c r="AV225" s="39"/>
      <c r="AW225" s="39"/>
      <c r="AX225" s="39"/>
      <c r="AY225" s="39"/>
      <c r="AZ225" s="39">
        <f t="shared" si="96"/>
        <v>0</v>
      </c>
      <c r="BA225" s="39"/>
      <c r="BB225" s="39"/>
      <c r="BC225" s="39"/>
      <c r="BD225" s="39"/>
      <c r="BE225" s="39"/>
      <c r="BF225" s="39">
        <f t="shared" si="97"/>
        <v>0</v>
      </c>
      <c r="BG225" s="39"/>
      <c r="BH225" s="39"/>
      <c r="BI225" s="39"/>
      <c r="BJ225" s="39"/>
      <c r="BK225" s="39"/>
      <c r="BL225" s="39">
        <f t="shared" si="98"/>
        <v>0</v>
      </c>
      <c r="BM225" s="54">
        <f t="shared" ca="1" si="99"/>
        <v>46283</v>
      </c>
      <c r="BN225" s="60">
        <v>46287</v>
      </c>
      <c r="BO225" s="57">
        <v>46300</v>
      </c>
      <c r="BP225" s="36"/>
      <c r="BQ225" s="36"/>
      <c r="BR225" s="39"/>
      <c r="BS225" s="39"/>
      <c r="BT225" s="39"/>
      <c r="BU225" s="39"/>
      <c r="BV225" s="39"/>
      <c r="BW225" s="39"/>
      <c r="BX225" s="39"/>
      <c r="BY225" s="39"/>
      <c r="BZ225" s="39">
        <f t="shared" si="100"/>
        <v>0</v>
      </c>
      <c r="CA225" s="39">
        <f t="shared" si="101"/>
        <v>-84</v>
      </c>
      <c r="CB225" s="39">
        <f t="shared" si="102"/>
        <v>-34</v>
      </c>
      <c r="CC225" s="39">
        <f t="shared" si="103"/>
        <v>0</v>
      </c>
      <c r="CD225" s="39">
        <f t="shared" si="105"/>
        <v>-118</v>
      </c>
      <c r="CE225" s="102">
        <f t="shared" si="104"/>
        <v>-1</v>
      </c>
      <c r="CF225" s="36" t="s">
        <v>248</v>
      </c>
      <c r="CG225" s="39" t="s">
        <v>492</v>
      </c>
      <c r="CH225" s="39"/>
      <c r="CI225" s="25">
        <v>3</v>
      </c>
    </row>
    <row r="226" spans="1:87" ht="24.75" customHeight="1">
      <c r="A226" s="36" t="s">
        <v>50</v>
      </c>
      <c r="B226" s="26">
        <v>48797</v>
      </c>
      <c r="C226" s="231"/>
      <c r="D226" s="36"/>
      <c r="E226" s="39">
        <v>240</v>
      </c>
      <c r="F226" s="39" t="s">
        <v>55</v>
      </c>
      <c r="G226" s="36" t="s">
        <v>1600</v>
      </c>
      <c r="H226" s="36" t="s">
        <v>402</v>
      </c>
      <c r="I226" s="39">
        <v>72</v>
      </c>
      <c r="J226" s="39">
        <v>28</v>
      </c>
      <c r="K226" s="39"/>
      <c r="L226" s="39">
        <f t="shared" si="118"/>
        <v>100</v>
      </c>
      <c r="M226" s="117">
        <v>46273</v>
      </c>
      <c r="N226" s="117">
        <v>46281</v>
      </c>
      <c r="O226" s="39"/>
      <c r="P226" s="39"/>
      <c r="Q226" s="39"/>
      <c r="R226" s="39">
        <f t="shared" si="113"/>
        <v>0</v>
      </c>
      <c r="S226" s="39" t="s">
        <v>28</v>
      </c>
      <c r="T226" s="39"/>
      <c r="U226" s="39"/>
      <c r="V226" s="117">
        <v>46279</v>
      </c>
      <c r="W226" s="39">
        <f>92+33</f>
        <v>125</v>
      </c>
      <c r="X226" s="39"/>
      <c r="Y226" s="39"/>
      <c r="Z226" s="39"/>
      <c r="AA226" s="39"/>
      <c r="AB226" s="118">
        <f t="shared" si="114"/>
        <v>0</v>
      </c>
      <c r="AC226" s="39"/>
      <c r="AD226" s="39"/>
      <c r="AE226" s="39"/>
      <c r="AF226" s="39"/>
      <c r="AG226" s="39"/>
      <c r="AH226" s="39">
        <f t="shared" si="94"/>
        <v>0</v>
      </c>
      <c r="AI226" s="39"/>
      <c r="AJ226" s="39"/>
      <c r="AK226" s="39"/>
      <c r="AL226" s="39"/>
      <c r="AM226" s="39"/>
      <c r="AN226" s="39">
        <f t="shared" si="110"/>
        <v>0</v>
      </c>
      <c r="AO226" s="39"/>
      <c r="AP226" s="39"/>
      <c r="AQ226" s="39"/>
      <c r="AR226" s="39"/>
      <c r="AS226" s="39"/>
      <c r="AT226" s="39">
        <f t="shared" si="95"/>
        <v>0</v>
      </c>
      <c r="AU226" s="39"/>
      <c r="AV226" s="39"/>
      <c r="AW226" s="39"/>
      <c r="AX226" s="39"/>
      <c r="AY226" s="39"/>
      <c r="AZ226" s="39">
        <f t="shared" si="96"/>
        <v>0</v>
      </c>
      <c r="BA226" s="39"/>
      <c r="BB226" s="39"/>
      <c r="BC226" s="39"/>
      <c r="BD226" s="39"/>
      <c r="BE226" s="39"/>
      <c r="BF226" s="39">
        <f t="shared" si="97"/>
        <v>0</v>
      </c>
      <c r="BG226" s="39"/>
      <c r="BH226" s="39"/>
      <c r="BI226" s="39"/>
      <c r="BJ226" s="39"/>
      <c r="BK226" s="39"/>
      <c r="BL226" s="39">
        <f t="shared" si="98"/>
        <v>0</v>
      </c>
      <c r="BM226" s="54">
        <f t="shared" ca="1" si="99"/>
        <v>46283</v>
      </c>
      <c r="BN226" s="60">
        <v>46287</v>
      </c>
      <c r="BO226" s="57">
        <v>46300</v>
      </c>
      <c r="BP226" s="36"/>
      <c r="BQ226" s="36"/>
      <c r="BR226" s="39"/>
      <c r="BS226" s="39"/>
      <c r="BT226" s="39"/>
      <c r="BU226" s="39"/>
      <c r="BV226" s="39"/>
      <c r="BW226" s="39"/>
      <c r="BX226" s="39"/>
      <c r="BY226" s="39"/>
      <c r="BZ226" s="39">
        <f t="shared" si="100"/>
        <v>0</v>
      </c>
      <c r="CA226" s="39">
        <f t="shared" si="101"/>
        <v>-72</v>
      </c>
      <c r="CB226" s="39">
        <f t="shared" si="102"/>
        <v>-28</v>
      </c>
      <c r="CC226" s="39">
        <f t="shared" si="103"/>
        <v>0</v>
      </c>
      <c r="CD226" s="39">
        <f t="shared" si="105"/>
        <v>-100</v>
      </c>
      <c r="CE226" s="102">
        <f t="shared" si="104"/>
        <v>-1</v>
      </c>
      <c r="CF226" s="36" t="s">
        <v>248</v>
      </c>
      <c r="CG226" s="39" t="s">
        <v>492</v>
      </c>
      <c r="CH226" s="39"/>
      <c r="CI226" s="25">
        <v>3</v>
      </c>
    </row>
    <row r="227" spans="1:87" ht="24.75" customHeight="1">
      <c r="A227" s="36" t="s">
        <v>50</v>
      </c>
      <c r="B227" s="26">
        <v>48797</v>
      </c>
      <c r="C227" s="231"/>
      <c r="D227" s="36"/>
      <c r="E227" s="39">
        <v>240</v>
      </c>
      <c r="F227" s="39" t="s">
        <v>55</v>
      </c>
      <c r="G227" s="36" t="s">
        <v>391</v>
      </c>
      <c r="H227" s="36" t="s">
        <v>402</v>
      </c>
      <c r="I227" s="39">
        <v>120</v>
      </c>
      <c r="J227" s="39">
        <v>45</v>
      </c>
      <c r="K227" s="39"/>
      <c r="L227" s="39">
        <f t="shared" si="118"/>
        <v>165</v>
      </c>
      <c r="M227" s="117">
        <v>46273</v>
      </c>
      <c r="N227" s="117">
        <v>46281</v>
      </c>
      <c r="O227" s="39"/>
      <c r="P227" s="39"/>
      <c r="Q227" s="39"/>
      <c r="R227" s="39">
        <f t="shared" si="113"/>
        <v>0</v>
      </c>
      <c r="S227" s="39" t="s">
        <v>130</v>
      </c>
      <c r="T227" s="39"/>
      <c r="U227" s="39"/>
      <c r="V227" s="39"/>
      <c r="W227" s="39"/>
      <c r="X227" s="39"/>
      <c r="Y227" s="39"/>
      <c r="Z227" s="39"/>
      <c r="AA227" s="39"/>
      <c r="AB227" s="118">
        <f t="shared" si="114"/>
        <v>0</v>
      </c>
      <c r="AC227" s="39"/>
      <c r="AD227" s="39"/>
      <c r="AE227" s="39"/>
      <c r="AF227" s="39"/>
      <c r="AG227" s="39"/>
      <c r="AH227" s="39">
        <f t="shared" si="94"/>
        <v>0</v>
      </c>
      <c r="AI227" s="39"/>
      <c r="AJ227" s="39"/>
      <c r="AK227" s="39"/>
      <c r="AL227" s="39"/>
      <c r="AM227" s="39"/>
      <c r="AN227" s="39">
        <f t="shared" si="110"/>
        <v>0</v>
      </c>
      <c r="AO227" s="39"/>
      <c r="AP227" s="39"/>
      <c r="AQ227" s="39"/>
      <c r="AR227" s="39"/>
      <c r="AS227" s="39"/>
      <c r="AT227" s="39">
        <f t="shared" si="95"/>
        <v>0</v>
      </c>
      <c r="AU227" s="39"/>
      <c r="AV227" s="39"/>
      <c r="AW227" s="39"/>
      <c r="AX227" s="39"/>
      <c r="AY227" s="39"/>
      <c r="AZ227" s="39">
        <f t="shared" si="96"/>
        <v>0</v>
      </c>
      <c r="BA227" s="39"/>
      <c r="BB227" s="39"/>
      <c r="BC227" s="39"/>
      <c r="BD227" s="39"/>
      <c r="BE227" s="39"/>
      <c r="BF227" s="39">
        <f t="shared" si="97"/>
        <v>0</v>
      </c>
      <c r="BG227" s="39"/>
      <c r="BH227" s="39"/>
      <c r="BI227" s="39"/>
      <c r="BJ227" s="39"/>
      <c r="BK227" s="39"/>
      <c r="BL227" s="39">
        <f t="shared" si="98"/>
        <v>0</v>
      </c>
      <c r="BM227" s="54">
        <f t="shared" ca="1" si="99"/>
        <v>46283</v>
      </c>
      <c r="BN227" s="60">
        <v>46287</v>
      </c>
      <c r="BO227" s="57">
        <v>46300</v>
      </c>
      <c r="BP227" s="36"/>
      <c r="BQ227" s="36"/>
      <c r="BR227" s="39"/>
      <c r="BS227" s="39"/>
      <c r="BT227" s="39"/>
      <c r="BU227" s="39"/>
      <c r="BV227" s="39"/>
      <c r="BW227" s="39"/>
      <c r="BX227" s="39"/>
      <c r="BY227" s="39"/>
      <c r="BZ227" s="39">
        <f t="shared" si="100"/>
        <v>0</v>
      </c>
      <c r="CA227" s="39">
        <f t="shared" si="101"/>
        <v>-120</v>
      </c>
      <c r="CB227" s="39">
        <f t="shared" si="102"/>
        <v>-45</v>
      </c>
      <c r="CC227" s="39">
        <f t="shared" si="103"/>
        <v>0</v>
      </c>
      <c r="CD227" s="39">
        <f t="shared" si="105"/>
        <v>-165</v>
      </c>
      <c r="CE227" s="102">
        <f t="shared" si="104"/>
        <v>-1</v>
      </c>
      <c r="CF227" s="36" t="s">
        <v>248</v>
      </c>
      <c r="CG227" s="39" t="s">
        <v>492</v>
      </c>
      <c r="CH227" s="39"/>
      <c r="CI227" s="25">
        <v>3</v>
      </c>
    </row>
    <row r="228" spans="1:87" ht="24.75" customHeight="1">
      <c r="A228" s="36" t="s">
        <v>50</v>
      </c>
      <c r="B228" s="26">
        <v>48797</v>
      </c>
      <c r="C228" s="228"/>
      <c r="D228" s="36"/>
      <c r="E228" s="39"/>
      <c r="F228" s="39"/>
      <c r="G228" s="36" t="s">
        <v>2771</v>
      </c>
      <c r="H228" s="36">
        <f>600+500+800</f>
        <v>1900</v>
      </c>
      <c r="I228" s="39" t="s">
        <v>90</v>
      </c>
      <c r="J228" s="39"/>
      <c r="K228" s="39"/>
      <c r="L228" s="39">
        <f t="shared" si="118"/>
        <v>0</v>
      </c>
      <c r="M228" s="117">
        <v>46273</v>
      </c>
      <c r="N228" s="117">
        <v>46281</v>
      </c>
      <c r="O228" s="39"/>
      <c r="P228" s="39"/>
      <c r="Q228" s="39"/>
      <c r="R228" s="39">
        <f t="shared" si="113"/>
        <v>0</v>
      </c>
      <c r="S228" s="39" t="s">
        <v>130</v>
      </c>
      <c r="T228" s="39"/>
      <c r="U228" s="39"/>
      <c r="V228" s="39"/>
      <c r="W228" s="39"/>
      <c r="X228" s="39"/>
      <c r="Y228" s="39"/>
      <c r="Z228" s="39"/>
      <c r="AA228" s="39"/>
      <c r="AB228" s="39">
        <f t="shared" si="114"/>
        <v>0</v>
      </c>
      <c r="AC228" s="39"/>
      <c r="AD228" s="39"/>
      <c r="AE228" s="39"/>
      <c r="AF228" s="39"/>
      <c r="AG228" s="39"/>
      <c r="AH228" s="39">
        <f t="shared" si="94"/>
        <v>0</v>
      </c>
      <c r="AI228" s="39"/>
      <c r="AJ228" s="39"/>
      <c r="AK228" s="39"/>
      <c r="AL228" s="39"/>
      <c r="AM228" s="39"/>
      <c r="AN228" s="39">
        <f t="shared" si="110"/>
        <v>0</v>
      </c>
      <c r="AO228" s="39"/>
      <c r="AP228" s="39"/>
      <c r="AQ228" s="39"/>
      <c r="AR228" s="39"/>
      <c r="AS228" s="39"/>
      <c r="AT228" s="39">
        <f t="shared" si="95"/>
        <v>0</v>
      </c>
      <c r="AU228" s="39"/>
      <c r="AV228" s="39"/>
      <c r="AW228" s="39"/>
      <c r="AX228" s="39"/>
      <c r="AY228" s="39"/>
      <c r="AZ228" s="39">
        <f t="shared" si="96"/>
        <v>0</v>
      </c>
      <c r="BA228" s="39"/>
      <c r="BB228" s="39"/>
      <c r="BC228" s="39"/>
      <c r="BD228" s="39"/>
      <c r="BE228" s="39"/>
      <c r="BF228" s="39">
        <f t="shared" si="97"/>
        <v>0</v>
      </c>
      <c r="BG228" s="39"/>
      <c r="BH228" s="39"/>
      <c r="BI228" s="39"/>
      <c r="BJ228" s="39"/>
      <c r="BK228" s="39"/>
      <c r="BL228" s="39">
        <f t="shared" si="98"/>
        <v>0</v>
      </c>
      <c r="BM228" s="54" t="e">
        <f t="shared" si="99"/>
        <v>#DIV/0!</v>
      </c>
      <c r="BN228" s="60">
        <v>46287</v>
      </c>
      <c r="BO228" s="57">
        <v>46300</v>
      </c>
      <c r="BP228" s="36"/>
      <c r="BQ228" s="36"/>
      <c r="BR228" s="39"/>
      <c r="BS228" s="39"/>
      <c r="BT228" s="39"/>
      <c r="BU228" s="39"/>
      <c r="BV228" s="39"/>
      <c r="BW228" s="39"/>
      <c r="BX228" s="39"/>
      <c r="BY228" s="39"/>
      <c r="BZ228" s="39">
        <f t="shared" si="100"/>
        <v>0</v>
      </c>
      <c r="CA228" s="39" t="e">
        <f t="shared" si="101"/>
        <v>#VALUE!</v>
      </c>
      <c r="CB228" s="39">
        <f t="shared" si="102"/>
        <v>0</v>
      </c>
      <c r="CC228" s="39">
        <f t="shared" si="103"/>
        <v>0</v>
      </c>
      <c r="CD228" s="39">
        <f t="shared" si="105"/>
        <v>0</v>
      </c>
      <c r="CE228" s="102" t="e">
        <f t="shared" si="104"/>
        <v>#DIV/0!</v>
      </c>
      <c r="CF228" s="36" t="s">
        <v>248</v>
      </c>
      <c r="CG228" s="39" t="s">
        <v>492</v>
      </c>
      <c r="CH228" s="39"/>
      <c r="CI228" s="25">
        <v>3</v>
      </c>
    </row>
    <row r="229" spans="1:87" ht="24.75" customHeight="1">
      <c r="A229" s="36" t="s">
        <v>50</v>
      </c>
      <c r="B229" s="26">
        <v>48911</v>
      </c>
      <c r="C229" s="227">
        <v>13265473</v>
      </c>
      <c r="D229" s="36"/>
      <c r="E229" s="39">
        <v>180</v>
      </c>
      <c r="F229" s="39" t="s">
        <v>55</v>
      </c>
      <c r="G229" s="36" t="s">
        <v>612</v>
      </c>
      <c r="H229" s="36" t="s">
        <v>2896</v>
      </c>
      <c r="I229" s="39">
        <v>291</v>
      </c>
      <c r="J229" s="39">
        <v>32</v>
      </c>
      <c r="K229" s="39"/>
      <c r="L229" s="39">
        <f t="shared" si="118"/>
        <v>323</v>
      </c>
      <c r="M229" s="117">
        <v>46275</v>
      </c>
      <c r="N229" s="117">
        <v>46281</v>
      </c>
      <c r="O229" s="39"/>
      <c r="P229" s="39"/>
      <c r="Q229" s="39"/>
      <c r="R229" s="39">
        <f t="shared" si="113"/>
        <v>0</v>
      </c>
      <c r="S229" s="39" t="s">
        <v>28</v>
      </c>
      <c r="T229" s="39"/>
      <c r="U229" s="39"/>
      <c r="V229" s="117">
        <v>46279</v>
      </c>
      <c r="W229" s="39">
        <f>336+37</f>
        <v>373</v>
      </c>
      <c r="X229" s="39"/>
      <c r="Y229" s="39"/>
      <c r="Z229" s="39"/>
      <c r="AA229" s="39"/>
      <c r="AB229" s="118">
        <f t="shared" si="114"/>
        <v>0</v>
      </c>
      <c r="AC229" s="39"/>
      <c r="AD229" s="39"/>
      <c r="AE229" s="39"/>
      <c r="AF229" s="39"/>
      <c r="AG229" s="39"/>
      <c r="AH229" s="39">
        <f t="shared" si="94"/>
        <v>0</v>
      </c>
      <c r="AI229" s="39"/>
      <c r="AJ229" s="39"/>
      <c r="AK229" s="39"/>
      <c r="AL229" s="39"/>
      <c r="AM229" s="39"/>
      <c r="AN229" s="39">
        <f t="shared" si="110"/>
        <v>0</v>
      </c>
      <c r="AO229" s="39"/>
      <c r="AP229" s="39"/>
      <c r="AQ229" s="39"/>
      <c r="AR229" s="39"/>
      <c r="AS229" s="39"/>
      <c r="AT229" s="39">
        <f t="shared" si="95"/>
        <v>0</v>
      </c>
      <c r="AU229" s="39"/>
      <c r="AV229" s="39"/>
      <c r="AW229" s="39"/>
      <c r="AX229" s="39"/>
      <c r="AY229" s="39"/>
      <c r="AZ229" s="39">
        <f t="shared" si="96"/>
        <v>0</v>
      </c>
      <c r="BA229" s="39"/>
      <c r="BB229" s="39"/>
      <c r="BC229" s="39"/>
      <c r="BD229" s="39"/>
      <c r="BE229" s="39"/>
      <c r="BF229" s="39">
        <f t="shared" si="97"/>
        <v>0</v>
      </c>
      <c r="BG229" s="39"/>
      <c r="BH229" s="39"/>
      <c r="BI229" s="39"/>
      <c r="BJ229" s="39"/>
      <c r="BK229" s="39"/>
      <c r="BL229" s="39">
        <f t="shared" si="98"/>
        <v>0</v>
      </c>
      <c r="BM229" s="54">
        <f t="shared" ca="1" si="99"/>
        <v>46283</v>
      </c>
      <c r="BN229" s="60">
        <v>46286</v>
      </c>
      <c r="BO229" s="57">
        <v>46298</v>
      </c>
      <c r="BP229" s="36"/>
      <c r="BQ229" s="36"/>
      <c r="BR229" s="39"/>
      <c r="BS229" s="39"/>
      <c r="BT229" s="39"/>
      <c r="BU229" s="39"/>
      <c r="BV229" s="39"/>
      <c r="BW229" s="39"/>
      <c r="BX229" s="39"/>
      <c r="BY229" s="39"/>
      <c r="BZ229" s="39">
        <f t="shared" si="100"/>
        <v>0</v>
      </c>
      <c r="CA229" s="39">
        <f t="shared" si="101"/>
        <v>-291</v>
      </c>
      <c r="CB229" s="39">
        <f t="shared" si="102"/>
        <v>-32</v>
      </c>
      <c r="CC229" s="39">
        <f t="shared" si="103"/>
        <v>0</v>
      </c>
      <c r="CD229" s="39">
        <f t="shared" si="105"/>
        <v>-323</v>
      </c>
      <c r="CE229" s="102">
        <f t="shared" si="104"/>
        <v>-1</v>
      </c>
      <c r="CF229" s="36" t="s">
        <v>293</v>
      </c>
      <c r="CG229" s="39" t="s">
        <v>227</v>
      </c>
      <c r="CH229" s="39"/>
      <c r="CI229" s="25">
        <v>3</v>
      </c>
    </row>
    <row r="230" spans="1:87" ht="24.75" customHeight="1">
      <c r="A230" s="36" t="s">
        <v>50</v>
      </c>
      <c r="B230" s="26">
        <v>48911</v>
      </c>
      <c r="C230" s="231"/>
      <c r="D230" s="36"/>
      <c r="E230" s="39">
        <v>180</v>
      </c>
      <c r="F230" s="39" t="s">
        <v>55</v>
      </c>
      <c r="G230" s="36" t="s">
        <v>1600</v>
      </c>
      <c r="H230" s="36" t="s">
        <v>2896</v>
      </c>
      <c r="I230" s="39">
        <v>100</v>
      </c>
      <c r="J230" s="39">
        <v>10</v>
      </c>
      <c r="K230" s="39"/>
      <c r="L230" s="39">
        <f t="shared" si="118"/>
        <v>110</v>
      </c>
      <c r="M230" s="117">
        <v>46275</v>
      </c>
      <c r="N230" s="117">
        <v>46281</v>
      </c>
      <c r="O230" s="39"/>
      <c r="P230" s="39"/>
      <c r="Q230" s="39"/>
      <c r="R230" s="39">
        <f t="shared" si="113"/>
        <v>0</v>
      </c>
      <c r="S230" s="39" t="s">
        <v>28</v>
      </c>
      <c r="T230" s="39"/>
      <c r="U230" s="39"/>
      <c r="V230" s="117">
        <v>46279</v>
      </c>
      <c r="W230" s="39">
        <f>126+13</f>
        <v>139</v>
      </c>
      <c r="X230" s="39"/>
      <c r="Y230" s="39"/>
      <c r="Z230" s="39"/>
      <c r="AA230" s="39"/>
      <c r="AB230" s="118">
        <f t="shared" si="114"/>
        <v>0</v>
      </c>
      <c r="AC230" s="39"/>
      <c r="AD230" s="39"/>
      <c r="AE230" s="39"/>
      <c r="AF230" s="39"/>
      <c r="AG230" s="39"/>
      <c r="AH230" s="39">
        <f t="shared" si="94"/>
        <v>0</v>
      </c>
      <c r="AI230" s="39"/>
      <c r="AJ230" s="39"/>
      <c r="AK230" s="39"/>
      <c r="AL230" s="39"/>
      <c r="AM230" s="39"/>
      <c r="AN230" s="39">
        <f t="shared" si="110"/>
        <v>0</v>
      </c>
      <c r="AO230" s="39"/>
      <c r="AP230" s="39"/>
      <c r="AQ230" s="39"/>
      <c r="AR230" s="39"/>
      <c r="AS230" s="39"/>
      <c r="AT230" s="39">
        <f t="shared" si="95"/>
        <v>0</v>
      </c>
      <c r="AU230" s="39"/>
      <c r="AV230" s="39"/>
      <c r="AW230" s="39"/>
      <c r="AX230" s="39"/>
      <c r="AY230" s="39"/>
      <c r="AZ230" s="39">
        <f t="shared" si="96"/>
        <v>0</v>
      </c>
      <c r="BA230" s="39"/>
      <c r="BB230" s="39"/>
      <c r="BC230" s="39"/>
      <c r="BD230" s="39"/>
      <c r="BE230" s="39"/>
      <c r="BF230" s="39">
        <f t="shared" si="97"/>
        <v>0</v>
      </c>
      <c r="BG230" s="39"/>
      <c r="BH230" s="39"/>
      <c r="BI230" s="39"/>
      <c r="BJ230" s="39"/>
      <c r="BK230" s="39"/>
      <c r="BL230" s="39">
        <f t="shared" si="98"/>
        <v>0</v>
      </c>
      <c r="BM230" s="54">
        <f t="shared" ca="1" si="99"/>
        <v>46283</v>
      </c>
      <c r="BN230" s="60">
        <v>46286</v>
      </c>
      <c r="BO230" s="57">
        <v>46298</v>
      </c>
      <c r="BP230" s="36"/>
      <c r="BQ230" s="36"/>
      <c r="BR230" s="39"/>
      <c r="BS230" s="39"/>
      <c r="BT230" s="39"/>
      <c r="BU230" s="39"/>
      <c r="BV230" s="39"/>
      <c r="BW230" s="39"/>
      <c r="BX230" s="39"/>
      <c r="BY230" s="39"/>
      <c r="BZ230" s="39">
        <f t="shared" si="100"/>
        <v>0</v>
      </c>
      <c r="CA230" s="39">
        <f t="shared" si="101"/>
        <v>-100</v>
      </c>
      <c r="CB230" s="39">
        <f t="shared" si="102"/>
        <v>-10</v>
      </c>
      <c r="CC230" s="39">
        <f t="shared" si="103"/>
        <v>0</v>
      </c>
      <c r="CD230" s="39">
        <f t="shared" si="105"/>
        <v>-110</v>
      </c>
      <c r="CE230" s="102">
        <f t="shared" si="104"/>
        <v>-1</v>
      </c>
      <c r="CF230" s="36" t="s">
        <v>293</v>
      </c>
      <c r="CG230" s="39" t="s">
        <v>227</v>
      </c>
      <c r="CH230" s="39"/>
      <c r="CI230" s="25">
        <v>3</v>
      </c>
    </row>
    <row r="231" spans="1:87" ht="24.75" customHeight="1">
      <c r="A231" s="36" t="s">
        <v>50</v>
      </c>
      <c r="B231" s="26">
        <v>48911</v>
      </c>
      <c r="C231" s="228"/>
      <c r="D231" s="36"/>
      <c r="E231" s="39">
        <v>180</v>
      </c>
      <c r="F231" s="39" t="s">
        <v>55</v>
      </c>
      <c r="G231" s="36" t="s">
        <v>391</v>
      </c>
      <c r="H231" s="36" t="s">
        <v>2896</v>
      </c>
      <c r="I231" s="39">
        <v>174</v>
      </c>
      <c r="J231" s="39">
        <v>19</v>
      </c>
      <c r="K231" s="39"/>
      <c r="L231" s="39">
        <f t="shared" si="118"/>
        <v>193</v>
      </c>
      <c r="M231" s="117">
        <v>46275</v>
      </c>
      <c r="N231" s="117">
        <v>46281</v>
      </c>
      <c r="O231" s="39"/>
      <c r="P231" s="39"/>
      <c r="Q231" s="39"/>
      <c r="R231" s="39">
        <f t="shared" si="113"/>
        <v>0</v>
      </c>
      <c r="S231" s="39" t="s">
        <v>130</v>
      </c>
      <c r="T231" s="39"/>
      <c r="U231" s="39"/>
      <c r="V231" s="39"/>
      <c r="W231" s="39"/>
      <c r="X231" s="39"/>
      <c r="Y231" s="39"/>
      <c r="Z231" s="39"/>
      <c r="AA231" s="39"/>
      <c r="AB231" s="118">
        <f t="shared" si="114"/>
        <v>0</v>
      </c>
      <c r="AC231" s="39"/>
      <c r="AD231" s="39"/>
      <c r="AE231" s="39"/>
      <c r="AF231" s="39"/>
      <c r="AG231" s="39"/>
      <c r="AH231" s="39">
        <f t="shared" si="94"/>
        <v>0</v>
      </c>
      <c r="AI231" s="39"/>
      <c r="AJ231" s="39"/>
      <c r="AK231" s="39"/>
      <c r="AL231" s="39"/>
      <c r="AM231" s="39"/>
      <c r="AN231" s="39">
        <f t="shared" si="110"/>
        <v>0</v>
      </c>
      <c r="AO231" s="39"/>
      <c r="AP231" s="39"/>
      <c r="AQ231" s="39"/>
      <c r="AR231" s="39"/>
      <c r="AS231" s="39"/>
      <c r="AT231" s="39">
        <f t="shared" si="95"/>
        <v>0</v>
      </c>
      <c r="AU231" s="39"/>
      <c r="AV231" s="39"/>
      <c r="AW231" s="39"/>
      <c r="AX231" s="39"/>
      <c r="AY231" s="39"/>
      <c r="AZ231" s="39">
        <f t="shared" si="96"/>
        <v>0</v>
      </c>
      <c r="BA231" s="39"/>
      <c r="BB231" s="39"/>
      <c r="BC231" s="39"/>
      <c r="BD231" s="39"/>
      <c r="BE231" s="39"/>
      <c r="BF231" s="39">
        <f t="shared" si="97"/>
        <v>0</v>
      </c>
      <c r="BG231" s="39"/>
      <c r="BH231" s="39"/>
      <c r="BI231" s="39"/>
      <c r="BJ231" s="39"/>
      <c r="BK231" s="39"/>
      <c r="BL231" s="39">
        <f t="shared" si="98"/>
        <v>0</v>
      </c>
      <c r="BM231" s="54">
        <f t="shared" ca="1" si="99"/>
        <v>46283</v>
      </c>
      <c r="BN231" s="60">
        <v>46286</v>
      </c>
      <c r="BO231" s="57">
        <v>46298</v>
      </c>
      <c r="BP231" s="36"/>
      <c r="BQ231" s="36"/>
      <c r="BR231" s="39"/>
      <c r="BS231" s="39"/>
      <c r="BT231" s="39"/>
      <c r="BU231" s="39"/>
      <c r="BV231" s="39"/>
      <c r="BW231" s="39"/>
      <c r="BX231" s="39"/>
      <c r="BY231" s="39"/>
      <c r="BZ231" s="39">
        <f t="shared" si="100"/>
        <v>0</v>
      </c>
      <c r="CA231" s="39">
        <f t="shared" si="101"/>
        <v>-174</v>
      </c>
      <c r="CB231" s="39">
        <f t="shared" si="102"/>
        <v>-19</v>
      </c>
      <c r="CC231" s="39">
        <f t="shared" si="103"/>
        <v>0</v>
      </c>
      <c r="CD231" s="39">
        <f t="shared" si="105"/>
        <v>-193</v>
      </c>
      <c r="CE231" s="102">
        <f t="shared" si="104"/>
        <v>-1</v>
      </c>
      <c r="CF231" s="36" t="s">
        <v>293</v>
      </c>
      <c r="CG231" s="39" t="s">
        <v>227</v>
      </c>
      <c r="CH231" s="39"/>
      <c r="CI231" s="25">
        <v>3</v>
      </c>
    </row>
    <row r="232" spans="1:87" ht="24.75" customHeight="1">
      <c r="A232" s="36" t="s">
        <v>50</v>
      </c>
      <c r="B232" s="26">
        <v>48909</v>
      </c>
      <c r="C232" s="227" t="s">
        <v>2897</v>
      </c>
      <c r="D232" s="36" t="s">
        <v>37</v>
      </c>
      <c r="E232" s="39">
        <v>250</v>
      </c>
      <c r="F232" s="39" t="s">
        <v>60</v>
      </c>
      <c r="G232" s="36" t="s">
        <v>2898</v>
      </c>
      <c r="H232" s="36" t="s">
        <v>312</v>
      </c>
      <c r="I232" s="39">
        <v>740</v>
      </c>
      <c r="J232" s="39"/>
      <c r="K232" s="39"/>
      <c r="L232" s="39">
        <f t="shared" si="118"/>
        <v>740</v>
      </c>
      <c r="M232" s="117">
        <v>46280</v>
      </c>
      <c r="N232" s="117">
        <v>46287</v>
      </c>
      <c r="O232" s="39"/>
      <c r="P232" s="39"/>
      <c r="Q232" s="39"/>
      <c r="R232" s="39">
        <f t="shared" si="113"/>
        <v>0</v>
      </c>
      <c r="S232" s="39" t="s">
        <v>31</v>
      </c>
      <c r="T232" s="39"/>
      <c r="U232" s="39"/>
      <c r="V232" s="39"/>
      <c r="W232" s="39"/>
      <c r="X232" s="39"/>
      <c r="Y232" s="39"/>
      <c r="Z232" s="39"/>
      <c r="AA232" s="39"/>
      <c r="AB232" s="118">
        <f t="shared" si="114"/>
        <v>0</v>
      </c>
      <c r="AC232" s="39"/>
      <c r="AD232" s="39"/>
      <c r="AE232" s="39"/>
      <c r="AF232" s="39"/>
      <c r="AG232" s="39"/>
      <c r="AH232" s="39">
        <f t="shared" si="94"/>
        <v>0</v>
      </c>
      <c r="AI232" s="39"/>
      <c r="AJ232" s="39"/>
      <c r="AK232" s="39"/>
      <c r="AL232" s="39"/>
      <c r="AM232" s="39"/>
      <c r="AN232" s="39">
        <f t="shared" si="110"/>
        <v>0</v>
      </c>
      <c r="AO232" s="39"/>
      <c r="AP232" s="39"/>
      <c r="AQ232" s="39"/>
      <c r="AR232" s="39"/>
      <c r="AS232" s="39"/>
      <c r="AT232" s="39">
        <f t="shared" si="95"/>
        <v>0</v>
      </c>
      <c r="AU232" s="39"/>
      <c r="AV232" s="39"/>
      <c r="AW232" s="39"/>
      <c r="AX232" s="39"/>
      <c r="AY232" s="39"/>
      <c r="AZ232" s="39">
        <f t="shared" si="96"/>
        <v>0</v>
      </c>
      <c r="BA232" s="39"/>
      <c r="BB232" s="39"/>
      <c r="BC232" s="39"/>
      <c r="BD232" s="39"/>
      <c r="BE232" s="39"/>
      <c r="BF232" s="39">
        <f t="shared" si="97"/>
        <v>0</v>
      </c>
      <c r="BG232" s="39"/>
      <c r="BH232" s="39"/>
      <c r="BI232" s="39"/>
      <c r="BJ232" s="39"/>
      <c r="BK232" s="39"/>
      <c r="BL232" s="39">
        <f t="shared" si="98"/>
        <v>0</v>
      </c>
      <c r="BM232" s="54">
        <f t="shared" ca="1" si="99"/>
        <v>46283</v>
      </c>
      <c r="BN232" s="60">
        <v>46291</v>
      </c>
      <c r="BO232" s="57">
        <v>46307</v>
      </c>
      <c r="BP232" s="57">
        <v>46308</v>
      </c>
      <c r="BQ232" s="57">
        <v>46315</v>
      </c>
      <c r="BR232" s="39"/>
      <c r="BS232" s="39"/>
      <c r="BT232" s="39"/>
      <c r="BU232" s="39"/>
      <c r="BV232" s="39"/>
      <c r="BW232" s="39"/>
      <c r="BX232" s="39"/>
      <c r="BY232" s="39"/>
      <c r="BZ232" s="39">
        <f t="shared" si="100"/>
        <v>0</v>
      </c>
      <c r="CA232" s="39">
        <f t="shared" si="101"/>
        <v>-740</v>
      </c>
      <c r="CB232" s="39">
        <f t="shared" si="102"/>
        <v>0</v>
      </c>
      <c r="CC232" s="39">
        <f t="shared" si="103"/>
        <v>0</v>
      </c>
      <c r="CD232" s="39">
        <f t="shared" si="105"/>
        <v>-740</v>
      </c>
      <c r="CE232" s="102">
        <f t="shared" si="104"/>
        <v>-1</v>
      </c>
      <c r="CF232" s="36" t="s">
        <v>293</v>
      </c>
      <c r="CG232" s="39" t="s">
        <v>227</v>
      </c>
      <c r="CH232" s="39"/>
      <c r="CI232" s="25">
        <v>3</v>
      </c>
    </row>
    <row r="233" spans="1:87" ht="24.75" customHeight="1">
      <c r="A233" s="36" t="s">
        <v>50</v>
      </c>
      <c r="B233" s="26">
        <v>48909</v>
      </c>
      <c r="C233" s="231"/>
      <c r="D233" s="36"/>
      <c r="E233" s="39">
        <v>180</v>
      </c>
      <c r="F233" s="39" t="s">
        <v>58</v>
      </c>
      <c r="G233" s="36" t="s">
        <v>1079</v>
      </c>
      <c r="H233" s="36" t="s">
        <v>87</v>
      </c>
      <c r="I233" s="39">
        <v>21</v>
      </c>
      <c r="J233" s="39">
        <v>64</v>
      </c>
      <c r="K233" s="39"/>
      <c r="L233" s="39">
        <f t="shared" ref="L233:L238" si="119">SUM(I233:K233)</f>
        <v>85</v>
      </c>
      <c r="M233" s="117">
        <v>46280</v>
      </c>
      <c r="N233" s="117">
        <v>46287</v>
      </c>
      <c r="O233" s="39"/>
      <c r="P233" s="39"/>
      <c r="Q233" s="39"/>
      <c r="R233" s="39">
        <f t="shared" si="113"/>
        <v>0</v>
      </c>
      <c r="S233" s="39" t="s">
        <v>130</v>
      </c>
      <c r="T233" s="39"/>
      <c r="U233" s="39"/>
      <c r="V233" s="39"/>
      <c r="W233" s="39"/>
      <c r="X233" s="39"/>
      <c r="Y233" s="39"/>
      <c r="Z233" s="39"/>
      <c r="AA233" s="39"/>
      <c r="AB233" s="118">
        <f t="shared" si="114"/>
        <v>0</v>
      </c>
      <c r="AC233" s="39"/>
      <c r="AD233" s="39"/>
      <c r="AE233" s="39"/>
      <c r="AF233" s="39"/>
      <c r="AG233" s="39"/>
      <c r="AH233" s="39">
        <f t="shared" si="94"/>
        <v>0</v>
      </c>
      <c r="AI233" s="39"/>
      <c r="AJ233" s="39"/>
      <c r="AK233" s="39"/>
      <c r="AL233" s="39"/>
      <c r="AM233" s="39"/>
      <c r="AN233" s="39">
        <f t="shared" si="110"/>
        <v>0</v>
      </c>
      <c r="AO233" s="39"/>
      <c r="AP233" s="39"/>
      <c r="AQ233" s="39"/>
      <c r="AR233" s="39"/>
      <c r="AS233" s="39"/>
      <c r="AT233" s="39">
        <f t="shared" si="95"/>
        <v>0</v>
      </c>
      <c r="AU233" s="39"/>
      <c r="AV233" s="39"/>
      <c r="AW233" s="39"/>
      <c r="AX233" s="39"/>
      <c r="AY233" s="39"/>
      <c r="AZ233" s="39">
        <f t="shared" si="96"/>
        <v>0</v>
      </c>
      <c r="BA233" s="39"/>
      <c r="BB233" s="39"/>
      <c r="BC233" s="39"/>
      <c r="BD233" s="39"/>
      <c r="BE233" s="39"/>
      <c r="BF233" s="39">
        <f t="shared" si="97"/>
        <v>0</v>
      </c>
      <c r="BG233" s="39"/>
      <c r="BH233" s="39"/>
      <c r="BI233" s="39"/>
      <c r="BJ233" s="39"/>
      <c r="BK233" s="39"/>
      <c r="BL233" s="39">
        <f t="shared" si="98"/>
        <v>0</v>
      </c>
      <c r="BM233" s="54">
        <f t="shared" ca="1" si="99"/>
        <v>46283</v>
      </c>
      <c r="BN233" s="60">
        <v>46291</v>
      </c>
      <c r="BO233" s="57">
        <v>46307</v>
      </c>
      <c r="BP233" s="57">
        <v>46308</v>
      </c>
      <c r="BQ233" s="57">
        <v>46315</v>
      </c>
      <c r="BR233" s="39"/>
      <c r="BS233" s="39"/>
      <c r="BT233" s="39"/>
      <c r="BU233" s="39"/>
      <c r="BV233" s="39"/>
      <c r="BW233" s="39"/>
      <c r="BX233" s="39"/>
      <c r="BY233" s="39"/>
      <c r="BZ233" s="39">
        <f t="shared" si="100"/>
        <v>0</v>
      </c>
      <c r="CA233" s="39">
        <f t="shared" si="101"/>
        <v>-21</v>
      </c>
      <c r="CB233" s="39">
        <f t="shared" si="102"/>
        <v>-64</v>
      </c>
      <c r="CC233" s="39">
        <f t="shared" si="103"/>
        <v>0</v>
      </c>
      <c r="CD233" s="39">
        <f t="shared" si="105"/>
        <v>-85</v>
      </c>
      <c r="CE233" s="102">
        <f t="shared" si="104"/>
        <v>-1</v>
      </c>
      <c r="CF233" s="36" t="s">
        <v>293</v>
      </c>
      <c r="CG233" s="39" t="s">
        <v>227</v>
      </c>
      <c r="CH233" s="39"/>
      <c r="CI233" s="25">
        <v>3</v>
      </c>
    </row>
    <row r="234" spans="1:87" ht="24.75" customHeight="1">
      <c r="A234" s="36" t="s">
        <v>50</v>
      </c>
      <c r="B234" s="26">
        <v>48909</v>
      </c>
      <c r="C234" s="231"/>
      <c r="D234" s="36" t="s">
        <v>37</v>
      </c>
      <c r="E234" s="39">
        <v>250</v>
      </c>
      <c r="F234" s="39" t="s">
        <v>60</v>
      </c>
      <c r="G234" s="36" t="s">
        <v>2899</v>
      </c>
      <c r="H234" s="36" t="s">
        <v>312</v>
      </c>
      <c r="I234" s="39">
        <v>183</v>
      </c>
      <c r="J234" s="39"/>
      <c r="K234" s="39"/>
      <c r="L234" s="39">
        <f t="shared" si="119"/>
        <v>183</v>
      </c>
      <c r="M234" s="117">
        <v>46280</v>
      </c>
      <c r="N234" s="117">
        <v>46287</v>
      </c>
      <c r="O234" s="39"/>
      <c r="P234" s="39"/>
      <c r="Q234" s="39"/>
      <c r="R234" s="39">
        <f t="shared" si="113"/>
        <v>0</v>
      </c>
      <c r="S234" s="39" t="s">
        <v>31</v>
      </c>
      <c r="T234" s="39"/>
      <c r="U234" s="39"/>
      <c r="V234" s="39"/>
      <c r="W234" s="39"/>
      <c r="X234" s="39"/>
      <c r="Y234" s="39"/>
      <c r="Z234" s="39"/>
      <c r="AA234" s="39"/>
      <c r="AB234" s="118">
        <f t="shared" si="114"/>
        <v>0</v>
      </c>
      <c r="AC234" s="39"/>
      <c r="AD234" s="39"/>
      <c r="AE234" s="39"/>
      <c r="AF234" s="39"/>
      <c r="AG234" s="39"/>
      <c r="AH234" s="39">
        <f t="shared" si="94"/>
        <v>0</v>
      </c>
      <c r="AI234" s="39"/>
      <c r="AJ234" s="39"/>
      <c r="AK234" s="39"/>
      <c r="AL234" s="39"/>
      <c r="AM234" s="39"/>
      <c r="AN234" s="39">
        <f t="shared" si="110"/>
        <v>0</v>
      </c>
      <c r="AO234" s="39"/>
      <c r="AP234" s="39"/>
      <c r="AQ234" s="39"/>
      <c r="AR234" s="39"/>
      <c r="AS234" s="39"/>
      <c r="AT234" s="39">
        <f t="shared" si="95"/>
        <v>0</v>
      </c>
      <c r="AU234" s="39"/>
      <c r="AV234" s="39"/>
      <c r="AW234" s="39"/>
      <c r="AX234" s="39"/>
      <c r="AY234" s="39"/>
      <c r="AZ234" s="39">
        <f t="shared" si="96"/>
        <v>0</v>
      </c>
      <c r="BA234" s="39"/>
      <c r="BB234" s="39"/>
      <c r="BC234" s="39"/>
      <c r="BD234" s="39"/>
      <c r="BE234" s="39"/>
      <c r="BF234" s="39">
        <f t="shared" si="97"/>
        <v>0</v>
      </c>
      <c r="BG234" s="39"/>
      <c r="BH234" s="39"/>
      <c r="BI234" s="39"/>
      <c r="BJ234" s="39"/>
      <c r="BK234" s="39"/>
      <c r="BL234" s="39">
        <f t="shared" si="98"/>
        <v>0</v>
      </c>
      <c r="BM234" s="54">
        <f t="shared" ca="1" si="99"/>
        <v>46283</v>
      </c>
      <c r="BN234" s="60">
        <v>46291</v>
      </c>
      <c r="BO234" s="57">
        <v>46307</v>
      </c>
      <c r="BP234" s="57">
        <v>46308</v>
      </c>
      <c r="BQ234" s="57">
        <v>46315</v>
      </c>
      <c r="BR234" s="39"/>
      <c r="BS234" s="39"/>
      <c r="BT234" s="39"/>
      <c r="BU234" s="39"/>
      <c r="BV234" s="39"/>
      <c r="BW234" s="39"/>
      <c r="BX234" s="39"/>
      <c r="BY234" s="39"/>
      <c r="BZ234" s="39">
        <f t="shared" si="100"/>
        <v>0</v>
      </c>
      <c r="CA234" s="39">
        <f t="shared" si="101"/>
        <v>-183</v>
      </c>
      <c r="CB234" s="39">
        <f t="shared" si="102"/>
        <v>0</v>
      </c>
      <c r="CC234" s="39">
        <f t="shared" si="103"/>
        <v>0</v>
      </c>
      <c r="CD234" s="39">
        <f t="shared" si="105"/>
        <v>-183</v>
      </c>
      <c r="CE234" s="102">
        <f t="shared" si="104"/>
        <v>-1</v>
      </c>
      <c r="CF234" s="36" t="s">
        <v>293</v>
      </c>
      <c r="CG234" s="39" t="s">
        <v>227</v>
      </c>
      <c r="CH234" s="39"/>
      <c r="CI234" s="25">
        <v>3</v>
      </c>
    </row>
    <row r="235" spans="1:87" ht="24.75" customHeight="1">
      <c r="A235" s="36" t="s">
        <v>50</v>
      </c>
      <c r="B235" s="26">
        <v>48909</v>
      </c>
      <c r="C235" s="228"/>
      <c r="D235" s="36"/>
      <c r="E235" s="39">
        <v>180</v>
      </c>
      <c r="F235" s="39" t="s">
        <v>58</v>
      </c>
      <c r="G235" s="36" t="s">
        <v>391</v>
      </c>
      <c r="H235" s="36" t="s">
        <v>87</v>
      </c>
      <c r="I235" s="39">
        <v>5</v>
      </c>
      <c r="J235" s="39">
        <v>16</v>
      </c>
      <c r="K235" s="39"/>
      <c r="L235" s="39">
        <f t="shared" si="119"/>
        <v>21</v>
      </c>
      <c r="M235" s="117">
        <v>46280</v>
      </c>
      <c r="N235" s="117">
        <v>46287</v>
      </c>
      <c r="O235" s="39"/>
      <c r="P235" s="39"/>
      <c r="Q235" s="39"/>
      <c r="R235" s="39">
        <f t="shared" si="113"/>
        <v>0</v>
      </c>
      <c r="S235" s="39" t="s">
        <v>130</v>
      </c>
      <c r="T235" s="39"/>
      <c r="U235" s="39"/>
      <c r="V235" s="39"/>
      <c r="W235" s="39"/>
      <c r="X235" s="39"/>
      <c r="Y235" s="39"/>
      <c r="Z235" s="39"/>
      <c r="AA235" s="39"/>
      <c r="AB235" s="118">
        <f t="shared" si="114"/>
        <v>0</v>
      </c>
      <c r="AC235" s="39"/>
      <c r="AD235" s="39"/>
      <c r="AE235" s="39"/>
      <c r="AF235" s="39"/>
      <c r="AG235" s="39"/>
      <c r="AH235" s="39">
        <f t="shared" si="94"/>
        <v>0</v>
      </c>
      <c r="AI235" s="39"/>
      <c r="AJ235" s="39"/>
      <c r="AK235" s="39"/>
      <c r="AL235" s="39"/>
      <c r="AM235" s="39"/>
      <c r="AN235" s="39">
        <f t="shared" si="110"/>
        <v>0</v>
      </c>
      <c r="AO235" s="39"/>
      <c r="AP235" s="39"/>
      <c r="AQ235" s="39"/>
      <c r="AR235" s="39"/>
      <c r="AS235" s="39"/>
      <c r="AT235" s="39">
        <f t="shared" si="95"/>
        <v>0</v>
      </c>
      <c r="AU235" s="39"/>
      <c r="AV235" s="39"/>
      <c r="AW235" s="39"/>
      <c r="AX235" s="39"/>
      <c r="AY235" s="39"/>
      <c r="AZ235" s="39">
        <f t="shared" si="96"/>
        <v>0</v>
      </c>
      <c r="BA235" s="39"/>
      <c r="BB235" s="39"/>
      <c r="BC235" s="39"/>
      <c r="BD235" s="39"/>
      <c r="BE235" s="39"/>
      <c r="BF235" s="39">
        <f t="shared" si="97"/>
        <v>0</v>
      </c>
      <c r="BG235" s="39"/>
      <c r="BH235" s="39"/>
      <c r="BI235" s="39"/>
      <c r="BJ235" s="39"/>
      <c r="BK235" s="39"/>
      <c r="BL235" s="39">
        <f t="shared" si="98"/>
        <v>0</v>
      </c>
      <c r="BM235" s="54">
        <f t="shared" ca="1" si="99"/>
        <v>46283</v>
      </c>
      <c r="BN235" s="60">
        <v>46291</v>
      </c>
      <c r="BO235" s="57">
        <v>46307</v>
      </c>
      <c r="BP235" s="57">
        <v>46308</v>
      </c>
      <c r="BQ235" s="57">
        <v>46315</v>
      </c>
      <c r="BR235" s="39"/>
      <c r="BS235" s="39"/>
      <c r="BT235" s="39"/>
      <c r="BU235" s="39"/>
      <c r="BV235" s="39"/>
      <c r="BW235" s="39"/>
      <c r="BX235" s="39"/>
      <c r="BY235" s="39"/>
      <c r="BZ235" s="39">
        <f t="shared" si="100"/>
        <v>0</v>
      </c>
      <c r="CA235" s="39">
        <f t="shared" si="101"/>
        <v>-5</v>
      </c>
      <c r="CB235" s="39">
        <f t="shared" si="102"/>
        <v>-16</v>
      </c>
      <c r="CC235" s="39">
        <f t="shared" si="103"/>
        <v>0</v>
      </c>
      <c r="CD235" s="39">
        <f t="shared" si="105"/>
        <v>-21</v>
      </c>
      <c r="CE235" s="102">
        <f t="shared" si="104"/>
        <v>-1</v>
      </c>
      <c r="CF235" s="36" t="s">
        <v>293</v>
      </c>
      <c r="CG235" s="39" t="s">
        <v>227</v>
      </c>
      <c r="CH235" s="39"/>
      <c r="CI235" s="25">
        <v>3</v>
      </c>
    </row>
    <row r="236" spans="1:87" ht="24.75" customHeight="1">
      <c r="A236" s="36" t="s">
        <v>50</v>
      </c>
      <c r="B236" s="161">
        <v>48979</v>
      </c>
      <c r="C236" s="227">
        <v>13260940</v>
      </c>
      <c r="D236" s="36"/>
      <c r="E236" s="39">
        <v>200</v>
      </c>
      <c r="F236" s="39" t="s">
        <v>56</v>
      </c>
      <c r="G236" s="36" t="s">
        <v>513</v>
      </c>
      <c r="H236" s="36" t="s">
        <v>217</v>
      </c>
      <c r="I236" s="39">
        <v>163</v>
      </c>
      <c r="J236" s="39"/>
      <c r="K236" s="39"/>
      <c r="L236" s="39">
        <f t="shared" si="119"/>
        <v>163</v>
      </c>
      <c r="M236" s="117">
        <v>46281</v>
      </c>
      <c r="N236" s="117">
        <v>46289</v>
      </c>
      <c r="O236" s="39"/>
      <c r="P236" s="39"/>
      <c r="Q236" s="39"/>
      <c r="R236" s="39">
        <f t="shared" si="113"/>
        <v>0</v>
      </c>
      <c r="S236" s="39" t="s">
        <v>130</v>
      </c>
      <c r="T236" s="39"/>
      <c r="U236" s="39"/>
      <c r="V236" s="39"/>
      <c r="W236" s="39"/>
      <c r="X236" s="39"/>
      <c r="Y236" s="39"/>
      <c r="Z236" s="39"/>
      <c r="AA236" s="39"/>
      <c r="AB236" s="118">
        <f t="shared" si="114"/>
        <v>0</v>
      </c>
      <c r="AC236" s="39"/>
      <c r="AD236" s="39"/>
      <c r="AE236" s="39"/>
      <c r="AF236" s="39"/>
      <c r="AG236" s="39"/>
      <c r="AH236" s="39">
        <f t="shared" si="94"/>
        <v>0</v>
      </c>
      <c r="AI236" s="39"/>
      <c r="AJ236" s="39"/>
      <c r="AK236" s="39"/>
      <c r="AL236" s="39"/>
      <c r="AM236" s="39"/>
      <c r="AN236" s="39">
        <f t="shared" si="110"/>
        <v>0</v>
      </c>
      <c r="AO236" s="39"/>
      <c r="AP236" s="39"/>
      <c r="AQ236" s="39"/>
      <c r="AR236" s="39"/>
      <c r="AS236" s="39"/>
      <c r="AT236" s="39">
        <f t="shared" si="95"/>
        <v>0</v>
      </c>
      <c r="AU236" s="39"/>
      <c r="AV236" s="39"/>
      <c r="AW236" s="39"/>
      <c r="AX236" s="39"/>
      <c r="AY236" s="39"/>
      <c r="AZ236" s="39">
        <f t="shared" si="96"/>
        <v>0</v>
      </c>
      <c r="BA236" s="39"/>
      <c r="BB236" s="39"/>
      <c r="BC236" s="39"/>
      <c r="BD236" s="39"/>
      <c r="BE236" s="39"/>
      <c r="BF236" s="39">
        <f t="shared" si="97"/>
        <v>0</v>
      </c>
      <c r="BG236" s="39"/>
      <c r="BH236" s="39"/>
      <c r="BI236" s="39"/>
      <c r="BJ236" s="39"/>
      <c r="BK236" s="39"/>
      <c r="BL236" s="39">
        <f t="shared" si="98"/>
        <v>0</v>
      </c>
      <c r="BM236" s="54">
        <f t="shared" ca="1" si="99"/>
        <v>46283</v>
      </c>
      <c r="BN236" s="60">
        <v>46293</v>
      </c>
      <c r="BO236" s="57">
        <v>46301</v>
      </c>
      <c r="BP236" s="36"/>
      <c r="BQ236" s="36"/>
      <c r="BR236" s="39"/>
      <c r="BS236" s="39"/>
      <c r="BT236" s="39"/>
      <c r="BU236" s="39"/>
      <c r="BV236" s="39"/>
      <c r="BW236" s="39"/>
      <c r="BX236" s="39"/>
      <c r="BY236" s="39"/>
      <c r="BZ236" s="39">
        <f t="shared" si="100"/>
        <v>0</v>
      </c>
      <c r="CA236" s="39">
        <f t="shared" si="101"/>
        <v>-163</v>
      </c>
      <c r="CB236" s="39">
        <f t="shared" si="102"/>
        <v>0</v>
      </c>
      <c r="CC236" s="39">
        <f t="shared" si="103"/>
        <v>0</v>
      </c>
      <c r="CD236" s="39">
        <f t="shared" si="105"/>
        <v>-163</v>
      </c>
      <c r="CE236" s="102">
        <f t="shared" si="104"/>
        <v>-1</v>
      </c>
      <c r="CF236" s="36"/>
      <c r="CG236" s="39" t="s">
        <v>281</v>
      </c>
      <c r="CH236" s="39"/>
      <c r="CI236" s="25">
        <v>3</v>
      </c>
    </row>
    <row r="237" spans="1:87" ht="24.75" customHeight="1">
      <c r="A237" s="36" t="s">
        <v>50</v>
      </c>
      <c r="B237" s="161">
        <v>48979</v>
      </c>
      <c r="C237" s="231"/>
      <c r="D237" s="36"/>
      <c r="E237" s="39">
        <v>200</v>
      </c>
      <c r="F237" s="39" t="s">
        <v>56</v>
      </c>
      <c r="G237" s="36" t="s">
        <v>368</v>
      </c>
      <c r="H237" s="36" t="s">
        <v>217</v>
      </c>
      <c r="I237" s="39">
        <v>304</v>
      </c>
      <c r="J237" s="39"/>
      <c r="K237" s="39"/>
      <c r="L237" s="39">
        <f t="shared" si="119"/>
        <v>304</v>
      </c>
      <c r="M237" s="117">
        <v>46281</v>
      </c>
      <c r="N237" s="117">
        <v>46289</v>
      </c>
      <c r="O237" s="39"/>
      <c r="P237" s="39"/>
      <c r="Q237" s="39"/>
      <c r="R237" s="39">
        <f t="shared" ref="R237:R238" si="120">SUM(O237:Q237)</f>
        <v>0</v>
      </c>
      <c r="S237" s="39" t="s">
        <v>130</v>
      </c>
      <c r="T237" s="39"/>
      <c r="U237" s="39"/>
      <c r="V237" s="39"/>
      <c r="W237" s="39"/>
      <c r="X237" s="39"/>
      <c r="Y237" s="39"/>
      <c r="Z237" s="39"/>
      <c r="AA237" s="39"/>
      <c r="AB237" s="118">
        <f t="shared" si="114"/>
        <v>0</v>
      </c>
      <c r="AC237" s="39"/>
      <c r="AD237" s="39"/>
      <c r="AE237" s="39"/>
      <c r="AF237" s="39"/>
      <c r="AG237" s="39"/>
      <c r="AH237" s="39">
        <f t="shared" si="94"/>
        <v>0</v>
      </c>
      <c r="AI237" s="39"/>
      <c r="AJ237" s="39"/>
      <c r="AK237" s="39"/>
      <c r="AL237" s="39"/>
      <c r="AM237" s="39"/>
      <c r="AN237" s="39">
        <f t="shared" si="110"/>
        <v>0</v>
      </c>
      <c r="AO237" s="39"/>
      <c r="AP237" s="39"/>
      <c r="AQ237" s="39"/>
      <c r="AR237" s="39"/>
      <c r="AS237" s="39"/>
      <c r="AT237" s="39">
        <f t="shared" si="95"/>
        <v>0</v>
      </c>
      <c r="AU237" s="39"/>
      <c r="AV237" s="39"/>
      <c r="AW237" s="39"/>
      <c r="AX237" s="39"/>
      <c r="AY237" s="39"/>
      <c r="AZ237" s="39">
        <f t="shared" si="96"/>
        <v>0</v>
      </c>
      <c r="BA237" s="39"/>
      <c r="BB237" s="39"/>
      <c r="BC237" s="39"/>
      <c r="BD237" s="39"/>
      <c r="BE237" s="39"/>
      <c r="BF237" s="39">
        <f t="shared" si="97"/>
        <v>0</v>
      </c>
      <c r="BG237" s="39"/>
      <c r="BH237" s="39"/>
      <c r="BI237" s="39"/>
      <c r="BJ237" s="39"/>
      <c r="BK237" s="39"/>
      <c r="BL237" s="39">
        <f t="shared" si="98"/>
        <v>0</v>
      </c>
      <c r="BM237" s="54">
        <f t="shared" ca="1" si="99"/>
        <v>46283</v>
      </c>
      <c r="BN237" s="60">
        <v>46293</v>
      </c>
      <c r="BO237" s="57">
        <v>46301</v>
      </c>
      <c r="BP237" s="36"/>
      <c r="BQ237" s="36"/>
      <c r="BR237" s="39"/>
      <c r="BS237" s="39"/>
      <c r="BT237" s="39"/>
      <c r="BU237" s="39"/>
      <c r="BV237" s="39"/>
      <c r="BW237" s="39"/>
      <c r="BX237" s="39"/>
      <c r="BY237" s="39"/>
      <c r="BZ237" s="39">
        <f t="shared" si="100"/>
        <v>0</v>
      </c>
      <c r="CA237" s="39">
        <f t="shared" si="101"/>
        <v>-304</v>
      </c>
      <c r="CB237" s="39">
        <f t="shared" si="102"/>
        <v>0</v>
      </c>
      <c r="CC237" s="39">
        <f t="shared" si="103"/>
        <v>0</v>
      </c>
      <c r="CD237" s="39">
        <f t="shared" si="105"/>
        <v>-304</v>
      </c>
      <c r="CE237" s="102">
        <f t="shared" si="104"/>
        <v>-1</v>
      </c>
      <c r="CF237" s="36"/>
      <c r="CG237" s="39" t="s">
        <v>281</v>
      </c>
      <c r="CH237" s="39"/>
      <c r="CI237" s="25">
        <v>3</v>
      </c>
    </row>
    <row r="238" spans="1:87" ht="24.75" customHeight="1">
      <c r="A238" s="36" t="s">
        <v>50</v>
      </c>
      <c r="B238" s="161">
        <v>48979</v>
      </c>
      <c r="C238" s="228"/>
      <c r="D238" s="36"/>
      <c r="E238" s="39">
        <v>200</v>
      </c>
      <c r="F238" s="39" t="s">
        <v>56</v>
      </c>
      <c r="G238" s="36" t="s">
        <v>310</v>
      </c>
      <c r="H238" s="36" t="s">
        <v>217</v>
      </c>
      <c r="I238" s="39">
        <v>304</v>
      </c>
      <c r="J238" s="39"/>
      <c r="K238" s="39"/>
      <c r="L238" s="39">
        <f t="shared" si="119"/>
        <v>304</v>
      </c>
      <c r="M238" s="117">
        <v>46281</v>
      </c>
      <c r="N238" s="117">
        <v>46289</v>
      </c>
      <c r="O238" s="39"/>
      <c r="P238" s="39"/>
      <c r="Q238" s="39"/>
      <c r="R238" s="39">
        <f t="shared" si="120"/>
        <v>0</v>
      </c>
      <c r="S238" s="39" t="s">
        <v>130</v>
      </c>
      <c r="T238" s="39"/>
      <c r="U238" s="39"/>
      <c r="V238" s="39"/>
      <c r="W238" s="39"/>
      <c r="X238" s="39"/>
      <c r="Y238" s="39"/>
      <c r="Z238" s="39"/>
      <c r="AA238" s="39"/>
      <c r="AB238" s="118">
        <f t="shared" si="114"/>
        <v>0</v>
      </c>
      <c r="AC238" s="39"/>
      <c r="AD238" s="39"/>
      <c r="AE238" s="39"/>
      <c r="AF238" s="39"/>
      <c r="AG238" s="39"/>
      <c r="AH238" s="39">
        <f t="shared" si="94"/>
        <v>0</v>
      </c>
      <c r="AI238" s="39"/>
      <c r="AJ238" s="39"/>
      <c r="AK238" s="39"/>
      <c r="AL238" s="39"/>
      <c r="AM238" s="39"/>
      <c r="AN238" s="39">
        <f t="shared" si="110"/>
        <v>0</v>
      </c>
      <c r="AO238" s="39"/>
      <c r="AP238" s="39"/>
      <c r="AQ238" s="39"/>
      <c r="AR238" s="39"/>
      <c r="AS238" s="39"/>
      <c r="AT238" s="39">
        <f t="shared" si="95"/>
        <v>0</v>
      </c>
      <c r="AU238" s="39"/>
      <c r="AV238" s="39"/>
      <c r="AW238" s="39"/>
      <c r="AX238" s="39"/>
      <c r="AY238" s="39"/>
      <c r="AZ238" s="39">
        <f t="shared" si="96"/>
        <v>0</v>
      </c>
      <c r="BA238" s="39"/>
      <c r="BB238" s="39"/>
      <c r="BC238" s="39"/>
      <c r="BD238" s="39"/>
      <c r="BE238" s="39"/>
      <c r="BF238" s="39">
        <f t="shared" si="97"/>
        <v>0</v>
      </c>
      <c r="BG238" s="39"/>
      <c r="BH238" s="39"/>
      <c r="BI238" s="39"/>
      <c r="BJ238" s="39"/>
      <c r="BK238" s="39"/>
      <c r="BL238" s="39">
        <f t="shared" si="98"/>
        <v>0</v>
      </c>
      <c r="BM238" s="54">
        <f t="shared" ca="1" si="99"/>
        <v>46283</v>
      </c>
      <c r="BN238" s="60">
        <v>46293</v>
      </c>
      <c r="BO238" s="57">
        <v>46301</v>
      </c>
      <c r="BP238" s="36"/>
      <c r="BQ238" s="36"/>
      <c r="BR238" s="39"/>
      <c r="BS238" s="39"/>
      <c r="BT238" s="39"/>
      <c r="BU238" s="39"/>
      <c r="BV238" s="39"/>
      <c r="BW238" s="39"/>
      <c r="BX238" s="39"/>
      <c r="BY238" s="39"/>
      <c r="BZ238" s="39">
        <f t="shared" si="100"/>
        <v>0</v>
      </c>
      <c r="CA238" s="39">
        <f t="shared" si="101"/>
        <v>-304</v>
      </c>
      <c r="CB238" s="39">
        <f t="shared" si="102"/>
        <v>0</v>
      </c>
      <c r="CC238" s="39">
        <f t="shared" si="103"/>
        <v>0</v>
      </c>
      <c r="CD238" s="39">
        <f t="shared" si="105"/>
        <v>-304</v>
      </c>
      <c r="CE238" s="102">
        <f t="shared" si="104"/>
        <v>-1</v>
      </c>
      <c r="CF238" s="36"/>
      <c r="CG238" s="39" t="s">
        <v>281</v>
      </c>
      <c r="CH238" s="39"/>
      <c r="CI238" s="25">
        <v>3</v>
      </c>
    </row>
    <row r="239" spans="1:87" ht="24.75" customHeight="1">
      <c r="A239" s="36" t="s">
        <v>50</v>
      </c>
      <c r="B239" s="26"/>
      <c r="C239" s="36"/>
      <c r="D239" s="36"/>
      <c r="E239" s="39"/>
      <c r="F239" s="39"/>
      <c r="G239" s="36"/>
      <c r="H239" s="39"/>
      <c r="I239" s="39"/>
      <c r="J239" s="39"/>
      <c r="K239" s="39"/>
      <c r="L239" s="39">
        <f t="shared" si="38"/>
        <v>0</v>
      </c>
      <c r="M239" s="39"/>
      <c r="N239" s="39"/>
      <c r="O239" s="39"/>
      <c r="P239" s="39"/>
      <c r="Q239" s="39"/>
      <c r="R239" s="39">
        <f t="shared" si="1"/>
        <v>0</v>
      </c>
      <c r="S239" s="39"/>
      <c r="T239" s="39"/>
      <c r="U239" s="39"/>
      <c r="V239" s="39"/>
      <c r="W239" s="39"/>
      <c r="X239" s="39"/>
      <c r="Y239" s="39"/>
      <c r="Z239" s="39"/>
      <c r="AA239" s="39"/>
      <c r="AB239" s="39">
        <f t="shared" si="2"/>
        <v>0</v>
      </c>
      <c r="AC239" s="39"/>
      <c r="AD239" s="39"/>
      <c r="AE239" s="39"/>
      <c r="AF239" s="39"/>
      <c r="AG239" s="39"/>
      <c r="AH239" s="39">
        <f t="shared" si="3"/>
        <v>0</v>
      </c>
      <c r="AI239" s="39"/>
      <c r="AJ239" s="39"/>
      <c r="AK239" s="39"/>
      <c r="AL239" s="39"/>
      <c r="AM239" s="39"/>
      <c r="AN239" s="39">
        <f t="shared" si="4"/>
        <v>0</v>
      </c>
      <c r="AO239" s="39"/>
      <c r="AP239" s="39"/>
      <c r="AQ239" s="39"/>
      <c r="AR239" s="39"/>
      <c r="AS239" s="39"/>
      <c r="AT239" s="39">
        <f t="shared" si="5"/>
        <v>0</v>
      </c>
      <c r="AU239" s="39"/>
      <c r="AV239" s="39"/>
      <c r="AW239" s="39"/>
      <c r="AX239" s="39"/>
      <c r="AY239" s="39"/>
      <c r="AZ239" s="39">
        <f t="shared" si="6"/>
        <v>0</v>
      </c>
      <c r="BA239" s="39"/>
      <c r="BB239" s="39"/>
      <c r="BC239" s="39"/>
      <c r="BD239" s="39"/>
      <c r="BE239" s="39"/>
      <c r="BF239" s="39">
        <f t="shared" si="7"/>
        <v>0</v>
      </c>
      <c r="BG239" s="39"/>
      <c r="BH239" s="39"/>
      <c r="BI239" s="39"/>
      <c r="BJ239" s="39"/>
      <c r="BK239" s="39"/>
      <c r="BL239" s="39">
        <f t="shared" si="8"/>
        <v>0</v>
      </c>
      <c r="BM239" s="54" t="e">
        <f t="shared" si="9"/>
        <v>#DIV/0!</v>
      </c>
      <c r="BN239" s="61"/>
      <c r="BO239" s="36"/>
      <c r="BP239" s="36"/>
      <c r="BQ239" s="36"/>
      <c r="BR239" s="39"/>
      <c r="BS239" s="39"/>
      <c r="BT239" s="39"/>
      <c r="BU239" s="39"/>
      <c r="BV239" s="39"/>
      <c r="BW239" s="39"/>
      <c r="BX239" s="39"/>
      <c r="BY239" s="39"/>
      <c r="BZ239" s="39">
        <f t="shared" si="10"/>
        <v>0</v>
      </c>
      <c r="CA239" s="39">
        <f t="shared" si="11"/>
        <v>0</v>
      </c>
      <c r="CB239" s="39">
        <f t="shared" si="12"/>
        <v>0</v>
      </c>
      <c r="CC239" s="39">
        <f t="shared" si="13"/>
        <v>0</v>
      </c>
      <c r="CD239" s="39">
        <f t="shared" si="14"/>
        <v>0</v>
      </c>
      <c r="CE239" s="47" t="e">
        <f t="shared" si="15"/>
        <v>#DIV/0!</v>
      </c>
      <c r="CF239" s="36"/>
      <c r="CG239" s="39"/>
      <c r="CH239" s="39"/>
      <c r="CI239" s="25">
        <v>3</v>
      </c>
    </row>
    <row r="240" spans="1:87" ht="24.75" customHeight="1">
      <c r="A240" s="36" t="s">
        <v>50</v>
      </c>
      <c r="B240" s="26"/>
      <c r="C240" s="36"/>
      <c r="D240" s="36"/>
      <c r="E240" s="39"/>
      <c r="F240" s="39"/>
      <c r="G240" s="36"/>
      <c r="H240" s="39"/>
      <c r="I240" s="39"/>
      <c r="J240" s="39"/>
      <c r="K240" s="39"/>
      <c r="L240" s="39">
        <f t="shared" si="38"/>
        <v>0</v>
      </c>
      <c r="M240" s="39"/>
      <c r="N240" s="39"/>
      <c r="O240" s="39"/>
      <c r="P240" s="39"/>
      <c r="Q240" s="39"/>
      <c r="R240" s="39">
        <f t="shared" si="1"/>
        <v>0</v>
      </c>
      <c r="S240" s="39"/>
      <c r="T240" s="39"/>
      <c r="U240" s="39"/>
      <c r="V240" s="39"/>
      <c r="W240" s="39"/>
      <c r="X240" s="39"/>
      <c r="Y240" s="39"/>
      <c r="Z240" s="39"/>
      <c r="AA240" s="39"/>
      <c r="AB240" s="39">
        <f t="shared" si="2"/>
        <v>0</v>
      </c>
      <c r="AC240" s="39"/>
      <c r="AD240" s="39"/>
      <c r="AE240" s="39"/>
      <c r="AF240" s="39"/>
      <c r="AG240" s="39"/>
      <c r="AH240" s="39">
        <f t="shared" si="3"/>
        <v>0</v>
      </c>
      <c r="AI240" s="39"/>
      <c r="AJ240" s="39"/>
      <c r="AK240" s="39"/>
      <c r="AL240" s="39"/>
      <c r="AM240" s="39"/>
      <c r="AN240" s="39">
        <f t="shared" si="4"/>
        <v>0</v>
      </c>
      <c r="AO240" s="39"/>
      <c r="AP240" s="39"/>
      <c r="AQ240" s="39"/>
      <c r="AR240" s="39"/>
      <c r="AS240" s="39"/>
      <c r="AT240" s="39">
        <f t="shared" si="5"/>
        <v>0</v>
      </c>
      <c r="AU240" s="39"/>
      <c r="AV240" s="39"/>
      <c r="AW240" s="39"/>
      <c r="AX240" s="39"/>
      <c r="AY240" s="39"/>
      <c r="AZ240" s="39">
        <f t="shared" si="6"/>
        <v>0</v>
      </c>
      <c r="BA240" s="39"/>
      <c r="BB240" s="39"/>
      <c r="BC240" s="39"/>
      <c r="BD240" s="39"/>
      <c r="BE240" s="39"/>
      <c r="BF240" s="39">
        <f t="shared" si="7"/>
        <v>0</v>
      </c>
      <c r="BG240" s="39"/>
      <c r="BH240" s="39"/>
      <c r="BI240" s="39"/>
      <c r="BJ240" s="39"/>
      <c r="BK240" s="39"/>
      <c r="BL240" s="39">
        <f t="shared" si="8"/>
        <v>0</v>
      </c>
      <c r="BM240" s="54" t="e">
        <f t="shared" si="9"/>
        <v>#DIV/0!</v>
      </c>
      <c r="BN240" s="61"/>
      <c r="BO240" s="36"/>
      <c r="BP240" s="36"/>
      <c r="BQ240" s="36"/>
      <c r="BR240" s="39"/>
      <c r="BS240" s="39"/>
      <c r="BT240" s="39"/>
      <c r="BU240" s="39"/>
      <c r="BV240" s="39"/>
      <c r="BW240" s="39"/>
      <c r="BX240" s="39"/>
      <c r="BY240" s="39"/>
      <c r="BZ240" s="39">
        <f t="shared" si="10"/>
        <v>0</v>
      </c>
      <c r="CA240" s="39">
        <f t="shared" si="11"/>
        <v>0</v>
      </c>
      <c r="CB240" s="39">
        <f t="shared" si="12"/>
        <v>0</v>
      </c>
      <c r="CC240" s="39">
        <f t="shared" si="13"/>
        <v>0</v>
      </c>
      <c r="CD240" s="39">
        <f t="shared" si="14"/>
        <v>0</v>
      </c>
      <c r="CE240" s="47" t="e">
        <f t="shared" si="15"/>
        <v>#DIV/0!</v>
      </c>
      <c r="CF240" s="36"/>
      <c r="CG240" s="39"/>
      <c r="CH240" s="39"/>
      <c r="CI240" s="25">
        <v>3</v>
      </c>
    </row>
    <row r="241" spans="1:87" ht="24.75" customHeight="1">
      <c r="A241" s="36" t="s">
        <v>50</v>
      </c>
      <c r="B241" s="26"/>
      <c r="C241" s="36"/>
      <c r="D241" s="36"/>
      <c r="E241" s="39"/>
      <c r="F241" s="39"/>
      <c r="G241" s="36"/>
      <c r="H241" s="39"/>
      <c r="I241" s="39"/>
      <c r="J241" s="39"/>
      <c r="K241" s="39"/>
      <c r="L241" s="39">
        <f t="shared" si="38"/>
        <v>0</v>
      </c>
      <c r="M241" s="39"/>
      <c r="N241" s="39"/>
      <c r="O241" s="39"/>
      <c r="P241" s="39"/>
      <c r="Q241" s="39"/>
      <c r="R241" s="39">
        <f t="shared" si="1"/>
        <v>0</v>
      </c>
      <c r="S241" s="39"/>
      <c r="T241" s="39"/>
      <c r="U241" s="39"/>
      <c r="V241" s="39"/>
      <c r="W241" s="39"/>
      <c r="X241" s="39"/>
      <c r="Y241" s="39"/>
      <c r="Z241" s="39"/>
      <c r="AA241" s="39"/>
      <c r="AB241" s="39">
        <f t="shared" si="2"/>
        <v>0</v>
      </c>
      <c r="AC241" s="39"/>
      <c r="AD241" s="39"/>
      <c r="AE241" s="39"/>
      <c r="AF241" s="39"/>
      <c r="AG241" s="39"/>
      <c r="AH241" s="39">
        <f t="shared" si="3"/>
        <v>0</v>
      </c>
      <c r="AI241" s="39"/>
      <c r="AJ241" s="39"/>
      <c r="AK241" s="39"/>
      <c r="AL241" s="39"/>
      <c r="AM241" s="39"/>
      <c r="AN241" s="39">
        <f t="shared" si="4"/>
        <v>0</v>
      </c>
      <c r="AO241" s="39"/>
      <c r="AP241" s="39"/>
      <c r="AQ241" s="39"/>
      <c r="AR241" s="39"/>
      <c r="AS241" s="39"/>
      <c r="AT241" s="39">
        <f t="shared" si="5"/>
        <v>0</v>
      </c>
      <c r="AU241" s="39"/>
      <c r="AV241" s="39"/>
      <c r="AW241" s="39"/>
      <c r="AX241" s="39"/>
      <c r="AY241" s="39"/>
      <c r="AZ241" s="39">
        <f t="shared" si="6"/>
        <v>0</v>
      </c>
      <c r="BA241" s="39"/>
      <c r="BB241" s="39"/>
      <c r="BC241" s="39"/>
      <c r="BD241" s="39"/>
      <c r="BE241" s="39"/>
      <c r="BF241" s="39">
        <f t="shared" si="7"/>
        <v>0</v>
      </c>
      <c r="BG241" s="39"/>
      <c r="BH241" s="39"/>
      <c r="BI241" s="39"/>
      <c r="BJ241" s="39"/>
      <c r="BK241" s="39"/>
      <c r="BL241" s="39">
        <f t="shared" si="8"/>
        <v>0</v>
      </c>
      <c r="BM241" s="54" t="e">
        <f t="shared" si="9"/>
        <v>#DIV/0!</v>
      </c>
      <c r="BN241" s="61"/>
      <c r="BO241" s="36"/>
      <c r="BP241" s="36"/>
      <c r="BQ241" s="36"/>
      <c r="BR241" s="39"/>
      <c r="BS241" s="39"/>
      <c r="BT241" s="39"/>
      <c r="BU241" s="39"/>
      <c r="BV241" s="39"/>
      <c r="BW241" s="39"/>
      <c r="BX241" s="39"/>
      <c r="BY241" s="39"/>
      <c r="BZ241" s="39">
        <f t="shared" si="10"/>
        <v>0</v>
      </c>
      <c r="CA241" s="39">
        <f t="shared" si="11"/>
        <v>0</v>
      </c>
      <c r="CB241" s="39">
        <f t="shared" si="12"/>
        <v>0</v>
      </c>
      <c r="CC241" s="39">
        <f t="shared" si="13"/>
        <v>0</v>
      </c>
      <c r="CD241" s="39">
        <f t="shared" si="14"/>
        <v>0</v>
      </c>
      <c r="CE241" s="47" t="e">
        <f t="shared" si="15"/>
        <v>#DIV/0!</v>
      </c>
      <c r="CF241" s="36"/>
      <c r="CG241" s="39"/>
      <c r="CH241" s="39"/>
      <c r="CI241" s="25">
        <v>3</v>
      </c>
    </row>
    <row r="242" spans="1:87" ht="24.75" customHeight="1">
      <c r="A242" s="36" t="s">
        <v>50</v>
      </c>
      <c r="B242" s="26"/>
      <c r="C242" s="36"/>
      <c r="D242" s="36"/>
      <c r="E242" s="39"/>
      <c r="F242" s="39"/>
      <c r="G242" s="36"/>
      <c r="H242" s="39"/>
      <c r="I242" s="39"/>
      <c r="J242" s="39"/>
      <c r="K242" s="39"/>
      <c r="L242" s="39">
        <f t="shared" si="38"/>
        <v>0</v>
      </c>
      <c r="M242" s="39"/>
      <c r="N242" s="39"/>
      <c r="O242" s="39"/>
      <c r="P242" s="39"/>
      <c r="Q242" s="39"/>
      <c r="R242" s="39">
        <f t="shared" si="1"/>
        <v>0</v>
      </c>
      <c r="S242" s="39"/>
      <c r="T242" s="39"/>
      <c r="U242" s="39"/>
      <c r="V242" s="39"/>
      <c r="W242" s="39"/>
      <c r="X242" s="39"/>
      <c r="Y242" s="39"/>
      <c r="Z242" s="39"/>
      <c r="AA242" s="39"/>
      <c r="AB242" s="39">
        <f t="shared" si="2"/>
        <v>0</v>
      </c>
      <c r="AC242" s="39"/>
      <c r="AD242" s="39"/>
      <c r="AE242" s="39"/>
      <c r="AF242" s="39"/>
      <c r="AG242" s="39"/>
      <c r="AH242" s="39">
        <f t="shared" si="3"/>
        <v>0</v>
      </c>
      <c r="AI242" s="39"/>
      <c r="AJ242" s="39"/>
      <c r="AK242" s="39"/>
      <c r="AL242" s="39"/>
      <c r="AM242" s="39"/>
      <c r="AN242" s="39">
        <f t="shared" si="4"/>
        <v>0</v>
      </c>
      <c r="AO242" s="39"/>
      <c r="AP242" s="39"/>
      <c r="AQ242" s="39"/>
      <c r="AR242" s="39"/>
      <c r="AS242" s="39"/>
      <c r="AT242" s="39">
        <f t="shared" si="5"/>
        <v>0</v>
      </c>
      <c r="AU242" s="39"/>
      <c r="AV242" s="39"/>
      <c r="AW242" s="39"/>
      <c r="AX242" s="39"/>
      <c r="AY242" s="39"/>
      <c r="AZ242" s="39">
        <f t="shared" si="6"/>
        <v>0</v>
      </c>
      <c r="BA242" s="39"/>
      <c r="BB242" s="39"/>
      <c r="BC242" s="39"/>
      <c r="BD242" s="39"/>
      <c r="BE242" s="39"/>
      <c r="BF242" s="39">
        <f t="shared" si="7"/>
        <v>0</v>
      </c>
      <c r="BG242" s="39"/>
      <c r="BH242" s="39"/>
      <c r="BI242" s="39"/>
      <c r="BJ242" s="39"/>
      <c r="BK242" s="39"/>
      <c r="BL242" s="39">
        <f t="shared" si="8"/>
        <v>0</v>
      </c>
      <c r="BM242" s="54" t="e">
        <f t="shared" si="9"/>
        <v>#DIV/0!</v>
      </c>
      <c r="BN242" s="61"/>
      <c r="BO242" s="36"/>
      <c r="BP242" s="36"/>
      <c r="BQ242" s="36"/>
      <c r="BR242" s="39"/>
      <c r="BS242" s="39"/>
      <c r="BT242" s="39"/>
      <c r="BU242" s="39"/>
      <c r="BV242" s="39"/>
      <c r="BW242" s="39"/>
      <c r="BX242" s="39"/>
      <c r="BY242" s="39"/>
      <c r="BZ242" s="39">
        <f t="shared" si="10"/>
        <v>0</v>
      </c>
      <c r="CA242" s="39">
        <f t="shared" si="11"/>
        <v>0</v>
      </c>
      <c r="CB242" s="39">
        <f t="shared" si="12"/>
        <v>0</v>
      </c>
      <c r="CC242" s="39">
        <f t="shared" si="13"/>
        <v>0</v>
      </c>
      <c r="CD242" s="39">
        <f t="shared" si="14"/>
        <v>0</v>
      </c>
      <c r="CE242" s="47" t="e">
        <f t="shared" si="15"/>
        <v>#DIV/0!</v>
      </c>
      <c r="CF242" s="36"/>
      <c r="CG242" s="39"/>
      <c r="CH242" s="39"/>
      <c r="CI242" s="25">
        <v>3</v>
      </c>
    </row>
    <row r="243" spans="1:87" ht="24.75" customHeight="1">
      <c r="A243" s="36" t="s">
        <v>50</v>
      </c>
      <c r="B243" s="26"/>
      <c r="C243" s="36"/>
      <c r="D243" s="36"/>
      <c r="E243" s="39"/>
      <c r="F243" s="39"/>
      <c r="G243" s="36"/>
      <c r="H243" s="39"/>
      <c r="I243" s="39"/>
      <c r="J243" s="39"/>
      <c r="K243" s="39"/>
      <c r="L243" s="39">
        <f t="shared" si="38"/>
        <v>0</v>
      </c>
      <c r="M243" s="39"/>
      <c r="N243" s="39"/>
      <c r="O243" s="39"/>
      <c r="P243" s="39"/>
      <c r="Q243" s="39"/>
      <c r="R243" s="39">
        <f t="shared" si="1"/>
        <v>0</v>
      </c>
      <c r="S243" s="39"/>
      <c r="T243" s="39"/>
      <c r="U243" s="39"/>
      <c r="V243" s="39"/>
      <c r="W243" s="39"/>
      <c r="X243" s="39"/>
      <c r="Y243" s="39"/>
      <c r="Z243" s="39"/>
      <c r="AA243" s="39"/>
      <c r="AB243" s="39">
        <f t="shared" si="2"/>
        <v>0</v>
      </c>
      <c r="AC243" s="39"/>
      <c r="AD243" s="39"/>
      <c r="AE243" s="39"/>
      <c r="AF243" s="39"/>
      <c r="AG243" s="39"/>
      <c r="AH243" s="39">
        <f t="shared" si="3"/>
        <v>0</v>
      </c>
      <c r="AI243" s="39"/>
      <c r="AJ243" s="39"/>
      <c r="AK243" s="39"/>
      <c r="AL243" s="39"/>
      <c r="AM243" s="39"/>
      <c r="AN243" s="39">
        <f t="shared" si="4"/>
        <v>0</v>
      </c>
      <c r="AO243" s="39"/>
      <c r="AP243" s="39"/>
      <c r="AQ243" s="39"/>
      <c r="AR243" s="39"/>
      <c r="AS243" s="39"/>
      <c r="AT243" s="39">
        <f t="shared" si="5"/>
        <v>0</v>
      </c>
      <c r="AU243" s="39"/>
      <c r="AV243" s="39"/>
      <c r="AW243" s="39"/>
      <c r="AX243" s="39"/>
      <c r="AY243" s="39"/>
      <c r="AZ243" s="39">
        <f t="shared" si="6"/>
        <v>0</v>
      </c>
      <c r="BA243" s="39"/>
      <c r="BB243" s="39"/>
      <c r="BC243" s="39"/>
      <c r="BD243" s="39"/>
      <c r="BE243" s="39"/>
      <c r="BF243" s="39">
        <f t="shared" si="7"/>
        <v>0</v>
      </c>
      <c r="BG243" s="39"/>
      <c r="BH243" s="39"/>
      <c r="BI243" s="39"/>
      <c r="BJ243" s="39"/>
      <c r="BK243" s="39"/>
      <c r="BL243" s="39">
        <f t="shared" si="8"/>
        <v>0</v>
      </c>
      <c r="BM243" s="54" t="e">
        <f t="shared" si="9"/>
        <v>#DIV/0!</v>
      </c>
      <c r="BN243" s="61"/>
      <c r="BO243" s="36"/>
      <c r="BP243" s="36"/>
      <c r="BQ243" s="36"/>
      <c r="BR243" s="39"/>
      <c r="BS243" s="39"/>
      <c r="BT243" s="39"/>
      <c r="BU243" s="39"/>
      <c r="BV243" s="39"/>
      <c r="BW243" s="39"/>
      <c r="BX243" s="39"/>
      <c r="BY243" s="39"/>
      <c r="BZ243" s="39">
        <f t="shared" si="10"/>
        <v>0</v>
      </c>
      <c r="CA243" s="39">
        <f t="shared" si="11"/>
        <v>0</v>
      </c>
      <c r="CB243" s="39">
        <f t="shared" si="12"/>
        <v>0</v>
      </c>
      <c r="CC243" s="39">
        <f t="shared" si="13"/>
        <v>0</v>
      </c>
      <c r="CD243" s="39">
        <f t="shared" si="14"/>
        <v>0</v>
      </c>
      <c r="CE243" s="47" t="e">
        <f t="shared" si="15"/>
        <v>#DIV/0!</v>
      </c>
      <c r="CF243" s="36"/>
      <c r="CG243" s="39"/>
      <c r="CH243" s="39"/>
      <c r="CI243" s="25">
        <v>3</v>
      </c>
    </row>
    <row r="244" spans="1:87" ht="24.75" customHeight="1">
      <c r="A244" s="36" t="s">
        <v>50</v>
      </c>
      <c r="B244" s="26"/>
      <c r="C244" s="36"/>
      <c r="D244" s="36"/>
      <c r="E244" s="39"/>
      <c r="F244" s="39"/>
      <c r="G244" s="36"/>
      <c r="H244" s="39"/>
      <c r="I244" s="39"/>
      <c r="J244" s="39"/>
      <c r="K244" s="39"/>
      <c r="L244" s="39">
        <f t="shared" si="38"/>
        <v>0</v>
      </c>
      <c r="M244" s="39"/>
      <c r="N244" s="39"/>
      <c r="O244" s="39"/>
      <c r="P244" s="39"/>
      <c r="Q244" s="39"/>
      <c r="R244" s="39">
        <f t="shared" si="1"/>
        <v>0</v>
      </c>
      <c r="S244" s="39"/>
      <c r="T244" s="39"/>
      <c r="U244" s="39"/>
      <c r="V244" s="39"/>
      <c r="W244" s="39"/>
      <c r="X244" s="39"/>
      <c r="Y244" s="39"/>
      <c r="Z244" s="39"/>
      <c r="AA244" s="39"/>
      <c r="AB244" s="39">
        <f t="shared" si="2"/>
        <v>0</v>
      </c>
      <c r="AC244" s="39"/>
      <c r="AD244" s="39"/>
      <c r="AE244" s="39"/>
      <c r="AF244" s="39"/>
      <c r="AG244" s="39"/>
      <c r="AH244" s="39">
        <f t="shared" si="3"/>
        <v>0</v>
      </c>
      <c r="AI244" s="39"/>
      <c r="AJ244" s="39"/>
      <c r="AK244" s="39"/>
      <c r="AL244" s="39"/>
      <c r="AM244" s="39"/>
      <c r="AN244" s="39">
        <f t="shared" si="4"/>
        <v>0</v>
      </c>
      <c r="AO244" s="39"/>
      <c r="AP244" s="39"/>
      <c r="AQ244" s="39"/>
      <c r="AR244" s="39"/>
      <c r="AS244" s="39"/>
      <c r="AT244" s="39">
        <f t="shared" si="5"/>
        <v>0</v>
      </c>
      <c r="AU244" s="39"/>
      <c r="AV244" s="39"/>
      <c r="AW244" s="39"/>
      <c r="AX244" s="39"/>
      <c r="AY244" s="39"/>
      <c r="AZ244" s="39">
        <f t="shared" si="6"/>
        <v>0</v>
      </c>
      <c r="BA244" s="39"/>
      <c r="BB244" s="39"/>
      <c r="BC244" s="39"/>
      <c r="BD244" s="39"/>
      <c r="BE244" s="39"/>
      <c r="BF244" s="39">
        <f t="shared" si="7"/>
        <v>0</v>
      </c>
      <c r="BG244" s="39"/>
      <c r="BH244" s="39"/>
      <c r="BI244" s="39"/>
      <c r="BJ244" s="39"/>
      <c r="BK244" s="39"/>
      <c r="BL244" s="39">
        <f t="shared" si="8"/>
        <v>0</v>
      </c>
      <c r="BM244" s="54" t="e">
        <f t="shared" si="9"/>
        <v>#DIV/0!</v>
      </c>
      <c r="BN244" s="61"/>
      <c r="BO244" s="36"/>
      <c r="BP244" s="36"/>
      <c r="BQ244" s="36"/>
      <c r="BR244" s="39"/>
      <c r="BS244" s="39"/>
      <c r="BT244" s="39"/>
      <c r="BU244" s="39"/>
      <c r="BV244" s="39"/>
      <c r="BW244" s="39"/>
      <c r="BX244" s="39"/>
      <c r="BY244" s="39"/>
      <c r="BZ244" s="39">
        <f t="shared" si="10"/>
        <v>0</v>
      </c>
      <c r="CA244" s="39">
        <f t="shared" si="11"/>
        <v>0</v>
      </c>
      <c r="CB244" s="39">
        <f t="shared" si="12"/>
        <v>0</v>
      </c>
      <c r="CC244" s="39">
        <f t="shared" si="13"/>
        <v>0</v>
      </c>
      <c r="CD244" s="39">
        <f t="shared" si="14"/>
        <v>0</v>
      </c>
      <c r="CE244" s="47" t="e">
        <f t="shared" si="15"/>
        <v>#DIV/0!</v>
      </c>
      <c r="CF244" s="36"/>
      <c r="CG244" s="39"/>
      <c r="CH244" s="39"/>
      <c r="CI244" s="25">
        <v>3</v>
      </c>
    </row>
    <row r="245" spans="1:87" ht="24.75" customHeight="1">
      <c r="A245" s="36" t="s">
        <v>50</v>
      </c>
      <c r="B245" s="26"/>
      <c r="C245" s="36"/>
      <c r="D245" s="36"/>
      <c r="E245" s="39"/>
      <c r="F245" s="39"/>
      <c r="G245" s="36"/>
      <c r="H245" s="39"/>
      <c r="I245" s="39"/>
      <c r="J245" s="39"/>
      <c r="K245" s="39"/>
      <c r="L245" s="39">
        <f t="shared" si="38"/>
        <v>0</v>
      </c>
      <c r="M245" s="39"/>
      <c r="N245" s="39"/>
      <c r="O245" s="39"/>
      <c r="P245" s="39"/>
      <c r="Q245" s="39"/>
      <c r="R245" s="39">
        <f t="shared" si="1"/>
        <v>0</v>
      </c>
      <c r="S245" s="39"/>
      <c r="T245" s="39"/>
      <c r="U245" s="39"/>
      <c r="V245" s="39"/>
      <c r="W245" s="39"/>
      <c r="X245" s="39"/>
      <c r="Y245" s="39"/>
      <c r="Z245" s="39"/>
      <c r="AA245" s="39"/>
      <c r="AB245" s="39">
        <f t="shared" si="2"/>
        <v>0</v>
      </c>
      <c r="AC245" s="39"/>
      <c r="AD245" s="39"/>
      <c r="AE245" s="39"/>
      <c r="AF245" s="39"/>
      <c r="AG245" s="39"/>
      <c r="AH245" s="39">
        <f t="shared" si="3"/>
        <v>0</v>
      </c>
      <c r="AI245" s="39"/>
      <c r="AJ245" s="39"/>
      <c r="AK245" s="39"/>
      <c r="AL245" s="39"/>
      <c r="AM245" s="39"/>
      <c r="AN245" s="39">
        <f t="shared" si="4"/>
        <v>0</v>
      </c>
      <c r="AO245" s="39"/>
      <c r="AP245" s="39"/>
      <c r="AQ245" s="39"/>
      <c r="AR245" s="39"/>
      <c r="AS245" s="39"/>
      <c r="AT245" s="39">
        <f t="shared" si="5"/>
        <v>0</v>
      </c>
      <c r="AU245" s="39"/>
      <c r="AV245" s="39"/>
      <c r="AW245" s="39"/>
      <c r="AX245" s="39"/>
      <c r="AY245" s="39"/>
      <c r="AZ245" s="39">
        <f t="shared" si="6"/>
        <v>0</v>
      </c>
      <c r="BA245" s="39"/>
      <c r="BB245" s="39"/>
      <c r="BC245" s="39"/>
      <c r="BD245" s="39"/>
      <c r="BE245" s="39"/>
      <c r="BF245" s="39">
        <f t="shared" si="7"/>
        <v>0</v>
      </c>
      <c r="BG245" s="39"/>
      <c r="BH245" s="39"/>
      <c r="BI245" s="39"/>
      <c r="BJ245" s="39"/>
      <c r="BK245" s="39"/>
      <c r="BL245" s="39">
        <f t="shared" si="8"/>
        <v>0</v>
      </c>
      <c r="BM245" s="54" t="e">
        <f t="shared" si="9"/>
        <v>#DIV/0!</v>
      </c>
      <c r="BN245" s="61"/>
      <c r="BO245" s="36"/>
      <c r="BP245" s="36"/>
      <c r="BQ245" s="36"/>
      <c r="BR245" s="39"/>
      <c r="BS245" s="39"/>
      <c r="BT245" s="39"/>
      <c r="BU245" s="39"/>
      <c r="BV245" s="39"/>
      <c r="BW245" s="39"/>
      <c r="BX245" s="39"/>
      <c r="BY245" s="39"/>
      <c r="BZ245" s="39">
        <f t="shared" si="10"/>
        <v>0</v>
      </c>
      <c r="CA245" s="39">
        <f t="shared" si="11"/>
        <v>0</v>
      </c>
      <c r="CB245" s="39">
        <f t="shared" si="12"/>
        <v>0</v>
      </c>
      <c r="CC245" s="39">
        <f t="shared" si="13"/>
        <v>0</v>
      </c>
      <c r="CD245" s="39">
        <f t="shared" si="14"/>
        <v>0</v>
      </c>
      <c r="CE245" s="47" t="e">
        <f t="shared" si="15"/>
        <v>#DIV/0!</v>
      </c>
      <c r="CF245" s="36"/>
      <c r="CG245" s="39"/>
      <c r="CH245" s="39"/>
      <c r="CI245" s="25">
        <v>3</v>
      </c>
    </row>
    <row r="246" spans="1:87" ht="24.75" customHeight="1">
      <c r="A246" s="36" t="s">
        <v>51</v>
      </c>
      <c r="B246" s="28">
        <v>48196</v>
      </c>
      <c r="C246" s="235">
        <v>22040925</v>
      </c>
      <c r="D246" s="36"/>
      <c r="E246" s="39">
        <v>220</v>
      </c>
      <c r="F246" s="39" t="s">
        <v>55</v>
      </c>
      <c r="G246" s="36" t="s">
        <v>193</v>
      </c>
      <c r="H246" s="36" t="s">
        <v>1431</v>
      </c>
      <c r="I246" s="39">
        <v>222</v>
      </c>
      <c r="J246" s="39"/>
      <c r="K246" s="39"/>
      <c r="L246" s="39">
        <f t="shared" ref="L246:L249" si="121">SUM(I246:K246)</f>
        <v>222</v>
      </c>
      <c r="M246" s="117">
        <v>46252</v>
      </c>
      <c r="N246" s="117">
        <v>46259</v>
      </c>
      <c r="O246" s="39"/>
      <c r="P246" s="39"/>
      <c r="Q246" s="39"/>
      <c r="R246" s="39">
        <f t="shared" ref="R246:R290" si="122">SUM(O246:Q246)</f>
        <v>0</v>
      </c>
      <c r="S246" s="39" t="s">
        <v>130</v>
      </c>
      <c r="T246" s="39">
        <v>108762</v>
      </c>
      <c r="U246" s="117">
        <v>46252</v>
      </c>
      <c r="V246" s="39"/>
      <c r="W246" s="39"/>
      <c r="X246" s="39"/>
      <c r="Y246" s="39">
        <v>259</v>
      </c>
      <c r="Z246" s="39"/>
      <c r="AA246" s="39"/>
      <c r="AB246" s="119">
        <f t="shared" ref="AB246:AB290" si="123">SUM(Y246:AA246)</f>
        <v>259</v>
      </c>
      <c r="AC246" s="39"/>
      <c r="AD246" s="39"/>
      <c r="AE246" s="39"/>
      <c r="AF246" s="39"/>
      <c r="AG246" s="39"/>
      <c r="AH246" s="39">
        <f t="shared" si="3"/>
        <v>0</v>
      </c>
      <c r="AI246" s="39"/>
      <c r="AJ246" s="39"/>
      <c r="AK246" s="39"/>
      <c r="AL246" s="39"/>
      <c r="AM246" s="39"/>
      <c r="AN246" s="39">
        <f t="shared" si="4"/>
        <v>0</v>
      </c>
      <c r="AO246" s="39"/>
      <c r="AP246" s="39"/>
      <c r="AQ246" s="39"/>
      <c r="AR246" s="39"/>
      <c r="AS246" s="39"/>
      <c r="AT246" s="39">
        <f t="shared" si="5"/>
        <v>0</v>
      </c>
      <c r="AU246" s="39"/>
      <c r="AV246" s="39"/>
      <c r="AW246" s="39"/>
      <c r="AX246" s="39"/>
      <c r="AY246" s="39"/>
      <c r="AZ246" s="39">
        <f t="shared" si="6"/>
        <v>0</v>
      </c>
      <c r="BA246" s="39"/>
      <c r="BB246" s="39"/>
      <c r="BC246" s="39"/>
      <c r="BD246" s="39"/>
      <c r="BE246" s="39"/>
      <c r="BF246" s="39">
        <f t="shared" si="7"/>
        <v>0</v>
      </c>
      <c r="BG246" s="39"/>
      <c r="BH246" s="39"/>
      <c r="BI246" s="39"/>
      <c r="BJ246" s="39"/>
      <c r="BK246" s="39"/>
      <c r="BL246" s="39">
        <f t="shared" si="8"/>
        <v>0</v>
      </c>
      <c r="BM246" s="54" t="str">
        <f t="shared" si="9"/>
        <v/>
      </c>
      <c r="BN246" s="56">
        <v>46269</v>
      </c>
      <c r="BO246" s="117">
        <v>46284</v>
      </c>
      <c r="BP246" s="39"/>
      <c r="BQ246" s="39"/>
      <c r="BR246" s="155">
        <v>46255</v>
      </c>
      <c r="BS246" s="155">
        <v>46255</v>
      </c>
      <c r="BT246" s="39">
        <v>1017</v>
      </c>
      <c r="BU246" s="39">
        <v>226</v>
      </c>
      <c r="BV246" s="39"/>
      <c r="BW246" s="39"/>
      <c r="BX246" s="39"/>
      <c r="BY246" s="39"/>
      <c r="BZ246" s="39">
        <f t="shared" si="10"/>
        <v>226</v>
      </c>
      <c r="CA246" s="39">
        <f t="shared" si="11"/>
        <v>4</v>
      </c>
      <c r="CB246" s="39">
        <f t="shared" si="12"/>
        <v>0</v>
      </c>
      <c r="CC246" s="39">
        <f t="shared" si="13"/>
        <v>0</v>
      </c>
      <c r="CD246" s="39">
        <f t="shared" si="14"/>
        <v>0</v>
      </c>
      <c r="CE246" s="102">
        <f t="shared" si="15"/>
        <v>0</v>
      </c>
      <c r="CF246" s="36" t="s">
        <v>290</v>
      </c>
      <c r="CG246" s="39" t="s">
        <v>243</v>
      </c>
      <c r="CH246" s="39"/>
      <c r="CI246" s="25">
        <v>1</v>
      </c>
    </row>
    <row r="247" spans="1:87" ht="24.75" customHeight="1">
      <c r="A247" s="36" t="s">
        <v>51</v>
      </c>
      <c r="B247" s="28">
        <v>48196</v>
      </c>
      <c r="C247" s="240"/>
      <c r="D247" s="36"/>
      <c r="E247" s="39">
        <v>220</v>
      </c>
      <c r="F247" s="39" t="s">
        <v>55</v>
      </c>
      <c r="G247" s="36" t="s">
        <v>603</v>
      </c>
      <c r="H247" s="36" t="s">
        <v>1431</v>
      </c>
      <c r="I247" s="39">
        <v>201</v>
      </c>
      <c r="J247" s="39"/>
      <c r="K247" s="39"/>
      <c r="L247" s="39">
        <f t="shared" si="121"/>
        <v>201</v>
      </c>
      <c r="M247" s="117">
        <v>46252</v>
      </c>
      <c r="N247" s="117">
        <v>46259</v>
      </c>
      <c r="O247" s="39"/>
      <c r="P247" s="39"/>
      <c r="Q247" s="39"/>
      <c r="R247" s="39">
        <f t="shared" ref="R247:R249" si="124">SUM(O247:Q247)</f>
        <v>0</v>
      </c>
      <c r="S247" s="39" t="s">
        <v>130</v>
      </c>
      <c r="T247" s="39">
        <v>108892</v>
      </c>
      <c r="U247" s="117">
        <v>46256</v>
      </c>
      <c r="V247" s="39"/>
      <c r="W247" s="39"/>
      <c r="X247" s="39"/>
      <c r="Y247" s="39">
        <v>232</v>
      </c>
      <c r="Z247" s="39"/>
      <c r="AA247" s="39"/>
      <c r="AB247" s="119">
        <f t="shared" ref="AB247:AB249" si="125">SUM(Y247:AA247)</f>
        <v>232</v>
      </c>
      <c r="AC247" s="39"/>
      <c r="AD247" s="39"/>
      <c r="AE247" s="39"/>
      <c r="AF247" s="39"/>
      <c r="AG247" s="39"/>
      <c r="AH247" s="39">
        <f t="shared" si="3"/>
        <v>0</v>
      </c>
      <c r="AI247" s="39"/>
      <c r="AJ247" s="39"/>
      <c r="AK247" s="39"/>
      <c r="AL247" s="39"/>
      <c r="AM247" s="39"/>
      <c r="AN247" s="39">
        <f t="shared" si="4"/>
        <v>0</v>
      </c>
      <c r="AO247" s="39"/>
      <c r="AP247" s="39"/>
      <c r="AQ247" s="39"/>
      <c r="AR247" s="39"/>
      <c r="AS247" s="39"/>
      <c r="AT247" s="39">
        <f t="shared" si="5"/>
        <v>0</v>
      </c>
      <c r="AU247" s="39"/>
      <c r="AV247" s="39"/>
      <c r="AW247" s="39"/>
      <c r="AX247" s="39"/>
      <c r="AY247" s="39"/>
      <c r="AZ247" s="39">
        <f t="shared" si="6"/>
        <v>0</v>
      </c>
      <c r="BA247" s="39"/>
      <c r="BB247" s="39"/>
      <c r="BC247" s="39"/>
      <c r="BD247" s="39"/>
      <c r="BE247" s="39"/>
      <c r="BF247" s="39">
        <f t="shared" si="7"/>
        <v>0</v>
      </c>
      <c r="BG247" s="39"/>
      <c r="BH247" s="39"/>
      <c r="BI247" s="39"/>
      <c r="BJ247" s="39"/>
      <c r="BK247" s="39"/>
      <c r="BL247" s="39">
        <f t="shared" si="8"/>
        <v>0</v>
      </c>
      <c r="BM247" s="54" t="str">
        <f t="shared" si="9"/>
        <v/>
      </c>
      <c r="BN247" s="56">
        <v>46269</v>
      </c>
      <c r="BO247" s="117">
        <v>46284</v>
      </c>
      <c r="BP247" s="39"/>
      <c r="BQ247" s="39"/>
      <c r="BR247" s="155">
        <v>46258</v>
      </c>
      <c r="BS247" s="155">
        <v>46258</v>
      </c>
      <c r="BT247" s="39">
        <v>1033</v>
      </c>
      <c r="BU247" s="39">
        <v>205</v>
      </c>
      <c r="BV247" s="39"/>
      <c r="BW247" s="39"/>
      <c r="BX247" s="39"/>
      <c r="BY247" s="39"/>
      <c r="BZ247" s="39">
        <f t="shared" si="10"/>
        <v>205</v>
      </c>
      <c r="CA247" s="39">
        <f t="shared" si="11"/>
        <v>4</v>
      </c>
      <c r="CB247" s="39">
        <f t="shared" si="12"/>
        <v>0</v>
      </c>
      <c r="CC247" s="39">
        <f t="shared" si="13"/>
        <v>0</v>
      </c>
      <c r="CD247" s="39">
        <f t="shared" si="14"/>
        <v>0</v>
      </c>
      <c r="CE247" s="102">
        <f t="shared" si="15"/>
        <v>0</v>
      </c>
      <c r="CF247" s="36" t="s">
        <v>290</v>
      </c>
      <c r="CG247" s="39" t="s">
        <v>243</v>
      </c>
      <c r="CH247" s="39"/>
      <c r="CI247" s="25">
        <v>1</v>
      </c>
    </row>
    <row r="248" spans="1:87" ht="24.75" customHeight="1">
      <c r="A248" s="36" t="s">
        <v>51</v>
      </c>
      <c r="B248" s="28">
        <v>48196</v>
      </c>
      <c r="C248" s="240"/>
      <c r="D248" s="36"/>
      <c r="E248" s="39">
        <v>220</v>
      </c>
      <c r="F248" s="39" t="s">
        <v>55</v>
      </c>
      <c r="G248" s="36" t="s">
        <v>310</v>
      </c>
      <c r="H248" s="36" t="s">
        <v>1431</v>
      </c>
      <c r="I248" s="39">
        <v>190</v>
      </c>
      <c r="J248" s="39"/>
      <c r="K248" s="39"/>
      <c r="L248" s="39">
        <f t="shared" si="121"/>
        <v>190</v>
      </c>
      <c r="M248" s="117">
        <v>46252</v>
      </c>
      <c r="N248" s="117">
        <v>46259</v>
      </c>
      <c r="O248" s="39"/>
      <c r="P248" s="39"/>
      <c r="Q248" s="39"/>
      <c r="R248" s="39">
        <f t="shared" si="124"/>
        <v>0</v>
      </c>
      <c r="S248" s="39" t="s">
        <v>130</v>
      </c>
      <c r="T248" s="39"/>
      <c r="U248" s="39"/>
      <c r="V248" s="39"/>
      <c r="W248" s="39"/>
      <c r="X248" s="39"/>
      <c r="Y248" s="39"/>
      <c r="Z248" s="39"/>
      <c r="AA248" s="39"/>
      <c r="AB248" s="118">
        <f t="shared" si="125"/>
        <v>0</v>
      </c>
      <c r="AC248" s="39"/>
      <c r="AD248" s="39"/>
      <c r="AE248" s="39"/>
      <c r="AF248" s="39"/>
      <c r="AG248" s="39"/>
      <c r="AH248" s="39">
        <f t="shared" si="3"/>
        <v>0</v>
      </c>
      <c r="AI248" s="39"/>
      <c r="AJ248" s="39"/>
      <c r="AK248" s="39"/>
      <c r="AL248" s="39"/>
      <c r="AM248" s="39"/>
      <c r="AN248" s="39">
        <f t="shared" si="4"/>
        <v>0</v>
      </c>
      <c r="AO248" s="39"/>
      <c r="AP248" s="39"/>
      <c r="AQ248" s="39"/>
      <c r="AR248" s="39"/>
      <c r="AS248" s="39"/>
      <c r="AT248" s="39">
        <f t="shared" si="5"/>
        <v>0</v>
      </c>
      <c r="AU248" s="39"/>
      <c r="AV248" s="39"/>
      <c r="AW248" s="39"/>
      <c r="AX248" s="39"/>
      <c r="AY248" s="39"/>
      <c r="AZ248" s="39">
        <f t="shared" si="6"/>
        <v>0</v>
      </c>
      <c r="BA248" s="39"/>
      <c r="BB248" s="39"/>
      <c r="BC248" s="39"/>
      <c r="BD248" s="39"/>
      <c r="BE248" s="39"/>
      <c r="BF248" s="39">
        <f t="shared" si="7"/>
        <v>0</v>
      </c>
      <c r="BG248" s="39"/>
      <c r="BH248" s="39"/>
      <c r="BI248" s="39"/>
      <c r="BJ248" s="39"/>
      <c r="BK248" s="39"/>
      <c r="BL248" s="39">
        <f t="shared" si="8"/>
        <v>0</v>
      </c>
      <c r="BM248" s="54">
        <f t="shared" ca="1" si="9"/>
        <v>46283</v>
      </c>
      <c r="BN248" s="56">
        <v>46269</v>
      </c>
      <c r="BO248" s="117">
        <v>46284</v>
      </c>
      <c r="BP248" s="39"/>
      <c r="BQ248" s="39"/>
      <c r="BR248" s="41"/>
      <c r="BS248" s="41"/>
      <c r="BT248" s="39"/>
      <c r="BU248" s="39"/>
      <c r="BV248" s="39"/>
      <c r="BW248" s="39"/>
      <c r="BX248" s="39"/>
      <c r="BY248" s="39"/>
      <c r="BZ248" s="39">
        <f t="shared" si="10"/>
        <v>0</v>
      </c>
      <c r="CA248" s="39">
        <f t="shared" si="11"/>
        <v>-190</v>
      </c>
      <c r="CB248" s="39">
        <f t="shared" si="12"/>
        <v>0</v>
      </c>
      <c r="CC248" s="39">
        <f t="shared" si="13"/>
        <v>0</v>
      </c>
      <c r="CD248" s="39">
        <f t="shared" si="14"/>
        <v>-190</v>
      </c>
      <c r="CE248" s="102">
        <f t="shared" si="15"/>
        <v>-1</v>
      </c>
      <c r="CF248" s="36" t="s">
        <v>290</v>
      </c>
      <c r="CG248" s="39" t="s">
        <v>243</v>
      </c>
      <c r="CH248" s="39"/>
      <c r="CI248" s="25">
        <v>1</v>
      </c>
    </row>
    <row r="249" spans="1:87" ht="24.75" customHeight="1">
      <c r="A249" s="36" t="s">
        <v>51</v>
      </c>
      <c r="B249" s="28">
        <v>48196</v>
      </c>
      <c r="C249" s="236"/>
      <c r="D249" s="36"/>
      <c r="E249" s="39"/>
      <c r="F249" s="39"/>
      <c r="G249" s="36" t="s">
        <v>944</v>
      </c>
      <c r="H249" s="36">
        <f>270+250+235</f>
        <v>755</v>
      </c>
      <c r="I249" s="39" t="s">
        <v>90</v>
      </c>
      <c r="J249" s="39"/>
      <c r="K249" s="39"/>
      <c r="L249" s="39">
        <f t="shared" si="121"/>
        <v>0</v>
      </c>
      <c r="M249" s="117">
        <v>46252</v>
      </c>
      <c r="N249" s="117">
        <v>46259</v>
      </c>
      <c r="O249" s="39"/>
      <c r="P249" s="39"/>
      <c r="Q249" s="39"/>
      <c r="R249" s="39">
        <f t="shared" si="124"/>
        <v>0</v>
      </c>
      <c r="S249" s="39" t="s">
        <v>130</v>
      </c>
      <c r="T249" s="39">
        <v>108892</v>
      </c>
      <c r="U249" s="117">
        <v>46256</v>
      </c>
      <c r="V249" s="39"/>
      <c r="W249" s="39"/>
      <c r="X249" s="39"/>
      <c r="Y249" s="39">
        <f>1</f>
        <v>1</v>
      </c>
      <c r="Z249" s="39"/>
      <c r="AA249" s="39"/>
      <c r="AB249" s="39">
        <f t="shared" si="125"/>
        <v>1</v>
      </c>
      <c r="AC249" s="39"/>
      <c r="AD249" s="39"/>
      <c r="AE249" s="39"/>
      <c r="AF249" s="39"/>
      <c r="AG249" s="39"/>
      <c r="AH249" s="39">
        <f t="shared" si="3"/>
        <v>0</v>
      </c>
      <c r="AI249" s="39"/>
      <c r="AJ249" s="39"/>
      <c r="AK249" s="39"/>
      <c r="AL249" s="39"/>
      <c r="AM249" s="39"/>
      <c r="AN249" s="39">
        <f t="shared" si="4"/>
        <v>0</v>
      </c>
      <c r="AO249" s="39"/>
      <c r="AP249" s="39"/>
      <c r="AQ249" s="39"/>
      <c r="AR249" s="39"/>
      <c r="AS249" s="39"/>
      <c r="AT249" s="39">
        <f t="shared" si="5"/>
        <v>0</v>
      </c>
      <c r="AU249" s="39"/>
      <c r="AV249" s="39"/>
      <c r="AW249" s="39"/>
      <c r="AX249" s="39"/>
      <c r="AY249" s="39"/>
      <c r="AZ249" s="39">
        <f t="shared" si="6"/>
        <v>0</v>
      </c>
      <c r="BA249" s="39"/>
      <c r="BB249" s="39"/>
      <c r="BC249" s="39"/>
      <c r="BD249" s="39"/>
      <c r="BE249" s="39"/>
      <c r="BF249" s="39">
        <f t="shared" si="7"/>
        <v>0</v>
      </c>
      <c r="BG249" s="39"/>
      <c r="BH249" s="39"/>
      <c r="BI249" s="39"/>
      <c r="BJ249" s="39"/>
      <c r="BK249" s="39"/>
      <c r="BL249" s="39">
        <f t="shared" si="8"/>
        <v>0</v>
      </c>
      <c r="BM249" s="54" t="e">
        <f t="shared" si="9"/>
        <v>#DIV/0!</v>
      </c>
      <c r="BN249" s="56">
        <v>46269</v>
      </c>
      <c r="BO249" s="117">
        <v>46284</v>
      </c>
      <c r="BP249" s="39"/>
      <c r="BQ249" s="39"/>
      <c r="BR249" s="41"/>
      <c r="BS249" s="41"/>
      <c r="BT249" s="39" t="s">
        <v>2634</v>
      </c>
      <c r="BU249" s="39"/>
      <c r="BV249" s="39"/>
      <c r="BW249" s="39"/>
      <c r="BX249" s="39"/>
      <c r="BY249" s="39"/>
      <c r="BZ249" s="39">
        <f t="shared" si="10"/>
        <v>0</v>
      </c>
      <c r="CA249" s="39" t="e">
        <f t="shared" si="11"/>
        <v>#VALUE!</v>
      </c>
      <c r="CB249" s="39">
        <f t="shared" si="12"/>
        <v>0</v>
      </c>
      <c r="CC249" s="39">
        <f t="shared" si="13"/>
        <v>0</v>
      </c>
      <c r="CD249" s="39">
        <f t="shared" si="14"/>
        <v>0</v>
      </c>
      <c r="CE249" s="102" t="e">
        <f t="shared" si="15"/>
        <v>#DIV/0!</v>
      </c>
      <c r="CF249" s="36" t="s">
        <v>290</v>
      </c>
      <c r="CG249" s="39" t="s">
        <v>243</v>
      </c>
      <c r="CH249" s="39"/>
      <c r="CI249" s="25">
        <v>1</v>
      </c>
    </row>
    <row r="250" spans="1:87" ht="24.75" customHeight="1">
      <c r="A250" s="36" t="s">
        <v>51</v>
      </c>
      <c r="B250" s="28">
        <v>48154</v>
      </c>
      <c r="C250" s="235" t="s">
        <v>1748</v>
      </c>
      <c r="D250" s="36"/>
      <c r="E250" s="39">
        <v>220</v>
      </c>
      <c r="F250" s="39" t="s">
        <v>55</v>
      </c>
      <c r="G250" s="36" t="s">
        <v>193</v>
      </c>
      <c r="H250" s="36" t="s">
        <v>1431</v>
      </c>
      <c r="I250" s="39">
        <v>2944</v>
      </c>
      <c r="J250" s="39"/>
      <c r="K250" s="39"/>
      <c r="L250" s="39">
        <f t="shared" ref="L250:L255" si="126">SUM(I250:K250)</f>
        <v>2944</v>
      </c>
      <c r="M250" s="117">
        <v>46249</v>
      </c>
      <c r="N250" s="117">
        <v>46265</v>
      </c>
      <c r="O250" s="39"/>
      <c r="P250" s="39"/>
      <c r="Q250" s="39"/>
      <c r="R250" s="39">
        <f t="shared" ref="R250:R255" si="127">SUM(O250:Q250)</f>
        <v>0</v>
      </c>
      <c r="S250" s="39" t="s">
        <v>130</v>
      </c>
      <c r="T250" s="39" t="s">
        <v>2963</v>
      </c>
      <c r="U250" s="117" t="s">
        <v>2964</v>
      </c>
      <c r="V250" s="39"/>
      <c r="W250" s="39"/>
      <c r="X250" s="39"/>
      <c r="Y250" s="39">
        <f>1100+850+850+580</f>
        <v>3380</v>
      </c>
      <c r="Z250" s="39"/>
      <c r="AA250" s="39"/>
      <c r="AB250" s="119">
        <f t="shared" ref="AB250:AB255" si="128">SUM(Y250:AA250)</f>
        <v>3380</v>
      </c>
      <c r="AC250" s="39"/>
      <c r="AD250" s="39"/>
      <c r="AE250" s="39"/>
      <c r="AF250" s="39"/>
      <c r="AG250" s="39"/>
      <c r="AH250" s="39">
        <f t="shared" si="3"/>
        <v>0</v>
      </c>
      <c r="AI250" s="39"/>
      <c r="AJ250" s="39"/>
      <c r="AK250" s="39"/>
      <c r="AL250" s="39"/>
      <c r="AM250" s="39"/>
      <c r="AN250" s="39">
        <f t="shared" si="4"/>
        <v>0</v>
      </c>
      <c r="AO250" s="39"/>
      <c r="AP250" s="39"/>
      <c r="AQ250" s="39"/>
      <c r="AR250" s="39"/>
      <c r="AS250" s="39"/>
      <c r="AT250" s="39">
        <f t="shared" si="5"/>
        <v>0</v>
      </c>
      <c r="AU250" s="39"/>
      <c r="AV250" s="39"/>
      <c r="AW250" s="39"/>
      <c r="AX250" s="39"/>
      <c r="AY250" s="39"/>
      <c r="AZ250" s="39">
        <f t="shared" si="6"/>
        <v>0</v>
      </c>
      <c r="BA250" s="39"/>
      <c r="BB250" s="39"/>
      <c r="BC250" s="39"/>
      <c r="BD250" s="39"/>
      <c r="BE250" s="39"/>
      <c r="BF250" s="39">
        <f t="shared" si="7"/>
        <v>0</v>
      </c>
      <c r="BG250" s="39"/>
      <c r="BH250" s="39"/>
      <c r="BI250" s="39"/>
      <c r="BJ250" s="39"/>
      <c r="BK250" s="39"/>
      <c r="BL250" s="39">
        <f t="shared" si="8"/>
        <v>0</v>
      </c>
      <c r="BM250" s="54" t="str">
        <f t="shared" si="9"/>
        <v/>
      </c>
      <c r="BN250" s="56">
        <v>46273</v>
      </c>
      <c r="BO250" s="117">
        <v>46295</v>
      </c>
      <c r="BP250" s="39"/>
      <c r="BQ250" s="39"/>
      <c r="BR250" s="155">
        <v>46253</v>
      </c>
      <c r="BS250" s="155">
        <v>46279</v>
      </c>
      <c r="BT250" s="39" t="s">
        <v>3009</v>
      </c>
      <c r="BU250" s="39">
        <f>979+754+740+26+18+524</f>
        <v>3041</v>
      </c>
      <c r="BV250" s="39"/>
      <c r="BW250" s="39"/>
      <c r="BX250" s="39"/>
      <c r="BY250" s="39"/>
      <c r="BZ250" s="39">
        <f t="shared" si="10"/>
        <v>3041</v>
      </c>
      <c r="CA250" s="39">
        <f t="shared" si="11"/>
        <v>97</v>
      </c>
      <c r="CB250" s="39">
        <f t="shared" si="12"/>
        <v>0</v>
      </c>
      <c r="CC250" s="39">
        <f t="shared" si="13"/>
        <v>0</v>
      </c>
      <c r="CD250" s="39">
        <f t="shared" si="14"/>
        <v>0</v>
      </c>
      <c r="CE250" s="102">
        <f t="shared" si="15"/>
        <v>0</v>
      </c>
      <c r="CF250" s="36" t="s">
        <v>290</v>
      </c>
      <c r="CG250" s="39" t="s">
        <v>243</v>
      </c>
      <c r="CH250" s="39" t="s">
        <v>2450</v>
      </c>
      <c r="CI250" s="25">
        <v>1</v>
      </c>
    </row>
    <row r="251" spans="1:87" ht="24.75" customHeight="1">
      <c r="A251" s="36" t="s">
        <v>51</v>
      </c>
      <c r="B251" s="28">
        <v>48154</v>
      </c>
      <c r="C251" s="240"/>
      <c r="D251" s="36"/>
      <c r="E251" s="39">
        <v>220</v>
      </c>
      <c r="F251" s="39" t="s">
        <v>55</v>
      </c>
      <c r="G251" s="36" t="s">
        <v>47</v>
      </c>
      <c r="H251" s="36" t="s">
        <v>1431</v>
      </c>
      <c r="I251" s="39">
        <v>697</v>
      </c>
      <c r="J251" s="39"/>
      <c r="K251" s="39"/>
      <c r="L251" s="39">
        <f t="shared" si="126"/>
        <v>697</v>
      </c>
      <c r="M251" s="117">
        <v>46249</v>
      </c>
      <c r="N251" s="117">
        <v>46265</v>
      </c>
      <c r="O251" s="39"/>
      <c r="P251" s="39"/>
      <c r="Q251" s="39"/>
      <c r="R251" s="39">
        <f t="shared" ref="R251:R254" si="129">SUM(O251:Q251)</f>
        <v>0</v>
      </c>
      <c r="S251" s="39" t="s">
        <v>130</v>
      </c>
      <c r="T251" s="39">
        <v>109162</v>
      </c>
      <c r="U251" s="117">
        <v>46267</v>
      </c>
      <c r="V251" s="39"/>
      <c r="W251" s="39"/>
      <c r="X251" s="39"/>
      <c r="Y251" s="39">
        <f>806</f>
        <v>806</v>
      </c>
      <c r="Z251" s="39"/>
      <c r="AA251" s="39"/>
      <c r="AB251" s="119">
        <f t="shared" ref="AB251:AB254" si="130">SUM(Y251:AA251)</f>
        <v>806</v>
      </c>
      <c r="AC251" s="39"/>
      <c r="AD251" s="39"/>
      <c r="AE251" s="39"/>
      <c r="AF251" s="39"/>
      <c r="AG251" s="39"/>
      <c r="AH251" s="39">
        <f t="shared" si="3"/>
        <v>0</v>
      </c>
      <c r="AI251" s="39"/>
      <c r="AJ251" s="39"/>
      <c r="AK251" s="39"/>
      <c r="AL251" s="39"/>
      <c r="AM251" s="39"/>
      <c r="AN251" s="39">
        <f t="shared" si="4"/>
        <v>0</v>
      </c>
      <c r="AO251" s="39"/>
      <c r="AP251" s="39"/>
      <c r="AQ251" s="39"/>
      <c r="AR251" s="39"/>
      <c r="AS251" s="39"/>
      <c r="AT251" s="39">
        <f t="shared" si="5"/>
        <v>0</v>
      </c>
      <c r="AU251" s="39"/>
      <c r="AV251" s="39"/>
      <c r="AW251" s="39"/>
      <c r="AX251" s="39"/>
      <c r="AY251" s="39"/>
      <c r="AZ251" s="39">
        <f t="shared" si="6"/>
        <v>0</v>
      </c>
      <c r="BA251" s="39"/>
      <c r="BB251" s="39"/>
      <c r="BC251" s="39"/>
      <c r="BD251" s="39"/>
      <c r="BE251" s="39"/>
      <c r="BF251" s="39">
        <f t="shared" si="7"/>
        <v>0</v>
      </c>
      <c r="BG251" s="39"/>
      <c r="BH251" s="39"/>
      <c r="BI251" s="39"/>
      <c r="BJ251" s="39"/>
      <c r="BK251" s="39"/>
      <c r="BL251" s="39">
        <f t="shared" si="8"/>
        <v>0</v>
      </c>
      <c r="BM251" s="54" t="str">
        <f t="shared" si="9"/>
        <v/>
      </c>
      <c r="BN251" s="56">
        <v>46273</v>
      </c>
      <c r="BO251" s="117">
        <v>46295</v>
      </c>
      <c r="BP251" s="39"/>
      <c r="BQ251" s="39"/>
      <c r="BR251" s="155">
        <v>46270</v>
      </c>
      <c r="BS251" s="155">
        <v>46270</v>
      </c>
      <c r="BT251" s="39">
        <v>753</v>
      </c>
      <c r="BU251" s="39">
        <v>730</v>
      </c>
      <c r="BV251" s="39"/>
      <c r="BW251" s="39"/>
      <c r="BX251" s="39"/>
      <c r="BY251" s="39"/>
      <c r="BZ251" s="39">
        <f t="shared" si="10"/>
        <v>730</v>
      </c>
      <c r="CA251" s="39">
        <f t="shared" si="11"/>
        <v>33</v>
      </c>
      <c r="CB251" s="39">
        <f t="shared" si="12"/>
        <v>0</v>
      </c>
      <c r="CC251" s="39">
        <f t="shared" si="13"/>
        <v>0</v>
      </c>
      <c r="CD251" s="39">
        <f t="shared" si="14"/>
        <v>0</v>
      </c>
      <c r="CE251" s="102">
        <f t="shared" si="15"/>
        <v>0</v>
      </c>
      <c r="CF251" s="36" t="s">
        <v>290</v>
      </c>
      <c r="CG251" s="39" t="s">
        <v>243</v>
      </c>
      <c r="CH251" s="39"/>
      <c r="CI251" s="25">
        <v>1</v>
      </c>
    </row>
    <row r="252" spans="1:87" ht="24.75" customHeight="1">
      <c r="A252" s="36" t="s">
        <v>51</v>
      </c>
      <c r="B252" s="28">
        <v>48154</v>
      </c>
      <c r="C252" s="240"/>
      <c r="D252" s="36"/>
      <c r="E252" s="39">
        <v>220</v>
      </c>
      <c r="F252" s="39" t="s">
        <v>55</v>
      </c>
      <c r="G252" s="36" t="s">
        <v>946</v>
      </c>
      <c r="H252" s="36" t="s">
        <v>1431</v>
      </c>
      <c r="I252" s="39">
        <v>2961</v>
      </c>
      <c r="J252" s="39"/>
      <c r="K252" s="39"/>
      <c r="L252" s="39">
        <f t="shared" si="126"/>
        <v>2961</v>
      </c>
      <c r="M252" s="117">
        <v>46249</v>
      </c>
      <c r="N252" s="117">
        <v>46265</v>
      </c>
      <c r="O252" s="39"/>
      <c r="P252" s="39"/>
      <c r="Q252" s="39"/>
      <c r="R252" s="39">
        <f t="shared" si="129"/>
        <v>0</v>
      </c>
      <c r="S252" s="39" t="s">
        <v>130</v>
      </c>
      <c r="T252" s="39" t="s">
        <v>3081</v>
      </c>
      <c r="U252" s="117" t="s">
        <v>3082</v>
      </c>
      <c r="V252" s="39"/>
      <c r="W252" s="39"/>
      <c r="X252" s="39"/>
      <c r="Y252" s="39">
        <f>486+1150+983+764</f>
        <v>3383</v>
      </c>
      <c r="Z252" s="39"/>
      <c r="AA252" s="39"/>
      <c r="AB252" s="119">
        <f t="shared" si="130"/>
        <v>3383</v>
      </c>
      <c r="AC252" s="39"/>
      <c r="AD252" s="39"/>
      <c r="AE252" s="39"/>
      <c r="AF252" s="39"/>
      <c r="AG252" s="39"/>
      <c r="AH252" s="39">
        <f t="shared" si="3"/>
        <v>0</v>
      </c>
      <c r="AI252" s="39"/>
      <c r="AJ252" s="39"/>
      <c r="AK252" s="39"/>
      <c r="AL252" s="39"/>
      <c r="AM252" s="39"/>
      <c r="AN252" s="39">
        <f t="shared" si="4"/>
        <v>0</v>
      </c>
      <c r="AO252" s="39"/>
      <c r="AP252" s="39"/>
      <c r="AQ252" s="39"/>
      <c r="AR252" s="39"/>
      <c r="AS252" s="39"/>
      <c r="AT252" s="39">
        <f t="shared" si="5"/>
        <v>0</v>
      </c>
      <c r="AU252" s="39"/>
      <c r="AV252" s="39"/>
      <c r="AW252" s="39"/>
      <c r="AX252" s="39"/>
      <c r="AY252" s="39"/>
      <c r="AZ252" s="39">
        <f t="shared" si="6"/>
        <v>0</v>
      </c>
      <c r="BA252" s="39"/>
      <c r="BB252" s="39"/>
      <c r="BC252" s="39"/>
      <c r="BD252" s="39"/>
      <c r="BE252" s="39"/>
      <c r="BF252" s="39">
        <f t="shared" si="7"/>
        <v>0</v>
      </c>
      <c r="BG252" s="39"/>
      <c r="BH252" s="39"/>
      <c r="BI252" s="39"/>
      <c r="BJ252" s="39"/>
      <c r="BK252" s="39"/>
      <c r="BL252" s="39">
        <f t="shared" si="8"/>
        <v>0</v>
      </c>
      <c r="BM252" s="54" t="e">
        <f t="shared" ca="1" si="9"/>
        <v>#VALUE!</v>
      </c>
      <c r="BN252" s="56">
        <v>46273</v>
      </c>
      <c r="BO252" s="117">
        <v>46295</v>
      </c>
      <c r="BP252" s="39"/>
      <c r="BQ252" s="39"/>
      <c r="BR252" s="155">
        <v>46251</v>
      </c>
      <c r="BS252" s="41"/>
      <c r="BT252" s="39" t="s">
        <v>2556</v>
      </c>
      <c r="BU252" s="39">
        <f>444+876+1057+30</f>
        <v>2407</v>
      </c>
      <c r="BV252" s="39"/>
      <c r="BW252" s="39"/>
      <c r="BX252" s="39"/>
      <c r="BY252" s="39"/>
      <c r="BZ252" s="39">
        <f t="shared" si="10"/>
        <v>2407</v>
      </c>
      <c r="CA252" s="39">
        <f t="shared" si="11"/>
        <v>-554</v>
      </c>
      <c r="CB252" s="39">
        <f t="shared" si="12"/>
        <v>0</v>
      </c>
      <c r="CC252" s="39">
        <f t="shared" si="13"/>
        <v>0</v>
      </c>
      <c r="CD252" s="39">
        <f t="shared" si="14"/>
        <v>-554</v>
      </c>
      <c r="CE252" s="102">
        <f t="shared" si="15"/>
        <v>-0.18709895305639987</v>
      </c>
      <c r="CF252" s="36" t="s">
        <v>290</v>
      </c>
      <c r="CG252" s="39" t="s">
        <v>243</v>
      </c>
      <c r="CH252" s="39" t="s">
        <v>483</v>
      </c>
      <c r="CI252" s="25">
        <v>1</v>
      </c>
    </row>
    <row r="253" spans="1:87" ht="24.75" customHeight="1">
      <c r="A253" s="36" t="s">
        <v>51</v>
      </c>
      <c r="B253" s="28">
        <v>48154</v>
      </c>
      <c r="C253" s="240"/>
      <c r="D253" s="36"/>
      <c r="E253" s="39">
        <v>220</v>
      </c>
      <c r="F253" s="39" t="s">
        <v>55</v>
      </c>
      <c r="G253" s="36" t="s">
        <v>310</v>
      </c>
      <c r="H253" s="36" t="s">
        <v>1431</v>
      </c>
      <c r="I253" s="39">
        <v>395</v>
      </c>
      <c r="J253" s="39"/>
      <c r="K253" s="39"/>
      <c r="L253" s="39">
        <f t="shared" si="126"/>
        <v>395</v>
      </c>
      <c r="M253" s="117">
        <v>46249</v>
      </c>
      <c r="N253" s="117">
        <v>46265</v>
      </c>
      <c r="O253" s="39"/>
      <c r="P253" s="39"/>
      <c r="Q253" s="39"/>
      <c r="R253" s="39">
        <f t="shared" si="129"/>
        <v>0</v>
      </c>
      <c r="S253" s="39" t="s">
        <v>130</v>
      </c>
      <c r="T253" s="39"/>
      <c r="U253" s="39"/>
      <c r="V253" s="39"/>
      <c r="W253" s="39"/>
      <c r="X253" s="39"/>
      <c r="Y253" s="39"/>
      <c r="Z253" s="39"/>
      <c r="AA253" s="39"/>
      <c r="AB253" s="118">
        <f t="shared" si="130"/>
        <v>0</v>
      </c>
      <c r="AC253" s="39"/>
      <c r="AD253" s="39"/>
      <c r="AE253" s="39"/>
      <c r="AF253" s="39"/>
      <c r="AG253" s="39"/>
      <c r="AH253" s="39">
        <f t="shared" si="3"/>
        <v>0</v>
      </c>
      <c r="AI253" s="39"/>
      <c r="AJ253" s="39"/>
      <c r="AK253" s="39"/>
      <c r="AL253" s="39"/>
      <c r="AM253" s="39"/>
      <c r="AN253" s="39">
        <f t="shared" si="4"/>
        <v>0</v>
      </c>
      <c r="AO253" s="39"/>
      <c r="AP253" s="39"/>
      <c r="AQ253" s="39"/>
      <c r="AR253" s="39"/>
      <c r="AS253" s="39"/>
      <c r="AT253" s="39">
        <f t="shared" si="5"/>
        <v>0</v>
      </c>
      <c r="AU253" s="39"/>
      <c r="AV253" s="39"/>
      <c r="AW253" s="39"/>
      <c r="AX253" s="39"/>
      <c r="AY253" s="39"/>
      <c r="AZ253" s="39">
        <f t="shared" si="6"/>
        <v>0</v>
      </c>
      <c r="BA253" s="39"/>
      <c r="BB253" s="39"/>
      <c r="BC253" s="39"/>
      <c r="BD253" s="39"/>
      <c r="BE253" s="39"/>
      <c r="BF253" s="39">
        <f t="shared" si="7"/>
        <v>0</v>
      </c>
      <c r="BG253" s="39"/>
      <c r="BH253" s="39"/>
      <c r="BI253" s="39"/>
      <c r="BJ253" s="39"/>
      <c r="BK253" s="39"/>
      <c r="BL253" s="39">
        <f t="shared" si="8"/>
        <v>0</v>
      </c>
      <c r="BM253" s="54">
        <f t="shared" ca="1" si="9"/>
        <v>46283</v>
      </c>
      <c r="BN253" s="56">
        <v>46273</v>
      </c>
      <c r="BO253" s="117">
        <v>46295</v>
      </c>
      <c r="BP253" s="39"/>
      <c r="BQ253" s="39"/>
      <c r="BR253" s="41"/>
      <c r="BS253" s="41"/>
      <c r="BT253" s="39"/>
      <c r="BU253" s="39"/>
      <c r="BV253" s="39"/>
      <c r="BW253" s="39"/>
      <c r="BX253" s="39"/>
      <c r="BY253" s="39"/>
      <c r="BZ253" s="39">
        <f t="shared" si="10"/>
        <v>0</v>
      </c>
      <c r="CA253" s="39">
        <f t="shared" si="11"/>
        <v>-395</v>
      </c>
      <c r="CB253" s="39">
        <f t="shared" si="12"/>
        <v>0</v>
      </c>
      <c r="CC253" s="39">
        <f t="shared" si="13"/>
        <v>0</v>
      </c>
      <c r="CD253" s="39">
        <f t="shared" si="14"/>
        <v>-395</v>
      </c>
      <c r="CE253" s="102">
        <f t="shared" si="15"/>
        <v>-1</v>
      </c>
      <c r="CF253" s="36" t="s">
        <v>290</v>
      </c>
      <c r="CG253" s="39" t="s">
        <v>243</v>
      </c>
      <c r="CH253" s="39"/>
      <c r="CI253" s="25">
        <v>1</v>
      </c>
    </row>
    <row r="254" spans="1:87" ht="24.75" customHeight="1">
      <c r="A254" s="36" t="s">
        <v>51</v>
      </c>
      <c r="B254" s="28">
        <v>48154</v>
      </c>
      <c r="C254" s="236"/>
      <c r="D254" s="36"/>
      <c r="E254" s="39"/>
      <c r="F254" s="39"/>
      <c r="G254" s="36" t="s">
        <v>317</v>
      </c>
      <c r="H254" s="36">
        <f>20000+4800+20200+2800</f>
        <v>47800</v>
      </c>
      <c r="I254" s="39" t="s">
        <v>90</v>
      </c>
      <c r="J254" s="39"/>
      <c r="K254" s="39"/>
      <c r="L254" s="39">
        <f t="shared" si="126"/>
        <v>0</v>
      </c>
      <c r="M254" s="117">
        <v>46249</v>
      </c>
      <c r="N254" s="117">
        <v>46265</v>
      </c>
      <c r="O254" s="39"/>
      <c r="P254" s="39"/>
      <c r="Q254" s="39"/>
      <c r="R254" s="39">
        <f t="shared" si="129"/>
        <v>0</v>
      </c>
      <c r="S254" s="39" t="s">
        <v>130</v>
      </c>
      <c r="T254" s="39" t="s">
        <v>2757</v>
      </c>
      <c r="U254" s="117" t="s">
        <v>2756</v>
      </c>
      <c r="V254" s="39"/>
      <c r="W254" s="39"/>
      <c r="X254" s="39"/>
      <c r="Y254" s="39">
        <f>238+244+67</f>
        <v>549</v>
      </c>
      <c r="Z254" s="39"/>
      <c r="AA254" s="39"/>
      <c r="AB254" s="39">
        <f t="shared" si="130"/>
        <v>549</v>
      </c>
      <c r="AC254" s="39"/>
      <c r="AD254" s="39"/>
      <c r="AE254" s="39"/>
      <c r="AF254" s="39"/>
      <c r="AG254" s="39"/>
      <c r="AH254" s="39">
        <f t="shared" si="3"/>
        <v>0</v>
      </c>
      <c r="AI254" s="39"/>
      <c r="AJ254" s="39"/>
      <c r="AK254" s="39"/>
      <c r="AL254" s="39"/>
      <c r="AM254" s="39"/>
      <c r="AN254" s="39">
        <f t="shared" si="4"/>
        <v>0</v>
      </c>
      <c r="AO254" s="39"/>
      <c r="AP254" s="39"/>
      <c r="AQ254" s="39"/>
      <c r="AR254" s="39"/>
      <c r="AS254" s="39"/>
      <c r="AT254" s="39">
        <f t="shared" si="5"/>
        <v>0</v>
      </c>
      <c r="AU254" s="39"/>
      <c r="AV254" s="39"/>
      <c r="AW254" s="39"/>
      <c r="AX254" s="39"/>
      <c r="AY254" s="39"/>
      <c r="AZ254" s="39">
        <f t="shared" si="6"/>
        <v>0</v>
      </c>
      <c r="BA254" s="39"/>
      <c r="BB254" s="39"/>
      <c r="BC254" s="39"/>
      <c r="BD254" s="39"/>
      <c r="BE254" s="39"/>
      <c r="BF254" s="39">
        <f t="shared" si="7"/>
        <v>0</v>
      </c>
      <c r="BG254" s="39"/>
      <c r="BH254" s="39"/>
      <c r="BI254" s="39"/>
      <c r="BJ254" s="39"/>
      <c r="BK254" s="39"/>
      <c r="BL254" s="39">
        <f t="shared" si="8"/>
        <v>0</v>
      </c>
      <c r="BM254" s="54" t="e">
        <f t="shared" si="9"/>
        <v>#DIV/0!</v>
      </c>
      <c r="BN254" s="56">
        <v>46273</v>
      </c>
      <c r="BO254" s="117">
        <v>46295</v>
      </c>
      <c r="BP254" s="39"/>
      <c r="BQ254" s="39"/>
      <c r="BR254" s="41"/>
      <c r="BS254" s="41"/>
      <c r="BT254" s="39" t="s">
        <v>2981</v>
      </c>
      <c r="BU254" s="39"/>
      <c r="BV254" s="39"/>
      <c r="BW254" s="39"/>
      <c r="BX254" s="39"/>
      <c r="BY254" s="39"/>
      <c r="BZ254" s="39">
        <f t="shared" si="10"/>
        <v>0</v>
      </c>
      <c r="CA254" s="39" t="e">
        <f t="shared" si="11"/>
        <v>#VALUE!</v>
      </c>
      <c r="CB254" s="39">
        <f t="shared" si="12"/>
        <v>0</v>
      </c>
      <c r="CC254" s="39">
        <f t="shared" si="13"/>
        <v>0</v>
      </c>
      <c r="CD254" s="39">
        <f t="shared" si="14"/>
        <v>0</v>
      </c>
      <c r="CE254" s="102" t="e">
        <f t="shared" si="15"/>
        <v>#DIV/0!</v>
      </c>
      <c r="CF254" s="36" t="s">
        <v>290</v>
      </c>
      <c r="CG254" s="39" t="s">
        <v>243</v>
      </c>
      <c r="CH254" s="39"/>
      <c r="CI254" s="25">
        <v>1</v>
      </c>
    </row>
    <row r="255" spans="1:87" ht="24.75" customHeight="1">
      <c r="A255" s="36" t="s">
        <v>51</v>
      </c>
      <c r="B255" s="28">
        <v>48195</v>
      </c>
      <c r="C255" s="41">
        <v>22039022</v>
      </c>
      <c r="D255" s="36" t="s">
        <v>45</v>
      </c>
      <c r="E255" s="39">
        <v>280</v>
      </c>
      <c r="F255" s="39" t="s">
        <v>53</v>
      </c>
      <c r="G255" s="36" t="s">
        <v>1433</v>
      </c>
      <c r="H255" s="36" t="s">
        <v>995</v>
      </c>
      <c r="I255" s="39">
        <v>291</v>
      </c>
      <c r="J255" s="39">
        <v>53</v>
      </c>
      <c r="K255" s="39">
        <v>12</v>
      </c>
      <c r="L255" s="39">
        <f t="shared" si="126"/>
        <v>356</v>
      </c>
      <c r="M255" s="117">
        <v>46254</v>
      </c>
      <c r="N255" s="117">
        <v>46259</v>
      </c>
      <c r="O255" s="39"/>
      <c r="P255" s="39"/>
      <c r="Q255" s="39"/>
      <c r="R255" s="39">
        <f t="shared" si="127"/>
        <v>0</v>
      </c>
      <c r="S255" s="39" t="s">
        <v>130</v>
      </c>
      <c r="T255" s="39">
        <v>108901</v>
      </c>
      <c r="U255" s="117">
        <v>46258</v>
      </c>
      <c r="V255" s="39"/>
      <c r="W255" s="39"/>
      <c r="X255" s="39"/>
      <c r="Y255" s="39">
        <v>340</v>
      </c>
      <c r="Z255" s="39">
        <v>64</v>
      </c>
      <c r="AA255" s="39">
        <v>15</v>
      </c>
      <c r="AB255" s="119">
        <f t="shared" si="128"/>
        <v>419</v>
      </c>
      <c r="AC255" s="39"/>
      <c r="AD255" s="39"/>
      <c r="AE255" s="39"/>
      <c r="AF255" s="39"/>
      <c r="AG255" s="39"/>
      <c r="AH255" s="39">
        <f t="shared" si="3"/>
        <v>0</v>
      </c>
      <c r="AI255" s="39"/>
      <c r="AJ255" s="39"/>
      <c r="AK255" s="39"/>
      <c r="AL255" s="39"/>
      <c r="AM255" s="39"/>
      <c r="AN255" s="39">
        <f t="shared" si="4"/>
        <v>0</v>
      </c>
      <c r="AO255" s="39" t="s">
        <v>2657</v>
      </c>
      <c r="AP255" s="117" t="s">
        <v>2642</v>
      </c>
      <c r="AQ255" s="39">
        <f>315+28</f>
        <v>343</v>
      </c>
      <c r="AR255" s="117" t="s">
        <v>2906</v>
      </c>
      <c r="AS255" s="39">
        <f>22+268</f>
        <v>290</v>
      </c>
      <c r="AT255" s="39">
        <f t="shared" si="5"/>
        <v>-53</v>
      </c>
      <c r="AU255" s="39" t="s">
        <v>257</v>
      </c>
      <c r="AV255" s="117" t="s">
        <v>2906</v>
      </c>
      <c r="AW255" s="39">
        <f>22+268</f>
        <v>290</v>
      </c>
      <c r="AX255" s="117" t="s">
        <v>2913</v>
      </c>
      <c r="AY255" s="39">
        <f>22+263</f>
        <v>285</v>
      </c>
      <c r="AZ255" s="39">
        <f t="shared" si="6"/>
        <v>-5</v>
      </c>
      <c r="BA255" s="39"/>
      <c r="BB255" s="39"/>
      <c r="BC255" s="39"/>
      <c r="BD255" s="39"/>
      <c r="BE255" s="39"/>
      <c r="BF255" s="39">
        <f t="shared" si="7"/>
        <v>0</v>
      </c>
      <c r="BG255" s="39"/>
      <c r="BH255" s="39"/>
      <c r="BI255" s="39"/>
      <c r="BJ255" s="39"/>
      <c r="BK255" s="39"/>
      <c r="BL255" s="39">
        <f t="shared" si="8"/>
        <v>0</v>
      </c>
      <c r="BM255" s="54">
        <f t="shared" ca="1" si="9"/>
        <v>25</v>
      </c>
      <c r="BN255" s="56">
        <v>46267</v>
      </c>
      <c r="BO255" s="117">
        <v>46280</v>
      </c>
      <c r="BP255" s="39"/>
      <c r="BQ255" s="39"/>
      <c r="BR255" s="39"/>
      <c r="BS255" s="39"/>
      <c r="BT255" s="39"/>
      <c r="BU255" s="39"/>
      <c r="BV255" s="39"/>
      <c r="BW255" s="39"/>
      <c r="BX255" s="39"/>
      <c r="BY255" s="39"/>
      <c r="BZ255" s="39">
        <f t="shared" si="10"/>
        <v>0</v>
      </c>
      <c r="CA255" s="39">
        <f t="shared" si="11"/>
        <v>-291</v>
      </c>
      <c r="CB255" s="39">
        <f t="shared" si="12"/>
        <v>-53</v>
      </c>
      <c r="CC255" s="39">
        <f t="shared" si="13"/>
        <v>-12</v>
      </c>
      <c r="CD255" s="39">
        <f t="shared" si="14"/>
        <v>-356</v>
      </c>
      <c r="CE255" s="102">
        <f t="shared" si="15"/>
        <v>-1</v>
      </c>
      <c r="CF255" s="36" t="s">
        <v>290</v>
      </c>
      <c r="CG255" s="39" t="s">
        <v>243</v>
      </c>
      <c r="CH255" s="39"/>
      <c r="CI255" s="25">
        <v>1</v>
      </c>
    </row>
    <row r="256" spans="1:87" ht="24.75" customHeight="1">
      <c r="A256" s="36" t="s">
        <v>51</v>
      </c>
      <c r="B256" s="28">
        <v>48197</v>
      </c>
      <c r="C256" s="235" t="s">
        <v>1848</v>
      </c>
      <c r="D256" s="36"/>
      <c r="E256" s="39">
        <v>220</v>
      </c>
      <c r="F256" s="39" t="s">
        <v>55</v>
      </c>
      <c r="G256" s="36" t="s">
        <v>193</v>
      </c>
      <c r="H256" s="36" t="s">
        <v>1431</v>
      </c>
      <c r="I256" s="39">
        <v>662</v>
      </c>
      <c r="J256" s="39">
        <v>36</v>
      </c>
      <c r="K256" s="39"/>
      <c r="L256" s="39">
        <f t="shared" ref="L256:L265" si="131">SUM(I256:K256)</f>
        <v>698</v>
      </c>
      <c r="M256" s="117">
        <v>46247</v>
      </c>
      <c r="N256" s="117">
        <v>46258</v>
      </c>
      <c r="O256" s="39"/>
      <c r="P256" s="39"/>
      <c r="Q256" s="39"/>
      <c r="R256" s="39">
        <f t="shared" ref="R256:R259" si="132">SUM(O256:Q256)</f>
        <v>0</v>
      </c>
      <c r="S256" s="39" t="s">
        <v>130</v>
      </c>
      <c r="T256" s="39">
        <v>108745</v>
      </c>
      <c r="U256" s="117">
        <v>46252</v>
      </c>
      <c r="V256" s="39"/>
      <c r="W256" s="39"/>
      <c r="X256" s="39"/>
      <c r="Y256" s="39">
        <v>761</v>
      </c>
      <c r="Z256" s="39">
        <v>42</v>
      </c>
      <c r="AA256" s="39"/>
      <c r="AB256" s="119">
        <f t="shared" ref="AB256:AB265" si="133">SUM(Y256:AA256)</f>
        <v>803</v>
      </c>
      <c r="AC256" s="39"/>
      <c r="AD256" s="39"/>
      <c r="AE256" s="39"/>
      <c r="AF256" s="39"/>
      <c r="AG256" s="39"/>
      <c r="AH256" s="39">
        <f t="shared" si="3"/>
        <v>0</v>
      </c>
      <c r="AI256" s="39"/>
      <c r="AJ256" s="39"/>
      <c r="AK256" s="39"/>
      <c r="AL256" s="39"/>
      <c r="AM256" s="39"/>
      <c r="AN256" s="39">
        <f t="shared" si="4"/>
        <v>0</v>
      </c>
      <c r="AO256" s="39"/>
      <c r="AP256" s="39"/>
      <c r="AQ256" s="39"/>
      <c r="AR256" s="39"/>
      <c r="AS256" s="39"/>
      <c r="AT256" s="39">
        <f t="shared" si="5"/>
        <v>0</v>
      </c>
      <c r="AU256" s="39"/>
      <c r="AV256" s="39"/>
      <c r="AW256" s="39"/>
      <c r="AX256" s="39"/>
      <c r="AY256" s="39"/>
      <c r="AZ256" s="39">
        <f t="shared" si="6"/>
        <v>0</v>
      </c>
      <c r="BA256" s="39"/>
      <c r="BB256" s="39"/>
      <c r="BC256" s="39"/>
      <c r="BD256" s="39"/>
      <c r="BE256" s="39"/>
      <c r="BF256" s="39">
        <f t="shared" si="7"/>
        <v>0</v>
      </c>
      <c r="BG256" s="39"/>
      <c r="BH256" s="39"/>
      <c r="BI256" s="39"/>
      <c r="BJ256" s="39"/>
      <c r="BK256" s="39"/>
      <c r="BL256" s="39">
        <f t="shared" si="8"/>
        <v>0</v>
      </c>
      <c r="BM256" s="54" t="str">
        <f t="shared" si="9"/>
        <v/>
      </c>
      <c r="BN256" s="56">
        <v>46270</v>
      </c>
      <c r="BO256" s="117">
        <v>46285</v>
      </c>
      <c r="BP256" s="39"/>
      <c r="BQ256" s="39"/>
      <c r="BR256" s="155">
        <v>46253</v>
      </c>
      <c r="BS256" s="155">
        <v>46253</v>
      </c>
      <c r="BT256" s="39">
        <v>1010</v>
      </c>
      <c r="BU256" s="39">
        <v>677</v>
      </c>
      <c r="BV256" s="39">
        <v>1010</v>
      </c>
      <c r="BW256" s="39">
        <v>38</v>
      </c>
      <c r="BX256" s="39"/>
      <c r="BY256" s="39"/>
      <c r="BZ256" s="39">
        <f t="shared" si="10"/>
        <v>715</v>
      </c>
      <c r="CA256" s="39">
        <f t="shared" si="11"/>
        <v>15</v>
      </c>
      <c r="CB256" s="39">
        <f t="shared" si="12"/>
        <v>2</v>
      </c>
      <c r="CC256" s="39">
        <f t="shared" si="13"/>
        <v>0</v>
      </c>
      <c r="CD256" s="39">
        <f t="shared" si="14"/>
        <v>0</v>
      </c>
      <c r="CE256" s="102">
        <f t="shared" si="15"/>
        <v>0</v>
      </c>
      <c r="CF256" s="36" t="s">
        <v>290</v>
      </c>
      <c r="CG256" s="39" t="s">
        <v>243</v>
      </c>
      <c r="CH256" s="39"/>
      <c r="CI256" s="25">
        <v>1</v>
      </c>
    </row>
    <row r="257" spans="1:87" ht="24.75" customHeight="1">
      <c r="A257" s="36" t="s">
        <v>51</v>
      </c>
      <c r="B257" s="28">
        <v>48197</v>
      </c>
      <c r="C257" s="240"/>
      <c r="D257" s="36"/>
      <c r="E257" s="39">
        <v>220</v>
      </c>
      <c r="F257" s="39" t="s">
        <v>55</v>
      </c>
      <c r="G257" s="36" t="s">
        <v>603</v>
      </c>
      <c r="H257" s="36" t="s">
        <v>1431</v>
      </c>
      <c r="I257" s="39">
        <v>686</v>
      </c>
      <c r="J257" s="39">
        <v>37</v>
      </c>
      <c r="K257" s="39"/>
      <c r="L257" s="39">
        <f t="shared" si="131"/>
        <v>723</v>
      </c>
      <c r="M257" s="117">
        <v>46247</v>
      </c>
      <c r="N257" s="117">
        <v>46258</v>
      </c>
      <c r="O257" s="39"/>
      <c r="P257" s="39"/>
      <c r="Q257" s="39"/>
      <c r="R257" s="39">
        <f t="shared" si="132"/>
        <v>0</v>
      </c>
      <c r="S257" s="39" t="s">
        <v>130</v>
      </c>
      <c r="T257" s="39">
        <v>108891</v>
      </c>
      <c r="U257" s="117">
        <v>46256</v>
      </c>
      <c r="V257" s="39"/>
      <c r="W257" s="39"/>
      <c r="X257" s="39"/>
      <c r="Y257" s="39">
        <v>789</v>
      </c>
      <c r="Z257" s="39">
        <v>46</v>
      </c>
      <c r="AA257" s="39"/>
      <c r="AB257" s="119">
        <f t="shared" si="133"/>
        <v>835</v>
      </c>
      <c r="AC257" s="39"/>
      <c r="AD257" s="39"/>
      <c r="AE257" s="39"/>
      <c r="AF257" s="39"/>
      <c r="AG257" s="39"/>
      <c r="AH257" s="39">
        <f t="shared" si="3"/>
        <v>0</v>
      </c>
      <c r="AI257" s="39"/>
      <c r="AJ257" s="39"/>
      <c r="AK257" s="39"/>
      <c r="AL257" s="39"/>
      <c r="AM257" s="39"/>
      <c r="AN257" s="39">
        <f t="shared" si="4"/>
        <v>0</v>
      </c>
      <c r="AO257" s="39"/>
      <c r="AP257" s="39"/>
      <c r="AQ257" s="39"/>
      <c r="AR257" s="39"/>
      <c r="AS257" s="39"/>
      <c r="AT257" s="39">
        <f t="shared" si="5"/>
        <v>0</v>
      </c>
      <c r="AU257" s="39"/>
      <c r="AV257" s="39"/>
      <c r="AW257" s="39"/>
      <c r="AX257" s="39"/>
      <c r="AY257" s="39"/>
      <c r="AZ257" s="39">
        <f t="shared" si="6"/>
        <v>0</v>
      </c>
      <c r="BA257" s="39"/>
      <c r="BB257" s="39"/>
      <c r="BC257" s="39"/>
      <c r="BD257" s="39"/>
      <c r="BE257" s="39"/>
      <c r="BF257" s="39">
        <f t="shared" si="7"/>
        <v>0</v>
      </c>
      <c r="BG257" s="39"/>
      <c r="BH257" s="39"/>
      <c r="BI257" s="39"/>
      <c r="BJ257" s="39"/>
      <c r="BK257" s="39"/>
      <c r="BL257" s="39">
        <f t="shared" si="8"/>
        <v>0</v>
      </c>
      <c r="BM257" s="54" t="str">
        <f t="shared" si="9"/>
        <v/>
      </c>
      <c r="BN257" s="56">
        <v>46270</v>
      </c>
      <c r="BO257" s="117">
        <v>46285</v>
      </c>
      <c r="BP257" s="39"/>
      <c r="BQ257" s="39"/>
      <c r="BR257" s="155">
        <v>46258</v>
      </c>
      <c r="BS257" s="155">
        <v>46265</v>
      </c>
      <c r="BT257" s="39" t="s">
        <v>2706</v>
      </c>
      <c r="BU257" s="39">
        <f>584+137</f>
        <v>721</v>
      </c>
      <c r="BV257" s="39">
        <v>1034</v>
      </c>
      <c r="BW257" s="39">
        <v>41</v>
      </c>
      <c r="BX257" s="39"/>
      <c r="BY257" s="39"/>
      <c r="BZ257" s="39">
        <f t="shared" si="10"/>
        <v>762</v>
      </c>
      <c r="CA257" s="39">
        <f t="shared" si="11"/>
        <v>35</v>
      </c>
      <c r="CB257" s="39">
        <f t="shared" si="12"/>
        <v>4</v>
      </c>
      <c r="CC257" s="39">
        <f t="shared" si="13"/>
        <v>0</v>
      </c>
      <c r="CD257" s="39">
        <f t="shared" si="14"/>
        <v>0</v>
      </c>
      <c r="CE257" s="102">
        <f t="shared" si="15"/>
        <v>0</v>
      </c>
      <c r="CF257" s="36" t="s">
        <v>290</v>
      </c>
      <c r="CG257" s="39" t="s">
        <v>243</v>
      </c>
      <c r="CH257" s="39" t="s">
        <v>2557</v>
      </c>
      <c r="CI257" s="25">
        <v>1</v>
      </c>
    </row>
    <row r="258" spans="1:87" ht="24.75" customHeight="1">
      <c r="A258" s="36" t="s">
        <v>51</v>
      </c>
      <c r="B258" s="28">
        <v>48197</v>
      </c>
      <c r="C258" s="240"/>
      <c r="D258" s="36"/>
      <c r="E258" s="39">
        <v>220</v>
      </c>
      <c r="F258" s="39" t="s">
        <v>55</v>
      </c>
      <c r="G258" s="36" t="s">
        <v>310</v>
      </c>
      <c r="H258" s="36" t="s">
        <v>1431</v>
      </c>
      <c r="I258" s="39">
        <v>704</v>
      </c>
      <c r="J258" s="39">
        <v>38</v>
      </c>
      <c r="K258" s="39"/>
      <c r="L258" s="39">
        <f t="shared" si="131"/>
        <v>742</v>
      </c>
      <c r="M258" s="117">
        <v>46247</v>
      </c>
      <c r="N258" s="117">
        <v>46258</v>
      </c>
      <c r="O258" s="39"/>
      <c r="P258" s="39"/>
      <c r="Q258" s="39"/>
      <c r="R258" s="39">
        <f t="shared" si="132"/>
        <v>0</v>
      </c>
      <c r="S258" s="39" t="s">
        <v>130</v>
      </c>
      <c r="T258" s="39" t="s">
        <v>2700</v>
      </c>
      <c r="U258" s="117" t="s">
        <v>2673</v>
      </c>
      <c r="V258" s="39"/>
      <c r="W258" s="39"/>
      <c r="X258" s="39"/>
      <c r="Y258" s="39">
        <f>686+95</f>
        <v>781</v>
      </c>
      <c r="Z258" s="39">
        <f>38+8</f>
        <v>46</v>
      </c>
      <c r="AA258" s="39"/>
      <c r="AB258" s="119">
        <f t="shared" si="133"/>
        <v>827</v>
      </c>
      <c r="AC258" s="39"/>
      <c r="AD258" s="39"/>
      <c r="AE258" s="39"/>
      <c r="AF258" s="39"/>
      <c r="AG258" s="39"/>
      <c r="AH258" s="39">
        <f t="shared" si="3"/>
        <v>0</v>
      </c>
      <c r="AI258" s="39"/>
      <c r="AJ258" s="39"/>
      <c r="AK258" s="39"/>
      <c r="AL258" s="39"/>
      <c r="AM258" s="39"/>
      <c r="AN258" s="39">
        <f t="shared" si="4"/>
        <v>0</v>
      </c>
      <c r="AO258" s="39"/>
      <c r="AP258" s="39"/>
      <c r="AQ258" s="39"/>
      <c r="AR258" s="39"/>
      <c r="AS258" s="39"/>
      <c r="AT258" s="39">
        <f t="shared" si="5"/>
        <v>0</v>
      </c>
      <c r="AU258" s="39"/>
      <c r="AV258" s="39"/>
      <c r="AW258" s="39"/>
      <c r="AX258" s="39"/>
      <c r="AY258" s="39"/>
      <c r="AZ258" s="39">
        <f t="shared" si="6"/>
        <v>0</v>
      </c>
      <c r="BA258" s="39"/>
      <c r="BB258" s="39"/>
      <c r="BC258" s="39"/>
      <c r="BD258" s="39"/>
      <c r="BE258" s="39"/>
      <c r="BF258" s="39">
        <f t="shared" si="7"/>
        <v>0</v>
      </c>
      <c r="BG258" s="39"/>
      <c r="BH258" s="39"/>
      <c r="BI258" s="39"/>
      <c r="BJ258" s="39"/>
      <c r="BK258" s="39"/>
      <c r="BL258" s="39">
        <f t="shared" si="8"/>
        <v>0</v>
      </c>
      <c r="BM258" s="54" t="str">
        <f t="shared" si="9"/>
        <v/>
      </c>
      <c r="BN258" s="56">
        <v>46270</v>
      </c>
      <c r="BO258" s="117">
        <v>46285</v>
      </c>
      <c r="BP258" s="39"/>
      <c r="BQ258" s="39"/>
      <c r="BR258" s="155">
        <v>46267</v>
      </c>
      <c r="BS258" s="155">
        <v>46267</v>
      </c>
      <c r="BT258" s="39" t="s">
        <v>2742</v>
      </c>
      <c r="BU258" s="39">
        <f>656+88</f>
        <v>744</v>
      </c>
      <c r="BV258" s="39" t="s">
        <v>2742</v>
      </c>
      <c r="BW258" s="39">
        <f>35+7</f>
        <v>42</v>
      </c>
      <c r="BX258" s="39"/>
      <c r="BY258" s="39"/>
      <c r="BZ258" s="39">
        <f t="shared" si="10"/>
        <v>786</v>
      </c>
      <c r="CA258" s="39">
        <f t="shared" si="11"/>
        <v>40</v>
      </c>
      <c r="CB258" s="39">
        <f t="shared" si="12"/>
        <v>4</v>
      </c>
      <c r="CC258" s="39">
        <f t="shared" si="13"/>
        <v>0</v>
      </c>
      <c r="CD258" s="39">
        <f t="shared" si="14"/>
        <v>0</v>
      </c>
      <c r="CE258" s="102">
        <f t="shared" si="15"/>
        <v>0</v>
      </c>
      <c r="CF258" s="36" t="s">
        <v>290</v>
      </c>
      <c r="CG258" s="39" t="s">
        <v>243</v>
      </c>
      <c r="CH258" s="39"/>
      <c r="CI258" s="25">
        <v>1</v>
      </c>
    </row>
    <row r="259" spans="1:87" ht="24.75" customHeight="1">
      <c r="A259" s="36" t="s">
        <v>51</v>
      </c>
      <c r="B259" s="28">
        <v>48197</v>
      </c>
      <c r="C259" s="236"/>
      <c r="D259" s="36"/>
      <c r="E259" s="39"/>
      <c r="F259" s="39"/>
      <c r="G259" s="36" t="s">
        <v>944</v>
      </c>
      <c r="H259" s="36">
        <f>1100+1100+1130</f>
        <v>3330</v>
      </c>
      <c r="I259" s="39" t="s">
        <v>90</v>
      </c>
      <c r="J259" s="39"/>
      <c r="K259" s="39"/>
      <c r="L259" s="39">
        <f t="shared" si="131"/>
        <v>0</v>
      </c>
      <c r="M259" s="117">
        <v>46247</v>
      </c>
      <c r="N259" s="117">
        <v>46258</v>
      </c>
      <c r="O259" s="39"/>
      <c r="P259" s="39"/>
      <c r="Q259" s="39"/>
      <c r="R259" s="39">
        <f t="shared" si="132"/>
        <v>0</v>
      </c>
      <c r="S259" s="39" t="s">
        <v>130</v>
      </c>
      <c r="T259" s="39" t="s">
        <v>2653</v>
      </c>
      <c r="U259" s="117" t="s">
        <v>2652</v>
      </c>
      <c r="V259" s="39"/>
      <c r="W259" s="39"/>
      <c r="X259" s="39"/>
      <c r="Y259" s="39">
        <f>6+6</f>
        <v>12</v>
      </c>
      <c r="Z259" s="39"/>
      <c r="AA259" s="39"/>
      <c r="AB259" s="39">
        <f t="shared" si="133"/>
        <v>12</v>
      </c>
      <c r="AC259" s="39"/>
      <c r="AD259" s="39"/>
      <c r="AE259" s="39"/>
      <c r="AF259" s="39"/>
      <c r="AG259" s="39"/>
      <c r="AH259" s="39">
        <f t="shared" si="3"/>
        <v>0</v>
      </c>
      <c r="AI259" s="39"/>
      <c r="AJ259" s="39"/>
      <c r="AK259" s="39"/>
      <c r="AL259" s="39"/>
      <c r="AM259" s="39"/>
      <c r="AN259" s="39">
        <f t="shared" si="4"/>
        <v>0</v>
      </c>
      <c r="AO259" s="39"/>
      <c r="AP259" s="39"/>
      <c r="AQ259" s="39"/>
      <c r="AR259" s="39"/>
      <c r="AS259" s="39"/>
      <c r="AT259" s="39">
        <f t="shared" si="5"/>
        <v>0</v>
      </c>
      <c r="AU259" s="39"/>
      <c r="AV259" s="39"/>
      <c r="AW259" s="39"/>
      <c r="AX259" s="39"/>
      <c r="AY259" s="39"/>
      <c r="AZ259" s="39">
        <f t="shared" si="6"/>
        <v>0</v>
      </c>
      <c r="BA259" s="39"/>
      <c r="BB259" s="39"/>
      <c r="BC259" s="39"/>
      <c r="BD259" s="39"/>
      <c r="BE259" s="39"/>
      <c r="BF259" s="39">
        <f t="shared" si="7"/>
        <v>0</v>
      </c>
      <c r="BG259" s="39"/>
      <c r="BH259" s="39"/>
      <c r="BI259" s="39"/>
      <c r="BJ259" s="39"/>
      <c r="BK259" s="39"/>
      <c r="BL259" s="39">
        <f t="shared" si="8"/>
        <v>0</v>
      </c>
      <c r="BM259" s="54" t="e">
        <f t="shared" si="9"/>
        <v>#DIV/0!</v>
      </c>
      <c r="BN259" s="56">
        <v>46270</v>
      </c>
      <c r="BO259" s="117">
        <v>46285</v>
      </c>
      <c r="BP259" s="39"/>
      <c r="BQ259" s="39"/>
      <c r="BR259" s="41"/>
      <c r="BS259" s="41"/>
      <c r="BT259" s="39" t="s">
        <v>2766</v>
      </c>
      <c r="BU259" s="39"/>
      <c r="BV259" s="39"/>
      <c r="BW259" s="39"/>
      <c r="BX259" s="39"/>
      <c r="BY259" s="39"/>
      <c r="BZ259" s="39">
        <f t="shared" si="10"/>
        <v>0</v>
      </c>
      <c r="CA259" s="39" t="e">
        <f t="shared" si="11"/>
        <v>#VALUE!</v>
      </c>
      <c r="CB259" s="39">
        <f t="shared" si="12"/>
        <v>0</v>
      </c>
      <c r="CC259" s="39">
        <f t="shared" si="13"/>
        <v>0</v>
      </c>
      <c r="CD259" s="39">
        <f t="shared" si="14"/>
        <v>0</v>
      </c>
      <c r="CE259" s="102" t="e">
        <f t="shared" si="15"/>
        <v>#DIV/0!</v>
      </c>
      <c r="CF259" s="36" t="s">
        <v>290</v>
      </c>
      <c r="CG259" s="39" t="s">
        <v>243</v>
      </c>
      <c r="CH259" s="39"/>
      <c r="CI259" s="25">
        <v>1</v>
      </c>
    </row>
    <row r="260" spans="1:87" ht="24.75" customHeight="1">
      <c r="A260" s="36" t="s">
        <v>51</v>
      </c>
      <c r="B260" s="28">
        <v>48198</v>
      </c>
      <c r="C260" s="235" t="s">
        <v>1849</v>
      </c>
      <c r="D260" s="36"/>
      <c r="E260" s="39">
        <v>220</v>
      </c>
      <c r="F260" s="39" t="s">
        <v>55</v>
      </c>
      <c r="G260" s="36" t="s">
        <v>193</v>
      </c>
      <c r="H260" s="36" t="s">
        <v>1431</v>
      </c>
      <c r="I260" s="39">
        <v>823</v>
      </c>
      <c r="J260" s="39"/>
      <c r="K260" s="39"/>
      <c r="L260" s="39">
        <f t="shared" si="131"/>
        <v>823</v>
      </c>
      <c r="M260" s="117">
        <v>46259</v>
      </c>
      <c r="N260" s="117">
        <v>46270</v>
      </c>
      <c r="O260" s="39"/>
      <c r="P260" s="39"/>
      <c r="Q260" s="39"/>
      <c r="R260" s="39">
        <f t="shared" ref="R260:R265" si="134">SUM(O260:Q260)</f>
        <v>0</v>
      </c>
      <c r="S260" s="39" t="s">
        <v>130</v>
      </c>
      <c r="T260" s="39">
        <v>109335</v>
      </c>
      <c r="U260" s="117">
        <v>46276</v>
      </c>
      <c r="V260" s="39"/>
      <c r="W260" s="39"/>
      <c r="X260" s="39"/>
      <c r="Y260" s="39">
        <f>520</f>
        <v>520</v>
      </c>
      <c r="Z260" s="39"/>
      <c r="AA260" s="39"/>
      <c r="AB260" s="118">
        <f t="shared" si="133"/>
        <v>520</v>
      </c>
      <c r="AC260" s="39"/>
      <c r="AD260" s="39"/>
      <c r="AE260" s="39"/>
      <c r="AF260" s="39"/>
      <c r="AG260" s="39"/>
      <c r="AH260" s="39">
        <f t="shared" si="3"/>
        <v>0</v>
      </c>
      <c r="AI260" s="39"/>
      <c r="AJ260" s="39"/>
      <c r="AK260" s="39"/>
      <c r="AL260" s="39"/>
      <c r="AM260" s="39"/>
      <c r="AN260" s="39">
        <f t="shared" si="4"/>
        <v>0</v>
      </c>
      <c r="AO260" s="39"/>
      <c r="AP260" s="39"/>
      <c r="AQ260" s="39"/>
      <c r="AR260" s="39"/>
      <c r="AS260" s="39"/>
      <c r="AT260" s="39">
        <f t="shared" si="5"/>
        <v>0</v>
      </c>
      <c r="AU260" s="39"/>
      <c r="AV260" s="39"/>
      <c r="AW260" s="39"/>
      <c r="AX260" s="39"/>
      <c r="AY260" s="39"/>
      <c r="AZ260" s="39">
        <f t="shared" si="6"/>
        <v>0</v>
      </c>
      <c r="BA260" s="39"/>
      <c r="BB260" s="39"/>
      <c r="BC260" s="39"/>
      <c r="BD260" s="39"/>
      <c r="BE260" s="39"/>
      <c r="BF260" s="39">
        <f t="shared" si="7"/>
        <v>0</v>
      </c>
      <c r="BG260" s="39"/>
      <c r="BH260" s="39"/>
      <c r="BI260" s="39"/>
      <c r="BJ260" s="39"/>
      <c r="BK260" s="39"/>
      <c r="BL260" s="39">
        <f t="shared" si="8"/>
        <v>0</v>
      </c>
      <c r="BM260" s="54">
        <f t="shared" ca="1" si="9"/>
        <v>7</v>
      </c>
      <c r="BN260" s="56">
        <v>46275</v>
      </c>
      <c r="BO260" s="117">
        <v>46295</v>
      </c>
      <c r="BP260" s="39"/>
      <c r="BQ260" s="39"/>
      <c r="BR260" s="155">
        <v>46279</v>
      </c>
      <c r="BS260" s="41"/>
      <c r="BT260" s="39">
        <v>797</v>
      </c>
      <c r="BU260" s="39">
        <f>474</f>
        <v>474</v>
      </c>
      <c r="BV260" s="39"/>
      <c r="BW260" s="39"/>
      <c r="BX260" s="39"/>
      <c r="BY260" s="39"/>
      <c r="BZ260" s="39">
        <f t="shared" si="10"/>
        <v>474</v>
      </c>
      <c r="CA260" s="39">
        <f t="shared" si="11"/>
        <v>-349</v>
      </c>
      <c r="CB260" s="39">
        <f t="shared" si="12"/>
        <v>0</v>
      </c>
      <c r="CC260" s="39">
        <f t="shared" si="13"/>
        <v>0</v>
      </c>
      <c r="CD260" s="39">
        <f t="shared" si="14"/>
        <v>-349</v>
      </c>
      <c r="CE260" s="102">
        <f t="shared" si="15"/>
        <v>-0.42405832320777642</v>
      </c>
      <c r="CF260" s="36" t="s">
        <v>290</v>
      </c>
      <c r="CG260" s="39" t="s">
        <v>243</v>
      </c>
      <c r="CH260" s="39"/>
      <c r="CI260" s="25">
        <v>1</v>
      </c>
    </row>
    <row r="261" spans="1:87" ht="24.75" customHeight="1">
      <c r="A261" s="36" t="s">
        <v>51</v>
      </c>
      <c r="B261" s="28">
        <v>48198</v>
      </c>
      <c r="C261" s="240"/>
      <c r="D261" s="36"/>
      <c r="E261" s="39">
        <v>220</v>
      </c>
      <c r="F261" s="39" t="s">
        <v>55</v>
      </c>
      <c r="G261" s="36" t="s">
        <v>603</v>
      </c>
      <c r="H261" s="36" t="s">
        <v>1431</v>
      </c>
      <c r="I261" s="39">
        <v>707</v>
      </c>
      <c r="J261" s="39"/>
      <c r="K261" s="39"/>
      <c r="L261" s="39">
        <f t="shared" si="131"/>
        <v>707</v>
      </c>
      <c r="M261" s="117">
        <v>46259</v>
      </c>
      <c r="N261" s="117">
        <v>46270</v>
      </c>
      <c r="O261" s="39"/>
      <c r="P261" s="39"/>
      <c r="Q261" s="39"/>
      <c r="R261" s="39">
        <f t="shared" si="134"/>
        <v>0</v>
      </c>
      <c r="S261" s="39" t="s">
        <v>130</v>
      </c>
      <c r="T261" s="39">
        <v>108907</v>
      </c>
      <c r="U261" s="117">
        <v>46260</v>
      </c>
      <c r="V261" s="39"/>
      <c r="W261" s="39"/>
      <c r="X261" s="39"/>
      <c r="Y261" s="39">
        <f>661+48</f>
        <v>709</v>
      </c>
      <c r="Z261" s="39"/>
      <c r="AA261" s="39"/>
      <c r="AB261" s="118">
        <f t="shared" si="133"/>
        <v>709</v>
      </c>
      <c r="AC261" s="39"/>
      <c r="AD261" s="39"/>
      <c r="AE261" s="39"/>
      <c r="AF261" s="39"/>
      <c r="AG261" s="39"/>
      <c r="AH261" s="39">
        <f t="shared" si="3"/>
        <v>0</v>
      </c>
      <c r="AI261" s="39"/>
      <c r="AJ261" s="39"/>
      <c r="AK261" s="39"/>
      <c r="AL261" s="39"/>
      <c r="AM261" s="39"/>
      <c r="AN261" s="39">
        <f t="shared" si="4"/>
        <v>0</v>
      </c>
      <c r="AO261" s="39"/>
      <c r="AP261" s="39"/>
      <c r="AQ261" s="39"/>
      <c r="AR261" s="39"/>
      <c r="AS261" s="39"/>
      <c r="AT261" s="39">
        <f t="shared" si="5"/>
        <v>0</v>
      </c>
      <c r="AU261" s="39"/>
      <c r="AV261" s="39"/>
      <c r="AW261" s="39"/>
      <c r="AX261" s="39"/>
      <c r="AY261" s="39"/>
      <c r="AZ261" s="39">
        <f t="shared" si="6"/>
        <v>0</v>
      </c>
      <c r="BA261" s="39"/>
      <c r="BB261" s="39"/>
      <c r="BC261" s="39"/>
      <c r="BD261" s="39"/>
      <c r="BE261" s="39"/>
      <c r="BF261" s="39">
        <f t="shared" si="7"/>
        <v>0</v>
      </c>
      <c r="BG261" s="39"/>
      <c r="BH261" s="39"/>
      <c r="BI261" s="39"/>
      <c r="BJ261" s="39"/>
      <c r="BK261" s="39"/>
      <c r="BL261" s="39">
        <f t="shared" si="8"/>
        <v>0</v>
      </c>
      <c r="BM261" s="54">
        <f t="shared" ca="1" si="9"/>
        <v>23</v>
      </c>
      <c r="BN261" s="56">
        <v>46275</v>
      </c>
      <c r="BO261" s="117">
        <v>46295</v>
      </c>
      <c r="BP261" s="39"/>
      <c r="BQ261" s="39"/>
      <c r="BR261" s="155">
        <v>46267</v>
      </c>
      <c r="BS261" s="41"/>
      <c r="BT261" s="39">
        <v>738</v>
      </c>
      <c r="BU261" s="39">
        <f>621</f>
        <v>621</v>
      </c>
      <c r="BV261" s="39"/>
      <c r="BW261" s="39"/>
      <c r="BX261" s="39"/>
      <c r="BY261" s="39"/>
      <c r="BZ261" s="39">
        <f t="shared" si="10"/>
        <v>621</v>
      </c>
      <c r="CA261" s="39">
        <f t="shared" si="11"/>
        <v>-86</v>
      </c>
      <c r="CB261" s="39">
        <f t="shared" si="12"/>
        <v>0</v>
      </c>
      <c r="CC261" s="39">
        <f t="shared" si="13"/>
        <v>0</v>
      </c>
      <c r="CD261" s="39">
        <f t="shared" si="14"/>
        <v>-86</v>
      </c>
      <c r="CE261" s="102">
        <f t="shared" si="15"/>
        <v>-0.12164073550212164</v>
      </c>
      <c r="CF261" s="36" t="s">
        <v>290</v>
      </c>
      <c r="CG261" s="39" t="s">
        <v>243</v>
      </c>
      <c r="CH261" s="39"/>
      <c r="CI261" s="25">
        <v>1</v>
      </c>
    </row>
    <row r="262" spans="1:87" ht="24.75" customHeight="1">
      <c r="A262" s="36" t="s">
        <v>51</v>
      </c>
      <c r="B262" s="28">
        <v>48198</v>
      </c>
      <c r="C262" s="240"/>
      <c r="D262" s="36"/>
      <c r="E262" s="39">
        <v>220</v>
      </c>
      <c r="F262" s="39" t="s">
        <v>55</v>
      </c>
      <c r="G262" s="36" t="s">
        <v>310</v>
      </c>
      <c r="H262" s="36" t="s">
        <v>1431</v>
      </c>
      <c r="I262" s="39">
        <v>880</v>
      </c>
      <c r="J262" s="39"/>
      <c r="K262" s="39"/>
      <c r="L262" s="39">
        <f t="shared" si="131"/>
        <v>880</v>
      </c>
      <c r="M262" s="117">
        <v>46259</v>
      </c>
      <c r="N262" s="117">
        <v>46270</v>
      </c>
      <c r="O262" s="39"/>
      <c r="P262" s="39"/>
      <c r="Q262" s="39"/>
      <c r="R262" s="39">
        <f t="shared" si="134"/>
        <v>0</v>
      </c>
      <c r="S262" s="39" t="s">
        <v>130</v>
      </c>
      <c r="T262" s="39">
        <v>109069</v>
      </c>
      <c r="U262" s="117">
        <v>46264</v>
      </c>
      <c r="V262" s="39"/>
      <c r="W262" s="39"/>
      <c r="X262" s="39"/>
      <c r="Y262" s="39">
        <v>977</v>
      </c>
      <c r="Z262" s="39"/>
      <c r="AA262" s="39"/>
      <c r="AB262" s="119">
        <f t="shared" si="133"/>
        <v>977</v>
      </c>
      <c r="AC262" s="39"/>
      <c r="AD262" s="39"/>
      <c r="AE262" s="39"/>
      <c r="AF262" s="39"/>
      <c r="AG262" s="39"/>
      <c r="AH262" s="39">
        <f t="shared" si="3"/>
        <v>0</v>
      </c>
      <c r="AI262" s="39"/>
      <c r="AJ262" s="39"/>
      <c r="AK262" s="39"/>
      <c r="AL262" s="39"/>
      <c r="AM262" s="39"/>
      <c r="AN262" s="39">
        <f t="shared" si="4"/>
        <v>0</v>
      </c>
      <c r="AO262" s="39"/>
      <c r="AP262" s="39"/>
      <c r="AQ262" s="39"/>
      <c r="AR262" s="39"/>
      <c r="AS262" s="39"/>
      <c r="AT262" s="39">
        <f t="shared" si="5"/>
        <v>0</v>
      </c>
      <c r="AU262" s="39"/>
      <c r="AV262" s="39"/>
      <c r="AW262" s="39"/>
      <c r="AX262" s="39"/>
      <c r="AY262" s="39"/>
      <c r="AZ262" s="39">
        <f t="shared" si="6"/>
        <v>0</v>
      </c>
      <c r="BA262" s="39"/>
      <c r="BB262" s="39"/>
      <c r="BC262" s="39"/>
      <c r="BD262" s="39"/>
      <c r="BE262" s="39"/>
      <c r="BF262" s="39">
        <f t="shared" si="7"/>
        <v>0</v>
      </c>
      <c r="BG262" s="39"/>
      <c r="BH262" s="39"/>
      <c r="BI262" s="39"/>
      <c r="BJ262" s="39"/>
      <c r="BK262" s="39"/>
      <c r="BL262" s="39">
        <f t="shared" si="8"/>
        <v>0</v>
      </c>
      <c r="BM262" s="54" t="str">
        <f t="shared" si="9"/>
        <v/>
      </c>
      <c r="BN262" s="56">
        <v>46275</v>
      </c>
      <c r="BO262" s="117">
        <v>46295</v>
      </c>
      <c r="BP262" s="39"/>
      <c r="BQ262" s="39"/>
      <c r="BR262" s="155">
        <v>46267</v>
      </c>
      <c r="BS262" s="155">
        <v>46267</v>
      </c>
      <c r="BT262" s="39">
        <v>736</v>
      </c>
      <c r="BU262" s="39">
        <v>900</v>
      </c>
      <c r="BV262" s="39"/>
      <c r="BW262" s="39"/>
      <c r="BX262" s="39"/>
      <c r="BY262" s="39"/>
      <c r="BZ262" s="39">
        <f t="shared" si="10"/>
        <v>900</v>
      </c>
      <c r="CA262" s="39">
        <f t="shared" si="11"/>
        <v>20</v>
      </c>
      <c r="CB262" s="39">
        <f t="shared" si="12"/>
        <v>0</v>
      </c>
      <c r="CC262" s="39">
        <f t="shared" si="13"/>
        <v>0</v>
      </c>
      <c r="CD262" s="39">
        <f t="shared" si="14"/>
        <v>0</v>
      </c>
      <c r="CE262" s="102">
        <f t="shared" si="15"/>
        <v>0</v>
      </c>
      <c r="CF262" s="36" t="s">
        <v>290</v>
      </c>
      <c r="CG262" s="39" t="s">
        <v>243</v>
      </c>
      <c r="CH262" s="39"/>
      <c r="CI262" s="25">
        <v>1</v>
      </c>
    </row>
    <row r="263" spans="1:87" ht="24.75" customHeight="1">
      <c r="A263" s="36" t="s">
        <v>51</v>
      </c>
      <c r="B263" s="28">
        <v>48198</v>
      </c>
      <c r="C263" s="236"/>
      <c r="D263" s="36"/>
      <c r="E263" s="39"/>
      <c r="F263" s="39"/>
      <c r="G263" s="36" t="s">
        <v>319</v>
      </c>
      <c r="H263" s="36">
        <f>4980+4250+5300</f>
        <v>14530</v>
      </c>
      <c r="I263" s="39" t="s">
        <v>90</v>
      </c>
      <c r="J263" s="39"/>
      <c r="K263" s="39"/>
      <c r="L263" s="39">
        <f t="shared" si="131"/>
        <v>0</v>
      </c>
      <c r="M263" s="117">
        <v>46259</v>
      </c>
      <c r="N263" s="117">
        <v>46270</v>
      </c>
      <c r="O263" s="39"/>
      <c r="P263" s="39"/>
      <c r="Q263" s="39"/>
      <c r="R263" s="39">
        <f t="shared" si="134"/>
        <v>0</v>
      </c>
      <c r="S263" s="39" t="s">
        <v>130</v>
      </c>
      <c r="T263" s="39" t="s">
        <v>2966</v>
      </c>
      <c r="U263" s="117" t="s">
        <v>2965</v>
      </c>
      <c r="V263" s="39"/>
      <c r="W263" s="39"/>
      <c r="X263" s="39"/>
      <c r="Y263" s="39">
        <f>60+60</f>
        <v>120</v>
      </c>
      <c r="Z263" s="39"/>
      <c r="AA263" s="39"/>
      <c r="AB263" s="39">
        <f t="shared" si="133"/>
        <v>120</v>
      </c>
      <c r="AC263" s="39"/>
      <c r="AD263" s="39"/>
      <c r="AE263" s="39"/>
      <c r="AF263" s="39"/>
      <c r="AG263" s="39"/>
      <c r="AH263" s="39">
        <f t="shared" si="3"/>
        <v>0</v>
      </c>
      <c r="AI263" s="39"/>
      <c r="AJ263" s="39"/>
      <c r="AK263" s="39"/>
      <c r="AL263" s="39"/>
      <c r="AM263" s="39"/>
      <c r="AN263" s="39">
        <f t="shared" si="4"/>
        <v>0</v>
      </c>
      <c r="AO263" s="39"/>
      <c r="AP263" s="39"/>
      <c r="AQ263" s="39"/>
      <c r="AR263" s="39"/>
      <c r="AS263" s="39"/>
      <c r="AT263" s="39">
        <f t="shared" si="5"/>
        <v>0</v>
      </c>
      <c r="AU263" s="39"/>
      <c r="AV263" s="39"/>
      <c r="AW263" s="39"/>
      <c r="AX263" s="39"/>
      <c r="AY263" s="39"/>
      <c r="AZ263" s="39">
        <f t="shared" si="6"/>
        <v>0</v>
      </c>
      <c r="BA263" s="39"/>
      <c r="BB263" s="39"/>
      <c r="BC263" s="39"/>
      <c r="BD263" s="39"/>
      <c r="BE263" s="39"/>
      <c r="BF263" s="39">
        <f t="shared" si="7"/>
        <v>0</v>
      </c>
      <c r="BG263" s="39"/>
      <c r="BH263" s="39"/>
      <c r="BI263" s="39"/>
      <c r="BJ263" s="39"/>
      <c r="BK263" s="39"/>
      <c r="BL263" s="39">
        <f t="shared" si="8"/>
        <v>0</v>
      </c>
      <c r="BM263" s="54" t="e">
        <f t="shared" si="9"/>
        <v>#DIV/0!</v>
      </c>
      <c r="BN263" s="56">
        <v>46275</v>
      </c>
      <c r="BO263" s="117">
        <v>46295</v>
      </c>
      <c r="BP263" s="39"/>
      <c r="BQ263" s="39"/>
      <c r="BR263" s="41"/>
      <c r="BS263" s="41"/>
      <c r="BT263" s="39" t="s">
        <v>2826</v>
      </c>
      <c r="BU263" s="39"/>
      <c r="BV263" s="39"/>
      <c r="BW263" s="39"/>
      <c r="BX263" s="39"/>
      <c r="BY263" s="39"/>
      <c r="BZ263" s="39">
        <f t="shared" si="10"/>
        <v>0</v>
      </c>
      <c r="CA263" s="39" t="e">
        <f t="shared" si="11"/>
        <v>#VALUE!</v>
      </c>
      <c r="CB263" s="39">
        <f t="shared" si="12"/>
        <v>0</v>
      </c>
      <c r="CC263" s="39">
        <f t="shared" si="13"/>
        <v>0</v>
      </c>
      <c r="CD263" s="39">
        <f t="shared" si="14"/>
        <v>0</v>
      </c>
      <c r="CE263" s="102" t="e">
        <f t="shared" si="15"/>
        <v>#DIV/0!</v>
      </c>
      <c r="CF263" s="36" t="s">
        <v>290</v>
      </c>
      <c r="CG263" s="39" t="s">
        <v>243</v>
      </c>
      <c r="CH263" s="39"/>
      <c r="CI263" s="25">
        <v>1</v>
      </c>
    </row>
    <row r="264" spans="1:87" ht="24.75" customHeight="1">
      <c r="A264" s="36" t="s">
        <v>51</v>
      </c>
      <c r="B264" s="28" t="s">
        <v>2176</v>
      </c>
      <c r="C264" s="41" t="s">
        <v>2177</v>
      </c>
      <c r="D264" s="36"/>
      <c r="E264" s="39">
        <v>150</v>
      </c>
      <c r="F264" s="39" t="s">
        <v>65</v>
      </c>
      <c r="G264" s="36" t="s">
        <v>310</v>
      </c>
      <c r="H264" s="36" t="s">
        <v>22</v>
      </c>
      <c r="I264" s="39">
        <v>431</v>
      </c>
      <c r="J264" s="39"/>
      <c r="K264" s="39"/>
      <c r="L264" s="39">
        <f t="shared" si="131"/>
        <v>431</v>
      </c>
      <c r="M264" s="117">
        <v>46251</v>
      </c>
      <c r="N264" s="117">
        <v>46256</v>
      </c>
      <c r="O264" s="39"/>
      <c r="P264" s="39"/>
      <c r="Q264" s="39"/>
      <c r="R264" s="39">
        <f t="shared" si="134"/>
        <v>0</v>
      </c>
      <c r="S264" s="39" t="s">
        <v>270</v>
      </c>
      <c r="T264" s="39"/>
      <c r="U264" s="39"/>
      <c r="V264" s="117">
        <v>46263</v>
      </c>
      <c r="W264" s="39">
        <v>468</v>
      </c>
      <c r="X264" s="117">
        <v>46271</v>
      </c>
      <c r="Y264" s="39">
        <f>390</f>
        <v>390</v>
      </c>
      <c r="Z264" s="39"/>
      <c r="AA264" s="39"/>
      <c r="AB264" s="120">
        <f t="shared" si="133"/>
        <v>390</v>
      </c>
      <c r="AC264" s="39"/>
      <c r="AD264" s="39"/>
      <c r="AE264" s="39"/>
      <c r="AF264" s="39"/>
      <c r="AG264" s="39"/>
      <c r="AH264" s="39">
        <f t="shared" si="3"/>
        <v>0</v>
      </c>
      <c r="AI264" s="39"/>
      <c r="AJ264" s="39"/>
      <c r="AK264" s="39"/>
      <c r="AL264" s="39"/>
      <c r="AM264" s="39"/>
      <c r="AN264" s="39">
        <f t="shared" si="4"/>
        <v>0</v>
      </c>
      <c r="AO264" s="39"/>
      <c r="AP264" s="39"/>
      <c r="AQ264" s="39"/>
      <c r="AR264" s="39"/>
      <c r="AS264" s="39"/>
      <c r="AT264" s="39">
        <f t="shared" si="5"/>
        <v>0</v>
      </c>
      <c r="AU264" s="39"/>
      <c r="AV264" s="39"/>
      <c r="AW264" s="39"/>
      <c r="AX264" s="39"/>
      <c r="AY264" s="39"/>
      <c r="AZ264" s="39">
        <f t="shared" si="6"/>
        <v>0</v>
      </c>
      <c r="BA264" s="39"/>
      <c r="BB264" s="39"/>
      <c r="BC264" s="39"/>
      <c r="BD264" s="39"/>
      <c r="BE264" s="39"/>
      <c r="BF264" s="39">
        <f t="shared" si="7"/>
        <v>0</v>
      </c>
      <c r="BG264" s="39"/>
      <c r="BH264" s="39"/>
      <c r="BI264" s="39"/>
      <c r="BJ264" s="39"/>
      <c r="BK264" s="39"/>
      <c r="BL264" s="39">
        <f t="shared" si="8"/>
        <v>0</v>
      </c>
      <c r="BM264" s="54" t="str">
        <f t="shared" si="9"/>
        <v/>
      </c>
      <c r="BN264" s="56">
        <v>46266</v>
      </c>
      <c r="BO264" s="117">
        <v>46275</v>
      </c>
      <c r="BP264" s="39"/>
      <c r="BQ264" s="39"/>
      <c r="BR264" s="117">
        <v>46272</v>
      </c>
      <c r="BS264" s="117">
        <v>46272</v>
      </c>
      <c r="BT264" s="39" t="s">
        <v>2824</v>
      </c>
      <c r="BU264" s="39">
        <f>390+28</f>
        <v>418</v>
      </c>
      <c r="BV264" s="39"/>
      <c r="BW264" s="39"/>
      <c r="BX264" s="39"/>
      <c r="BY264" s="39"/>
      <c r="BZ264" s="39">
        <f t="shared" si="10"/>
        <v>418</v>
      </c>
      <c r="CA264" s="39">
        <f t="shared" si="11"/>
        <v>-13</v>
      </c>
      <c r="CB264" s="39">
        <f t="shared" si="12"/>
        <v>0</v>
      </c>
      <c r="CC264" s="39">
        <f t="shared" si="13"/>
        <v>0</v>
      </c>
      <c r="CD264" s="39">
        <v>0</v>
      </c>
      <c r="CE264" s="102">
        <f t="shared" si="15"/>
        <v>0</v>
      </c>
      <c r="CF264" s="36" t="s">
        <v>292</v>
      </c>
      <c r="CG264" s="39" t="s">
        <v>230</v>
      </c>
      <c r="CH264" s="39"/>
      <c r="CI264" s="25">
        <v>1</v>
      </c>
    </row>
    <row r="265" spans="1:87" ht="24.75" customHeight="1">
      <c r="A265" s="36" t="s">
        <v>51</v>
      </c>
      <c r="B265" s="28" t="s">
        <v>2197</v>
      </c>
      <c r="C265" s="235" t="s">
        <v>2599</v>
      </c>
      <c r="D265" s="36" t="s">
        <v>45</v>
      </c>
      <c r="E265" s="39">
        <v>340</v>
      </c>
      <c r="F265" s="39" t="s">
        <v>55</v>
      </c>
      <c r="G265" s="36" t="s">
        <v>367</v>
      </c>
      <c r="H265" s="36" t="s">
        <v>362</v>
      </c>
      <c r="I265" s="39">
        <f>899-295</f>
        <v>604</v>
      </c>
      <c r="J265" s="39">
        <f>176-58</f>
        <v>118</v>
      </c>
      <c r="K265" s="39">
        <f>11-4</f>
        <v>7</v>
      </c>
      <c r="L265" s="39">
        <f t="shared" si="131"/>
        <v>729</v>
      </c>
      <c r="M265" s="117">
        <v>46254</v>
      </c>
      <c r="N265" s="117">
        <v>46264</v>
      </c>
      <c r="O265" s="39"/>
      <c r="P265" s="39"/>
      <c r="Q265" s="39"/>
      <c r="R265" s="39">
        <f t="shared" si="134"/>
        <v>0</v>
      </c>
      <c r="S265" s="39" t="s">
        <v>270</v>
      </c>
      <c r="T265" s="39"/>
      <c r="U265" s="39"/>
      <c r="V265" s="117">
        <v>46263</v>
      </c>
      <c r="W265" s="39">
        <f>701+138+9</f>
        <v>848</v>
      </c>
      <c r="X265" s="117">
        <v>46272</v>
      </c>
      <c r="Y265" s="39">
        <v>663</v>
      </c>
      <c r="Z265" s="39"/>
      <c r="AA265" s="39"/>
      <c r="AB265" s="120">
        <f t="shared" si="133"/>
        <v>663</v>
      </c>
      <c r="AC265" s="39"/>
      <c r="AD265" s="39"/>
      <c r="AE265" s="39"/>
      <c r="AF265" s="39"/>
      <c r="AG265" s="39"/>
      <c r="AH265" s="39">
        <f t="shared" si="3"/>
        <v>0</v>
      </c>
      <c r="AI265" s="39"/>
      <c r="AJ265" s="39"/>
      <c r="AK265" s="39"/>
      <c r="AL265" s="39"/>
      <c r="AM265" s="39"/>
      <c r="AN265" s="39">
        <f t="shared" si="4"/>
        <v>0</v>
      </c>
      <c r="AO265" s="39" t="s">
        <v>280</v>
      </c>
      <c r="AP265" s="117">
        <v>46273</v>
      </c>
      <c r="AQ265" s="39">
        <v>663</v>
      </c>
      <c r="AR265" s="117">
        <v>46274</v>
      </c>
      <c r="AS265" s="39">
        <v>650</v>
      </c>
      <c r="AT265" s="39">
        <f t="shared" si="5"/>
        <v>-13</v>
      </c>
      <c r="AU265" s="39" t="s">
        <v>257</v>
      </c>
      <c r="AV265" s="117">
        <v>46274</v>
      </c>
      <c r="AW265" s="39">
        <v>650</v>
      </c>
      <c r="AX265" s="117">
        <v>46274</v>
      </c>
      <c r="AY265" s="39">
        <v>641</v>
      </c>
      <c r="AZ265" s="39">
        <f t="shared" si="6"/>
        <v>-9</v>
      </c>
      <c r="BA265" s="39"/>
      <c r="BB265" s="39"/>
      <c r="BC265" s="39"/>
      <c r="BD265" s="39"/>
      <c r="BE265" s="39"/>
      <c r="BF265" s="39">
        <f t="shared" si="7"/>
        <v>0</v>
      </c>
      <c r="BG265" s="39"/>
      <c r="BH265" s="39"/>
      <c r="BI265" s="39"/>
      <c r="BJ265" s="39"/>
      <c r="BK265" s="39"/>
      <c r="BL265" s="39">
        <f t="shared" si="8"/>
        <v>0</v>
      </c>
      <c r="BM265" s="54">
        <f t="shared" ca="1" si="9"/>
        <v>46283</v>
      </c>
      <c r="BN265" s="56">
        <v>46266</v>
      </c>
      <c r="BO265" s="117">
        <v>46280</v>
      </c>
      <c r="BP265" s="39"/>
      <c r="BQ265" s="39"/>
      <c r="BR265" s="117">
        <v>46281</v>
      </c>
      <c r="BS265" s="39"/>
      <c r="BT265" s="39">
        <v>906</v>
      </c>
      <c r="BU265" s="39">
        <f>542</f>
        <v>542</v>
      </c>
      <c r="BV265" s="39"/>
      <c r="BW265" s="39"/>
      <c r="BX265" s="39"/>
      <c r="BY265" s="39"/>
      <c r="BZ265" s="39">
        <f t="shared" si="10"/>
        <v>542</v>
      </c>
      <c r="CA265" s="39">
        <f t="shared" si="11"/>
        <v>-62</v>
      </c>
      <c r="CB265" s="39">
        <f t="shared" si="12"/>
        <v>-118</v>
      </c>
      <c r="CC265" s="39">
        <f t="shared" si="13"/>
        <v>-7</v>
      </c>
      <c r="CD265" s="39">
        <f t="shared" si="14"/>
        <v>-187</v>
      </c>
      <c r="CE265" s="102">
        <f t="shared" si="15"/>
        <v>-0.25651577503429357</v>
      </c>
      <c r="CF265" s="36"/>
      <c r="CG265" s="39" t="s">
        <v>230</v>
      </c>
      <c r="CH265" s="39" t="s">
        <v>1065</v>
      </c>
      <c r="CI265" s="25">
        <v>1</v>
      </c>
    </row>
    <row r="266" spans="1:87" ht="24.75" customHeight="1">
      <c r="A266" s="36" t="s">
        <v>51</v>
      </c>
      <c r="B266" s="28" t="s">
        <v>2197</v>
      </c>
      <c r="C266" s="240"/>
      <c r="D266" s="36" t="s">
        <v>45</v>
      </c>
      <c r="E266" s="39">
        <v>340</v>
      </c>
      <c r="F266" s="39" t="s">
        <v>55</v>
      </c>
      <c r="G266" s="36" t="s">
        <v>366</v>
      </c>
      <c r="H266" s="36" t="s">
        <v>362</v>
      </c>
      <c r="I266" s="39">
        <f>1198+5</f>
        <v>1203</v>
      </c>
      <c r="J266" s="39">
        <f>235+1</f>
        <v>236</v>
      </c>
      <c r="K266" s="39">
        <v>15</v>
      </c>
      <c r="L266" s="39">
        <f t="shared" ref="L266:L267" si="135">SUM(I266:K266)</f>
        <v>1454</v>
      </c>
      <c r="M266" s="117">
        <v>46254</v>
      </c>
      <c r="N266" s="117">
        <v>46264</v>
      </c>
      <c r="O266" s="39"/>
      <c r="P266" s="39"/>
      <c r="Q266" s="39"/>
      <c r="R266" s="39">
        <f t="shared" ref="R266:R267" si="136">SUM(O266:Q266)</f>
        <v>0</v>
      </c>
      <c r="S266" s="39" t="s">
        <v>270</v>
      </c>
      <c r="T266" s="39"/>
      <c r="U266" s="39"/>
      <c r="V266" s="117">
        <v>46263</v>
      </c>
      <c r="W266" s="39">
        <f>1400+264+18</f>
        <v>1682</v>
      </c>
      <c r="X266" s="117" t="s">
        <v>3020</v>
      </c>
      <c r="Y266" s="39">
        <f>1186+82</f>
        <v>1268</v>
      </c>
      <c r="Z266" s="39"/>
      <c r="AA266" s="39"/>
      <c r="AB266" s="120">
        <f t="shared" ref="AB266:AB267" si="137">SUM(Y266:AA266)</f>
        <v>1268</v>
      </c>
      <c r="AC266" s="39"/>
      <c r="AD266" s="39"/>
      <c r="AE266" s="39"/>
      <c r="AF266" s="39"/>
      <c r="AG266" s="39"/>
      <c r="AH266" s="39">
        <f t="shared" si="3"/>
        <v>0</v>
      </c>
      <c r="AI266" s="39"/>
      <c r="AJ266" s="39"/>
      <c r="AK266" s="39"/>
      <c r="AL266" s="39"/>
      <c r="AM266" s="39"/>
      <c r="AN266" s="39">
        <f t="shared" si="4"/>
        <v>0</v>
      </c>
      <c r="AO266" s="39" t="s">
        <v>280</v>
      </c>
      <c r="AP266" s="117" t="s">
        <v>3020</v>
      </c>
      <c r="AQ266" s="39">
        <f>1186+82</f>
        <v>1268</v>
      </c>
      <c r="AR266" s="117" t="s">
        <v>3090</v>
      </c>
      <c r="AS266" s="39">
        <f>1196+80</f>
        <v>1276</v>
      </c>
      <c r="AT266" s="39">
        <f t="shared" si="5"/>
        <v>8</v>
      </c>
      <c r="AU266" s="39" t="s">
        <v>274</v>
      </c>
      <c r="AV266" s="117" t="s">
        <v>3090</v>
      </c>
      <c r="AW266" s="39">
        <f>1196+80</f>
        <v>1276</v>
      </c>
      <c r="AX266" s="117">
        <v>46270</v>
      </c>
      <c r="AY266" s="39">
        <v>1173</v>
      </c>
      <c r="AZ266" s="39">
        <f t="shared" si="6"/>
        <v>-103</v>
      </c>
      <c r="BA266" s="39"/>
      <c r="BB266" s="39"/>
      <c r="BC266" s="39"/>
      <c r="BD266" s="39"/>
      <c r="BE266" s="39"/>
      <c r="BF266" s="39">
        <f t="shared" si="7"/>
        <v>0</v>
      </c>
      <c r="BG266" s="39"/>
      <c r="BH266" s="39"/>
      <c r="BI266" s="39"/>
      <c r="BJ266" s="39"/>
      <c r="BK266" s="39"/>
      <c r="BL266" s="39">
        <f t="shared" si="8"/>
        <v>0</v>
      </c>
      <c r="BM266" s="54">
        <f t="shared" ca="1" si="9"/>
        <v>46283</v>
      </c>
      <c r="BN266" s="56">
        <v>46266</v>
      </c>
      <c r="BO266" s="117">
        <v>46280</v>
      </c>
      <c r="BP266" s="39"/>
      <c r="BQ266" s="39"/>
      <c r="BR266" s="57">
        <v>46272</v>
      </c>
      <c r="BS266" s="39"/>
      <c r="BT266" s="39" t="s">
        <v>2901</v>
      </c>
      <c r="BU266" s="39">
        <f>1121+28</f>
        <v>1149</v>
      </c>
      <c r="BV266" s="39"/>
      <c r="BW266" s="39"/>
      <c r="BX266" s="39"/>
      <c r="BY266" s="39"/>
      <c r="BZ266" s="39">
        <f t="shared" si="10"/>
        <v>1149</v>
      </c>
      <c r="CA266" s="39">
        <f t="shared" si="11"/>
        <v>-54</v>
      </c>
      <c r="CB266" s="39">
        <f t="shared" si="12"/>
        <v>-236</v>
      </c>
      <c r="CC266" s="39">
        <f t="shared" si="13"/>
        <v>-15</v>
      </c>
      <c r="CD266" s="39">
        <f t="shared" si="14"/>
        <v>-305</v>
      </c>
      <c r="CE266" s="102">
        <f t="shared" si="15"/>
        <v>-0.20976616231086659</v>
      </c>
      <c r="CF266" s="36"/>
      <c r="CG266" s="39" t="s">
        <v>230</v>
      </c>
      <c r="CH266" s="39"/>
      <c r="CI266" s="25">
        <v>1</v>
      </c>
    </row>
    <row r="267" spans="1:87" ht="24.75" customHeight="1">
      <c r="A267" s="36" t="s">
        <v>51</v>
      </c>
      <c r="B267" s="28" t="s">
        <v>2197</v>
      </c>
      <c r="C267" s="236"/>
      <c r="D267" s="36" t="s">
        <v>45</v>
      </c>
      <c r="E267" s="39">
        <v>340</v>
      </c>
      <c r="F267" s="39" t="s">
        <v>55</v>
      </c>
      <c r="G267" s="36" t="s">
        <v>322</v>
      </c>
      <c r="H267" s="36" t="s">
        <v>362</v>
      </c>
      <c r="I267" s="39">
        <f>1198+5</f>
        <v>1203</v>
      </c>
      <c r="J267" s="39">
        <f>235+1</f>
        <v>236</v>
      </c>
      <c r="K267" s="39">
        <v>15</v>
      </c>
      <c r="L267" s="39">
        <f t="shared" si="135"/>
        <v>1454</v>
      </c>
      <c r="M267" s="117">
        <v>46254</v>
      </c>
      <c r="N267" s="117">
        <v>46264</v>
      </c>
      <c r="O267" s="39"/>
      <c r="P267" s="39"/>
      <c r="Q267" s="39"/>
      <c r="R267" s="39">
        <f t="shared" si="136"/>
        <v>0</v>
      </c>
      <c r="S267" s="39" t="s">
        <v>270</v>
      </c>
      <c r="T267" s="39"/>
      <c r="U267" s="39"/>
      <c r="V267" s="117" t="s">
        <v>2572</v>
      </c>
      <c r="W267" s="39">
        <f>1363+256+19</f>
        <v>1638</v>
      </c>
      <c r="X267" s="117" t="s">
        <v>2935</v>
      </c>
      <c r="Y267" s="39">
        <v>1278</v>
      </c>
      <c r="Z267" s="39">
        <v>245</v>
      </c>
      <c r="AA267" s="39">
        <v>17</v>
      </c>
      <c r="AB267" s="119">
        <f t="shared" si="137"/>
        <v>1540</v>
      </c>
      <c r="AC267" s="39"/>
      <c r="AD267" s="39"/>
      <c r="AE267" s="39"/>
      <c r="AF267" s="39"/>
      <c r="AG267" s="39"/>
      <c r="AH267" s="39">
        <f t="shared" si="3"/>
        <v>0</v>
      </c>
      <c r="AI267" s="39"/>
      <c r="AJ267" s="39"/>
      <c r="AK267" s="39"/>
      <c r="AL267" s="39"/>
      <c r="AM267" s="39"/>
      <c r="AN267" s="39">
        <f t="shared" si="4"/>
        <v>0</v>
      </c>
      <c r="AO267" s="39" t="s">
        <v>280</v>
      </c>
      <c r="AP267" s="117">
        <v>46262</v>
      </c>
      <c r="AQ267" s="39">
        <v>1282</v>
      </c>
      <c r="AR267" s="117">
        <v>46265</v>
      </c>
      <c r="AS267" s="39">
        <v>1298</v>
      </c>
      <c r="AT267" s="39">
        <f t="shared" si="5"/>
        <v>16</v>
      </c>
      <c r="AU267" s="39" t="s">
        <v>257</v>
      </c>
      <c r="AV267" s="117">
        <v>46265</v>
      </c>
      <c r="AW267" s="39">
        <v>1298</v>
      </c>
      <c r="AX267" s="117">
        <v>46266</v>
      </c>
      <c r="AY267" s="39">
        <f>861+313+100</f>
        <v>1274</v>
      </c>
      <c r="AZ267" s="39">
        <f t="shared" si="6"/>
        <v>-24</v>
      </c>
      <c r="BA267" s="39"/>
      <c r="BB267" s="39"/>
      <c r="BC267" s="39"/>
      <c r="BD267" s="39"/>
      <c r="BE267" s="39"/>
      <c r="BF267" s="39">
        <f t="shared" si="7"/>
        <v>0</v>
      </c>
      <c r="BG267" s="39"/>
      <c r="BH267" s="39"/>
      <c r="BI267" s="39"/>
      <c r="BJ267" s="39"/>
      <c r="BK267" s="39"/>
      <c r="BL267" s="39">
        <f t="shared" si="8"/>
        <v>0</v>
      </c>
      <c r="BM267" s="54" t="str">
        <f t="shared" si="9"/>
        <v/>
      </c>
      <c r="BN267" s="56">
        <v>46266</v>
      </c>
      <c r="BO267" s="117">
        <v>46280</v>
      </c>
      <c r="BP267" s="39"/>
      <c r="BQ267" s="39"/>
      <c r="BR267" s="117">
        <v>46272</v>
      </c>
      <c r="BS267" s="117">
        <v>46276</v>
      </c>
      <c r="BT267" s="39" t="s">
        <v>2859</v>
      </c>
      <c r="BU267" s="39">
        <f>763+254+179</f>
        <v>1196</v>
      </c>
      <c r="BV267" s="39">
        <v>859</v>
      </c>
      <c r="BW267" s="39">
        <f>162+43+40</f>
        <v>245</v>
      </c>
      <c r="BX267" s="39">
        <v>859</v>
      </c>
      <c r="BY267" s="39">
        <v>17</v>
      </c>
      <c r="BZ267" s="39">
        <f t="shared" si="10"/>
        <v>1458</v>
      </c>
      <c r="CA267" s="39">
        <f t="shared" si="11"/>
        <v>-7</v>
      </c>
      <c r="CB267" s="39">
        <f t="shared" si="12"/>
        <v>9</v>
      </c>
      <c r="CC267" s="39">
        <f t="shared" si="13"/>
        <v>2</v>
      </c>
      <c r="CD267" s="39">
        <v>0</v>
      </c>
      <c r="CE267" s="102">
        <f t="shared" si="15"/>
        <v>0</v>
      </c>
      <c r="CF267" s="36"/>
      <c r="CG267" s="39" t="s">
        <v>230</v>
      </c>
      <c r="CH267" s="39" t="s">
        <v>2858</v>
      </c>
      <c r="CI267" s="25">
        <v>1</v>
      </c>
    </row>
    <row r="268" spans="1:87" ht="24.75" customHeight="1">
      <c r="A268" s="36" t="s">
        <v>51</v>
      </c>
      <c r="B268" s="28">
        <v>48554</v>
      </c>
      <c r="C268" s="235" t="s">
        <v>2587</v>
      </c>
      <c r="D268" s="36" t="s">
        <v>45</v>
      </c>
      <c r="E268" s="39">
        <v>280</v>
      </c>
      <c r="F268" s="39" t="s">
        <v>58</v>
      </c>
      <c r="G268" s="36" t="s">
        <v>322</v>
      </c>
      <c r="H268" s="36" t="s">
        <v>1501</v>
      </c>
      <c r="I268" s="39">
        <v>703</v>
      </c>
      <c r="J268" s="39">
        <v>99</v>
      </c>
      <c r="K268" s="39">
        <v>4</v>
      </c>
      <c r="L268" s="39">
        <f t="shared" ref="L268:L269" si="138">SUM(I268:K268)</f>
        <v>806</v>
      </c>
      <c r="M268" s="117">
        <v>46259</v>
      </c>
      <c r="N268" s="117">
        <v>46268</v>
      </c>
      <c r="O268" s="39"/>
      <c r="P268" s="39"/>
      <c r="Q268" s="39"/>
      <c r="R268" s="39">
        <f t="shared" ref="R268:R284" si="139">SUM(O268:Q268)</f>
        <v>0</v>
      </c>
      <c r="S268" s="39" t="s">
        <v>270</v>
      </c>
      <c r="T268" s="39"/>
      <c r="U268" s="39"/>
      <c r="V268" s="117" t="s">
        <v>2817</v>
      </c>
      <c r="W268" s="39">
        <f>807+113+8</f>
        <v>928</v>
      </c>
      <c r="X268" s="117">
        <v>46282</v>
      </c>
      <c r="Y268" s="39">
        <v>747</v>
      </c>
      <c r="Z268" s="39"/>
      <c r="AA268" s="39"/>
      <c r="AB268" s="118">
        <f t="shared" ref="AB268:AB284" si="140">SUM(Y268:AA268)</f>
        <v>747</v>
      </c>
      <c r="AC268" s="39"/>
      <c r="AD268" s="39"/>
      <c r="AE268" s="39"/>
      <c r="AF268" s="39"/>
      <c r="AG268" s="39"/>
      <c r="AH268" s="39">
        <f t="shared" si="3"/>
        <v>0</v>
      </c>
      <c r="AI268" s="39"/>
      <c r="AJ268" s="39"/>
      <c r="AK268" s="39"/>
      <c r="AL268" s="39"/>
      <c r="AM268" s="39"/>
      <c r="AN268" s="39">
        <f t="shared" si="4"/>
        <v>0</v>
      </c>
      <c r="AO268" s="39"/>
      <c r="AP268" s="39"/>
      <c r="AQ268" s="39"/>
      <c r="AR268" s="39"/>
      <c r="AS268" s="39"/>
      <c r="AT268" s="39">
        <f t="shared" si="5"/>
        <v>0</v>
      </c>
      <c r="AU268" s="39"/>
      <c r="AV268" s="39"/>
      <c r="AW268" s="39"/>
      <c r="AX268" s="39"/>
      <c r="AY268" s="39"/>
      <c r="AZ268" s="39">
        <f t="shared" si="6"/>
        <v>0</v>
      </c>
      <c r="BA268" s="39"/>
      <c r="BB268" s="39"/>
      <c r="BC268" s="39"/>
      <c r="BD268" s="39"/>
      <c r="BE268" s="39"/>
      <c r="BF268" s="39">
        <f t="shared" si="7"/>
        <v>0</v>
      </c>
      <c r="BG268" s="39"/>
      <c r="BH268" s="39"/>
      <c r="BI268" s="39"/>
      <c r="BJ268" s="39"/>
      <c r="BK268" s="39"/>
      <c r="BL268" s="39">
        <f t="shared" si="8"/>
        <v>0</v>
      </c>
      <c r="BM268" s="54">
        <f t="shared" ca="1" si="9"/>
        <v>46283</v>
      </c>
      <c r="BN268" s="56">
        <v>46270</v>
      </c>
      <c r="BO268" s="117">
        <v>46289</v>
      </c>
      <c r="BP268" s="39"/>
      <c r="BQ268" s="39"/>
      <c r="BR268" s="39"/>
      <c r="BS268" s="39"/>
      <c r="BT268" s="39"/>
      <c r="BU268" s="39"/>
      <c r="BV268" s="39"/>
      <c r="BW268" s="39"/>
      <c r="BX268" s="39"/>
      <c r="BY268" s="39"/>
      <c r="BZ268" s="39">
        <f t="shared" si="10"/>
        <v>0</v>
      </c>
      <c r="CA268" s="39">
        <f t="shared" si="11"/>
        <v>-703</v>
      </c>
      <c r="CB268" s="39">
        <f t="shared" si="12"/>
        <v>-99</v>
      </c>
      <c r="CC268" s="39">
        <f t="shared" si="13"/>
        <v>-4</v>
      </c>
      <c r="CD268" s="39">
        <f t="shared" si="14"/>
        <v>-806</v>
      </c>
      <c r="CE268" s="102">
        <f t="shared" si="15"/>
        <v>-1</v>
      </c>
      <c r="CF268" s="36"/>
      <c r="CG268" s="39" t="s">
        <v>230</v>
      </c>
      <c r="CH268" s="39"/>
      <c r="CI268" s="25">
        <v>1</v>
      </c>
    </row>
    <row r="269" spans="1:87" ht="24.75" customHeight="1">
      <c r="A269" s="36" t="s">
        <v>51</v>
      </c>
      <c r="B269" s="28">
        <v>48554</v>
      </c>
      <c r="C269" s="240"/>
      <c r="D269" s="36" t="s">
        <v>45</v>
      </c>
      <c r="E269" s="39">
        <v>280</v>
      </c>
      <c r="F269" s="39" t="s">
        <v>58</v>
      </c>
      <c r="G269" s="36" t="s">
        <v>2242</v>
      </c>
      <c r="H269" s="36" t="s">
        <v>1501</v>
      </c>
      <c r="I269" s="39">
        <f>908+10</f>
        <v>918</v>
      </c>
      <c r="J269" s="39">
        <f>128+2</f>
        <v>130</v>
      </c>
      <c r="K269" s="39">
        <v>6</v>
      </c>
      <c r="L269" s="39">
        <f t="shared" si="138"/>
        <v>1054</v>
      </c>
      <c r="M269" s="117">
        <v>46259</v>
      </c>
      <c r="N269" s="117">
        <v>46268</v>
      </c>
      <c r="O269" s="39"/>
      <c r="P269" s="39"/>
      <c r="Q269" s="39"/>
      <c r="R269" s="39">
        <f t="shared" si="139"/>
        <v>0</v>
      </c>
      <c r="S269" s="39" t="s">
        <v>270</v>
      </c>
      <c r="T269" s="39"/>
      <c r="U269" s="39"/>
      <c r="V269" s="117" t="s">
        <v>2817</v>
      </c>
      <c r="W269" s="39">
        <f>1039+147+11+8</f>
        <v>1205</v>
      </c>
      <c r="X269" s="117">
        <v>46281</v>
      </c>
      <c r="Y269" s="39">
        <v>986</v>
      </c>
      <c r="Z269" s="39"/>
      <c r="AA269" s="39"/>
      <c r="AB269" s="120">
        <f t="shared" si="140"/>
        <v>986</v>
      </c>
      <c r="AC269" s="39"/>
      <c r="AD269" s="39"/>
      <c r="AE269" s="39"/>
      <c r="AF269" s="39"/>
      <c r="AG269" s="39"/>
      <c r="AH269" s="39">
        <f t="shared" si="3"/>
        <v>0</v>
      </c>
      <c r="AI269" s="39"/>
      <c r="AJ269" s="39"/>
      <c r="AK269" s="39"/>
      <c r="AL269" s="39"/>
      <c r="AM269" s="39"/>
      <c r="AN269" s="39">
        <f t="shared" si="4"/>
        <v>0</v>
      </c>
      <c r="AO269" s="39" t="s">
        <v>280</v>
      </c>
      <c r="AP269" s="117">
        <v>46282</v>
      </c>
      <c r="AQ269" s="39">
        <v>987</v>
      </c>
      <c r="AR269" s="39"/>
      <c r="AS269" s="39"/>
      <c r="AT269" s="39">
        <f t="shared" si="5"/>
        <v>-987</v>
      </c>
      <c r="AU269" s="39"/>
      <c r="AV269" s="39"/>
      <c r="AW269" s="39"/>
      <c r="AX269" s="39"/>
      <c r="AY269" s="39"/>
      <c r="AZ269" s="39">
        <f t="shared" si="6"/>
        <v>0</v>
      </c>
      <c r="BA269" s="39"/>
      <c r="BB269" s="39"/>
      <c r="BC269" s="39"/>
      <c r="BD269" s="39"/>
      <c r="BE269" s="39"/>
      <c r="BF269" s="39">
        <f t="shared" si="7"/>
        <v>0</v>
      </c>
      <c r="BG269" s="39"/>
      <c r="BH269" s="39"/>
      <c r="BI269" s="39"/>
      <c r="BJ269" s="39"/>
      <c r="BK269" s="39"/>
      <c r="BL269" s="39">
        <f t="shared" si="8"/>
        <v>0</v>
      </c>
      <c r="BM269" s="54">
        <f t="shared" ca="1" si="9"/>
        <v>46283</v>
      </c>
      <c r="BN269" s="56">
        <v>46270</v>
      </c>
      <c r="BO269" s="117">
        <v>46289</v>
      </c>
      <c r="BP269" s="39"/>
      <c r="BQ269" s="39"/>
      <c r="BR269" s="39"/>
      <c r="BS269" s="39"/>
      <c r="BT269" s="39"/>
      <c r="BU269" s="39"/>
      <c r="BV269" s="39"/>
      <c r="BW269" s="39"/>
      <c r="BX269" s="39"/>
      <c r="BY269" s="39"/>
      <c r="BZ269" s="39">
        <f t="shared" si="10"/>
        <v>0</v>
      </c>
      <c r="CA269" s="39">
        <f t="shared" si="11"/>
        <v>-918</v>
      </c>
      <c r="CB269" s="39">
        <f t="shared" si="12"/>
        <v>-130</v>
      </c>
      <c r="CC269" s="39">
        <f t="shared" si="13"/>
        <v>-6</v>
      </c>
      <c r="CD269" s="39">
        <f t="shared" si="14"/>
        <v>-1054</v>
      </c>
      <c r="CE269" s="102">
        <f t="shared" si="15"/>
        <v>-1</v>
      </c>
      <c r="CF269" s="36"/>
      <c r="CG269" s="39" t="s">
        <v>230</v>
      </c>
      <c r="CH269" s="39"/>
      <c r="CI269" s="25">
        <v>1</v>
      </c>
    </row>
    <row r="270" spans="1:87" ht="24.75" customHeight="1">
      <c r="A270" s="36" t="s">
        <v>51</v>
      </c>
      <c r="B270" s="28">
        <v>48554</v>
      </c>
      <c r="C270" s="236"/>
      <c r="D270" s="36" t="s">
        <v>45</v>
      </c>
      <c r="E270" s="39">
        <v>280</v>
      </c>
      <c r="F270" s="39" t="s">
        <v>58</v>
      </c>
      <c r="G270" s="36" t="s">
        <v>2243</v>
      </c>
      <c r="H270" s="36" t="s">
        <v>2244</v>
      </c>
      <c r="I270" s="39">
        <v>563</v>
      </c>
      <c r="J270" s="39">
        <v>80</v>
      </c>
      <c r="K270" s="39">
        <v>4</v>
      </c>
      <c r="L270" s="39">
        <f t="shared" ref="L270:L276" si="141">SUM(I270:K270)</f>
        <v>647</v>
      </c>
      <c r="M270" s="117">
        <v>46259</v>
      </c>
      <c r="N270" s="117">
        <v>46268</v>
      </c>
      <c r="O270" s="39"/>
      <c r="P270" s="39"/>
      <c r="Q270" s="39"/>
      <c r="R270" s="39">
        <f t="shared" si="139"/>
        <v>0</v>
      </c>
      <c r="S270" s="39" t="s">
        <v>130</v>
      </c>
      <c r="T270" s="39">
        <v>109187</v>
      </c>
      <c r="U270" s="117">
        <v>46269</v>
      </c>
      <c r="V270" s="39"/>
      <c r="W270" s="39"/>
      <c r="X270" s="39"/>
      <c r="Y270" s="39">
        <v>662</v>
      </c>
      <c r="Z270" s="39">
        <v>96</v>
      </c>
      <c r="AA270" s="39">
        <v>6</v>
      </c>
      <c r="AB270" s="119">
        <f t="shared" si="140"/>
        <v>764</v>
      </c>
      <c r="AC270" s="39"/>
      <c r="AD270" s="39"/>
      <c r="AE270" s="39"/>
      <c r="AF270" s="39"/>
      <c r="AG270" s="39"/>
      <c r="AH270" s="39">
        <f t="shared" si="3"/>
        <v>0</v>
      </c>
      <c r="AI270" s="39"/>
      <c r="AJ270" s="39"/>
      <c r="AK270" s="39"/>
      <c r="AL270" s="39"/>
      <c r="AM270" s="39"/>
      <c r="AN270" s="39">
        <f t="shared" si="4"/>
        <v>0</v>
      </c>
      <c r="AO270" s="39" t="s">
        <v>280</v>
      </c>
      <c r="AP270" s="117">
        <v>46272</v>
      </c>
      <c r="AQ270" s="39">
        <v>611</v>
      </c>
      <c r="AR270" s="117">
        <v>46273</v>
      </c>
      <c r="AS270" s="39">
        <v>616</v>
      </c>
      <c r="AT270" s="39">
        <f t="shared" si="5"/>
        <v>5</v>
      </c>
      <c r="AU270" s="39" t="s">
        <v>257</v>
      </c>
      <c r="AV270" s="117">
        <v>46272</v>
      </c>
      <c r="AW270" s="39">
        <v>616</v>
      </c>
      <c r="AX270" s="117">
        <v>46274</v>
      </c>
      <c r="AY270" s="39">
        <v>605</v>
      </c>
      <c r="AZ270" s="39">
        <f t="shared" si="6"/>
        <v>-11</v>
      </c>
      <c r="BA270" s="39"/>
      <c r="BB270" s="39"/>
      <c r="BC270" s="39"/>
      <c r="BD270" s="39"/>
      <c r="BE270" s="39"/>
      <c r="BF270" s="39">
        <f t="shared" si="7"/>
        <v>0</v>
      </c>
      <c r="BG270" s="39"/>
      <c r="BH270" s="39"/>
      <c r="BI270" s="39"/>
      <c r="BJ270" s="39"/>
      <c r="BK270" s="39"/>
      <c r="BL270" s="39">
        <f t="shared" si="8"/>
        <v>0</v>
      </c>
      <c r="BM270" s="54">
        <f t="shared" ca="1" si="9"/>
        <v>14</v>
      </c>
      <c r="BN270" s="56">
        <v>46270</v>
      </c>
      <c r="BO270" s="117">
        <v>46289</v>
      </c>
      <c r="BP270" s="39"/>
      <c r="BQ270" s="39"/>
      <c r="BR270" s="39"/>
      <c r="BS270" s="39"/>
      <c r="BT270" s="39"/>
      <c r="BU270" s="39"/>
      <c r="BV270" s="39"/>
      <c r="BW270" s="39"/>
      <c r="BX270" s="39"/>
      <c r="BY270" s="39"/>
      <c r="BZ270" s="39">
        <f t="shared" si="10"/>
        <v>0</v>
      </c>
      <c r="CA270" s="39">
        <f t="shared" si="11"/>
        <v>-563</v>
      </c>
      <c r="CB270" s="39">
        <f t="shared" si="12"/>
        <v>-80</v>
      </c>
      <c r="CC270" s="39">
        <f t="shared" si="13"/>
        <v>-4</v>
      </c>
      <c r="CD270" s="39">
        <f t="shared" si="14"/>
        <v>-647</v>
      </c>
      <c r="CE270" s="102">
        <f t="shared" si="15"/>
        <v>-1</v>
      </c>
      <c r="CF270" s="36"/>
      <c r="CG270" s="39" t="s">
        <v>230</v>
      </c>
      <c r="CH270" s="39"/>
      <c r="CI270" s="25">
        <v>1</v>
      </c>
    </row>
    <row r="271" spans="1:87" ht="24.75" customHeight="1">
      <c r="A271" s="36" t="s">
        <v>51</v>
      </c>
      <c r="B271" s="28" t="s">
        <v>2249</v>
      </c>
      <c r="C271" s="235">
        <v>22027015</v>
      </c>
      <c r="D271" s="36"/>
      <c r="E271" s="39">
        <v>150</v>
      </c>
      <c r="F271" s="39" t="s">
        <v>65</v>
      </c>
      <c r="G271" s="36" t="s">
        <v>47</v>
      </c>
      <c r="H271" s="36" t="s">
        <v>22</v>
      </c>
      <c r="I271" s="39">
        <f>415+6</f>
        <v>421</v>
      </c>
      <c r="J271" s="39">
        <v>25</v>
      </c>
      <c r="K271" s="39"/>
      <c r="L271" s="39">
        <f t="shared" si="141"/>
        <v>446</v>
      </c>
      <c r="M271" s="117">
        <v>46254</v>
      </c>
      <c r="N271" s="117">
        <v>46261</v>
      </c>
      <c r="O271" s="39"/>
      <c r="P271" s="39"/>
      <c r="Q271" s="39"/>
      <c r="R271" s="39">
        <f t="shared" si="139"/>
        <v>0</v>
      </c>
      <c r="S271" s="39" t="s">
        <v>28</v>
      </c>
      <c r="T271" s="39"/>
      <c r="U271" s="39"/>
      <c r="V271" s="117">
        <v>46281</v>
      </c>
      <c r="W271" s="39">
        <f>473+31</f>
        <v>504</v>
      </c>
      <c r="X271" s="39"/>
      <c r="Y271" s="39"/>
      <c r="Z271" s="39"/>
      <c r="AA271" s="39"/>
      <c r="AB271" s="118">
        <f t="shared" si="140"/>
        <v>0</v>
      </c>
      <c r="AC271" s="39"/>
      <c r="AD271" s="39"/>
      <c r="AE271" s="39"/>
      <c r="AF271" s="39"/>
      <c r="AG271" s="39"/>
      <c r="AH271" s="39">
        <f t="shared" si="3"/>
        <v>0</v>
      </c>
      <c r="AI271" s="39"/>
      <c r="AJ271" s="39"/>
      <c r="AK271" s="39"/>
      <c r="AL271" s="39"/>
      <c r="AM271" s="39"/>
      <c r="AN271" s="39">
        <f t="shared" si="4"/>
        <v>0</v>
      </c>
      <c r="AO271" s="39"/>
      <c r="AP271" s="39"/>
      <c r="AQ271" s="39"/>
      <c r="AR271" s="39"/>
      <c r="AS271" s="39"/>
      <c r="AT271" s="39">
        <f t="shared" si="5"/>
        <v>0</v>
      </c>
      <c r="AU271" s="39"/>
      <c r="AV271" s="39"/>
      <c r="AW271" s="39"/>
      <c r="AX271" s="39"/>
      <c r="AY271" s="39"/>
      <c r="AZ271" s="39">
        <f t="shared" si="6"/>
        <v>0</v>
      </c>
      <c r="BA271" s="39"/>
      <c r="BB271" s="39"/>
      <c r="BC271" s="39"/>
      <c r="BD271" s="39"/>
      <c r="BE271" s="39"/>
      <c r="BF271" s="39">
        <f t="shared" si="7"/>
        <v>0</v>
      </c>
      <c r="BG271" s="39"/>
      <c r="BH271" s="39"/>
      <c r="BI271" s="39"/>
      <c r="BJ271" s="39"/>
      <c r="BK271" s="39"/>
      <c r="BL271" s="39">
        <f t="shared" si="8"/>
        <v>0</v>
      </c>
      <c r="BM271" s="54">
        <f t="shared" ca="1" si="9"/>
        <v>46283</v>
      </c>
      <c r="BN271" s="56">
        <v>46270</v>
      </c>
      <c r="BO271" s="117">
        <v>46282</v>
      </c>
      <c r="BP271" s="39"/>
      <c r="BQ271" s="39"/>
      <c r="BR271" s="39"/>
      <c r="BS271" s="39"/>
      <c r="BT271" s="39"/>
      <c r="BU271" s="39"/>
      <c r="BV271" s="39"/>
      <c r="BW271" s="39"/>
      <c r="BX271" s="39"/>
      <c r="BY271" s="39"/>
      <c r="BZ271" s="39">
        <f t="shared" si="10"/>
        <v>0</v>
      </c>
      <c r="CA271" s="39">
        <f t="shared" si="11"/>
        <v>-421</v>
      </c>
      <c r="CB271" s="39">
        <f t="shared" si="12"/>
        <v>-25</v>
      </c>
      <c r="CC271" s="39">
        <f t="shared" si="13"/>
        <v>0</v>
      </c>
      <c r="CD271" s="39">
        <f t="shared" si="14"/>
        <v>-446</v>
      </c>
      <c r="CE271" s="102">
        <f t="shared" si="15"/>
        <v>-1</v>
      </c>
      <c r="CF271" s="36"/>
      <c r="CG271" s="39" t="s">
        <v>243</v>
      </c>
      <c r="CH271" s="39"/>
      <c r="CI271" s="25">
        <v>1</v>
      </c>
    </row>
    <row r="272" spans="1:87" ht="24.75" customHeight="1">
      <c r="A272" s="36" t="s">
        <v>51</v>
      </c>
      <c r="B272" s="28" t="s">
        <v>2249</v>
      </c>
      <c r="C272" s="236"/>
      <c r="D272" s="36"/>
      <c r="E272" s="39">
        <v>150</v>
      </c>
      <c r="F272" s="39" t="s">
        <v>65</v>
      </c>
      <c r="G272" s="36" t="s">
        <v>310</v>
      </c>
      <c r="H272" s="36" t="s">
        <v>22</v>
      </c>
      <c r="I272" s="39">
        <f>583+8</f>
        <v>591</v>
      </c>
      <c r="J272" s="39">
        <v>35</v>
      </c>
      <c r="K272" s="39"/>
      <c r="L272" s="39">
        <f t="shared" si="141"/>
        <v>626</v>
      </c>
      <c r="M272" s="117">
        <v>46254</v>
      </c>
      <c r="N272" s="117">
        <v>46261</v>
      </c>
      <c r="O272" s="39"/>
      <c r="P272" s="39"/>
      <c r="Q272" s="39"/>
      <c r="R272" s="39">
        <f t="shared" si="139"/>
        <v>0</v>
      </c>
      <c r="S272" s="39" t="s">
        <v>270</v>
      </c>
      <c r="T272" s="39"/>
      <c r="U272" s="39"/>
      <c r="V272" s="117">
        <v>46259</v>
      </c>
      <c r="W272" s="39">
        <f>645+42</f>
        <v>687</v>
      </c>
      <c r="X272" s="117" t="s">
        <v>2888</v>
      </c>
      <c r="Y272" s="39">
        <f>554</f>
        <v>554</v>
      </c>
      <c r="Z272" s="39">
        <v>37</v>
      </c>
      <c r="AA272" s="39"/>
      <c r="AB272" s="120">
        <f t="shared" si="140"/>
        <v>591</v>
      </c>
      <c r="AC272" s="39"/>
      <c r="AD272" s="39"/>
      <c r="AE272" s="39"/>
      <c r="AF272" s="39"/>
      <c r="AG272" s="39"/>
      <c r="AH272" s="39">
        <f t="shared" si="3"/>
        <v>0</v>
      </c>
      <c r="AI272" s="39"/>
      <c r="AJ272" s="39"/>
      <c r="AK272" s="39"/>
      <c r="AL272" s="39"/>
      <c r="AM272" s="39"/>
      <c r="AN272" s="39">
        <f t="shared" si="4"/>
        <v>0</v>
      </c>
      <c r="AO272" s="39"/>
      <c r="AP272" s="39"/>
      <c r="AQ272" s="39"/>
      <c r="AR272" s="39"/>
      <c r="AS272" s="39"/>
      <c r="AT272" s="39">
        <f t="shared" si="5"/>
        <v>0</v>
      </c>
      <c r="AU272" s="39"/>
      <c r="AV272" s="39"/>
      <c r="AW272" s="39"/>
      <c r="AX272" s="39"/>
      <c r="AY272" s="39"/>
      <c r="AZ272" s="39">
        <f t="shared" si="6"/>
        <v>0</v>
      </c>
      <c r="BA272" s="39"/>
      <c r="BB272" s="39"/>
      <c r="BC272" s="39"/>
      <c r="BD272" s="39"/>
      <c r="BE272" s="39"/>
      <c r="BF272" s="39">
        <f t="shared" si="7"/>
        <v>0</v>
      </c>
      <c r="BG272" s="39"/>
      <c r="BH272" s="39"/>
      <c r="BI272" s="39"/>
      <c r="BJ272" s="39"/>
      <c r="BK272" s="39"/>
      <c r="BL272" s="39">
        <f t="shared" si="8"/>
        <v>0</v>
      </c>
      <c r="BM272" s="54" t="str">
        <f t="shared" si="9"/>
        <v/>
      </c>
      <c r="BN272" s="56">
        <v>46270</v>
      </c>
      <c r="BO272" s="117">
        <v>46282</v>
      </c>
      <c r="BP272" s="39"/>
      <c r="BQ272" s="39"/>
      <c r="BR272" s="117">
        <v>46272</v>
      </c>
      <c r="BS272" s="117">
        <v>46272</v>
      </c>
      <c r="BT272" s="39" t="s">
        <v>2824</v>
      </c>
      <c r="BU272" s="39">
        <f>554+29</f>
        <v>583</v>
      </c>
      <c r="BV272" s="39">
        <v>967</v>
      </c>
      <c r="BW272" s="39">
        <v>42</v>
      </c>
      <c r="BX272" s="39"/>
      <c r="BY272" s="39"/>
      <c r="BZ272" s="39">
        <f t="shared" si="10"/>
        <v>625</v>
      </c>
      <c r="CA272" s="39">
        <f t="shared" si="11"/>
        <v>-8</v>
      </c>
      <c r="CB272" s="39">
        <f t="shared" si="12"/>
        <v>7</v>
      </c>
      <c r="CC272" s="39">
        <f t="shared" si="13"/>
        <v>0</v>
      </c>
      <c r="CD272" s="39">
        <v>0</v>
      </c>
      <c r="CE272" s="102">
        <f t="shared" si="15"/>
        <v>0</v>
      </c>
      <c r="CF272" s="36"/>
      <c r="CG272" s="39" t="s">
        <v>243</v>
      </c>
      <c r="CH272" s="39"/>
      <c r="CI272" s="25">
        <v>1</v>
      </c>
    </row>
    <row r="273" spans="1:87" ht="24.75" customHeight="1">
      <c r="A273" s="36" t="s">
        <v>51</v>
      </c>
      <c r="B273" s="28" t="s">
        <v>2250</v>
      </c>
      <c r="C273" s="41" t="s">
        <v>2177</v>
      </c>
      <c r="D273" s="36"/>
      <c r="E273" s="39">
        <v>150</v>
      </c>
      <c r="F273" s="39" t="s">
        <v>65</v>
      </c>
      <c r="G273" s="36" t="s">
        <v>347</v>
      </c>
      <c r="H273" s="36" t="s">
        <v>22</v>
      </c>
      <c r="I273" s="39">
        <v>228</v>
      </c>
      <c r="J273" s="39"/>
      <c r="K273" s="39"/>
      <c r="L273" s="39">
        <f t="shared" si="141"/>
        <v>228</v>
      </c>
      <c r="M273" s="117">
        <v>46255</v>
      </c>
      <c r="N273" s="117">
        <v>46259</v>
      </c>
      <c r="O273" s="39"/>
      <c r="P273" s="39"/>
      <c r="Q273" s="39"/>
      <c r="R273" s="39">
        <f t="shared" si="139"/>
        <v>0</v>
      </c>
      <c r="S273" s="39" t="s">
        <v>130</v>
      </c>
      <c r="T273" s="39">
        <v>109221</v>
      </c>
      <c r="U273" s="117">
        <v>46272</v>
      </c>
      <c r="V273" s="39"/>
      <c r="W273" s="39"/>
      <c r="X273" s="39"/>
      <c r="Y273" s="39">
        <v>258</v>
      </c>
      <c r="Z273" s="39"/>
      <c r="AA273" s="39"/>
      <c r="AB273" s="119">
        <f t="shared" si="140"/>
        <v>258</v>
      </c>
      <c r="AC273" s="39"/>
      <c r="AD273" s="39"/>
      <c r="AE273" s="39"/>
      <c r="AF273" s="39"/>
      <c r="AG273" s="39"/>
      <c r="AH273" s="39">
        <f t="shared" si="3"/>
        <v>0</v>
      </c>
      <c r="AI273" s="39"/>
      <c r="AJ273" s="39"/>
      <c r="AK273" s="39"/>
      <c r="AL273" s="39"/>
      <c r="AM273" s="39"/>
      <c r="AN273" s="39">
        <f t="shared" si="4"/>
        <v>0</v>
      </c>
      <c r="AO273" s="39"/>
      <c r="AP273" s="39"/>
      <c r="AQ273" s="39"/>
      <c r="AR273" s="39"/>
      <c r="AS273" s="39"/>
      <c r="AT273" s="39">
        <f t="shared" si="5"/>
        <v>0</v>
      </c>
      <c r="AU273" s="39"/>
      <c r="AV273" s="39"/>
      <c r="AW273" s="39"/>
      <c r="AX273" s="39"/>
      <c r="AY273" s="39"/>
      <c r="AZ273" s="39">
        <f t="shared" si="6"/>
        <v>0</v>
      </c>
      <c r="BA273" s="39"/>
      <c r="BB273" s="39"/>
      <c r="BC273" s="39"/>
      <c r="BD273" s="39"/>
      <c r="BE273" s="39"/>
      <c r="BF273" s="39">
        <f t="shared" si="7"/>
        <v>0</v>
      </c>
      <c r="BG273" s="39"/>
      <c r="BH273" s="39"/>
      <c r="BI273" s="39"/>
      <c r="BJ273" s="39"/>
      <c r="BK273" s="39"/>
      <c r="BL273" s="39">
        <f t="shared" si="8"/>
        <v>0</v>
      </c>
      <c r="BM273" s="54" t="str">
        <f t="shared" si="9"/>
        <v/>
      </c>
      <c r="BN273" s="56">
        <v>46268</v>
      </c>
      <c r="BO273" s="117">
        <v>46277</v>
      </c>
      <c r="BP273" s="39"/>
      <c r="BQ273" s="39"/>
      <c r="BR273" s="57">
        <v>46272</v>
      </c>
      <c r="BS273" s="57">
        <v>46272</v>
      </c>
      <c r="BT273" s="39">
        <v>773</v>
      </c>
      <c r="BU273" s="39">
        <v>230</v>
      </c>
      <c r="BV273" s="39"/>
      <c r="BW273" s="39"/>
      <c r="BX273" s="39"/>
      <c r="BY273" s="39"/>
      <c r="BZ273" s="39">
        <f t="shared" si="10"/>
        <v>230</v>
      </c>
      <c r="CA273" s="39">
        <f t="shared" si="11"/>
        <v>2</v>
      </c>
      <c r="CB273" s="39">
        <f t="shared" si="12"/>
        <v>0</v>
      </c>
      <c r="CC273" s="39">
        <f t="shared" si="13"/>
        <v>0</v>
      </c>
      <c r="CD273" s="39">
        <f t="shared" si="14"/>
        <v>0</v>
      </c>
      <c r="CE273" s="102">
        <f t="shared" si="15"/>
        <v>0</v>
      </c>
      <c r="CF273" s="36" t="s">
        <v>292</v>
      </c>
      <c r="CG273" s="39" t="s">
        <v>230</v>
      </c>
      <c r="CH273" s="39"/>
      <c r="CI273" s="25">
        <v>1</v>
      </c>
    </row>
    <row r="274" spans="1:87" ht="24.75" customHeight="1">
      <c r="A274" s="36" t="s">
        <v>51</v>
      </c>
      <c r="B274" s="28" t="s">
        <v>2307</v>
      </c>
      <c r="C274" s="235" t="s">
        <v>2308</v>
      </c>
      <c r="D274" s="36" t="s">
        <v>45</v>
      </c>
      <c r="E274" s="39">
        <v>340</v>
      </c>
      <c r="F274" s="39" t="s">
        <v>55</v>
      </c>
      <c r="G274" s="36" t="s">
        <v>2309</v>
      </c>
      <c r="H274" s="36" t="s">
        <v>362</v>
      </c>
      <c r="I274" s="39">
        <v>930</v>
      </c>
      <c r="J274" s="39">
        <v>140</v>
      </c>
      <c r="K274" s="39">
        <v>5</v>
      </c>
      <c r="L274" s="39">
        <f t="shared" si="141"/>
        <v>1075</v>
      </c>
      <c r="M274" s="117">
        <v>46259</v>
      </c>
      <c r="N274" s="117">
        <v>46264</v>
      </c>
      <c r="O274" s="39"/>
      <c r="P274" s="39"/>
      <c r="Q274" s="39"/>
      <c r="R274" s="39">
        <f t="shared" si="139"/>
        <v>0</v>
      </c>
      <c r="S274" s="39" t="s">
        <v>130</v>
      </c>
      <c r="T274" s="39">
        <v>109230</v>
      </c>
      <c r="U274" s="117">
        <v>46276</v>
      </c>
      <c r="V274" s="39"/>
      <c r="W274" s="39"/>
      <c r="X274" s="39"/>
      <c r="Y274" s="39">
        <v>1082</v>
      </c>
      <c r="Z274" s="39">
        <v>167</v>
      </c>
      <c r="AA274" s="39">
        <v>7</v>
      </c>
      <c r="AB274" s="119">
        <f t="shared" si="140"/>
        <v>1256</v>
      </c>
      <c r="AC274" s="39"/>
      <c r="AD274" s="39"/>
      <c r="AE274" s="39"/>
      <c r="AF274" s="39"/>
      <c r="AG274" s="39"/>
      <c r="AH274" s="39">
        <f t="shared" si="3"/>
        <v>0</v>
      </c>
      <c r="AI274" s="39"/>
      <c r="AJ274" s="39"/>
      <c r="AK274" s="39"/>
      <c r="AL274" s="39"/>
      <c r="AM274" s="39"/>
      <c r="AN274" s="39">
        <f t="shared" si="4"/>
        <v>0</v>
      </c>
      <c r="AO274" s="39" t="s">
        <v>280</v>
      </c>
      <c r="AP274" s="117">
        <v>46277</v>
      </c>
      <c r="AQ274" s="39">
        <v>1000</v>
      </c>
      <c r="AR274" s="117">
        <v>46279</v>
      </c>
      <c r="AS274" s="39">
        <v>997</v>
      </c>
      <c r="AT274" s="39">
        <f t="shared" si="5"/>
        <v>-3</v>
      </c>
      <c r="AU274" s="39" t="s">
        <v>257</v>
      </c>
      <c r="AV274" s="117">
        <v>46279</v>
      </c>
      <c r="AW274" s="39">
        <v>997</v>
      </c>
      <c r="AX274" s="117">
        <v>46279</v>
      </c>
      <c r="AY274" s="39">
        <v>981</v>
      </c>
      <c r="AZ274" s="39">
        <f t="shared" si="6"/>
        <v>-16</v>
      </c>
      <c r="BA274" s="39"/>
      <c r="BB274" s="39"/>
      <c r="BC274" s="39"/>
      <c r="BD274" s="39"/>
      <c r="BE274" s="39"/>
      <c r="BF274" s="39">
        <f t="shared" si="7"/>
        <v>0</v>
      </c>
      <c r="BG274" s="39"/>
      <c r="BH274" s="39"/>
      <c r="BI274" s="39"/>
      <c r="BJ274" s="39"/>
      <c r="BK274" s="39"/>
      <c r="BL274" s="39">
        <f t="shared" si="8"/>
        <v>0</v>
      </c>
      <c r="BM274" s="54">
        <f t="shared" ca="1" si="9"/>
        <v>7</v>
      </c>
      <c r="BN274" s="56">
        <v>46268</v>
      </c>
      <c r="BO274" s="117">
        <v>46281</v>
      </c>
      <c r="BP274" s="39"/>
      <c r="BQ274" s="39"/>
      <c r="BR274" s="39"/>
      <c r="BS274" s="39"/>
      <c r="BT274" s="39"/>
      <c r="BU274" s="39"/>
      <c r="BV274" s="39"/>
      <c r="BW274" s="39"/>
      <c r="BX274" s="39"/>
      <c r="BY274" s="39"/>
      <c r="BZ274" s="39">
        <f t="shared" si="10"/>
        <v>0</v>
      </c>
      <c r="CA274" s="39">
        <f t="shared" si="11"/>
        <v>-930</v>
      </c>
      <c r="CB274" s="39">
        <f t="shared" si="12"/>
        <v>-140</v>
      </c>
      <c r="CC274" s="39">
        <f t="shared" si="13"/>
        <v>-5</v>
      </c>
      <c r="CD274" s="39">
        <f t="shared" si="14"/>
        <v>-1075</v>
      </c>
      <c r="CE274" s="102">
        <f t="shared" si="15"/>
        <v>-1</v>
      </c>
      <c r="CF274" s="36" t="s">
        <v>292</v>
      </c>
      <c r="CG274" s="39" t="s">
        <v>230</v>
      </c>
      <c r="CH274" s="39"/>
      <c r="CI274" s="25">
        <v>1</v>
      </c>
    </row>
    <row r="275" spans="1:87" ht="24.75" customHeight="1">
      <c r="A275" s="36" t="s">
        <v>51</v>
      </c>
      <c r="B275" s="28" t="s">
        <v>2307</v>
      </c>
      <c r="C275" s="236"/>
      <c r="D275" s="36"/>
      <c r="E275" s="39"/>
      <c r="F275" s="39"/>
      <c r="G275" s="36" t="s">
        <v>724</v>
      </c>
      <c r="H275" s="36"/>
      <c r="I275" s="39"/>
      <c r="J275" s="39"/>
      <c r="K275" s="39"/>
      <c r="L275" s="39">
        <f t="shared" si="141"/>
        <v>0</v>
      </c>
      <c r="M275" s="117">
        <v>46259</v>
      </c>
      <c r="N275" s="117">
        <v>46264</v>
      </c>
      <c r="O275" s="39"/>
      <c r="P275" s="39"/>
      <c r="Q275" s="39"/>
      <c r="R275" s="39">
        <f t="shared" si="139"/>
        <v>0</v>
      </c>
      <c r="S275" s="39" t="s">
        <v>130</v>
      </c>
      <c r="T275" s="39"/>
      <c r="U275" s="39"/>
      <c r="V275" s="39"/>
      <c r="W275" s="39"/>
      <c r="X275" s="39"/>
      <c r="Y275" s="39"/>
      <c r="Z275" s="39"/>
      <c r="AA275" s="39"/>
      <c r="AB275" s="39">
        <f t="shared" si="140"/>
        <v>0</v>
      </c>
      <c r="AC275" s="39"/>
      <c r="AD275" s="39"/>
      <c r="AE275" s="39"/>
      <c r="AF275" s="39"/>
      <c r="AG275" s="39"/>
      <c r="AH275" s="39">
        <f t="shared" si="3"/>
        <v>0</v>
      </c>
      <c r="AI275" s="39"/>
      <c r="AJ275" s="39"/>
      <c r="AK275" s="39"/>
      <c r="AL275" s="39"/>
      <c r="AM275" s="39"/>
      <c r="AN275" s="39">
        <f t="shared" si="4"/>
        <v>0</v>
      </c>
      <c r="AO275" s="39"/>
      <c r="AP275" s="39"/>
      <c r="AQ275" s="39"/>
      <c r="AR275" s="39"/>
      <c r="AS275" s="39"/>
      <c r="AT275" s="39">
        <f t="shared" si="5"/>
        <v>0</v>
      </c>
      <c r="AU275" s="39"/>
      <c r="AV275" s="39"/>
      <c r="AW275" s="39"/>
      <c r="AX275" s="39"/>
      <c r="AY275" s="39"/>
      <c r="AZ275" s="39">
        <f t="shared" si="6"/>
        <v>0</v>
      </c>
      <c r="BA275" s="39"/>
      <c r="BB275" s="39"/>
      <c r="BC275" s="39"/>
      <c r="BD275" s="39"/>
      <c r="BE275" s="39"/>
      <c r="BF275" s="39">
        <f t="shared" si="7"/>
        <v>0</v>
      </c>
      <c r="BG275" s="39"/>
      <c r="BH275" s="39"/>
      <c r="BI275" s="39"/>
      <c r="BJ275" s="39"/>
      <c r="BK275" s="39"/>
      <c r="BL275" s="39">
        <f t="shared" si="8"/>
        <v>0</v>
      </c>
      <c r="BM275" s="54" t="e">
        <f t="shared" si="9"/>
        <v>#DIV/0!</v>
      </c>
      <c r="BN275" s="56">
        <v>46268</v>
      </c>
      <c r="BO275" s="117">
        <v>46281</v>
      </c>
      <c r="BP275" s="39"/>
      <c r="BQ275" s="39"/>
      <c r="BR275" s="39"/>
      <c r="BS275" s="39"/>
      <c r="BT275" s="39"/>
      <c r="BU275" s="39"/>
      <c r="BV275" s="39"/>
      <c r="BW275" s="39"/>
      <c r="BX275" s="39"/>
      <c r="BY275" s="39"/>
      <c r="BZ275" s="39">
        <f t="shared" si="10"/>
        <v>0</v>
      </c>
      <c r="CA275" s="39">
        <f t="shared" si="11"/>
        <v>0</v>
      </c>
      <c r="CB275" s="39">
        <f t="shared" si="12"/>
        <v>0</v>
      </c>
      <c r="CC275" s="39">
        <f t="shared" si="13"/>
        <v>0</v>
      </c>
      <c r="CD275" s="39">
        <f t="shared" si="14"/>
        <v>0</v>
      </c>
      <c r="CE275" s="102" t="e">
        <f t="shared" si="15"/>
        <v>#DIV/0!</v>
      </c>
      <c r="CF275" s="36" t="s">
        <v>292</v>
      </c>
      <c r="CG275" s="39" t="s">
        <v>230</v>
      </c>
      <c r="CH275" s="39"/>
      <c r="CI275" s="25">
        <v>1</v>
      </c>
    </row>
    <row r="276" spans="1:87" ht="24.75" customHeight="1">
      <c r="A276" s="36" t="s">
        <v>51</v>
      </c>
      <c r="B276" s="28" t="s">
        <v>2338</v>
      </c>
      <c r="C276" s="41" t="s">
        <v>2339</v>
      </c>
      <c r="D276" s="36" t="s">
        <v>45</v>
      </c>
      <c r="E276" s="39">
        <v>340</v>
      </c>
      <c r="F276" s="39" t="s">
        <v>55</v>
      </c>
      <c r="G276" s="36" t="s">
        <v>1503</v>
      </c>
      <c r="H276" s="36" t="s">
        <v>1501</v>
      </c>
      <c r="I276" s="39">
        <v>772</v>
      </c>
      <c r="J276" s="39">
        <v>192</v>
      </c>
      <c r="K276" s="39">
        <v>7</v>
      </c>
      <c r="L276" s="39">
        <f t="shared" si="141"/>
        <v>971</v>
      </c>
      <c r="M276" s="117">
        <v>46258</v>
      </c>
      <c r="N276" s="117">
        <v>46261</v>
      </c>
      <c r="O276" s="39"/>
      <c r="P276" s="39"/>
      <c r="Q276" s="39"/>
      <c r="R276" s="39">
        <f t="shared" si="139"/>
        <v>0</v>
      </c>
      <c r="S276" s="39" t="s">
        <v>270</v>
      </c>
      <c r="T276" s="39"/>
      <c r="U276" s="39"/>
      <c r="V276" s="117" t="s">
        <v>2915</v>
      </c>
      <c r="W276" s="39">
        <f>898+44+11+181</f>
        <v>1134</v>
      </c>
      <c r="X276" s="117">
        <v>46280</v>
      </c>
      <c r="Y276" s="39">
        <f>656</f>
        <v>656</v>
      </c>
      <c r="Z276" s="39"/>
      <c r="AA276" s="39"/>
      <c r="AB276" s="120">
        <f t="shared" si="140"/>
        <v>656</v>
      </c>
      <c r="AC276" s="39"/>
      <c r="AD276" s="39"/>
      <c r="AE276" s="39"/>
      <c r="AF276" s="39"/>
      <c r="AG276" s="39"/>
      <c r="AH276" s="39">
        <f t="shared" si="3"/>
        <v>0</v>
      </c>
      <c r="AI276" s="39"/>
      <c r="AJ276" s="39"/>
      <c r="AK276" s="39"/>
      <c r="AL276" s="39"/>
      <c r="AM276" s="39"/>
      <c r="AN276" s="39">
        <f t="shared" si="4"/>
        <v>0</v>
      </c>
      <c r="AO276" s="39" t="s">
        <v>280</v>
      </c>
      <c r="AP276" s="117">
        <v>46280</v>
      </c>
      <c r="AQ276" s="39">
        <f>656</f>
        <v>656</v>
      </c>
      <c r="AR276" s="117">
        <v>46282</v>
      </c>
      <c r="AS276" s="39">
        <f>640</f>
        <v>640</v>
      </c>
      <c r="AT276" s="39">
        <f t="shared" si="5"/>
        <v>-16</v>
      </c>
      <c r="AU276" s="39" t="s">
        <v>257</v>
      </c>
      <c r="AV276" s="117">
        <v>46282</v>
      </c>
      <c r="AW276" s="39">
        <f>640</f>
        <v>640</v>
      </c>
      <c r="AX276" s="39"/>
      <c r="AY276" s="39"/>
      <c r="AZ276" s="39">
        <f t="shared" si="6"/>
        <v>-640</v>
      </c>
      <c r="BA276" s="39"/>
      <c r="BB276" s="39"/>
      <c r="BC276" s="39"/>
      <c r="BD276" s="39"/>
      <c r="BE276" s="39"/>
      <c r="BF276" s="39">
        <f t="shared" si="7"/>
        <v>0</v>
      </c>
      <c r="BG276" s="39"/>
      <c r="BH276" s="39"/>
      <c r="BI276" s="39"/>
      <c r="BJ276" s="39"/>
      <c r="BK276" s="39"/>
      <c r="BL276" s="39">
        <f t="shared" si="8"/>
        <v>0</v>
      </c>
      <c r="BM276" s="54">
        <f t="shared" ca="1" si="9"/>
        <v>46283</v>
      </c>
      <c r="BN276" s="56">
        <v>46266</v>
      </c>
      <c r="BO276" s="117">
        <v>46277</v>
      </c>
      <c r="BP276" s="39"/>
      <c r="BQ276" s="39"/>
      <c r="BR276" s="39"/>
      <c r="BS276" s="39"/>
      <c r="BT276" s="39"/>
      <c r="BU276" s="39"/>
      <c r="BV276" s="39"/>
      <c r="BW276" s="39"/>
      <c r="BX276" s="39"/>
      <c r="BY276" s="39"/>
      <c r="BZ276" s="39">
        <f t="shared" si="10"/>
        <v>0</v>
      </c>
      <c r="CA276" s="39">
        <f t="shared" si="11"/>
        <v>-772</v>
      </c>
      <c r="CB276" s="39">
        <f t="shared" si="12"/>
        <v>-192</v>
      </c>
      <c r="CC276" s="39">
        <f t="shared" si="13"/>
        <v>-7</v>
      </c>
      <c r="CD276" s="39">
        <f t="shared" si="14"/>
        <v>-971</v>
      </c>
      <c r="CE276" s="102">
        <f t="shared" si="15"/>
        <v>-1</v>
      </c>
      <c r="CF276" s="36" t="s">
        <v>292</v>
      </c>
      <c r="CG276" s="39" t="s">
        <v>230</v>
      </c>
      <c r="CH276" s="39"/>
      <c r="CI276" s="25">
        <v>1</v>
      </c>
    </row>
    <row r="277" spans="1:87" ht="24.75" customHeight="1">
      <c r="A277" s="36" t="s">
        <v>51</v>
      </c>
      <c r="B277" s="28">
        <v>48947</v>
      </c>
      <c r="C277" s="257" t="s">
        <v>2828</v>
      </c>
      <c r="D277" s="36"/>
      <c r="E277" s="39">
        <v>180</v>
      </c>
      <c r="F277" s="39" t="s">
        <v>54</v>
      </c>
      <c r="G277" s="36" t="s">
        <v>47</v>
      </c>
      <c r="H277" s="36" t="s">
        <v>22</v>
      </c>
      <c r="I277" s="39">
        <v>142</v>
      </c>
      <c r="J277" s="39">
        <v>8</v>
      </c>
      <c r="K277" s="39">
        <v>2</v>
      </c>
      <c r="L277" s="39">
        <f t="shared" ref="L277:L280" si="142">SUM(I277:K277)</f>
        <v>152</v>
      </c>
      <c r="M277" s="117">
        <v>46270</v>
      </c>
      <c r="N277" s="117">
        <v>46273</v>
      </c>
      <c r="O277" s="39"/>
      <c r="P277" s="39"/>
      <c r="Q277" s="39"/>
      <c r="R277" s="39">
        <f t="shared" si="139"/>
        <v>0</v>
      </c>
      <c r="S277" s="39" t="s">
        <v>130</v>
      </c>
      <c r="T277" s="39"/>
      <c r="U277" s="39"/>
      <c r="V277" s="39"/>
      <c r="W277" s="39"/>
      <c r="X277" s="39"/>
      <c r="Y277" s="39"/>
      <c r="Z277" s="39"/>
      <c r="AA277" s="39"/>
      <c r="AB277" s="118">
        <f t="shared" si="140"/>
        <v>0</v>
      </c>
      <c r="AC277" s="39"/>
      <c r="AD277" s="39"/>
      <c r="AE277" s="39"/>
      <c r="AF277" s="39"/>
      <c r="AG277" s="39"/>
      <c r="AH277" s="39">
        <f t="shared" si="3"/>
        <v>0</v>
      </c>
      <c r="AI277" s="39"/>
      <c r="AJ277" s="39"/>
      <c r="AK277" s="39"/>
      <c r="AL277" s="39"/>
      <c r="AM277" s="39"/>
      <c r="AN277" s="39">
        <f t="shared" si="4"/>
        <v>0</v>
      </c>
      <c r="AO277" s="39"/>
      <c r="AP277" s="39"/>
      <c r="AQ277" s="39"/>
      <c r="AR277" s="39"/>
      <c r="AS277" s="39"/>
      <c r="AT277" s="39">
        <f t="shared" si="5"/>
        <v>0</v>
      </c>
      <c r="AU277" s="39"/>
      <c r="AV277" s="39"/>
      <c r="AW277" s="39"/>
      <c r="AX277" s="39"/>
      <c r="AY277" s="39"/>
      <c r="AZ277" s="39">
        <f t="shared" si="6"/>
        <v>0</v>
      </c>
      <c r="BA277" s="39"/>
      <c r="BB277" s="39"/>
      <c r="BC277" s="39"/>
      <c r="BD277" s="39"/>
      <c r="BE277" s="39"/>
      <c r="BF277" s="39">
        <f t="shared" si="7"/>
        <v>0</v>
      </c>
      <c r="BG277" s="39"/>
      <c r="BH277" s="39"/>
      <c r="BI277" s="39"/>
      <c r="BJ277" s="39"/>
      <c r="BK277" s="39"/>
      <c r="BL277" s="39">
        <f t="shared" si="8"/>
        <v>0</v>
      </c>
      <c r="BM277" s="54">
        <f t="shared" ca="1" si="9"/>
        <v>46283</v>
      </c>
      <c r="BN277" s="56">
        <v>46275</v>
      </c>
      <c r="BO277" s="117">
        <v>46284</v>
      </c>
      <c r="BP277" s="39"/>
      <c r="BQ277" s="39"/>
      <c r="BR277" s="39"/>
      <c r="BS277" s="39"/>
      <c r="BT277" s="39"/>
      <c r="BU277" s="39"/>
      <c r="BV277" s="39"/>
      <c r="BW277" s="39"/>
      <c r="BX277" s="39"/>
      <c r="BY277" s="39"/>
      <c r="BZ277" s="39">
        <f t="shared" si="10"/>
        <v>0</v>
      </c>
      <c r="CA277" s="39">
        <f t="shared" si="11"/>
        <v>-142</v>
      </c>
      <c r="CB277" s="39">
        <f t="shared" si="12"/>
        <v>-8</v>
      </c>
      <c r="CC277" s="39">
        <f t="shared" si="13"/>
        <v>-2</v>
      </c>
      <c r="CD277" s="39">
        <f t="shared" si="14"/>
        <v>-152</v>
      </c>
      <c r="CE277" s="102">
        <f t="shared" si="15"/>
        <v>-1</v>
      </c>
      <c r="CF277" s="36"/>
      <c r="CG277" s="39" t="s">
        <v>243</v>
      </c>
      <c r="CH277" s="39"/>
      <c r="CI277" s="25">
        <v>1</v>
      </c>
    </row>
    <row r="278" spans="1:87" ht="24.75" customHeight="1">
      <c r="A278" s="36" t="s">
        <v>51</v>
      </c>
      <c r="B278" s="28">
        <v>48947</v>
      </c>
      <c r="C278" s="236"/>
      <c r="D278" s="36"/>
      <c r="E278" s="39">
        <v>180</v>
      </c>
      <c r="F278" s="39" t="s">
        <v>54</v>
      </c>
      <c r="G278" s="36" t="s">
        <v>359</v>
      </c>
      <c r="H278" s="36" t="s">
        <v>22</v>
      </c>
      <c r="I278" s="39">
        <f>126+44</f>
        <v>170</v>
      </c>
      <c r="J278" s="39">
        <v>10</v>
      </c>
      <c r="K278" s="39">
        <v>2</v>
      </c>
      <c r="L278" s="39">
        <f t="shared" si="142"/>
        <v>182</v>
      </c>
      <c r="M278" s="117">
        <v>46270</v>
      </c>
      <c r="N278" s="117">
        <v>46273</v>
      </c>
      <c r="O278" s="39"/>
      <c r="P278" s="39"/>
      <c r="Q278" s="39"/>
      <c r="R278" s="39">
        <f t="shared" si="139"/>
        <v>0</v>
      </c>
      <c r="S278" s="39" t="s">
        <v>130</v>
      </c>
      <c r="T278" s="39"/>
      <c r="U278" s="39"/>
      <c r="V278" s="39"/>
      <c r="W278" s="39"/>
      <c r="X278" s="39"/>
      <c r="Y278" s="39"/>
      <c r="Z278" s="39"/>
      <c r="AA278" s="39"/>
      <c r="AB278" s="118">
        <f t="shared" si="140"/>
        <v>0</v>
      </c>
      <c r="AC278" s="39"/>
      <c r="AD278" s="39"/>
      <c r="AE278" s="39"/>
      <c r="AF278" s="39"/>
      <c r="AG278" s="39"/>
      <c r="AH278" s="39">
        <f t="shared" si="3"/>
        <v>0</v>
      </c>
      <c r="AI278" s="39"/>
      <c r="AJ278" s="39"/>
      <c r="AK278" s="39"/>
      <c r="AL278" s="39"/>
      <c r="AM278" s="39"/>
      <c r="AN278" s="39">
        <f t="shared" si="4"/>
        <v>0</v>
      </c>
      <c r="AO278" s="39"/>
      <c r="AP278" s="39"/>
      <c r="AQ278" s="39"/>
      <c r="AR278" s="39"/>
      <c r="AS278" s="39"/>
      <c r="AT278" s="39">
        <f t="shared" si="5"/>
        <v>0</v>
      </c>
      <c r="AU278" s="39"/>
      <c r="AV278" s="39"/>
      <c r="AW278" s="39"/>
      <c r="AX278" s="39"/>
      <c r="AY278" s="39"/>
      <c r="AZ278" s="39">
        <f t="shared" si="6"/>
        <v>0</v>
      </c>
      <c r="BA278" s="39"/>
      <c r="BB278" s="39"/>
      <c r="BC278" s="39"/>
      <c r="BD278" s="39"/>
      <c r="BE278" s="39"/>
      <c r="BF278" s="39">
        <f t="shared" si="7"/>
        <v>0</v>
      </c>
      <c r="BG278" s="39"/>
      <c r="BH278" s="39"/>
      <c r="BI278" s="39"/>
      <c r="BJ278" s="39"/>
      <c r="BK278" s="39"/>
      <c r="BL278" s="39">
        <f t="shared" si="8"/>
        <v>0</v>
      </c>
      <c r="BM278" s="54">
        <f t="shared" ca="1" si="9"/>
        <v>46283</v>
      </c>
      <c r="BN278" s="56">
        <v>46275</v>
      </c>
      <c r="BO278" s="117">
        <v>46284</v>
      </c>
      <c r="BP278" s="39"/>
      <c r="BQ278" s="39"/>
      <c r="BR278" s="39"/>
      <c r="BS278" s="39"/>
      <c r="BT278" s="39"/>
      <c r="BU278" s="39"/>
      <c r="BV278" s="39"/>
      <c r="BW278" s="39"/>
      <c r="BX278" s="39"/>
      <c r="BY278" s="39"/>
      <c r="BZ278" s="39">
        <f t="shared" si="10"/>
        <v>0</v>
      </c>
      <c r="CA278" s="39">
        <f t="shared" si="11"/>
        <v>-170</v>
      </c>
      <c r="CB278" s="39">
        <f t="shared" si="12"/>
        <v>-10</v>
      </c>
      <c r="CC278" s="39">
        <f t="shared" si="13"/>
        <v>-2</v>
      </c>
      <c r="CD278" s="39">
        <f t="shared" si="14"/>
        <v>-182</v>
      </c>
      <c r="CE278" s="102">
        <f t="shared" si="15"/>
        <v>-1</v>
      </c>
      <c r="CF278" s="36"/>
      <c r="CG278" s="39" t="s">
        <v>243</v>
      </c>
      <c r="CH278" s="39"/>
      <c r="CI278" s="25">
        <v>1</v>
      </c>
    </row>
    <row r="279" spans="1:87" ht="24.75" customHeight="1">
      <c r="A279" s="36" t="s">
        <v>51</v>
      </c>
      <c r="B279" s="28">
        <v>48946</v>
      </c>
      <c r="C279" s="257">
        <v>22041273</v>
      </c>
      <c r="D279" s="36"/>
      <c r="E279" s="39">
        <v>200</v>
      </c>
      <c r="F279" s="39" t="s">
        <v>55</v>
      </c>
      <c r="G279" s="36" t="s">
        <v>2243</v>
      </c>
      <c r="H279" s="36" t="s">
        <v>2731</v>
      </c>
      <c r="I279" s="39">
        <v>325</v>
      </c>
      <c r="J279" s="39"/>
      <c r="K279" s="39"/>
      <c r="L279" s="39">
        <f t="shared" si="142"/>
        <v>325</v>
      </c>
      <c r="M279" s="117">
        <v>46268</v>
      </c>
      <c r="N279" s="117">
        <v>46275</v>
      </c>
      <c r="O279" s="39"/>
      <c r="P279" s="39"/>
      <c r="Q279" s="39"/>
      <c r="R279" s="39">
        <f t="shared" si="139"/>
        <v>0</v>
      </c>
      <c r="S279" s="39" t="s">
        <v>130</v>
      </c>
      <c r="T279" s="39"/>
      <c r="U279" s="39"/>
      <c r="V279" s="39"/>
      <c r="W279" s="39"/>
      <c r="X279" s="39"/>
      <c r="Y279" s="39"/>
      <c r="Z279" s="39"/>
      <c r="AA279" s="39"/>
      <c r="AB279" s="118">
        <f t="shared" si="140"/>
        <v>0</v>
      </c>
      <c r="AC279" s="39"/>
      <c r="AD279" s="39"/>
      <c r="AE279" s="39"/>
      <c r="AF279" s="39"/>
      <c r="AG279" s="39"/>
      <c r="AH279" s="39">
        <f t="shared" si="3"/>
        <v>0</v>
      </c>
      <c r="AI279" s="39"/>
      <c r="AJ279" s="39"/>
      <c r="AK279" s="39"/>
      <c r="AL279" s="39"/>
      <c r="AM279" s="39"/>
      <c r="AN279" s="39">
        <f t="shared" si="4"/>
        <v>0</v>
      </c>
      <c r="AO279" s="39"/>
      <c r="AP279" s="39"/>
      <c r="AQ279" s="39"/>
      <c r="AR279" s="39"/>
      <c r="AS279" s="39"/>
      <c r="AT279" s="39">
        <f t="shared" si="5"/>
        <v>0</v>
      </c>
      <c r="AU279" s="39"/>
      <c r="AV279" s="39"/>
      <c r="AW279" s="39"/>
      <c r="AX279" s="39"/>
      <c r="AY279" s="39"/>
      <c r="AZ279" s="39">
        <f t="shared" si="6"/>
        <v>0</v>
      </c>
      <c r="BA279" s="39"/>
      <c r="BB279" s="39"/>
      <c r="BC279" s="39"/>
      <c r="BD279" s="39"/>
      <c r="BE279" s="39"/>
      <c r="BF279" s="39">
        <f t="shared" si="7"/>
        <v>0</v>
      </c>
      <c r="BG279" s="39"/>
      <c r="BH279" s="39"/>
      <c r="BI279" s="39"/>
      <c r="BJ279" s="39"/>
      <c r="BK279" s="39"/>
      <c r="BL279" s="39">
        <f t="shared" si="8"/>
        <v>0</v>
      </c>
      <c r="BM279" s="54">
        <f t="shared" ca="1" si="9"/>
        <v>46283</v>
      </c>
      <c r="BN279" s="56">
        <v>46275</v>
      </c>
      <c r="BO279" s="117">
        <v>46286</v>
      </c>
      <c r="BP279" s="39"/>
      <c r="BQ279" s="39"/>
      <c r="BR279" s="39"/>
      <c r="BS279" s="39"/>
      <c r="BT279" s="39"/>
      <c r="BU279" s="39"/>
      <c r="BV279" s="39"/>
      <c r="BW279" s="39"/>
      <c r="BX279" s="39"/>
      <c r="BY279" s="39"/>
      <c r="BZ279" s="39">
        <f t="shared" si="10"/>
        <v>0</v>
      </c>
      <c r="CA279" s="39">
        <f t="shared" si="11"/>
        <v>-325</v>
      </c>
      <c r="CB279" s="39">
        <f t="shared" si="12"/>
        <v>0</v>
      </c>
      <c r="CC279" s="39">
        <f t="shared" si="13"/>
        <v>0</v>
      </c>
      <c r="CD279" s="39">
        <f t="shared" si="14"/>
        <v>-325</v>
      </c>
      <c r="CE279" s="102">
        <f t="shared" si="15"/>
        <v>-1</v>
      </c>
      <c r="CF279" s="36"/>
      <c r="CG279" s="39" t="s">
        <v>243</v>
      </c>
      <c r="CH279" s="39"/>
      <c r="CI279" s="25">
        <v>1</v>
      </c>
    </row>
    <row r="280" spans="1:87" ht="24.75" customHeight="1">
      <c r="A280" s="36" t="s">
        <v>51</v>
      </c>
      <c r="B280" s="28">
        <v>48946</v>
      </c>
      <c r="C280" s="258"/>
      <c r="D280" s="36"/>
      <c r="E280" s="39">
        <v>200</v>
      </c>
      <c r="F280" s="39" t="s">
        <v>55</v>
      </c>
      <c r="G280" s="36" t="s">
        <v>2732</v>
      </c>
      <c r="H280" s="36" t="s">
        <v>2731</v>
      </c>
      <c r="I280" s="39">
        <v>729</v>
      </c>
      <c r="J280" s="39"/>
      <c r="K280" s="39"/>
      <c r="L280" s="39">
        <f t="shared" si="142"/>
        <v>729</v>
      </c>
      <c r="M280" s="117">
        <v>46268</v>
      </c>
      <c r="N280" s="117">
        <v>46275</v>
      </c>
      <c r="O280" s="39"/>
      <c r="P280" s="39"/>
      <c r="Q280" s="39"/>
      <c r="R280" s="39">
        <f t="shared" si="139"/>
        <v>0</v>
      </c>
      <c r="S280" s="39" t="s">
        <v>130</v>
      </c>
      <c r="T280" s="39">
        <v>109386</v>
      </c>
      <c r="U280" s="117">
        <v>46279</v>
      </c>
      <c r="V280" s="39"/>
      <c r="W280" s="39"/>
      <c r="X280" s="39"/>
      <c r="Y280" s="39">
        <v>821</v>
      </c>
      <c r="Z280" s="39"/>
      <c r="AA280" s="39"/>
      <c r="AB280" s="119">
        <f t="shared" si="140"/>
        <v>821</v>
      </c>
      <c r="AC280" s="39"/>
      <c r="AD280" s="39"/>
      <c r="AE280" s="39"/>
      <c r="AF280" s="39"/>
      <c r="AG280" s="39"/>
      <c r="AH280" s="39">
        <f t="shared" si="3"/>
        <v>0</v>
      </c>
      <c r="AI280" s="39"/>
      <c r="AJ280" s="39"/>
      <c r="AK280" s="39"/>
      <c r="AL280" s="39"/>
      <c r="AM280" s="39"/>
      <c r="AN280" s="39">
        <f t="shared" si="4"/>
        <v>0</v>
      </c>
      <c r="AO280" s="39"/>
      <c r="AP280" s="39"/>
      <c r="AQ280" s="39"/>
      <c r="AR280" s="39"/>
      <c r="AS280" s="39"/>
      <c r="AT280" s="39">
        <f t="shared" si="5"/>
        <v>0</v>
      </c>
      <c r="AU280" s="39"/>
      <c r="AV280" s="39"/>
      <c r="AW280" s="39"/>
      <c r="AX280" s="39"/>
      <c r="AY280" s="39"/>
      <c r="AZ280" s="39">
        <f t="shared" si="6"/>
        <v>0</v>
      </c>
      <c r="BA280" s="39"/>
      <c r="BB280" s="39"/>
      <c r="BC280" s="39"/>
      <c r="BD280" s="39"/>
      <c r="BE280" s="39"/>
      <c r="BF280" s="39">
        <f t="shared" si="7"/>
        <v>0</v>
      </c>
      <c r="BG280" s="39"/>
      <c r="BH280" s="39"/>
      <c r="BI280" s="39"/>
      <c r="BJ280" s="39"/>
      <c r="BK280" s="39"/>
      <c r="BL280" s="39">
        <f t="shared" si="8"/>
        <v>0</v>
      </c>
      <c r="BM280" s="54">
        <f t="shared" ca="1" si="9"/>
        <v>4</v>
      </c>
      <c r="BN280" s="56">
        <v>46275</v>
      </c>
      <c r="BO280" s="117">
        <v>46286</v>
      </c>
      <c r="BP280" s="39"/>
      <c r="BQ280" s="39"/>
      <c r="BR280" s="39"/>
      <c r="BS280" s="39"/>
      <c r="BT280" s="39"/>
      <c r="BU280" s="39"/>
      <c r="BV280" s="39"/>
      <c r="BW280" s="39"/>
      <c r="BX280" s="39"/>
      <c r="BY280" s="39"/>
      <c r="BZ280" s="39">
        <f t="shared" si="10"/>
        <v>0</v>
      </c>
      <c r="CA280" s="39">
        <f t="shared" si="11"/>
        <v>-729</v>
      </c>
      <c r="CB280" s="39">
        <f t="shared" si="12"/>
        <v>0</v>
      </c>
      <c r="CC280" s="39">
        <f t="shared" si="13"/>
        <v>0</v>
      </c>
      <c r="CD280" s="39">
        <f t="shared" si="14"/>
        <v>-729</v>
      </c>
      <c r="CE280" s="102">
        <f t="shared" si="15"/>
        <v>-1</v>
      </c>
      <c r="CF280" s="36"/>
      <c r="CG280" s="39" t="s">
        <v>243</v>
      </c>
      <c r="CH280" s="39"/>
      <c r="CI280" s="25">
        <v>1</v>
      </c>
    </row>
    <row r="281" spans="1:87" ht="24.75" customHeight="1">
      <c r="A281" s="36" t="s">
        <v>51</v>
      </c>
      <c r="B281" s="28">
        <v>48946</v>
      </c>
      <c r="C281" s="259"/>
      <c r="D281" s="36"/>
      <c r="E281" s="39"/>
      <c r="F281" s="39"/>
      <c r="G281" s="36" t="s">
        <v>944</v>
      </c>
      <c r="H281" s="36">
        <f>320+700</f>
        <v>1020</v>
      </c>
      <c r="I281" s="39" t="s">
        <v>90</v>
      </c>
      <c r="J281" s="39"/>
      <c r="K281" s="39"/>
      <c r="L281" s="39">
        <f t="shared" ref="L281" si="143">SUM(I281:K281)</f>
        <v>0</v>
      </c>
      <c r="M281" s="117">
        <v>46268</v>
      </c>
      <c r="N281" s="117">
        <v>46275</v>
      </c>
      <c r="O281" s="39"/>
      <c r="P281" s="39"/>
      <c r="Q281" s="39"/>
      <c r="R281" s="39">
        <f t="shared" si="139"/>
        <v>0</v>
      </c>
      <c r="S281" s="39" t="s">
        <v>130</v>
      </c>
      <c r="T281" s="39">
        <v>109386</v>
      </c>
      <c r="U281" s="117">
        <v>46279</v>
      </c>
      <c r="V281" s="39"/>
      <c r="W281" s="39"/>
      <c r="X281" s="39"/>
      <c r="Y281" s="39">
        <v>5</v>
      </c>
      <c r="Z281" s="39"/>
      <c r="AA281" s="39"/>
      <c r="AB281" s="39">
        <f t="shared" si="140"/>
        <v>5</v>
      </c>
      <c r="AC281" s="39"/>
      <c r="AD281" s="39"/>
      <c r="AE281" s="39"/>
      <c r="AF281" s="39"/>
      <c r="AG281" s="39"/>
      <c r="AH281" s="39">
        <f t="shared" si="3"/>
        <v>0</v>
      </c>
      <c r="AI281" s="39"/>
      <c r="AJ281" s="39"/>
      <c r="AK281" s="39"/>
      <c r="AL281" s="39"/>
      <c r="AM281" s="39"/>
      <c r="AN281" s="39">
        <f t="shared" si="4"/>
        <v>0</v>
      </c>
      <c r="AO281" s="39"/>
      <c r="AP281" s="39"/>
      <c r="AQ281" s="39"/>
      <c r="AR281" s="39"/>
      <c r="AS281" s="39"/>
      <c r="AT281" s="39">
        <f t="shared" si="5"/>
        <v>0</v>
      </c>
      <c r="AU281" s="39"/>
      <c r="AV281" s="39"/>
      <c r="AW281" s="39"/>
      <c r="AX281" s="39"/>
      <c r="AY281" s="39"/>
      <c r="AZ281" s="39">
        <f t="shared" si="6"/>
        <v>0</v>
      </c>
      <c r="BA281" s="39"/>
      <c r="BB281" s="39"/>
      <c r="BC281" s="39"/>
      <c r="BD281" s="39"/>
      <c r="BE281" s="39"/>
      <c r="BF281" s="39">
        <f t="shared" si="7"/>
        <v>0</v>
      </c>
      <c r="BG281" s="39"/>
      <c r="BH281" s="39"/>
      <c r="BI281" s="39"/>
      <c r="BJ281" s="39"/>
      <c r="BK281" s="39"/>
      <c r="BL281" s="39">
        <f t="shared" si="8"/>
        <v>0</v>
      </c>
      <c r="BM281" s="54" t="e">
        <f t="shared" si="9"/>
        <v>#DIV/0!</v>
      </c>
      <c r="BN281" s="56">
        <v>46275</v>
      </c>
      <c r="BO281" s="117">
        <v>46286</v>
      </c>
      <c r="BP281" s="39"/>
      <c r="BQ281" s="39"/>
      <c r="BR281" s="39"/>
      <c r="BS281" s="39"/>
      <c r="BT281" s="39"/>
      <c r="BU281" s="39"/>
      <c r="BV281" s="39"/>
      <c r="BW281" s="39"/>
      <c r="BX281" s="39"/>
      <c r="BY281" s="39"/>
      <c r="BZ281" s="39">
        <f t="shared" si="10"/>
        <v>0</v>
      </c>
      <c r="CA281" s="39" t="e">
        <f t="shared" si="11"/>
        <v>#VALUE!</v>
      </c>
      <c r="CB281" s="39">
        <f t="shared" si="12"/>
        <v>0</v>
      </c>
      <c r="CC281" s="39">
        <f t="shared" si="13"/>
        <v>0</v>
      </c>
      <c r="CD281" s="39">
        <f t="shared" si="14"/>
        <v>0</v>
      </c>
      <c r="CE281" s="102" t="e">
        <f t="shared" si="15"/>
        <v>#DIV/0!</v>
      </c>
      <c r="CF281" s="36"/>
      <c r="CG281" s="39" t="s">
        <v>243</v>
      </c>
      <c r="CH281" s="39"/>
      <c r="CI281" s="25">
        <v>1</v>
      </c>
    </row>
    <row r="282" spans="1:87" ht="24.75" customHeight="1">
      <c r="A282" s="36" t="s">
        <v>51</v>
      </c>
      <c r="B282" s="28">
        <v>48959</v>
      </c>
      <c r="C282" s="257" t="s">
        <v>2851</v>
      </c>
      <c r="D282" s="36" t="s">
        <v>45</v>
      </c>
      <c r="E282" s="39">
        <v>280</v>
      </c>
      <c r="F282" s="39" t="s">
        <v>58</v>
      </c>
      <c r="G282" s="36" t="s">
        <v>2847</v>
      </c>
      <c r="H282" s="36" t="s">
        <v>1501</v>
      </c>
      <c r="I282" s="39">
        <v>1193</v>
      </c>
      <c r="J282" s="39">
        <v>262</v>
      </c>
      <c r="K282" s="39">
        <v>17</v>
      </c>
      <c r="L282" s="39">
        <f t="shared" ref="L282:L284" si="144">SUM(I282:K282)</f>
        <v>1472</v>
      </c>
      <c r="M282" s="117">
        <v>46270</v>
      </c>
      <c r="N282" s="117">
        <v>46275</v>
      </c>
      <c r="O282" s="39"/>
      <c r="P282" s="39"/>
      <c r="Q282" s="39"/>
      <c r="R282" s="39">
        <f t="shared" si="139"/>
        <v>0</v>
      </c>
      <c r="S282" s="39" t="s">
        <v>270</v>
      </c>
      <c r="T282" s="39"/>
      <c r="U282" s="39"/>
      <c r="V282" s="117">
        <v>46282</v>
      </c>
      <c r="W282" s="39">
        <f>1383+294+20</f>
        <v>1697</v>
      </c>
      <c r="X282" s="39"/>
      <c r="Y282" s="39"/>
      <c r="Z282" s="39"/>
      <c r="AA282" s="39"/>
      <c r="AB282" s="118">
        <f t="shared" si="140"/>
        <v>0</v>
      </c>
      <c r="AC282" s="39"/>
      <c r="AD282" s="39"/>
      <c r="AE282" s="39"/>
      <c r="AF282" s="39"/>
      <c r="AG282" s="39"/>
      <c r="AH282" s="39">
        <f t="shared" ref="AH282:AH284" si="145">AG282-AE282</f>
        <v>0</v>
      </c>
      <c r="AI282" s="39"/>
      <c r="AJ282" s="39"/>
      <c r="AK282" s="39"/>
      <c r="AL282" s="39"/>
      <c r="AM282" s="39"/>
      <c r="AN282" s="39">
        <f t="shared" si="4"/>
        <v>0</v>
      </c>
      <c r="AO282" s="39"/>
      <c r="AP282" s="39"/>
      <c r="AQ282" s="39"/>
      <c r="AR282" s="39"/>
      <c r="AS282" s="39"/>
      <c r="AT282" s="39">
        <f t="shared" ref="AT282:AT284" si="146">AS282-AQ282</f>
        <v>0</v>
      </c>
      <c r="AU282" s="39"/>
      <c r="AV282" s="39"/>
      <c r="AW282" s="39"/>
      <c r="AX282" s="39"/>
      <c r="AY282" s="39"/>
      <c r="AZ282" s="39">
        <f t="shared" ref="AZ282:AZ284" si="147">AY282-AW282</f>
        <v>0</v>
      </c>
      <c r="BA282" s="39"/>
      <c r="BB282" s="39"/>
      <c r="BC282" s="39"/>
      <c r="BD282" s="39"/>
      <c r="BE282" s="39"/>
      <c r="BF282" s="39">
        <f t="shared" ref="BF282:BF284" si="148">BE282-BC282</f>
        <v>0</v>
      </c>
      <c r="BG282" s="39"/>
      <c r="BH282" s="39"/>
      <c r="BI282" s="39"/>
      <c r="BJ282" s="39"/>
      <c r="BK282" s="39"/>
      <c r="BL282" s="39">
        <f t="shared" ref="BL282:BL284" si="149">BK282-BI282</f>
        <v>0</v>
      </c>
      <c r="BM282" s="54">
        <f t="shared" ref="BM282:BM284" ca="1" si="150">IF((BZ282/L282)&lt;0.9,$CO$1-U282,"")</f>
        <v>46283</v>
      </c>
      <c r="BN282" s="56">
        <v>46275</v>
      </c>
      <c r="BO282" s="117">
        <v>46287</v>
      </c>
      <c r="BP282" s="39"/>
      <c r="BQ282" s="39"/>
      <c r="BR282" s="39"/>
      <c r="BS282" s="39"/>
      <c r="BT282" s="39"/>
      <c r="BU282" s="39"/>
      <c r="BV282" s="39"/>
      <c r="BW282" s="39"/>
      <c r="BX282" s="39"/>
      <c r="BY282" s="39"/>
      <c r="BZ282" s="39">
        <f t="shared" ref="BZ282:BZ284" si="151">BU282+BW282+BY282</f>
        <v>0</v>
      </c>
      <c r="CA282" s="39">
        <f t="shared" ref="CA282:CA284" si="152">BU282-I282</f>
        <v>-1193</v>
      </c>
      <c r="CB282" s="39">
        <f t="shared" ref="CB282:CB284" si="153">BW282-J282</f>
        <v>-262</v>
      </c>
      <c r="CC282" s="39">
        <f t="shared" ref="CC282:CC284" si="154">BY282-K282</f>
        <v>-17</v>
      </c>
      <c r="CD282" s="39">
        <f t="shared" ref="CD282:CD284" si="155">SUMIF(CA282:CC282,"&lt;0")</f>
        <v>-1472</v>
      </c>
      <c r="CE282" s="102">
        <f t="shared" ref="CE282:CE284" si="156">CD282/L282</f>
        <v>-1</v>
      </c>
      <c r="CF282" s="36" t="s">
        <v>384</v>
      </c>
      <c r="CG282" s="39" t="s">
        <v>243</v>
      </c>
      <c r="CH282" s="39"/>
      <c r="CI282" s="25">
        <v>1</v>
      </c>
    </row>
    <row r="283" spans="1:87" ht="24.75" customHeight="1">
      <c r="A283" s="36" t="s">
        <v>51</v>
      </c>
      <c r="B283" s="28">
        <v>48959</v>
      </c>
      <c r="C283" s="258"/>
      <c r="D283" s="36" t="s">
        <v>45</v>
      </c>
      <c r="E283" s="39">
        <v>280</v>
      </c>
      <c r="F283" s="39" t="s">
        <v>58</v>
      </c>
      <c r="G283" s="36" t="s">
        <v>2848</v>
      </c>
      <c r="H283" s="36" t="s">
        <v>1501</v>
      </c>
      <c r="I283" s="39">
        <v>1179</v>
      </c>
      <c r="J283" s="39">
        <v>259</v>
      </c>
      <c r="K283" s="39">
        <v>17</v>
      </c>
      <c r="L283" s="39">
        <f t="shared" si="144"/>
        <v>1455</v>
      </c>
      <c r="M283" s="117">
        <v>46270</v>
      </c>
      <c r="N283" s="117">
        <v>46275</v>
      </c>
      <c r="O283" s="39"/>
      <c r="P283" s="39"/>
      <c r="Q283" s="39"/>
      <c r="R283" s="39">
        <f t="shared" si="139"/>
        <v>0</v>
      </c>
      <c r="S283" s="39" t="s">
        <v>31</v>
      </c>
      <c r="T283" s="39"/>
      <c r="U283" s="39"/>
      <c r="V283" s="39"/>
      <c r="W283" s="39"/>
      <c r="X283" s="39"/>
      <c r="Y283" s="39"/>
      <c r="Z283" s="39"/>
      <c r="AA283" s="39"/>
      <c r="AB283" s="118">
        <f t="shared" si="140"/>
        <v>0</v>
      </c>
      <c r="AC283" s="39"/>
      <c r="AD283" s="39"/>
      <c r="AE283" s="39"/>
      <c r="AF283" s="39"/>
      <c r="AG283" s="39"/>
      <c r="AH283" s="39">
        <f t="shared" si="145"/>
        <v>0</v>
      </c>
      <c r="AI283" s="39"/>
      <c r="AJ283" s="39"/>
      <c r="AK283" s="39"/>
      <c r="AL283" s="39"/>
      <c r="AM283" s="39"/>
      <c r="AN283" s="39">
        <f t="shared" si="4"/>
        <v>0</v>
      </c>
      <c r="AO283" s="39"/>
      <c r="AP283" s="39"/>
      <c r="AQ283" s="39"/>
      <c r="AR283" s="39"/>
      <c r="AS283" s="39"/>
      <c r="AT283" s="39">
        <f t="shared" si="146"/>
        <v>0</v>
      </c>
      <c r="AU283" s="39"/>
      <c r="AV283" s="39"/>
      <c r="AW283" s="39"/>
      <c r="AX283" s="39"/>
      <c r="AY283" s="39"/>
      <c r="AZ283" s="39">
        <f t="shared" si="147"/>
        <v>0</v>
      </c>
      <c r="BA283" s="39"/>
      <c r="BB283" s="39"/>
      <c r="BC283" s="39"/>
      <c r="BD283" s="39"/>
      <c r="BE283" s="39"/>
      <c r="BF283" s="39">
        <f t="shared" si="148"/>
        <v>0</v>
      </c>
      <c r="BG283" s="39"/>
      <c r="BH283" s="39"/>
      <c r="BI283" s="39"/>
      <c r="BJ283" s="39"/>
      <c r="BK283" s="39"/>
      <c r="BL283" s="39">
        <f t="shared" si="149"/>
        <v>0</v>
      </c>
      <c r="BM283" s="54">
        <f t="shared" ca="1" si="150"/>
        <v>46283</v>
      </c>
      <c r="BN283" s="56">
        <v>46275</v>
      </c>
      <c r="BO283" s="117">
        <v>46287</v>
      </c>
      <c r="BP283" s="39"/>
      <c r="BQ283" s="39"/>
      <c r="BR283" s="39"/>
      <c r="BS283" s="39"/>
      <c r="BT283" s="39"/>
      <c r="BU283" s="39"/>
      <c r="BV283" s="39"/>
      <c r="BW283" s="39"/>
      <c r="BX283" s="39"/>
      <c r="BY283" s="39"/>
      <c r="BZ283" s="39">
        <f t="shared" si="151"/>
        <v>0</v>
      </c>
      <c r="CA283" s="39">
        <f t="shared" si="152"/>
        <v>-1179</v>
      </c>
      <c r="CB283" s="39">
        <f t="shared" si="153"/>
        <v>-259</v>
      </c>
      <c r="CC283" s="39">
        <f t="shared" si="154"/>
        <v>-17</v>
      </c>
      <c r="CD283" s="39">
        <f t="shared" si="155"/>
        <v>-1455</v>
      </c>
      <c r="CE283" s="102">
        <f t="shared" si="156"/>
        <v>-1</v>
      </c>
      <c r="CF283" s="36" t="s">
        <v>384</v>
      </c>
      <c r="CG283" s="39" t="s">
        <v>243</v>
      </c>
      <c r="CH283" s="39"/>
      <c r="CI283" s="25">
        <v>1</v>
      </c>
    </row>
    <row r="284" spans="1:87" ht="24.75" customHeight="1">
      <c r="A284" s="36" t="s">
        <v>51</v>
      </c>
      <c r="B284" s="28">
        <v>48959</v>
      </c>
      <c r="C284" s="259"/>
      <c r="D284" s="36"/>
      <c r="E284" s="39"/>
      <c r="F284" s="39"/>
      <c r="G284" s="36" t="s">
        <v>2849</v>
      </c>
      <c r="H284" s="36">
        <f>450+440</f>
        <v>890</v>
      </c>
      <c r="I284" s="39" t="s">
        <v>90</v>
      </c>
      <c r="J284" s="39"/>
      <c r="K284" s="39"/>
      <c r="L284" s="39">
        <f t="shared" si="144"/>
        <v>0</v>
      </c>
      <c r="M284" s="117">
        <v>46270</v>
      </c>
      <c r="N284" s="117">
        <v>46275</v>
      </c>
      <c r="O284" s="39"/>
      <c r="P284" s="39"/>
      <c r="Q284" s="39"/>
      <c r="R284" s="39">
        <f t="shared" si="139"/>
        <v>0</v>
      </c>
      <c r="S284" s="39" t="s">
        <v>130</v>
      </c>
      <c r="T284" s="39"/>
      <c r="U284" s="39"/>
      <c r="V284" s="39"/>
      <c r="W284" s="39"/>
      <c r="X284" s="39"/>
      <c r="Y284" s="39"/>
      <c r="Z284" s="39"/>
      <c r="AA284" s="39"/>
      <c r="AB284" s="39">
        <f t="shared" si="140"/>
        <v>0</v>
      </c>
      <c r="AC284" s="39"/>
      <c r="AD284" s="39"/>
      <c r="AE284" s="39"/>
      <c r="AF284" s="39"/>
      <c r="AG284" s="39"/>
      <c r="AH284" s="39">
        <f t="shared" si="145"/>
        <v>0</v>
      </c>
      <c r="AI284" s="39"/>
      <c r="AJ284" s="39"/>
      <c r="AK284" s="39"/>
      <c r="AL284" s="39"/>
      <c r="AM284" s="39"/>
      <c r="AN284" s="39">
        <f t="shared" si="4"/>
        <v>0</v>
      </c>
      <c r="AO284" s="39"/>
      <c r="AP284" s="39"/>
      <c r="AQ284" s="39"/>
      <c r="AR284" s="39"/>
      <c r="AS284" s="39"/>
      <c r="AT284" s="39">
        <f t="shared" si="146"/>
        <v>0</v>
      </c>
      <c r="AU284" s="39"/>
      <c r="AV284" s="39"/>
      <c r="AW284" s="39"/>
      <c r="AX284" s="39"/>
      <c r="AY284" s="39"/>
      <c r="AZ284" s="39">
        <f t="shared" si="147"/>
        <v>0</v>
      </c>
      <c r="BA284" s="39"/>
      <c r="BB284" s="39"/>
      <c r="BC284" s="39"/>
      <c r="BD284" s="39"/>
      <c r="BE284" s="39"/>
      <c r="BF284" s="39">
        <f t="shared" si="148"/>
        <v>0</v>
      </c>
      <c r="BG284" s="39"/>
      <c r="BH284" s="39"/>
      <c r="BI284" s="39"/>
      <c r="BJ284" s="39"/>
      <c r="BK284" s="39"/>
      <c r="BL284" s="39">
        <f t="shared" si="149"/>
        <v>0</v>
      </c>
      <c r="BM284" s="54" t="e">
        <f t="shared" si="150"/>
        <v>#DIV/0!</v>
      </c>
      <c r="BN284" s="56">
        <v>46275</v>
      </c>
      <c r="BO284" s="117">
        <v>46287</v>
      </c>
      <c r="BP284" s="39"/>
      <c r="BQ284" s="39"/>
      <c r="BR284" s="39"/>
      <c r="BS284" s="39"/>
      <c r="BT284" s="39"/>
      <c r="BU284" s="39"/>
      <c r="BV284" s="39"/>
      <c r="BW284" s="39"/>
      <c r="BX284" s="39"/>
      <c r="BY284" s="39"/>
      <c r="BZ284" s="39">
        <f t="shared" si="151"/>
        <v>0</v>
      </c>
      <c r="CA284" s="39" t="e">
        <f t="shared" si="152"/>
        <v>#VALUE!</v>
      </c>
      <c r="CB284" s="39">
        <f t="shared" si="153"/>
        <v>0</v>
      </c>
      <c r="CC284" s="39">
        <f t="shared" si="154"/>
        <v>0</v>
      </c>
      <c r="CD284" s="39">
        <f t="shared" si="155"/>
        <v>0</v>
      </c>
      <c r="CE284" s="102" t="e">
        <f t="shared" si="156"/>
        <v>#DIV/0!</v>
      </c>
      <c r="CF284" s="36" t="s">
        <v>384</v>
      </c>
      <c r="CG284" s="39" t="s">
        <v>243</v>
      </c>
      <c r="CH284" s="39"/>
      <c r="CI284" s="25">
        <v>1</v>
      </c>
    </row>
    <row r="285" spans="1:87" ht="24.75" customHeight="1">
      <c r="A285" s="36" t="s">
        <v>51</v>
      </c>
      <c r="B285" s="28"/>
      <c r="C285" s="41"/>
      <c r="D285" s="36"/>
      <c r="E285" s="39"/>
      <c r="F285" s="39"/>
      <c r="G285" s="36"/>
      <c r="H285" s="39"/>
      <c r="I285" s="39"/>
      <c r="J285" s="39"/>
      <c r="K285" s="39"/>
      <c r="L285" s="39">
        <f t="shared" ref="L285:L290" si="157">SUM(I285:K285)</f>
        <v>0</v>
      </c>
      <c r="M285" s="39"/>
      <c r="N285" s="39"/>
      <c r="O285" s="39"/>
      <c r="P285" s="39"/>
      <c r="Q285" s="39"/>
      <c r="R285" s="39">
        <f t="shared" si="122"/>
        <v>0</v>
      </c>
      <c r="S285" s="39"/>
      <c r="T285" s="39"/>
      <c r="U285" s="39"/>
      <c r="V285" s="39"/>
      <c r="W285" s="39"/>
      <c r="X285" s="39"/>
      <c r="Y285" s="39"/>
      <c r="Z285" s="39"/>
      <c r="AA285" s="39"/>
      <c r="AB285" s="39">
        <f t="shared" si="123"/>
        <v>0</v>
      </c>
      <c r="AC285" s="39"/>
      <c r="AD285" s="39"/>
      <c r="AE285" s="39"/>
      <c r="AF285" s="39"/>
      <c r="AG285" s="39"/>
      <c r="AH285" s="39">
        <f t="shared" si="3"/>
        <v>0</v>
      </c>
      <c r="AI285" s="39"/>
      <c r="AJ285" s="39"/>
      <c r="AK285" s="39"/>
      <c r="AL285" s="39"/>
      <c r="AM285" s="39"/>
      <c r="AN285" s="39">
        <f t="shared" si="4"/>
        <v>0</v>
      </c>
      <c r="AO285" s="39"/>
      <c r="AP285" s="39"/>
      <c r="AQ285" s="39"/>
      <c r="AR285" s="39"/>
      <c r="AS285" s="39"/>
      <c r="AT285" s="39">
        <f t="shared" si="5"/>
        <v>0</v>
      </c>
      <c r="AU285" s="39"/>
      <c r="AV285" s="39"/>
      <c r="AW285" s="39"/>
      <c r="AX285" s="39"/>
      <c r="AY285" s="39"/>
      <c r="AZ285" s="39">
        <f t="shared" si="6"/>
        <v>0</v>
      </c>
      <c r="BA285" s="39"/>
      <c r="BB285" s="39"/>
      <c r="BC285" s="39"/>
      <c r="BD285" s="39"/>
      <c r="BE285" s="39"/>
      <c r="BF285" s="39">
        <f t="shared" si="7"/>
        <v>0</v>
      </c>
      <c r="BG285" s="39"/>
      <c r="BH285" s="39"/>
      <c r="BI285" s="39"/>
      <c r="BJ285" s="39"/>
      <c r="BK285" s="39"/>
      <c r="BL285" s="39">
        <f t="shared" si="8"/>
        <v>0</v>
      </c>
      <c r="BM285" s="54" t="e">
        <f t="shared" si="9"/>
        <v>#DIV/0!</v>
      </c>
      <c r="BN285" s="42"/>
      <c r="BO285" s="39"/>
      <c r="BP285" s="39"/>
      <c r="BQ285" s="39"/>
      <c r="BR285" s="39"/>
      <c r="BS285" s="39"/>
      <c r="BT285" s="39"/>
      <c r="BU285" s="39"/>
      <c r="BV285" s="39"/>
      <c r="BW285" s="39"/>
      <c r="BX285" s="39"/>
      <c r="BY285" s="39"/>
      <c r="BZ285" s="39">
        <f t="shared" si="10"/>
        <v>0</v>
      </c>
      <c r="CA285" s="39">
        <f t="shared" si="11"/>
        <v>0</v>
      </c>
      <c r="CB285" s="39">
        <f t="shared" si="12"/>
        <v>0</v>
      </c>
      <c r="CC285" s="39">
        <f t="shared" si="13"/>
        <v>0</v>
      </c>
      <c r="CD285" s="39">
        <f t="shared" si="14"/>
        <v>0</v>
      </c>
      <c r="CE285" s="47" t="e">
        <f t="shared" si="15"/>
        <v>#DIV/0!</v>
      </c>
      <c r="CF285" s="36"/>
      <c r="CG285" s="39"/>
      <c r="CH285" s="39"/>
      <c r="CI285" s="25">
        <v>1</v>
      </c>
    </row>
    <row r="286" spans="1:87" ht="24.75" customHeight="1">
      <c r="A286" s="36" t="s">
        <v>51</v>
      </c>
      <c r="B286" s="28"/>
      <c r="C286" s="41"/>
      <c r="D286" s="36"/>
      <c r="E286" s="39"/>
      <c r="F286" s="39"/>
      <c r="G286" s="36"/>
      <c r="H286" s="39"/>
      <c r="I286" s="39"/>
      <c r="J286" s="39"/>
      <c r="K286" s="39"/>
      <c r="L286" s="39">
        <f t="shared" si="157"/>
        <v>0</v>
      </c>
      <c r="M286" s="39"/>
      <c r="N286" s="39"/>
      <c r="O286" s="39"/>
      <c r="P286" s="39"/>
      <c r="Q286" s="39"/>
      <c r="R286" s="39">
        <f t="shared" si="122"/>
        <v>0</v>
      </c>
      <c r="S286" s="39"/>
      <c r="T286" s="39"/>
      <c r="U286" s="39"/>
      <c r="V286" s="39"/>
      <c r="W286" s="39"/>
      <c r="X286" s="39"/>
      <c r="Y286" s="39"/>
      <c r="Z286" s="39"/>
      <c r="AA286" s="39"/>
      <c r="AB286" s="39">
        <f t="shared" si="123"/>
        <v>0</v>
      </c>
      <c r="AC286" s="39"/>
      <c r="AD286" s="39"/>
      <c r="AE286" s="39"/>
      <c r="AF286" s="39"/>
      <c r="AG286" s="39"/>
      <c r="AH286" s="39">
        <f t="shared" si="3"/>
        <v>0</v>
      </c>
      <c r="AI286" s="39"/>
      <c r="AJ286" s="39"/>
      <c r="AK286" s="39"/>
      <c r="AL286" s="39"/>
      <c r="AM286" s="39"/>
      <c r="AN286" s="39">
        <f t="shared" si="4"/>
        <v>0</v>
      </c>
      <c r="AO286" s="39"/>
      <c r="AP286" s="39"/>
      <c r="AQ286" s="39"/>
      <c r="AR286" s="39"/>
      <c r="AS286" s="39"/>
      <c r="AT286" s="39">
        <f t="shared" si="5"/>
        <v>0</v>
      </c>
      <c r="AU286" s="39"/>
      <c r="AV286" s="39"/>
      <c r="AW286" s="39"/>
      <c r="AX286" s="39"/>
      <c r="AY286" s="39"/>
      <c r="AZ286" s="39">
        <f t="shared" si="6"/>
        <v>0</v>
      </c>
      <c r="BA286" s="39"/>
      <c r="BB286" s="39"/>
      <c r="BC286" s="39"/>
      <c r="BD286" s="39"/>
      <c r="BE286" s="39"/>
      <c r="BF286" s="39">
        <f t="shared" si="7"/>
        <v>0</v>
      </c>
      <c r="BG286" s="39"/>
      <c r="BH286" s="39"/>
      <c r="BI286" s="39"/>
      <c r="BJ286" s="39"/>
      <c r="BK286" s="39"/>
      <c r="BL286" s="39">
        <f t="shared" si="8"/>
        <v>0</v>
      </c>
      <c r="BM286" s="54" t="e">
        <f t="shared" si="9"/>
        <v>#DIV/0!</v>
      </c>
      <c r="BN286" s="42"/>
      <c r="BO286" s="39"/>
      <c r="BP286" s="39"/>
      <c r="BQ286" s="39"/>
      <c r="BR286" s="39"/>
      <c r="BS286" s="39"/>
      <c r="BT286" s="39"/>
      <c r="BU286" s="39"/>
      <c r="BV286" s="39"/>
      <c r="BW286" s="39"/>
      <c r="BX286" s="39"/>
      <c r="BY286" s="39"/>
      <c r="BZ286" s="39">
        <f t="shared" si="10"/>
        <v>0</v>
      </c>
      <c r="CA286" s="39">
        <f t="shared" si="11"/>
        <v>0</v>
      </c>
      <c r="CB286" s="39">
        <f t="shared" si="12"/>
        <v>0</v>
      </c>
      <c r="CC286" s="39">
        <f t="shared" si="13"/>
        <v>0</v>
      </c>
      <c r="CD286" s="39">
        <f t="shared" si="14"/>
        <v>0</v>
      </c>
      <c r="CE286" s="47" t="e">
        <f t="shared" si="15"/>
        <v>#DIV/0!</v>
      </c>
      <c r="CF286" s="36"/>
      <c r="CG286" s="39"/>
      <c r="CH286" s="39"/>
      <c r="CI286" s="25">
        <v>1</v>
      </c>
    </row>
    <row r="287" spans="1:87" ht="24.75" customHeight="1">
      <c r="A287" s="36" t="s">
        <v>51</v>
      </c>
      <c r="B287" s="28"/>
      <c r="C287" s="41"/>
      <c r="D287" s="36"/>
      <c r="E287" s="39"/>
      <c r="F287" s="39"/>
      <c r="G287" s="36"/>
      <c r="H287" s="39"/>
      <c r="I287" s="39"/>
      <c r="J287" s="39"/>
      <c r="K287" s="39"/>
      <c r="L287" s="39">
        <f t="shared" si="157"/>
        <v>0</v>
      </c>
      <c r="M287" s="39"/>
      <c r="N287" s="39"/>
      <c r="O287" s="39"/>
      <c r="P287" s="39"/>
      <c r="Q287" s="39"/>
      <c r="R287" s="39">
        <f t="shared" si="122"/>
        <v>0</v>
      </c>
      <c r="S287" s="39"/>
      <c r="T287" s="39"/>
      <c r="U287" s="39"/>
      <c r="V287" s="39"/>
      <c r="W287" s="39"/>
      <c r="X287" s="39"/>
      <c r="Y287" s="39"/>
      <c r="Z287" s="39"/>
      <c r="AA287" s="39"/>
      <c r="AB287" s="39">
        <f t="shared" si="123"/>
        <v>0</v>
      </c>
      <c r="AC287" s="39"/>
      <c r="AD287" s="39"/>
      <c r="AE287" s="39"/>
      <c r="AF287" s="39"/>
      <c r="AG287" s="39"/>
      <c r="AH287" s="39">
        <f t="shared" si="3"/>
        <v>0</v>
      </c>
      <c r="AI287" s="39"/>
      <c r="AJ287" s="39"/>
      <c r="AK287" s="39"/>
      <c r="AL287" s="39"/>
      <c r="AM287" s="39"/>
      <c r="AN287" s="39">
        <f t="shared" si="4"/>
        <v>0</v>
      </c>
      <c r="AO287" s="39"/>
      <c r="AP287" s="39"/>
      <c r="AQ287" s="39"/>
      <c r="AR287" s="39"/>
      <c r="AS287" s="39"/>
      <c r="AT287" s="39">
        <f t="shared" si="5"/>
        <v>0</v>
      </c>
      <c r="AU287" s="39"/>
      <c r="AV287" s="39"/>
      <c r="AW287" s="39"/>
      <c r="AX287" s="39"/>
      <c r="AY287" s="39"/>
      <c r="AZ287" s="39">
        <f t="shared" si="6"/>
        <v>0</v>
      </c>
      <c r="BA287" s="39"/>
      <c r="BB287" s="39"/>
      <c r="BC287" s="39"/>
      <c r="BD287" s="39"/>
      <c r="BE287" s="39"/>
      <c r="BF287" s="39">
        <f t="shared" si="7"/>
        <v>0</v>
      </c>
      <c r="BG287" s="39"/>
      <c r="BH287" s="39"/>
      <c r="BI287" s="39"/>
      <c r="BJ287" s="39"/>
      <c r="BK287" s="39"/>
      <c r="BL287" s="39">
        <f t="shared" si="8"/>
        <v>0</v>
      </c>
      <c r="BM287" s="54" t="e">
        <f t="shared" si="9"/>
        <v>#DIV/0!</v>
      </c>
      <c r="BN287" s="42"/>
      <c r="BO287" s="39"/>
      <c r="BP287" s="39"/>
      <c r="BQ287" s="39"/>
      <c r="BR287" s="39"/>
      <c r="BS287" s="39"/>
      <c r="BT287" s="39"/>
      <c r="BU287" s="39"/>
      <c r="BV287" s="39"/>
      <c r="BW287" s="39"/>
      <c r="BX287" s="39"/>
      <c r="BY287" s="39"/>
      <c r="BZ287" s="39">
        <f t="shared" si="10"/>
        <v>0</v>
      </c>
      <c r="CA287" s="39">
        <f t="shared" si="11"/>
        <v>0</v>
      </c>
      <c r="CB287" s="39">
        <f t="shared" si="12"/>
        <v>0</v>
      </c>
      <c r="CC287" s="39">
        <f t="shared" si="13"/>
        <v>0</v>
      </c>
      <c r="CD287" s="39">
        <f t="shared" si="14"/>
        <v>0</v>
      </c>
      <c r="CE287" s="47" t="e">
        <f t="shared" si="15"/>
        <v>#DIV/0!</v>
      </c>
      <c r="CF287" s="36"/>
      <c r="CG287" s="39"/>
      <c r="CH287" s="39"/>
      <c r="CI287" s="25">
        <v>1</v>
      </c>
    </row>
    <row r="288" spans="1:87" ht="24.75" customHeight="1">
      <c r="A288" s="36" t="s">
        <v>51</v>
      </c>
      <c r="B288" s="28"/>
      <c r="C288" s="41"/>
      <c r="D288" s="36"/>
      <c r="E288" s="39"/>
      <c r="F288" s="39"/>
      <c r="G288" s="36"/>
      <c r="H288" s="39"/>
      <c r="I288" s="39"/>
      <c r="J288" s="39"/>
      <c r="K288" s="39"/>
      <c r="L288" s="39">
        <f t="shared" si="157"/>
        <v>0</v>
      </c>
      <c r="M288" s="39"/>
      <c r="N288" s="39"/>
      <c r="O288" s="39"/>
      <c r="P288" s="39"/>
      <c r="Q288" s="39"/>
      <c r="R288" s="39">
        <f t="shared" si="122"/>
        <v>0</v>
      </c>
      <c r="S288" s="39"/>
      <c r="T288" s="39"/>
      <c r="U288" s="39"/>
      <c r="V288" s="39"/>
      <c r="W288" s="39"/>
      <c r="X288" s="39"/>
      <c r="Y288" s="39"/>
      <c r="Z288" s="39"/>
      <c r="AA288" s="39"/>
      <c r="AB288" s="39">
        <f t="shared" si="123"/>
        <v>0</v>
      </c>
      <c r="AC288" s="39"/>
      <c r="AD288" s="39"/>
      <c r="AE288" s="39"/>
      <c r="AF288" s="39"/>
      <c r="AG288" s="39"/>
      <c r="AH288" s="39">
        <f t="shared" si="3"/>
        <v>0</v>
      </c>
      <c r="AI288" s="39"/>
      <c r="AJ288" s="39"/>
      <c r="AK288" s="39"/>
      <c r="AL288" s="39"/>
      <c r="AM288" s="39"/>
      <c r="AN288" s="39">
        <f t="shared" si="4"/>
        <v>0</v>
      </c>
      <c r="AO288" s="39"/>
      <c r="AP288" s="39"/>
      <c r="AQ288" s="39"/>
      <c r="AR288" s="39"/>
      <c r="AS288" s="39"/>
      <c r="AT288" s="39">
        <f t="shared" si="5"/>
        <v>0</v>
      </c>
      <c r="AU288" s="39"/>
      <c r="AV288" s="39"/>
      <c r="AW288" s="39"/>
      <c r="AX288" s="39"/>
      <c r="AY288" s="39"/>
      <c r="AZ288" s="39">
        <f t="shared" si="6"/>
        <v>0</v>
      </c>
      <c r="BA288" s="39"/>
      <c r="BB288" s="39"/>
      <c r="BC288" s="39"/>
      <c r="BD288" s="39"/>
      <c r="BE288" s="39"/>
      <c r="BF288" s="39">
        <f t="shared" si="7"/>
        <v>0</v>
      </c>
      <c r="BG288" s="39"/>
      <c r="BH288" s="39"/>
      <c r="BI288" s="39"/>
      <c r="BJ288" s="39"/>
      <c r="BK288" s="39"/>
      <c r="BL288" s="39">
        <f t="shared" si="8"/>
        <v>0</v>
      </c>
      <c r="BM288" s="54" t="e">
        <f t="shared" si="9"/>
        <v>#DIV/0!</v>
      </c>
      <c r="BN288" s="42"/>
      <c r="BO288" s="39"/>
      <c r="BP288" s="39"/>
      <c r="BQ288" s="39"/>
      <c r="BR288" s="39"/>
      <c r="BS288" s="39"/>
      <c r="BT288" s="39"/>
      <c r="BU288" s="39"/>
      <c r="BV288" s="39"/>
      <c r="BW288" s="39"/>
      <c r="BX288" s="39"/>
      <c r="BY288" s="39"/>
      <c r="BZ288" s="39">
        <f t="shared" si="10"/>
        <v>0</v>
      </c>
      <c r="CA288" s="39">
        <f t="shared" si="11"/>
        <v>0</v>
      </c>
      <c r="CB288" s="39">
        <f t="shared" si="12"/>
        <v>0</v>
      </c>
      <c r="CC288" s="39">
        <f t="shared" si="13"/>
        <v>0</v>
      </c>
      <c r="CD288" s="39">
        <f t="shared" si="14"/>
        <v>0</v>
      </c>
      <c r="CE288" s="47" t="e">
        <f t="shared" si="15"/>
        <v>#DIV/0!</v>
      </c>
      <c r="CF288" s="36"/>
      <c r="CG288" s="39"/>
      <c r="CH288" s="39"/>
      <c r="CI288" s="25">
        <v>1</v>
      </c>
    </row>
    <row r="289" spans="1:87" ht="24.75" customHeight="1">
      <c r="A289" s="36" t="s">
        <v>51</v>
      </c>
      <c r="B289" s="28"/>
      <c r="C289" s="41"/>
      <c r="D289" s="36"/>
      <c r="E289" s="39"/>
      <c r="F289" s="39"/>
      <c r="G289" s="36"/>
      <c r="H289" s="39"/>
      <c r="I289" s="39"/>
      <c r="J289" s="39"/>
      <c r="K289" s="39"/>
      <c r="L289" s="39">
        <f t="shared" si="157"/>
        <v>0</v>
      </c>
      <c r="M289" s="39"/>
      <c r="N289" s="39"/>
      <c r="O289" s="39"/>
      <c r="P289" s="39"/>
      <c r="Q289" s="39"/>
      <c r="R289" s="39">
        <f t="shared" si="122"/>
        <v>0</v>
      </c>
      <c r="S289" s="39"/>
      <c r="T289" s="39"/>
      <c r="U289" s="39"/>
      <c r="V289" s="39"/>
      <c r="W289" s="39"/>
      <c r="X289" s="39"/>
      <c r="Y289" s="39"/>
      <c r="Z289" s="39"/>
      <c r="AA289" s="39"/>
      <c r="AB289" s="39">
        <f t="shared" si="123"/>
        <v>0</v>
      </c>
      <c r="AC289" s="39"/>
      <c r="AD289" s="39"/>
      <c r="AE289" s="39"/>
      <c r="AF289" s="39"/>
      <c r="AG289" s="39"/>
      <c r="AH289" s="39">
        <f t="shared" si="3"/>
        <v>0</v>
      </c>
      <c r="AI289" s="39"/>
      <c r="AJ289" s="39"/>
      <c r="AK289" s="39"/>
      <c r="AL289" s="39"/>
      <c r="AM289" s="39"/>
      <c r="AN289" s="39">
        <f t="shared" si="4"/>
        <v>0</v>
      </c>
      <c r="AO289" s="39"/>
      <c r="AP289" s="39"/>
      <c r="AQ289" s="39"/>
      <c r="AR289" s="39"/>
      <c r="AS289" s="39"/>
      <c r="AT289" s="39">
        <f t="shared" si="5"/>
        <v>0</v>
      </c>
      <c r="AU289" s="39"/>
      <c r="AV289" s="39"/>
      <c r="AW289" s="39"/>
      <c r="AX289" s="39"/>
      <c r="AY289" s="39"/>
      <c r="AZ289" s="39">
        <f t="shared" si="6"/>
        <v>0</v>
      </c>
      <c r="BA289" s="39"/>
      <c r="BB289" s="39"/>
      <c r="BC289" s="39"/>
      <c r="BD289" s="39"/>
      <c r="BE289" s="39"/>
      <c r="BF289" s="39">
        <f t="shared" si="7"/>
        <v>0</v>
      </c>
      <c r="BG289" s="39"/>
      <c r="BH289" s="39"/>
      <c r="BI289" s="39"/>
      <c r="BJ289" s="39"/>
      <c r="BK289" s="39"/>
      <c r="BL289" s="39">
        <f t="shared" si="8"/>
        <v>0</v>
      </c>
      <c r="BM289" s="54" t="e">
        <f t="shared" si="9"/>
        <v>#DIV/0!</v>
      </c>
      <c r="BN289" s="42"/>
      <c r="BO289" s="39"/>
      <c r="BP289" s="39"/>
      <c r="BQ289" s="39"/>
      <c r="BR289" s="39"/>
      <c r="BS289" s="39"/>
      <c r="BT289" s="39"/>
      <c r="BU289" s="39"/>
      <c r="BV289" s="39"/>
      <c r="BW289" s="39"/>
      <c r="BX289" s="39"/>
      <c r="BY289" s="39"/>
      <c r="BZ289" s="39">
        <f t="shared" si="10"/>
        <v>0</v>
      </c>
      <c r="CA289" s="39">
        <f t="shared" si="11"/>
        <v>0</v>
      </c>
      <c r="CB289" s="39">
        <f t="shared" si="12"/>
        <v>0</v>
      </c>
      <c r="CC289" s="39">
        <f t="shared" si="13"/>
        <v>0</v>
      </c>
      <c r="CD289" s="39">
        <f t="shared" si="14"/>
        <v>0</v>
      </c>
      <c r="CE289" s="47" t="e">
        <f t="shared" si="15"/>
        <v>#DIV/0!</v>
      </c>
      <c r="CF289" s="36"/>
      <c r="CG289" s="39"/>
      <c r="CH289" s="39"/>
      <c r="CI289" s="25">
        <v>1</v>
      </c>
    </row>
    <row r="290" spans="1:87" ht="24.75" customHeight="1">
      <c r="A290" s="36" t="s">
        <v>51</v>
      </c>
      <c r="B290" s="28"/>
      <c r="C290" s="41"/>
      <c r="D290" s="36"/>
      <c r="E290" s="39"/>
      <c r="F290" s="39"/>
      <c r="G290" s="36"/>
      <c r="H290" s="39"/>
      <c r="I290" s="39"/>
      <c r="J290" s="39"/>
      <c r="K290" s="39"/>
      <c r="L290" s="39">
        <f t="shared" si="157"/>
        <v>0</v>
      </c>
      <c r="M290" s="39"/>
      <c r="N290" s="39"/>
      <c r="O290" s="39"/>
      <c r="P290" s="39"/>
      <c r="Q290" s="39"/>
      <c r="R290" s="39">
        <f t="shared" si="122"/>
        <v>0</v>
      </c>
      <c r="S290" s="39"/>
      <c r="T290" s="39"/>
      <c r="U290" s="39"/>
      <c r="V290" s="39"/>
      <c r="W290" s="39"/>
      <c r="X290" s="39"/>
      <c r="Y290" s="39"/>
      <c r="Z290" s="39"/>
      <c r="AA290" s="39"/>
      <c r="AB290" s="39">
        <f t="shared" si="123"/>
        <v>0</v>
      </c>
      <c r="AC290" s="39"/>
      <c r="AD290" s="39"/>
      <c r="AE290" s="39"/>
      <c r="AF290" s="39"/>
      <c r="AG290" s="39"/>
      <c r="AH290" s="39">
        <f t="shared" si="3"/>
        <v>0</v>
      </c>
      <c r="AI290" s="39"/>
      <c r="AJ290" s="39"/>
      <c r="AK290" s="39"/>
      <c r="AL290" s="39"/>
      <c r="AM290" s="39"/>
      <c r="AN290" s="39">
        <f t="shared" si="4"/>
        <v>0</v>
      </c>
      <c r="AO290" s="39"/>
      <c r="AP290" s="39"/>
      <c r="AQ290" s="39"/>
      <c r="AR290" s="39"/>
      <c r="AS290" s="39"/>
      <c r="AT290" s="39">
        <f t="shared" si="5"/>
        <v>0</v>
      </c>
      <c r="AU290" s="39"/>
      <c r="AV290" s="39"/>
      <c r="AW290" s="39"/>
      <c r="AX290" s="39"/>
      <c r="AY290" s="39"/>
      <c r="AZ290" s="39">
        <f t="shared" si="6"/>
        <v>0</v>
      </c>
      <c r="BA290" s="39"/>
      <c r="BB290" s="39"/>
      <c r="BC290" s="39"/>
      <c r="BD290" s="39"/>
      <c r="BE290" s="39"/>
      <c r="BF290" s="39">
        <f t="shared" si="7"/>
        <v>0</v>
      </c>
      <c r="BG290" s="39"/>
      <c r="BH290" s="39"/>
      <c r="BI290" s="39"/>
      <c r="BJ290" s="39"/>
      <c r="BK290" s="39"/>
      <c r="BL290" s="39">
        <f t="shared" si="8"/>
        <v>0</v>
      </c>
      <c r="BM290" s="54" t="e">
        <f t="shared" si="9"/>
        <v>#DIV/0!</v>
      </c>
      <c r="BN290" s="42"/>
      <c r="BO290" s="39"/>
      <c r="BP290" s="39"/>
      <c r="BQ290" s="39"/>
      <c r="BR290" s="39"/>
      <c r="BS290" s="39"/>
      <c r="BT290" s="39"/>
      <c r="BU290" s="39"/>
      <c r="BV290" s="39"/>
      <c r="BW290" s="39"/>
      <c r="BX290" s="39"/>
      <c r="BY290" s="39"/>
      <c r="BZ290" s="39">
        <f t="shared" si="10"/>
        <v>0</v>
      </c>
      <c r="CA290" s="39">
        <f t="shared" si="11"/>
        <v>0</v>
      </c>
      <c r="CB290" s="39">
        <f t="shared" si="12"/>
        <v>0</v>
      </c>
      <c r="CC290" s="39">
        <f t="shared" si="13"/>
        <v>0</v>
      </c>
      <c r="CD290" s="39">
        <f t="shared" si="14"/>
        <v>0</v>
      </c>
      <c r="CE290" s="47" t="e">
        <f t="shared" si="15"/>
        <v>#DIV/0!</v>
      </c>
      <c r="CF290" s="36"/>
      <c r="CG290" s="39"/>
      <c r="CH290" s="39"/>
      <c r="CI290" s="25">
        <v>1</v>
      </c>
    </row>
    <row r="291" spans="1:87" ht="24.75" customHeight="1">
      <c r="A291" s="36" t="s">
        <v>51</v>
      </c>
      <c r="B291" s="28">
        <v>48555</v>
      </c>
      <c r="C291" s="235" t="s">
        <v>2245</v>
      </c>
      <c r="D291" s="36"/>
      <c r="E291" s="39">
        <v>200</v>
      </c>
      <c r="F291" s="39" t="s">
        <v>58</v>
      </c>
      <c r="G291" s="36" t="s">
        <v>310</v>
      </c>
      <c r="H291" s="36" t="s">
        <v>212</v>
      </c>
      <c r="I291" s="39">
        <f>158+2</f>
        <v>160</v>
      </c>
      <c r="J291" s="39">
        <v>7</v>
      </c>
      <c r="K291" s="39"/>
      <c r="L291" s="39">
        <f t="shared" ref="L291:L297" si="158">SUM(I291:K291)</f>
        <v>167</v>
      </c>
      <c r="M291" s="117">
        <v>46266</v>
      </c>
      <c r="N291" s="117">
        <v>46274</v>
      </c>
      <c r="O291" s="39"/>
      <c r="P291" s="39"/>
      <c r="Q291" s="39"/>
      <c r="R291" s="39">
        <f t="shared" ref="R291:R299" si="159">SUM(O291:Q291)</f>
        <v>0</v>
      </c>
      <c r="S291" s="39" t="s">
        <v>270</v>
      </c>
      <c r="T291" s="39"/>
      <c r="U291" s="39"/>
      <c r="V291" s="117">
        <v>46261</v>
      </c>
      <c r="W291" s="39">
        <f>182+9</f>
        <v>191</v>
      </c>
      <c r="X291" s="39"/>
      <c r="Y291" s="39"/>
      <c r="Z291" s="39"/>
      <c r="AA291" s="39"/>
      <c r="AB291" s="118">
        <f t="shared" ref="AB291:AB299" si="160">SUM(Y291:AA291)</f>
        <v>0</v>
      </c>
      <c r="AC291" s="39"/>
      <c r="AD291" s="39"/>
      <c r="AE291" s="39"/>
      <c r="AF291" s="39"/>
      <c r="AG291" s="39"/>
      <c r="AH291" s="39">
        <f t="shared" si="3"/>
        <v>0</v>
      </c>
      <c r="AI291" s="39"/>
      <c r="AJ291" s="39"/>
      <c r="AK291" s="39"/>
      <c r="AL291" s="39"/>
      <c r="AM291" s="39"/>
      <c r="AN291" s="39">
        <f t="shared" si="4"/>
        <v>0</v>
      </c>
      <c r="AO291" s="39"/>
      <c r="AP291" s="39"/>
      <c r="AQ291" s="39"/>
      <c r="AR291" s="39"/>
      <c r="AS291" s="39"/>
      <c r="AT291" s="39">
        <f t="shared" si="5"/>
        <v>0</v>
      </c>
      <c r="AU291" s="39"/>
      <c r="AV291" s="39"/>
      <c r="AW291" s="39"/>
      <c r="AX291" s="39"/>
      <c r="AY291" s="39"/>
      <c r="AZ291" s="39">
        <f t="shared" si="6"/>
        <v>0</v>
      </c>
      <c r="BA291" s="39"/>
      <c r="BB291" s="39"/>
      <c r="BC291" s="39"/>
      <c r="BD291" s="39"/>
      <c r="BE291" s="39"/>
      <c r="BF291" s="39">
        <f t="shared" si="7"/>
        <v>0</v>
      </c>
      <c r="BG291" s="39"/>
      <c r="BH291" s="39"/>
      <c r="BI291" s="39"/>
      <c r="BJ291" s="39"/>
      <c r="BK291" s="39"/>
      <c r="BL291" s="39">
        <f t="shared" si="8"/>
        <v>0</v>
      </c>
      <c r="BM291" s="54">
        <f t="shared" ca="1" si="9"/>
        <v>46283</v>
      </c>
      <c r="BN291" s="59">
        <v>46279</v>
      </c>
      <c r="BO291" s="57">
        <v>46294</v>
      </c>
      <c r="BP291" s="36"/>
      <c r="BQ291" s="36"/>
      <c r="BR291" s="39"/>
      <c r="BS291" s="39"/>
      <c r="BT291" s="39"/>
      <c r="BU291" s="39"/>
      <c r="BV291" s="39"/>
      <c r="BW291" s="39"/>
      <c r="BX291" s="39"/>
      <c r="BY291" s="39"/>
      <c r="BZ291" s="39">
        <f t="shared" si="10"/>
        <v>0</v>
      </c>
      <c r="CA291" s="39">
        <f t="shared" si="11"/>
        <v>-160</v>
      </c>
      <c r="CB291" s="39">
        <f t="shared" si="12"/>
        <v>-7</v>
      </c>
      <c r="CC291" s="39">
        <f t="shared" si="13"/>
        <v>0</v>
      </c>
      <c r="CD291" s="39">
        <f t="shared" si="14"/>
        <v>-167</v>
      </c>
      <c r="CE291" s="102">
        <f t="shared" si="15"/>
        <v>-1</v>
      </c>
      <c r="CF291" s="36"/>
      <c r="CG291" s="39" t="s">
        <v>230</v>
      </c>
      <c r="CH291" s="39"/>
      <c r="CI291" s="25">
        <v>2</v>
      </c>
    </row>
    <row r="292" spans="1:87" ht="24.75" customHeight="1">
      <c r="A292" s="36" t="s">
        <v>51</v>
      </c>
      <c r="B292" s="28">
        <v>48555</v>
      </c>
      <c r="C292" s="240"/>
      <c r="D292" s="36"/>
      <c r="E292" s="39">
        <v>200</v>
      </c>
      <c r="F292" s="39" t="s">
        <v>58</v>
      </c>
      <c r="G292" s="36" t="s">
        <v>193</v>
      </c>
      <c r="H292" s="36" t="s">
        <v>212</v>
      </c>
      <c r="I292" s="39">
        <f>151+2</f>
        <v>153</v>
      </c>
      <c r="J292" s="39">
        <v>7</v>
      </c>
      <c r="K292" s="39"/>
      <c r="L292" s="39">
        <f t="shared" si="158"/>
        <v>160</v>
      </c>
      <c r="M292" s="117">
        <v>46266</v>
      </c>
      <c r="N292" s="117">
        <v>46274</v>
      </c>
      <c r="O292" s="39"/>
      <c r="P292" s="39"/>
      <c r="Q292" s="39"/>
      <c r="R292" s="39">
        <f t="shared" si="159"/>
        <v>0</v>
      </c>
      <c r="S292" s="39" t="s">
        <v>270</v>
      </c>
      <c r="T292" s="39"/>
      <c r="U292" s="39"/>
      <c r="V292" s="117">
        <v>46261</v>
      </c>
      <c r="W292" s="39">
        <f>186+9</f>
        <v>195</v>
      </c>
      <c r="X292" s="117">
        <v>46274</v>
      </c>
      <c r="Y292" s="39">
        <v>150</v>
      </c>
      <c r="Z292" s="39">
        <v>8</v>
      </c>
      <c r="AA292" s="39"/>
      <c r="AB292" s="120">
        <f t="shared" si="160"/>
        <v>158</v>
      </c>
      <c r="AC292" s="39"/>
      <c r="AD292" s="39"/>
      <c r="AE292" s="39"/>
      <c r="AF292" s="39"/>
      <c r="AG292" s="39"/>
      <c r="AH292" s="39">
        <f t="shared" si="3"/>
        <v>0</v>
      </c>
      <c r="AI292" s="39"/>
      <c r="AJ292" s="39"/>
      <c r="AK292" s="39"/>
      <c r="AL292" s="39"/>
      <c r="AM292" s="39"/>
      <c r="AN292" s="39">
        <f t="shared" si="4"/>
        <v>0</v>
      </c>
      <c r="AO292" s="39"/>
      <c r="AP292" s="39"/>
      <c r="AQ292" s="39"/>
      <c r="AR292" s="39"/>
      <c r="AS292" s="39"/>
      <c r="AT292" s="39">
        <f t="shared" si="5"/>
        <v>0</v>
      </c>
      <c r="AU292" s="39"/>
      <c r="AV292" s="39"/>
      <c r="AW292" s="39"/>
      <c r="AX292" s="39"/>
      <c r="AY292" s="39"/>
      <c r="AZ292" s="39">
        <f t="shared" si="6"/>
        <v>0</v>
      </c>
      <c r="BA292" s="39"/>
      <c r="BB292" s="39"/>
      <c r="BC292" s="39"/>
      <c r="BD292" s="39"/>
      <c r="BE292" s="39"/>
      <c r="BF292" s="39">
        <f t="shared" si="7"/>
        <v>0</v>
      </c>
      <c r="BG292" s="39"/>
      <c r="BH292" s="39"/>
      <c r="BI292" s="39"/>
      <c r="BJ292" s="39"/>
      <c r="BK292" s="39"/>
      <c r="BL292" s="39">
        <f t="shared" si="8"/>
        <v>0</v>
      </c>
      <c r="BM292" s="54" t="str">
        <f t="shared" si="9"/>
        <v/>
      </c>
      <c r="BN292" s="59">
        <v>46279</v>
      </c>
      <c r="BO292" s="57">
        <v>46294</v>
      </c>
      <c r="BP292" s="36"/>
      <c r="BQ292" s="36"/>
      <c r="BR292" s="117">
        <v>46272</v>
      </c>
      <c r="BS292" s="117">
        <v>46272</v>
      </c>
      <c r="BT292" s="39">
        <v>967</v>
      </c>
      <c r="BU292" s="39">
        <v>150</v>
      </c>
      <c r="BV292" s="39">
        <v>967</v>
      </c>
      <c r="BW292" s="39">
        <v>8</v>
      </c>
      <c r="BX292" s="39"/>
      <c r="BY292" s="39"/>
      <c r="BZ292" s="39">
        <f t="shared" si="10"/>
        <v>158</v>
      </c>
      <c r="CA292" s="39">
        <f t="shared" si="11"/>
        <v>-3</v>
      </c>
      <c r="CB292" s="39">
        <f t="shared" si="12"/>
        <v>1</v>
      </c>
      <c r="CC292" s="39">
        <f t="shared" si="13"/>
        <v>0</v>
      </c>
      <c r="CD292" s="39">
        <v>0</v>
      </c>
      <c r="CE292" s="102">
        <f t="shared" si="15"/>
        <v>0</v>
      </c>
      <c r="CF292" s="36"/>
      <c r="CG292" s="39" t="s">
        <v>230</v>
      </c>
      <c r="CH292" s="39"/>
      <c r="CI292" s="25">
        <v>2</v>
      </c>
    </row>
    <row r="293" spans="1:87" ht="24.75" customHeight="1">
      <c r="A293" s="36" t="s">
        <v>51</v>
      </c>
      <c r="B293" s="28">
        <v>48555</v>
      </c>
      <c r="C293" s="240"/>
      <c r="D293" s="36"/>
      <c r="E293" s="39">
        <v>200</v>
      </c>
      <c r="F293" s="39" t="s">
        <v>58</v>
      </c>
      <c r="G293" s="36" t="s">
        <v>93</v>
      </c>
      <c r="H293" s="36" t="s">
        <v>212</v>
      </c>
      <c r="I293" s="39">
        <f>151+2</f>
        <v>153</v>
      </c>
      <c r="J293" s="39">
        <v>7</v>
      </c>
      <c r="K293" s="39"/>
      <c r="L293" s="39">
        <f t="shared" si="158"/>
        <v>160</v>
      </c>
      <c r="M293" s="117">
        <v>46266</v>
      </c>
      <c r="N293" s="117">
        <v>46274</v>
      </c>
      <c r="O293" s="39"/>
      <c r="P293" s="39"/>
      <c r="Q293" s="39"/>
      <c r="R293" s="39">
        <f t="shared" si="159"/>
        <v>0</v>
      </c>
      <c r="S293" s="39" t="s">
        <v>130</v>
      </c>
      <c r="T293" s="39"/>
      <c r="U293" s="39"/>
      <c r="V293" s="39"/>
      <c r="W293" s="39"/>
      <c r="X293" s="39"/>
      <c r="Y293" s="39"/>
      <c r="Z293" s="39"/>
      <c r="AA293" s="39"/>
      <c r="AB293" s="118">
        <f t="shared" si="160"/>
        <v>0</v>
      </c>
      <c r="AC293" s="39"/>
      <c r="AD293" s="39"/>
      <c r="AE293" s="39"/>
      <c r="AF293" s="39"/>
      <c r="AG293" s="39"/>
      <c r="AH293" s="39">
        <f t="shared" si="3"/>
        <v>0</v>
      </c>
      <c r="AI293" s="39"/>
      <c r="AJ293" s="39"/>
      <c r="AK293" s="39"/>
      <c r="AL293" s="39"/>
      <c r="AM293" s="39"/>
      <c r="AN293" s="39">
        <f t="shared" si="4"/>
        <v>0</v>
      </c>
      <c r="AO293" s="39"/>
      <c r="AP293" s="39"/>
      <c r="AQ293" s="39"/>
      <c r="AR293" s="39"/>
      <c r="AS293" s="39"/>
      <c r="AT293" s="39">
        <f t="shared" si="5"/>
        <v>0</v>
      </c>
      <c r="AU293" s="39"/>
      <c r="AV293" s="39"/>
      <c r="AW293" s="39"/>
      <c r="AX293" s="39"/>
      <c r="AY293" s="39"/>
      <c r="AZ293" s="39">
        <f t="shared" si="6"/>
        <v>0</v>
      </c>
      <c r="BA293" s="39"/>
      <c r="BB293" s="39"/>
      <c r="BC293" s="39"/>
      <c r="BD293" s="39"/>
      <c r="BE293" s="39"/>
      <c r="BF293" s="39">
        <f t="shared" si="7"/>
        <v>0</v>
      </c>
      <c r="BG293" s="39"/>
      <c r="BH293" s="39"/>
      <c r="BI293" s="39"/>
      <c r="BJ293" s="39"/>
      <c r="BK293" s="39"/>
      <c r="BL293" s="39">
        <f t="shared" si="8"/>
        <v>0</v>
      </c>
      <c r="BM293" s="54">
        <f t="shared" ca="1" si="9"/>
        <v>46283</v>
      </c>
      <c r="BN293" s="59">
        <v>46279</v>
      </c>
      <c r="BO293" s="57">
        <v>46294</v>
      </c>
      <c r="BP293" s="36"/>
      <c r="BQ293" s="36"/>
      <c r="BR293" s="39"/>
      <c r="BS293" s="39"/>
      <c r="BT293" s="39"/>
      <c r="BU293" s="39"/>
      <c r="BV293" s="39"/>
      <c r="BW293" s="39"/>
      <c r="BX293" s="39"/>
      <c r="BY293" s="39"/>
      <c r="BZ293" s="39">
        <f t="shared" si="10"/>
        <v>0</v>
      </c>
      <c r="CA293" s="39">
        <f t="shared" si="11"/>
        <v>-153</v>
      </c>
      <c r="CB293" s="39">
        <f t="shared" si="12"/>
        <v>-7</v>
      </c>
      <c r="CC293" s="39">
        <f t="shared" si="13"/>
        <v>0</v>
      </c>
      <c r="CD293" s="39">
        <f t="shared" si="14"/>
        <v>-160</v>
      </c>
      <c r="CE293" s="102">
        <f t="shared" si="15"/>
        <v>-1</v>
      </c>
      <c r="CF293" s="36"/>
      <c r="CG293" s="39" t="s">
        <v>230</v>
      </c>
      <c r="CH293" s="39"/>
      <c r="CI293" s="25">
        <v>2</v>
      </c>
    </row>
    <row r="294" spans="1:87" ht="24.75" customHeight="1">
      <c r="A294" s="36" t="s">
        <v>51</v>
      </c>
      <c r="B294" s="28">
        <v>48555</v>
      </c>
      <c r="C294" s="240"/>
      <c r="D294" s="36"/>
      <c r="E294" s="39">
        <v>200</v>
      </c>
      <c r="F294" s="39" t="s">
        <v>58</v>
      </c>
      <c r="G294" s="36" t="s">
        <v>310</v>
      </c>
      <c r="H294" s="36" t="s">
        <v>212</v>
      </c>
      <c r="I294" s="39">
        <f>379+4</f>
        <v>383</v>
      </c>
      <c r="J294" s="39">
        <v>17</v>
      </c>
      <c r="K294" s="39"/>
      <c r="L294" s="39">
        <f t="shared" si="158"/>
        <v>400</v>
      </c>
      <c r="M294" s="117">
        <v>46266</v>
      </c>
      <c r="N294" s="117">
        <v>46274</v>
      </c>
      <c r="O294" s="39"/>
      <c r="P294" s="39"/>
      <c r="Q294" s="39"/>
      <c r="R294" s="39">
        <f t="shared" si="159"/>
        <v>0</v>
      </c>
      <c r="S294" s="39" t="s">
        <v>270</v>
      </c>
      <c r="T294" s="39"/>
      <c r="U294" s="39"/>
      <c r="V294" s="117">
        <v>46261</v>
      </c>
      <c r="W294" s="39">
        <f>408+20</f>
        <v>428</v>
      </c>
      <c r="X294" s="39"/>
      <c r="Y294" s="39"/>
      <c r="Z294" s="39"/>
      <c r="AA294" s="39"/>
      <c r="AB294" s="118">
        <f t="shared" si="160"/>
        <v>0</v>
      </c>
      <c r="AC294" s="39"/>
      <c r="AD294" s="39"/>
      <c r="AE294" s="39"/>
      <c r="AF294" s="39"/>
      <c r="AG294" s="39"/>
      <c r="AH294" s="39">
        <f t="shared" si="3"/>
        <v>0</v>
      </c>
      <c r="AI294" s="39"/>
      <c r="AJ294" s="39"/>
      <c r="AK294" s="39"/>
      <c r="AL294" s="39"/>
      <c r="AM294" s="39"/>
      <c r="AN294" s="39">
        <f t="shared" si="4"/>
        <v>0</v>
      </c>
      <c r="AO294" s="39"/>
      <c r="AP294" s="39"/>
      <c r="AQ294" s="39"/>
      <c r="AR294" s="39"/>
      <c r="AS294" s="39"/>
      <c r="AT294" s="39">
        <f t="shared" si="5"/>
        <v>0</v>
      </c>
      <c r="AU294" s="39"/>
      <c r="AV294" s="39"/>
      <c r="AW294" s="39"/>
      <c r="AX294" s="39"/>
      <c r="AY294" s="39"/>
      <c r="AZ294" s="39">
        <f t="shared" si="6"/>
        <v>0</v>
      </c>
      <c r="BA294" s="39"/>
      <c r="BB294" s="39"/>
      <c r="BC294" s="39"/>
      <c r="BD294" s="39"/>
      <c r="BE294" s="39"/>
      <c r="BF294" s="39">
        <f t="shared" si="7"/>
        <v>0</v>
      </c>
      <c r="BG294" s="39"/>
      <c r="BH294" s="39"/>
      <c r="BI294" s="39"/>
      <c r="BJ294" s="39"/>
      <c r="BK294" s="39"/>
      <c r="BL294" s="39">
        <f t="shared" si="8"/>
        <v>0</v>
      </c>
      <c r="BM294" s="54">
        <f t="shared" ca="1" si="9"/>
        <v>46283</v>
      </c>
      <c r="BN294" s="59">
        <v>46279</v>
      </c>
      <c r="BO294" s="57">
        <v>46294</v>
      </c>
      <c r="BP294" s="36"/>
      <c r="BQ294" s="36"/>
      <c r="BR294" s="39"/>
      <c r="BS294" s="39"/>
      <c r="BT294" s="39"/>
      <c r="BU294" s="39"/>
      <c r="BV294" s="39"/>
      <c r="BW294" s="39"/>
      <c r="BX294" s="39"/>
      <c r="BY294" s="39"/>
      <c r="BZ294" s="39">
        <f t="shared" si="10"/>
        <v>0</v>
      </c>
      <c r="CA294" s="39">
        <f t="shared" si="11"/>
        <v>-383</v>
      </c>
      <c r="CB294" s="39">
        <f t="shared" si="12"/>
        <v>-17</v>
      </c>
      <c r="CC294" s="39">
        <f t="shared" si="13"/>
        <v>0</v>
      </c>
      <c r="CD294" s="39">
        <f t="shared" si="14"/>
        <v>-400</v>
      </c>
      <c r="CE294" s="102">
        <f t="shared" si="15"/>
        <v>-1</v>
      </c>
      <c r="CF294" s="36"/>
      <c r="CG294" s="39" t="s">
        <v>230</v>
      </c>
      <c r="CH294" s="39"/>
      <c r="CI294" s="25">
        <v>2</v>
      </c>
    </row>
    <row r="295" spans="1:87" ht="24.75" customHeight="1">
      <c r="A295" s="36" t="s">
        <v>51</v>
      </c>
      <c r="B295" s="28">
        <v>48555</v>
      </c>
      <c r="C295" s="240"/>
      <c r="D295" s="36"/>
      <c r="E295" s="39">
        <v>200</v>
      </c>
      <c r="F295" s="39" t="s">
        <v>58</v>
      </c>
      <c r="G295" s="36" t="s">
        <v>93</v>
      </c>
      <c r="H295" s="36" t="s">
        <v>212</v>
      </c>
      <c r="I295" s="39">
        <f>151+2</f>
        <v>153</v>
      </c>
      <c r="J295" s="39">
        <v>7</v>
      </c>
      <c r="K295" s="39"/>
      <c r="L295" s="39">
        <f t="shared" si="158"/>
        <v>160</v>
      </c>
      <c r="M295" s="117">
        <v>46266</v>
      </c>
      <c r="N295" s="117">
        <v>46274</v>
      </c>
      <c r="O295" s="39"/>
      <c r="P295" s="39"/>
      <c r="Q295" s="39"/>
      <c r="R295" s="39">
        <f t="shared" si="159"/>
        <v>0</v>
      </c>
      <c r="S295" s="39" t="s">
        <v>130</v>
      </c>
      <c r="T295" s="39"/>
      <c r="U295" s="39"/>
      <c r="V295" s="39"/>
      <c r="W295" s="39"/>
      <c r="X295" s="39"/>
      <c r="Y295" s="39"/>
      <c r="Z295" s="39"/>
      <c r="AA295" s="39"/>
      <c r="AB295" s="118">
        <f t="shared" si="160"/>
        <v>0</v>
      </c>
      <c r="AC295" s="39"/>
      <c r="AD295" s="39"/>
      <c r="AE295" s="39"/>
      <c r="AF295" s="39"/>
      <c r="AG295" s="39"/>
      <c r="AH295" s="39">
        <f t="shared" si="3"/>
        <v>0</v>
      </c>
      <c r="AI295" s="39"/>
      <c r="AJ295" s="39"/>
      <c r="AK295" s="39"/>
      <c r="AL295" s="39"/>
      <c r="AM295" s="39"/>
      <c r="AN295" s="39">
        <f t="shared" si="4"/>
        <v>0</v>
      </c>
      <c r="AO295" s="39"/>
      <c r="AP295" s="39"/>
      <c r="AQ295" s="39"/>
      <c r="AR295" s="39"/>
      <c r="AS295" s="39"/>
      <c r="AT295" s="39">
        <f t="shared" si="5"/>
        <v>0</v>
      </c>
      <c r="AU295" s="39"/>
      <c r="AV295" s="39"/>
      <c r="AW295" s="39"/>
      <c r="AX295" s="39"/>
      <c r="AY295" s="39"/>
      <c r="AZ295" s="39">
        <f t="shared" si="6"/>
        <v>0</v>
      </c>
      <c r="BA295" s="39"/>
      <c r="BB295" s="39"/>
      <c r="BC295" s="39"/>
      <c r="BD295" s="39"/>
      <c r="BE295" s="39"/>
      <c r="BF295" s="39">
        <f t="shared" si="7"/>
        <v>0</v>
      </c>
      <c r="BG295" s="39"/>
      <c r="BH295" s="39"/>
      <c r="BI295" s="39"/>
      <c r="BJ295" s="39"/>
      <c r="BK295" s="39"/>
      <c r="BL295" s="39">
        <f t="shared" si="8"/>
        <v>0</v>
      </c>
      <c r="BM295" s="54">
        <f t="shared" ca="1" si="9"/>
        <v>46283</v>
      </c>
      <c r="BN295" s="59">
        <v>46279</v>
      </c>
      <c r="BO295" s="57">
        <v>46294</v>
      </c>
      <c r="BP295" s="36"/>
      <c r="BQ295" s="36"/>
      <c r="BR295" s="39"/>
      <c r="BS295" s="39"/>
      <c r="BT295" s="39"/>
      <c r="BU295" s="39"/>
      <c r="BV295" s="39"/>
      <c r="BW295" s="39"/>
      <c r="BX295" s="39"/>
      <c r="BY295" s="39"/>
      <c r="BZ295" s="39">
        <f t="shared" si="10"/>
        <v>0</v>
      </c>
      <c r="CA295" s="39">
        <f t="shared" si="11"/>
        <v>-153</v>
      </c>
      <c r="CB295" s="39">
        <f t="shared" si="12"/>
        <v>-7</v>
      </c>
      <c r="CC295" s="39">
        <f t="shared" si="13"/>
        <v>0</v>
      </c>
      <c r="CD295" s="39">
        <f t="shared" si="14"/>
        <v>-160</v>
      </c>
      <c r="CE295" s="102">
        <f t="shared" si="15"/>
        <v>-1</v>
      </c>
      <c r="CF295" s="36"/>
      <c r="CG295" s="39" t="s">
        <v>230</v>
      </c>
      <c r="CH295" s="39"/>
      <c r="CI295" s="25">
        <v>2</v>
      </c>
    </row>
    <row r="296" spans="1:87" ht="24.75" customHeight="1">
      <c r="A296" s="36" t="s">
        <v>51</v>
      </c>
      <c r="B296" s="28">
        <v>48555</v>
      </c>
      <c r="C296" s="236"/>
      <c r="D296" s="36"/>
      <c r="E296" s="39">
        <v>200</v>
      </c>
      <c r="F296" s="39" t="s">
        <v>58</v>
      </c>
      <c r="G296" s="36" t="s">
        <v>93</v>
      </c>
      <c r="H296" s="36" t="s">
        <v>212</v>
      </c>
      <c r="I296" s="39">
        <f>151+2</f>
        <v>153</v>
      </c>
      <c r="J296" s="39">
        <v>7</v>
      </c>
      <c r="K296" s="39"/>
      <c r="L296" s="39">
        <f t="shared" si="158"/>
        <v>160</v>
      </c>
      <c r="M296" s="117">
        <v>46266</v>
      </c>
      <c r="N296" s="117">
        <v>46274</v>
      </c>
      <c r="O296" s="39"/>
      <c r="P296" s="39"/>
      <c r="Q296" s="39"/>
      <c r="R296" s="39">
        <f t="shared" si="159"/>
        <v>0</v>
      </c>
      <c r="S296" s="39" t="s">
        <v>130</v>
      </c>
      <c r="T296" s="39"/>
      <c r="U296" s="39"/>
      <c r="V296" s="39"/>
      <c r="W296" s="39"/>
      <c r="X296" s="39"/>
      <c r="Y296" s="39"/>
      <c r="Z296" s="39"/>
      <c r="AA296" s="39"/>
      <c r="AB296" s="118">
        <f t="shared" si="160"/>
        <v>0</v>
      </c>
      <c r="AC296" s="39"/>
      <c r="AD296" s="39"/>
      <c r="AE296" s="39"/>
      <c r="AF296" s="39"/>
      <c r="AG296" s="39"/>
      <c r="AH296" s="39">
        <f t="shared" si="3"/>
        <v>0</v>
      </c>
      <c r="AI296" s="39"/>
      <c r="AJ296" s="39"/>
      <c r="AK296" s="39"/>
      <c r="AL296" s="39"/>
      <c r="AM296" s="39"/>
      <c r="AN296" s="39">
        <f t="shared" si="4"/>
        <v>0</v>
      </c>
      <c r="AO296" s="39"/>
      <c r="AP296" s="39"/>
      <c r="AQ296" s="39"/>
      <c r="AR296" s="39"/>
      <c r="AS296" s="39"/>
      <c r="AT296" s="39">
        <f t="shared" si="5"/>
        <v>0</v>
      </c>
      <c r="AU296" s="39"/>
      <c r="AV296" s="39"/>
      <c r="AW296" s="39"/>
      <c r="AX296" s="39"/>
      <c r="AY296" s="39"/>
      <c r="AZ296" s="39">
        <f t="shared" si="6"/>
        <v>0</v>
      </c>
      <c r="BA296" s="39"/>
      <c r="BB296" s="39"/>
      <c r="BC296" s="39"/>
      <c r="BD296" s="39"/>
      <c r="BE296" s="39"/>
      <c r="BF296" s="39">
        <f t="shared" si="7"/>
        <v>0</v>
      </c>
      <c r="BG296" s="39"/>
      <c r="BH296" s="39"/>
      <c r="BI296" s="39"/>
      <c r="BJ296" s="39"/>
      <c r="BK296" s="39"/>
      <c r="BL296" s="39">
        <f t="shared" si="8"/>
        <v>0</v>
      </c>
      <c r="BM296" s="54">
        <f t="shared" ca="1" si="9"/>
        <v>46283</v>
      </c>
      <c r="BN296" s="59">
        <v>46279</v>
      </c>
      <c r="BO296" s="57">
        <v>46294</v>
      </c>
      <c r="BP296" s="36"/>
      <c r="BQ296" s="36"/>
      <c r="BR296" s="39"/>
      <c r="BS296" s="39"/>
      <c r="BT296" s="39"/>
      <c r="BU296" s="39"/>
      <c r="BV296" s="39"/>
      <c r="BW296" s="39"/>
      <c r="BX296" s="39"/>
      <c r="BY296" s="39"/>
      <c r="BZ296" s="39">
        <f t="shared" si="10"/>
        <v>0</v>
      </c>
      <c r="CA296" s="39">
        <f t="shared" si="11"/>
        <v>-153</v>
      </c>
      <c r="CB296" s="39">
        <f t="shared" si="12"/>
        <v>-7</v>
      </c>
      <c r="CC296" s="39">
        <f t="shared" si="13"/>
        <v>0</v>
      </c>
      <c r="CD296" s="39">
        <f t="shared" si="14"/>
        <v>-160</v>
      </c>
      <c r="CE296" s="102">
        <f t="shared" si="15"/>
        <v>-1</v>
      </c>
      <c r="CF296" s="36"/>
      <c r="CG296" s="39" t="s">
        <v>230</v>
      </c>
      <c r="CH296" s="39"/>
      <c r="CI296" s="25">
        <v>2</v>
      </c>
    </row>
    <row r="297" spans="1:87" ht="24.75" customHeight="1">
      <c r="A297" s="36" t="s">
        <v>51</v>
      </c>
      <c r="B297" s="28">
        <v>48556</v>
      </c>
      <c r="C297" s="235" t="s">
        <v>2246</v>
      </c>
      <c r="D297" s="36" t="s">
        <v>45</v>
      </c>
      <c r="E297" s="39">
        <v>280</v>
      </c>
      <c r="F297" s="39" t="s">
        <v>58</v>
      </c>
      <c r="G297" s="36" t="s">
        <v>322</v>
      </c>
      <c r="H297" s="36" t="s">
        <v>2247</v>
      </c>
      <c r="I297" s="39">
        <v>828</v>
      </c>
      <c r="J297" s="39">
        <v>119</v>
      </c>
      <c r="K297" s="39">
        <v>5</v>
      </c>
      <c r="L297" s="39">
        <f t="shared" si="158"/>
        <v>952</v>
      </c>
      <c r="M297" s="117">
        <v>46263</v>
      </c>
      <c r="N297" s="117">
        <v>46272</v>
      </c>
      <c r="O297" s="39"/>
      <c r="P297" s="39"/>
      <c r="Q297" s="39"/>
      <c r="R297" s="39">
        <f t="shared" si="159"/>
        <v>0</v>
      </c>
      <c r="S297" s="39" t="s">
        <v>270</v>
      </c>
      <c r="T297" s="39"/>
      <c r="U297" s="39"/>
      <c r="V297" s="117" t="s">
        <v>2914</v>
      </c>
      <c r="W297" s="39">
        <f>939+130+7</f>
        <v>1076</v>
      </c>
      <c r="X297" s="117" t="s">
        <v>3088</v>
      </c>
      <c r="Y297" s="39">
        <f>726+161</f>
        <v>887</v>
      </c>
      <c r="Z297" s="39"/>
      <c r="AA297" s="39"/>
      <c r="AB297" s="120">
        <f t="shared" si="160"/>
        <v>887</v>
      </c>
      <c r="AC297" s="39"/>
      <c r="AD297" s="39"/>
      <c r="AE297" s="39"/>
      <c r="AF297" s="39"/>
      <c r="AG297" s="39"/>
      <c r="AH297" s="39">
        <f t="shared" si="3"/>
        <v>0</v>
      </c>
      <c r="AI297" s="39"/>
      <c r="AJ297" s="39"/>
      <c r="AK297" s="39"/>
      <c r="AL297" s="39"/>
      <c r="AM297" s="39"/>
      <c r="AN297" s="39">
        <f t="shared" si="4"/>
        <v>0</v>
      </c>
      <c r="AO297" s="39" t="s">
        <v>280</v>
      </c>
      <c r="AP297" s="117">
        <v>46265</v>
      </c>
      <c r="AQ297" s="39">
        <f>727</f>
        <v>727</v>
      </c>
      <c r="AR297" s="117">
        <v>46267</v>
      </c>
      <c r="AS297" s="39">
        <v>721</v>
      </c>
      <c r="AT297" s="39">
        <f t="shared" si="5"/>
        <v>-6</v>
      </c>
      <c r="AU297" s="39" t="s">
        <v>257</v>
      </c>
      <c r="AV297" s="117">
        <v>46267</v>
      </c>
      <c r="AW297" s="39">
        <v>721</v>
      </c>
      <c r="AX297" s="117">
        <v>46268</v>
      </c>
      <c r="AY297" s="39">
        <f>709</f>
        <v>709</v>
      </c>
      <c r="AZ297" s="39">
        <f t="shared" si="6"/>
        <v>-12</v>
      </c>
      <c r="BA297" s="39"/>
      <c r="BB297" s="39"/>
      <c r="BC297" s="39"/>
      <c r="BD297" s="39"/>
      <c r="BE297" s="39"/>
      <c r="BF297" s="39">
        <f t="shared" si="7"/>
        <v>0</v>
      </c>
      <c r="BG297" s="39"/>
      <c r="BH297" s="39"/>
      <c r="BI297" s="39"/>
      <c r="BJ297" s="39"/>
      <c r="BK297" s="39"/>
      <c r="BL297" s="39">
        <f t="shared" si="8"/>
        <v>0</v>
      </c>
      <c r="BM297" s="54">
        <f t="shared" ca="1" si="9"/>
        <v>46283</v>
      </c>
      <c r="BN297" s="59">
        <v>46277</v>
      </c>
      <c r="BO297" s="57">
        <v>46295</v>
      </c>
      <c r="BP297" s="36"/>
      <c r="BQ297" s="36"/>
      <c r="BR297" s="57">
        <v>46272</v>
      </c>
      <c r="BS297" s="39"/>
      <c r="BT297" s="39">
        <v>764</v>
      </c>
      <c r="BU297" s="39">
        <f>715+115</f>
        <v>830</v>
      </c>
      <c r="BV297" s="39"/>
      <c r="BW297" s="39"/>
      <c r="BX297" s="39"/>
      <c r="BY297" s="39"/>
      <c r="BZ297" s="39">
        <f t="shared" si="10"/>
        <v>830</v>
      </c>
      <c r="CA297" s="39">
        <f t="shared" si="11"/>
        <v>2</v>
      </c>
      <c r="CB297" s="39">
        <f t="shared" si="12"/>
        <v>-119</v>
      </c>
      <c r="CC297" s="39">
        <f t="shared" si="13"/>
        <v>-5</v>
      </c>
      <c r="CD297" s="39">
        <f t="shared" si="14"/>
        <v>-124</v>
      </c>
      <c r="CE297" s="102">
        <f t="shared" si="15"/>
        <v>-0.13025210084033614</v>
      </c>
      <c r="CF297" s="36"/>
      <c r="CG297" s="39" t="s">
        <v>230</v>
      </c>
      <c r="CH297" s="39"/>
      <c r="CI297" s="25">
        <v>2</v>
      </c>
    </row>
    <row r="298" spans="1:87" ht="24.75" customHeight="1">
      <c r="A298" s="36" t="s">
        <v>51</v>
      </c>
      <c r="B298" s="28">
        <v>48556</v>
      </c>
      <c r="C298" s="236"/>
      <c r="D298" s="36" t="s">
        <v>45</v>
      </c>
      <c r="E298" s="39">
        <v>280</v>
      </c>
      <c r="F298" s="39" t="s">
        <v>58</v>
      </c>
      <c r="G298" s="36" t="s">
        <v>322</v>
      </c>
      <c r="H298" s="36" t="s">
        <v>2247</v>
      </c>
      <c r="I298" s="39">
        <v>828</v>
      </c>
      <c r="J298" s="39">
        <v>119</v>
      </c>
      <c r="K298" s="39">
        <v>5</v>
      </c>
      <c r="L298" s="39">
        <f t="shared" ref="L298:L299" si="161">SUM(I298:K298)</f>
        <v>952</v>
      </c>
      <c r="M298" s="117">
        <v>46263</v>
      </c>
      <c r="N298" s="117">
        <v>46272</v>
      </c>
      <c r="O298" s="39"/>
      <c r="P298" s="39"/>
      <c r="Q298" s="39"/>
      <c r="R298" s="39">
        <f t="shared" si="159"/>
        <v>0</v>
      </c>
      <c r="S298" s="39" t="s">
        <v>270</v>
      </c>
      <c r="T298" s="39"/>
      <c r="U298" s="39"/>
      <c r="V298" s="117" t="s">
        <v>2914</v>
      </c>
      <c r="W298" s="39">
        <f>939+130+7</f>
        <v>1076</v>
      </c>
      <c r="X298" s="117" t="s">
        <v>3088</v>
      </c>
      <c r="Y298" s="39">
        <f>726+161</f>
        <v>887</v>
      </c>
      <c r="Z298" s="39"/>
      <c r="AA298" s="39"/>
      <c r="AB298" s="120">
        <f t="shared" si="160"/>
        <v>887</v>
      </c>
      <c r="AC298" s="39"/>
      <c r="AD298" s="39"/>
      <c r="AE298" s="39"/>
      <c r="AF298" s="39"/>
      <c r="AG298" s="39"/>
      <c r="AH298" s="39">
        <f t="shared" si="3"/>
        <v>0</v>
      </c>
      <c r="AI298" s="39"/>
      <c r="AJ298" s="39"/>
      <c r="AK298" s="39"/>
      <c r="AL298" s="39"/>
      <c r="AM298" s="39"/>
      <c r="AN298" s="39">
        <f t="shared" si="4"/>
        <v>0</v>
      </c>
      <c r="AO298" s="39" t="s">
        <v>280</v>
      </c>
      <c r="AP298" s="117">
        <v>46265</v>
      </c>
      <c r="AQ298" s="39">
        <f>728</f>
        <v>728</v>
      </c>
      <c r="AR298" s="117">
        <v>46267</v>
      </c>
      <c r="AS298" s="39">
        <v>722</v>
      </c>
      <c r="AT298" s="39">
        <f t="shared" si="5"/>
        <v>-6</v>
      </c>
      <c r="AU298" s="39" t="s">
        <v>257</v>
      </c>
      <c r="AV298" s="117">
        <v>46267</v>
      </c>
      <c r="AW298" s="39">
        <v>722</v>
      </c>
      <c r="AX298" s="117">
        <v>46268</v>
      </c>
      <c r="AY298" s="39">
        <f>709</f>
        <v>709</v>
      </c>
      <c r="AZ298" s="39">
        <f t="shared" si="6"/>
        <v>-13</v>
      </c>
      <c r="BA298" s="39"/>
      <c r="BB298" s="39"/>
      <c r="BC298" s="39"/>
      <c r="BD298" s="39"/>
      <c r="BE298" s="39"/>
      <c r="BF298" s="39">
        <f t="shared" si="7"/>
        <v>0</v>
      </c>
      <c r="BG298" s="39"/>
      <c r="BH298" s="39"/>
      <c r="BI298" s="39"/>
      <c r="BJ298" s="39"/>
      <c r="BK298" s="39"/>
      <c r="BL298" s="39">
        <f t="shared" si="8"/>
        <v>0</v>
      </c>
      <c r="BM298" s="54">
        <f t="shared" ca="1" si="9"/>
        <v>46283</v>
      </c>
      <c r="BN298" s="59">
        <v>46277</v>
      </c>
      <c r="BO298" s="57">
        <v>46295</v>
      </c>
      <c r="BP298" s="36"/>
      <c r="BQ298" s="36"/>
      <c r="BR298" s="57">
        <v>46272</v>
      </c>
      <c r="BS298" s="39"/>
      <c r="BT298" s="39">
        <v>764</v>
      </c>
      <c r="BU298" s="39">
        <f>559</f>
        <v>559</v>
      </c>
      <c r="BV298" s="39"/>
      <c r="BW298" s="39"/>
      <c r="BX298" s="39"/>
      <c r="BY298" s="39"/>
      <c r="BZ298" s="39">
        <f t="shared" si="10"/>
        <v>559</v>
      </c>
      <c r="CA298" s="39">
        <f t="shared" si="11"/>
        <v>-269</v>
      </c>
      <c r="CB298" s="39">
        <f t="shared" si="12"/>
        <v>-119</v>
      </c>
      <c r="CC298" s="39">
        <f t="shared" si="13"/>
        <v>-5</v>
      </c>
      <c r="CD298" s="39">
        <f t="shared" si="14"/>
        <v>-393</v>
      </c>
      <c r="CE298" s="102">
        <f t="shared" si="15"/>
        <v>-0.41281512605042014</v>
      </c>
      <c r="CF298" s="36"/>
      <c r="CG298" s="39" t="s">
        <v>230</v>
      </c>
      <c r="CH298" s="39"/>
      <c r="CI298" s="25">
        <v>2</v>
      </c>
    </row>
    <row r="299" spans="1:87" ht="24.75" customHeight="1">
      <c r="A299" s="36" t="s">
        <v>51</v>
      </c>
      <c r="B299" s="28" t="s">
        <v>2248</v>
      </c>
      <c r="C299" s="41" t="s">
        <v>2586</v>
      </c>
      <c r="D299" s="36"/>
      <c r="E299" s="39">
        <v>200</v>
      </c>
      <c r="F299" s="39" t="s">
        <v>55</v>
      </c>
      <c r="G299" s="36" t="s">
        <v>93</v>
      </c>
      <c r="H299" s="36" t="s">
        <v>462</v>
      </c>
      <c r="I299" s="39">
        <f>412+8</f>
        <v>420</v>
      </c>
      <c r="J299" s="39">
        <v>19</v>
      </c>
      <c r="K299" s="39">
        <v>5</v>
      </c>
      <c r="L299" s="39">
        <f t="shared" si="161"/>
        <v>444</v>
      </c>
      <c r="M299" s="117">
        <v>46275</v>
      </c>
      <c r="N299" s="117">
        <v>46280</v>
      </c>
      <c r="O299" s="39"/>
      <c r="P299" s="39"/>
      <c r="Q299" s="39"/>
      <c r="R299" s="39">
        <f t="shared" si="159"/>
        <v>0</v>
      </c>
      <c r="S299" s="39" t="s">
        <v>130</v>
      </c>
      <c r="T299" s="39"/>
      <c r="U299" s="39"/>
      <c r="V299" s="39"/>
      <c r="W299" s="39"/>
      <c r="X299" s="39"/>
      <c r="Y299" s="39"/>
      <c r="Z299" s="39"/>
      <c r="AA299" s="39"/>
      <c r="AB299" s="118">
        <f t="shared" si="160"/>
        <v>0</v>
      </c>
      <c r="AC299" s="39"/>
      <c r="AD299" s="39"/>
      <c r="AE299" s="39"/>
      <c r="AF299" s="39"/>
      <c r="AG299" s="39"/>
      <c r="AH299" s="39">
        <f t="shared" si="3"/>
        <v>0</v>
      </c>
      <c r="AI299" s="39"/>
      <c r="AJ299" s="39"/>
      <c r="AK299" s="39"/>
      <c r="AL299" s="39"/>
      <c r="AM299" s="39"/>
      <c r="AN299" s="39">
        <f t="shared" si="4"/>
        <v>0</v>
      </c>
      <c r="AO299" s="39"/>
      <c r="AP299" s="39"/>
      <c r="AQ299" s="39"/>
      <c r="AR299" s="39"/>
      <c r="AS299" s="39"/>
      <c r="AT299" s="39">
        <f t="shared" si="5"/>
        <v>0</v>
      </c>
      <c r="AU299" s="39"/>
      <c r="AV299" s="39"/>
      <c r="AW299" s="39"/>
      <c r="AX299" s="39"/>
      <c r="AY299" s="39"/>
      <c r="AZ299" s="39">
        <f t="shared" si="6"/>
        <v>0</v>
      </c>
      <c r="BA299" s="39"/>
      <c r="BB299" s="39"/>
      <c r="BC299" s="39"/>
      <c r="BD299" s="39"/>
      <c r="BE299" s="39"/>
      <c r="BF299" s="39">
        <f t="shared" si="7"/>
        <v>0</v>
      </c>
      <c r="BG299" s="39"/>
      <c r="BH299" s="39"/>
      <c r="BI299" s="39"/>
      <c r="BJ299" s="39"/>
      <c r="BK299" s="39"/>
      <c r="BL299" s="39">
        <f t="shared" si="8"/>
        <v>0</v>
      </c>
      <c r="BM299" s="54">
        <f t="shared" ca="1" si="9"/>
        <v>46283</v>
      </c>
      <c r="BN299" s="59">
        <v>46284</v>
      </c>
      <c r="BO299" s="57">
        <v>46295</v>
      </c>
      <c r="BP299" s="36"/>
      <c r="BQ299" s="36"/>
      <c r="BR299" s="39"/>
      <c r="BS299" s="39"/>
      <c r="BT299" s="39"/>
      <c r="BU299" s="39"/>
      <c r="BV299" s="39"/>
      <c r="BW299" s="39"/>
      <c r="BX299" s="39"/>
      <c r="BY299" s="39"/>
      <c r="BZ299" s="39">
        <f t="shared" si="10"/>
        <v>0</v>
      </c>
      <c r="CA299" s="39">
        <f t="shared" si="11"/>
        <v>-420</v>
      </c>
      <c r="CB299" s="39">
        <f t="shared" si="12"/>
        <v>-19</v>
      </c>
      <c r="CC299" s="39">
        <f t="shared" si="13"/>
        <v>-5</v>
      </c>
      <c r="CD299" s="39">
        <f t="shared" si="14"/>
        <v>-444</v>
      </c>
      <c r="CE299" s="102">
        <f t="shared" si="15"/>
        <v>-1</v>
      </c>
      <c r="CF299" s="36"/>
      <c r="CG299" s="39" t="s">
        <v>230</v>
      </c>
      <c r="CH299" s="39"/>
      <c r="CI299" s="25">
        <v>2</v>
      </c>
    </row>
    <row r="300" spans="1:87" ht="24.75" customHeight="1">
      <c r="A300" s="36" t="s">
        <v>51</v>
      </c>
      <c r="B300" s="28" t="s">
        <v>2525</v>
      </c>
      <c r="C300" s="41" t="s">
        <v>2339</v>
      </c>
      <c r="D300" s="36" t="s">
        <v>45</v>
      </c>
      <c r="E300" s="39">
        <v>340</v>
      </c>
      <c r="F300" s="39" t="s">
        <v>55</v>
      </c>
      <c r="G300" s="36" t="s">
        <v>47</v>
      </c>
      <c r="H300" s="36" t="s">
        <v>362</v>
      </c>
      <c r="I300" s="39">
        <v>517</v>
      </c>
      <c r="J300" s="39">
        <v>133</v>
      </c>
      <c r="K300" s="39">
        <v>4</v>
      </c>
      <c r="L300" s="39">
        <f t="shared" ref="L300:L301" si="162">SUM(I300:K300)</f>
        <v>654</v>
      </c>
      <c r="M300" s="117">
        <v>46272</v>
      </c>
      <c r="N300" s="117">
        <v>46277</v>
      </c>
      <c r="O300" s="39"/>
      <c r="P300" s="39"/>
      <c r="Q300" s="39"/>
      <c r="R300" s="39">
        <f t="shared" ref="R300:R302" si="163">SUM(O300:Q300)</f>
        <v>0</v>
      </c>
      <c r="S300" s="39" t="s">
        <v>130</v>
      </c>
      <c r="T300" s="39">
        <v>109369</v>
      </c>
      <c r="U300" s="117">
        <v>46278</v>
      </c>
      <c r="V300" s="39"/>
      <c r="W300" s="39"/>
      <c r="X300" s="39"/>
      <c r="Y300" s="39">
        <v>601</v>
      </c>
      <c r="Z300" s="39">
        <v>160</v>
      </c>
      <c r="AA300" s="39">
        <v>6</v>
      </c>
      <c r="AB300" s="119">
        <f t="shared" ref="AB300:AB302" si="164">SUM(Y300:AA300)</f>
        <v>767</v>
      </c>
      <c r="AC300" s="39"/>
      <c r="AD300" s="39"/>
      <c r="AE300" s="39"/>
      <c r="AF300" s="39"/>
      <c r="AG300" s="39"/>
      <c r="AH300" s="39">
        <f t="shared" si="3"/>
        <v>0</v>
      </c>
      <c r="AI300" s="39"/>
      <c r="AJ300" s="39"/>
      <c r="AK300" s="39"/>
      <c r="AL300" s="39"/>
      <c r="AM300" s="39"/>
      <c r="AN300" s="39">
        <f t="shared" si="4"/>
        <v>0</v>
      </c>
      <c r="AO300" s="39" t="s">
        <v>280</v>
      </c>
      <c r="AP300" s="117">
        <v>46279</v>
      </c>
      <c r="AQ300" s="39">
        <v>554</v>
      </c>
      <c r="AR300" s="117" t="s">
        <v>3060</v>
      </c>
      <c r="AS300" s="39">
        <f>28+533</f>
        <v>561</v>
      </c>
      <c r="AT300" s="39">
        <f t="shared" si="5"/>
        <v>7</v>
      </c>
      <c r="AU300" s="39" t="s">
        <v>257</v>
      </c>
      <c r="AV300" s="117" t="s">
        <v>3060</v>
      </c>
      <c r="AW300" s="39">
        <f>28+533</f>
        <v>561</v>
      </c>
      <c r="AX300" s="117" t="s">
        <v>3060</v>
      </c>
      <c r="AY300" s="39">
        <f>27+525</f>
        <v>552</v>
      </c>
      <c r="AZ300" s="39">
        <f t="shared" si="6"/>
        <v>-9</v>
      </c>
      <c r="BA300" s="39"/>
      <c r="BB300" s="39"/>
      <c r="BC300" s="39"/>
      <c r="BD300" s="39"/>
      <c r="BE300" s="39"/>
      <c r="BF300" s="39">
        <f t="shared" si="7"/>
        <v>0</v>
      </c>
      <c r="BG300" s="39"/>
      <c r="BH300" s="39"/>
      <c r="BI300" s="39"/>
      <c r="BJ300" s="39"/>
      <c r="BK300" s="39"/>
      <c r="BL300" s="39">
        <f t="shared" si="8"/>
        <v>0</v>
      </c>
      <c r="BM300" s="54">
        <f t="shared" ca="1" si="9"/>
        <v>5</v>
      </c>
      <c r="BN300" s="59">
        <v>46280</v>
      </c>
      <c r="BO300" s="57">
        <v>46295</v>
      </c>
      <c r="BP300" s="36"/>
      <c r="BQ300" s="36"/>
      <c r="BR300" s="39"/>
      <c r="BS300" s="39"/>
      <c r="BT300" s="39"/>
      <c r="BU300" s="39"/>
      <c r="BV300" s="39"/>
      <c r="BW300" s="39"/>
      <c r="BX300" s="39"/>
      <c r="BY300" s="39"/>
      <c r="BZ300" s="39">
        <f t="shared" si="10"/>
        <v>0</v>
      </c>
      <c r="CA300" s="39">
        <f t="shared" si="11"/>
        <v>-517</v>
      </c>
      <c r="CB300" s="39">
        <f t="shared" si="12"/>
        <v>-133</v>
      </c>
      <c r="CC300" s="39">
        <f t="shared" si="13"/>
        <v>-4</v>
      </c>
      <c r="CD300" s="39">
        <f t="shared" si="14"/>
        <v>-654</v>
      </c>
      <c r="CE300" s="102">
        <f t="shared" si="15"/>
        <v>-1</v>
      </c>
      <c r="CF300" s="36" t="s">
        <v>292</v>
      </c>
      <c r="CG300" s="39" t="s">
        <v>230</v>
      </c>
      <c r="CH300" s="39"/>
      <c r="CI300" s="25">
        <v>2</v>
      </c>
    </row>
    <row r="301" spans="1:87" ht="24.75" customHeight="1">
      <c r="A301" s="36" t="s">
        <v>51</v>
      </c>
      <c r="B301" s="28">
        <v>48957</v>
      </c>
      <c r="C301" s="257" t="s">
        <v>2785</v>
      </c>
      <c r="D301" s="36"/>
      <c r="E301" s="39">
        <v>200</v>
      </c>
      <c r="F301" s="39" t="s">
        <v>58</v>
      </c>
      <c r="G301" s="36" t="s">
        <v>310</v>
      </c>
      <c r="H301" s="36" t="s">
        <v>212</v>
      </c>
      <c r="I301" s="39">
        <f>1603+20</f>
        <v>1623</v>
      </c>
      <c r="J301" s="39">
        <v>67</v>
      </c>
      <c r="K301" s="39"/>
      <c r="L301" s="39">
        <f t="shared" si="162"/>
        <v>1690</v>
      </c>
      <c r="M301" s="117">
        <v>46272</v>
      </c>
      <c r="N301" s="117">
        <v>46277</v>
      </c>
      <c r="O301" s="39"/>
      <c r="P301" s="39"/>
      <c r="Q301" s="39"/>
      <c r="R301" s="39">
        <f t="shared" si="163"/>
        <v>0</v>
      </c>
      <c r="S301" s="39" t="s">
        <v>270</v>
      </c>
      <c r="T301" s="39"/>
      <c r="U301" s="39"/>
      <c r="V301" s="117">
        <v>46282</v>
      </c>
      <c r="W301" s="39">
        <f>1740+78</f>
        <v>1818</v>
      </c>
      <c r="X301" s="39"/>
      <c r="Y301" s="39"/>
      <c r="Z301" s="39"/>
      <c r="AA301" s="39"/>
      <c r="AB301" s="118">
        <f t="shared" si="164"/>
        <v>0</v>
      </c>
      <c r="AC301" s="39"/>
      <c r="AD301" s="39"/>
      <c r="AE301" s="39"/>
      <c r="AF301" s="39"/>
      <c r="AG301" s="39"/>
      <c r="AH301" s="39">
        <f t="shared" ref="AH301:AH320" si="165">AG301-AE301</f>
        <v>0</v>
      </c>
      <c r="AI301" s="39"/>
      <c r="AJ301" s="39"/>
      <c r="AK301" s="39"/>
      <c r="AL301" s="39"/>
      <c r="AM301" s="39"/>
      <c r="AN301" s="39">
        <f t="shared" ref="AN301:AN320" si="166">AM301-AK301</f>
        <v>0</v>
      </c>
      <c r="AO301" s="39"/>
      <c r="AP301" s="39"/>
      <c r="AQ301" s="39"/>
      <c r="AR301" s="39"/>
      <c r="AS301" s="39"/>
      <c r="AT301" s="39">
        <f t="shared" ref="AT301:AT320" si="167">AS301-AQ301</f>
        <v>0</v>
      </c>
      <c r="AU301" s="39"/>
      <c r="AV301" s="39"/>
      <c r="AW301" s="39"/>
      <c r="AX301" s="39"/>
      <c r="AY301" s="39"/>
      <c r="AZ301" s="39">
        <f t="shared" ref="AZ301:AZ320" si="168">AY301-AW301</f>
        <v>0</v>
      </c>
      <c r="BA301" s="39"/>
      <c r="BB301" s="39"/>
      <c r="BC301" s="39"/>
      <c r="BD301" s="39"/>
      <c r="BE301" s="39"/>
      <c r="BF301" s="39">
        <f t="shared" ref="BF301:BF320" si="169">BE301-BC301</f>
        <v>0</v>
      </c>
      <c r="BG301" s="39"/>
      <c r="BH301" s="39"/>
      <c r="BI301" s="39"/>
      <c r="BJ301" s="39"/>
      <c r="BK301" s="39"/>
      <c r="BL301" s="39">
        <f t="shared" ref="BL301:BL320" si="170">BK301-BI301</f>
        <v>0</v>
      </c>
      <c r="BM301" s="54">
        <f t="shared" ref="BM301:BM320" ca="1" si="171">IF((BZ301/L301)&lt;0.9,$CO$1-U301,"")</f>
        <v>46283</v>
      </c>
      <c r="BN301" s="59">
        <v>46279</v>
      </c>
      <c r="BO301" s="57">
        <v>46290</v>
      </c>
      <c r="BP301" s="36"/>
      <c r="BQ301" s="36"/>
      <c r="BR301" s="39"/>
      <c r="BS301" s="39"/>
      <c r="BT301" s="39"/>
      <c r="BU301" s="39"/>
      <c r="BV301" s="39"/>
      <c r="BW301" s="39"/>
      <c r="BX301" s="39"/>
      <c r="BY301" s="39"/>
      <c r="BZ301" s="39">
        <f t="shared" ref="BZ301:BZ320" si="172">BU301+BW301+BY301</f>
        <v>0</v>
      </c>
      <c r="CA301" s="39">
        <f t="shared" ref="CA301:CA320" si="173">BU301-I301</f>
        <v>-1623</v>
      </c>
      <c r="CB301" s="39">
        <f t="shared" ref="CB301:CB320" si="174">BW301-J301</f>
        <v>-67</v>
      </c>
      <c r="CC301" s="39">
        <f t="shared" ref="CC301:CC320" si="175">BY301-K301</f>
        <v>0</v>
      </c>
      <c r="CD301" s="39">
        <f t="shared" ref="CD301:CD320" si="176">SUMIF(CA301:CC301,"&lt;0")</f>
        <v>-1690</v>
      </c>
      <c r="CE301" s="102">
        <f t="shared" ref="CE301:CE320" si="177">CD301/L301</f>
        <v>-1</v>
      </c>
      <c r="CF301" s="36"/>
      <c r="CG301" s="39" t="s">
        <v>230</v>
      </c>
      <c r="CH301" s="39"/>
      <c r="CI301" s="25">
        <v>2</v>
      </c>
    </row>
    <row r="302" spans="1:87" ht="24.75" customHeight="1">
      <c r="A302" s="36" t="s">
        <v>51</v>
      </c>
      <c r="B302" s="28">
        <v>48957</v>
      </c>
      <c r="C302" s="259"/>
      <c r="D302" s="36"/>
      <c r="E302" s="39">
        <v>200</v>
      </c>
      <c r="F302" s="39" t="s">
        <v>58</v>
      </c>
      <c r="G302" s="36" t="s">
        <v>47</v>
      </c>
      <c r="H302" s="36" t="s">
        <v>212</v>
      </c>
      <c r="I302" s="39">
        <f>1406+17</f>
        <v>1423</v>
      </c>
      <c r="J302" s="39">
        <v>58</v>
      </c>
      <c r="K302" s="39"/>
      <c r="L302" s="39">
        <f t="shared" ref="L302" si="178">SUM(I302:K302)</f>
        <v>1481</v>
      </c>
      <c r="M302" s="117">
        <v>46272</v>
      </c>
      <c r="N302" s="117">
        <v>46277</v>
      </c>
      <c r="O302" s="39"/>
      <c r="P302" s="39"/>
      <c r="Q302" s="39"/>
      <c r="R302" s="39">
        <f t="shared" si="163"/>
        <v>0</v>
      </c>
      <c r="S302" s="39" t="s">
        <v>130</v>
      </c>
      <c r="T302" s="39"/>
      <c r="U302" s="39"/>
      <c r="V302" s="39"/>
      <c r="W302" s="39"/>
      <c r="X302" s="39"/>
      <c r="Y302" s="39"/>
      <c r="Z302" s="39"/>
      <c r="AA302" s="39"/>
      <c r="AB302" s="118">
        <f t="shared" si="164"/>
        <v>0</v>
      </c>
      <c r="AC302" s="39"/>
      <c r="AD302" s="39"/>
      <c r="AE302" s="39"/>
      <c r="AF302" s="39"/>
      <c r="AG302" s="39"/>
      <c r="AH302" s="39">
        <f t="shared" si="165"/>
        <v>0</v>
      </c>
      <c r="AI302" s="39"/>
      <c r="AJ302" s="39"/>
      <c r="AK302" s="39"/>
      <c r="AL302" s="39"/>
      <c r="AM302" s="39"/>
      <c r="AN302" s="39">
        <f t="shared" si="166"/>
        <v>0</v>
      </c>
      <c r="AO302" s="39"/>
      <c r="AP302" s="39"/>
      <c r="AQ302" s="39"/>
      <c r="AR302" s="39"/>
      <c r="AS302" s="39"/>
      <c r="AT302" s="39">
        <f t="shared" si="167"/>
        <v>0</v>
      </c>
      <c r="AU302" s="39"/>
      <c r="AV302" s="39"/>
      <c r="AW302" s="39"/>
      <c r="AX302" s="39"/>
      <c r="AY302" s="39"/>
      <c r="AZ302" s="39">
        <f t="shared" si="168"/>
        <v>0</v>
      </c>
      <c r="BA302" s="39"/>
      <c r="BB302" s="39"/>
      <c r="BC302" s="39"/>
      <c r="BD302" s="39"/>
      <c r="BE302" s="39"/>
      <c r="BF302" s="39">
        <f t="shared" si="169"/>
        <v>0</v>
      </c>
      <c r="BG302" s="39"/>
      <c r="BH302" s="39"/>
      <c r="BI302" s="39"/>
      <c r="BJ302" s="39"/>
      <c r="BK302" s="39"/>
      <c r="BL302" s="39">
        <f t="shared" si="170"/>
        <v>0</v>
      </c>
      <c r="BM302" s="54">
        <f t="shared" ca="1" si="171"/>
        <v>46283</v>
      </c>
      <c r="BN302" s="59">
        <v>46279</v>
      </c>
      <c r="BO302" s="57">
        <v>46290</v>
      </c>
      <c r="BP302" s="36"/>
      <c r="BQ302" s="36"/>
      <c r="BR302" s="39"/>
      <c r="BS302" s="39"/>
      <c r="BT302" s="39"/>
      <c r="BU302" s="39"/>
      <c r="BV302" s="39"/>
      <c r="BW302" s="39"/>
      <c r="BX302" s="39"/>
      <c r="BY302" s="39"/>
      <c r="BZ302" s="39">
        <f t="shared" si="172"/>
        <v>0</v>
      </c>
      <c r="CA302" s="39">
        <f t="shared" si="173"/>
        <v>-1423</v>
      </c>
      <c r="CB302" s="39">
        <f t="shared" si="174"/>
        <v>-58</v>
      </c>
      <c r="CC302" s="39">
        <f t="shared" si="175"/>
        <v>0</v>
      </c>
      <c r="CD302" s="39">
        <f t="shared" si="176"/>
        <v>-1481</v>
      </c>
      <c r="CE302" s="102">
        <f t="shared" si="177"/>
        <v>-1</v>
      </c>
      <c r="CF302" s="36"/>
      <c r="CG302" s="39" t="s">
        <v>230</v>
      </c>
      <c r="CH302" s="39"/>
      <c r="CI302" s="25">
        <v>2</v>
      </c>
    </row>
    <row r="303" spans="1:87" ht="24.75" customHeight="1">
      <c r="A303" s="36" t="s">
        <v>51</v>
      </c>
      <c r="B303" s="28" t="s">
        <v>2786</v>
      </c>
      <c r="C303" s="235" t="s">
        <v>2065</v>
      </c>
      <c r="D303" s="36" t="s">
        <v>45</v>
      </c>
      <c r="E303" s="39">
        <v>340</v>
      </c>
      <c r="F303" s="39" t="s">
        <v>55</v>
      </c>
      <c r="G303" s="36" t="s">
        <v>367</v>
      </c>
      <c r="H303" s="36" t="s">
        <v>362</v>
      </c>
      <c r="I303" s="39">
        <v>1188</v>
      </c>
      <c r="J303" s="39">
        <v>167</v>
      </c>
      <c r="K303" s="39">
        <v>7</v>
      </c>
      <c r="L303" s="39">
        <f t="shared" ref="L303" si="179">SUM(I303:K303)</f>
        <v>1362</v>
      </c>
      <c r="M303" s="117">
        <v>46279</v>
      </c>
      <c r="N303" s="117">
        <v>46286</v>
      </c>
      <c r="O303" s="39"/>
      <c r="P303" s="39"/>
      <c r="Q303" s="39"/>
      <c r="R303" s="39">
        <f t="shared" ref="R303" si="180">SUM(O303:Q303)</f>
        <v>0</v>
      </c>
      <c r="S303" s="39" t="s">
        <v>270</v>
      </c>
      <c r="T303" s="39"/>
      <c r="U303" s="39"/>
      <c r="V303" s="117">
        <v>46279</v>
      </c>
      <c r="W303" s="39">
        <f>570+197+10</f>
        <v>777</v>
      </c>
      <c r="X303" s="39"/>
      <c r="Y303" s="39"/>
      <c r="Z303" s="39"/>
      <c r="AA303" s="39"/>
      <c r="AB303" s="118">
        <f t="shared" ref="AB303" si="181">SUM(Y303:AA303)</f>
        <v>0</v>
      </c>
      <c r="AC303" s="39"/>
      <c r="AD303" s="39"/>
      <c r="AE303" s="39"/>
      <c r="AF303" s="39"/>
      <c r="AG303" s="39"/>
      <c r="AH303" s="39">
        <f t="shared" si="165"/>
        <v>0</v>
      </c>
      <c r="AI303" s="39"/>
      <c r="AJ303" s="39"/>
      <c r="AK303" s="39"/>
      <c r="AL303" s="39"/>
      <c r="AM303" s="39"/>
      <c r="AN303" s="39">
        <f t="shared" si="166"/>
        <v>0</v>
      </c>
      <c r="AO303" s="39"/>
      <c r="AP303" s="39"/>
      <c r="AQ303" s="39"/>
      <c r="AR303" s="39"/>
      <c r="AS303" s="39"/>
      <c r="AT303" s="39">
        <f t="shared" si="167"/>
        <v>0</v>
      </c>
      <c r="AU303" s="39"/>
      <c r="AV303" s="39"/>
      <c r="AW303" s="39"/>
      <c r="AX303" s="39"/>
      <c r="AY303" s="39"/>
      <c r="AZ303" s="39">
        <f t="shared" si="168"/>
        <v>0</v>
      </c>
      <c r="BA303" s="39"/>
      <c r="BB303" s="39"/>
      <c r="BC303" s="39"/>
      <c r="BD303" s="39"/>
      <c r="BE303" s="39"/>
      <c r="BF303" s="39">
        <f t="shared" si="169"/>
        <v>0</v>
      </c>
      <c r="BG303" s="39"/>
      <c r="BH303" s="39"/>
      <c r="BI303" s="39"/>
      <c r="BJ303" s="39"/>
      <c r="BK303" s="39"/>
      <c r="BL303" s="39">
        <f t="shared" si="170"/>
        <v>0</v>
      </c>
      <c r="BM303" s="54">
        <f t="shared" ca="1" si="171"/>
        <v>46283</v>
      </c>
      <c r="BN303" s="59">
        <v>46283</v>
      </c>
      <c r="BO303" s="57">
        <v>46300</v>
      </c>
      <c r="BP303" s="36"/>
      <c r="BQ303" s="36"/>
      <c r="BR303" s="39"/>
      <c r="BS303" s="39"/>
      <c r="BT303" s="39"/>
      <c r="BU303" s="39"/>
      <c r="BV303" s="39"/>
      <c r="BW303" s="39"/>
      <c r="BX303" s="39"/>
      <c r="BY303" s="39"/>
      <c r="BZ303" s="39">
        <f t="shared" si="172"/>
        <v>0</v>
      </c>
      <c r="CA303" s="39">
        <f t="shared" si="173"/>
        <v>-1188</v>
      </c>
      <c r="CB303" s="39">
        <f t="shared" si="174"/>
        <v>-167</v>
      </c>
      <c r="CC303" s="39">
        <f t="shared" si="175"/>
        <v>-7</v>
      </c>
      <c r="CD303" s="39">
        <f t="shared" si="176"/>
        <v>-1362</v>
      </c>
      <c r="CE303" s="102">
        <f t="shared" si="177"/>
        <v>-1</v>
      </c>
      <c r="CF303" s="36" t="s">
        <v>292</v>
      </c>
      <c r="CG303" s="39" t="s">
        <v>230</v>
      </c>
      <c r="CH303" s="39"/>
      <c r="CI303" s="25">
        <v>2</v>
      </c>
    </row>
    <row r="304" spans="1:87" ht="24.75" customHeight="1">
      <c r="A304" s="36" t="s">
        <v>51</v>
      </c>
      <c r="B304" s="28" t="s">
        <v>2786</v>
      </c>
      <c r="C304" s="240"/>
      <c r="D304" s="36" t="s">
        <v>45</v>
      </c>
      <c r="E304" s="39">
        <v>340</v>
      </c>
      <c r="F304" s="39" t="s">
        <v>55</v>
      </c>
      <c r="G304" s="36" t="s">
        <v>366</v>
      </c>
      <c r="H304" s="36" t="s">
        <v>362</v>
      </c>
      <c r="I304" s="39">
        <v>1149</v>
      </c>
      <c r="J304" s="39">
        <v>167</v>
      </c>
      <c r="K304" s="39">
        <v>7</v>
      </c>
      <c r="L304" s="39">
        <f t="shared" ref="L304:L316" si="182">SUM(I304:K304)</f>
        <v>1323</v>
      </c>
      <c r="M304" s="117">
        <v>46279</v>
      </c>
      <c r="N304" s="117">
        <v>46286</v>
      </c>
      <c r="O304" s="39"/>
      <c r="P304" s="39"/>
      <c r="Q304" s="39"/>
      <c r="R304" s="39">
        <f t="shared" ref="R304:R320" si="183">SUM(O304:Q304)</f>
        <v>0</v>
      </c>
      <c r="S304" s="39" t="s">
        <v>270</v>
      </c>
      <c r="T304" s="39"/>
      <c r="U304" s="39"/>
      <c r="V304" s="39"/>
      <c r="W304" s="39"/>
      <c r="X304" s="39"/>
      <c r="Y304" s="39"/>
      <c r="Z304" s="39"/>
      <c r="AA304" s="39"/>
      <c r="AB304" s="118">
        <f t="shared" ref="AB304:AB320" si="184">SUM(Y304:AA304)</f>
        <v>0</v>
      </c>
      <c r="AC304" s="39"/>
      <c r="AD304" s="39"/>
      <c r="AE304" s="39"/>
      <c r="AF304" s="39"/>
      <c r="AG304" s="39"/>
      <c r="AH304" s="39">
        <f t="shared" si="165"/>
        <v>0</v>
      </c>
      <c r="AI304" s="39"/>
      <c r="AJ304" s="39"/>
      <c r="AK304" s="39"/>
      <c r="AL304" s="39"/>
      <c r="AM304" s="39"/>
      <c r="AN304" s="39">
        <f t="shared" si="166"/>
        <v>0</v>
      </c>
      <c r="AO304" s="39"/>
      <c r="AP304" s="39"/>
      <c r="AQ304" s="39"/>
      <c r="AR304" s="39"/>
      <c r="AS304" s="39"/>
      <c r="AT304" s="39">
        <f t="shared" si="167"/>
        <v>0</v>
      </c>
      <c r="AU304" s="39"/>
      <c r="AV304" s="39"/>
      <c r="AW304" s="39"/>
      <c r="AX304" s="39"/>
      <c r="AY304" s="39"/>
      <c r="AZ304" s="39">
        <f t="shared" si="168"/>
        <v>0</v>
      </c>
      <c r="BA304" s="39"/>
      <c r="BB304" s="39"/>
      <c r="BC304" s="39"/>
      <c r="BD304" s="39"/>
      <c r="BE304" s="39"/>
      <c r="BF304" s="39">
        <f t="shared" si="169"/>
        <v>0</v>
      </c>
      <c r="BG304" s="39"/>
      <c r="BH304" s="39"/>
      <c r="BI304" s="39"/>
      <c r="BJ304" s="39"/>
      <c r="BK304" s="39"/>
      <c r="BL304" s="39">
        <f t="shared" si="170"/>
        <v>0</v>
      </c>
      <c r="BM304" s="54">
        <f t="shared" ca="1" si="171"/>
        <v>46283</v>
      </c>
      <c r="BN304" s="59">
        <v>46283</v>
      </c>
      <c r="BO304" s="57">
        <v>46300</v>
      </c>
      <c r="BP304" s="36"/>
      <c r="BQ304" s="36"/>
      <c r="BR304" s="39"/>
      <c r="BS304" s="39"/>
      <c r="BT304" s="39"/>
      <c r="BU304" s="39"/>
      <c r="BV304" s="39"/>
      <c r="BW304" s="39"/>
      <c r="BX304" s="39"/>
      <c r="BY304" s="39"/>
      <c r="BZ304" s="39">
        <f t="shared" si="172"/>
        <v>0</v>
      </c>
      <c r="CA304" s="39">
        <f t="shared" si="173"/>
        <v>-1149</v>
      </c>
      <c r="CB304" s="39">
        <f t="shared" si="174"/>
        <v>-167</v>
      </c>
      <c r="CC304" s="39">
        <f t="shared" si="175"/>
        <v>-7</v>
      </c>
      <c r="CD304" s="39">
        <f t="shared" si="176"/>
        <v>-1323</v>
      </c>
      <c r="CE304" s="102">
        <f t="shared" si="177"/>
        <v>-1</v>
      </c>
      <c r="CF304" s="36" t="s">
        <v>292</v>
      </c>
      <c r="CG304" s="39" t="s">
        <v>230</v>
      </c>
      <c r="CH304" s="39"/>
      <c r="CI304" s="25">
        <v>2</v>
      </c>
    </row>
    <row r="305" spans="1:87" ht="24.75" customHeight="1">
      <c r="A305" s="36" t="s">
        <v>51</v>
      </c>
      <c r="B305" s="28" t="s">
        <v>2786</v>
      </c>
      <c r="C305" s="240"/>
      <c r="D305" s="36" t="s">
        <v>45</v>
      </c>
      <c r="E305" s="39">
        <v>340</v>
      </c>
      <c r="F305" s="39" t="s">
        <v>55</v>
      </c>
      <c r="G305" s="36" t="s">
        <v>722</v>
      </c>
      <c r="H305" s="36" t="s">
        <v>362</v>
      </c>
      <c r="I305" s="39">
        <v>1171</v>
      </c>
      <c r="J305" s="39">
        <v>167</v>
      </c>
      <c r="K305" s="39">
        <v>7</v>
      </c>
      <c r="L305" s="39">
        <f t="shared" si="182"/>
        <v>1345</v>
      </c>
      <c r="M305" s="117">
        <v>46279</v>
      </c>
      <c r="N305" s="117">
        <v>46286</v>
      </c>
      <c r="O305" s="39"/>
      <c r="P305" s="39"/>
      <c r="Q305" s="39"/>
      <c r="R305" s="39">
        <f t="shared" si="183"/>
        <v>0</v>
      </c>
      <c r="S305" s="39" t="s">
        <v>31</v>
      </c>
      <c r="T305" s="39"/>
      <c r="U305" s="39"/>
      <c r="V305" s="39"/>
      <c r="W305" s="39"/>
      <c r="X305" s="39"/>
      <c r="Y305" s="39"/>
      <c r="Z305" s="39"/>
      <c r="AA305" s="39"/>
      <c r="AB305" s="118">
        <f t="shared" si="184"/>
        <v>0</v>
      </c>
      <c r="AC305" s="39"/>
      <c r="AD305" s="39"/>
      <c r="AE305" s="39"/>
      <c r="AF305" s="39"/>
      <c r="AG305" s="39"/>
      <c r="AH305" s="39">
        <f t="shared" si="165"/>
        <v>0</v>
      </c>
      <c r="AI305" s="39"/>
      <c r="AJ305" s="39"/>
      <c r="AK305" s="39"/>
      <c r="AL305" s="39"/>
      <c r="AM305" s="39"/>
      <c r="AN305" s="39">
        <f t="shared" si="166"/>
        <v>0</v>
      </c>
      <c r="AO305" s="39"/>
      <c r="AP305" s="39"/>
      <c r="AQ305" s="39"/>
      <c r="AR305" s="39"/>
      <c r="AS305" s="39"/>
      <c r="AT305" s="39">
        <f t="shared" si="167"/>
        <v>0</v>
      </c>
      <c r="AU305" s="39"/>
      <c r="AV305" s="39"/>
      <c r="AW305" s="39"/>
      <c r="AX305" s="39"/>
      <c r="AY305" s="39"/>
      <c r="AZ305" s="39">
        <f t="shared" si="168"/>
        <v>0</v>
      </c>
      <c r="BA305" s="39"/>
      <c r="BB305" s="39"/>
      <c r="BC305" s="39"/>
      <c r="BD305" s="39"/>
      <c r="BE305" s="39"/>
      <c r="BF305" s="39">
        <f t="shared" si="169"/>
        <v>0</v>
      </c>
      <c r="BG305" s="39"/>
      <c r="BH305" s="39"/>
      <c r="BI305" s="39"/>
      <c r="BJ305" s="39"/>
      <c r="BK305" s="39"/>
      <c r="BL305" s="39">
        <f t="shared" si="170"/>
        <v>0</v>
      </c>
      <c r="BM305" s="54">
        <f t="shared" ca="1" si="171"/>
        <v>46283</v>
      </c>
      <c r="BN305" s="59">
        <v>46283</v>
      </c>
      <c r="BO305" s="57">
        <v>46300</v>
      </c>
      <c r="BP305" s="36"/>
      <c r="BQ305" s="36"/>
      <c r="BR305" s="39"/>
      <c r="BS305" s="39"/>
      <c r="BT305" s="39"/>
      <c r="BU305" s="39"/>
      <c r="BV305" s="39"/>
      <c r="BW305" s="39"/>
      <c r="BX305" s="39"/>
      <c r="BY305" s="39"/>
      <c r="BZ305" s="39">
        <f t="shared" si="172"/>
        <v>0</v>
      </c>
      <c r="CA305" s="39">
        <f t="shared" si="173"/>
        <v>-1171</v>
      </c>
      <c r="CB305" s="39">
        <f t="shared" si="174"/>
        <v>-167</v>
      </c>
      <c r="CC305" s="39">
        <f t="shared" si="175"/>
        <v>-7</v>
      </c>
      <c r="CD305" s="39">
        <f t="shared" si="176"/>
        <v>-1345</v>
      </c>
      <c r="CE305" s="102">
        <f t="shared" si="177"/>
        <v>-1</v>
      </c>
      <c r="CF305" s="36" t="s">
        <v>292</v>
      </c>
      <c r="CG305" s="39" t="s">
        <v>230</v>
      </c>
      <c r="CH305" s="39"/>
      <c r="CI305" s="25">
        <v>2</v>
      </c>
    </row>
    <row r="306" spans="1:87" ht="24.75" customHeight="1">
      <c r="A306" s="36" t="s">
        <v>51</v>
      </c>
      <c r="B306" s="28" t="s">
        <v>2786</v>
      </c>
      <c r="C306" s="240"/>
      <c r="D306" s="36" t="s">
        <v>45</v>
      </c>
      <c r="E306" s="39">
        <v>340</v>
      </c>
      <c r="F306" s="39" t="s">
        <v>55</v>
      </c>
      <c r="G306" s="36" t="s">
        <v>322</v>
      </c>
      <c r="H306" s="36" t="s">
        <v>362</v>
      </c>
      <c r="I306" s="39">
        <v>1171</v>
      </c>
      <c r="J306" s="39">
        <v>181</v>
      </c>
      <c r="K306" s="39">
        <v>7</v>
      </c>
      <c r="L306" s="39">
        <f t="shared" si="182"/>
        <v>1359</v>
      </c>
      <c r="M306" s="117">
        <v>46279</v>
      </c>
      <c r="N306" s="117">
        <v>46286</v>
      </c>
      <c r="O306" s="39"/>
      <c r="P306" s="39"/>
      <c r="Q306" s="39"/>
      <c r="R306" s="39">
        <f t="shared" si="183"/>
        <v>0</v>
      </c>
      <c r="S306" s="39" t="s">
        <v>270</v>
      </c>
      <c r="T306" s="39"/>
      <c r="U306" s="39"/>
      <c r="V306" s="39"/>
      <c r="W306" s="39"/>
      <c r="X306" s="39"/>
      <c r="Y306" s="39"/>
      <c r="Z306" s="39"/>
      <c r="AA306" s="39"/>
      <c r="AB306" s="118">
        <f t="shared" si="184"/>
        <v>0</v>
      </c>
      <c r="AC306" s="39"/>
      <c r="AD306" s="39"/>
      <c r="AE306" s="39"/>
      <c r="AF306" s="39"/>
      <c r="AG306" s="39"/>
      <c r="AH306" s="39">
        <f t="shared" si="165"/>
        <v>0</v>
      </c>
      <c r="AI306" s="39"/>
      <c r="AJ306" s="39"/>
      <c r="AK306" s="39"/>
      <c r="AL306" s="39"/>
      <c r="AM306" s="39"/>
      <c r="AN306" s="39">
        <f t="shared" si="166"/>
        <v>0</v>
      </c>
      <c r="AO306" s="39"/>
      <c r="AP306" s="39"/>
      <c r="AQ306" s="39"/>
      <c r="AR306" s="39"/>
      <c r="AS306" s="39"/>
      <c r="AT306" s="39">
        <f t="shared" si="167"/>
        <v>0</v>
      </c>
      <c r="AU306" s="39"/>
      <c r="AV306" s="39"/>
      <c r="AW306" s="39"/>
      <c r="AX306" s="39"/>
      <c r="AY306" s="39"/>
      <c r="AZ306" s="39">
        <f t="shared" si="168"/>
        <v>0</v>
      </c>
      <c r="BA306" s="39"/>
      <c r="BB306" s="39"/>
      <c r="BC306" s="39"/>
      <c r="BD306" s="39"/>
      <c r="BE306" s="39"/>
      <c r="BF306" s="39">
        <f t="shared" si="169"/>
        <v>0</v>
      </c>
      <c r="BG306" s="39"/>
      <c r="BH306" s="39"/>
      <c r="BI306" s="39"/>
      <c r="BJ306" s="39"/>
      <c r="BK306" s="39"/>
      <c r="BL306" s="39">
        <f t="shared" si="170"/>
        <v>0</v>
      </c>
      <c r="BM306" s="54">
        <f t="shared" ca="1" si="171"/>
        <v>46283</v>
      </c>
      <c r="BN306" s="59">
        <v>46283</v>
      </c>
      <c r="BO306" s="57">
        <v>46300</v>
      </c>
      <c r="BP306" s="36"/>
      <c r="BQ306" s="36"/>
      <c r="BR306" s="39"/>
      <c r="BS306" s="39"/>
      <c r="BT306" s="39"/>
      <c r="BU306" s="39"/>
      <c r="BV306" s="39"/>
      <c r="BW306" s="39"/>
      <c r="BX306" s="39"/>
      <c r="BY306" s="39"/>
      <c r="BZ306" s="39">
        <f t="shared" si="172"/>
        <v>0</v>
      </c>
      <c r="CA306" s="39">
        <f t="shared" si="173"/>
        <v>-1171</v>
      </c>
      <c r="CB306" s="39">
        <f t="shared" si="174"/>
        <v>-181</v>
      </c>
      <c r="CC306" s="39">
        <f t="shared" si="175"/>
        <v>-7</v>
      </c>
      <c r="CD306" s="39">
        <f t="shared" si="176"/>
        <v>-1359</v>
      </c>
      <c r="CE306" s="102">
        <f t="shared" si="177"/>
        <v>-1</v>
      </c>
      <c r="CF306" s="36" t="s">
        <v>292</v>
      </c>
      <c r="CG306" s="39" t="s">
        <v>230</v>
      </c>
      <c r="CH306" s="39"/>
      <c r="CI306" s="25">
        <v>2</v>
      </c>
    </row>
    <row r="307" spans="1:87" ht="24.75" customHeight="1">
      <c r="A307" s="36" t="s">
        <v>51</v>
      </c>
      <c r="B307" s="28" t="s">
        <v>2786</v>
      </c>
      <c r="C307" s="236"/>
      <c r="D307" s="36"/>
      <c r="E307" s="39"/>
      <c r="F307" s="39"/>
      <c r="G307" s="36" t="s">
        <v>724</v>
      </c>
      <c r="H307" s="36"/>
      <c r="I307" s="39"/>
      <c r="J307" s="39"/>
      <c r="K307" s="39"/>
      <c r="L307" s="39">
        <f t="shared" si="182"/>
        <v>0</v>
      </c>
      <c r="M307" s="117">
        <v>46279</v>
      </c>
      <c r="N307" s="117">
        <v>46286</v>
      </c>
      <c r="O307" s="39"/>
      <c r="P307" s="39"/>
      <c r="Q307" s="39"/>
      <c r="R307" s="39">
        <f t="shared" si="183"/>
        <v>0</v>
      </c>
      <c r="S307" s="39" t="s">
        <v>130</v>
      </c>
      <c r="T307" s="39"/>
      <c r="U307" s="39"/>
      <c r="V307" s="39"/>
      <c r="W307" s="39"/>
      <c r="X307" s="39"/>
      <c r="Y307" s="39"/>
      <c r="Z307" s="39"/>
      <c r="AA307" s="39"/>
      <c r="AB307" s="39">
        <f t="shared" si="184"/>
        <v>0</v>
      </c>
      <c r="AC307" s="39"/>
      <c r="AD307" s="39"/>
      <c r="AE307" s="39"/>
      <c r="AF307" s="39"/>
      <c r="AG307" s="39"/>
      <c r="AH307" s="39">
        <f t="shared" si="165"/>
        <v>0</v>
      </c>
      <c r="AI307" s="39"/>
      <c r="AJ307" s="39"/>
      <c r="AK307" s="39"/>
      <c r="AL307" s="39"/>
      <c r="AM307" s="39"/>
      <c r="AN307" s="39">
        <f t="shared" si="166"/>
        <v>0</v>
      </c>
      <c r="AO307" s="39"/>
      <c r="AP307" s="39"/>
      <c r="AQ307" s="39"/>
      <c r="AR307" s="39"/>
      <c r="AS307" s="39"/>
      <c r="AT307" s="39">
        <f t="shared" si="167"/>
        <v>0</v>
      </c>
      <c r="AU307" s="39"/>
      <c r="AV307" s="39"/>
      <c r="AW307" s="39"/>
      <c r="AX307" s="39"/>
      <c r="AY307" s="39"/>
      <c r="AZ307" s="39">
        <f t="shared" si="168"/>
        <v>0</v>
      </c>
      <c r="BA307" s="39"/>
      <c r="BB307" s="39"/>
      <c r="BC307" s="39"/>
      <c r="BD307" s="39"/>
      <c r="BE307" s="39"/>
      <c r="BF307" s="39">
        <f t="shared" si="169"/>
        <v>0</v>
      </c>
      <c r="BG307" s="39"/>
      <c r="BH307" s="39"/>
      <c r="BI307" s="39"/>
      <c r="BJ307" s="39"/>
      <c r="BK307" s="39"/>
      <c r="BL307" s="39">
        <f t="shared" si="170"/>
        <v>0</v>
      </c>
      <c r="BM307" s="54" t="e">
        <f t="shared" si="171"/>
        <v>#DIV/0!</v>
      </c>
      <c r="BN307" s="59">
        <v>46283</v>
      </c>
      <c r="BO307" s="57">
        <v>46300</v>
      </c>
      <c r="BP307" s="36"/>
      <c r="BQ307" s="36"/>
      <c r="BR307" s="39"/>
      <c r="BS307" s="39"/>
      <c r="BT307" s="39"/>
      <c r="BU307" s="39"/>
      <c r="BV307" s="39"/>
      <c r="BW307" s="39"/>
      <c r="BX307" s="39"/>
      <c r="BY307" s="39"/>
      <c r="BZ307" s="39">
        <f t="shared" si="172"/>
        <v>0</v>
      </c>
      <c r="CA307" s="39">
        <f t="shared" si="173"/>
        <v>0</v>
      </c>
      <c r="CB307" s="39">
        <f t="shared" si="174"/>
        <v>0</v>
      </c>
      <c r="CC307" s="39">
        <f t="shared" si="175"/>
        <v>0</v>
      </c>
      <c r="CD307" s="39">
        <f t="shared" si="176"/>
        <v>0</v>
      </c>
      <c r="CE307" s="102" t="e">
        <f t="shared" si="177"/>
        <v>#DIV/0!</v>
      </c>
      <c r="CF307" s="36" t="s">
        <v>292</v>
      </c>
      <c r="CG307" s="39" t="s">
        <v>230</v>
      </c>
      <c r="CH307" s="39"/>
      <c r="CI307" s="25">
        <v>2</v>
      </c>
    </row>
    <row r="308" spans="1:87" ht="24.75" customHeight="1">
      <c r="A308" s="36" t="s">
        <v>51</v>
      </c>
      <c r="B308" s="28" t="s">
        <v>2787</v>
      </c>
      <c r="C308" s="257" t="s">
        <v>2339</v>
      </c>
      <c r="D308" s="36" t="s">
        <v>45</v>
      </c>
      <c r="E308" s="39">
        <v>340</v>
      </c>
      <c r="F308" s="39" t="s">
        <v>55</v>
      </c>
      <c r="G308" s="36" t="s">
        <v>901</v>
      </c>
      <c r="H308" s="36" t="s">
        <v>362</v>
      </c>
      <c r="I308" s="39">
        <v>1051</v>
      </c>
      <c r="J308" s="39">
        <v>261</v>
      </c>
      <c r="K308" s="39">
        <v>9</v>
      </c>
      <c r="L308" s="39">
        <f t="shared" si="182"/>
        <v>1321</v>
      </c>
      <c r="M308" s="117">
        <v>46275</v>
      </c>
      <c r="N308" s="117">
        <v>46279</v>
      </c>
      <c r="O308" s="39"/>
      <c r="P308" s="39"/>
      <c r="Q308" s="39"/>
      <c r="R308" s="39">
        <f t="shared" ref="R308:R316" si="185">SUM(O308:Q308)</f>
        <v>0</v>
      </c>
      <c r="S308" s="39" t="s">
        <v>270</v>
      </c>
      <c r="T308" s="39"/>
      <c r="U308" s="39"/>
      <c r="V308" s="117">
        <v>46279</v>
      </c>
      <c r="W308" s="39">
        <f>1219+294+9</f>
        <v>1522</v>
      </c>
      <c r="X308" s="39"/>
      <c r="Y308" s="39"/>
      <c r="Z308" s="39"/>
      <c r="AA308" s="39"/>
      <c r="AB308" s="118">
        <f t="shared" si="184"/>
        <v>0</v>
      </c>
      <c r="AC308" s="39"/>
      <c r="AD308" s="39"/>
      <c r="AE308" s="39"/>
      <c r="AF308" s="39"/>
      <c r="AG308" s="39"/>
      <c r="AH308" s="39">
        <f t="shared" si="165"/>
        <v>0</v>
      </c>
      <c r="AI308" s="39"/>
      <c r="AJ308" s="39"/>
      <c r="AK308" s="39"/>
      <c r="AL308" s="39"/>
      <c r="AM308" s="39"/>
      <c r="AN308" s="39">
        <f t="shared" si="166"/>
        <v>0</v>
      </c>
      <c r="AO308" s="39"/>
      <c r="AP308" s="39"/>
      <c r="AQ308" s="39"/>
      <c r="AR308" s="39"/>
      <c r="AS308" s="39"/>
      <c r="AT308" s="39">
        <f t="shared" si="167"/>
        <v>0</v>
      </c>
      <c r="AU308" s="39"/>
      <c r="AV308" s="39"/>
      <c r="AW308" s="39"/>
      <c r="AX308" s="39"/>
      <c r="AY308" s="39"/>
      <c r="AZ308" s="39">
        <f t="shared" si="168"/>
        <v>0</v>
      </c>
      <c r="BA308" s="39"/>
      <c r="BB308" s="39"/>
      <c r="BC308" s="39"/>
      <c r="BD308" s="39"/>
      <c r="BE308" s="39"/>
      <c r="BF308" s="39">
        <f t="shared" si="169"/>
        <v>0</v>
      </c>
      <c r="BG308" s="39"/>
      <c r="BH308" s="39"/>
      <c r="BI308" s="39"/>
      <c r="BJ308" s="39"/>
      <c r="BK308" s="39"/>
      <c r="BL308" s="39">
        <f t="shared" si="170"/>
        <v>0</v>
      </c>
      <c r="BM308" s="54">
        <f t="shared" ca="1" si="171"/>
        <v>46283</v>
      </c>
      <c r="BN308" s="59">
        <v>46281</v>
      </c>
      <c r="BO308" s="57">
        <v>46295</v>
      </c>
      <c r="BP308" s="36"/>
      <c r="BQ308" s="36"/>
      <c r="BR308" s="39"/>
      <c r="BS308" s="39"/>
      <c r="BT308" s="39"/>
      <c r="BU308" s="39"/>
      <c r="BV308" s="39"/>
      <c r="BW308" s="39"/>
      <c r="BX308" s="39"/>
      <c r="BY308" s="39"/>
      <c r="BZ308" s="39">
        <f t="shared" si="172"/>
        <v>0</v>
      </c>
      <c r="CA308" s="39">
        <f t="shared" si="173"/>
        <v>-1051</v>
      </c>
      <c r="CB308" s="39">
        <f t="shared" si="174"/>
        <v>-261</v>
      </c>
      <c r="CC308" s="39">
        <f t="shared" si="175"/>
        <v>-9</v>
      </c>
      <c r="CD308" s="39">
        <f t="shared" si="176"/>
        <v>-1321</v>
      </c>
      <c r="CE308" s="102">
        <f t="shared" si="177"/>
        <v>-1</v>
      </c>
      <c r="CF308" s="36" t="s">
        <v>292</v>
      </c>
      <c r="CG308" s="39" t="s">
        <v>230</v>
      </c>
      <c r="CH308" s="39"/>
      <c r="CI308" s="25">
        <v>2</v>
      </c>
    </row>
    <row r="309" spans="1:87" ht="24.75" customHeight="1">
      <c r="A309" s="36" t="s">
        <v>51</v>
      </c>
      <c r="B309" s="28" t="s">
        <v>2787</v>
      </c>
      <c r="C309" s="258"/>
      <c r="D309" s="36" t="s">
        <v>45</v>
      </c>
      <c r="E309" s="39">
        <v>340</v>
      </c>
      <c r="F309" s="39" t="s">
        <v>55</v>
      </c>
      <c r="G309" s="36" t="s">
        <v>902</v>
      </c>
      <c r="H309" s="36" t="s">
        <v>362</v>
      </c>
      <c r="I309" s="39">
        <v>538</v>
      </c>
      <c r="J309" s="39">
        <v>133</v>
      </c>
      <c r="K309" s="39">
        <v>5</v>
      </c>
      <c r="L309" s="39">
        <f t="shared" si="182"/>
        <v>676</v>
      </c>
      <c r="M309" s="117">
        <v>46275</v>
      </c>
      <c r="N309" s="117">
        <v>46279</v>
      </c>
      <c r="O309" s="39"/>
      <c r="P309" s="39"/>
      <c r="Q309" s="39"/>
      <c r="R309" s="39">
        <f t="shared" ref="R309:R310" si="186">SUM(O309:Q309)</f>
        <v>0</v>
      </c>
      <c r="S309" s="39" t="s">
        <v>270</v>
      </c>
      <c r="T309" s="39"/>
      <c r="U309" s="39"/>
      <c r="V309" s="117" t="s">
        <v>2999</v>
      </c>
      <c r="W309" s="39">
        <f>621+156+8</f>
        <v>785</v>
      </c>
      <c r="X309" s="39"/>
      <c r="Y309" s="39"/>
      <c r="Z309" s="39"/>
      <c r="AA309" s="39"/>
      <c r="AB309" s="118">
        <f t="shared" ref="AB309:AB310" si="187">SUM(Y309:AA309)</f>
        <v>0</v>
      </c>
      <c r="AC309" s="39"/>
      <c r="AD309" s="39"/>
      <c r="AE309" s="39"/>
      <c r="AF309" s="39"/>
      <c r="AG309" s="39"/>
      <c r="AH309" s="39">
        <f t="shared" si="165"/>
        <v>0</v>
      </c>
      <c r="AI309" s="39"/>
      <c r="AJ309" s="39"/>
      <c r="AK309" s="39"/>
      <c r="AL309" s="39"/>
      <c r="AM309" s="39"/>
      <c r="AN309" s="39">
        <f t="shared" si="166"/>
        <v>0</v>
      </c>
      <c r="AO309" s="39"/>
      <c r="AP309" s="39"/>
      <c r="AQ309" s="39"/>
      <c r="AR309" s="39"/>
      <c r="AS309" s="39"/>
      <c r="AT309" s="39">
        <f t="shared" si="167"/>
        <v>0</v>
      </c>
      <c r="AU309" s="39"/>
      <c r="AV309" s="39"/>
      <c r="AW309" s="39"/>
      <c r="AX309" s="39"/>
      <c r="AY309" s="39"/>
      <c r="AZ309" s="39">
        <f t="shared" si="168"/>
        <v>0</v>
      </c>
      <c r="BA309" s="39"/>
      <c r="BB309" s="39"/>
      <c r="BC309" s="39"/>
      <c r="BD309" s="39"/>
      <c r="BE309" s="39"/>
      <c r="BF309" s="39">
        <f t="shared" si="169"/>
        <v>0</v>
      </c>
      <c r="BG309" s="39"/>
      <c r="BH309" s="39"/>
      <c r="BI309" s="39"/>
      <c r="BJ309" s="39"/>
      <c r="BK309" s="39"/>
      <c r="BL309" s="39">
        <f t="shared" si="170"/>
        <v>0</v>
      </c>
      <c r="BM309" s="54">
        <f t="shared" ca="1" si="171"/>
        <v>46283</v>
      </c>
      <c r="BN309" s="59">
        <v>46281</v>
      </c>
      <c r="BO309" s="57">
        <v>46295</v>
      </c>
      <c r="BP309" s="36"/>
      <c r="BQ309" s="36"/>
      <c r="BR309" s="39"/>
      <c r="BS309" s="39"/>
      <c r="BT309" s="39"/>
      <c r="BU309" s="39"/>
      <c r="BV309" s="39"/>
      <c r="BW309" s="39"/>
      <c r="BX309" s="39"/>
      <c r="BY309" s="39"/>
      <c r="BZ309" s="39">
        <f t="shared" si="172"/>
        <v>0</v>
      </c>
      <c r="CA309" s="39">
        <f t="shared" si="173"/>
        <v>-538</v>
      </c>
      <c r="CB309" s="39">
        <f t="shared" si="174"/>
        <v>-133</v>
      </c>
      <c r="CC309" s="39">
        <f t="shared" si="175"/>
        <v>-5</v>
      </c>
      <c r="CD309" s="39">
        <f t="shared" si="176"/>
        <v>-676</v>
      </c>
      <c r="CE309" s="102">
        <f t="shared" si="177"/>
        <v>-1</v>
      </c>
      <c r="CF309" s="36" t="s">
        <v>292</v>
      </c>
      <c r="CG309" s="39" t="s">
        <v>230</v>
      </c>
      <c r="CH309" s="39"/>
      <c r="CI309" s="25">
        <v>2</v>
      </c>
    </row>
    <row r="310" spans="1:87" ht="24.75" customHeight="1">
      <c r="A310" s="36" t="s">
        <v>51</v>
      </c>
      <c r="B310" s="28" t="s">
        <v>2787</v>
      </c>
      <c r="C310" s="259"/>
      <c r="D310" s="36" t="s">
        <v>45</v>
      </c>
      <c r="E310" s="39">
        <v>340</v>
      </c>
      <c r="F310" s="39" t="s">
        <v>55</v>
      </c>
      <c r="G310" s="36" t="s">
        <v>904</v>
      </c>
      <c r="H310" s="36" t="s">
        <v>362</v>
      </c>
      <c r="I310" s="39">
        <v>538</v>
      </c>
      <c r="J310" s="39">
        <v>133</v>
      </c>
      <c r="K310" s="39">
        <v>5</v>
      </c>
      <c r="L310" s="39">
        <f t="shared" si="182"/>
        <v>676</v>
      </c>
      <c r="M310" s="117">
        <v>46275</v>
      </c>
      <c r="N310" s="117">
        <v>46279</v>
      </c>
      <c r="O310" s="39"/>
      <c r="P310" s="39"/>
      <c r="Q310" s="39"/>
      <c r="R310" s="39">
        <f t="shared" si="186"/>
        <v>0</v>
      </c>
      <c r="S310" s="39" t="s">
        <v>270</v>
      </c>
      <c r="T310" s="39"/>
      <c r="U310" s="39"/>
      <c r="V310" s="117">
        <v>46282</v>
      </c>
      <c r="W310" s="39">
        <f>624</f>
        <v>624</v>
      </c>
      <c r="X310" s="39"/>
      <c r="Y310" s="39"/>
      <c r="Z310" s="39"/>
      <c r="AA310" s="39"/>
      <c r="AB310" s="118">
        <f t="shared" si="187"/>
        <v>0</v>
      </c>
      <c r="AC310" s="39"/>
      <c r="AD310" s="39"/>
      <c r="AE310" s="39"/>
      <c r="AF310" s="39"/>
      <c r="AG310" s="39"/>
      <c r="AH310" s="39">
        <f t="shared" si="165"/>
        <v>0</v>
      </c>
      <c r="AI310" s="39"/>
      <c r="AJ310" s="39"/>
      <c r="AK310" s="39"/>
      <c r="AL310" s="39"/>
      <c r="AM310" s="39"/>
      <c r="AN310" s="39">
        <f t="shared" si="166"/>
        <v>0</v>
      </c>
      <c r="AO310" s="39"/>
      <c r="AP310" s="39"/>
      <c r="AQ310" s="39"/>
      <c r="AR310" s="39"/>
      <c r="AS310" s="39"/>
      <c r="AT310" s="39">
        <f t="shared" si="167"/>
        <v>0</v>
      </c>
      <c r="AU310" s="39"/>
      <c r="AV310" s="39"/>
      <c r="AW310" s="39"/>
      <c r="AX310" s="39"/>
      <c r="AY310" s="39"/>
      <c r="AZ310" s="39">
        <f t="shared" si="168"/>
        <v>0</v>
      </c>
      <c r="BA310" s="39"/>
      <c r="BB310" s="39"/>
      <c r="BC310" s="39"/>
      <c r="BD310" s="39"/>
      <c r="BE310" s="39"/>
      <c r="BF310" s="39">
        <f t="shared" si="169"/>
        <v>0</v>
      </c>
      <c r="BG310" s="39"/>
      <c r="BH310" s="39"/>
      <c r="BI310" s="39"/>
      <c r="BJ310" s="39"/>
      <c r="BK310" s="39"/>
      <c r="BL310" s="39">
        <f t="shared" si="170"/>
        <v>0</v>
      </c>
      <c r="BM310" s="54">
        <f t="shared" ca="1" si="171"/>
        <v>46283</v>
      </c>
      <c r="BN310" s="59">
        <v>46281</v>
      </c>
      <c r="BO310" s="57">
        <v>46295</v>
      </c>
      <c r="BP310" s="36"/>
      <c r="BQ310" s="36"/>
      <c r="BR310" s="39"/>
      <c r="BS310" s="39"/>
      <c r="BT310" s="39"/>
      <c r="BU310" s="39"/>
      <c r="BV310" s="39"/>
      <c r="BW310" s="39"/>
      <c r="BX310" s="39"/>
      <c r="BY310" s="39"/>
      <c r="BZ310" s="39">
        <f t="shared" si="172"/>
        <v>0</v>
      </c>
      <c r="CA310" s="39">
        <f t="shared" si="173"/>
        <v>-538</v>
      </c>
      <c r="CB310" s="39">
        <f t="shared" si="174"/>
        <v>-133</v>
      </c>
      <c r="CC310" s="39">
        <f t="shared" si="175"/>
        <v>-5</v>
      </c>
      <c r="CD310" s="39">
        <f t="shared" si="176"/>
        <v>-676</v>
      </c>
      <c r="CE310" s="102">
        <f t="shared" si="177"/>
        <v>-1</v>
      </c>
      <c r="CF310" s="36" t="s">
        <v>292</v>
      </c>
      <c r="CG310" s="39" t="s">
        <v>230</v>
      </c>
      <c r="CH310" s="39"/>
      <c r="CI310" s="25">
        <v>2</v>
      </c>
    </row>
    <row r="311" spans="1:87" ht="24.75" customHeight="1">
      <c r="A311" s="36" t="s">
        <v>51</v>
      </c>
      <c r="B311" s="28" t="s">
        <v>2788</v>
      </c>
      <c r="C311" s="235" t="s">
        <v>2339</v>
      </c>
      <c r="D311" s="36" t="s">
        <v>45</v>
      </c>
      <c r="E311" s="39">
        <v>340</v>
      </c>
      <c r="F311" s="39" t="s">
        <v>55</v>
      </c>
      <c r="G311" s="36" t="s">
        <v>367</v>
      </c>
      <c r="H311" s="36" t="s">
        <v>362</v>
      </c>
      <c r="I311" s="39">
        <v>1051</v>
      </c>
      <c r="J311" s="39">
        <v>261</v>
      </c>
      <c r="K311" s="39">
        <v>9</v>
      </c>
      <c r="L311" s="39">
        <f t="shared" si="182"/>
        <v>1321</v>
      </c>
      <c r="M311" s="117">
        <v>46275</v>
      </c>
      <c r="N311" s="117">
        <v>46285</v>
      </c>
      <c r="O311" s="39"/>
      <c r="P311" s="39"/>
      <c r="Q311" s="39"/>
      <c r="R311" s="39">
        <f t="shared" si="185"/>
        <v>0</v>
      </c>
      <c r="S311" s="39" t="s">
        <v>270</v>
      </c>
      <c r="T311" s="39"/>
      <c r="U311" s="39"/>
      <c r="V311" s="117" t="s">
        <v>3089</v>
      </c>
      <c r="W311" s="39">
        <f>938+12+291+292</f>
        <v>1533</v>
      </c>
      <c r="X311" s="39"/>
      <c r="Y311" s="39"/>
      <c r="Z311" s="39"/>
      <c r="AA311" s="39"/>
      <c r="AB311" s="118">
        <f t="shared" si="184"/>
        <v>0</v>
      </c>
      <c r="AC311" s="39"/>
      <c r="AD311" s="39"/>
      <c r="AE311" s="39"/>
      <c r="AF311" s="39"/>
      <c r="AG311" s="39"/>
      <c r="AH311" s="39">
        <f t="shared" si="165"/>
        <v>0</v>
      </c>
      <c r="AI311" s="39"/>
      <c r="AJ311" s="39"/>
      <c r="AK311" s="39"/>
      <c r="AL311" s="39"/>
      <c r="AM311" s="39"/>
      <c r="AN311" s="39">
        <f t="shared" si="166"/>
        <v>0</v>
      </c>
      <c r="AO311" s="39"/>
      <c r="AP311" s="39"/>
      <c r="AQ311" s="39"/>
      <c r="AR311" s="39"/>
      <c r="AS311" s="39"/>
      <c r="AT311" s="39">
        <f t="shared" si="167"/>
        <v>0</v>
      </c>
      <c r="AU311" s="39"/>
      <c r="AV311" s="39"/>
      <c r="AW311" s="39"/>
      <c r="AX311" s="39"/>
      <c r="AY311" s="39"/>
      <c r="AZ311" s="39">
        <f t="shared" si="168"/>
        <v>0</v>
      </c>
      <c r="BA311" s="39"/>
      <c r="BB311" s="39"/>
      <c r="BC311" s="39"/>
      <c r="BD311" s="39"/>
      <c r="BE311" s="39"/>
      <c r="BF311" s="39">
        <f t="shared" si="169"/>
        <v>0</v>
      </c>
      <c r="BG311" s="39"/>
      <c r="BH311" s="39"/>
      <c r="BI311" s="39"/>
      <c r="BJ311" s="39"/>
      <c r="BK311" s="39"/>
      <c r="BL311" s="39">
        <f t="shared" si="170"/>
        <v>0</v>
      </c>
      <c r="BM311" s="54">
        <f t="shared" ca="1" si="171"/>
        <v>46283</v>
      </c>
      <c r="BN311" s="59">
        <v>46283</v>
      </c>
      <c r="BO311" s="57">
        <v>46300</v>
      </c>
      <c r="BP311" s="36"/>
      <c r="BQ311" s="36"/>
      <c r="BR311" s="39"/>
      <c r="BS311" s="39"/>
      <c r="BT311" s="39"/>
      <c r="BU311" s="39"/>
      <c r="BV311" s="39"/>
      <c r="BW311" s="39"/>
      <c r="BX311" s="39"/>
      <c r="BY311" s="39"/>
      <c r="BZ311" s="39">
        <f t="shared" si="172"/>
        <v>0</v>
      </c>
      <c r="CA311" s="39">
        <f t="shared" si="173"/>
        <v>-1051</v>
      </c>
      <c r="CB311" s="39">
        <f t="shared" si="174"/>
        <v>-261</v>
      </c>
      <c r="CC311" s="39">
        <f t="shared" si="175"/>
        <v>-9</v>
      </c>
      <c r="CD311" s="39">
        <f t="shared" si="176"/>
        <v>-1321</v>
      </c>
      <c r="CE311" s="102">
        <f t="shared" si="177"/>
        <v>-1</v>
      </c>
      <c r="CF311" s="36" t="s">
        <v>292</v>
      </c>
      <c r="CG311" s="39" t="s">
        <v>230</v>
      </c>
      <c r="CH311" s="39"/>
      <c r="CI311" s="25">
        <v>2</v>
      </c>
    </row>
    <row r="312" spans="1:87" ht="24.75" customHeight="1">
      <c r="A312" s="36" t="s">
        <v>51</v>
      </c>
      <c r="B312" s="28" t="s">
        <v>2788</v>
      </c>
      <c r="C312" s="240"/>
      <c r="D312" s="36" t="s">
        <v>45</v>
      </c>
      <c r="E312" s="39">
        <v>340</v>
      </c>
      <c r="F312" s="39" t="s">
        <v>55</v>
      </c>
      <c r="G312" s="36" t="s">
        <v>187</v>
      </c>
      <c r="H312" s="36" t="s">
        <v>2789</v>
      </c>
      <c r="I312" s="39">
        <v>538</v>
      </c>
      <c r="J312" s="39">
        <v>133</v>
      </c>
      <c r="K312" s="39">
        <v>5</v>
      </c>
      <c r="L312" s="39">
        <f t="shared" si="182"/>
        <v>676</v>
      </c>
      <c r="M312" s="117">
        <v>46275</v>
      </c>
      <c r="N312" s="117">
        <v>46285</v>
      </c>
      <c r="O312" s="39"/>
      <c r="P312" s="39"/>
      <c r="Q312" s="39"/>
      <c r="R312" s="39">
        <f t="shared" ref="R312:R315" si="188">SUM(O312:Q312)</f>
        <v>0</v>
      </c>
      <c r="S312" s="39" t="s">
        <v>130</v>
      </c>
      <c r="T312" s="39"/>
      <c r="U312" s="39"/>
      <c r="V312" s="39"/>
      <c r="W312" s="39"/>
      <c r="X312" s="39"/>
      <c r="Y312" s="39"/>
      <c r="Z312" s="39"/>
      <c r="AA312" s="39"/>
      <c r="AB312" s="118">
        <f t="shared" ref="AB312:AB315" si="189">SUM(Y312:AA312)</f>
        <v>0</v>
      </c>
      <c r="AC312" s="39"/>
      <c r="AD312" s="39"/>
      <c r="AE312" s="39"/>
      <c r="AF312" s="39"/>
      <c r="AG312" s="39"/>
      <c r="AH312" s="39">
        <f t="shared" si="165"/>
        <v>0</v>
      </c>
      <c r="AI312" s="39"/>
      <c r="AJ312" s="39"/>
      <c r="AK312" s="39"/>
      <c r="AL312" s="39"/>
      <c r="AM312" s="39"/>
      <c r="AN312" s="39">
        <f t="shared" si="166"/>
        <v>0</v>
      </c>
      <c r="AO312" s="39"/>
      <c r="AP312" s="39"/>
      <c r="AQ312" s="39"/>
      <c r="AR312" s="39"/>
      <c r="AS312" s="39"/>
      <c r="AT312" s="39">
        <f t="shared" si="167"/>
        <v>0</v>
      </c>
      <c r="AU312" s="39"/>
      <c r="AV312" s="39"/>
      <c r="AW312" s="39"/>
      <c r="AX312" s="39"/>
      <c r="AY312" s="39"/>
      <c r="AZ312" s="39">
        <f t="shared" si="168"/>
        <v>0</v>
      </c>
      <c r="BA312" s="39"/>
      <c r="BB312" s="39"/>
      <c r="BC312" s="39"/>
      <c r="BD312" s="39"/>
      <c r="BE312" s="39"/>
      <c r="BF312" s="39">
        <f t="shared" si="169"/>
        <v>0</v>
      </c>
      <c r="BG312" s="39"/>
      <c r="BH312" s="39"/>
      <c r="BI312" s="39"/>
      <c r="BJ312" s="39"/>
      <c r="BK312" s="39"/>
      <c r="BL312" s="39">
        <f t="shared" si="170"/>
        <v>0</v>
      </c>
      <c r="BM312" s="54">
        <f t="shared" ca="1" si="171"/>
        <v>46283</v>
      </c>
      <c r="BN312" s="59">
        <v>46283</v>
      </c>
      <c r="BO312" s="57">
        <v>46300</v>
      </c>
      <c r="BP312" s="36"/>
      <c r="BQ312" s="36"/>
      <c r="BR312" s="39"/>
      <c r="BS312" s="39"/>
      <c r="BT312" s="39"/>
      <c r="BU312" s="39"/>
      <c r="BV312" s="39"/>
      <c r="BW312" s="39"/>
      <c r="BX312" s="39"/>
      <c r="BY312" s="39"/>
      <c r="BZ312" s="39">
        <f t="shared" si="172"/>
        <v>0</v>
      </c>
      <c r="CA312" s="39">
        <f t="shared" si="173"/>
        <v>-538</v>
      </c>
      <c r="CB312" s="39">
        <f t="shared" si="174"/>
        <v>-133</v>
      </c>
      <c r="CC312" s="39">
        <f t="shared" si="175"/>
        <v>-5</v>
      </c>
      <c r="CD312" s="39">
        <f t="shared" si="176"/>
        <v>-676</v>
      </c>
      <c r="CE312" s="102">
        <f t="shared" si="177"/>
        <v>-1</v>
      </c>
      <c r="CF312" s="36" t="s">
        <v>292</v>
      </c>
      <c r="CG312" s="39" t="s">
        <v>230</v>
      </c>
      <c r="CH312" s="39"/>
      <c r="CI312" s="25">
        <v>2</v>
      </c>
    </row>
    <row r="313" spans="1:87" ht="24.75" customHeight="1">
      <c r="A313" s="36" t="s">
        <v>51</v>
      </c>
      <c r="B313" s="28" t="s">
        <v>2788</v>
      </c>
      <c r="C313" s="240"/>
      <c r="D313" s="36" t="s">
        <v>45</v>
      </c>
      <c r="E313" s="39">
        <v>340</v>
      </c>
      <c r="F313" s="39" t="s">
        <v>55</v>
      </c>
      <c r="G313" s="36" t="s">
        <v>366</v>
      </c>
      <c r="H313" s="36" t="s">
        <v>362</v>
      </c>
      <c r="I313" s="39">
        <v>1559</v>
      </c>
      <c r="J313" s="39">
        <v>386</v>
      </c>
      <c r="K313" s="39">
        <v>13</v>
      </c>
      <c r="L313" s="39">
        <f t="shared" si="182"/>
        <v>1958</v>
      </c>
      <c r="M313" s="117">
        <v>46275</v>
      </c>
      <c r="N313" s="117">
        <v>46285</v>
      </c>
      <c r="O313" s="39"/>
      <c r="P313" s="39"/>
      <c r="Q313" s="39"/>
      <c r="R313" s="39">
        <f t="shared" si="188"/>
        <v>0</v>
      </c>
      <c r="S313" s="39" t="s">
        <v>270</v>
      </c>
      <c r="T313" s="39"/>
      <c r="U313" s="39"/>
      <c r="V313" s="39"/>
      <c r="W313" s="39"/>
      <c r="X313" s="39"/>
      <c r="Y313" s="39"/>
      <c r="Z313" s="39"/>
      <c r="AA313" s="39"/>
      <c r="AB313" s="118">
        <f t="shared" si="189"/>
        <v>0</v>
      </c>
      <c r="AC313" s="39"/>
      <c r="AD313" s="39"/>
      <c r="AE313" s="39"/>
      <c r="AF313" s="39"/>
      <c r="AG313" s="39"/>
      <c r="AH313" s="39">
        <f t="shared" si="165"/>
        <v>0</v>
      </c>
      <c r="AI313" s="39"/>
      <c r="AJ313" s="39"/>
      <c r="AK313" s="39"/>
      <c r="AL313" s="39"/>
      <c r="AM313" s="39"/>
      <c r="AN313" s="39">
        <f t="shared" si="166"/>
        <v>0</v>
      </c>
      <c r="AO313" s="39"/>
      <c r="AP313" s="39"/>
      <c r="AQ313" s="39"/>
      <c r="AR313" s="39"/>
      <c r="AS313" s="39"/>
      <c r="AT313" s="39">
        <f t="shared" si="167"/>
        <v>0</v>
      </c>
      <c r="AU313" s="39"/>
      <c r="AV313" s="39"/>
      <c r="AW313" s="39"/>
      <c r="AX313" s="39"/>
      <c r="AY313" s="39"/>
      <c r="AZ313" s="39">
        <f t="shared" si="168"/>
        <v>0</v>
      </c>
      <c r="BA313" s="39"/>
      <c r="BB313" s="39"/>
      <c r="BC313" s="39"/>
      <c r="BD313" s="39"/>
      <c r="BE313" s="39"/>
      <c r="BF313" s="39">
        <f t="shared" si="169"/>
        <v>0</v>
      </c>
      <c r="BG313" s="39"/>
      <c r="BH313" s="39"/>
      <c r="BI313" s="39"/>
      <c r="BJ313" s="39"/>
      <c r="BK313" s="39"/>
      <c r="BL313" s="39">
        <f t="shared" si="170"/>
        <v>0</v>
      </c>
      <c r="BM313" s="54">
        <f t="shared" ca="1" si="171"/>
        <v>46283</v>
      </c>
      <c r="BN313" s="59">
        <v>46283</v>
      </c>
      <c r="BO313" s="57">
        <v>46300</v>
      </c>
      <c r="BP313" s="36"/>
      <c r="BQ313" s="36"/>
      <c r="BR313" s="39"/>
      <c r="BS313" s="39"/>
      <c r="BT313" s="39"/>
      <c r="BU313" s="39"/>
      <c r="BV313" s="39"/>
      <c r="BW313" s="39"/>
      <c r="BX313" s="39"/>
      <c r="BY313" s="39"/>
      <c r="BZ313" s="39">
        <f t="shared" si="172"/>
        <v>0</v>
      </c>
      <c r="CA313" s="39">
        <f t="shared" si="173"/>
        <v>-1559</v>
      </c>
      <c r="CB313" s="39">
        <f t="shared" si="174"/>
        <v>-386</v>
      </c>
      <c r="CC313" s="39">
        <f t="shared" si="175"/>
        <v>-13</v>
      </c>
      <c r="CD313" s="39">
        <f t="shared" si="176"/>
        <v>-1958</v>
      </c>
      <c r="CE313" s="102">
        <f t="shared" si="177"/>
        <v>-1</v>
      </c>
      <c r="CF313" s="36" t="s">
        <v>292</v>
      </c>
      <c r="CG313" s="39" t="s">
        <v>230</v>
      </c>
      <c r="CH313" s="39"/>
      <c r="CI313" s="25">
        <v>2</v>
      </c>
    </row>
    <row r="314" spans="1:87" ht="24.75" customHeight="1">
      <c r="A314" s="36" t="s">
        <v>51</v>
      </c>
      <c r="B314" s="28" t="s">
        <v>2788</v>
      </c>
      <c r="C314" s="240"/>
      <c r="D314" s="36" t="s">
        <v>45</v>
      </c>
      <c r="E314" s="39">
        <v>340</v>
      </c>
      <c r="F314" s="39" t="s">
        <v>55</v>
      </c>
      <c r="G314" s="36" t="s">
        <v>722</v>
      </c>
      <c r="H314" s="36" t="s">
        <v>362</v>
      </c>
      <c r="I314" s="39">
        <v>1051</v>
      </c>
      <c r="J314" s="39">
        <v>261</v>
      </c>
      <c r="K314" s="39">
        <v>9</v>
      </c>
      <c r="L314" s="39">
        <f t="shared" si="182"/>
        <v>1321</v>
      </c>
      <c r="M314" s="117">
        <v>46275</v>
      </c>
      <c r="N314" s="117">
        <v>46285</v>
      </c>
      <c r="O314" s="39"/>
      <c r="P314" s="39"/>
      <c r="Q314" s="39"/>
      <c r="R314" s="39">
        <f t="shared" si="188"/>
        <v>0</v>
      </c>
      <c r="S314" s="39" t="s">
        <v>31</v>
      </c>
      <c r="T314" s="39"/>
      <c r="U314" s="39"/>
      <c r="V314" s="39"/>
      <c r="W314" s="39"/>
      <c r="X314" s="39"/>
      <c r="Y314" s="39"/>
      <c r="Z314" s="39"/>
      <c r="AA314" s="39"/>
      <c r="AB314" s="118">
        <f t="shared" si="189"/>
        <v>0</v>
      </c>
      <c r="AC314" s="39"/>
      <c r="AD314" s="39"/>
      <c r="AE314" s="39"/>
      <c r="AF314" s="39"/>
      <c r="AG314" s="39"/>
      <c r="AH314" s="39">
        <f t="shared" si="165"/>
        <v>0</v>
      </c>
      <c r="AI314" s="39"/>
      <c r="AJ314" s="39"/>
      <c r="AK314" s="39"/>
      <c r="AL314" s="39"/>
      <c r="AM314" s="39"/>
      <c r="AN314" s="39">
        <f t="shared" si="166"/>
        <v>0</v>
      </c>
      <c r="AO314" s="39"/>
      <c r="AP314" s="39"/>
      <c r="AQ314" s="39"/>
      <c r="AR314" s="39"/>
      <c r="AS314" s="39"/>
      <c r="AT314" s="39">
        <f t="shared" si="167"/>
        <v>0</v>
      </c>
      <c r="AU314" s="39"/>
      <c r="AV314" s="39"/>
      <c r="AW314" s="39"/>
      <c r="AX314" s="39"/>
      <c r="AY314" s="39"/>
      <c r="AZ314" s="39">
        <f t="shared" si="168"/>
        <v>0</v>
      </c>
      <c r="BA314" s="39"/>
      <c r="BB314" s="39"/>
      <c r="BC314" s="39"/>
      <c r="BD314" s="39"/>
      <c r="BE314" s="39"/>
      <c r="BF314" s="39">
        <f t="shared" si="169"/>
        <v>0</v>
      </c>
      <c r="BG314" s="39"/>
      <c r="BH314" s="39"/>
      <c r="BI314" s="39"/>
      <c r="BJ314" s="39"/>
      <c r="BK314" s="39"/>
      <c r="BL314" s="39">
        <f t="shared" si="170"/>
        <v>0</v>
      </c>
      <c r="BM314" s="54">
        <f t="shared" ca="1" si="171"/>
        <v>46283</v>
      </c>
      <c r="BN314" s="59">
        <v>46283</v>
      </c>
      <c r="BO314" s="57">
        <v>46300</v>
      </c>
      <c r="BP314" s="36"/>
      <c r="BQ314" s="36"/>
      <c r="BR314" s="39"/>
      <c r="BS314" s="39"/>
      <c r="BT314" s="39"/>
      <c r="BU314" s="39"/>
      <c r="BV314" s="39"/>
      <c r="BW314" s="39"/>
      <c r="BX314" s="39"/>
      <c r="BY314" s="39"/>
      <c r="BZ314" s="39">
        <f t="shared" si="172"/>
        <v>0</v>
      </c>
      <c r="CA314" s="39">
        <f t="shared" si="173"/>
        <v>-1051</v>
      </c>
      <c r="CB314" s="39">
        <f t="shared" si="174"/>
        <v>-261</v>
      </c>
      <c r="CC314" s="39">
        <f t="shared" si="175"/>
        <v>-9</v>
      </c>
      <c r="CD314" s="39">
        <f t="shared" si="176"/>
        <v>-1321</v>
      </c>
      <c r="CE314" s="102">
        <f t="shared" si="177"/>
        <v>-1</v>
      </c>
      <c r="CF314" s="36" t="s">
        <v>292</v>
      </c>
      <c r="CG314" s="39" t="s">
        <v>230</v>
      </c>
      <c r="CH314" s="39"/>
      <c r="CI314" s="25">
        <v>2</v>
      </c>
    </row>
    <row r="315" spans="1:87" ht="24.75" customHeight="1">
      <c r="A315" s="36" t="s">
        <v>51</v>
      </c>
      <c r="B315" s="28" t="s">
        <v>2788</v>
      </c>
      <c r="C315" s="236"/>
      <c r="D315" s="36" t="s">
        <v>45</v>
      </c>
      <c r="E315" s="39">
        <v>340</v>
      </c>
      <c r="F315" s="39" t="s">
        <v>55</v>
      </c>
      <c r="G315" s="36" t="s">
        <v>322</v>
      </c>
      <c r="H315" s="36" t="s">
        <v>362</v>
      </c>
      <c r="I315" s="39">
        <v>1559</v>
      </c>
      <c r="J315" s="39">
        <v>386</v>
      </c>
      <c r="K315" s="39">
        <v>13</v>
      </c>
      <c r="L315" s="39">
        <f t="shared" si="182"/>
        <v>1958</v>
      </c>
      <c r="M315" s="117">
        <v>46275</v>
      </c>
      <c r="N315" s="117">
        <v>46285</v>
      </c>
      <c r="O315" s="39"/>
      <c r="P315" s="39"/>
      <c r="Q315" s="39"/>
      <c r="R315" s="39">
        <f t="shared" si="188"/>
        <v>0</v>
      </c>
      <c r="S315" s="39" t="s">
        <v>270</v>
      </c>
      <c r="T315" s="39"/>
      <c r="U315" s="39"/>
      <c r="V315" s="39"/>
      <c r="W315" s="39"/>
      <c r="X315" s="39"/>
      <c r="Y315" s="39"/>
      <c r="Z315" s="39"/>
      <c r="AA315" s="39"/>
      <c r="AB315" s="118">
        <f t="shared" si="189"/>
        <v>0</v>
      </c>
      <c r="AC315" s="39"/>
      <c r="AD315" s="39"/>
      <c r="AE315" s="39"/>
      <c r="AF315" s="39"/>
      <c r="AG315" s="39"/>
      <c r="AH315" s="39">
        <f t="shared" si="165"/>
        <v>0</v>
      </c>
      <c r="AI315" s="39"/>
      <c r="AJ315" s="39"/>
      <c r="AK315" s="39"/>
      <c r="AL315" s="39"/>
      <c r="AM315" s="39"/>
      <c r="AN315" s="39">
        <f t="shared" si="166"/>
        <v>0</v>
      </c>
      <c r="AO315" s="39"/>
      <c r="AP315" s="39"/>
      <c r="AQ315" s="39"/>
      <c r="AR315" s="39"/>
      <c r="AS315" s="39"/>
      <c r="AT315" s="39">
        <f t="shared" si="167"/>
        <v>0</v>
      </c>
      <c r="AU315" s="39"/>
      <c r="AV315" s="39"/>
      <c r="AW315" s="39"/>
      <c r="AX315" s="39"/>
      <c r="AY315" s="39"/>
      <c r="AZ315" s="39">
        <f t="shared" si="168"/>
        <v>0</v>
      </c>
      <c r="BA315" s="39"/>
      <c r="BB315" s="39"/>
      <c r="BC315" s="39"/>
      <c r="BD315" s="39"/>
      <c r="BE315" s="39"/>
      <c r="BF315" s="39">
        <f t="shared" si="169"/>
        <v>0</v>
      </c>
      <c r="BG315" s="39"/>
      <c r="BH315" s="39"/>
      <c r="BI315" s="39"/>
      <c r="BJ315" s="39"/>
      <c r="BK315" s="39"/>
      <c r="BL315" s="39">
        <f t="shared" si="170"/>
        <v>0</v>
      </c>
      <c r="BM315" s="54">
        <f t="shared" ca="1" si="171"/>
        <v>46283</v>
      </c>
      <c r="BN315" s="59">
        <v>46283</v>
      </c>
      <c r="BO315" s="57">
        <v>46300</v>
      </c>
      <c r="BP315" s="36"/>
      <c r="BQ315" s="36"/>
      <c r="BR315" s="39"/>
      <c r="BS315" s="39"/>
      <c r="BT315" s="39"/>
      <c r="BU315" s="39"/>
      <c r="BV315" s="39"/>
      <c r="BW315" s="39"/>
      <c r="BX315" s="39"/>
      <c r="BY315" s="39"/>
      <c r="BZ315" s="39">
        <f t="shared" si="172"/>
        <v>0</v>
      </c>
      <c r="CA315" s="39">
        <f t="shared" si="173"/>
        <v>-1559</v>
      </c>
      <c r="CB315" s="39">
        <f t="shared" si="174"/>
        <v>-386</v>
      </c>
      <c r="CC315" s="39">
        <f t="shared" si="175"/>
        <v>-13</v>
      </c>
      <c r="CD315" s="39">
        <f t="shared" si="176"/>
        <v>-1958</v>
      </c>
      <c r="CE315" s="102">
        <f t="shared" si="177"/>
        <v>-1</v>
      </c>
      <c r="CF315" s="36" t="s">
        <v>292</v>
      </c>
      <c r="CG315" s="39" t="s">
        <v>230</v>
      </c>
      <c r="CH315" s="39"/>
      <c r="CI315" s="25">
        <v>2</v>
      </c>
    </row>
    <row r="316" spans="1:87" ht="24.75" customHeight="1">
      <c r="A316" s="36" t="s">
        <v>51</v>
      </c>
      <c r="B316" s="28" t="s">
        <v>2790</v>
      </c>
      <c r="C316" s="235" t="s">
        <v>2791</v>
      </c>
      <c r="D316" s="36" t="s">
        <v>45</v>
      </c>
      <c r="E316" s="39">
        <v>340</v>
      </c>
      <c r="F316" s="39" t="s">
        <v>55</v>
      </c>
      <c r="G316" s="36" t="s">
        <v>367</v>
      </c>
      <c r="H316" s="36" t="s">
        <v>362</v>
      </c>
      <c r="I316" s="39">
        <v>1130</v>
      </c>
      <c r="J316" s="39">
        <v>223</v>
      </c>
      <c r="K316" s="39">
        <v>15</v>
      </c>
      <c r="L316" s="39">
        <f t="shared" si="182"/>
        <v>1368</v>
      </c>
      <c r="M316" s="117">
        <v>46277</v>
      </c>
      <c r="N316" s="117">
        <v>46283</v>
      </c>
      <c r="O316" s="39"/>
      <c r="P316" s="39"/>
      <c r="Q316" s="39"/>
      <c r="R316" s="39">
        <f t="shared" si="185"/>
        <v>0</v>
      </c>
      <c r="S316" s="39" t="s">
        <v>270</v>
      </c>
      <c r="T316" s="39"/>
      <c r="U316" s="39"/>
      <c r="V316" s="117">
        <v>46282</v>
      </c>
      <c r="W316" s="39">
        <f>1311+250+18</f>
        <v>1579</v>
      </c>
      <c r="X316" s="39"/>
      <c r="Y316" s="39"/>
      <c r="Z316" s="39"/>
      <c r="AA316" s="39"/>
      <c r="AB316" s="118">
        <f t="shared" si="184"/>
        <v>0</v>
      </c>
      <c r="AC316" s="39"/>
      <c r="AD316" s="39"/>
      <c r="AE316" s="39"/>
      <c r="AF316" s="39"/>
      <c r="AG316" s="39"/>
      <c r="AH316" s="39">
        <f t="shared" si="165"/>
        <v>0</v>
      </c>
      <c r="AI316" s="39"/>
      <c r="AJ316" s="39"/>
      <c r="AK316" s="39"/>
      <c r="AL316" s="39"/>
      <c r="AM316" s="39"/>
      <c r="AN316" s="39">
        <f t="shared" si="166"/>
        <v>0</v>
      </c>
      <c r="AO316" s="39"/>
      <c r="AP316" s="39"/>
      <c r="AQ316" s="39"/>
      <c r="AR316" s="39"/>
      <c r="AS316" s="39"/>
      <c r="AT316" s="39">
        <f t="shared" si="167"/>
        <v>0</v>
      </c>
      <c r="AU316" s="39"/>
      <c r="AV316" s="39"/>
      <c r="AW316" s="39"/>
      <c r="AX316" s="39"/>
      <c r="AY316" s="39"/>
      <c r="AZ316" s="39">
        <f t="shared" si="168"/>
        <v>0</v>
      </c>
      <c r="BA316" s="39"/>
      <c r="BB316" s="39"/>
      <c r="BC316" s="39"/>
      <c r="BD316" s="39"/>
      <c r="BE316" s="39"/>
      <c r="BF316" s="39">
        <f t="shared" si="169"/>
        <v>0</v>
      </c>
      <c r="BG316" s="39"/>
      <c r="BH316" s="39"/>
      <c r="BI316" s="39"/>
      <c r="BJ316" s="39"/>
      <c r="BK316" s="39"/>
      <c r="BL316" s="39">
        <f t="shared" si="170"/>
        <v>0</v>
      </c>
      <c r="BM316" s="54">
        <f t="shared" ca="1" si="171"/>
        <v>46283</v>
      </c>
      <c r="BN316" s="59">
        <v>46283</v>
      </c>
      <c r="BO316" s="57">
        <v>46299</v>
      </c>
      <c r="BP316" s="36"/>
      <c r="BQ316" s="36"/>
      <c r="BR316" s="39"/>
      <c r="BS316" s="39"/>
      <c r="BT316" s="39"/>
      <c r="BU316" s="39"/>
      <c r="BV316" s="39"/>
      <c r="BW316" s="39"/>
      <c r="BX316" s="39"/>
      <c r="BY316" s="39"/>
      <c r="BZ316" s="39">
        <f t="shared" si="172"/>
        <v>0</v>
      </c>
      <c r="CA316" s="39">
        <f t="shared" si="173"/>
        <v>-1130</v>
      </c>
      <c r="CB316" s="39">
        <f t="shared" si="174"/>
        <v>-223</v>
      </c>
      <c r="CC316" s="39">
        <f t="shared" si="175"/>
        <v>-15</v>
      </c>
      <c r="CD316" s="39">
        <f t="shared" si="176"/>
        <v>-1368</v>
      </c>
      <c r="CE316" s="102">
        <f t="shared" si="177"/>
        <v>-1</v>
      </c>
      <c r="CF316" s="36" t="s">
        <v>292</v>
      </c>
      <c r="CG316" s="39" t="s">
        <v>230</v>
      </c>
      <c r="CH316" s="39"/>
      <c r="CI316" s="25">
        <v>2</v>
      </c>
    </row>
    <row r="317" spans="1:87" ht="24.75" customHeight="1">
      <c r="A317" s="36" t="s">
        <v>51</v>
      </c>
      <c r="B317" s="28" t="s">
        <v>2790</v>
      </c>
      <c r="C317" s="240"/>
      <c r="D317" s="36" t="s">
        <v>45</v>
      </c>
      <c r="E317" s="39">
        <v>340</v>
      </c>
      <c r="F317" s="39" t="s">
        <v>55</v>
      </c>
      <c r="G317" s="36" t="s">
        <v>366</v>
      </c>
      <c r="H317" s="36" t="s">
        <v>362</v>
      </c>
      <c r="I317" s="39">
        <v>1130</v>
      </c>
      <c r="J317" s="39">
        <v>223</v>
      </c>
      <c r="K317" s="39">
        <v>15</v>
      </c>
      <c r="L317" s="39">
        <f t="shared" ref="L317:L320" si="190">SUM(I317:K317)</f>
        <v>1368</v>
      </c>
      <c r="M317" s="117">
        <v>46277</v>
      </c>
      <c r="N317" s="117">
        <v>46283</v>
      </c>
      <c r="O317" s="39"/>
      <c r="P317" s="39"/>
      <c r="Q317" s="39"/>
      <c r="R317" s="39">
        <f t="shared" ref="R317:R318" si="191">SUM(O317:Q317)</f>
        <v>0</v>
      </c>
      <c r="S317" s="39" t="s">
        <v>270</v>
      </c>
      <c r="T317" s="39"/>
      <c r="U317" s="39"/>
      <c r="V317" s="117">
        <v>46282</v>
      </c>
      <c r="W317" s="39">
        <f>743</f>
        <v>743</v>
      </c>
      <c r="X317" s="39"/>
      <c r="Y317" s="39"/>
      <c r="Z317" s="39"/>
      <c r="AA317" s="39"/>
      <c r="AB317" s="118">
        <f t="shared" ref="AB317:AB318" si="192">SUM(Y317:AA317)</f>
        <v>0</v>
      </c>
      <c r="AC317" s="39"/>
      <c r="AD317" s="39"/>
      <c r="AE317" s="39"/>
      <c r="AF317" s="39"/>
      <c r="AG317" s="39"/>
      <c r="AH317" s="39">
        <f t="shared" si="165"/>
        <v>0</v>
      </c>
      <c r="AI317" s="39"/>
      <c r="AJ317" s="39"/>
      <c r="AK317" s="39"/>
      <c r="AL317" s="39"/>
      <c r="AM317" s="39"/>
      <c r="AN317" s="39">
        <f t="shared" si="166"/>
        <v>0</v>
      </c>
      <c r="AO317" s="39"/>
      <c r="AP317" s="39"/>
      <c r="AQ317" s="39"/>
      <c r="AR317" s="39"/>
      <c r="AS317" s="39"/>
      <c r="AT317" s="39">
        <f t="shared" si="167"/>
        <v>0</v>
      </c>
      <c r="AU317" s="39"/>
      <c r="AV317" s="39"/>
      <c r="AW317" s="39"/>
      <c r="AX317" s="39"/>
      <c r="AY317" s="39"/>
      <c r="AZ317" s="39">
        <f t="shared" si="168"/>
        <v>0</v>
      </c>
      <c r="BA317" s="39"/>
      <c r="BB317" s="39"/>
      <c r="BC317" s="39"/>
      <c r="BD317" s="39"/>
      <c r="BE317" s="39"/>
      <c r="BF317" s="39">
        <f t="shared" si="169"/>
        <v>0</v>
      </c>
      <c r="BG317" s="39"/>
      <c r="BH317" s="39"/>
      <c r="BI317" s="39"/>
      <c r="BJ317" s="39"/>
      <c r="BK317" s="39"/>
      <c r="BL317" s="39">
        <f t="shared" si="170"/>
        <v>0</v>
      </c>
      <c r="BM317" s="54">
        <f t="shared" ca="1" si="171"/>
        <v>46283</v>
      </c>
      <c r="BN317" s="59">
        <v>46283</v>
      </c>
      <c r="BO317" s="57">
        <v>46299</v>
      </c>
      <c r="BP317" s="36"/>
      <c r="BQ317" s="36"/>
      <c r="BR317" s="39"/>
      <c r="BS317" s="39"/>
      <c r="BT317" s="39"/>
      <c r="BU317" s="39"/>
      <c r="BV317" s="39"/>
      <c r="BW317" s="39"/>
      <c r="BX317" s="39"/>
      <c r="BY317" s="39"/>
      <c r="BZ317" s="39">
        <f t="shared" si="172"/>
        <v>0</v>
      </c>
      <c r="CA317" s="39">
        <f t="shared" si="173"/>
        <v>-1130</v>
      </c>
      <c r="CB317" s="39">
        <f t="shared" si="174"/>
        <v>-223</v>
      </c>
      <c r="CC317" s="39">
        <f t="shared" si="175"/>
        <v>-15</v>
      </c>
      <c r="CD317" s="39">
        <f t="shared" si="176"/>
        <v>-1368</v>
      </c>
      <c r="CE317" s="102">
        <f t="shared" si="177"/>
        <v>-1</v>
      </c>
      <c r="CF317" s="36" t="s">
        <v>292</v>
      </c>
      <c r="CG317" s="39" t="s">
        <v>230</v>
      </c>
      <c r="CH317" s="39"/>
      <c r="CI317" s="25">
        <v>2</v>
      </c>
    </row>
    <row r="318" spans="1:87" ht="24.75" customHeight="1">
      <c r="A318" s="36" t="s">
        <v>51</v>
      </c>
      <c r="B318" s="28" t="s">
        <v>2790</v>
      </c>
      <c r="C318" s="236"/>
      <c r="D318" s="36" t="s">
        <v>45</v>
      </c>
      <c r="E318" s="39">
        <v>340</v>
      </c>
      <c r="F318" s="39" t="s">
        <v>55</v>
      </c>
      <c r="G318" s="36" t="s">
        <v>322</v>
      </c>
      <c r="H318" s="36" t="s">
        <v>362</v>
      </c>
      <c r="I318" s="39">
        <v>1130</v>
      </c>
      <c r="J318" s="39">
        <v>223</v>
      </c>
      <c r="K318" s="39">
        <v>15</v>
      </c>
      <c r="L318" s="39">
        <f t="shared" si="190"/>
        <v>1368</v>
      </c>
      <c r="M318" s="117">
        <v>46277</v>
      </c>
      <c r="N318" s="117">
        <v>46283</v>
      </c>
      <c r="O318" s="39"/>
      <c r="P318" s="39"/>
      <c r="Q318" s="39"/>
      <c r="R318" s="39">
        <f t="shared" si="191"/>
        <v>0</v>
      </c>
      <c r="S318" s="39" t="s">
        <v>270</v>
      </c>
      <c r="T318" s="39"/>
      <c r="U318" s="39"/>
      <c r="V318" s="39"/>
      <c r="W318" s="39"/>
      <c r="X318" s="39"/>
      <c r="Y318" s="39"/>
      <c r="Z318" s="39"/>
      <c r="AA318" s="39"/>
      <c r="AB318" s="118">
        <f t="shared" si="192"/>
        <v>0</v>
      </c>
      <c r="AC318" s="39"/>
      <c r="AD318" s="39"/>
      <c r="AE318" s="39"/>
      <c r="AF318" s="39"/>
      <c r="AG318" s="39"/>
      <c r="AH318" s="39">
        <f t="shared" si="165"/>
        <v>0</v>
      </c>
      <c r="AI318" s="39"/>
      <c r="AJ318" s="39"/>
      <c r="AK318" s="39"/>
      <c r="AL318" s="39"/>
      <c r="AM318" s="39"/>
      <c r="AN318" s="39">
        <f t="shared" si="166"/>
        <v>0</v>
      </c>
      <c r="AO318" s="39"/>
      <c r="AP318" s="39"/>
      <c r="AQ318" s="39"/>
      <c r="AR318" s="39"/>
      <c r="AS318" s="39"/>
      <c r="AT318" s="39">
        <f t="shared" si="167"/>
        <v>0</v>
      </c>
      <c r="AU318" s="39"/>
      <c r="AV318" s="39"/>
      <c r="AW318" s="39"/>
      <c r="AX318" s="39"/>
      <c r="AY318" s="39"/>
      <c r="AZ318" s="39">
        <f t="shared" si="168"/>
        <v>0</v>
      </c>
      <c r="BA318" s="39"/>
      <c r="BB318" s="39"/>
      <c r="BC318" s="39"/>
      <c r="BD318" s="39"/>
      <c r="BE318" s="39"/>
      <c r="BF318" s="39">
        <f t="shared" si="169"/>
        <v>0</v>
      </c>
      <c r="BG318" s="39"/>
      <c r="BH318" s="39"/>
      <c r="BI318" s="39"/>
      <c r="BJ318" s="39"/>
      <c r="BK318" s="39"/>
      <c r="BL318" s="39">
        <f t="shared" si="170"/>
        <v>0</v>
      </c>
      <c r="BM318" s="54">
        <f t="shared" ca="1" si="171"/>
        <v>46283</v>
      </c>
      <c r="BN318" s="59">
        <v>46283</v>
      </c>
      <c r="BO318" s="57">
        <v>46299</v>
      </c>
      <c r="BP318" s="36"/>
      <c r="BQ318" s="36"/>
      <c r="BR318" s="39"/>
      <c r="BS318" s="39"/>
      <c r="BT318" s="39"/>
      <c r="BU318" s="39"/>
      <c r="BV318" s="39"/>
      <c r="BW318" s="39"/>
      <c r="BX318" s="39"/>
      <c r="BY318" s="39"/>
      <c r="BZ318" s="39">
        <f t="shared" si="172"/>
        <v>0</v>
      </c>
      <c r="CA318" s="39">
        <f t="shared" si="173"/>
        <v>-1130</v>
      </c>
      <c r="CB318" s="39">
        <f t="shared" si="174"/>
        <v>-223</v>
      </c>
      <c r="CC318" s="39">
        <f t="shared" si="175"/>
        <v>-15</v>
      </c>
      <c r="CD318" s="39">
        <f t="shared" si="176"/>
        <v>-1368</v>
      </c>
      <c r="CE318" s="102">
        <f t="shared" si="177"/>
        <v>-1</v>
      </c>
      <c r="CF318" s="36" t="s">
        <v>292</v>
      </c>
      <c r="CG318" s="39" t="s">
        <v>230</v>
      </c>
      <c r="CH318" s="39"/>
      <c r="CI318" s="25">
        <v>2</v>
      </c>
    </row>
    <row r="319" spans="1:87" ht="24.75" customHeight="1">
      <c r="A319" s="36" t="s">
        <v>51</v>
      </c>
      <c r="B319" s="28" t="s">
        <v>2792</v>
      </c>
      <c r="C319" s="138" t="s">
        <v>2791</v>
      </c>
      <c r="D319" s="36" t="s">
        <v>45</v>
      </c>
      <c r="E319" s="39">
        <v>340</v>
      </c>
      <c r="F319" s="39" t="s">
        <v>55</v>
      </c>
      <c r="G319" s="36" t="s">
        <v>902</v>
      </c>
      <c r="H319" s="36" t="s">
        <v>362</v>
      </c>
      <c r="I319" s="39">
        <v>2305</v>
      </c>
      <c r="J319" s="39">
        <v>424</v>
      </c>
      <c r="K319" s="39">
        <v>29</v>
      </c>
      <c r="L319" s="39">
        <f t="shared" si="190"/>
        <v>2758</v>
      </c>
      <c r="M319" s="117">
        <v>46275</v>
      </c>
      <c r="N319" s="117">
        <v>46280</v>
      </c>
      <c r="O319" s="39"/>
      <c r="P319" s="39"/>
      <c r="Q319" s="39"/>
      <c r="R319" s="39">
        <f t="shared" si="183"/>
        <v>0</v>
      </c>
      <c r="S319" s="39" t="s">
        <v>270</v>
      </c>
      <c r="T319" s="39"/>
      <c r="U319" s="39"/>
      <c r="V319" s="117" t="s">
        <v>2999</v>
      </c>
      <c r="W319" s="39">
        <f>2292+367</f>
        <v>2659</v>
      </c>
      <c r="X319" s="39"/>
      <c r="Y319" s="39"/>
      <c r="Z319" s="39"/>
      <c r="AA319" s="39"/>
      <c r="AB319" s="118">
        <f t="shared" si="184"/>
        <v>0</v>
      </c>
      <c r="AC319" s="39"/>
      <c r="AD319" s="39"/>
      <c r="AE319" s="39"/>
      <c r="AF319" s="39"/>
      <c r="AG319" s="39"/>
      <c r="AH319" s="39">
        <f t="shared" si="165"/>
        <v>0</v>
      </c>
      <c r="AI319" s="39"/>
      <c r="AJ319" s="39"/>
      <c r="AK319" s="39"/>
      <c r="AL319" s="39"/>
      <c r="AM319" s="39"/>
      <c r="AN319" s="39">
        <f t="shared" si="166"/>
        <v>0</v>
      </c>
      <c r="AO319" s="39"/>
      <c r="AP319" s="39"/>
      <c r="AQ319" s="39"/>
      <c r="AR319" s="39"/>
      <c r="AS319" s="39"/>
      <c r="AT319" s="39">
        <f t="shared" si="167"/>
        <v>0</v>
      </c>
      <c r="AU319" s="39"/>
      <c r="AV319" s="39"/>
      <c r="AW319" s="39"/>
      <c r="AX319" s="39"/>
      <c r="AY319" s="39"/>
      <c r="AZ319" s="39">
        <f t="shared" si="168"/>
        <v>0</v>
      </c>
      <c r="BA319" s="39"/>
      <c r="BB319" s="39"/>
      <c r="BC319" s="39"/>
      <c r="BD319" s="39"/>
      <c r="BE319" s="39"/>
      <c r="BF319" s="39">
        <f t="shared" si="169"/>
        <v>0</v>
      </c>
      <c r="BG319" s="39"/>
      <c r="BH319" s="39"/>
      <c r="BI319" s="39"/>
      <c r="BJ319" s="39"/>
      <c r="BK319" s="39"/>
      <c r="BL319" s="39">
        <f t="shared" si="170"/>
        <v>0</v>
      </c>
      <c r="BM319" s="54">
        <f t="shared" ca="1" si="171"/>
        <v>46283</v>
      </c>
      <c r="BN319" s="59">
        <v>46283</v>
      </c>
      <c r="BO319" s="57">
        <v>46296</v>
      </c>
      <c r="BP319" s="36"/>
      <c r="BQ319" s="36"/>
      <c r="BR319" s="39"/>
      <c r="BS319" s="39"/>
      <c r="BT319" s="39"/>
      <c r="BU319" s="39"/>
      <c r="BV319" s="39"/>
      <c r="BW319" s="39"/>
      <c r="BX319" s="39"/>
      <c r="BY319" s="39"/>
      <c r="BZ319" s="39">
        <f t="shared" si="172"/>
        <v>0</v>
      </c>
      <c r="CA319" s="39">
        <f t="shared" si="173"/>
        <v>-2305</v>
      </c>
      <c r="CB319" s="39">
        <f t="shared" si="174"/>
        <v>-424</v>
      </c>
      <c r="CC319" s="39">
        <f t="shared" si="175"/>
        <v>-29</v>
      </c>
      <c r="CD319" s="39">
        <f t="shared" si="176"/>
        <v>-2758</v>
      </c>
      <c r="CE319" s="102">
        <f t="shared" si="177"/>
        <v>-1</v>
      </c>
      <c r="CF319" s="36" t="s">
        <v>292</v>
      </c>
      <c r="CG319" s="39" t="s">
        <v>230</v>
      </c>
      <c r="CH319" s="39"/>
      <c r="CI319" s="25">
        <v>2</v>
      </c>
    </row>
    <row r="320" spans="1:87" ht="24.75" customHeight="1">
      <c r="A320" s="36" t="s">
        <v>51</v>
      </c>
      <c r="B320" s="28" t="s">
        <v>1340</v>
      </c>
      <c r="C320" s="138" t="s">
        <v>2832</v>
      </c>
      <c r="D320" s="36"/>
      <c r="E320" s="39">
        <v>180</v>
      </c>
      <c r="F320" s="39" t="s">
        <v>55</v>
      </c>
      <c r="G320" s="36" t="s">
        <v>310</v>
      </c>
      <c r="H320" s="36" t="s">
        <v>22</v>
      </c>
      <c r="I320" s="39">
        <v>131</v>
      </c>
      <c r="J320" s="39"/>
      <c r="K320" s="39"/>
      <c r="L320" s="39">
        <f t="shared" si="190"/>
        <v>131</v>
      </c>
      <c r="M320" s="117">
        <v>46273</v>
      </c>
      <c r="N320" s="117">
        <v>46275</v>
      </c>
      <c r="O320" s="39"/>
      <c r="P320" s="39"/>
      <c r="Q320" s="39"/>
      <c r="R320" s="39">
        <f t="shared" si="183"/>
        <v>0</v>
      </c>
      <c r="S320" s="39" t="s">
        <v>326</v>
      </c>
      <c r="T320" s="39"/>
      <c r="U320" s="39"/>
      <c r="V320" s="117">
        <v>46282</v>
      </c>
      <c r="W320" s="39">
        <v>155</v>
      </c>
      <c r="X320" s="39"/>
      <c r="Y320" s="39"/>
      <c r="Z320" s="39"/>
      <c r="AA320" s="39"/>
      <c r="AB320" s="118">
        <f t="shared" si="184"/>
        <v>0</v>
      </c>
      <c r="AC320" s="39"/>
      <c r="AD320" s="39"/>
      <c r="AE320" s="39"/>
      <c r="AF320" s="39"/>
      <c r="AG320" s="39"/>
      <c r="AH320" s="39">
        <f t="shared" si="165"/>
        <v>0</v>
      </c>
      <c r="AI320" s="39"/>
      <c r="AJ320" s="39"/>
      <c r="AK320" s="39"/>
      <c r="AL320" s="39"/>
      <c r="AM320" s="39"/>
      <c r="AN320" s="39">
        <f t="shared" si="166"/>
        <v>0</v>
      </c>
      <c r="AO320" s="39"/>
      <c r="AP320" s="39"/>
      <c r="AQ320" s="39"/>
      <c r="AR320" s="39"/>
      <c r="AS320" s="39"/>
      <c r="AT320" s="39">
        <f t="shared" si="167"/>
        <v>0</v>
      </c>
      <c r="AU320" s="39"/>
      <c r="AV320" s="39"/>
      <c r="AW320" s="39"/>
      <c r="AX320" s="39"/>
      <c r="AY320" s="39"/>
      <c r="AZ320" s="39">
        <f t="shared" si="168"/>
        <v>0</v>
      </c>
      <c r="BA320" s="39"/>
      <c r="BB320" s="39"/>
      <c r="BC320" s="39"/>
      <c r="BD320" s="39"/>
      <c r="BE320" s="39"/>
      <c r="BF320" s="39">
        <f t="shared" si="169"/>
        <v>0</v>
      </c>
      <c r="BG320" s="39"/>
      <c r="BH320" s="39"/>
      <c r="BI320" s="39"/>
      <c r="BJ320" s="39"/>
      <c r="BK320" s="39"/>
      <c r="BL320" s="39">
        <f t="shared" si="170"/>
        <v>0</v>
      </c>
      <c r="BM320" s="54">
        <f t="shared" ca="1" si="171"/>
        <v>46283</v>
      </c>
      <c r="BN320" s="59">
        <v>46279</v>
      </c>
      <c r="BO320" s="57">
        <v>46282</v>
      </c>
      <c r="BP320" s="36"/>
      <c r="BQ320" s="36"/>
      <c r="BR320" s="39"/>
      <c r="BS320" s="39"/>
      <c r="BT320" s="39"/>
      <c r="BU320" s="39"/>
      <c r="BV320" s="39"/>
      <c r="BW320" s="39"/>
      <c r="BX320" s="39"/>
      <c r="BY320" s="39"/>
      <c r="BZ320" s="39">
        <f t="shared" si="172"/>
        <v>0</v>
      </c>
      <c r="CA320" s="39">
        <f t="shared" si="173"/>
        <v>-131</v>
      </c>
      <c r="CB320" s="39">
        <f t="shared" si="174"/>
        <v>0</v>
      </c>
      <c r="CC320" s="39">
        <f t="shared" si="175"/>
        <v>0</v>
      </c>
      <c r="CD320" s="39">
        <f t="shared" si="176"/>
        <v>-131</v>
      </c>
      <c r="CE320" s="102">
        <f t="shared" si="177"/>
        <v>-1</v>
      </c>
      <c r="CF320" s="36"/>
      <c r="CG320" s="39" t="s">
        <v>243</v>
      </c>
      <c r="CH320" s="39"/>
      <c r="CI320" s="25">
        <v>2</v>
      </c>
    </row>
    <row r="321" spans="1:88" ht="24.75" customHeight="1">
      <c r="A321" s="36" t="s">
        <v>51</v>
      </c>
      <c r="B321" s="28"/>
      <c r="C321" s="41"/>
      <c r="D321" s="36"/>
      <c r="E321" s="39"/>
      <c r="F321" s="39"/>
      <c r="G321" s="36"/>
      <c r="H321" s="39"/>
      <c r="I321" s="39"/>
      <c r="J321" s="39"/>
      <c r="K321" s="39"/>
      <c r="L321" s="39">
        <f t="shared" ref="L321:L534" si="193">SUM(I321:K321)</f>
        <v>0</v>
      </c>
      <c r="M321" s="39"/>
      <c r="N321" s="39"/>
      <c r="O321" s="39"/>
      <c r="P321" s="39"/>
      <c r="Q321" s="39"/>
      <c r="R321" s="39">
        <f t="shared" ref="R321:R534" si="194">SUM(O321:Q321)</f>
        <v>0</v>
      </c>
      <c r="S321" s="39"/>
      <c r="T321" s="39"/>
      <c r="U321" s="39"/>
      <c r="V321" s="39"/>
      <c r="W321" s="39"/>
      <c r="X321" s="39"/>
      <c r="Y321" s="39"/>
      <c r="Z321" s="39"/>
      <c r="AA321" s="39"/>
      <c r="AB321" s="39">
        <f t="shared" ref="AB321:AB534" si="195">SUM(Y321:AA321)</f>
        <v>0</v>
      </c>
      <c r="AC321" s="39"/>
      <c r="AD321" s="39"/>
      <c r="AE321" s="39"/>
      <c r="AF321" s="39"/>
      <c r="AG321" s="39"/>
      <c r="AH321" s="39">
        <f t="shared" si="3"/>
        <v>0</v>
      </c>
      <c r="AI321" s="39"/>
      <c r="AJ321" s="39"/>
      <c r="AK321" s="39"/>
      <c r="AL321" s="39"/>
      <c r="AM321" s="39"/>
      <c r="AN321" s="39">
        <f t="shared" si="4"/>
        <v>0</v>
      </c>
      <c r="AO321" s="39"/>
      <c r="AP321" s="39"/>
      <c r="AQ321" s="39"/>
      <c r="AR321" s="39"/>
      <c r="AS321" s="39"/>
      <c r="AT321" s="39">
        <f t="shared" si="5"/>
        <v>0</v>
      </c>
      <c r="AU321" s="39"/>
      <c r="AV321" s="39"/>
      <c r="AW321" s="39"/>
      <c r="AX321" s="39"/>
      <c r="AY321" s="39"/>
      <c r="AZ321" s="39">
        <f t="shared" si="6"/>
        <v>0</v>
      </c>
      <c r="BA321" s="39"/>
      <c r="BB321" s="39"/>
      <c r="BC321" s="39"/>
      <c r="BD321" s="39"/>
      <c r="BE321" s="39"/>
      <c r="BF321" s="39">
        <f t="shared" si="7"/>
        <v>0</v>
      </c>
      <c r="BG321" s="39"/>
      <c r="BH321" s="39"/>
      <c r="BI321" s="39"/>
      <c r="BJ321" s="39"/>
      <c r="BK321" s="39"/>
      <c r="BL321" s="39">
        <f t="shared" si="8"/>
        <v>0</v>
      </c>
      <c r="BM321" s="54" t="e">
        <f t="shared" si="9"/>
        <v>#DIV/0!</v>
      </c>
      <c r="BN321" s="65"/>
      <c r="BO321" s="36"/>
      <c r="BP321" s="36"/>
      <c r="BQ321" s="36"/>
      <c r="BR321" s="39"/>
      <c r="BS321" s="39"/>
      <c r="BT321" s="39"/>
      <c r="BU321" s="39"/>
      <c r="BV321" s="39"/>
      <c r="BW321" s="39"/>
      <c r="BX321" s="39"/>
      <c r="BY321" s="39"/>
      <c r="BZ321" s="39">
        <f t="shared" si="10"/>
        <v>0</v>
      </c>
      <c r="CA321" s="39">
        <f t="shared" si="11"/>
        <v>0</v>
      </c>
      <c r="CB321" s="39">
        <f t="shared" si="12"/>
        <v>0</v>
      </c>
      <c r="CC321" s="39">
        <f t="shared" si="13"/>
        <v>0</v>
      </c>
      <c r="CD321" s="39">
        <f t="shared" si="14"/>
        <v>0</v>
      </c>
      <c r="CE321" s="47" t="e">
        <f t="shared" si="15"/>
        <v>#DIV/0!</v>
      </c>
      <c r="CF321" s="36"/>
      <c r="CG321" s="39"/>
      <c r="CH321" s="39"/>
      <c r="CI321" s="25">
        <v>2</v>
      </c>
    </row>
    <row r="322" spans="1:88" ht="24.75" customHeight="1">
      <c r="A322" s="36" t="s">
        <v>51</v>
      </c>
      <c r="B322" s="28"/>
      <c r="C322" s="41"/>
      <c r="D322" s="36"/>
      <c r="E322" s="39"/>
      <c r="F322" s="39"/>
      <c r="G322" s="36"/>
      <c r="H322" s="39"/>
      <c r="I322" s="39"/>
      <c r="J322" s="39"/>
      <c r="K322" s="39"/>
      <c r="L322" s="39">
        <f t="shared" si="193"/>
        <v>0</v>
      </c>
      <c r="M322" s="39"/>
      <c r="N322" s="39"/>
      <c r="O322" s="39"/>
      <c r="P322" s="39"/>
      <c r="Q322" s="39"/>
      <c r="R322" s="39">
        <f t="shared" si="194"/>
        <v>0</v>
      </c>
      <c r="S322" s="39"/>
      <c r="T322" s="39"/>
      <c r="U322" s="39"/>
      <c r="V322" s="39"/>
      <c r="W322" s="39"/>
      <c r="X322" s="39"/>
      <c r="Y322" s="39"/>
      <c r="Z322" s="39"/>
      <c r="AA322" s="39"/>
      <c r="AB322" s="39">
        <f t="shared" si="195"/>
        <v>0</v>
      </c>
      <c r="AC322" s="39"/>
      <c r="AD322" s="39"/>
      <c r="AE322" s="39"/>
      <c r="AF322" s="39"/>
      <c r="AG322" s="39"/>
      <c r="AH322" s="39">
        <f t="shared" si="3"/>
        <v>0</v>
      </c>
      <c r="AI322" s="39"/>
      <c r="AJ322" s="39"/>
      <c r="AK322" s="39"/>
      <c r="AL322" s="39"/>
      <c r="AM322" s="39"/>
      <c r="AN322" s="39">
        <f t="shared" si="4"/>
        <v>0</v>
      </c>
      <c r="AO322" s="39"/>
      <c r="AP322" s="39"/>
      <c r="AQ322" s="39"/>
      <c r="AR322" s="39"/>
      <c r="AS322" s="39"/>
      <c r="AT322" s="39">
        <f t="shared" si="5"/>
        <v>0</v>
      </c>
      <c r="AU322" s="39"/>
      <c r="AV322" s="39"/>
      <c r="AW322" s="39"/>
      <c r="AX322" s="39"/>
      <c r="AY322" s="39"/>
      <c r="AZ322" s="39">
        <f t="shared" si="6"/>
        <v>0</v>
      </c>
      <c r="BA322" s="39"/>
      <c r="BB322" s="39"/>
      <c r="BC322" s="39"/>
      <c r="BD322" s="39"/>
      <c r="BE322" s="39"/>
      <c r="BF322" s="39">
        <f t="shared" si="7"/>
        <v>0</v>
      </c>
      <c r="BG322" s="39"/>
      <c r="BH322" s="39"/>
      <c r="BI322" s="39"/>
      <c r="BJ322" s="39"/>
      <c r="BK322" s="39"/>
      <c r="BL322" s="39">
        <f t="shared" si="8"/>
        <v>0</v>
      </c>
      <c r="BM322" s="54" t="e">
        <f t="shared" si="9"/>
        <v>#DIV/0!</v>
      </c>
      <c r="BN322" s="65"/>
      <c r="BO322" s="36"/>
      <c r="BP322" s="36"/>
      <c r="BQ322" s="36"/>
      <c r="BR322" s="39"/>
      <c r="BS322" s="39"/>
      <c r="BT322" s="39"/>
      <c r="BU322" s="39"/>
      <c r="BV322" s="39"/>
      <c r="BW322" s="39"/>
      <c r="BX322" s="39"/>
      <c r="BY322" s="39"/>
      <c r="BZ322" s="39">
        <f t="shared" si="10"/>
        <v>0</v>
      </c>
      <c r="CA322" s="39">
        <f t="shared" si="11"/>
        <v>0</v>
      </c>
      <c r="CB322" s="39">
        <f t="shared" si="12"/>
        <v>0</v>
      </c>
      <c r="CC322" s="39">
        <f t="shared" si="13"/>
        <v>0</v>
      </c>
      <c r="CD322" s="39">
        <f t="shared" si="14"/>
        <v>0</v>
      </c>
      <c r="CE322" s="47" t="e">
        <f t="shared" si="15"/>
        <v>#DIV/0!</v>
      </c>
      <c r="CF322" s="36"/>
      <c r="CG322" s="39"/>
      <c r="CH322" s="39"/>
      <c r="CI322" s="25">
        <v>2</v>
      </c>
      <c r="CJ322" s="6" t="s">
        <v>19</v>
      </c>
    </row>
    <row r="323" spans="1:88" ht="24.75" customHeight="1">
      <c r="A323" s="36" t="s">
        <v>51</v>
      </c>
      <c r="B323" s="28"/>
      <c r="C323" s="41"/>
      <c r="D323" s="36"/>
      <c r="E323" s="39"/>
      <c r="F323" s="39"/>
      <c r="G323" s="36"/>
      <c r="H323" s="39"/>
      <c r="I323" s="39"/>
      <c r="J323" s="39"/>
      <c r="K323" s="39"/>
      <c r="L323" s="39">
        <f t="shared" si="193"/>
        <v>0</v>
      </c>
      <c r="M323" s="39"/>
      <c r="N323" s="39"/>
      <c r="O323" s="39"/>
      <c r="P323" s="39"/>
      <c r="Q323" s="39"/>
      <c r="R323" s="39">
        <f t="shared" si="194"/>
        <v>0</v>
      </c>
      <c r="S323" s="39"/>
      <c r="T323" s="39"/>
      <c r="U323" s="39"/>
      <c r="V323" s="39"/>
      <c r="W323" s="39"/>
      <c r="X323" s="39"/>
      <c r="Y323" s="39"/>
      <c r="Z323" s="39"/>
      <c r="AA323" s="39"/>
      <c r="AB323" s="39">
        <f t="shared" si="195"/>
        <v>0</v>
      </c>
      <c r="AC323" s="39"/>
      <c r="AD323" s="39"/>
      <c r="AE323" s="39"/>
      <c r="AF323" s="39"/>
      <c r="AG323" s="39"/>
      <c r="AH323" s="39">
        <f t="shared" si="3"/>
        <v>0</v>
      </c>
      <c r="AI323" s="39"/>
      <c r="AJ323" s="39"/>
      <c r="AK323" s="39"/>
      <c r="AL323" s="39"/>
      <c r="AM323" s="39"/>
      <c r="AN323" s="39">
        <f t="shared" si="4"/>
        <v>0</v>
      </c>
      <c r="AO323" s="39"/>
      <c r="AP323" s="39"/>
      <c r="AQ323" s="39"/>
      <c r="AR323" s="39"/>
      <c r="AS323" s="39"/>
      <c r="AT323" s="39">
        <f t="shared" si="5"/>
        <v>0</v>
      </c>
      <c r="AU323" s="39"/>
      <c r="AV323" s="39"/>
      <c r="AW323" s="39"/>
      <c r="AX323" s="39"/>
      <c r="AY323" s="39"/>
      <c r="AZ323" s="39">
        <f t="shared" si="6"/>
        <v>0</v>
      </c>
      <c r="BA323" s="39"/>
      <c r="BB323" s="39"/>
      <c r="BC323" s="39"/>
      <c r="BD323" s="39"/>
      <c r="BE323" s="39"/>
      <c r="BF323" s="39">
        <f t="shared" si="7"/>
        <v>0</v>
      </c>
      <c r="BG323" s="39"/>
      <c r="BH323" s="39"/>
      <c r="BI323" s="39"/>
      <c r="BJ323" s="39"/>
      <c r="BK323" s="39"/>
      <c r="BL323" s="39">
        <f t="shared" si="8"/>
        <v>0</v>
      </c>
      <c r="BM323" s="54" t="e">
        <f t="shared" si="9"/>
        <v>#DIV/0!</v>
      </c>
      <c r="BN323" s="65"/>
      <c r="BO323" s="36"/>
      <c r="BP323" s="36"/>
      <c r="BQ323" s="36"/>
      <c r="BR323" s="39"/>
      <c r="BS323" s="39"/>
      <c r="BT323" s="39"/>
      <c r="BU323" s="39"/>
      <c r="BV323" s="39"/>
      <c r="BW323" s="39"/>
      <c r="BX323" s="39"/>
      <c r="BY323" s="39"/>
      <c r="BZ323" s="39">
        <f t="shared" si="10"/>
        <v>0</v>
      </c>
      <c r="CA323" s="39">
        <f t="shared" si="11"/>
        <v>0</v>
      </c>
      <c r="CB323" s="39">
        <f t="shared" si="12"/>
        <v>0</v>
      </c>
      <c r="CC323" s="39">
        <f t="shared" si="13"/>
        <v>0</v>
      </c>
      <c r="CD323" s="39">
        <f t="shared" si="14"/>
        <v>0</v>
      </c>
      <c r="CE323" s="47" t="e">
        <f t="shared" si="15"/>
        <v>#DIV/0!</v>
      </c>
      <c r="CF323" s="36"/>
      <c r="CG323" s="39"/>
      <c r="CH323" s="39"/>
      <c r="CI323" s="25">
        <v>2</v>
      </c>
    </row>
    <row r="324" spans="1:88" ht="24.75" customHeight="1">
      <c r="A324" s="36" t="s">
        <v>51</v>
      </c>
      <c r="B324" s="28"/>
      <c r="C324" s="41"/>
      <c r="D324" s="36"/>
      <c r="E324" s="39"/>
      <c r="F324" s="39"/>
      <c r="G324" s="36"/>
      <c r="H324" s="39"/>
      <c r="I324" s="39"/>
      <c r="J324" s="39"/>
      <c r="K324" s="39"/>
      <c r="L324" s="39">
        <f t="shared" si="193"/>
        <v>0</v>
      </c>
      <c r="M324" s="39"/>
      <c r="N324" s="39"/>
      <c r="O324" s="39"/>
      <c r="P324" s="39"/>
      <c r="Q324" s="39"/>
      <c r="R324" s="39">
        <f t="shared" si="194"/>
        <v>0</v>
      </c>
      <c r="S324" s="39"/>
      <c r="T324" s="39"/>
      <c r="U324" s="39"/>
      <c r="V324" s="39"/>
      <c r="W324" s="39"/>
      <c r="X324" s="39"/>
      <c r="Y324" s="39"/>
      <c r="Z324" s="39"/>
      <c r="AA324" s="39"/>
      <c r="AB324" s="39">
        <f t="shared" si="195"/>
        <v>0</v>
      </c>
      <c r="AC324" s="39"/>
      <c r="AD324" s="39"/>
      <c r="AE324" s="39"/>
      <c r="AF324" s="39"/>
      <c r="AG324" s="39"/>
      <c r="AH324" s="39">
        <f t="shared" si="3"/>
        <v>0</v>
      </c>
      <c r="AI324" s="39"/>
      <c r="AJ324" s="39"/>
      <c r="AK324" s="39"/>
      <c r="AL324" s="39"/>
      <c r="AM324" s="39"/>
      <c r="AN324" s="39">
        <f t="shared" si="4"/>
        <v>0</v>
      </c>
      <c r="AO324" s="39"/>
      <c r="AP324" s="39"/>
      <c r="AQ324" s="39"/>
      <c r="AR324" s="39"/>
      <c r="AS324" s="39"/>
      <c r="AT324" s="39">
        <f t="shared" si="5"/>
        <v>0</v>
      </c>
      <c r="AU324" s="39"/>
      <c r="AV324" s="39"/>
      <c r="AW324" s="39"/>
      <c r="AX324" s="39"/>
      <c r="AY324" s="39"/>
      <c r="AZ324" s="39">
        <f t="shared" si="6"/>
        <v>0</v>
      </c>
      <c r="BA324" s="39"/>
      <c r="BB324" s="39"/>
      <c r="BC324" s="39"/>
      <c r="BD324" s="39"/>
      <c r="BE324" s="39"/>
      <c r="BF324" s="39">
        <f t="shared" si="7"/>
        <v>0</v>
      </c>
      <c r="BG324" s="39"/>
      <c r="BH324" s="39"/>
      <c r="BI324" s="39"/>
      <c r="BJ324" s="39"/>
      <c r="BK324" s="39"/>
      <c r="BL324" s="39">
        <f t="shared" si="8"/>
        <v>0</v>
      </c>
      <c r="BM324" s="54" t="e">
        <f t="shared" si="9"/>
        <v>#DIV/0!</v>
      </c>
      <c r="BN324" s="65"/>
      <c r="BO324" s="36"/>
      <c r="BP324" s="36"/>
      <c r="BQ324" s="36"/>
      <c r="BR324" s="39"/>
      <c r="BS324" s="39"/>
      <c r="BT324" s="39"/>
      <c r="BU324" s="39"/>
      <c r="BV324" s="39"/>
      <c r="BW324" s="39"/>
      <c r="BX324" s="39"/>
      <c r="BY324" s="39"/>
      <c r="BZ324" s="39">
        <f t="shared" si="10"/>
        <v>0</v>
      </c>
      <c r="CA324" s="39">
        <f t="shared" si="11"/>
        <v>0</v>
      </c>
      <c r="CB324" s="39">
        <f t="shared" si="12"/>
        <v>0</v>
      </c>
      <c r="CC324" s="39">
        <f t="shared" si="13"/>
        <v>0</v>
      </c>
      <c r="CD324" s="39">
        <f t="shared" si="14"/>
        <v>0</v>
      </c>
      <c r="CE324" s="47" t="e">
        <f t="shared" si="15"/>
        <v>#DIV/0!</v>
      </c>
      <c r="CF324" s="36"/>
      <c r="CG324" s="39"/>
      <c r="CH324" s="39"/>
      <c r="CI324" s="25">
        <v>2</v>
      </c>
    </row>
    <row r="325" spans="1:88" ht="24.75" customHeight="1">
      <c r="A325" s="36" t="s">
        <v>51</v>
      </c>
      <c r="B325" s="28"/>
      <c r="C325" s="41"/>
      <c r="D325" s="36"/>
      <c r="E325" s="39"/>
      <c r="F325" s="39"/>
      <c r="G325" s="36"/>
      <c r="H325" s="39"/>
      <c r="I325" s="39"/>
      <c r="J325" s="39"/>
      <c r="K325" s="39"/>
      <c r="L325" s="39">
        <f t="shared" si="193"/>
        <v>0</v>
      </c>
      <c r="M325" s="39"/>
      <c r="N325" s="39"/>
      <c r="O325" s="39"/>
      <c r="P325" s="39"/>
      <c r="Q325" s="39"/>
      <c r="R325" s="39">
        <f t="shared" si="194"/>
        <v>0</v>
      </c>
      <c r="S325" s="39"/>
      <c r="T325" s="39"/>
      <c r="U325" s="39"/>
      <c r="V325" s="39"/>
      <c r="W325" s="39"/>
      <c r="X325" s="39"/>
      <c r="Y325" s="39"/>
      <c r="Z325" s="39"/>
      <c r="AA325" s="39"/>
      <c r="AB325" s="39">
        <f t="shared" si="195"/>
        <v>0</v>
      </c>
      <c r="AC325" s="39"/>
      <c r="AD325" s="39"/>
      <c r="AE325" s="39"/>
      <c r="AF325" s="39"/>
      <c r="AG325" s="39"/>
      <c r="AH325" s="39">
        <f t="shared" si="3"/>
        <v>0</v>
      </c>
      <c r="AI325" s="39"/>
      <c r="AJ325" s="39"/>
      <c r="AK325" s="39"/>
      <c r="AL325" s="39"/>
      <c r="AM325" s="39"/>
      <c r="AN325" s="39">
        <f t="shared" si="4"/>
        <v>0</v>
      </c>
      <c r="AO325" s="39"/>
      <c r="AP325" s="39"/>
      <c r="AQ325" s="39"/>
      <c r="AR325" s="39"/>
      <c r="AS325" s="39"/>
      <c r="AT325" s="39">
        <f t="shared" si="5"/>
        <v>0</v>
      </c>
      <c r="AU325" s="39"/>
      <c r="AV325" s="39"/>
      <c r="AW325" s="39"/>
      <c r="AX325" s="39"/>
      <c r="AY325" s="39"/>
      <c r="AZ325" s="39">
        <f t="shared" si="6"/>
        <v>0</v>
      </c>
      <c r="BA325" s="39"/>
      <c r="BB325" s="39"/>
      <c r="BC325" s="39"/>
      <c r="BD325" s="39"/>
      <c r="BE325" s="39"/>
      <c r="BF325" s="39">
        <f t="shared" si="7"/>
        <v>0</v>
      </c>
      <c r="BG325" s="39"/>
      <c r="BH325" s="39"/>
      <c r="BI325" s="39"/>
      <c r="BJ325" s="39"/>
      <c r="BK325" s="39"/>
      <c r="BL325" s="39">
        <f t="shared" si="8"/>
        <v>0</v>
      </c>
      <c r="BM325" s="54" t="e">
        <f t="shared" si="9"/>
        <v>#DIV/0!</v>
      </c>
      <c r="BN325" s="65"/>
      <c r="BO325" s="36"/>
      <c r="BP325" s="36"/>
      <c r="BQ325" s="36"/>
      <c r="BR325" s="39"/>
      <c r="BS325" s="39"/>
      <c r="BT325" s="39"/>
      <c r="BU325" s="39"/>
      <c r="BV325" s="39"/>
      <c r="BW325" s="39"/>
      <c r="BX325" s="39"/>
      <c r="BY325" s="39"/>
      <c r="BZ325" s="39">
        <f t="shared" si="10"/>
        <v>0</v>
      </c>
      <c r="CA325" s="39">
        <f t="shared" si="11"/>
        <v>0</v>
      </c>
      <c r="CB325" s="39">
        <f t="shared" si="12"/>
        <v>0</v>
      </c>
      <c r="CC325" s="39">
        <f t="shared" si="13"/>
        <v>0</v>
      </c>
      <c r="CD325" s="39">
        <f t="shared" si="14"/>
        <v>0</v>
      </c>
      <c r="CE325" s="47" t="e">
        <f t="shared" si="15"/>
        <v>#DIV/0!</v>
      </c>
      <c r="CF325" s="36"/>
      <c r="CG325" s="39"/>
      <c r="CH325" s="39"/>
      <c r="CI325" s="25">
        <v>2</v>
      </c>
    </row>
    <row r="326" spans="1:88" ht="24.75" customHeight="1">
      <c r="A326" s="36" t="s">
        <v>51</v>
      </c>
      <c r="B326" s="28"/>
      <c r="C326" s="41"/>
      <c r="D326" s="36"/>
      <c r="E326" s="39"/>
      <c r="F326" s="39"/>
      <c r="G326" s="36"/>
      <c r="H326" s="39"/>
      <c r="I326" s="39"/>
      <c r="J326" s="39"/>
      <c r="K326" s="39"/>
      <c r="L326" s="39">
        <f t="shared" si="193"/>
        <v>0</v>
      </c>
      <c r="M326" s="39"/>
      <c r="N326" s="39"/>
      <c r="O326" s="39"/>
      <c r="P326" s="39"/>
      <c r="Q326" s="39"/>
      <c r="R326" s="39">
        <f t="shared" si="194"/>
        <v>0</v>
      </c>
      <c r="S326" s="39"/>
      <c r="T326" s="39"/>
      <c r="U326" s="39"/>
      <c r="V326" s="39"/>
      <c r="W326" s="39"/>
      <c r="X326" s="39"/>
      <c r="Y326" s="39"/>
      <c r="Z326" s="39"/>
      <c r="AA326" s="39"/>
      <c r="AB326" s="39">
        <f t="shared" si="195"/>
        <v>0</v>
      </c>
      <c r="AC326" s="39"/>
      <c r="AD326" s="39"/>
      <c r="AE326" s="39"/>
      <c r="AF326" s="39"/>
      <c r="AG326" s="39"/>
      <c r="AH326" s="39">
        <f t="shared" si="3"/>
        <v>0</v>
      </c>
      <c r="AI326" s="39"/>
      <c r="AJ326" s="39"/>
      <c r="AK326" s="39"/>
      <c r="AL326" s="39"/>
      <c r="AM326" s="39"/>
      <c r="AN326" s="39">
        <f t="shared" ref="AN326:AN854" si="196">AM326-AK326</f>
        <v>0</v>
      </c>
      <c r="AO326" s="39"/>
      <c r="AP326" s="39"/>
      <c r="AQ326" s="39"/>
      <c r="AR326" s="39"/>
      <c r="AS326" s="39"/>
      <c r="AT326" s="39">
        <f t="shared" si="5"/>
        <v>0</v>
      </c>
      <c r="AU326" s="39"/>
      <c r="AV326" s="39"/>
      <c r="AW326" s="39"/>
      <c r="AX326" s="39"/>
      <c r="AY326" s="39"/>
      <c r="AZ326" s="39">
        <f t="shared" si="6"/>
        <v>0</v>
      </c>
      <c r="BA326" s="39"/>
      <c r="BB326" s="39"/>
      <c r="BC326" s="39"/>
      <c r="BD326" s="39"/>
      <c r="BE326" s="39"/>
      <c r="BF326" s="39">
        <f t="shared" si="7"/>
        <v>0</v>
      </c>
      <c r="BG326" s="39"/>
      <c r="BH326" s="39"/>
      <c r="BI326" s="39"/>
      <c r="BJ326" s="39"/>
      <c r="BK326" s="39"/>
      <c r="BL326" s="39">
        <f t="shared" si="8"/>
        <v>0</v>
      </c>
      <c r="BM326" s="54" t="e">
        <f t="shared" si="9"/>
        <v>#DIV/0!</v>
      </c>
      <c r="BN326" s="65"/>
      <c r="BO326" s="36"/>
      <c r="BP326" s="36"/>
      <c r="BQ326" s="36"/>
      <c r="BR326" s="39"/>
      <c r="BS326" s="39"/>
      <c r="BT326" s="39"/>
      <c r="BU326" s="39"/>
      <c r="BV326" s="39"/>
      <c r="BW326" s="39"/>
      <c r="BX326" s="39"/>
      <c r="BY326" s="39"/>
      <c r="BZ326" s="39">
        <f t="shared" si="10"/>
        <v>0</v>
      </c>
      <c r="CA326" s="39">
        <f t="shared" si="11"/>
        <v>0</v>
      </c>
      <c r="CB326" s="39">
        <f t="shared" si="12"/>
        <v>0</v>
      </c>
      <c r="CC326" s="39">
        <f t="shared" si="13"/>
        <v>0</v>
      </c>
      <c r="CD326" s="39">
        <f t="shared" si="14"/>
        <v>0</v>
      </c>
      <c r="CE326" s="47" t="e">
        <f t="shared" si="15"/>
        <v>#DIV/0!</v>
      </c>
      <c r="CF326" s="36"/>
      <c r="CG326" s="39"/>
      <c r="CH326" s="39"/>
      <c r="CI326" s="25">
        <v>2</v>
      </c>
    </row>
    <row r="327" spans="1:88" ht="24.75" customHeight="1">
      <c r="A327" s="36" t="s">
        <v>51</v>
      </c>
      <c r="B327" s="28" t="s">
        <v>2591</v>
      </c>
      <c r="C327" s="41" t="s">
        <v>2592</v>
      </c>
      <c r="D327" s="36" t="s">
        <v>45</v>
      </c>
      <c r="E327" s="39">
        <v>340</v>
      </c>
      <c r="F327" s="39" t="s">
        <v>55</v>
      </c>
      <c r="G327" s="36" t="s">
        <v>2593</v>
      </c>
      <c r="H327" s="36" t="s">
        <v>362</v>
      </c>
      <c r="I327" s="39">
        <v>1216</v>
      </c>
      <c r="J327" s="39">
        <v>179</v>
      </c>
      <c r="K327" s="39">
        <v>7</v>
      </c>
      <c r="L327" s="39">
        <f t="shared" ref="L327" si="197">SUM(I327:K327)</f>
        <v>1402</v>
      </c>
      <c r="M327" s="117">
        <v>46280</v>
      </c>
      <c r="N327" s="117">
        <v>46286</v>
      </c>
      <c r="O327" s="39"/>
      <c r="P327" s="39"/>
      <c r="Q327" s="39"/>
      <c r="R327" s="39">
        <f t="shared" si="194"/>
        <v>0</v>
      </c>
      <c r="S327" s="39" t="s">
        <v>270</v>
      </c>
      <c r="T327" s="39"/>
      <c r="U327" s="39"/>
      <c r="V327" s="117">
        <v>46272</v>
      </c>
      <c r="W327" s="39">
        <f>1417+210+9</f>
        <v>1636</v>
      </c>
      <c r="X327" s="117">
        <v>46279</v>
      </c>
      <c r="Y327" s="39">
        <v>1292</v>
      </c>
      <c r="Z327" s="39"/>
      <c r="AA327" s="39"/>
      <c r="AB327" s="120">
        <f t="shared" si="195"/>
        <v>1292</v>
      </c>
      <c r="AC327" s="39"/>
      <c r="AD327" s="39"/>
      <c r="AE327" s="39"/>
      <c r="AF327" s="39"/>
      <c r="AG327" s="39"/>
      <c r="AH327" s="39">
        <f t="shared" si="3"/>
        <v>0</v>
      </c>
      <c r="AI327" s="39"/>
      <c r="AJ327" s="39"/>
      <c r="AK327" s="39"/>
      <c r="AL327" s="39"/>
      <c r="AM327" s="39"/>
      <c r="AN327" s="39">
        <f t="shared" ref="AN327:AN371" si="198">AM327-AK327</f>
        <v>0</v>
      </c>
      <c r="AO327" s="39" t="s">
        <v>280</v>
      </c>
      <c r="AP327" s="117">
        <v>46279</v>
      </c>
      <c r="AQ327" s="39">
        <v>1292</v>
      </c>
      <c r="AR327" s="117">
        <v>46281</v>
      </c>
      <c r="AS327" s="39">
        <v>1281</v>
      </c>
      <c r="AT327" s="39">
        <f t="shared" si="5"/>
        <v>-11</v>
      </c>
      <c r="AU327" s="39" t="s">
        <v>257</v>
      </c>
      <c r="AV327" s="117">
        <v>46281</v>
      </c>
      <c r="AW327" s="39">
        <v>1281</v>
      </c>
      <c r="AX327" s="117">
        <v>46281</v>
      </c>
      <c r="AY327" s="39">
        <v>1258</v>
      </c>
      <c r="AZ327" s="39">
        <f t="shared" si="6"/>
        <v>-23</v>
      </c>
      <c r="BA327" s="39"/>
      <c r="BB327" s="39"/>
      <c r="BC327" s="39"/>
      <c r="BD327" s="39"/>
      <c r="BE327" s="39"/>
      <c r="BF327" s="39">
        <f t="shared" si="7"/>
        <v>0</v>
      </c>
      <c r="BG327" s="39"/>
      <c r="BH327" s="39"/>
      <c r="BI327" s="39"/>
      <c r="BJ327" s="39"/>
      <c r="BK327" s="39"/>
      <c r="BL327" s="39">
        <f t="shared" si="8"/>
        <v>0</v>
      </c>
      <c r="BM327" s="54">
        <f t="shared" ca="1" si="9"/>
        <v>46283</v>
      </c>
      <c r="BN327" s="62">
        <v>46290</v>
      </c>
      <c r="BO327" s="117">
        <v>46307</v>
      </c>
      <c r="BP327" s="39"/>
      <c r="BQ327" s="39"/>
      <c r="BR327" s="39"/>
      <c r="BS327" s="39"/>
      <c r="BT327" s="39"/>
      <c r="BU327" s="39"/>
      <c r="BV327" s="39"/>
      <c r="BW327" s="39"/>
      <c r="BX327" s="39"/>
      <c r="BY327" s="39"/>
      <c r="BZ327" s="39">
        <f t="shared" si="10"/>
        <v>0</v>
      </c>
      <c r="CA327" s="39">
        <f t="shared" si="11"/>
        <v>-1216</v>
      </c>
      <c r="CB327" s="39">
        <f t="shared" si="12"/>
        <v>-179</v>
      </c>
      <c r="CC327" s="39">
        <f t="shared" si="13"/>
        <v>-7</v>
      </c>
      <c r="CD327" s="39">
        <f t="shared" si="14"/>
        <v>-1402</v>
      </c>
      <c r="CE327" s="102">
        <f t="shared" si="15"/>
        <v>-1</v>
      </c>
      <c r="CF327" s="36" t="s">
        <v>292</v>
      </c>
      <c r="CG327" s="39" t="s">
        <v>230</v>
      </c>
      <c r="CH327" s="39"/>
      <c r="CI327" s="25">
        <v>3</v>
      </c>
    </row>
    <row r="328" spans="1:88" ht="24.75" customHeight="1">
      <c r="A328" s="36" t="s">
        <v>51</v>
      </c>
      <c r="B328" s="28" t="s">
        <v>2730</v>
      </c>
      <c r="C328" s="235" t="s">
        <v>2739</v>
      </c>
      <c r="D328" s="36"/>
      <c r="E328" s="39">
        <v>260</v>
      </c>
      <c r="F328" s="39" t="s">
        <v>55</v>
      </c>
      <c r="G328" s="36" t="s">
        <v>47</v>
      </c>
      <c r="H328" s="36" t="s">
        <v>96</v>
      </c>
      <c r="I328" s="39">
        <v>1683</v>
      </c>
      <c r="J328" s="39"/>
      <c r="K328" s="39"/>
      <c r="L328" s="39">
        <f t="shared" ref="L328:L333" si="199">SUM(I328:K328)</f>
        <v>1683</v>
      </c>
      <c r="M328" s="117">
        <v>46275</v>
      </c>
      <c r="N328" s="117">
        <v>46288</v>
      </c>
      <c r="O328" s="39"/>
      <c r="P328" s="39"/>
      <c r="Q328" s="39"/>
      <c r="R328" s="39">
        <f t="shared" si="194"/>
        <v>0</v>
      </c>
      <c r="S328" s="39" t="s">
        <v>130</v>
      </c>
      <c r="T328" s="39"/>
      <c r="U328" s="39"/>
      <c r="V328" s="39"/>
      <c r="W328" s="39"/>
      <c r="X328" s="39"/>
      <c r="Y328" s="39"/>
      <c r="Z328" s="39"/>
      <c r="AA328" s="39"/>
      <c r="AB328" s="118">
        <f t="shared" si="195"/>
        <v>0</v>
      </c>
      <c r="AC328" s="39"/>
      <c r="AD328" s="39"/>
      <c r="AE328" s="39"/>
      <c r="AF328" s="39"/>
      <c r="AG328" s="39"/>
      <c r="AH328" s="39">
        <f t="shared" si="3"/>
        <v>0</v>
      </c>
      <c r="AI328" s="39"/>
      <c r="AJ328" s="39"/>
      <c r="AK328" s="39"/>
      <c r="AL328" s="39"/>
      <c r="AM328" s="39"/>
      <c r="AN328" s="39">
        <f t="shared" si="198"/>
        <v>0</v>
      </c>
      <c r="AO328" s="39"/>
      <c r="AP328" s="39"/>
      <c r="AQ328" s="39"/>
      <c r="AR328" s="39"/>
      <c r="AS328" s="39"/>
      <c r="AT328" s="39">
        <f t="shared" si="5"/>
        <v>0</v>
      </c>
      <c r="AU328" s="39"/>
      <c r="AV328" s="39"/>
      <c r="AW328" s="39"/>
      <c r="AX328" s="39"/>
      <c r="AY328" s="39"/>
      <c r="AZ328" s="39">
        <f t="shared" si="6"/>
        <v>0</v>
      </c>
      <c r="BA328" s="39"/>
      <c r="BB328" s="39"/>
      <c r="BC328" s="39"/>
      <c r="BD328" s="39"/>
      <c r="BE328" s="39"/>
      <c r="BF328" s="39">
        <f t="shared" si="7"/>
        <v>0</v>
      </c>
      <c r="BG328" s="39"/>
      <c r="BH328" s="39"/>
      <c r="BI328" s="39"/>
      <c r="BJ328" s="39"/>
      <c r="BK328" s="39"/>
      <c r="BL328" s="39">
        <f t="shared" si="8"/>
        <v>0</v>
      </c>
      <c r="BM328" s="54">
        <f t="shared" ca="1" si="9"/>
        <v>46283</v>
      </c>
      <c r="BN328" s="62">
        <v>46290</v>
      </c>
      <c r="BO328" s="117">
        <v>46308</v>
      </c>
      <c r="BP328" s="39"/>
      <c r="BQ328" s="39"/>
      <c r="BR328" s="39"/>
      <c r="BS328" s="39"/>
      <c r="BT328" s="39"/>
      <c r="BU328" s="39"/>
      <c r="BV328" s="39"/>
      <c r="BW328" s="39"/>
      <c r="BX328" s="39"/>
      <c r="BY328" s="39"/>
      <c r="BZ328" s="39">
        <f t="shared" si="10"/>
        <v>0</v>
      </c>
      <c r="CA328" s="39">
        <f t="shared" si="11"/>
        <v>-1683</v>
      </c>
      <c r="CB328" s="39">
        <f t="shared" si="12"/>
        <v>0</v>
      </c>
      <c r="CC328" s="39">
        <f t="shared" si="13"/>
        <v>0</v>
      </c>
      <c r="CD328" s="39">
        <f t="shared" si="14"/>
        <v>-1683</v>
      </c>
      <c r="CE328" s="102">
        <f t="shared" si="15"/>
        <v>-1</v>
      </c>
      <c r="CF328" s="36" t="s">
        <v>384</v>
      </c>
      <c r="CG328" s="39" t="s">
        <v>243</v>
      </c>
      <c r="CH328" s="39"/>
      <c r="CI328" s="25">
        <v>3</v>
      </c>
    </row>
    <row r="329" spans="1:88" ht="24.75" customHeight="1">
      <c r="A329" s="36" t="s">
        <v>51</v>
      </c>
      <c r="B329" s="28" t="s">
        <v>2730</v>
      </c>
      <c r="C329" s="240"/>
      <c r="D329" s="36"/>
      <c r="E329" s="39">
        <v>280</v>
      </c>
      <c r="F329" s="39" t="s">
        <v>58</v>
      </c>
      <c r="G329" s="36" t="s">
        <v>310</v>
      </c>
      <c r="H329" s="36" t="s">
        <v>96</v>
      </c>
      <c r="I329" s="39">
        <v>179</v>
      </c>
      <c r="J329" s="39"/>
      <c r="K329" s="39"/>
      <c r="L329" s="39">
        <f t="shared" si="199"/>
        <v>179</v>
      </c>
      <c r="M329" s="117">
        <v>46275</v>
      </c>
      <c r="N329" s="117">
        <v>46288</v>
      </c>
      <c r="O329" s="39"/>
      <c r="P329" s="39"/>
      <c r="Q329" s="39"/>
      <c r="R329" s="39">
        <f t="shared" si="194"/>
        <v>0</v>
      </c>
      <c r="S329" s="39" t="s">
        <v>130</v>
      </c>
      <c r="T329" s="39"/>
      <c r="U329" s="39"/>
      <c r="V329" s="39"/>
      <c r="W329" s="39"/>
      <c r="X329" s="39"/>
      <c r="Y329" s="39"/>
      <c r="Z329" s="39"/>
      <c r="AA329" s="39"/>
      <c r="AB329" s="118">
        <f t="shared" si="195"/>
        <v>0</v>
      </c>
      <c r="AC329" s="39"/>
      <c r="AD329" s="39"/>
      <c r="AE329" s="39"/>
      <c r="AF329" s="39"/>
      <c r="AG329" s="39"/>
      <c r="AH329" s="39">
        <f t="shared" si="3"/>
        <v>0</v>
      </c>
      <c r="AI329" s="39"/>
      <c r="AJ329" s="39"/>
      <c r="AK329" s="39"/>
      <c r="AL329" s="39"/>
      <c r="AM329" s="39"/>
      <c r="AN329" s="39">
        <f t="shared" si="198"/>
        <v>0</v>
      </c>
      <c r="AO329" s="39"/>
      <c r="AP329" s="39"/>
      <c r="AQ329" s="39"/>
      <c r="AR329" s="39"/>
      <c r="AS329" s="39"/>
      <c r="AT329" s="39">
        <f t="shared" si="5"/>
        <v>0</v>
      </c>
      <c r="AU329" s="39"/>
      <c r="AV329" s="39"/>
      <c r="AW329" s="39"/>
      <c r="AX329" s="39"/>
      <c r="AY329" s="39"/>
      <c r="AZ329" s="39">
        <f t="shared" si="6"/>
        <v>0</v>
      </c>
      <c r="BA329" s="39"/>
      <c r="BB329" s="39"/>
      <c r="BC329" s="39"/>
      <c r="BD329" s="39"/>
      <c r="BE329" s="39"/>
      <c r="BF329" s="39">
        <f t="shared" si="7"/>
        <v>0</v>
      </c>
      <c r="BG329" s="39"/>
      <c r="BH329" s="39"/>
      <c r="BI329" s="39"/>
      <c r="BJ329" s="39"/>
      <c r="BK329" s="39"/>
      <c r="BL329" s="39">
        <f t="shared" si="8"/>
        <v>0</v>
      </c>
      <c r="BM329" s="54">
        <f t="shared" ca="1" si="9"/>
        <v>46283</v>
      </c>
      <c r="BN329" s="62">
        <v>46290</v>
      </c>
      <c r="BO329" s="117">
        <v>46308</v>
      </c>
      <c r="BP329" s="39"/>
      <c r="BQ329" s="39"/>
      <c r="BR329" s="39"/>
      <c r="BS329" s="39"/>
      <c r="BT329" s="39"/>
      <c r="BU329" s="39"/>
      <c r="BV329" s="39"/>
      <c r="BW329" s="39"/>
      <c r="BX329" s="39"/>
      <c r="BY329" s="39"/>
      <c r="BZ329" s="39">
        <f t="shared" si="10"/>
        <v>0</v>
      </c>
      <c r="CA329" s="39">
        <f t="shared" si="11"/>
        <v>-179</v>
      </c>
      <c r="CB329" s="39">
        <f t="shared" si="12"/>
        <v>0</v>
      </c>
      <c r="CC329" s="39">
        <f t="shared" si="13"/>
        <v>0</v>
      </c>
      <c r="CD329" s="39">
        <f t="shared" si="14"/>
        <v>-179</v>
      </c>
      <c r="CE329" s="102">
        <f t="shared" si="15"/>
        <v>-1</v>
      </c>
      <c r="CF329" s="36" t="s">
        <v>384</v>
      </c>
      <c r="CG329" s="39" t="s">
        <v>243</v>
      </c>
      <c r="CH329" s="39"/>
      <c r="CI329" s="25">
        <v>3</v>
      </c>
    </row>
    <row r="330" spans="1:88" ht="24.75" customHeight="1">
      <c r="A330" s="36" t="s">
        <v>51</v>
      </c>
      <c r="B330" s="28" t="s">
        <v>2730</v>
      </c>
      <c r="C330" s="240"/>
      <c r="D330" s="36"/>
      <c r="E330" s="39">
        <v>260</v>
      </c>
      <c r="F330" s="39" t="s">
        <v>55</v>
      </c>
      <c r="G330" s="36" t="s">
        <v>946</v>
      </c>
      <c r="H330" s="36" t="s">
        <v>96</v>
      </c>
      <c r="I330" s="39">
        <v>670</v>
      </c>
      <c r="J330" s="39"/>
      <c r="K330" s="39"/>
      <c r="L330" s="39">
        <f t="shared" si="199"/>
        <v>670</v>
      </c>
      <c r="M330" s="117">
        <v>46275</v>
      </c>
      <c r="N330" s="117">
        <v>46288</v>
      </c>
      <c r="O330" s="39"/>
      <c r="P330" s="39"/>
      <c r="Q330" s="39"/>
      <c r="R330" s="39">
        <f t="shared" si="194"/>
        <v>0</v>
      </c>
      <c r="S330" s="39" t="s">
        <v>130</v>
      </c>
      <c r="T330" s="39"/>
      <c r="U330" s="39"/>
      <c r="V330" s="39"/>
      <c r="W330" s="39"/>
      <c r="X330" s="39"/>
      <c r="Y330" s="39"/>
      <c r="Z330" s="39"/>
      <c r="AA330" s="39"/>
      <c r="AB330" s="118">
        <f t="shared" si="195"/>
        <v>0</v>
      </c>
      <c r="AC330" s="39"/>
      <c r="AD330" s="39"/>
      <c r="AE330" s="39"/>
      <c r="AF330" s="39"/>
      <c r="AG330" s="39"/>
      <c r="AH330" s="39">
        <f t="shared" si="3"/>
        <v>0</v>
      </c>
      <c r="AI330" s="39"/>
      <c r="AJ330" s="39"/>
      <c r="AK330" s="39"/>
      <c r="AL330" s="39"/>
      <c r="AM330" s="39"/>
      <c r="AN330" s="39">
        <f t="shared" si="198"/>
        <v>0</v>
      </c>
      <c r="AO330" s="39"/>
      <c r="AP330" s="39"/>
      <c r="AQ330" s="39"/>
      <c r="AR330" s="39"/>
      <c r="AS330" s="39"/>
      <c r="AT330" s="39">
        <f t="shared" si="5"/>
        <v>0</v>
      </c>
      <c r="AU330" s="39"/>
      <c r="AV330" s="39"/>
      <c r="AW330" s="39"/>
      <c r="AX330" s="39"/>
      <c r="AY330" s="39"/>
      <c r="AZ330" s="39">
        <f t="shared" si="6"/>
        <v>0</v>
      </c>
      <c r="BA330" s="39"/>
      <c r="BB330" s="39"/>
      <c r="BC330" s="39"/>
      <c r="BD330" s="39"/>
      <c r="BE330" s="39"/>
      <c r="BF330" s="39">
        <f t="shared" si="7"/>
        <v>0</v>
      </c>
      <c r="BG330" s="39"/>
      <c r="BH330" s="39"/>
      <c r="BI330" s="39"/>
      <c r="BJ330" s="39"/>
      <c r="BK330" s="39"/>
      <c r="BL330" s="39">
        <f t="shared" si="8"/>
        <v>0</v>
      </c>
      <c r="BM330" s="54">
        <f t="shared" ca="1" si="9"/>
        <v>46283</v>
      </c>
      <c r="BN330" s="62">
        <v>46290</v>
      </c>
      <c r="BO330" s="117">
        <v>46308</v>
      </c>
      <c r="BP330" s="39"/>
      <c r="BQ330" s="39"/>
      <c r="BR330" s="39"/>
      <c r="BS330" s="39"/>
      <c r="BT330" s="39"/>
      <c r="BU330" s="39"/>
      <c r="BV330" s="39"/>
      <c r="BW330" s="39"/>
      <c r="BX330" s="39"/>
      <c r="BY330" s="39"/>
      <c r="BZ330" s="39">
        <f t="shared" si="10"/>
        <v>0</v>
      </c>
      <c r="CA330" s="39">
        <f t="shared" si="11"/>
        <v>-670</v>
      </c>
      <c r="CB330" s="39">
        <f t="shared" si="12"/>
        <v>0</v>
      </c>
      <c r="CC330" s="39">
        <f t="shared" si="13"/>
        <v>0</v>
      </c>
      <c r="CD330" s="39">
        <f t="shared" si="14"/>
        <v>-670</v>
      </c>
      <c r="CE330" s="102">
        <f t="shared" si="15"/>
        <v>-1</v>
      </c>
      <c r="CF330" s="36" t="s">
        <v>384</v>
      </c>
      <c r="CG330" s="39" t="s">
        <v>243</v>
      </c>
      <c r="CH330" s="39"/>
      <c r="CI330" s="25">
        <v>3</v>
      </c>
    </row>
    <row r="331" spans="1:88" ht="24.75" customHeight="1">
      <c r="A331" s="36" t="s">
        <v>51</v>
      </c>
      <c r="B331" s="28" t="s">
        <v>2730</v>
      </c>
      <c r="C331" s="240"/>
      <c r="D331" s="36"/>
      <c r="E331" s="39">
        <v>280</v>
      </c>
      <c r="F331" s="39" t="s">
        <v>58</v>
      </c>
      <c r="G331" s="36" t="s">
        <v>359</v>
      </c>
      <c r="H331" s="36" t="s">
        <v>96</v>
      </c>
      <c r="I331" s="39">
        <v>71</v>
      </c>
      <c r="J331" s="39"/>
      <c r="K331" s="39"/>
      <c r="L331" s="39">
        <f t="shared" si="199"/>
        <v>71</v>
      </c>
      <c r="M331" s="117">
        <v>46275</v>
      </c>
      <c r="N331" s="117">
        <v>46288</v>
      </c>
      <c r="O331" s="39"/>
      <c r="P331" s="39"/>
      <c r="Q331" s="39"/>
      <c r="R331" s="39">
        <f t="shared" si="194"/>
        <v>0</v>
      </c>
      <c r="S331" s="39" t="s">
        <v>130</v>
      </c>
      <c r="T331" s="39"/>
      <c r="U331" s="39"/>
      <c r="V331" s="39"/>
      <c r="W331" s="39"/>
      <c r="X331" s="39"/>
      <c r="Y331" s="39"/>
      <c r="Z331" s="39"/>
      <c r="AA331" s="39"/>
      <c r="AB331" s="118">
        <f t="shared" si="195"/>
        <v>0</v>
      </c>
      <c r="AC331" s="39"/>
      <c r="AD331" s="39"/>
      <c r="AE331" s="39"/>
      <c r="AF331" s="39"/>
      <c r="AG331" s="39"/>
      <c r="AH331" s="39">
        <f t="shared" si="3"/>
        <v>0</v>
      </c>
      <c r="AI331" s="39"/>
      <c r="AJ331" s="39"/>
      <c r="AK331" s="39"/>
      <c r="AL331" s="39"/>
      <c r="AM331" s="39"/>
      <c r="AN331" s="39">
        <f t="shared" si="198"/>
        <v>0</v>
      </c>
      <c r="AO331" s="39"/>
      <c r="AP331" s="39"/>
      <c r="AQ331" s="39"/>
      <c r="AR331" s="39"/>
      <c r="AS331" s="39"/>
      <c r="AT331" s="39">
        <f t="shared" si="5"/>
        <v>0</v>
      </c>
      <c r="AU331" s="39"/>
      <c r="AV331" s="39"/>
      <c r="AW331" s="39"/>
      <c r="AX331" s="39"/>
      <c r="AY331" s="39"/>
      <c r="AZ331" s="39">
        <f t="shared" si="6"/>
        <v>0</v>
      </c>
      <c r="BA331" s="39"/>
      <c r="BB331" s="39"/>
      <c r="BC331" s="39"/>
      <c r="BD331" s="39"/>
      <c r="BE331" s="39"/>
      <c r="BF331" s="39">
        <f t="shared" si="7"/>
        <v>0</v>
      </c>
      <c r="BG331" s="39"/>
      <c r="BH331" s="39"/>
      <c r="BI331" s="39"/>
      <c r="BJ331" s="39"/>
      <c r="BK331" s="39"/>
      <c r="BL331" s="39">
        <f t="shared" si="8"/>
        <v>0</v>
      </c>
      <c r="BM331" s="54">
        <f t="shared" ca="1" si="9"/>
        <v>46283</v>
      </c>
      <c r="BN331" s="62">
        <v>46290</v>
      </c>
      <c r="BO331" s="117">
        <v>46308</v>
      </c>
      <c r="BP331" s="39"/>
      <c r="BQ331" s="39"/>
      <c r="BR331" s="39"/>
      <c r="BS331" s="39"/>
      <c r="BT331" s="39"/>
      <c r="BU331" s="39"/>
      <c r="BV331" s="39"/>
      <c r="BW331" s="39"/>
      <c r="BX331" s="39"/>
      <c r="BY331" s="39"/>
      <c r="BZ331" s="39">
        <f t="shared" si="10"/>
        <v>0</v>
      </c>
      <c r="CA331" s="39">
        <f t="shared" si="11"/>
        <v>-71</v>
      </c>
      <c r="CB331" s="39">
        <f t="shared" si="12"/>
        <v>0</v>
      </c>
      <c r="CC331" s="39">
        <f t="shared" si="13"/>
        <v>0</v>
      </c>
      <c r="CD331" s="39">
        <f t="shared" si="14"/>
        <v>-71</v>
      </c>
      <c r="CE331" s="102">
        <f t="shared" si="15"/>
        <v>-1</v>
      </c>
      <c r="CF331" s="36" t="s">
        <v>384</v>
      </c>
      <c r="CG331" s="39" t="s">
        <v>243</v>
      </c>
      <c r="CH331" s="39"/>
      <c r="CI331" s="25">
        <v>3</v>
      </c>
    </row>
    <row r="332" spans="1:88" ht="24.75" customHeight="1">
      <c r="A332" s="36" t="s">
        <v>51</v>
      </c>
      <c r="B332" s="28" t="s">
        <v>2730</v>
      </c>
      <c r="C332" s="240"/>
      <c r="D332" s="36"/>
      <c r="E332" s="39">
        <v>260</v>
      </c>
      <c r="F332" s="39" t="s">
        <v>55</v>
      </c>
      <c r="G332" s="36" t="s">
        <v>596</v>
      </c>
      <c r="H332" s="36" t="s">
        <v>96</v>
      </c>
      <c r="I332" s="39">
        <v>1251</v>
      </c>
      <c r="J332" s="39"/>
      <c r="K332" s="39"/>
      <c r="L332" s="39">
        <f t="shared" si="199"/>
        <v>1251</v>
      </c>
      <c r="M332" s="117">
        <v>46275</v>
      </c>
      <c r="N332" s="117">
        <v>46288</v>
      </c>
      <c r="O332" s="39"/>
      <c r="P332" s="39"/>
      <c r="Q332" s="39"/>
      <c r="R332" s="39">
        <f t="shared" si="194"/>
        <v>0</v>
      </c>
      <c r="S332" s="39" t="s">
        <v>130</v>
      </c>
      <c r="T332" s="39"/>
      <c r="U332" s="39"/>
      <c r="V332" s="39"/>
      <c r="W332" s="39"/>
      <c r="X332" s="39"/>
      <c r="Y332" s="39"/>
      <c r="Z332" s="39"/>
      <c r="AA332" s="39"/>
      <c r="AB332" s="118">
        <f t="shared" si="195"/>
        <v>0</v>
      </c>
      <c r="AC332" s="39"/>
      <c r="AD332" s="39"/>
      <c r="AE332" s="39"/>
      <c r="AF332" s="39"/>
      <c r="AG332" s="39"/>
      <c r="AH332" s="39">
        <f t="shared" si="3"/>
        <v>0</v>
      </c>
      <c r="AI332" s="39"/>
      <c r="AJ332" s="39"/>
      <c r="AK332" s="39"/>
      <c r="AL332" s="39"/>
      <c r="AM332" s="39"/>
      <c r="AN332" s="39">
        <f t="shared" si="198"/>
        <v>0</v>
      </c>
      <c r="AO332" s="39"/>
      <c r="AP332" s="39"/>
      <c r="AQ332" s="39"/>
      <c r="AR332" s="39"/>
      <c r="AS332" s="39"/>
      <c r="AT332" s="39">
        <f t="shared" si="5"/>
        <v>0</v>
      </c>
      <c r="AU332" s="39"/>
      <c r="AV332" s="39"/>
      <c r="AW332" s="39"/>
      <c r="AX332" s="39"/>
      <c r="AY332" s="39"/>
      <c r="AZ332" s="39">
        <f t="shared" si="6"/>
        <v>0</v>
      </c>
      <c r="BA332" s="39"/>
      <c r="BB332" s="39"/>
      <c r="BC332" s="39"/>
      <c r="BD332" s="39"/>
      <c r="BE332" s="39"/>
      <c r="BF332" s="39">
        <f t="shared" si="7"/>
        <v>0</v>
      </c>
      <c r="BG332" s="39"/>
      <c r="BH332" s="39"/>
      <c r="BI332" s="39"/>
      <c r="BJ332" s="39"/>
      <c r="BK332" s="39"/>
      <c r="BL332" s="39">
        <f t="shared" si="8"/>
        <v>0</v>
      </c>
      <c r="BM332" s="54">
        <f t="shared" ca="1" si="9"/>
        <v>46283</v>
      </c>
      <c r="BN332" s="62">
        <v>46290</v>
      </c>
      <c r="BO332" s="117">
        <v>46308</v>
      </c>
      <c r="BP332" s="39"/>
      <c r="BQ332" s="39"/>
      <c r="BR332" s="39"/>
      <c r="BS332" s="39"/>
      <c r="BT332" s="39"/>
      <c r="BU332" s="39"/>
      <c r="BV332" s="39"/>
      <c r="BW332" s="39"/>
      <c r="BX332" s="39"/>
      <c r="BY332" s="39"/>
      <c r="BZ332" s="39">
        <f t="shared" si="10"/>
        <v>0</v>
      </c>
      <c r="CA332" s="39">
        <f t="shared" si="11"/>
        <v>-1251</v>
      </c>
      <c r="CB332" s="39">
        <f t="shared" si="12"/>
        <v>0</v>
      </c>
      <c r="CC332" s="39">
        <f t="shared" si="13"/>
        <v>0</v>
      </c>
      <c r="CD332" s="39">
        <f t="shared" si="14"/>
        <v>-1251</v>
      </c>
      <c r="CE332" s="102">
        <f t="shared" si="15"/>
        <v>-1</v>
      </c>
      <c r="CF332" s="36" t="s">
        <v>384</v>
      </c>
      <c r="CG332" s="39" t="s">
        <v>243</v>
      </c>
      <c r="CH332" s="39"/>
      <c r="CI332" s="25">
        <v>3</v>
      </c>
    </row>
    <row r="333" spans="1:88" ht="24.75" customHeight="1">
      <c r="A333" s="36" t="s">
        <v>51</v>
      </c>
      <c r="B333" s="28" t="s">
        <v>2730</v>
      </c>
      <c r="C333" s="236"/>
      <c r="D333" s="36"/>
      <c r="E333" s="39">
        <v>280</v>
      </c>
      <c r="F333" s="39" t="s">
        <v>58</v>
      </c>
      <c r="G333" s="36" t="s">
        <v>359</v>
      </c>
      <c r="H333" s="36" t="s">
        <v>96</v>
      </c>
      <c r="I333" s="39">
        <v>133</v>
      </c>
      <c r="J333" s="39"/>
      <c r="K333" s="39"/>
      <c r="L333" s="39">
        <f t="shared" si="199"/>
        <v>133</v>
      </c>
      <c r="M333" s="117">
        <v>46275</v>
      </c>
      <c r="N333" s="117">
        <v>46288</v>
      </c>
      <c r="O333" s="39"/>
      <c r="P333" s="39"/>
      <c r="Q333" s="39"/>
      <c r="R333" s="39">
        <f t="shared" si="194"/>
        <v>0</v>
      </c>
      <c r="S333" s="39" t="s">
        <v>130</v>
      </c>
      <c r="T333" s="39"/>
      <c r="U333" s="39"/>
      <c r="V333" s="39"/>
      <c r="W333" s="39"/>
      <c r="X333" s="39"/>
      <c r="Y333" s="39"/>
      <c r="Z333" s="39"/>
      <c r="AA333" s="39"/>
      <c r="AB333" s="118">
        <f t="shared" si="195"/>
        <v>0</v>
      </c>
      <c r="AC333" s="39"/>
      <c r="AD333" s="39"/>
      <c r="AE333" s="39"/>
      <c r="AF333" s="39"/>
      <c r="AG333" s="39"/>
      <c r="AH333" s="39">
        <f t="shared" si="3"/>
        <v>0</v>
      </c>
      <c r="AI333" s="39"/>
      <c r="AJ333" s="39"/>
      <c r="AK333" s="39"/>
      <c r="AL333" s="39"/>
      <c r="AM333" s="39"/>
      <c r="AN333" s="39">
        <f t="shared" si="198"/>
        <v>0</v>
      </c>
      <c r="AO333" s="39"/>
      <c r="AP333" s="39"/>
      <c r="AQ333" s="39"/>
      <c r="AR333" s="39"/>
      <c r="AS333" s="39"/>
      <c r="AT333" s="39">
        <f t="shared" si="5"/>
        <v>0</v>
      </c>
      <c r="AU333" s="39"/>
      <c r="AV333" s="39"/>
      <c r="AW333" s="39"/>
      <c r="AX333" s="39"/>
      <c r="AY333" s="39"/>
      <c r="AZ333" s="39">
        <f t="shared" si="6"/>
        <v>0</v>
      </c>
      <c r="BA333" s="39"/>
      <c r="BB333" s="39"/>
      <c r="BC333" s="39"/>
      <c r="BD333" s="39"/>
      <c r="BE333" s="39"/>
      <c r="BF333" s="39">
        <f t="shared" si="7"/>
        <v>0</v>
      </c>
      <c r="BG333" s="39"/>
      <c r="BH333" s="39"/>
      <c r="BI333" s="39"/>
      <c r="BJ333" s="39"/>
      <c r="BK333" s="39"/>
      <c r="BL333" s="39">
        <f t="shared" si="8"/>
        <v>0</v>
      </c>
      <c r="BM333" s="54">
        <f t="shared" ca="1" si="9"/>
        <v>46283</v>
      </c>
      <c r="BN333" s="62">
        <v>46290</v>
      </c>
      <c r="BO333" s="117">
        <v>46308</v>
      </c>
      <c r="BP333" s="39"/>
      <c r="BQ333" s="39"/>
      <c r="BR333" s="39"/>
      <c r="BS333" s="39"/>
      <c r="BT333" s="39"/>
      <c r="BU333" s="39"/>
      <c r="BV333" s="39"/>
      <c r="BW333" s="39"/>
      <c r="BX333" s="39"/>
      <c r="BY333" s="39"/>
      <c r="BZ333" s="39">
        <f t="shared" si="10"/>
        <v>0</v>
      </c>
      <c r="CA333" s="39">
        <f t="shared" si="11"/>
        <v>-133</v>
      </c>
      <c r="CB333" s="39">
        <f t="shared" si="12"/>
        <v>0</v>
      </c>
      <c r="CC333" s="39">
        <f t="shared" si="13"/>
        <v>0</v>
      </c>
      <c r="CD333" s="39">
        <f t="shared" si="14"/>
        <v>-133</v>
      </c>
      <c r="CE333" s="102">
        <f t="shared" si="15"/>
        <v>-1</v>
      </c>
      <c r="CF333" s="36" t="s">
        <v>384</v>
      </c>
      <c r="CG333" s="39" t="s">
        <v>243</v>
      </c>
      <c r="CH333" s="39"/>
      <c r="CI333" s="25">
        <v>3</v>
      </c>
    </row>
    <row r="334" spans="1:88" ht="24.75" customHeight="1">
      <c r="A334" s="36" t="s">
        <v>51</v>
      </c>
      <c r="B334" s="28" t="s">
        <v>2820</v>
      </c>
      <c r="C334" s="235">
        <v>22031724</v>
      </c>
      <c r="D334" s="36"/>
      <c r="E334" s="39">
        <v>250</v>
      </c>
      <c r="F334" s="39" t="s">
        <v>60</v>
      </c>
      <c r="G334" s="36" t="s">
        <v>21</v>
      </c>
      <c r="H334" s="36" t="s">
        <v>312</v>
      </c>
      <c r="I334" s="39">
        <v>2385</v>
      </c>
      <c r="J334" s="39">
        <v>85</v>
      </c>
      <c r="K334" s="39"/>
      <c r="L334" s="39">
        <f t="shared" ref="L334:L335" si="200">SUM(I334:K334)</f>
        <v>2470</v>
      </c>
      <c r="M334" s="117">
        <v>46275</v>
      </c>
      <c r="N334" s="117">
        <v>46290</v>
      </c>
      <c r="O334" s="39"/>
      <c r="P334" s="39"/>
      <c r="Q334" s="39"/>
      <c r="R334" s="39">
        <f t="shared" ref="R334:R335" si="201">SUM(O334:Q334)</f>
        <v>0</v>
      </c>
      <c r="S334" s="39" t="s">
        <v>130</v>
      </c>
      <c r="T334" s="39"/>
      <c r="U334" s="39"/>
      <c r="V334" s="39"/>
      <c r="W334" s="39"/>
      <c r="X334" s="39"/>
      <c r="Y334" s="39"/>
      <c r="Z334" s="39"/>
      <c r="AA334" s="39"/>
      <c r="AB334" s="118">
        <f t="shared" si="195"/>
        <v>0</v>
      </c>
      <c r="AC334" s="39"/>
      <c r="AD334" s="39"/>
      <c r="AE334" s="39"/>
      <c r="AF334" s="39"/>
      <c r="AG334" s="39"/>
      <c r="AH334" s="39">
        <f t="shared" si="3"/>
        <v>0</v>
      </c>
      <c r="AI334" s="39"/>
      <c r="AJ334" s="39"/>
      <c r="AK334" s="39"/>
      <c r="AL334" s="39"/>
      <c r="AM334" s="39"/>
      <c r="AN334" s="39">
        <f t="shared" si="198"/>
        <v>0</v>
      </c>
      <c r="AO334" s="39"/>
      <c r="AP334" s="39"/>
      <c r="AQ334" s="39"/>
      <c r="AR334" s="39"/>
      <c r="AS334" s="39"/>
      <c r="AT334" s="39">
        <f t="shared" si="5"/>
        <v>0</v>
      </c>
      <c r="AU334" s="39"/>
      <c r="AV334" s="39"/>
      <c r="AW334" s="39"/>
      <c r="AX334" s="39"/>
      <c r="AY334" s="39"/>
      <c r="AZ334" s="39">
        <f t="shared" si="6"/>
        <v>0</v>
      </c>
      <c r="BA334" s="39"/>
      <c r="BB334" s="39"/>
      <c r="BC334" s="39"/>
      <c r="BD334" s="39"/>
      <c r="BE334" s="39"/>
      <c r="BF334" s="39">
        <f t="shared" si="7"/>
        <v>0</v>
      </c>
      <c r="BG334" s="39"/>
      <c r="BH334" s="39"/>
      <c r="BI334" s="39"/>
      <c r="BJ334" s="39"/>
      <c r="BK334" s="39"/>
      <c r="BL334" s="39">
        <f t="shared" si="8"/>
        <v>0</v>
      </c>
      <c r="BM334" s="54">
        <f t="shared" ca="1" si="9"/>
        <v>46283</v>
      </c>
      <c r="BN334" s="62">
        <v>46289</v>
      </c>
      <c r="BO334" s="117">
        <v>46303</v>
      </c>
      <c r="BP334" s="39"/>
      <c r="BQ334" s="39"/>
      <c r="BR334" s="39"/>
      <c r="BS334" s="39"/>
      <c r="BT334" s="39"/>
      <c r="BU334" s="39"/>
      <c r="BV334" s="39"/>
      <c r="BW334" s="39"/>
      <c r="BX334" s="39"/>
      <c r="BY334" s="39"/>
      <c r="BZ334" s="39">
        <f t="shared" si="10"/>
        <v>0</v>
      </c>
      <c r="CA334" s="39">
        <f t="shared" si="11"/>
        <v>-2385</v>
      </c>
      <c r="CB334" s="39">
        <f t="shared" si="12"/>
        <v>-85</v>
      </c>
      <c r="CC334" s="39">
        <f t="shared" si="13"/>
        <v>0</v>
      </c>
      <c r="CD334" s="39">
        <f t="shared" si="14"/>
        <v>-2470</v>
      </c>
      <c r="CE334" s="102">
        <f t="shared" si="15"/>
        <v>-1</v>
      </c>
      <c r="CF334" s="36"/>
      <c r="CG334" s="39" t="s">
        <v>223</v>
      </c>
      <c r="CH334" s="39"/>
      <c r="CI334" s="25">
        <v>3</v>
      </c>
    </row>
    <row r="335" spans="1:88" ht="24.75" customHeight="1">
      <c r="A335" s="36" t="s">
        <v>51</v>
      </c>
      <c r="B335" s="28" t="s">
        <v>2820</v>
      </c>
      <c r="C335" s="236"/>
      <c r="D335" s="36"/>
      <c r="E335" s="39">
        <v>250</v>
      </c>
      <c r="F335" s="39" t="s">
        <v>60</v>
      </c>
      <c r="G335" s="36" t="s">
        <v>511</v>
      </c>
      <c r="H335" s="36" t="s">
        <v>312</v>
      </c>
      <c r="I335" s="39">
        <v>1590</v>
      </c>
      <c r="J335" s="39">
        <v>57</v>
      </c>
      <c r="K335" s="39"/>
      <c r="L335" s="39">
        <f t="shared" si="200"/>
        <v>1647</v>
      </c>
      <c r="M335" s="117">
        <v>46275</v>
      </c>
      <c r="N335" s="117">
        <v>46290</v>
      </c>
      <c r="O335" s="39"/>
      <c r="P335" s="39"/>
      <c r="Q335" s="39"/>
      <c r="R335" s="39">
        <f t="shared" si="201"/>
        <v>0</v>
      </c>
      <c r="S335" s="39" t="s">
        <v>326</v>
      </c>
      <c r="T335" s="39"/>
      <c r="U335" s="39"/>
      <c r="V335" s="39"/>
      <c r="W335" s="39"/>
      <c r="X335" s="39"/>
      <c r="Y335" s="39"/>
      <c r="Z335" s="39"/>
      <c r="AA335" s="39"/>
      <c r="AB335" s="118">
        <f t="shared" si="195"/>
        <v>0</v>
      </c>
      <c r="AC335" s="39"/>
      <c r="AD335" s="39"/>
      <c r="AE335" s="39"/>
      <c r="AF335" s="39"/>
      <c r="AG335" s="39"/>
      <c r="AH335" s="39">
        <f t="shared" si="3"/>
        <v>0</v>
      </c>
      <c r="AI335" s="39"/>
      <c r="AJ335" s="39"/>
      <c r="AK335" s="39"/>
      <c r="AL335" s="39"/>
      <c r="AM335" s="39"/>
      <c r="AN335" s="39">
        <f t="shared" si="198"/>
        <v>0</v>
      </c>
      <c r="AO335" s="39"/>
      <c r="AP335" s="39"/>
      <c r="AQ335" s="39"/>
      <c r="AR335" s="39"/>
      <c r="AS335" s="39"/>
      <c r="AT335" s="39">
        <f t="shared" si="5"/>
        <v>0</v>
      </c>
      <c r="AU335" s="39"/>
      <c r="AV335" s="39"/>
      <c r="AW335" s="39"/>
      <c r="AX335" s="39"/>
      <c r="AY335" s="39"/>
      <c r="AZ335" s="39">
        <f t="shared" si="6"/>
        <v>0</v>
      </c>
      <c r="BA335" s="39"/>
      <c r="BB335" s="39"/>
      <c r="BC335" s="39"/>
      <c r="BD335" s="39"/>
      <c r="BE335" s="39"/>
      <c r="BF335" s="39">
        <f t="shared" si="7"/>
        <v>0</v>
      </c>
      <c r="BG335" s="39"/>
      <c r="BH335" s="39"/>
      <c r="BI335" s="39"/>
      <c r="BJ335" s="39"/>
      <c r="BK335" s="39"/>
      <c r="BL335" s="39">
        <f t="shared" si="8"/>
        <v>0</v>
      </c>
      <c r="BM335" s="54">
        <f t="shared" ca="1" si="9"/>
        <v>46283</v>
      </c>
      <c r="BN335" s="62">
        <v>46289</v>
      </c>
      <c r="BO335" s="117">
        <v>46303</v>
      </c>
      <c r="BP335" s="39"/>
      <c r="BQ335" s="39"/>
      <c r="BR335" s="39"/>
      <c r="BS335" s="39"/>
      <c r="BT335" s="39"/>
      <c r="BU335" s="39"/>
      <c r="BV335" s="39"/>
      <c r="BW335" s="39"/>
      <c r="BX335" s="39"/>
      <c r="BY335" s="39"/>
      <c r="BZ335" s="39">
        <f t="shared" si="10"/>
        <v>0</v>
      </c>
      <c r="CA335" s="39">
        <f t="shared" si="11"/>
        <v>-1590</v>
      </c>
      <c r="CB335" s="39">
        <f t="shared" si="12"/>
        <v>-57</v>
      </c>
      <c r="CC335" s="39">
        <f t="shared" si="13"/>
        <v>0</v>
      </c>
      <c r="CD335" s="39">
        <f t="shared" si="14"/>
        <v>-1647</v>
      </c>
      <c r="CE335" s="102">
        <f t="shared" si="15"/>
        <v>-1</v>
      </c>
      <c r="CF335" s="36"/>
      <c r="CG335" s="39" t="s">
        <v>223</v>
      </c>
      <c r="CH335" s="39"/>
      <c r="CI335" s="25">
        <v>3</v>
      </c>
    </row>
    <row r="336" spans="1:88" ht="24.75" customHeight="1">
      <c r="A336" s="36" t="s">
        <v>51</v>
      </c>
      <c r="B336" s="28" t="s">
        <v>2833</v>
      </c>
      <c r="C336" s="235" t="s">
        <v>2834</v>
      </c>
      <c r="D336" s="36"/>
      <c r="E336" s="39">
        <v>150</v>
      </c>
      <c r="F336" s="39" t="s">
        <v>65</v>
      </c>
      <c r="G336" s="36" t="s">
        <v>213</v>
      </c>
      <c r="H336" s="36" t="s">
        <v>22</v>
      </c>
      <c r="I336" s="39">
        <v>707</v>
      </c>
      <c r="J336" s="39"/>
      <c r="K336" s="39"/>
      <c r="L336" s="39">
        <f t="shared" ref="L336:L338" si="202">SUM(I336:K336)</f>
        <v>707</v>
      </c>
      <c r="M336" s="117">
        <v>46273</v>
      </c>
      <c r="N336" s="117">
        <v>46285</v>
      </c>
      <c r="O336" s="39"/>
      <c r="P336" s="39"/>
      <c r="Q336" s="39"/>
      <c r="R336" s="39">
        <f t="shared" ref="R336:R345" si="203">SUM(O336:Q336)</f>
        <v>0</v>
      </c>
      <c r="S336" s="39" t="s">
        <v>2997</v>
      </c>
      <c r="T336" s="39"/>
      <c r="U336" s="39"/>
      <c r="V336" s="39"/>
      <c r="W336" s="39"/>
      <c r="X336" s="39"/>
      <c r="Y336" s="39"/>
      <c r="Z336" s="39"/>
      <c r="AA336" s="39"/>
      <c r="AB336" s="118">
        <f t="shared" si="195"/>
        <v>0</v>
      </c>
      <c r="AC336" s="39"/>
      <c r="AD336" s="39"/>
      <c r="AE336" s="39"/>
      <c r="AF336" s="39"/>
      <c r="AG336" s="39"/>
      <c r="AH336" s="39">
        <f t="shared" si="3"/>
        <v>0</v>
      </c>
      <c r="AI336" s="39"/>
      <c r="AJ336" s="39"/>
      <c r="AK336" s="39"/>
      <c r="AL336" s="39"/>
      <c r="AM336" s="39"/>
      <c r="AN336" s="39">
        <f t="shared" si="198"/>
        <v>0</v>
      </c>
      <c r="AO336" s="39"/>
      <c r="AP336" s="39"/>
      <c r="AQ336" s="39"/>
      <c r="AR336" s="39"/>
      <c r="AS336" s="39"/>
      <c r="AT336" s="39">
        <f t="shared" si="5"/>
        <v>0</v>
      </c>
      <c r="AU336" s="39"/>
      <c r="AV336" s="39"/>
      <c r="AW336" s="39"/>
      <c r="AX336" s="39"/>
      <c r="AY336" s="39"/>
      <c r="AZ336" s="39">
        <f t="shared" si="6"/>
        <v>0</v>
      </c>
      <c r="BA336" s="39"/>
      <c r="BB336" s="39"/>
      <c r="BC336" s="39"/>
      <c r="BD336" s="39"/>
      <c r="BE336" s="39"/>
      <c r="BF336" s="39">
        <f t="shared" si="7"/>
        <v>0</v>
      </c>
      <c r="BG336" s="39"/>
      <c r="BH336" s="39"/>
      <c r="BI336" s="39"/>
      <c r="BJ336" s="39"/>
      <c r="BK336" s="39"/>
      <c r="BL336" s="39">
        <f t="shared" si="8"/>
        <v>0</v>
      </c>
      <c r="BM336" s="54">
        <f t="shared" ca="1" si="9"/>
        <v>46283</v>
      </c>
      <c r="BN336" s="62">
        <v>46287</v>
      </c>
      <c r="BO336" s="117">
        <v>46307</v>
      </c>
      <c r="BP336" s="39"/>
      <c r="BQ336" s="39"/>
      <c r="BR336" s="39"/>
      <c r="BS336" s="39"/>
      <c r="BT336" s="39"/>
      <c r="BU336" s="39"/>
      <c r="BV336" s="39"/>
      <c r="BW336" s="39"/>
      <c r="BX336" s="39"/>
      <c r="BY336" s="39"/>
      <c r="BZ336" s="39">
        <f t="shared" si="10"/>
        <v>0</v>
      </c>
      <c r="CA336" s="39">
        <f t="shared" si="11"/>
        <v>-707</v>
      </c>
      <c r="CB336" s="39">
        <f t="shared" si="12"/>
        <v>0</v>
      </c>
      <c r="CC336" s="39">
        <f t="shared" si="13"/>
        <v>0</v>
      </c>
      <c r="CD336" s="39">
        <f t="shared" si="14"/>
        <v>-707</v>
      </c>
      <c r="CE336" s="102">
        <f t="shared" si="15"/>
        <v>-1</v>
      </c>
      <c r="CF336" s="36"/>
      <c r="CG336" s="39" t="s">
        <v>243</v>
      </c>
      <c r="CH336" s="39"/>
      <c r="CI336" s="25">
        <v>3</v>
      </c>
    </row>
    <row r="337" spans="1:87" ht="24.75" customHeight="1">
      <c r="A337" s="36" t="s">
        <v>51</v>
      </c>
      <c r="B337" s="28" t="s">
        <v>2833</v>
      </c>
      <c r="C337" s="240"/>
      <c r="D337" s="36"/>
      <c r="E337" s="39">
        <v>150</v>
      </c>
      <c r="F337" s="39" t="s">
        <v>65</v>
      </c>
      <c r="G337" s="36" t="s">
        <v>193</v>
      </c>
      <c r="H337" s="36" t="s">
        <v>22</v>
      </c>
      <c r="I337" s="39">
        <v>707</v>
      </c>
      <c r="J337" s="39"/>
      <c r="K337" s="39"/>
      <c r="L337" s="39">
        <f t="shared" si="202"/>
        <v>707</v>
      </c>
      <c r="M337" s="117">
        <v>46273</v>
      </c>
      <c r="N337" s="117">
        <v>46285</v>
      </c>
      <c r="O337" s="39"/>
      <c r="P337" s="39"/>
      <c r="Q337" s="39"/>
      <c r="R337" s="39">
        <f t="shared" si="203"/>
        <v>0</v>
      </c>
      <c r="S337" s="39" t="s">
        <v>2997</v>
      </c>
      <c r="T337" s="39"/>
      <c r="U337" s="39"/>
      <c r="V337" s="39"/>
      <c r="W337" s="39"/>
      <c r="X337" s="39"/>
      <c r="Y337" s="39"/>
      <c r="Z337" s="39"/>
      <c r="AA337" s="39"/>
      <c r="AB337" s="118">
        <f t="shared" si="195"/>
        <v>0</v>
      </c>
      <c r="AC337" s="39"/>
      <c r="AD337" s="39"/>
      <c r="AE337" s="39"/>
      <c r="AF337" s="39"/>
      <c r="AG337" s="39"/>
      <c r="AH337" s="39">
        <f t="shared" si="3"/>
        <v>0</v>
      </c>
      <c r="AI337" s="39"/>
      <c r="AJ337" s="39"/>
      <c r="AK337" s="39"/>
      <c r="AL337" s="39"/>
      <c r="AM337" s="39"/>
      <c r="AN337" s="39">
        <f t="shared" si="198"/>
        <v>0</v>
      </c>
      <c r="AO337" s="39"/>
      <c r="AP337" s="39"/>
      <c r="AQ337" s="39"/>
      <c r="AR337" s="39"/>
      <c r="AS337" s="39"/>
      <c r="AT337" s="39">
        <f t="shared" si="5"/>
        <v>0</v>
      </c>
      <c r="AU337" s="39"/>
      <c r="AV337" s="39"/>
      <c r="AW337" s="39"/>
      <c r="AX337" s="39"/>
      <c r="AY337" s="39"/>
      <c r="AZ337" s="39">
        <f t="shared" si="6"/>
        <v>0</v>
      </c>
      <c r="BA337" s="39"/>
      <c r="BB337" s="39"/>
      <c r="BC337" s="39"/>
      <c r="BD337" s="39"/>
      <c r="BE337" s="39"/>
      <c r="BF337" s="39">
        <f t="shared" si="7"/>
        <v>0</v>
      </c>
      <c r="BG337" s="39"/>
      <c r="BH337" s="39"/>
      <c r="BI337" s="39"/>
      <c r="BJ337" s="39"/>
      <c r="BK337" s="39"/>
      <c r="BL337" s="39">
        <f t="shared" si="8"/>
        <v>0</v>
      </c>
      <c r="BM337" s="54">
        <f t="shared" ca="1" si="9"/>
        <v>46283</v>
      </c>
      <c r="BN337" s="62">
        <v>46287</v>
      </c>
      <c r="BO337" s="117">
        <v>46307</v>
      </c>
      <c r="BP337" s="39"/>
      <c r="BQ337" s="39"/>
      <c r="BR337" s="39"/>
      <c r="BS337" s="39"/>
      <c r="BT337" s="39"/>
      <c r="BU337" s="39"/>
      <c r="BV337" s="39"/>
      <c r="BW337" s="39"/>
      <c r="BX337" s="39"/>
      <c r="BY337" s="39"/>
      <c r="BZ337" s="39">
        <f t="shared" si="10"/>
        <v>0</v>
      </c>
      <c r="CA337" s="39">
        <f t="shared" si="11"/>
        <v>-707</v>
      </c>
      <c r="CB337" s="39">
        <f t="shared" si="12"/>
        <v>0</v>
      </c>
      <c r="CC337" s="39">
        <f t="shared" si="13"/>
        <v>0</v>
      </c>
      <c r="CD337" s="39">
        <f t="shared" si="14"/>
        <v>-707</v>
      </c>
      <c r="CE337" s="102">
        <f t="shared" si="15"/>
        <v>-1</v>
      </c>
      <c r="CF337" s="36"/>
      <c r="CG337" s="39" t="s">
        <v>243</v>
      </c>
      <c r="CH337" s="39"/>
      <c r="CI337" s="25">
        <v>3</v>
      </c>
    </row>
    <row r="338" spans="1:87" ht="24.75" customHeight="1">
      <c r="A338" s="36" t="s">
        <v>51</v>
      </c>
      <c r="B338" s="28" t="s">
        <v>2833</v>
      </c>
      <c r="C338" s="240"/>
      <c r="D338" s="36"/>
      <c r="E338" s="39">
        <v>150</v>
      </c>
      <c r="F338" s="39" t="s">
        <v>65</v>
      </c>
      <c r="G338" s="36" t="s">
        <v>1257</v>
      </c>
      <c r="H338" s="36" t="s">
        <v>22</v>
      </c>
      <c r="I338" s="39">
        <v>707</v>
      </c>
      <c r="J338" s="39"/>
      <c r="K338" s="39"/>
      <c r="L338" s="39">
        <f t="shared" si="202"/>
        <v>707</v>
      </c>
      <c r="M338" s="117">
        <v>46273</v>
      </c>
      <c r="N338" s="117">
        <v>46285</v>
      </c>
      <c r="O338" s="39"/>
      <c r="P338" s="39"/>
      <c r="Q338" s="39"/>
      <c r="R338" s="39">
        <f t="shared" si="203"/>
        <v>0</v>
      </c>
      <c r="S338" s="39" t="s">
        <v>2997</v>
      </c>
      <c r="T338" s="39"/>
      <c r="U338" s="39"/>
      <c r="V338" s="39"/>
      <c r="W338" s="39"/>
      <c r="X338" s="39"/>
      <c r="Y338" s="39"/>
      <c r="Z338" s="39"/>
      <c r="AA338" s="39"/>
      <c r="AB338" s="118">
        <f t="shared" si="195"/>
        <v>0</v>
      </c>
      <c r="AC338" s="39"/>
      <c r="AD338" s="39"/>
      <c r="AE338" s="39"/>
      <c r="AF338" s="39"/>
      <c r="AG338" s="39"/>
      <c r="AH338" s="39">
        <f t="shared" ref="AH338:AH371" si="204">AG338-AE338</f>
        <v>0</v>
      </c>
      <c r="AI338" s="39"/>
      <c r="AJ338" s="39"/>
      <c r="AK338" s="39"/>
      <c r="AL338" s="39"/>
      <c r="AM338" s="39"/>
      <c r="AN338" s="39">
        <f t="shared" si="198"/>
        <v>0</v>
      </c>
      <c r="AO338" s="39"/>
      <c r="AP338" s="39"/>
      <c r="AQ338" s="39"/>
      <c r="AR338" s="39"/>
      <c r="AS338" s="39"/>
      <c r="AT338" s="39">
        <f t="shared" ref="AT338:AT371" si="205">AS338-AQ338</f>
        <v>0</v>
      </c>
      <c r="AU338" s="39"/>
      <c r="AV338" s="39"/>
      <c r="AW338" s="39"/>
      <c r="AX338" s="39"/>
      <c r="AY338" s="39"/>
      <c r="AZ338" s="39">
        <f t="shared" ref="AZ338:AZ371" si="206">AY338-AW338</f>
        <v>0</v>
      </c>
      <c r="BA338" s="39"/>
      <c r="BB338" s="39"/>
      <c r="BC338" s="39"/>
      <c r="BD338" s="39"/>
      <c r="BE338" s="39"/>
      <c r="BF338" s="39">
        <f t="shared" ref="BF338:BF371" si="207">BE338-BC338</f>
        <v>0</v>
      </c>
      <c r="BG338" s="39"/>
      <c r="BH338" s="39"/>
      <c r="BI338" s="39"/>
      <c r="BJ338" s="39"/>
      <c r="BK338" s="39"/>
      <c r="BL338" s="39">
        <f t="shared" ref="BL338:BL371" si="208">BK338-BI338</f>
        <v>0</v>
      </c>
      <c r="BM338" s="54">
        <f t="shared" ref="BM338:BM371" ca="1" si="209">IF((BZ338/L338)&lt;0.9,$CO$1-U338,"")</f>
        <v>46283</v>
      </c>
      <c r="BN338" s="62">
        <v>46287</v>
      </c>
      <c r="BO338" s="117">
        <v>46307</v>
      </c>
      <c r="BP338" s="39"/>
      <c r="BQ338" s="39"/>
      <c r="BR338" s="39"/>
      <c r="BS338" s="39"/>
      <c r="BT338" s="39"/>
      <c r="BU338" s="39"/>
      <c r="BV338" s="39"/>
      <c r="BW338" s="39"/>
      <c r="BX338" s="39"/>
      <c r="BY338" s="39"/>
      <c r="BZ338" s="39">
        <f t="shared" ref="BZ338:BZ371" si="210">BU338+BW338+BY338</f>
        <v>0</v>
      </c>
      <c r="CA338" s="39">
        <f t="shared" ref="CA338:CA371" si="211">BU338-I338</f>
        <v>-707</v>
      </c>
      <c r="CB338" s="39">
        <f t="shared" ref="CB338:CB371" si="212">BW338-J338</f>
        <v>0</v>
      </c>
      <c r="CC338" s="39">
        <f t="shared" ref="CC338:CC371" si="213">BY338-K338</f>
        <v>0</v>
      </c>
      <c r="CD338" s="39">
        <f t="shared" ref="CD338:CD371" si="214">SUMIF(CA338:CC338,"&lt;0")</f>
        <v>-707</v>
      </c>
      <c r="CE338" s="102">
        <f t="shared" ref="CE338:CE371" si="215">CD338/L338</f>
        <v>-1</v>
      </c>
      <c r="CF338" s="36"/>
      <c r="CG338" s="39" t="s">
        <v>243</v>
      </c>
      <c r="CH338" s="39"/>
      <c r="CI338" s="25">
        <v>3</v>
      </c>
    </row>
    <row r="339" spans="1:87" ht="24.75" customHeight="1">
      <c r="A339" s="36" t="s">
        <v>51</v>
      </c>
      <c r="B339" s="28" t="s">
        <v>2833</v>
      </c>
      <c r="C339" s="240"/>
      <c r="D339" s="36"/>
      <c r="E339" s="39">
        <v>150</v>
      </c>
      <c r="F339" s="39" t="s">
        <v>65</v>
      </c>
      <c r="G339" s="36" t="s">
        <v>2835</v>
      </c>
      <c r="H339" s="36" t="s">
        <v>22</v>
      </c>
      <c r="I339" s="39">
        <v>707</v>
      </c>
      <c r="J339" s="39"/>
      <c r="K339" s="39"/>
      <c r="L339" s="39">
        <f t="shared" ref="L339:L343" si="216">SUM(I339:K339)</f>
        <v>707</v>
      </c>
      <c r="M339" s="117">
        <v>46273</v>
      </c>
      <c r="N339" s="117">
        <v>46285</v>
      </c>
      <c r="O339" s="39"/>
      <c r="P339" s="39"/>
      <c r="Q339" s="39"/>
      <c r="R339" s="39">
        <f t="shared" si="203"/>
        <v>0</v>
      </c>
      <c r="S339" s="39" t="s">
        <v>2997</v>
      </c>
      <c r="T339" s="39"/>
      <c r="U339" s="39"/>
      <c r="V339" s="39"/>
      <c r="W339" s="39"/>
      <c r="X339" s="39"/>
      <c r="Y339" s="39"/>
      <c r="Z339" s="39"/>
      <c r="AA339" s="39"/>
      <c r="AB339" s="118">
        <f t="shared" si="195"/>
        <v>0</v>
      </c>
      <c r="AC339" s="39"/>
      <c r="AD339" s="39"/>
      <c r="AE339" s="39"/>
      <c r="AF339" s="39"/>
      <c r="AG339" s="39"/>
      <c r="AH339" s="39">
        <f t="shared" si="204"/>
        <v>0</v>
      </c>
      <c r="AI339" s="39"/>
      <c r="AJ339" s="39"/>
      <c r="AK339" s="39"/>
      <c r="AL339" s="39"/>
      <c r="AM339" s="39"/>
      <c r="AN339" s="39">
        <f t="shared" si="198"/>
        <v>0</v>
      </c>
      <c r="AO339" s="39"/>
      <c r="AP339" s="39"/>
      <c r="AQ339" s="39"/>
      <c r="AR339" s="39"/>
      <c r="AS339" s="39"/>
      <c r="AT339" s="39">
        <f t="shared" si="205"/>
        <v>0</v>
      </c>
      <c r="AU339" s="39"/>
      <c r="AV339" s="39"/>
      <c r="AW339" s="39"/>
      <c r="AX339" s="39"/>
      <c r="AY339" s="39"/>
      <c r="AZ339" s="39">
        <f t="shared" si="206"/>
        <v>0</v>
      </c>
      <c r="BA339" s="39"/>
      <c r="BB339" s="39"/>
      <c r="BC339" s="39"/>
      <c r="BD339" s="39"/>
      <c r="BE339" s="39"/>
      <c r="BF339" s="39">
        <f t="shared" si="207"/>
        <v>0</v>
      </c>
      <c r="BG339" s="39"/>
      <c r="BH339" s="39"/>
      <c r="BI339" s="39"/>
      <c r="BJ339" s="39"/>
      <c r="BK339" s="39"/>
      <c r="BL339" s="39">
        <f t="shared" si="208"/>
        <v>0</v>
      </c>
      <c r="BM339" s="54">
        <f t="shared" ca="1" si="209"/>
        <v>46283</v>
      </c>
      <c r="BN339" s="62">
        <v>46287</v>
      </c>
      <c r="BO339" s="117">
        <v>46307</v>
      </c>
      <c r="BP339" s="39"/>
      <c r="BQ339" s="39"/>
      <c r="BR339" s="39"/>
      <c r="BS339" s="39"/>
      <c r="BT339" s="39"/>
      <c r="BU339" s="39"/>
      <c r="BV339" s="39"/>
      <c r="BW339" s="39"/>
      <c r="BX339" s="39"/>
      <c r="BY339" s="39"/>
      <c r="BZ339" s="39">
        <f t="shared" si="210"/>
        <v>0</v>
      </c>
      <c r="CA339" s="39">
        <f t="shared" si="211"/>
        <v>-707</v>
      </c>
      <c r="CB339" s="39">
        <f t="shared" si="212"/>
        <v>0</v>
      </c>
      <c r="CC339" s="39">
        <f t="shared" si="213"/>
        <v>0</v>
      </c>
      <c r="CD339" s="39">
        <f t="shared" si="214"/>
        <v>-707</v>
      </c>
      <c r="CE339" s="102">
        <f t="shared" si="215"/>
        <v>-1</v>
      </c>
      <c r="CF339" s="36"/>
      <c r="CG339" s="39" t="s">
        <v>243</v>
      </c>
      <c r="CH339" s="39"/>
      <c r="CI339" s="25">
        <v>3</v>
      </c>
    </row>
    <row r="340" spans="1:87" ht="24.75" customHeight="1">
      <c r="A340" s="36" t="s">
        <v>51</v>
      </c>
      <c r="B340" s="28" t="s">
        <v>2833</v>
      </c>
      <c r="C340" s="240"/>
      <c r="D340" s="36"/>
      <c r="E340" s="39">
        <v>150</v>
      </c>
      <c r="F340" s="39" t="s">
        <v>65</v>
      </c>
      <c r="G340" s="36" t="s">
        <v>1016</v>
      </c>
      <c r="H340" s="36" t="s">
        <v>22</v>
      </c>
      <c r="I340" s="39">
        <v>707</v>
      </c>
      <c r="J340" s="39"/>
      <c r="K340" s="39"/>
      <c r="L340" s="39">
        <f t="shared" si="216"/>
        <v>707</v>
      </c>
      <c r="M340" s="117">
        <v>46273</v>
      </c>
      <c r="N340" s="117">
        <v>46285</v>
      </c>
      <c r="O340" s="39"/>
      <c r="P340" s="39"/>
      <c r="Q340" s="39"/>
      <c r="R340" s="39">
        <f t="shared" si="203"/>
        <v>0</v>
      </c>
      <c r="S340" s="39" t="s">
        <v>2997</v>
      </c>
      <c r="T340" s="39"/>
      <c r="U340" s="39"/>
      <c r="V340" s="39"/>
      <c r="W340" s="39"/>
      <c r="X340" s="39"/>
      <c r="Y340" s="39"/>
      <c r="Z340" s="39"/>
      <c r="AA340" s="39"/>
      <c r="AB340" s="118">
        <f t="shared" si="195"/>
        <v>0</v>
      </c>
      <c r="AC340" s="39"/>
      <c r="AD340" s="39"/>
      <c r="AE340" s="39"/>
      <c r="AF340" s="39"/>
      <c r="AG340" s="39"/>
      <c r="AH340" s="39">
        <f t="shared" si="204"/>
        <v>0</v>
      </c>
      <c r="AI340" s="39"/>
      <c r="AJ340" s="39"/>
      <c r="AK340" s="39"/>
      <c r="AL340" s="39"/>
      <c r="AM340" s="39"/>
      <c r="AN340" s="39">
        <f t="shared" si="198"/>
        <v>0</v>
      </c>
      <c r="AO340" s="39"/>
      <c r="AP340" s="39"/>
      <c r="AQ340" s="39"/>
      <c r="AR340" s="39"/>
      <c r="AS340" s="39"/>
      <c r="AT340" s="39">
        <f t="shared" si="205"/>
        <v>0</v>
      </c>
      <c r="AU340" s="39"/>
      <c r="AV340" s="39"/>
      <c r="AW340" s="39"/>
      <c r="AX340" s="39"/>
      <c r="AY340" s="39"/>
      <c r="AZ340" s="39">
        <f t="shared" si="206"/>
        <v>0</v>
      </c>
      <c r="BA340" s="39"/>
      <c r="BB340" s="39"/>
      <c r="BC340" s="39"/>
      <c r="BD340" s="39"/>
      <c r="BE340" s="39"/>
      <c r="BF340" s="39">
        <f t="shared" si="207"/>
        <v>0</v>
      </c>
      <c r="BG340" s="39"/>
      <c r="BH340" s="39"/>
      <c r="BI340" s="39"/>
      <c r="BJ340" s="39"/>
      <c r="BK340" s="39"/>
      <c r="BL340" s="39">
        <f t="shared" si="208"/>
        <v>0</v>
      </c>
      <c r="BM340" s="54">
        <f t="shared" ca="1" si="209"/>
        <v>46283</v>
      </c>
      <c r="BN340" s="62">
        <v>46287</v>
      </c>
      <c r="BO340" s="117">
        <v>46307</v>
      </c>
      <c r="BP340" s="39"/>
      <c r="BQ340" s="39"/>
      <c r="BR340" s="39"/>
      <c r="BS340" s="39"/>
      <c r="BT340" s="39"/>
      <c r="BU340" s="39"/>
      <c r="BV340" s="39"/>
      <c r="BW340" s="39"/>
      <c r="BX340" s="39"/>
      <c r="BY340" s="39"/>
      <c r="BZ340" s="39">
        <f t="shared" si="210"/>
        <v>0</v>
      </c>
      <c r="CA340" s="39">
        <f t="shared" si="211"/>
        <v>-707</v>
      </c>
      <c r="CB340" s="39">
        <f t="shared" si="212"/>
        <v>0</v>
      </c>
      <c r="CC340" s="39">
        <f t="shared" si="213"/>
        <v>0</v>
      </c>
      <c r="CD340" s="39">
        <f t="shared" si="214"/>
        <v>-707</v>
      </c>
      <c r="CE340" s="102">
        <f t="shared" si="215"/>
        <v>-1</v>
      </c>
      <c r="CF340" s="36"/>
      <c r="CG340" s="39" t="s">
        <v>243</v>
      </c>
      <c r="CH340" s="39"/>
      <c r="CI340" s="25">
        <v>3</v>
      </c>
    </row>
    <row r="341" spans="1:87" ht="24.75" customHeight="1">
      <c r="A341" s="36" t="s">
        <v>51</v>
      </c>
      <c r="B341" s="28" t="s">
        <v>2833</v>
      </c>
      <c r="C341" s="240"/>
      <c r="D341" s="36"/>
      <c r="E341" s="39">
        <v>150</v>
      </c>
      <c r="F341" s="39" t="s">
        <v>65</v>
      </c>
      <c r="G341" s="36" t="s">
        <v>2836</v>
      </c>
      <c r="H341" s="36" t="s">
        <v>22</v>
      </c>
      <c r="I341" s="39">
        <v>556</v>
      </c>
      <c r="J341" s="39"/>
      <c r="K341" s="39"/>
      <c r="L341" s="39">
        <f t="shared" si="216"/>
        <v>556</v>
      </c>
      <c r="M341" s="117">
        <v>46273</v>
      </c>
      <c r="N341" s="117">
        <v>46285</v>
      </c>
      <c r="O341" s="39"/>
      <c r="P341" s="39"/>
      <c r="Q341" s="39"/>
      <c r="R341" s="39">
        <f t="shared" si="203"/>
        <v>0</v>
      </c>
      <c r="S341" s="39" t="s">
        <v>2997</v>
      </c>
      <c r="T341" s="39"/>
      <c r="U341" s="39"/>
      <c r="V341" s="39"/>
      <c r="W341" s="39"/>
      <c r="X341" s="39"/>
      <c r="Y341" s="39"/>
      <c r="Z341" s="39"/>
      <c r="AA341" s="39"/>
      <c r="AB341" s="118">
        <f t="shared" si="195"/>
        <v>0</v>
      </c>
      <c r="AC341" s="39"/>
      <c r="AD341" s="39"/>
      <c r="AE341" s="39"/>
      <c r="AF341" s="39"/>
      <c r="AG341" s="39"/>
      <c r="AH341" s="39">
        <f t="shared" si="204"/>
        <v>0</v>
      </c>
      <c r="AI341" s="39"/>
      <c r="AJ341" s="39"/>
      <c r="AK341" s="39"/>
      <c r="AL341" s="39"/>
      <c r="AM341" s="39"/>
      <c r="AN341" s="39">
        <f t="shared" si="198"/>
        <v>0</v>
      </c>
      <c r="AO341" s="39"/>
      <c r="AP341" s="39"/>
      <c r="AQ341" s="39"/>
      <c r="AR341" s="39"/>
      <c r="AS341" s="39"/>
      <c r="AT341" s="39">
        <f t="shared" si="205"/>
        <v>0</v>
      </c>
      <c r="AU341" s="39"/>
      <c r="AV341" s="39"/>
      <c r="AW341" s="39"/>
      <c r="AX341" s="39"/>
      <c r="AY341" s="39"/>
      <c r="AZ341" s="39">
        <f t="shared" si="206"/>
        <v>0</v>
      </c>
      <c r="BA341" s="39"/>
      <c r="BB341" s="39"/>
      <c r="BC341" s="39"/>
      <c r="BD341" s="39"/>
      <c r="BE341" s="39"/>
      <c r="BF341" s="39">
        <f t="shared" si="207"/>
        <v>0</v>
      </c>
      <c r="BG341" s="39"/>
      <c r="BH341" s="39"/>
      <c r="BI341" s="39"/>
      <c r="BJ341" s="39"/>
      <c r="BK341" s="39"/>
      <c r="BL341" s="39">
        <f t="shared" si="208"/>
        <v>0</v>
      </c>
      <c r="BM341" s="54">
        <f t="shared" ca="1" si="209"/>
        <v>46283</v>
      </c>
      <c r="BN341" s="62">
        <v>46287</v>
      </c>
      <c r="BO341" s="117">
        <v>46307</v>
      </c>
      <c r="BP341" s="39"/>
      <c r="BQ341" s="39"/>
      <c r="BR341" s="39"/>
      <c r="BS341" s="39"/>
      <c r="BT341" s="39"/>
      <c r="BU341" s="39"/>
      <c r="BV341" s="39"/>
      <c r="BW341" s="39"/>
      <c r="BX341" s="39"/>
      <c r="BY341" s="39"/>
      <c r="BZ341" s="39">
        <f t="shared" si="210"/>
        <v>0</v>
      </c>
      <c r="CA341" s="39">
        <f t="shared" si="211"/>
        <v>-556</v>
      </c>
      <c r="CB341" s="39">
        <f t="shared" si="212"/>
        <v>0</v>
      </c>
      <c r="CC341" s="39">
        <f t="shared" si="213"/>
        <v>0</v>
      </c>
      <c r="CD341" s="39">
        <f t="shared" si="214"/>
        <v>-556</v>
      </c>
      <c r="CE341" s="102">
        <f t="shared" si="215"/>
        <v>-1</v>
      </c>
      <c r="CF341" s="36"/>
      <c r="CG341" s="39" t="s">
        <v>243</v>
      </c>
      <c r="CH341" s="39"/>
      <c r="CI341" s="25">
        <v>3</v>
      </c>
    </row>
    <row r="342" spans="1:87" ht="24.75" customHeight="1">
      <c r="A342" s="36" t="s">
        <v>51</v>
      </c>
      <c r="B342" s="28" t="s">
        <v>2833</v>
      </c>
      <c r="C342" s="240"/>
      <c r="D342" s="36"/>
      <c r="E342" s="39">
        <v>150</v>
      </c>
      <c r="F342" s="39" t="s">
        <v>65</v>
      </c>
      <c r="G342" s="36" t="s">
        <v>2837</v>
      </c>
      <c r="H342" s="36" t="s">
        <v>22</v>
      </c>
      <c r="I342" s="39">
        <v>556</v>
      </c>
      <c r="J342" s="39"/>
      <c r="K342" s="39"/>
      <c r="L342" s="39">
        <f t="shared" si="216"/>
        <v>556</v>
      </c>
      <c r="M342" s="117">
        <v>46273</v>
      </c>
      <c r="N342" s="117">
        <v>46285</v>
      </c>
      <c r="O342" s="39"/>
      <c r="P342" s="39"/>
      <c r="Q342" s="39"/>
      <c r="R342" s="39">
        <f t="shared" si="203"/>
        <v>0</v>
      </c>
      <c r="S342" s="39" t="s">
        <v>2997</v>
      </c>
      <c r="T342" s="39"/>
      <c r="U342" s="39"/>
      <c r="V342" s="39"/>
      <c r="W342" s="39"/>
      <c r="X342" s="39"/>
      <c r="Y342" s="39"/>
      <c r="Z342" s="39"/>
      <c r="AA342" s="39"/>
      <c r="AB342" s="118">
        <f t="shared" si="195"/>
        <v>0</v>
      </c>
      <c r="AC342" s="39"/>
      <c r="AD342" s="39"/>
      <c r="AE342" s="39"/>
      <c r="AF342" s="39"/>
      <c r="AG342" s="39"/>
      <c r="AH342" s="39">
        <f t="shared" si="204"/>
        <v>0</v>
      </c>
      <c r="AI342" s="39"/>
      <c r="AJ342" s="39"/>
      <c r="AK342" s="39"/>
      <c r="AL342" s="39"/>
      <c r="AM342" s="39"/>
      <c r="AN342" s="39">
        <f t="shared" si="198"/>
        <v>0</v>
      </c>
      <c r="AO342" s="39"/>
      <c r="AP342" s="39"/>
      <c r="AQ342" s="39"/>
      <c r="AR342" s="39"/>
      <c r="AS342" s="39"/>
      <c r="AT342" s="39">
        <f t="shared" si="205"/>
        <v>0</v>
      </c>
      <c r="AU342" s="39"/>
      <c r="AV342" s="39"/>
      <c r="AW342" s="39"/>
      <c r="AX342" s="39"/>
      <c r="AY342" s="39"/>
      <c r="AZ342" s="39">
        <f t="shared" si="206"/>
        <v>0</v>
      </c>
      <c r="BA342" s="39"/>
      <c r="BB342" s="39"/>
      <c r="BC342" s="39"/>
      <c r="BD342" s="39"/>
      <c r="BE342" s="39"/>
      <c r="BF342" s="39">
        <f t="shared" si="207"/>
        <v>0</v>
      </c>
      <c r="BG342" s="39"/>
      <c r="BH342" s="39"/>
      <c r="BI342" s="39"/>
      <c r="BJ342" s="39"/>
      <c r="BK342" s="39"/>
      <c r="BL342" s="39">
        <f t="shared" si="208"/>
        <v>0</v>
      </c>
      <c r="BM342" s="54">
        <f t="shared" ca="1" si="209"/>
        <v>46283</v>
      </c>
      <c r="BN342" s="62">
        <v>46287</v>
      </c>
      <c r="BO342" s="117">
        <v>46307</v>
      </c>
      <c r="BP342" s="39"/>
      <c r="BQ342" s="39"/>
      <c r="BR342" s="39"/>
      <c r="BS342" s="39"/>
      <c r="BT342" s="39"/>
      <c r="BU342" s="39"/>
      <c r="BV342" s="39"/>
      <c r="BW342" s="39"/>
      <c r="BX342" s="39"/>
      <c r="BY342" s="39"/>
      <c r="BZ342" s="39">
        <f t="shared" si="210"/>
        <v>0</v>
      </c>
      <c r="CA342" s="39">
        <f t="shared" si="211"/>
        <v>-556</v>
      </c>
      <c r="CB342" s="39">
        <f t="shared" si="212"/>
        <v>0</v>
      </c>
      <c r="CC342" s="39">
        <f t="shared" si="213"/>
        <v>0</v>
      </c>
      <c r="CD342" s="39">
        <f t="shared" si="214"/>
        <v>-556</v>
      </c>
      <c r="CE342" s="102">
        <f t="shared" si="215"/>
        <v>-1</v>
      </c>
      <c r="CF342" s="36"/>
      <c r="CG342" s="39" t="s">
        <v>243</v>
      </c>
      <c r="CH342" s="39"/>
      <c r="CI342" s="25">
        <v>3</v>
      </c>
    </row>
    <row r="343" spans="1:87" ht="24.75" customHeight="1">
      <c r="A343" s="36" t="s">
        <v>51</v>
      </c>
      <c r="B343" s="28" t="s">
        <v>2833</v>
      </c>
      <c r="C343" s="240"/>
      <c r="D343" s="36"/>
      <c r="E343" s="39">
        <v>150</v>
      </c>
      <c r="F343" s="39" t="s">
        <v>65</v>
      </c>
      <c r="G343" s="36" t="s">
        <v>1666</v>
      </c>
      <c r="H343" s="36" t="s">
        <v>22</v>
      </c>
      <c r="I343" s="39">
        <v>556</v>
      </c>
      <c r="J343" s="39"/>
      <c r="K343" s="39"/>
      <c r="L343" s="39">
        <f t="shared" si="216"/>
        <v>556</v>
      </c>
      <c r="M343" s="117">
        <v>46273</v>
      </c>
      <c r="N343" s="117">
        <v>46285</v>
      </c>
      <c r="O343" s="39"/>
      <c r="P343" s="39"/>
      <c r="Q343" s="39"/>
      <c r="R343" s="39">
        <f t="shared" si="203"/>
        <v>0</v>
      </c>
      <c r="S343" s="39" t="s">
        <v>2997</v>
      </c>
      <c r="T343" s="39"/>
      <c r="U343" s="39"/>
      <c r="V343" s="39"/>
      <c r="W343" s="39"/>
      <c r="X343" s="39"/>
      <c r="Y343" s="39"/>
      <c r="Z343" s="39"/>
      <c r="AA343" s="39"/>
      <c r="AB343" s="118">
        <f t="shared" si="195"/>
        <v>0</v>
      </c>
      <c r="AC343" s="39"/>
      <c r="AD343" s="39"/>
      <c r="AE343" s="39"/>
      <c r="AF343" s="39"/>
      <c r="AG343" s="39"/>
      <c r="AH343" s="39">
        <f t="shared" si="204"/>
        <v>0</v>
      </c>
      <c r="AI343" s="39"/>
      <c r="AJ343" s="39"/>
      <c r="AK343" s="39"/>
      <c r="AL343" s="39"/>
      <c r="AM343" s="39"/>
      <c r="AN343" s="39">
        <f t="shared" si="198"/>
        <v>0</v>
      </c>
      <c r="AO343" s="39"/>
      <c r="AP343" s="39"/>
      <c r="AQ343" s="39"/>
      <c r="AR343" s="39"/>
      <c r="AS343" s="39"/>
      <c r="AT343" s="39">
        <f t="shared" si="205"/>
        <v>0</v>
      </c>
      <c r="AU343" s="39"/>
      <c r="AV343" s="39"/>
      <c r="AW343" s="39"/>
      <c r="AX343" s="39"/>
      <c r="AY343" s="39"/>
      <c r="AZ343" s="39">
        <f t="shared" si="206"/>
        <v>0</v>
      </c>
      <c r="BA343" s="39"/>
      <c r="BB343" s="39"/>
      <c r="BC343" s="39"/>
      <c r="BD343" s="39"/>
      <c r="BE343" s="39"/>
      <c r="BF343" s="39">
        <f t="shared" si="207"/>
        <v>0</v>
      </c>
      <c r="BG343" s="39"/>
      <c r="BH343" s="39"/>
      <c r="BI343" s="39"/>
      <c r="BJ343" s="39"/>
      <c r="BK343" s="39"/>
      <c r="BL343" s="39">
        <f t="shared" si="208"/>
        <v>0</v>
      </c>
      <c r="BM343" s="54">
        <f t="shared" ca="1" si="209"/>
        <v>46283</v>
      </c>
      <c r="BN343" s="62">
        <v>46287</v>
      </c>
      <c r="BO343" s="117">
        <v>46307</v>
      </c>
      <c r="BP343" s="39"/>
      <c r="BQ343" s="39"/>
      <c r="BR343" s="39"/>
      <c r="BS343" s="39"/>
      <c r="BT343" s="39"/>
      <c r="BU343" s="39"/>
      <c r="BV343" s="39"/>
      <c r="BW343" s="39"/>
      <c r="BX343" s="39"/>
      <c r="BY343" s="39"/>
      <c r="BZ343" s="39">
        <f t="shared" si="210"/>
        <v>0</v>
      </c>
      <c r="CA343" s="39">
        <f t="shared" si="211"/>
        <v>-556</v>
      </c>
      <c r="CB343" s="39">
        <f t="shared" si="212"/>
        <v>0</v>
      </c>
      <c r="CC343" s="39">
        <f t="shared" si="213"/>
        <v>0</v>
      </c>
      <c r="CD343" s="39">
        <f t="shared" si="214"/>
        <v>-556</v>
      </c>
      <c r="CE343" s="102">
        <f t="shared" si="215"/>
        <v>-1</v>
      </c>
      <c r="CF343" s="36"/>
      <c r="CG343" s="39" t="s">
        <v>243</v>
      </c>
      <c r="CH343" s="39"/>
      <c r="CI343" s="25">
        <v>3</v>
      </c>
    </row>
    <row r="344" spans="1:87" ht="24.75" customHeight="1">
      <c r="A344" s="36" t="s">
        <v>51</v>
      </c>
      <c r="B344" s="28" t="s">
        <v>2833</v>
      </c>
      <c r="C344" s="240"/>
      <c r="D344" s="36"/>
      <c r="E344" s="39">
        <v>150</v>
      </c>
      <c r="F344" s="39" t="s">
        <v>65</v>
      </c>
      <c r="G344" s="36" t="s">
        <v>93</v>
      </c>
      <c r="H344" s="36" t="s">
        <v>22</v>
      </c>
      <c r="I344" s="39">
        <v>556</v>
      </c>
      <c r="J344" s="39"/>
      <c r="K344" s="39"/>
      <c r="L344" s="39">
        <f t="shared" ref="L344:L354" si="217">SUM(I344:K344)</f>
        <v>556</v>
      </c>
      <c r="M344" s="117">
        <v>46273</v>
      </c>
      <c r="N344" s="117">
        <v>46285</v>
      </c>
      <c r="O344" s="39"/>
      <c r="P344" s="39"/>
      <c r="Q344" s="39"/>
      <c r="R344" s="39">
        <f t="shared" si="203"/>
        <v>0</v>
      </c>
      <c r="S344" s="39" t="s">
        <v>326</v>
      </c>
      <c r="T344" s="39"/>
      <c r="U344" s="39"/>
      <c r="V344" s="117">
        <v>46281</v>
      </c>
      <c r="W344" s="39">
        <v>623</v>
      </c>
      <c r="X344" s="39"/>
      <c r="Y344" s="39"/>
      <c r="Z344" s="39"/>
      <c r="AA344" s="39"/>
      <c r="AB344" s="118">
        <f t="shared" si="195"/>
        <v>0</v>
      </c>
      <c r="AC344" s="39"/>
      <c r="AD344" s="39"/>
      <c r="AE344" s="39"/>
      <c r="AF344" s="39"/>
      <c r="AG344" s="39"/>
      <c r="AH344" s="39">
        <f t="shared" si="204"/>
        <v>0</v>
      </c>
      <c r="AI344" s="39"/>
      <c r="AJ344" s="39"/>
      <c r="AK344" s="39"/>
      <c r="AL344" s="39"/>
      <c r="AM344" s="39"/>
      <c r="AN344" s="39">
        <f t="shared" si="198"/>
        <v>0</v>
      </c>
      <c r="AO344" s="39"/>
      <c r="AP344" s="39"/>
      <c r="AQ344" s="39"/>
      <c r="AR344" s="39"/>
      <c r="AS344" s="39"/>
      <c r="AT344" s="39">
        <f t="shared" si="205"/>
        <v>0</v>
      </c>
      <c r="AU344" s="39"/>
      <c r="AV344" s="39"/>
      <c r="AW344" s="39"/>
      <c r="AX344" s="39"/>
      <c r="AY344" s="39"/>
      <c r="AZ344" s="39">
        <f t="shared" si="206"/>
        <v>0</v>
      </c>
      <c r="BA344" s="39"/>
      <c r="BB344" s="39"/>
      <c r="BC344" s="39"/>
      <c r="BD344" s="39"/>
      <c r="BE344" s="39"/>
      <c r="BF344" s="39">
        <f t="shared" si="207"/>
        <v>0</v>
      </c>
      <c r="BG344" s="39"/>
      <c r="BH344" s="39"/>
      <c r="BI344" s="39"/>
      <c r="BJ344" s="39"/>
      <c r="BK344" s="39"/>
      <c r="BL344" s="39">
        <f t="shared" si="208"/>
        <v>0</v>
      </c>
      <c r="BM344" s="54">
        <f t="shared" ca="1" si="209"/>
        <v>46283</v>
      </c>
      <c r="BN344" s="62">
        <v>46287</v>
      </c>
      <c r="BO344" s="117">
        <v>46307</v>
      </c>
      <c r="BP344" s="39"/>
      <c r="BQ344" s="39"/>
      <c r="BR344" s="39"/>
      <c r="BS344" s="39"/>
      <c r="BT344" s="39"/>
      <c r="BU344" s="39"/>
      <c r="BV344" s="39"/>
      <c r="BW344" s="39"/>
      <c r="BX344" s="39"/>
      <c r="BY344" s="39"/>
      <c r="BZ344" s="39">
        <f t="shared" si="210"/>
        <v>0</v>
      </c>
      <c r="CA344" s="39">
        <f t="shared" si="211"/>
        <v>-556</v>
      </c>
      <c r="CB344" s="39">
        <f t="shared" si="212"/>
        <v>0</v>
      </c>
      <c r="CC344" s="39">
        <f t="shared" si="213"/>
        <v>0</v>
      </c>
      <c r="CD344" s="39">
        <f t="shared" si="214"/>
        <v>-556</v>
      </c>
      <c r="CE344" s="102">
        <f t="shared" si="215"/>
        <v>-1</v>
      </c>
      <c r="CF344" s="36"/>
      <c r="CG344" s="39" t="s">
        <v>243</v>
      </c>
      <c r="CH344" s="39"/>
      <c r="CI344" s="25">
        <v>3</v>
      </c>
    </row>
    <row r="345" spans="1:87" ht="24.75" customHeight="1">
      <c r="A345" s="36" t="s">
        <v>51</v>
      </c>
      <c r="B345" s="28" t="s">
        <v>2833</v>
      </c>
      <c r="C345" s="236"/>
      <c r="D345" s="36"/>
      <c r="E345" s="39">
        <v>150</v>
      </c>
      <c r="F345" s="39" t="s">
        <v>65</v>
      </c>
      <c r="G345" s="36" t="s">
        <v>2838</v>
      </c>
      <c r="H345" s="36" t="s">
        <v>22</v>
      </c>
      <c r="I345" s="39">
        <v>556</v>
      </c>
      <c r="J345" s="39"/>
      <c r="K345" s="39"/>
      <c r="L345" s="39">
        <f t="shared" si="217"/>
        <v>556</v>
      </c>
      <c r="M345" s="117">
        <v>46273</v>
      </c>
      <c r="N345" s="117">
        <v>46285</v>
      </c>
      <c r="O345" s="39"/>
      <c r="P345" s="39"/>
      <c r="Q345" s="39"/>
      <c r="R345" s="39">
        <f t="shared" si="203"/>
        <v>0</v>
      </c>
      <c r="S345" s="39" t="s">
        <v>2997</v>
      </c>
      <c r="T345" s="39"/>
      <c r="U345" s="39"/>
      <c r="V345" s="39"/>
      <c r="W345" s="39"/>
      <c r="X345" s="39"/>
      <c r="Y345" s="39"/>
      <c r="Z345" s="39"/>
      <c r="AA345" s="39"/>
      <c r="AB345" s="118">
        <f t="shared" si="195"/>
        <v>0</v>
      </c>
      <c r="AC345" s="39"/>
      <c r="AD345" s="39"/>
      <c r="AE345" s="39"/>
      <c r="AF345" s="39"/>
      <c r="AG345" s="39"/>
      <c r="AH345" s="39">
        <f t="shared" si="204"/>
        <v>0</v>
      </c>
      <c r="AI345" s="39"/>
      <c r="AJ345" s="39"/>
      <c r="AK345" s="39"/>
      <c r="AL345" s="39"/>
      <c r="AM345" s="39"/>
      <c r="AN345" s="39">
        <f t="shared" si="198"/>
        <v>0</v>
      </c>
      <c r="AO345" s="39"/>
      <c r="AP345" s="39"/>
      <c r="AQ345" s="39"/>
      <c r="AR345" s="39"/>
      <c r="AS345" s="39"/>
      <c r="AT345" s="39">
        <f t="shared" si="205"/>
        <v>0</v>
      </c>
      <c r="AU345" s="39"/>
      <c r="AV345" s="39"/>
      <c r="AW345" s="39"/>
      <c r="AX345" s="39"/>
      <c r="AY345" s="39"/>
      <c r="AZ345" s="39">
        <f t="shared" si="206"/>
        <v>0</v>
      </c>
      <c r="BA345" s="39"/>
      <c r="BB345" s="39"/>
      <c r="BC345" s="39"/>
      <c r="BD345" s="39"/>
      <c r="BE345" s="39"/>
      <c r="BF345" s="39">
        <f t="shared" si="207"/>
        <v>0</v>
      </c>
      <c r="BG345" s="39"/>
      <c r="BH345" s="39"/>
      <c r="BI345" s="39"/>
      <c r="BJ345" s="39"/>
      <c r="BK345" s="39"/>
      <c r="BL345" s="39">
        <f t="shared" si="208"/>
        <v>0</v>
      </c>
      <c r="BM345" s="54">
        <f t="shared" ca="1" si="209"/>
        <v>46283</v>
      </c>
      <c r="BN345" s="62">
        <v>46287</v>
      </c>
      <c r="BO345" s="117">
        <v>46307</v>
      </c>
      <c r="BP345" s="39"/>
      <c r="BQ345" s="39"/>
      <c r="BR345" s="39"/>
      <c r="BS345" s="39"/>
      <c r="BT345" s="39"/>
      <c r="BU345" s="39"/>
      <c r="BV345" s="39"/>
      <c r="BW345" s="39"/>
      <c r="BX345" s="39"/>
      <c r="BY345" s="39"/>
      <c r="BZ345" s="39">
        <f t="shared" si="210"/>
        <v>0</v>
      </c>
      <c r="CA345" s="39">
        <f t="shared" si="211"/>
        <v>-556</v>
      </c>
      <c r="CB345" s="39">
        <f t="shared" si="212"/>
        <v>0</v>
      </c>
      <c r="CC345" s="39">
        <f t="shared" si="213"/>
        <v>0</v>
      </c>
      <c r="CD345" s="39">
        <f t="shared" si="214"/>
        <v>-556</v>
      </c>
      <c r="CE345" s="102">
        <f t="shared" si="215"/>
        <v>-1</v>
      </c>
      <c r="CF345" s="36"/>
      <c r="CG345" s="39" t="s">
        <v>243</v>
      </c>
      <c r="CH345" s="39"/>
      <c r="CI345" s="25">
        <v>3</v>
      </c>
    </row>
    <row r="346" spans="1:87" ht="24.75" customHeight="1">
      <c r="A346" s="36" t="s">
        <v>51</v>
      </c>
      <c r="B346" s="28" t="s">
        <v>2839</v>
      </c>
      <c r="C346" s="235" t="s">
        <v>2923</v>
      </c>
      <c r="D346" s="36"/>
      <c r="E346" s="39">
        <v>150</v>
      </c>
      <c r="F346" s="39" t="s">
        <v>65</v>
      </c>
      <c r="G346" s="36" t="s">
        <v>2840</v>
      </c>
      <c r="H346" s="36" t="s">
        <v>22</v>
      </c>
      <c r="I346" s="39">
        <v>299</v>
      </c>
      <c r="J346" s="39"/>
      <c r="K346" s="39"/>
      <c r="L346" s="39">
        <f t="shared" si="217"/>
        <v>299</v>
      </c>
      <c r="M346" s="117">
        <v>46273</v>
      </c>
      <c r="N346" s="117">
        <v>46283</v>
      </c>
      <c r="O346" s="39"/>
      <c r="P346" s="39"/>
      <c r="Q346" s="39"/>
      <c r="R346" s="39">
        <f t="shared" ref="R346:R354" si="218">SUM(O346:Q346)</f>
        <v>0</v>
      </c>
      <c r="S346" s="39" t="s">
        <v>2997</v>
      </c>
      <c r="T346" s="39"/>
      <c r="U346" s="39"/>
      <c r="V346" s="39"/>
      <c r="W346" s="39"/>
      <c r="X346" s="39"/>
      <c r="Y346" s="39"/>
      <c r="Z346" s="39"/>
      <c r="AA346" s="39"/>
      <c r="AB346" s="118">
        <f t="shared" si="195"/>
        <v>0</v>
      </c>
      <c r="AC346" s="39"/>
      <c r="AD346" s="39"/>
      <c r="AE346" s="39"/>
      <c r="AF346" s="39"/>
      <c r="AG346" s="39"/>
      <c r="AH346" s="39">
        <f t="shared" si="204"/>
        <v>0</v>
      </c>
      <c r="AI346" s="39"/>
      <c r="AJ346" s="39"/>
      <c r="AK346" s="39"/>
      <c r="AL346" s="39"/>
      <c r="AM346" s="39"/>
      <c r="AN346" s="39">
        <f t="shared" si="198"/>
        <v>0</v>
      </c>
      <c r="AO346" s="39"/>
      <c r="AP346" s="39"/>
      <c r="AQ346" s="39"/>
      <c r="AR346" s="39"/>
      <c r="AS346" s="39"/>
      <c r="AT346" s="39">
        <f t="shared" si="205"/>
        <v>0</v>
      </c>
      <c r="AU346" s="39"/>
      <c r="AV346" s="39"/>
      <c r="AW346" s="39"/>
      <c r="AX346" s="39"/>
      <c r="AY346" s="39"/>
      <c r="AZ346" s="39">
        <f t="shared" si="206"/>
        <v>0</v>
      </c>
      <c r="BA346" s="39"/>
      <c r="BB346" s="39"/>
      <c r="BC346" s="39"/>
      <c r="BD346" s="39"/>
      <c r="BE346" s="39"/>
      <c r="BF346" s="39">
        <f t="shared" si="207"/>
        <v>0</v>
      </c>
      <c r="BG346" s="39"/>
      <c r="BH346" s="39"/>
      <c r="BI346" s="39"/>
      <c r="BJ346" s="39"/>
      <c r="BK346" s="39"/>
      <c r="BL346" s="39">
        <f t="shared" si="208"/>
        <v>0</v>
      </c>
      <c r="BM346" s="54">
        <f t="shared" ca="1" si="209"/>
        <v>46283</v>
      </c>
      <c r="BN346" s="62">
        <v>46287</v>
      </c>
      <c r="BO346" s="117">
        <v>46307</v>
      </c>
      <c r="BP346" s="39"/>
      <c r="BQ346" s="39"/>
      <c r="BR346" s="39"/>
      <c r="BS346" s="39"/>
      <c r="BT346" s="39"/>
      <c r="BU346" s="39"/>
      <c r="BV346" s="39"/>
      <c r="BW346" s="39"/>
      <c r="BX346" s="39"/>
      <c r="BY346" s="39"/>
      <c r="BZ346" s="39">
        <f t="shared" si="210"/>
        <v>0</v>
      </c>
      <c r="CA346" s="39">
        <f t="shared" si="211"/>
        <v>-299</v>
      </c>
      <c r="CB346" s="39">
        <f t="shared" si="212"/>
        <v>0</v>
      </c>
      <c r="CC346" s="39">
        <f t="shared" si="213"/>
        <v>0</v>
      </c>
      <c r="CD346" s="39">
        <f t="shared" si="214"/>
        <v>-299</v>
      </c>
      <c r="CE346" s="102">
        <f t="shared" si="215"/>
        <v>-1</v>
      </c>
      <c r="CF346" s="36"/>
      <c r="CG346" s="39" t="s">
        <v>243</v>
      </c>
      <c r="CH346" s="39"/>
      <c r="CI346" s="25">
        <v>3</v>
      </c>
    </row>
    <row r="347" spans="1:87" ht="24.75" customHeight="1">
      <c r="A347" s="36" t="s">
        <v>51</v>
      </c>
      <c r="B347" s="28" t="s">
        <v>2839</v>
      </c>
      <c r="C347" s="240"/>
      <c r="D347" s="36"/>
      <c r="E347" s="39">
        <v>150</v>
      </c>
      <c r="F347" s="39" t="s">
        <v>65</v>
      </c>
      <c r="G347" s="36" t="s">
        <v>2865</v>
      </c>
      <c r="H347" s="36" t="s">
        <v>22</v>
      </c>
      <c r="I347" s="39">
        <v>299</v>
      </c>
      <c r="J347" s="39"/>
      <c r="K347" s="39"/>
      <c r="L347" s="39">
        <f t="shared" si="217"/>
        <v>299</v>
      </c>
      <c r="M347" s="117">
        <v>46273</v>
      </c>
      <c r="N347" s="117">
        <v>46283</v>
      </c>
      <c r="O347" s="39"/>
      <c r="P347" s="39"/>
      <c r="Q347" s="39"/>
      <c r="R347" s="39">
        <f t="shared" si="218"/>
        <v>0</v>
      </c>
      <c r="S347" s="39" t="s">
        <v>31</v>
      </c>
      <c r="T347" s="39"/>
      <c r="U347" s="39"/>
      <c r="V347" s="117">
        <v>46279</v>
      </c>
      <c r="W347" s="39">
        <v>335</v>
      </c>
      <c r="X347" s="39"/>
      <c r="Y347" s="39"/>
      <c r="Z347" s="39"/>
      <c r="AA347" s="39"/>
      <c r="AB347" s="118">
        <f t="shared" si="195"/>
        <v>0</v>
      </c>
      <c r="AC347" s="39"/>
      <c r="AD347" s="39"/>
      <c r="AE347" s="39"/>
      <c r="AF347" s="39"/>
      <c r="AG347" s="39"/>
      <c r="AH347" s="39">
        <f t="shared" si="204"/>
        <v>0</v>
      </c>
      <c r="AI347" s="39"/>
      <c r="AJ347" s="39"/>
      <c r="AK347" s="39"/>
      <c r="AL347" s="39"/>
      <c r="AM347" s="39"/>
      <c r="AN347" s="39">
        <f t="shared" si="198"/>
        <v>0</v>
      </c>
      <c r="AO347" s="39"/>
      <c r="AP347" s="39"/>
      <c r="AQ347" s="39"/>
      <c r="AR347" s="39"/>
      <c r="AS347" s="39"/>
      <c r="AT347" s="39">
        <f t="shared" si="205"/>
        <v>0</v>
      </c>
      <c r="AU347" s="39"/>
      <c r="AV347" s="39"/>
      <c r="AW347" s="39"/>
      <c r="AX347" s="39"/>
      <c r="AY347" s="39"/>
      <c r="AZ347" s="39">
        <f t="shared" si="206"/>
        <v>0</v>
      </c>
      <c r="BA347" s="39"/>
      <c r="BB347" s="39"/>
      <c r="BC347" s="39"/>
      <c r="BD347" s="39"/>
      <c r="BE347" s="39"/>
      <c r="BF347" s="39">
        <f t="shared" si="207"/>
        <v>0</v>
      </c>
      <c r="BG347" s="39"/>
      <c r="BH347" s="39"/>
      <c r="BI347" s="39"/>
      <c r="BJ347" s="39"/>
      <c r="BK347" s="39"/>
      <c r="BL347" s="39">
        <f t="shared" si="208"/>
        <v>0</v>
      </c>
      <c r="BM347" s="54">
        <f t="shared" ca="1" si="209"/>
        <v>46283</v>
      </c>
      <c r="BN347" s="62">
        <v>46287</v>
      </c>
      <c r="BO347" s="117">
        <v>46307</v>
      </c>
      <c r="BP347" s="39"/>
      <c r="BQ347" s="39"/>
      <c r="BR347" s="39"/>
      <c r="BS347" s="39"/>
      <c r="BT347" s="39"/>
      <c r="BU347" s="39"/>
      <c r="BV347" s="39"/>
      <c r="BW347" s="39"/>
      <c r="BX347" s="39"/>
      <c r="BY347" s="39"/>
      <c r="BZ347" s="39">
        <f t="shared" si="210"/>
        <v>0</v>
      </c>
      <c r="CA347" s="39">
        <f t="shared" si="211"/>
        <v>-299</v>
      </c>
      <c r="CB347" s="39">
        <f t="shared" si="212"/>
        <v>0</v>
      </c>
      <c r="CC347" s="39">
        <f t="shared" si="213"/>
        <v>0</v>
      </c>
      <c r="CD347" s="39">
        <f t="shared" si="214"/>
        <v>-299</v>
      </c>
      <c r="CE347" s="102">
        <f t="shared" si="215"/>
        <v>-1</v>
      </c>
      <c r="CF347" s="36"/>
      <c r="CG347" s="39" t="s">
        <v>243</v>
      </c>
      <c r="CH347" s="39"/>
      <c r="CI347" s="25">
        <v>3</v>
      </c>
    </row>
    <row r="348" spans="1:87" ht="24.75" customHeight="1">
      <c r="A348" s="36" t="s">
        <v>51</v>
      </c>
      <c r="B348" s="28" t="s">
        <v>2839</v>
      </c>
      <c r="C348" s="240"/>
      <c r="D348" s="36"/>
      <c r="E348" s="39">
        <v>150</v>
      </c>
      <c r="F348" s="39" t="s">
        <v>65</v>
      </c>
      <c r="G348" s="36" t="s">
        <v>47</v>
      </c>
      <c r="H348" s="36" t="s">
        <v>22</v>
      </c>
      <c r="I348" s="39">
        <v>1535</v>
      </c>
      <c r="J348" s="39"/>
      <c r="K348" s="39"/>
      <c r="L348" s="39">
        <f t="shared" si="217"/>
        <v>1535</v>
      </c>
      <c r="M348" s="117">
        <v>46273</v>
      </c>
      <c r="N348" s="117">
        <v>46283</v>
      </c>
      <c r="O348" s="39"/>
      <c r="P348" s="39"/>
      <c r="Q348" s="39"/>
      <c r="R348" s="39">
        <f t="shared" si="218"/>
        <v>0</v>
      </c>
      <c r="S348" s="39" t="s">
        <v>130</v>
      </c>
      <c r="T348" s="39">
        <v>109489</v>
      </c>
      <c r="U348" s="117">
        <v>46281</v>
      </c>
      <c r="V348" s="39"/>
      <c r="W348" s="39"/>
      <c r="X348" s="39"/>
      <c r="Y348" s="39">
        <f>842</f>
        <v>842</v>
      </c>
      <c r="Z348" s="39"/>
      <c r="AA348" s="39"/>
      <c r="AB348" s="118">
        <f t="shared" si="195"/>
        <v>842</v>
      </c>
      <c r="AC348" s="39"/>
      <c r="AD348" s="39"/>
      <c r="AE348" s="39"/>
      <c r="AF348" s="39"/>
      <c r="AG348" s="39"/>
      <c r="AH348" s="39">
        <f t="shared" si="204"/>
        <v>0</v>
      </c>
      <c r="AI348" s="39"/>
      <c r="AJ348" s="39"/>
      <c r="AK348" s="39"/>
      <c r="AL348" s="39"/>
      <c r="AM348" s="39"/>
      <c r="AN348" s="39">
        <f t="shared" si="198"/>
        <v>0</v>
      </c>
      <c r="AO348" s="39"/>
      <c r="AP348" s="39"/>
      <c r="AQ348" s="39"/>
      <c r="AR348" s="39"/>
      <c r="AS348" s="39"/>
      <c r="AT348" s="39">
        <f t="shared" si="205"/>
        <v>0</v>
      </c>
      <c r="AU348" s="39"/>
      <c r="AV348" s="39"/>
      <c r="AW348" s="39"/>
      <c r="AX348" s="39"/>
      <c r="AY348" s="39"/>
      <c r="AZ348" s="39">
        <f t="shared" si="206"/>
        <v>0</v>
      </c>
      <c r="BA348" s="39"/>
      <c r="BB348" s="39"/>
      <c r="BC348" s="39"/>
      <c r="BD348" s="39"/>
      <c r="BE348" s="39"/>
      <c r="BF348" s="39">
        <f t="shared" si="207"/>
        <v>0</v>
      </c>
      <c r="BG348" s="39"/>
      <c r="BH348" s="39"/>
      <c r="BI348" s="39"/>
      <c r="BJ348" s="39"/>
      <c r="BK348" s="39"/>
      <c r="BL348" s="39">
        <f t="shared" si="208"/>
        <v>0</v>
      </c>
      <c r="BM348" s="54">
        <f t="shared" ca="1" si="209"/>
        <v>2</v>
      </c>
      <c r="BN348" s="62">
        <v>46287</v>
      </c>
      <c r="BO348" s="117">
        <v>46307</v>
      </c>
      <c r="BP348" s="39"/>
      <c r="BQ348" s="39"/>
      <c r="BR348" s="39"/>
      <c r="BS348" s="39"/>
      <c r="BT348" s="39"/>
      <c r="BU348" s="39"/>
      <c r="BV348" s="39"/>
      <c r="BW348" s="39"/>
      <c r="BX348" s="39"/>
      <c r="BY348" s="39"/>
      <c r="BZ348" s="39">
        <f t="shared" si="210"/>
        <v>0</v>
      </c>
      <c r="CA348" s="39">
        <f t="shared" si="211"/>
        <v>-1535</v>
      </c>
      <c r="CB348" s="39">
        <f t="shared" si="212"/>
        <v>0</v>
      </c>
      <c r="CC348" s="39">
        <f t="shared" si="213"/>
        <v>0</v>
      </c>
      <c r="CD348" s="39">
        <f t="shared" si="214"/>
        <v>-1535</v>
      </c>
      <c r="CE348" s="102">
        <f t="shared" si="215"/>
        <v>-1</v>
      </c>
      <c r="CF348" s="36"/>
      <c r="CG348" s="39" t="s">
        <v>243</v>
      </c>
      <c r="CH348" s="39"/>
      <c r="CI348" s="25">
        <v>3</v>
      </c>
    </row>
    <row r="349" spans="1:87" ht="24.75" customHeight="1">
      <c r="A349" s="36" t="s">
        <v>51</v>
      </c>
      <c r="B349" s="28" t="s">
        <v>2839</v>
      </c>
      <c r="C349" s="240"/>
      <c r="D349" s="36"/>
      <c r="E349" s="39">
        <v>150</v>
      </c>
      <c r="F349" s="39" t="s">
        <v>65</v>
      </c>
      <c r="G349" s="36" t="s">
        <v>1339</v>
      </c>
      <c r="H349" s="36" t="s">
        <v>22</v>
      </c>
      <c r="I349" s="39">
        <v>299</v>
      </c>
      <c r="J349" s="39"/>
      <c r="K349" s="39"/>
      <c r="L349" s="39">
        <f t="shared" si="217"/>
        <v>299</v>
      </c>
      <c r="M349" s="117">
        <v>46273</v>
      </c>
      <c r="N349" s="117">
        <v>46283</v>
      </c>
      <c r="O349" s="39"/>
      <c r="P349" s="39"/>
      <c r="Q349" s="39"/>
      <c r="R349" s="39">
        <f t="shared" si="218"/>
        <v>0</v>
      </c>
      <c r="S349" s="39" t="s">
        <v>2997</v>
      </c>
      <c r="T349" s="39"/>
      <c r="U349" s="39"/>
      <c r="V349" s="39"/>
      <c r="W349" s="39"/>
      <c r="X349" s="39"/>
      <c r="Y349" s="39"/>
      <c r="Z349" s="39"/>
      <c r="AA349" s="39"/>
      <c r="AB349" s="118">
        <f t="shared" si="195"/>
        <v>0</v>
      </c>
      <c r="AC349" s="39"/>
      <c r="AD349" s="39"/>
      <c r="AE349" s="39"/>
      <c r="AF349" s="39"/>
      <c r="AG349" s="39"/>
      <c r="AH349" s="39">
        <f t="shared" si="204"/>
        <v>0</v>
      </c>
      <c r="AI349" s="39"/>
      <c r="AJ349" s="39"/>
      <c r="AK349" s="39"/>
      <c r="AL349" s="39"/>
      <c r="AM349" s="39"/>
      <c r="AN349" s="39">
        <f t="shared" si="198"/>
        <v>0</v>
      </c>
      <c r="AO349" s="39"/>
      <c r="AP349" s="39"/>
      <c r="AQ349" s="39"/>
      <c r="AR349" s="39"/>
      <c r="AS349" s="39"/>
      <c r="AT349" s="39">
        <f t="shared" si="205"/>
        <v>0</v>
      </c>
      <c r="AU349" s="39"/>
      <c r="AV349" s="39"/>
      <c r="AW349" s="39"/>
      <c r="AX349" s="39"/>
      <c r="AY349" s="39"/>
      <c r="AZ349" s="39">
        <f t="shared" si="206"/>
        <v>0</v>
      </c>
      <c r="BA349" s="39"/>
      <c r="BB349" s="39"/>
      <c r="BC349" s="39"/>
      <c r="BD349" s="39"/>
      <c r="BE349" s="39"/>
      <c r="BF349" s="39">
        <f t="shared" si="207"/>
        <v>0</v>
      </c>
      <c r="BG349" s="39"/>
      <c r="BH349" s="39"/>
      <c r="BI349" s="39"/>
      <c r="BJ349" s="39"/>
      <c r="BK349" s="39"/>
      <c r="BL349" s="39">
        <f t="shared" si="208"/>
        <v>0</v>
      </c>
      <c r="BM349" s="54">
        <f t="shared" ca="1" si="209"/>
        <v>46283</v>
      </c>
      <c r="BN349" s="62">
        <v>46287</v>
      </c>
      <c r="BO349" s="117">
        <v>46307</v>
      </c>
      <c r="BP349" s="39"/>
      <c r="BQ349" s="39"/>
      <c r="BR349" s="39"/>
      <c r="BS349" s="39"/>
      <c r="BT349" s="39"/>
      <c r="BU349" s="39"/>
      <c r="BV349" s="39"/>
      <c r="BW349" s="39"/>
      <c r="BX349" s="39"/>
      <c r="BY349" s="39"/>
      <c r="BZ349" s="39">
        <f t="shared" si="210"/>
        <v>0</v>
      </c>
      <c r="CA349" s="39">
        <f t="shared" si="211"/>
        <v>-299</v>
      </c>
      <c r="CB349" s="39">
        <f t="shared" si="212"/>
        <v>0</v>
      </c>
      <c r="CC349" s="39">
        <f t="shared" si="213"/>
        <v>0</v>
      </c>
      <c r="CD349" s="39">
        <f t="shared" si="214"/>
        <v>-299</v>
      </c>
      <c r="CE349" s="102">
        <f t="shared" si="215"/>
        <v>-1</v>
      </c>
      <c r="CF349" s="36"/>
      <c r="CG349" s="39" t="s">
        <v>243</v>
      </c>
      <c r="CH349" s="39"/>
      <c r="CI349" s="25">
        <v>3</v>
      </c>
    </row>
    <row r="350" spans="1:87" ht="24.75" customHeight="1">
      <c r="A350" s="36" t="s">
        <v>51</v>
      </c>
      <c r="B350" s="28" t="s">
        <v>2839</v>
      </c>
      <c r="C350" s="240"/>
      <c r="D350" s="36"/>
      <c r="E350" s="39">
        <v>150</v>
      </c>
      <c r="F350" s="39" t="s">
        <v>65</v>
      </c>
      <c r="G350" s="36" t="s">
        <v>2841</v>
      </c>
      <c r="H350" s="36" t="s">
        <v>22</v>
      </c>
      <c r="I350" s="39">
        <v>299</v>
      </c>
      <c r="J350" s="39"/>
      <c r="K350" s="39"/>
      <c r="L350" s="39">
        <f t="shared" si="217"/>
        <v>299</v>
      </c>
      <c r="M350" s="117">
        <v>46273</v>
      </c>
      <c r="N350" s="117">
        <v>46283</v>
      </c>
      <c r="O350" s="39"/>
      <c r="P350" s="39"/>
      <c r="Q350" s="39"/>
      <c r="R350" s="39">
        <f t="shared" si="218"/>
        <v>0</v>
      </c>
      <c r="S350" s="39" t="s">
        <v>2997</v>
      </c>
      <c r="T350" s="39"/>
      <c r="U350" s="39"/>
      <c r="V350" s="39"/>
      <c r="W350" s="39"/>
      <c r="X350" s="39"/>
      <c r="Y350" s="39"/>
      <c r="Z350" s="39"/>
      <c r="AA350" s="39"/>
      <c r="AB350" s="118">
        <f t="shared" si="195"/>
        <v>0</v>
      </c>
      <c r="AC350" s="39"/>
      <c r="AD350" s="39"/>
      <c r="AE350" s="39"/>
      <c r="AF350" s="39"/>
      <c r="AG350" s="39"/>
      <c r="AH350" s="39">
        <f t="shared" si="204"/>
        <v>0</v>
      </c>
      <c r="AI350" s="39"/>
      <c r="AJ350" s="39"/>
      <c r="AK350" s="39"/>
      <c r="AL350" s="39"/>
      <c r="AM350" s="39"/>
      <c r="AN350" s="39">
        <f t="shared" si="198"/>
        <v>0</v>
      </c>
      <c r="AO350" s="39"/>
      <c r="AP350" s="39"/>
      <c r="AQ350" s="39"/>
      <c r="AR350" s="39"/>
      <c r="AS350" s="39"/>
      <c r="AT350" s="39">
        <f t="shared" si="205"/>
        <v>0</v>
      </c>
      <c r="AU350" s="39"/>
      <c r="AV350" s="39"/>
      <c r="AW350" s="39"/>
      <c r="AX350" s="39"/>
      <c r="AY350" s="39"/>
      <c r="AZ350" s="39">
        <f t="shared" si="206"/>
        <v>0</v>
      </c>
      <c r="BA350" s="39"/>
      <c r="BB350" s="39"/>
      <c r="BC350" s="39"/>
      <c r="BD350" s="39"/>
      <c r="BE350" s="39"/>
      <c r="BF350" s="39">
        <f t="shared" si="207"/>
        <v>0</v>
      </c>
      <c r="BG350" s="39"/>
      <c r="BH350" s="39"/>
      <c r="BI350" s="39"/>
      <c r="BJ350" s="39"/>
      <c r="BK350" s="39"/>
      <c r="BL350" s="39">
        <f t="shared" si="208"/>
        <v>0</v>
      </c>
      <c r="BM350" s="54">
        <f t="shared" ca="1" si="209"/>
        <v>46283</v>
      </c>
      <c r="BN350" s="62">
        <v>46287</v>
      </c>
      <c r="BO350" s="117">
        <v>46307</v>
      </c>
      <c r="BP350" s="39"/>
      <c r="BQ350" s="39"/>
      <c r="BR350" s="39"/>
      <c r="BS350" s="39"/>
      <c r="BT350" s="39"/>
      <c r="BU350" s="39"/>
      <c r="BV350" s="39"/>
      <c r="BW350" s="39"/>
      <c r="BX350" s="39"/>
      <c r="BY350" s="39"/>
      <c r="BZ350" s="39">
        <f t="shared" si="210"/>
        <v>0</v>
      </c>
      <c r="CA350" s="39">
        <f t="shared" si="211"/>
        <v>-299</v>
      </c>
      <c r="CB350" s="39">
        <f t="shared" si="212"/>
        <v>0</v>
      </c>
      <c r="CC350" s="39">
        <f t="shared" si="213"/>
        <v>0</v>
      </c>
      <c r="CD350" s="39">
        <f t="shared" si="214"/>
        <v>-299</v>
      </c>
      <c r="CE350" s="102">
        <f t="shared" si="215"/>
        <v>-1</v>
      </c>
      <c r="CF350" s="36"/>
      <c r="CG350" s="39" t="s">
        <v>243</v>
      </c>
      <c r="CH350" s="39"/>
      <c r="CI350" s="25">
        <v>3</v>
      </c>
    </row>
    <row r="351" spans="1:87" ht="24.75" customHeight="1">
      <c r="A351" s="36" t="s">
        <v>51</v>
      </c>
      <c r="B351" s="28" t="s">
        <v>2839</v>
      </c>
      <c r="C351" s="240"/>
      <c r="D351" s="36"/>
      <c r="E351" s="39">
        <v>150</v>
      </c>
      <c r="F351" s="39" t="s">
        <v>65</v>
      </c>
      <c r="G351" s="36" t="s">
        <v>187</v>
      </c>
      <c r="H351" s="36" t="s">
        <v>22</v>
      </c>
      <c r="I351" s="39">
        <v>916</v>
      </c>
      <c r="J351" s="39"/>
      <c r="K351" s="39"/>
      <c r="L351" s="39">
        <f t="shared" si="217"/>
        <v>916</v>
      </c>
      <c r="M351" s="117">
        <v>46273</v>
      </c>
      <c r="N351" s="117">
        <v>46283</v>
      </c>
      <c r="O351" s="39"/>
      <c r="P351" s="39"/>
      <c r="Q351" s="39"/>
      <c r="R351" s="39">
        <f t="shared" si="218"/>
        <v>0</v>
      </c>
      <c r="S351" s="39" t="s">
        <v>130</v>
      </c>
      <c r="T351" s="39"/>
      <c r="U351" s="39"/>
      <c r="V351" s="39"/>
      <c r="W351" s="39"/>
      <c r="X351" s="39"/>
      <c r="Y351" s="39"/>
      <c r="Z351" s="39"/>
      <c r="AA351" s="39"/>
      <c r="AB351" s="118">
        <f t="shared" si="195"/>
        <v>0</v>
      </c>
      <c r="AC351" s="39"/>
      <c r="AD351" s="39"/>
      <c r="AE351" s="39"/>
      <c r="AF351" s="39"/>
      <c r="AG351" s="39"/>
      <c r="AH351" s="39">
        <f t="shared" si="204"/>
        <v>0</v>
      </c>
      <c r="AI351" s="39"/>
      <c r="AJ351" s="39"/>
      <c r="AK351" s="39"/>
      <c r="AL351" s="39"/>
      <c r="AM351" s="39"/>
      <c r="AN351" s="39">
        <f t="shared" si="198"/>
        <v>0</v>
      </c>
      <c r="AO351" s="39"/>
      <c r="AP351" s="39"/>
      <c r="AQ351" s="39"/>
      <c r="AR351" s="39"/>
      <c r="AS351" s="39"/>
      <c r="AT351" s="39">
        <f t="shared" si="205"/>
        <v>0</v>
      </c>
      <c r="AU351" s="39"/>
      <c r="AV351" s="39"/>
      <c r="AW351" s="39"/>
      <c r="AX351" s="39"/>
      <c r="AY351" s="39"/>
      <c r="AZ351" s="39">
        <f t="shared" si="206"/>
        <v>0</v>
      </c>
      <c r="BA351" s="39"/>
      <c r="BB351" s="39"/>
      <c r="BC351" s="39"/>
      <c r="BD351" s="39"/>
      <c r="BE351" s="39"/>
      <c r="BF351" s="39">
        <f t="shared" si="207"/>
        <v>0</v>
      </c>
      <c r="BG351" s="39"/>
      <c r="BH351" s="39"/>
      <c r="BI351" s="39"/>
      <c r="BJ351" s="39"/>
      <c r="BK351" s="39"/>
      <c r="BL351" s="39">
        <f t="shared" si="208"/>
        <v>0</v>
      </c>
      <c r="BM351" s="54">
        <f t="shared" ca="1" si="209"/>
        <v>46283</v>
      </c>
      <c r="BN351" s="62">
        <v>46287</v>
      </c>
      <c r="BO351" s="117">
        <v>46307</v>
      </c>
      <c r="BP351" s="39"/>
      <c r="BQ351" s="39"/>
      <c r="BR351" s="39"/>
      <c r="BS351" s="39"/>
      <c r="BT351" s="39"/>
      <c r="BU351" s="39"/>
      <c r="BV351" s="39"/>
      <c r="BW351" s="39"/>
      <c r="BX351" s="39"/>
      <c r="BY351" s="39"/>
      <c r="BZ351" s="39">
        <f t="shared" si="210"/>
        <v>0</v>
      </c>
      <c r="CA351" s="39">
        <f t="shared" si="211"/>
        <v>-916</v>
      </c>
      <c r="CB351" s="39">
        <f t="shared" si="212"/>
        <v>0</v>
      </c>
      <c r="CC351" s="39">
        <f t="shared" si="213"/>
        <v>0</v>
      </c>
      <c r="CD351" s="39">
        <f t="shared" si="214"/>
        <v>-916</v>
      </c>
      <c r="CE351" s="102">
        <f t="shared" si="215"/>
        <v>-1</v>
      </c>
      <c r="CF351" s="36"/>
      <c r="CG351" s="39" t="s">
        <v>243</v>
      </c>
      <c r="CH351" s="39"/>
      <c r="CI351" s="25">
        <v>3</v>
      </c>
    </row>
    <row r="352" spans="1:87" ht="24.75" customHeight="1">
      <c r="A352" s="36" t="s">
        <v>51</v>
      </c>
      <c r="B352" s="28" t="s">
        <v>2839</v>
      </c>
      <c r="C352" s="240"/>
      <c r="D352" s="36"/>
      <c r="E352" s="39">
        <v>150</v>
      </c>
      <c r="F352" s="39" t="s">
        <v>65</v>
      </c>
      <c r="G352" s="36" t="s">
        <v>213</v>
      </c>
      <c r="H352" s="36" t="s">
        <v>22</v>
      </c>
      <c r="I352" s="39">
        <v>916</v>
      </c>
      <c r="J352" s="39"/>
      <c r="K352" s="39"/>
      <c r="L352" s="39">
        <f t="shared" si="217"/>
        <v>916</v>
      </c>
      <c r="M352" s="117">
        <v>46273</v>
      </c>
      <c r="N352" s="117">
        <v>46283</v>
      </c>
      <c r="O352" s="39"/>
      <c r="P352" s="39"/>
      <c r="Q352" s="39"/>
      <c r="R352" s="39">
        <f t="shared" si="218"/>
        <v>0</v>
      </c>
      <c r="S352" s="39" t="s">
        <v>2997</v>
      </c>
      <c r="T352" s="39"/>
      <c r="U352" s="39"/>
      <c r="V352" s="39"/>
      <c r="W352" s="39"/>
      <c r="X352" s="39"/>
      <c r="Y352" s="39"/>
      <c r="Z352" s="39"/>
      <c r="AA352" s="39"/>
      <c r="AB352" s="118">
        <f t="shared" si="195"/>
        <v>0</v>
      </c>
      <c r="AC352" s="39"/>
      <c r="AD352" s="39"/>
      <c r="AE352" s="39"/>
      <c r="AF352" s="39"/>
      <c r="AG352" s="39"/>
      <c r="AH352" s="39">
        <f t="shared" si="204"/>
        <v>0</v>
      </c>
      <c r="AI352" s="39"/>
      <c r="AJ352" s="39"/>
      <c r="AK352" s="39"/>
      <c r="AL352" s="39"/>
      <c r="AM352" s="39"/>
      <c r="AN352" s="39">
        <f t="shared" si="198"/>
        <v>0</v>
      </c>
      <c r="AO352" s="39"/>
      <c r="AP352" s="39"/>
      <c r="AQ352" s="39"/>
      <c r="AR352" s="39"/>
      <c r="AS352" s="39"/>
      <c r="AT352" s="39">
        <f t="shared" si="205"/>
        <v>0</v>
      </c>
      <c r="AU352" s="39"/>
      <c r="AV352" s="39"/>
      <c r="AW352" s="39"/>
      <c r="AX352" s="39"/>
      <c r="AY352" s="39"/>
      <c r="AZ352" s="39">
        <f t="shared" si="206"/>
        <v>0</v>
      </c>
      <c r="BA352" s="39"/>
      <c r="BB352" s="39"/>
      <c r="BC352" s="39"/>
      <c r="BD352" s="39"/>
      <c r="BE352" s="39"/>
      <c r="BF352" s="39">
        <f t="shared" si="207"/>
        <v>0</v>
      </c>
      <c r="BG352" s="39"/>
      <c r="BH352" s="39"/>
      <c r="BI352" s="39"/>
      <c r="BJ352" s="39"/>
      <c r="BK352" s="39"/>
      <c r="BL352" s="39">
        <f t="shared" si="208"/>
        <v>0</v>
      </c>
      <c r="BM352" s="54">
        <f t="shared" ca="1" si="209"/>
        <v>46283</v>
      </c>
      <c r="BN352" s="62">
        <v>46287</v>
      </c>
      <c r="BO352" s="117">
        <v>46307</v>
      </c>
      <c r="BP352" s="39"/>
      <c r="BQ352" s="39"/>
      <c r="BR352" s="39"/>
      <c r="BS352" s="39"/>
      <c r="BT352" s="39"/>
      <c r="BU352" s="39"/>
      <c r="BV352" s="39"/>
      <c r="BW352" s="39"/>
      <c r="BX352" s="39"/>
      <c r="BY352" s="39"/>
      <c r="BZ352" s="39">
        <f t="shared" si="210"/>
        <v>0</v>
      </c>
      <c r="CA352" s="39">
        <f t="shared" si="211"/>
        <v>-916</v>
      </c>
      <c r="CB352" s="39">
        <f t="shared" si="212"/>
        <v>0</v>
      </c>
      <c r="CC352" s="39">
        <f t="shared" si="213"/>
        <v>0</v>
      </c>
      <c r="CD352" s="39">
        <f t="shared" si="214"/>
        <v>-916</v>
      </c>
      <c r="CE352" s="102">
        <f t="shared" si="215"/>
        <v>-1</v>
      </c>
      <c r="CF352" s="36"/>
      <c r="CG352" s="39" t="s">
        <v>243</v>
      </c>
      <c r="CH352" s="39"/>
      <c r="CI352" s="25">
        <v>3</v>
      </c>
    </row>
    <row r="353" spans="1:87" ht="24.75" customHeight="1">
      <c r="A353" s="36" t="s">
        <v>51</v>
      </c>
      <c r="B353" s="28" t="s">
        <v>2839</v>
      </c>
      <c r="C353" s="240"/>
      <c r="D353" s="36"/>
      <c r="E353" s="39">
        <v>150</v>
      </c>
      <c r="F353" s="39" t="s">
        <v>65</v>
      </c>
      <c r="G353" s="36" t="s">
        <v>596</v>
      </c>
      <c r="H353" s="36" t="s">
        <v>22</v>
      </c>
      <c r="I353" s="39">
        <v>620</v>
      </c>
      <c r="J353" s="39"/>
      <c r="K353" s="39"/>
      <c r="L353" s="39">
        <f t="shared" si="217"/>
        <v>620</v>
      </c>
      <c r="M353" s="117">
        <v>46273</v>
      </c>
      <c r="N353" s="117">
        <v>46283</v>
      </c>
      <c r="O353" s="39"/>
      <c r="P353" s="39"/>
      <c r="Q353" s="39"/>
      <c r="R353" s="39">
        <f t="shared" si="218"/>
        <v>0</v>
      </c>
      <c r="S353" s="39" t="s">
        <v>2997</v>
      </c>
      <c r="T353" s="39"/>
      <c r="U353" s="39"/>
      <c r="V353" s="39"/>
      <c r="W353" s="39"/>
      <c r="X353" s="39"/>
      <c r="Y353" s="39"/>
      <c r="Z353" s="39"/>
      <c r="AA353" s="39"/>
      <c r="AB353" s="118">
        <f t="shared" si="195"/>
        <v>0</v>
      </c>
      <c r="AC353" s="39"/>
      <c r="AD353" s="39"/>
      <c r="AE353" s="39"/>
      <c r="AF353" s="39"/>
      <c r="AG353" s="39"/>
      <c r="AH353" s="39">
        <f t="shared" si="204"/>
        <v>0</v>
      </c>
      <c r="AI353" s="39"/>
      <c r="AJ353" s="39"/>
      <c r="AK353" s="39"/>
      <c r="AL353" s="39"/>
      <c r="AM353" s="39"/>
      <c r="AN353" s="39">
        <f t="shared" si="198"/>
        <v>0</v>
      </c>
      <c r="AO353" s="39"/>
      <c r="AP353" s="39"/>
      <c r="AQ353" s="39"/>
      <c r="AR353" s="39"/>
      <c r="AS353" s="39"/>
      <c r="AT353" s="39">
        <f t="shared" si="205"/>
        <v>0</v>
      </c>
      <c r="AU353" s="39"/>
      <c r="AV353" s="39"/>
      <c r="AW353" s="39"/>
      <c r="AX353" s="39"/>
      <c r="AY353" s="39"/>
      <c r="AZ353" s="39">
        <f t="shared" si="206"/>
        <v>0</v>
      </c>
      <c r="BA353" s="39"/>
      <c r="BB353" s="39"/>
      <c r="BC353" s="39"/>
      <c r="BD353" s="39"/>
      <c r="BE353" s="39"/>
      <c r="BF353" s="39">
        <f t="shared" si="207"/>
        <v>0</v>
      </c>
      <c r="BG353" s="39"/>
      <c r="BH353" s="39"/>
      <c r="BI353" s="39"/>
      <c r="BJ353" s="39"/>
      <c r="BK353" s="39"/>
      <c r="BL353" s="39">
        <f t="shared" si="208"/>
        <v>0</v>
      </c>
      <c r="BM353" s="54">
        <f t="shared" ca="1" si="209"/>
        <v>46283</v>
      </c>
      <c r="BN353" s="62">
        <v>46287</v>
      </c>
      <c r="BO353" s="117">
        <v>46307</v>
      </c>
      <c r="BP353" s="39"/>
      <c r="BQ353" s="39"/>
      <c r="BR353" s="39"/>
      <c r="BS353" s="39"/>
      <c r="BT353" s="39"/>
      <c r="BU353" s="39"/>
      <c r="BV353" s="39"/>
      <c r="BW353" s="39"/>
      <c r="BX353" s="39"/>
      <c r="BY353" s="39"/>
      <c r="BZ353" s="39">
        <f t="shared" si="210"/>
        <v>0</v>
      </c>
      <c r="CA353" s="39">
        <f t="shared" si="211"/>
        <v>-620</v>
      </c>
      <c r="CB353" s="39">
        <f t="shared" si="212"/>
        <v>0</v>
      </c>
      <c r="CC353" s="39">
        <f t="shared" si="213"/>
        <v>0</v>
      </c>
      <c r="CD353" s="39">
        <f t="shared" si="214"/>
        <v>-620</v>
      </c>
      <c r="CE353" s="102">
        <f t="shared" si="215"/>
        <v>-1</v>
      </c>
      <c r="CF353" s="36"/>
      <c r="CG353" s="39" t="s">
        <v>243</v>
      </c>
      <c r="CH353" s="39"/>
      <c r="CI353" s="25">
        <v>3</v>
      </c>
    </row>
    <row r="354" spans="1:87" ht="24.75" customHeight="1">
      <c r="A354" s="36" t="s">
        <v>51</v>
      </c>
      <c r="B354" s="28" t="s">
        <v>2839</v>
      </c>
      <c r="C354" s="236"/>
      <c r="D354" s="36"/>
      <c r="E354" s="39">
        <v>150</v>
      </c>
      <c r="F354" s="39" t="s">
        <v>65</v>
      </c>
      <c r="G354" s="36" t="s">
        <v>310</v>
      </c>
      <c r="H354" s="36" t="s">
        <v>22</v>
      </c>
      <c r="I354" s="39">
        <v>1239</v>
      </c>
      <c r="J354" s="39"/>
      <c r="K354" s="39"/>
      <c r="L354" s="39">
        <f t="shared" si="217"/>
        <v>1239</v>
      </c>
      <c r="M354" s="117">
        <v>46273</v>
      </c>
      <c r="N354" s="117">
        <v>46283</v>
      </c>
      <c r="O354" s="39"/>
      <c r="P354" s="39"/>
      <c r="Q354" s="39"/>
      <c r="R354" s="39">
        <f t="shared" si="218"/>
        <v>0</v>
      </c>
      <c r="S354" s="39" t="s">
        <v>2997</v>
      </c>
      <c r="T354" s="39"/>
      <c r="U354" s="39"/>
      <c r="V354" s="39"/>
      <c r="W354" s="39"/>
      <c r="X354" s="39"/>
      <c r="Y354" s="39"/>
      <c r="Z354" s="39"/>
      <c r="AA354" s="39"/>
      <c r="AB354" s="118">
        <f t="shared" si="195"/>
        <v>0</v>
      </c>
      <c r="AC354" s="39"/>
      <c r="AD354" s="39"/>
      <c r="AE354" s="39"/>
      <c r="AF354" s="39"/>
      <c r="AG354" s="39"/>
      <c r="AH354" s="39">
        <f t="shared" si="204"/>
        <v>0</v>
      </c>
      <c r="AI354" s="39"/>
      <c r="AJ354" s="39"/>
      <c r="AK354" s="39"/>
      <c r="AL354" s="39"/>
      <c r="AM354" s="39"/>
      <c r="AN354" s="39">
        <f t="shared" si="198"/>
        <v>0</v>
      </c>
      <c r="AO354" s="39"/>
      <c r="AP354" s="39"/>
      <c r="AQ354" s="39"/>
      <c r="AR354" s="39"/>
      <c r="AS354" s="39"/>
      <c r="AT354" s="39">
        <f t="shared" si="205"/>
        <v>0</v>
      </c>
      <c r="AU354" s="39"/>
      <c r="AV354" s="39"/>
      <c r="AW354" s="39"/>
      <c r="AX354" s="39"/>
      <c r="AY354" s="39"/>
      <c r="AZ354" s="39">
        <f t="shared" si="206"/>
        <v>0</v>
      </c>
      <c r="BA354" s="39"/>
      <c r="BB354" s="39"/>
      <c r="BC354" s="39"/>
      <c r="BD354" s="39"/>
      <c r="BE354" s="39"/>
      <c r="BF354" s="39">
        <f t="shared" si="207"/>
        <v>0</v>
      </c>
      <c r="BG354" s="39"/>
      <c r="BH354" s="39"/>
      <c r="BI354" s="39"/>
      <c r="BJ354" s="39"/>
      <c r="BK354" s="39"/>
      <c r="BL354" s="39">
        <f t="shared" si="208"/>
        <v>0</v>
      </c>
      <c r="BM354" s="54">
        <f t="shared" ca="1" si="209"/>
        <v>46283</v>
      </c>
      <c r="BN354" s="62">
        <v>46287</v>
      </c>
      <c r="BO354" s="117">
        <v>46307</v>
      </c>
      <c r="BP354" s="39"/>
      <c r="BQ354" s="39"/>
      <c r="BR354" s="39"/>
      <c r="BS354" s="39"/>
      <c r="BT354" s="39"/>
      <c r="BU354" s="39"/>
      <c r="BV354" s="39"/>
      <c r="BW354" s="39"/>
      <c r="BX354" s="39"/>
      <c r="BY354" s="39"/>
      <c r="BZ354" s="39">
        <f t="shared" si="210"/>
        <v>0</v>
      </c>
      <c r="CA354" s="39">
        <f t="shared" si="211"/>
        <v>-1239</v>
      </c>
      <c r="CB354" s="39">
        <f t="shared" si="212"/>
        <v>0</v>
      </c>
      <c r="CC354" s="39">
        <f t="shared" si="213"/>
        <v>0</v>
      </c>
      <c r="CD354" s="39">
        <f t="shared" si="214"/>
        <v>-1239</v>
      </c>
      <c r="CE354" s="102">
        <f t="shared" si="215"/>
        <v>-1</v>
      </c>
      <c r="CF354" s="36"/>
      <c r="CG354" s="39" t="s">
        <v>243</v>
      </c>
      <c r="CH354" s="39"/>
      <c r="CI354" s="25">
        <v>3</v>
      </c>
    </row>
    <row r="355" spans="1:87" ht="24.75" customHeight="1">
      <c r="A355" s="36" t="s">
        <v>51</v>
      </c>
      <c r="B355" s="167" t="s">
        <v>2986</v>
      </c>
      <c r="C355" s="235">
        <v>22042193</v>
      </c>
      <c r="D355" s="36"/>
      <c r="E355" s="39">
        <v>180</v>
      </c>
      <c r="F355" s="39" t="s">
        <v>55</v>
      </c>
      <c r="G355" s="36" t="s">
        <v>193</v>
      </c>
      <c r="H355" s="36" t="s">
        <v>22</v>
      </c>
      <c r="I355" s="39">
        <v>1907</v>
      </c>
      <c r="J355" s="39">
        <v>81</v>
      </c>
      <c r="K355" s="39">
        <v>23</v>
      </c>
      <c r="L355" s="39">
        <f t="shared" ref="L355:L361" si="219">SUM(I355:K355)</f>
        <v>2011</v>
      </c>
      <c r="M355" s="117">
        <v>46283</v>
      </c>
      <c r="N355" s="117">
        <v>46293</v>
      </c>
      <c r="O355" s="39"/>
      <c r="P355" s="39"/>
      <c r="Q355" s="39"/>
      <c r="R355" s="39">
        <f t="shared" ref="R355:R362" si="220">SUM(O355:Q355)</f>
        <v>0</v>
      </c>
      <c r="S355" s="39" t="s">
        <v>2997</v>
      </c>
      <c r="T355" s="39"/>
      <c r="U355" s="39"/>
      <c r="V355" s="39"/>
      <c r="W355" s="39"/>
      <c r="X355" s="39"/>
      <c r="Y355" s="39"/>
      <c r="Z355" s="39"/>
      <c r="AA355" s="39"/>
      <c r="AB355" s="118">
        <f t="shared" ref="AB355:AB362" si="221">SUM(Y355:AA355)</f>
        <v>0</v>
      </c>
      <c r="AC355" s="39"/>
      <c r="AD355" s="39"/>
      <c r="AE355" s="39"/>
      <c r="AF355" s="39"/>
      <c r="AG355" s="39"/>
      <c r="AH355" s="39">
        <f t="shared" si="204"/>
        <v>0</v>
      </c>
      <c r="AI355" s="39"/>
      <c r="AJ355" s="39"/>
      <c r="AK355" s="39"/>
      <c r="AL355" s="39"/>
      <c r="AM355" s="39"/>
      <c r="AN355" s="39">
        <f t="shared" si="198"/>
        <v>0</v>
      </c>
      <c r="AO355" s="39"/>
      <c r="AP355" s="39"/>
      <c r="AQ355" s="39"/>
      <c r="AR355" s="39"/>
      <c r="AS355" s="39"/>
      <c r="AT355" s="39">
        <f t="shared" si="205"/>
        <v>0</v>
      </c>
      <c r="AU355" s="39"/>
      <c r="AV355" s="39"/>
      <c r="AW355" s="39"/>
      <c r="AX355" s="39"/>
      <c r="AY355" s="39"/>
      <c r="AZ355" s="39">
        <f t="shared" si="206"/>
        <v>0</v>
      </c>
      <c r="BA355" s="39"/>
      <c r="BB355" s="39"/>
      <c r="BC355" s="39"/>
      <c r="BD355" s="39"/>
      <c r="BE355" s="39"/>
      <c r="BF355" s="39">
        <f t="shared" si="207"/>
        <v>0</v>
      </c>
      <c r="BG355" s="39"/>
      <c r="BH355" s="39"/>
      <c r="BI355" s="39"/>
      <c r="BJ355" s="39"/>
      <c r="BK355" s="39"/>
      <c r="BL355" s="39">
        <f t="shared" si="208"/>
        <v>0</v>
      </c>
      <c r="BM355" s="54">
        <f t="shared" ca="1" si="209"/>
        <v>46283</v>
      </c>
      <c r="BN355" s="62">
        <v>46290</v>
      </c>
      <c r="BO355" s="117">
        <v>46307</v>
      </c>
      <c r="BP355" s="39"/>
      <c r="BQ355" s="39"/>
      <c r="BR355" s="39"/>
      <c r="BS355" s="39"/>
      <c r="BT355" s="39"/>
      <c r="BU355" s="39"/>
      <c r="BV355" s="39"/>
      <c r="BW355" s="39"/>
      <c r="BX355" s="39"/>
      <c r="BY355" s="39"/>
      <c r="BZ355" s="39">
        <f t="shared" si="210"/>
        <v>0</v>
      </c>
      <c r="CA355" s="39">
        <f t="shared" si="211"/>
        <v>-1907</v>
      </c>
      <c r="CB355" s="39">
        <f t="shared" si="212"/>
        <v>-81</v>
      </c>
      <c r="CC355" s="39">
        <f t="shared" si="213"/>
        <v>-23</v>
      </c>
      <c r="CD355" s="39">
        <f t="shared" si="214"/>
        <v>-2011</v>
      </c>
      <c r="CE355" s="102">
        <f t="shared" si="215"/>
        <v>-1</v>
      </c>
      <c r="CF355" s="36" t="s">
        <v>384</v>
      </c>
      <c r="CG355" s="39" t="s">
        <v>243</v>
      </c>
      <c r="CH355" s="39"/>
      <c r="CI355" s="25">
        <v>3</v>
      </c>
    </row>
    <row r="356" spans="1:87" ht="24.75" customHeight="1">
      <c r="A356" s="36" t="s">
        <v>51</v>
      </c>
      <c r="B356" s="167" t="s">
        <v>2986</v>
      </c>
      <c r="C356" s="240"/>
      <c r="D356" s="36"/>
      <c r="E356" s="39">
        <v>180</v>
      </c>
      <c r="F356" s="39" t="s">
        <v>55</v>
      </c>
      <c r="G356" s="36" t="s">
        <v>325</v>
      </c>
      <c r="H356" s="36" t="s">
        <v>22</v>
      </c>
      <c r="I356" s="39">
        <v>1907</v>
      </c>
      <c r="J356" s="39">
        <v>81</v>
      </c>
      <c r="K356" s="39">
        <v>23</v>
      </c>
      <c r="L356" s="39">
        <f t="shared" si="219"/>
        <v>2011</v>
      </c>
      <c r="M356" s="117">
        <v>46283</v>
      </c>
      <c r="N356" s="117">
        <v>46293</v>
      </c>
      <c r="O356" s="39"/>
      <c r="P356" s="39"/>
      <c r="Q356" s="39"/>
      <c r="R356" s="39">
        <f t="shared" si="220"/>
        <v>0</v>
      </c>
      <c r="S356" s="39" t="s">
        <v>2997</v>
      </c>
      <c r="T356" s="39"/>
      <c r="U356" s="39"/>
      <c r="V356" s="39"/>
      <c r="W356" s="39"/>
      <c r="X356" s="39"/>
      <c r="Y356" s="39"/>
      <c r="Z356" s="39"/>
      <c r="AA356" s="39"/>
      <c r="AB356" s="118">
        <f t="shared" si="221"/>
        <v>0</v>
      </c>
      <c r="AC356" s="39"/>
      <c r="AD356" s="39"/>
      <c r="AE356" s="39"/>
      <c r="AF356" s="39"/>
      <c r="AG356" s="39"/>
      <c r="AH356" s="39">
        <f t="shared" si="204"/>
        <v>0</v>
      </c>
      <c r="AI356" s="39"/>
      <c r="AJ356" s="39"/>
      <c r="AK356" s="39"/>
      <c r="AL356" s="39"/>
      <c r="AM356" s="39"/>
      <c r="AN356" s="39">
        <f t="shared" si="198"/>
        <v>0</v>
      </c>
      <c r="AO356" s="39"/>
      <c r="AP356" s="39"/>
      <c r="AQ356" s="39"/>
      <c r="AR356" s="39"/>
      <c r="AS356" s="39"/>
      <c r="AT356" s="39">
        <f t="shared" si="205"/>
        <v>0</v>
      </c>
      <c r="AU356" s="39"/>
      <c r="AV356" s="39"/>
      <c r="AW356" s="39"/>
      <c r="AX356" s="39"/>
      <c r="AY356" s="39"/>
      <c r="AZ356" s="39">
        <f t="shared" si="206"/>
        <v>0</v>
      </c>
      <c r="BA356" s="39"/>
      <c r="BB356" s="39"/>
      <c r="BC356" s="39"/>
      <c r="BD356" s="39"/>
      <c r="BE356" s="39"/>
      <c r="BF356" s="39">
        <f t="shared" si="207"/>
        <v>0</v>
      </c>
      <c r="BG356" s="39"/>
      <c r="BH356" s="39"/>
      <c r="BI356" s="39"/>
      <c r="BJ356" s="39"/>
      <c r="BK356" s="39"/>
      <c r="BL356" s="39">
        <f t="shared" si="208"/>
        <v>0</v>
      </c>
      <c r="BM356" s="54">
        <f t="shared" ca="1" si="209"/>
        <v>46283</v>
      </c>
      <c r="BN356" s="62">
        <v>46290</v>
      </c>
      <c r="BO356" s="117">
        <v>46307</v>
      </c>
      <c r="BP356" s="39"/>
      <c r="BQ356" s="39"/>
      <c r="BR356" s="39"/>
      <c r="BS356" s="39"/>
      <c r="BT356" s="39"/>
      <c r="BU356" s="39"/>
      <c r="BV356" s="39"/>
      <c r="BW356" s="39"/>
      <c r="BX356" s="39"/>
      <c r="BY356" s="39"/>
      <c r="BZ356" s="39">
        <f t="shared" si="210"/>
        <v>0</v>
      </c>
      <c r="CA356" s="39">
        <f t="shared" si="211"/>
        <v>-1907</v>
      </c>
      <c r="CB356" s="39">
        <f t="shared" si="212"/>
        <v>-81</v>
      </c>
      <c r="CC356" s="39">
        <f t="shared" si="213"/>
        <v>-23</v>
      </c>
      <c r="CD356" s="39">
        <f t="shared" si="214"/>
        <v>-2011</v>
      </c>
      <c r="CE356" s="102">
        <f t="shared" si="215"/>
        <v>-1</v>
      </c>
      <c r="CF356" s="36" t="s">
        <v>384</v>
      </c>
      <c r="CG356" s="39" t="s">
        <v>243</v>
      </c>
      <c r="CH356" s="39"/>
      <c r="CI356" s="25">
        <v>3</v>
      </c>
    </row>
    <row r="357" spans="1:87" ht="24.75" customHeight="1">
      <c r="A357" s="36" t="s">
        <v>51</v>
      </c>
      <c r="B357" s="167" t="s">
        <v>2986</v>
      </c>
      <c r="C357" s="240"/>
      <c r="D357" s="36"/>
      <c r="E357" s="39">
        <v>180</v>
      </c>
      <c r="F357" s="39" t="s">
        <v>55</v>
      </c>
      <c r="G357" s="36" t="s">
        <v>213</v>
      </c>
      <c r="H357" s="36" t="s">
        <v>22</v>
      </c>
      <c r="I357" s="39">
        <v>1540</v>
      </c>
      <c r="J357" s="39">
        <v>65</v>
      </c>
      <c r="K357" s="39">
        <v>19</v>
      </c>
      <c r="L357" s="39">
        <f t="shared" si="219"/>
        <v>1624</v>
      </c>
      <c r="M357" s="117">
        <v>46283</v>
      </c>
      <c r="N357" s="117">
        <v>46293</v>
      </c>
      <c r="O357" s="39"/>
      <c r="P357" s="39"/>
      <c r="Q357" s="39"/>
      <c r="R357" s="39">
        <f t="shared" si="220"/>
        <v>0</v>
      </c>
      <c r="S357" s="39" t="s">
        <v>2997</v>
      </c>
      <c r="T357" s="39"/>
      <c r="U357" s="39"/>
      <c r="V357" s="39"/>
      <c r="W357" s="39"/>
      <c r="X357" s="39"/>
      <c r="Y357" s="39"/>
      <c r="Z357" s="39"/>
      <c r="AA357" s="39"/>
      <c r="AB357" s="118">
        <f t="shared" si="221"/>
        <v>0</v>
      </c>
      <c r="AC357" s="39"/>
      <c r="AD357" s="39"/>
      <c r="AE357" s="39"/>
      <c r="AF357" s="39"/>
      <c r="AG357" s="39"/>
      <c r="AH357" s="39">
        <f t="shared" si="204"/>
        <v>0</v>
      </c>
      <c r="AI357" s="39"/>
      <c r="AJ357" s="39"/>
      <c r="AK357" s="39"/>
      <c r="AL357" s="39"/>
      <c r="AM357" s="39"/>
      <c r="AN357" s="39">
        <f t="shared" si="198"/>
        <v>0</v>
      </c>
      <c r="AO357" s="39"/>
      <c r="AP357" s="39"/>
      <c r="AQ357" s="39"/>
      <c r="AR357" s="39"/>
      <c r="AS357" s="39"/>
      <c r="AT357" s="39">
        <f t="shared" si="205"/>
        <v>0</v>
      </c>
      <c r="AU357" s="39"/>
      <c r="AV357" s="39"/>
      <c r="AW357" s="39"/>
      <c r="AX357" s="39"/>
      <c r="AY357" s="39"/>
      <c r="AZ357" s="39">
        <f t="shared" si="206"/>
        <v>0</v>
      </c>
      <c r="BA357" s="39"/>
      <c r="BB357" s="39"/>
      <c r="BC357" s="39"/>
      <c r="BD357" s="39"/>
      <c r="BE357" s="39"/>
      <c r="BF357" s="39">
        <f t="shared" si="207"/>
        <v>0</v>
      </c>
      <c r="BG357" s="39"/>
      <c r="BH357" s="39"/>
      <c r="BI357" s="39"/>
      <c r="BJ357" s="39"/>
      <c r="BK357" s="39"/>
      <c r="BL357" s="39">
        <f t="shared" si="208"/>
        <v>0</v>
      </c>
      <c r="BM357" s="54">
        <f t="shared" ca="1" si="209"/>
        <v>46283</v>
      </c>
      <c r="BN357" s="62">
        <v>46290</v>
      </c>
      <c r="BO357" s="117">
        <v>46307</v>
      </c>
      <c r="BP357" s="39"/>
      <c r="BQ357" s="39"/>
      <c r="BR357" s="39"/>
      <c r="BS357" s="39"/>
      <c r="BT357" s="39"/>
      <c r="BU357" s="39"/>
      <c r="BV357" s="39"/>
      <c r="BW357" s="39"/>
      <c r="BX357" s="39"/>
      <c r="BY357" s="39"/>
      <c r="BZ357" s="39">
        <f t="shared" si="210"/>
        <v>0</v>
      </c>
      <c r="CA357" s="39">
        <f t="shared" si="211"/>
        <v>-1540</v>
      </c>
      <c r="CB357" s="39">
        <f t="shared" si="212"/>
        <v>-65</v>
      </c>
      <c r="CC357" s="39">
        <f t="shared" si="213"/>
        <v>-19</v>
      </c>
      <c r="CD357" s="39">
        <f t="shared" si="214"/>
        <v>-1624</v>
      </c>
      <c r="CE357" s="102">
        <f t="shared" si="215"/>
        <v>-1</v>
      </c>
      <c r="CF357" s="36" t="s">
        <v>384</v>
      </c>
      <c r="CG357" s="39" t="s">
        <v>243</v>
      </c>
      <c r="CH357" s="39"/>
      <c r="CI357" s="25">
        <v>3</v>
      </c>
    </row>
    <row r="358" spans="1:87" ht="24.75" customHeight="1">
      <c r="A358" s="36" t="s">
        <v>51</v>
      </c>
      <c r="B358" s="167" t="s">
        <v>2986</v>
      </c>
      <c r="C358" s="240"/>
      <c r="D358" s="36"/>
      <c r="E358" s="39">
        <v>180</v>
      </c>
      <c r="F358" s="39" t="s">
        <v>55</v>
      </c>
      <c r="G358" s="36" t="s">
        <v>1338</v>
      </c>
      <c r="H358" s="36" t="s">
        <v>22</v>
      </c>
      <c r="I358" s="39">
        <v>1540</v>
      </c>
      <c r="J358" s="39">
        <v>65</v>
      </c>
      <c r="K358" s="39">
        <v>19</v>
      </c>
      <c r="L358" s="39">
        <f t="shared" si="219"/>
        <v>1624</v>
      </c>
      <c r="M358" s="117">
        <v>46283</v>
      </c>
      <c r="N358" s="117">
        <v>46293</v>
      </c>
      <c r="O358" s="39"/>
      <c r="P358" s="39"/>
      <c r="Q358" s="39"/>
      <c r="R358" s="39">
        <f t="shared" si="220"/>
        <v>0</v>
      </c>
      <c r="S358" s="39" t="s">
        <v>31</v>
      </c>
      <c r="T358" s="39"/>
      <c r="U358" s="39"/>
      <c r="V358" s="39"/>
      <c r="W358" s="39"/>
      <c r="X358" s="39"/>
      <c r="Y358" s="39"/>
      <c r="Z358" s="39"/>
      <c r="AA358" s="39"/>
      <c r="AB358" s="118">
        <f t="shared" si="221"/>
        <v>0</v>
      </c>
      <c r="AC358" s="39"/>
      <c r="AD358" s="39"/>
      <c r="AE358" s="39"/>
      <c r="AF358" s="39"/>
      <c r="AG358" s="39"/>
      <c r="AH358" s="39">
        <f t="shared" si="204"/>
        <v>0</v>
      </c>
      <c r="AI358" s="39"/>
      <c r="AJ358" s="39"/>
      <c r="AK358" s="39"/>
      <c r="AL358" s="39"/>
      <c r="AM358" s="39"/>
      <c r="AN358" s="39">
        <f t="shared" si="198"/>
        <v>0</v>
      </c>
      <c r="AO358" s="39"/>
      <c r="AP358" s="39"/>
      <c r="AQ358" s="39"/>
      <c r="AR358" s="39"/>
      <c r="AS358" s="39"/>
      <c r="AT358" s="39">
        <f t="shared" si="205"/>
        <v>0</v>
      </c>
      <c r="AU358" s="39"/>
      <c r="AV358" s="39"/>
      <c r="AW358" s="39"/>
      <c r="AX358" s="39"/>
      <c r="AY358" s="39"/>
      <c r="AZ358" s="39">
        <f t="shared" si="206"/>
        <v>0</v>
      </c>
      <c r="BA358" s="39"/>
      <c r="BB358" s="39"/>
      <c r="BC358" s="39"/>
      <c r="BD358" s="39"/>
      <c r="BE358" s="39"/>
      <c r="BF358" s="39">
        <f t="shared" si="207"/>
        <v>0</v>
      </c>
      <c r="BG358" s="39"/>
      <c r="BH358" s="39"/>
      <c r="BI358" s="39"/>
      <c r="BJ358" s="39"/>
      <c r="BK358" s="39"/>
      <c r="BL358" s="39">
        <f t="shared" si="208"/>
        <v>0</v>
      </c>
      <c r="BM358" s="54">
        <f t="shared" ca="1" si="209"/>
        <v>46283</v>
      </c>
      <c r="BN358" s="62">
        <v>46290</v>
      </c>
      <c r="BO358" s="117">
        <v>46307</v>
      </c>
      <c r="BP358" s="39"/>
      <c r="BQ358" s="39"/>
      <c r="BR358" s="39"/>
      <c r="BS358" s="39"/>
      <c r="BT358" s="39"/>
      <c r="BU358" s="39"/>
      <c r="BV358" s="39"/>
      <c r="BW358" s="39"/>
      <c r="BX358" s="39"/>
      <c r="BY358" s="39"/>
      <c r="BZ358" s="39">
        <f t="shared" si="210"/>
        <v>0</v>
      </c>
      <c r="CA358" s="39">
        <f t="shared" si="211"/>
        <v>-1540</v>
      </c>
      <c r="CB358" s="39">
        <f t="shared" si="212"/>
        <v>-65</v>
      </c>
      <c r="CC358" s="39">
        <f t="shared" si="213"/>
        <v>-19</v>
      </c>
      <c r="CD358" s="39">
        <f t="shared" si="214"/>
        <v>-1624</v>
      </c>
      <c r="CE358" s="102">
        <f t="shared" si="215"/>
        <v>-1</v>
      </c>
      <c r="CF358" s="36" t="s">
        <v>384</v>
      </c>
      <c r="CG358" s="39" t="s">
        <v>243</v>
      </c>
      <c r="CH358" s="39"/>
      <c r="CI358" s="25">
        <v>3</v>
      </c>
    </row>
    <row r="359" spans="1:87" ht="24.75" customHeight="1">
      <c r="A359" s="36" t="s">
        <v>51</v>
      </c>
      <c r="B359" s="167" t="s">
        <v>2986</v>
      </c>
      <c r="C359" s="240"/>
      <c r="D359" s="36"/>
      <c r="E359" s="39">
        <v>180</v>
      </c>
      <c r="F359" s="39" t="s">
        <v>55</v>
      </c>
      <c r="G359" s="36" t="s">
        <v>2987</v>
      </c>
      <c r="H359" s="36" t="s">
        <v>22</v>
      </c>
      <c r="I359" s="39">
        <v>141</v>
      </c>
      <c r="J359" s="39">
        <v>6</v>
      </c>
      <c r="K359" s="39">
        <v>2</v>
      </c>
      <c r="L359" s="39">
        <f t="shared" si="219"/>
        <v>149</v>
      </c>
      <c r="M359" s="117">
        <v>46283</v>
      </c>
      <c r="N359" s="117">
        <v>46293</v>
      </c>
      <c r="O359" s="39"/>
      <c r="P359" s="39"/>
      <c r="Q359" s="39"/>
      <c r="R359" s="39">
        <f t="shared" si="220"/>
        <v>0</v>
      </c>
      <c r="S359" s="39" t="s">
        <v>130</v>
      </c>
      <c r="T359" s="39"/>
      <c r="U359" s="39"/>
      <c r="V359" s="39"/>
      <c r="W359" s="39"/>
      <c r="X359" s="39"/>
      <c r="Y359" s="39"/>
      <c r="Z359" s="39"/>
      <c r="AA359" s="39"/>
      <c r="AB359" s="118">
        <f t="shared" si="221"/>
        <v>0</v>
      </c>
      <c r="AC359" s="39"/>
      <c r="AD359" s="39"/>
      <c r="AE359" s="39"/>
      <c r="AF359" s="39"/>
      <c r="AG359" s="39"/>
      <c r="AH359" s="39">
        <f t="shared" si="204"/>
        <v>0</v>
      </c>
      <c r="AI359" s="39"/>
      <c r="AJ359" s="39"/>
      <c r="AK359" s="39"/>
      <c r="AL359" s="39"/>
      <c r="AM359" s="39"/>
      <c r="AN359" s="39">
        <f t="shared" si="198"/>
        <v>0</v>
      </c>
      <c r="AO359" s="39"/>
      <c r="AP359" s="39"/>
      <c r="AQ359" s="39"/>
      <c r="AR359" s="39"/>
      <c r="AS359" s="39"/>
      <c r="AT359" s="39">
        <f t="shared" si="205"/>
        <v>0</v>
      </c>
      <c r="AU359" s="39"/>
      <c r="AV359" s="39"/>
      <c r="AW359" s="39"/>
      <c r="AX359" s="39"/>
      <c r="AY359" s="39"/>
      <c r="AZ359" s="39">
        <f t="shared" si="206"/>
        <v>0</v>
      </c>
      <c r="BA359" s="39"/>
      <c r="BB359" s="39"/>
      <c r="BC359" s="39"/>
      <c r="BD359" s="39"/>
      <c r="BE359" s="39"/>
      <c r="BF359" s="39">
        <f t="shared" si="207"/>
        <v>0</v>
      </c>
      <c r="BG359" s="39"/>
      <c r="BH359" s="39"/>
      <c r="BI359" s="39"/>
      <c r="BJ359" s="39"/>
      <c r="BK359" s="39"/>
      <c r="BL359" s="39">
        <f t="shared" si="208"/>
        <v>0</v>
      </c>
      <c r="BM359" s="54">
        <f t="shared" ca="1" si="209"/>
        <v>46283</v>
      </c>
      <c r="BN359" s="62">
        <v>46290</v>
      </c>
      <c r="BO359" s="117">
        <v>46307</v>
      </c>
      <c r="BP359" s="39"/>
      <c r="BQ359" s="39"/>
      <c r="BR359" s="39"/>
      <c r="BS359" s="39"/>
      <c r="BT359" s="39"/>
      <c r="BU359" s="39"/>
      <c r="BV359" s="39"/>
      <c r="BW359" s="39"/>
      <c r="BX359" s="39"/>
      <c r="BY359" s="39"/>
      <c r="BZ359" s="39">
        <f t="shared" si="210"/>
        <v>0</v>
      </c>
      <c r="CA359" s="39">
        <f t="shared" si="211"/>
        <v>-141</v>
      </c>
      <c r="CB359" s="39">
        <f t="shared" si="212"/>
        <v>-6</v>
      </c>
      <c r="CC359" s="39">
        <f t="shared" si="213"/>
        <v>-2</v>
      </c>
      <c r="CD359" s="39">
        <f t="shared" si="214"/>
        <v>-149</v>
      </c>
      <c r="CE359" s="102">
        <f t="shared" si="215"/>
        <v>-1</v>
      </c>
      <c r="CF359" s="36" t="s">
        <v>384</v>
      </c>
      <c r="CG359" s="39" t="s">
        <v>243</v>
      </c>
      <c r="CH359" s="39"/>
      <c r="CI359" s="25">
        <v>3</v>
      </c>
    </row>
    <row r="360" spans="1:87" ht="24.75" customHeight="1">
      <c r="A360" s="36" t="s">
        <v>51</v>
      </c>
      <c r="B360" s="167" t="s">
        <v>2986</v>
      </c>
      <c r="C360" s="240"/>
      <c r="D360" s="36"/>
      <c r="E360" s="39">
        <v>180</v>
      </c>
      <c r="F360" s="39" t="s">
        <v>55</v>
      </c>
      <c r="G360" s="36" t="s">
        <v>310</v>
      </c>
      <c r="H360" s="36" t="s">
        <v>22</v>
      </c>
      <c r="I360" s="39">
        <v>2853</v>
      </c>
      <c r="J360" s="39">
        <v>121</v>
      </c>
      <c r="K360" s="39">
        <v>35</v>
      </c>
      <c r="L360" s="39">
        <f t="shared" si="219"/>
        <v>3009</v>
      </c>
      <c r="M360" s="117">
        <v>46283</v>
      </c>
      <c r="N360" s="117">
        <v>46293</v>
      </c>
      <c r="O360" s="39"/>
      <c r="P360" s="39"/>
      <c r="Q360" s="39"/>
      <c r="R360" s="39">
        <f t="shared" si="220"/>
        <v>0</v>
      </c>
      <c r="S360" s="39" t="s">
        <v>2997</v>
      </c>
      <c r="T360" s="39"/>
      <c r="U360" s="39"/>
      <c r="V360" s="39"/>
      <c r="W360" s="39"/>
      <c r="X360" s="39"/>
      <c r="Y360" s="39"/>
      <c r="Z360" s="39"/>
      <c r="AA360" s="39"/>
      <c r="AB360" s="118">
        <f t="shared" si="221"/>
        <v>0</v>
      </c>
      <c r="AC360" s="39"/>
      <c r="AD360" s="39"/>
      <c r="AE360" s="39"/>
      <c r="AF360" s="39"/>
      <c r="AG360" s="39"/>
      <c r="AH360" s="39">
        <f t="shared" si="204"/>
        <v>0</v>
      </c>
      <c r="AI360" s="39"/>
      <c r="AJ360" s="39"/>
      <c r="AK360" s="39"/>
      <c r="AL360" s="39"/>
      <c r="AM360" s="39"/>
      <c r="AN360" s="39">
        <f t="shared" si="198"/>
        <v>0</v>
      </c>
      <c r="AO360" s="39"/>
      <c r="AP360" s="39"/>
      <c r="AQ360" s="39"/>
      <c r="AR360" s="39"/>
      <c r="AS360" s="39"/>
      <c r="AT360" s="39">
        <f t="shared" si="205"/>
        <v>0</v>
      </c>
      <c r="AU360" s="39"/>
      <c r="AV360" s="39"/>
      <c r="AW360" s="39"/>
      <c r="AX360" s="39"/>
      <c r="AY360" s="39"/>
      <c r="AZ360" s="39">
        <f t="shared" si="206"/>
        <v>0</v>
      </c>
      <c r="BA360" s="39"/>
      <c r="BB360" s="39"/>
      <c r="BC360" s="39"/>
      <c r="BD360" s="39"/>
      <c r="BE360" s="39"/>
      <c r="BF360" s="39">
        <f t="shared" si="207"/>
        <v>0</v>
      </c>
      <c r="BG360" s="39"/>
      <c r="BH360" s="39"/>
      <c r="BI360" s="39"/>
      <c r="BJ360" s="39"/>
      <c r="BK360" s="39"/>
      <c r="BL360" s="39">
        <f t="shared" si="208"/>
        <v>0</v>
      </c>
      <c r="BM360" s="54">
        <f t="shared" ca="1" si="209"/>
        <v>46283</v>
      </c>
      <c r="BN360" s="62">
        <v>46290</v>
      </c>
      <c r="BO360" s="117">
        <v>46307</v>
      </c>
      <c r="BP360" s="39"/>
      <c r="BQ360" s="39"/>
      <c r="BR360" s="39"/>
      <c r="BS360" s="39"/>
      <c r="BT360" s="39"/>
      <c r="BU360" s="39"/>
      <c r="BV360" s="39"/>
      <c r="BW360" s="39"/>
      <c r="BX360" s="39"/>
      <c r="BY360" s="39"/>
      <c r="BZ360" s="39">
        <f t="shared" si="210"/>
        <v>0</v>
      </c>
      <c r="CA360" s="39">
        <f t="shared" si="211"/>
        <v>-2853</v>
      </c>
      <c r="CB360" s="39">
        <f t="shared" si="212"/>
        <v>-121</v>
      </c>
      <c r="CC360" s="39">
        <f t="shared" si="213"/>
        <v>-35</v>
      </c>
      <c r="CD360" s="39">
        <f t="shared" si="214"/>
        <v>-3009</v>
      </c>
      <c r="CE360" s="102">
        <f t="shared" si="215"/>
        <v>-1</v>
      </c>
      <c r="CF360" s="36" t="s">
        <v>384</v>
      </c>
      <c r="CG360" s="39" t="s">
        <v>243</v>
      </c>
      <c r="CH360" s="39"/>
      <c r="CI360" s="25">
        <v>3</v>
      </c>
    </row>
    <row r="361" spans="1:87" ht="24.75" customHeight="1">
      <c r="A361" s="36" t="s">
        <v>51</v>
      </c>
      <c r="B361" s="167" t="s">
        <v>2986</v>
      </c>
      <c r="C361" s="240"/>
      <c r="D361" s="36"/>
      <c r="E361" s="39">
        <v>180</v>
      </c>
      <c r="F361" s="39" t="s">
        <v>55</v>
      </c>
      <c r="G361" s="36" t="s">
        <v>2988</v>
      </c>
      <c r="H361" s="36" t="s">
        <v>22</v>
      </c>
      <c r="I361" s="39">
        <v>141</v>
      </c>
      <c r="J361" s="39">
        <v>6</v>
      </c>
      <c r="K361" s="39">
        <v>2</v>
      </c>
      <c r="L361" s="39">
        <f t="shared" si="219"/>
        <v>149</v>
      </c>
      <c r="M361" s="117">
        <v>46283</v>
      </c>
      <c r="N361" s="117">
        <v>46293</v>
      </c>
      <c r="O361" s="39"/>
      <c r="P361" s="39"/>
      <c r="Q361" s="39"/>
      <c r="R361" s="39">
        <f t="shared" si="220"/>
        <v>0</v>
      </c>
      <c r="S361" s="39" t="s">
        <v>130</v>
      </c>
      <c r="T361" s="39"/>
      <c r="U361" s="39"/>
      <c r="V361" s="39"/>
      <c r="W361" s="39"/>
      <c r="X361" s="39"/>
      <c r="Y361" s="39"/>
      <c r="Z361" s="39"/>
      <c r="AA361" s="39"/>
      <c r="AB361" s="118">
        <f t="shared" si="221"/>
        <v>0</v>
      </c>
      <c r="AC361" s="39"/>
      <c r="AD361" s="39"/>
      <c r="AE361" s="39"/>
      <c r="AF361" s="39"/>
      <c r="AG361" s="39"/>
      <c r="AH361" s="39">
        <f t="shared" si="204"/>
        <v>0</v>
      </c>
      <c r="AI361" s="39"/>
      <c r="AJ361" s="39"/>
      <c r="AK361" s="39"/>
      <c r="AL361" s="39"/>
      <c r="AM361" s="39"/>
      <c r="AN361" s="39">
        <f t="shared" si="198"/>
        <v>0</v>
      </c>
      <c r="AO361" s="39"/>
      <c r="AP361" s="39"/>
      <c r="AQ361" s="39"/>
      <c r="AR361" s="39"/>
      <c r="AS361" s="39"/>
      <c r="AT361" s="39">
        <f t="shared" si="205"/>
        <v>0</v>
      </c>
      <c r="AU361" s="39"/>
      <c r="AV361" s="39"/>
      <c r="AW361" s="39"/>
      <c r="AX361" s="39"/>
      <c r="AY361" s="39"/>
      <c r="AZ361" s="39">
        <f t="shared" si="206"/>
        <v>0</v>
      </c>
      <c r="BA361" s="39"/>
      <c r="BB361" s="39"/>
      <c r="BC361" s="39"/>
      <c r="BD361" s="39"/>
      <c r="BE361" s="39"/>
      <c r="BF361" s="39">
        <f t="shared" si="207"/>
        <v>0</v>
      </c>
      <c r="BG361" s="39"/>
      <c r="BH361" s="39"/>
      <c r="BI361" s="39"/>
      <c r="BJ361" s="39"/>
      <c r="BK361" s="39"/>
      <c r="BL361" s="39">
        <f t="shared" si="208"/>
        <v>0</v>
      </c>
      <c r="BM361" s="54">
        <f t="shared" ca="1" si="209"/>
        <v>46283</v>
      </c>
      <c r="BN361" s="62">
        <v>46290</v>
      </c>
      <c r="BO361" s="117">
        <v>46307</v>
      </c>
      <c r="BP361" s="39"/>
      <c r="BQ361" s="39"/>
      <c r="BR361" s="39"/>
      <c r="BS361" s="39"/>
      <c r="BT361" s="39"/>
      <c r="BU361" s="39"/>
      <c r="BV361" s="39"/>
      <c r="BW361" s="39"/>
      <c r="BX361" s="39"/>
      <c r="BY361" s="39"/>
      <c r="BZ361" s="39">
        <f t="shared" si="210"/>
        <v>0</v>
      </c>
      <c r="CA361" s="39">
        <f t="shared" si="211"/>
        <v>-141</v>
      </c>
      <c r="CB361" s="39">
        <f t="shared" si="212"/>
        <v>-6</v>
      </c>
      <c r="CC361" s="39">
        <f t="shared" si="213"/>
        <v>-2</v>
      </c>
      <c r="CD361" s="39">
        <f t="shared" si="214"/>
        <v>-149</v>
      </c>
      <c r="CE361" s="102">
        <f t="shared" si="215"/>
        <v>-1</v>
      </c>
      <c r="CF361" s="36" t="s">
        <v>384</v>
      </c>
      <c r="CG361" s="39" t="s">
        <v>243</v>
      </c>
      <c r="CH361" s="39"/>
      <c r="CI361" s="25">
        <v>3</v>
      </c>
    </row>
    <row r="362" spans="1:87" ht="24.75" customHeight="1">
      <c r="A362" s="36" t="s">
        <v>51</v>
      </c>
      <c r="B362" s="167" t="s">
        <v>2986</v>
      </c>
      <c r="C362" s="236"/>
      <c r="D362" s="36"/>
      <c r="E362" s="39"/>
      <c r="F362" s="39"/>
      <c r="G362" s="36" t="s">
        <v>2989</v>
      </c>
      <c r="H362" s="36">
        <f>585+585+470+470+60+860+60</f>
        <v>3090</v>
      </c>
      <c r="I362" s="39" t="s">
        <v>90</v>
      </c>
      <c r="J362" s="39"/>
      <c r="K362" s="39"/>
      <c r="L362" s="39">
        <f t="shared" ref="L362:L364" si="222">SUM(I362:K362)</f>
        <v>0</v>
      </c>
      <c r="M362" s="117">
        <v>46283</v>
      </c>
      <c r="N362" s="117">
        <v>46293</v>
      </c>
      <c r="O362" s="39"/>
      <c r="P362" s="39"/>
      <c r="Q362" s="39"/>
      <c r="R362" s="39">
        <f t="shared" si="220"/>
        <v>0</v>
      </c>
      <c r="S362" s="39" t="s">
        <v>130</v>
      </c>
      <c r="T362" s="39"/>
      <c r="U362" s="39"/>
      <c r="V362" s="39"/>
      <c r="W362" s="39"/>
      <c r="X362" s="39"/>
      <c r="Y362" s="39"/>
      <c r="Z362" s="39"/>
      <c r="AA362" s="39"/>
      <c r="AB362" s="39">
        <f t="shared" si="221"/>
        <v>0</v>
      </c>
      <c r="AC362" s="39"/>
      <c r="AD362" s="39"/>
      <c r="AE362" s="39"/>
      <c r="AF362" s="39"/>
      <c r="AG362" s="39"/>
      <c r="AH362" s="39">
        <f t="shared" si="204"/>
        <v>0</v>
      </c>
      <c r="AI362" s="39"/>
      <c r="AJ362" s="39"/>
      <c r="AK362" s="39"/>
      <c r="AL362" s="39"/>
      <c r="AM362" s="39"/>
      <c r="AN362" s="39">
        <f t="shared" si="198"/>
        <v>0</v>
      </c>
      <c r="AO362" s="39"/>
      <c r="AP362" s="39"/>
      <c r="AQ362" s="39"/>
      <c r="AR362" s="39"/>
      <c r="AS362" s="39"/>
      <c r="AT362" s="39">
        <f t="shared" si="205"/>
        <v>0</v>
      </c>
      <c r="AU362" s="39"/>
      <c r="AV362" s="39"/>
      <c r="AW362" s="39"/>
      <c r="AX362" s="39"/>
      <c r="AY362" s="39"/>
      <c r="AZ362" s="39">
        <f t="shared" si="206"/>
        <v>0</v>
      </c>
      <c r="BA362" s="39"/>
      <c r="BB362" s="39"/>
      <c r="BC362" s="39"/>
      <c r="BD362" s="39"/>
      <c r="BE362" s="39"/>
      <c r="BF362" s="39">
        <f t="shared" si="207"/>
        <v>0</v>
      </c>
      <c r="BG362" s="39"/>
      <c r="BH362" s="39"/>
      <c r="BI362" s="39"/>
      <c r="BJ362" s="39"/>
      <c r="BK362" s="39"/>
      <c r="BL362" s="39">
        <f t="shared" si="208"/>
        <v>0</v>
      </c>
      <c r="BM362" s="54" t="e">
        <f t="shared" si="209"/>
        <v>#DIV/0!</v>
      </c>
      <c r="BN362" s="62">
        <v>46290</v>
      </c>
      <c r="BO362" s="117">
        <v>46307</v>
      </c>
      <c r="BP362" s="39"/>
      <c r="BQ362" s="39"/>
      <c r="BR362" s="39"/>
      <c r="BS362" s="39"/>
      <c r="BT362" s="39"/>
      <c r="BU362" s="39"/>
      <c r="BV362" s="39"/>
      <c r="BW362" s="39"/>
      <c r="BX362" s="39"/>
      <c r="BY362" s="39"/>
      <c r="BZ362" s="39">
        <f t="shared" si="210"/>
        <v>0</v>
      </c>
      <c r="CA362" s="39" t="e">
        <f t="shared" si="211"/>
        <v>#VALUE!</v>
      </c>
      <c r="CB362" s="39">
        <f t="shared" si="212"/>
        <v>0</v>
      </c>
      <c r="CC362" s="39">
        <f t="shared" si="213"/>
        <v>0</v>
      </c>
      <c r="CD362" s="39">
        <f t="shared" si="214"/>
        <v>0</v>
      </c>
      <c r="CE362" s="102" t="e">
        <f t="shared" si="215"/>
        <v>#DIV/0!</v>
      </c>
      <c r="CF362" s="36" t="s">
        <v>384</v>
      </c>
      <c r="CG362" s="39" t="s">
        <v>243</v>
      </c>
      <c r="CH362" s="39"/>
      <c r="CI362" s="25">
        <v>3</v>
      </c>
    </row>
    <row r="363" spans="1:87" ht="24.75" customHeight="1">
      <c r="A363" s="36" t="s">
        <v>51</v>
      </c>
      <c r="B363" s="167" t="s">
        <v>2990</v>
      </c>
      <c r="C363" s="235">
        <v>22042193</v>
      </c>
      <c r="D363" s="36"/>
      <c r="E363" s="39">
        <v>180</v>
      </c>
      <c r="F363" s="39" t="s">
        <v>55</v>
      </c>
      <c r="G363" s="36" t="s">
        <v>511</v>
      </c>
      <c r="H363" s="36" t="s">
        <v>22</v>
      </c>
      <c r="I363" s="39">
        <v>1066</v>
      </c>
      <c r="J363" s="39">
        <v>45</v>
      </c>
      <c r="K363" s="39">
        <v>13</v>
      </c>
      <c r="L363" s="39">
        <f t="shared" si="222"/>
        <v>1124</v>
      </c>
      <c r="M363" s="117">
        <v>46279</v>
      </c>
      <c r="N363" s="117">
        <v>46286</v>
      </c>
      <c r="O363" s="39"/>
      <c r="P363" s="39"/>
      <c r="Q363" s="39"/>
      <c r="R363" s="39">
        <f t="shared" ref="R363:R365" si="223">SUM(O363:Q363)</f>
        <v>0</v>
      </c>
      <c r="S363" s="39" t="s">
        <v>2997</v>
      </c>
      <c r="T363" s="39"/>
      <c r="U363" s="39"/>
      <c r="V363" s="39"/>
      <c r="W363" s="39"/>
      <c r="X363" s="39"/>
      <c r="Y363" s="39"/>
      <c r="Z363" s="39"/>
      <c r="AA363" s="39"/>
      <c r="AB363" s="118">
        <f t="shared" ref="AB363:AB365" si="224">SUM(Y363:AA363)</f>
        <v>0</v>
      </c>
      <c r="AC363" s="39"/>
      <c r="AD363" s="39"/>
      <c r="AE363" s="39"/>
      <c r="AF363" s="39"/>
      <c r="AG363" s="39"/>
      <c r="AH363" s="39">
        <f t="shared" si="204"/>
        <v>0</v>
      </c>
      <c r="AI363" s="39"/>
      <c r="AJ363" s="39"/>
      <c r="AK363" s="39"/>
      <c r="AL363" s="39"/>
      <c r="AM363" s="39"/>
      <c r="AN363" s="39">
        <f t="shared" si="198"/>
        <v>0</v>
      </c>
      <c r="AO363" s="39"/>
      <c r="AP363" s="39"/>
      <c r="AQ363" s="39"/>
      <c r="AR363" s="39"/>
      <c r="AS363" s="39"/>
      <c r="AT363" s="39">
        <f t="shared" si="205"/>
        <v>0</v>
      </c>
      <c r="AU363" s="39"/>
      <c r="AV363" s="39"/>
      <c r="AW363" s="39"/>
      <c r="AX363" s="39"/>
      <c r="AY363" s="39"/>
      <c r="AZ363" s="39">
        <f t="shared" si="206"/>
        <v>0</v>
      </c>
      <c r="BA363" s="39"/>
      <c r="BB363" s="39"/>
      <c r="BC363" s="39"/>
      <c r="BD363" s="39"/>
      <c r="BE363" s="39"/>
      <c r="BF363" s="39">
        <f t="shared" si="207"/>
        <v>0</v>
      </c>
      <c r="BG363" s="39"/>
      <c r="BH363" s="39"/>
      <c r="BI363" s="39"/>
      <c r="BJ363" s="39"/>
      <c r="BK363" s="39"/>
      <c r="BL363" s="39">
        <f t="shared" si="208"/>
        <v>0</v>
      </c>
      <c r="BM363" s="54">
        <f t="shared" ca="1" si="209"/>
        <v>46283</v>
      </c>
      <c r="BN363" s="62">
        <v>46286</v>
      </c>
      <c r="BO363" s="117">
        <v>46303</v>
      </c>
      <c r="BP363" s="39"/>
      <c r="BQ363" s="39"/>
      <c r="BR363" s="39"/>
      <c r="BS363" s="39"/>
      <c r="BT363" s="39"/>
      <c r="BU363" s="39"/>
      <c r="BV363" s="39"/>
      <c r="BW363" s="39"/>
      <c r="BX363" s="39"/>
      <c r="BY363" s="39"/>
      <c r="BZ363" s="39">
        <f t="shared" si="210"/>
        <v>0</v>
      </c>
      <c r="CA363" s="39">
        <f t="shared" si="211"/>
        <v>-1066</v>
      </c>
      <c r="CB363" s="39">
        <f t="shared" si="212"/>
        <v>-45</v>
      </c>
      <c r="CC363" s="39">
        <f t="shared" si="213"/>
        <v>-13</v>
      </c>
      <c r="CD363" s="39">
        <f t="shared" si="214"/>
        <v>-1124</v>
      </c>
      <c r="CE363" s="102">
        <f t="shared" si="215"/>
        <v>-1</v>
      </c>
      <c r="CF363" s="36" t="s">
        <v>384</v>
      </c>
      <c r="CG363" s="39" t="s">
        <v>243</v>
      </c>
      <c r="CH363" s="39"/>
      <c r="CI363" s="25">
        <v>3</v>
      </c>
    </row>
    <row r="364" spans="1:87" ht="24.75" customHeight="1">
      <c r="A364" s="36" t="s">
        <v>51</v>
      </c>
      <c r="B364" s="167" t="s">
        <v>2990</v>
      </c>
      <c r="C364" s="240"/>
      <c r="D364" s="36"/>
      <c r="E364" s="39">
        <v>180</v>
      </c>
      <c r="F364" s="39" t="s">
        <v>55</v>
      </c>
      <c r="G364" s="36" t="s">
        <v>93</v>
      </c>
      <c r="H364" s="36" t="s">
        <v>22</v>
      </c>
      <c r="I364" s="39">
        <v>4261</v>
      </c>
      <c r="J364" s="39">
        <v>180</v>
      </c>
      <c r="K364" s="39">
        <v>53</v>
      </c>
      <c r="L364" s="39">
        <f t="shared" si="222"/>
        <v>4494</v>
      </c>
      <c r="M364" s="117">
        <v>46279</v>
      </c>
      <c r="N364" s="117">
        <v>46286</v>
      </c>
      <c r="O364" s="39"/>
      <c r="P364" s="39"/>
      <c r="Q364" s="39"/>
      <c r="R364" s="39">
        <f t="shared" si="223"/>
        <v>0</v>
      </c>
      <c r="S364" s="39" t="s">
        <v>130</v>
      </c>
      <c r="T364" s="39"/>
      <c r="U364" s="39"/>
      <c r="V364" s="39"/>
      <c r="W364" s="39"/>
      <c r="X364" s="39"/>
      <c r="Y364" s="39"/>
      <c r="Z364" s="39"/>
      <c r="AA364" s="39"/>
      <c r="AB364" s="118">
        <f t="shared" si="224"/>
        <v>0</v>
      </c>
      <c r="AC364" s="39"/>
      <c r="AD364" s="39"/>
      <c r="AE364" s="39"/>
      <c r="AF364" s="39"/>
      <c r="AG364" s="39"/>
      <c r="AH364" s="39">
        <f t="shared" si="204"/>
        <v>0</v>
      </c>
      <c r="AI364" s="39"/>
      <c r="AJ364" s="39"/>
      <c r="AK364" s="39"/>
      <c r="AL364" s="39"/>
      <c r="AM364" s="39"/>
      <c r="AN364" s="39">
        <f t="shared" si="198"/>
        <v>0</v>
      </c>
      <c r="AO364" s="39"/>
      <c r="AP364" s="39"/>
      <c r="AQ364" s="39"/>
      <c r="AR364" s="39"/>
      <c r="AS364" s="39"/>
      <c r="AT364" s="39">
        <f t="shared" si="205"/>
        <v>0</v>
      </c>
      <c r="AU364" s="39"/>
      <c r="AV364" s="39"/>
      <c r="AW364" s="39"/>
      <c r="AX364" s="39"/>
      <c r="AY364" s="39"/>
      <c r="AZ364" s="39">
        <f t="shared" si="206"/>
        <v>0</v>
      </c>
      <c r="BA364" s="39"/>
      <c r="BB364" s="39"/>
      <c r="BC364" s="39"/>
      <c r="BD364" s="39"/>
      <c r="BE364" s="39"/>
      <c r="BF364" s="39">
        <f t="shared" si="207"/>
        <v>0</v>
      </c>
      <c r="BG364" s="39"/>
      <c r="BH364" s="39"/>
      <c r="BI364" s="39"/>
      <c r="BJ364" s="39"/>
      <c r="BK364" s="39"/>
      <c r="BL364" s="39">
        <f t="shared" si="208"/>
        <v>0</v>
      </c>
      <c r="BM364" s="54">
        <f t="shared" ca="1" si="209"/>
        <v>46283</v>
      </c>
      <c r="BN364" s="62">
        <v>46286</v>
      </c>
      <c r="BO364" s="117">
        <v>46303</v>
      </c>
      <c r="BP364" s="39"/>
      <c r="BQ364" s="39"/>
      <c r="BR364" s="39"/>
      <c r="BS364" s="39"/>
      <c r="BT364" s="39"/>
      <c r="BU364" s="39"/>
      <c r="BV364" s="39"/>
      <c r="BW364" s="39"/>
      <c r="BX364" s="39"/>
      <c r="BY364" s="39"/>
      <c r="BZ364" s="39">
        <f t="shared" si="210"/>
        <v>0</v>
      </c>
      <c r="CA364" s="39">
        <f t="shared" si="211"/>
        <v>-4261</v>
      </c>
      <c r="CB364" s="39">
        <f t="shared" si="212"/>
        <v>-180</v>
      </c>
      <c r="CC364" s="39">
        <f t="shared" si="213"/>
        <v>-53</v>
      </c>
      <c r="CD364" s="39">
        <f t="shared" si="214"/>
        <v>-4494</v>
      </c>
      <c r="CE364" s="102">
        <f t="shared" si="215"/>
        <v>-1</v>
      </c>
      <c r="CF364" s="36" t="s">
        <v>384</v>
      </c>
      <c r="CG364" s="39" t="s">
        <v>243</v>
      </c>
      <c r="CH364" s="39"/>
      <c r="CI364" s="25">
        <v>3</v>
      </c>
    </row>
    <row r="365" spans="1:87" ht="24.75" customHeight="1">
      <c r="A365" s="36" t="s">
        <v>51</v>
      </c>
      <c r="B365" s="167" t="s">
        <v>2990</v>
      </c>
      <c r="C365" s="236"/>
      <c r="D365" s="36"/>
      <c r="E365" s="39"/>
      <c r="F365" s="39"/>
      <c r="G365" s="36" t="s">
        <v>2989</v>
      </c>
      <c r="H365" s="36">
        <f>330+1300</f>
        <v>1630</v>
      </c>
      <c r="I365" s="39" t="s">
        <v>90</v>
      </c>
      <c r="J365" s="39"/>
      <c r="K365" s="39"/>
      <c r="L365" s="39">
        <f t="shared" ref="L365" si="225">SUM(I365:K365)</f>
        <v>0</v>
      </c>
      <c r="M365" s="117">
        <v>46279</v>
      </c>
      <c r="N365" s="117">
        <v>46286</v>
      </c>
      <c r="O365" s="39"/>
      <c r="P365" s="39"/>
      <c r="Q365" s="39"/>
      <c r="R365" s="39">
        <f t="shared" si="223"/>
        <v>0</v>
      </c>
      <c r="S365" s="39" t="s">
        <v>130</v>
      </c>
      <c r="T365" s="39"/>
      <c r="U365" s="39"/>
      <c r="V365" s="39"/>
      <c r="W365" s="39"/>
      <c r="X365" s="39"/>
      <c r="Y365" s="39"/>
      <c r="Z365" s="39"/>
      <c r="AA365" s="39"/>
      <c r="AB365" s="39">
        <f t="shared" si="224"/>
        <v>0</v>
      </c>
      <c r="AC365" s="39"/>
      <c r="AD365" s="39"/>
      <c r="AE365" s="39"/>
      <c r="AF365" s="39"/>
      <c r="AG365" s="39"/>
      <c r="AH365" s="39">
        <f t="shared" si="204"/>
        <v>0</v>
      </c>
      <c r="AI365" s="39"/>
      <c r="AJ365" s="39"/>
      <c r="AK365" s="39"/>
      <c r="AL365" s="39"/>
      <c r="AM365" s="39"/>
      <c r="AN365" s="39">
        <f t="shared" si="198"/>
        <v>0</v>
      </c>
      <c r="AO365" s="39"/>
      <c r="AP365" s="39"/>
      <c r="AQ365" s="39"/>
      <c r="AR365" s="39"/>
      <c r="AS365" s="39"/>
      <c r="AT365" s="39">
        <f t="shared" si="205"/>
        <v>0</v>
      </c>
      <c r="AU365" s="39"/>
      <c r="AV365" s="39"/>
      <c r="AW365" s="39"/>
      <c r="AX365" s="39"/>
      <c r="AY365" s="39"/>
      <c r="AZ365" s="39">
        <f t="shared" si="206"/>
        <v>0</v>
      </c>
      <c r="BA365" s="39"/>
      <c r="BB365" s="39"/>
      <c r="BC365" s="39"/>
      <c r="BD365" s="39"/>
      <c r="BE365" s="39"/>
      <c r="BF365" s="39">
        <f t="shared" si="207"/>
        <v>0</v>
      </c>
      <c r="BG365" s="39"/>
      <c r="BH365" s="39"/>
      <c r="BI365" s="39"/>
      <c r="BJ365" s="39"/>
      <c r="BK365" s="39"/>
      <c r="BL365" s="39">
        <f t="shared" si="208"/>
        <v>0</v>
      </c>
      <c r="BM365" s="54" t="e">
        <f t="shared" si="209"/>
        <v>#DIV/0!</v>
      </c>
      <c r="BN365" s="62">
        <v>46286</v>
      </c>
      <c r="BO365" s="117">
        <v>46303</v>
      </c>
      <c r="BP365" s="39"/>
      <c r="BQ365" s="39"/>
      <c r="BR365" s="39"/>
      <c r="BS365" s="39"/>
      <c r="BT365" s="39"/>
      <c r="BU365" s="39"/>
      <c r="BV365" s="39"/>
      <c r="BW365" s="39"/>
      <c r="BX365" s="39"/>
      <c r="BY365" s="39"/>
      <c r="BZ365" s="39">
        <f t="shared" si="210"/>
        <v>0</v>
      </c>
      <c r="CA365" s="39" t="e">
        <f t="shared" si="211"/>
        <v>#VALUE!</v>
      </c>
      <c r="CB365" s="39">
        <f t="shared" si="212"/>
        <v>0</v>
      </c>
      <c r="CC365" s="39">
        <f t="shared" si="213"/>
        <v>0</v>
      </c>
      <c r="CD365" s="39">
        <f t="shared" si="214"/>
        <v>0</v>
      </c>
      <c r="CE365" s="102" t="e">
        <f t="shared" si="215"/>
        <v>#DIV/0!</v>
      </c>
      <c r="CF365" s="36" t="s">
        <v>384</v>
      </c>
      <c r="CG365" s="39" t="s">
        <v>243</v>
      </c>
      <c r="CH365" s="39"/>
      <c r="CI365" s="25">
        <v>3</v>
      </c>
    </row>
    <row r="366" spans="1:87" ht="24.75" customHeight="1">
      <c r="A366" s="36" t="s">
        <v>51</v>
      </c>
      <c r="B366" s="167" t="s">
        <v>3041</v>
      </c>
      <c r="C366" s="235" t="s">
        <v>2337</v>
      </c>
      <c r="D366" s="36" t="s">
        <v>45</v>
      </c>
      <c r="E366" s="39">
        <v>340</v>
      </c>
      <c r="F366" s="39" t="s">
        <v>55</v>
      </c>
      <c r="G366" s="36" t="s">
        <v>187</v>
      </c>
      <c r="H366" s="36" t="s">
        <v>544</v>
      </c>
      <c r="I366" s="39">
        <v>956</v>
      </c>
      <c r="J366" s="39"/>
      <c r="K366" s="39">
        <v>31</v>
      </c>
      <c r="L366" s="39">
        <f t="shared" ref="L366:L369" si="226">SUM(I366:K366)</f>
        <v>987</v>
      </c>
      <c r="M366" s="117">
        <v>46282</v>
      </c>
      <c r="N366" s="117">
        <v>46291</v>
      </c>
      <c r="O366" s="39"/>
      <c r="P366" s="39"/>
      <c r="Q366" s="39"/>
      <c r="R366" s="39">
        <f t="shared" ref="R366:R369" si="227">SUM(O366:Q366)</f>
        <v>0</v>
      </c>
      <c r="S366" s="39" t="s">
        <v>130</v>
      </c>
      <c r="T366" s="39"/>
      <c r="U366" s="39"/>
      <c r="V366" s="39"/>
      <c r="W366" s="39"/>
      <c r="X366" s="39"/>
      <c r="Y366" s="39"/>
      <c r="Z366" s="39"/>
      <c r="AA366" s="39"/>
      <c r="AB366" s="118">
        <f t="shared" ref="AB366:AB369" si="228">SUM(Y366:AA366)</f>
        <v>0</v>
      </c>
      <c r="AC366" s="39"/>
      <c r="AD366" s="39"/>
      <c r="AE366" s="39"/>
      <c r="AF366" s="39"/>
      <c r="AG366" s="39"/>
      <c r="AH366" s="39">
        <f t="shared" si="204"/>
        <v>0</v>
      </c>
      <c r="AI366" s="39"/>
      <c r="AJ366" s="39"/>
      <c r="AK366" s="39"/>
      <c r="AL366" s="39"/>
      <c r="AM366" s="39"/>
      <c r="AN366" s="39">
        <f t="shared" si="198"/>
        <v>0</v>
      </c>
      <c r="AO366" s="39"/>
      <c r="AP366" s="39"/>
      <c r="AQ366" s="39"/>
      <c r="AR366" s="39"/>
      <c r="AS366" s="39"/>
      <c r="AT366" s="39">
        <f t="shared" si="205"/>
        <v>0</v>
      </c>
      <c r="AU366" s="39"/>
      <c r="AV366" s="39"/>
      <c r="AW366" s="39"/>
      <c r="AX366" s="39"/>
      <c r="AY366" s="39"/>
      <c r="AZ366" s="39">
        <f t="shared" si="206"/>
        <v>0</v>
      </c>
      <c r="BA366" s="39"/>
      <c r="BB366" s="39"/>
      <c r="BC366" s="39"/>
      <c r="BD366" s="39"/>
      <c r="BE366" s="39"/>
      <c r="BF366" s="39">
        <f t="shared" si="207"/>
        <v>0</v>
      </c>
      <c r="BG366" s="39"/>
      <c r="BH366" s="39"/>
      <c r="BI366" s="39"/>
      <c r="BJ366" s="39"/>
      <c r="BK366" s="39"/>
      <c r="BL366" s="39">
        <f t="shared" si="208"/>
        <v>0</v>
      </c>
      <c r="BM366" s="54">
        <f t="shared" ca="1" si="209"/>
        <v>46283</v>
      </c>
      <c r="BN366" s="62">
        <v>46290</v>
      </c>
      <c r="BO366" s="117">
        <v>46305</v>
      </c>
      <c r="BP366" s="39"/>
      <c r="BQ366" s="39"/>
      <c r="BR366" s="39"/>
      <c r="BS366" s="39"/>
      <c r="BT366" s="39"/>
      <c r="BU366" s="39"/>
      <c r="BV366" s="39"/>
      <c r="BW366" s="39"/>
      <c r="BX366" s="39"/>
      <c r="BY366" s="39"/>
      <c r="BZ366" s="39">
        <f t="shared" si="210"/>
        <v>0</v>
      </c>
      <c r="CA366" s="39">
        <f t="shared" si="211"/>
        <v>-956</v>
      </c>
      <c r="CB366" s="39">
        <f t="shared" si="212"/>
        <v>0</v>
      </c>
      <c r="CC366" s="39">
        <f t="shared" si="213"/>
        <v>-31</v>
      </c>
      <c r="CD366" s="39">
        <f t="shared" si="214"/>
        <v>-987</v>
      </c>
      <c r="CE366" s="102">
        <f t="shared" si="215"/>
        <v>-1</v>
      </c>
      <c r="CF366" s="36" t="s">
        <v>292</v>
      </c>
      <c r="CG366" s="39" t="s">
        <v>281</v>
      </c>
      <c r="CH366" s="39"/>
      <c r="CI366" s="25">
        <v>3</v>
      </c>
    </row>
    <row r="367" spans="1:87" ht="24.75" customHeight="1">
      <c r="A367" s="36" t="s">
        <v>51</v>
      </c>
      <c r="B367" s="167" t="s">
        <v>3041</v>
      </c>
      <c r="C367" s="236"/>
      <c r="D367" s="36"/>
      <c r="E367" s="39"/>
      <c r="F367" s="39"/>
      <c r="G367" s="36" t="s">
        <v>317</v>
      </c>
      <c r="H367" s="36">
        <v>3000</v>
      </c>
      <c r="I367" s="39" t="s">
        <v>90</v>
      </c>
      <c r="J367" s="39"/>
      <c r="K367" s="39"/>
      <c r="L367" s="39">
        <f t="shared" si="226"/>
        <v>0</v>
      </c>
      <c r="M367" s="117">
        <v>46282</v>
      </c>
      <c r="N367" s="117">
        <v>46291</v>
      </c>
      <c r="O367" s="39"/>
      <c r="P367" s="39"/>
      <c r="Q367" s="39"/>
      <c r="R367" s="39">
        <f t="shared" si="227"/>
        <v>0</v>
      </c>
      <c r="S367" s="39" t="s">
        <v>130</v>
      </c>
      <c r="T367" s="39"/>
      <c r="U367" s="39"/>
      <c r="V367" s="39"/>
      <c r="W367" s="39"/>
      <c r="X367" s="39"/>
      <c r="Y367" s="39"/>
      <c r="Z367" s="39"/>
      <c r="AA367" s="39"/>
      <c r="AB367" s="39">
        <f t="shared" si="228"/>
        <v>0</v>
      </c>
      <c r="AC367" s="39"/>
      <c r="AD367" s="39"/>
      <c r="AE367" s="39"/>
      <c r="AF367" s="39"/>
      <c r="AG367" s="39"/>
      <c r="AH367" s="39">
        <f t="shared" si="204"/>
        <v>0</v>
      </c>
      <c r="AI367" s="39"/>
      <c r="AJ367" s="39"/>
      <c r="AK367" s="39"/>
      <c r="AL367" s="39"/>
      <c r="AM367" s="39"/>
      <c r="AN367" s="39">
        <f t="shared" si="198"/>
        <v>0</v>
      </c>
      <c r="AO367" s="39"/>
      <c r="AP367" s="39"/>
      <c r="AQ367" s="39"/>
      <c r="AR367" s="39"/>
      <c r="AS367" s="39"/>
      <c r="AT367" s="39">
        <f t="shared" si="205"/>
        <v>0</v>
      </c>
      <c r="AU367" s="39"/>
      <c r="AV367" s="39"/>
      <c r="AW367" s="39"/>
      <c r="AX367" s="39"/>
      <c r="AY367" s="39"/>
      <c r="AZ367" s="39">
        <f t="shared" si="206"/>
        <v>0</v>
      </c>
      <c r="BA367" s="39"/>
      <c r="BB367" s="39"/>
      <c r="BC367" s="39"/>
      <c r="BD367" s="39"/>
      <c r="BE367" s="39"/>
      <c r="BF367" s="39">
        <f t="shared" si="207"/>
        <v>0</v>
      </c>
      <c r="BG367" s="39"/>
      <c r="BH367" s="39"/>
      <c r="BI367" s="39"/>
      <c r="BJ367" s="39"/>
      <c r="BK367" s="39"/>
      <c r="BL367" s="39">
        <f t="shared" si="208"/>
        <v>0</v>
      </c>
      <c r="BM367" s="54" t="e">
        <f t="shared" si="209"/>
        <v>#DIV/0!</v>
      </c>
      <c r="BN367" s="62">
        <v>46290</v>
      </c>
      <c r="BO367" s="117">
        <v>46305</v>
      </c>
      <c r="BP367" s="39"/>
      <c r="BQ367" s="39"/>
      <c r="BR367" s="39"/>
      <c r="BS367" s="39"/>
      <c r="BT367" s="39"/>
      <c r="BU367" s="39"/>
      <c r="BV367" s="39"/>
      <c r="BW367" s="39"/>
      <c r="BX367" s="39"/>
      <c r="BY367" s="39"/>
      <c r="BZ367" s="39">
        <f t="shared" si="210"/>
        <v>0</v>
      </c>
      <c r="CA367" s="39" t="e">
        <f t="shared" si="211"/>
        <v>#VALUE!</v>
      </c>
      <c r="CB367" s="39">
        <f t="shared" si="212"/>
        <v>0</v>
      </c>
      <c r="CC367" s="39">
        <f t="shared" si="213"/>
        <v>0</v>
      </c>
      <c r="CD367" s="39">
        <f t="shared" si="214"/>
        <v>0</v>
      </c>
      <c r="CE367" s="102" t="e">
        <f t="shared" si="215"/>
        <v>#DIV/0!</v>
      </c>
      <c r="CF367" s="36" t="s">
        <v>292</v>
      </c>
      <c r="CG367" s="39" t="s">
        <v>281</v>
      </c>
      <c r="CH367" s="39"/>
      <c r="CI367" s="25">
        <v>3</v>
      </c>
    </row>
    <row r="368" spans="1:87" ht="24.75" customHeight="1">
      <c r="A368" s="36" t="s">
        <v>51</v>
      </c>
      <c r="B368" s="167" t="s">
        <v>3042</v>
      </c>
      <c r="C368" s="235" t="s">
        <v>2594</v>
      </c>
      <c r="D368" s="36" t="s">
        <v>45</v>
      </c>
      <c r="E368" s="39">
        <v>340</v>
      </c>
      <c r="F368" s="39" t="s">
        <v>55</v>
      </c>
      <c r="G368" s="36" t="s">
        <v>1503</v>
      </c>
      <c r="H368" s="36" t="s">
        <v>1501</v>
      </c>
      <c r="I368" s="39">
        <v>1654</v>
      </c>
      <c r="J368" s="39">
        <v>386</v>
      </c>
      <c r="K368" s="39">
        <v>13</v>
      </c>
      <c r="L368" s="39">
        <f t="shared" si="226"/>
        <v>2053</v>
      </c>
      <c r="M368" s="117">
        <v>46281</v>
      </c>
      <c r="N368" s="117">
        <v>46288</v>
      </c>
      <c r="O368" s="39"/>
      <c r="P368" s="39"/>
      <c r="Q368" s="39"/>
      <c r="R368" s="39">
        <f t="shared" si="227"/>
        <v>0</v>
      </c>
      <c r="S368" s="39" t="s">
        <v>130</v>
      </c>
      <c r="T368" s="39"/>
      <c r="U368" s="39"/>
      <c r="V368" s="39"/>
      <c r="W368" s="39"/>
      <c r="X368" s="39"/>
      <c r="Y368" s="39"/>
      <c r="Z368" s="39"/>
      <c r="AA368" s="39"/>
      <c r="AB368" s="118">
        <f t="shared" si="228"/>
        <v>0</v>
      </c>
      <c r="AC368" s="39"/>
      <c r="AD368" s="39"/>
      <c r="AE368" s="39"/>
      <c r="AF368" s="39"/>
      <c r="AG368" s="39"/>
      <c r="AH368" s="39">
        <f t="shared" si="204"/>
        <v>0</v>
      </c>
      <c r="AI368" s="39"/>
      <c r="AJ368" s="39"/>
      <c r="AK368" s="39"/>
      <c r="AL368" s="39"/>
      <c r="AM368" s="39"/>
      <c r="AN368" s="39">
        <f t="shared" si="198"/>
        <v>0</v>
      </c>
      <c r="AO368" s="39"/>
      <c r="AP368" s="39"/>
      <c r="AQ368" s="39"/>
      <c r="AR368" s="39"/>
      <c r="AS368" s="39"/>
      <c r="AT368" s="39">
        <f t="shared" si="205"/>
        <v>0</v>
      </c>
      <c r="AU368" s="39"/>
      <c r="AV368" s="39"/>
      <c r="AW368" s="39"/>
      <c r="AX368" s="39"/>
      <c r="AY368" s="39"/>
      <c r="AZ368" s="39">
        <f t="shared" si="206"/>
        <v>0</v>
      </c>
      <c r="BA368" s="39"/>
      <c r="BB368" s="39"/>
      <c r="BC368" s="39"/>
      <c r="BD368" s="39"/>
      <c r="BE368" s="39"/>
      <c r="BF368" s="39">
        <f t="shared" si="207"/>
        <v>0</v>
      </c>
      <c r="BG368" s="39"/>
      <c r="BH368" s="39"/>
      <c r="BI368" s="39"/>
      <c r="BJ368" s="39"/>
      <c r="BK368" s="39"/>
      <c r="BL368" s="39">
        <f t="shared" si="208"/>
        <v>0</v>
      </c>
      <c r="BM368" s="54">
        <f t="shared" ca="1" si="209"/>
        <v>46283</v>
      </c>
      <c r="BN368" s="62">
        <v>46288</v>
      </c>
      <c r="BO368" s="117">
        <v>46302</v>
      </c>
      <c r="BP368" s="39"/>
      <c r="BQ368" s="39"/>
      <c r="BR368" s="39"/>
      <c r="BS368" s="39"/>
      <c r="BT368" s="39"/>
      <c r="BU368" s="39"/>
      <c r="BV368" s="39"/>
      <c r="BW368" s="39"/>
      <c r="BX368" s="39"/>
      <c r="BY368" s="39"/>
      <c r="BZ368" s="39">
        <f t="shared" si="210"/>
        <v>0</v>
      </c>
      <c r="CA368" s="39">
        <f t="shared" si="211"/>
        <v>-1654</v>
      </c>
      <c r="CB368" s="39">
        <f t="shared" si="212"/>
        <v>-386</v>
      </c>
      <c r="CC368" s="39">
        <f t="shared" si="213"/>
        <v>-13</v>
      </c>
      <c r="CD368" s="39">
        <f t="shared" si="214"/>
        <v>-2053</v>
      </c>
      <c r="CE368" s="102">
        <f t="shared" si="215"/>
        <v>-1</v>
      </c>
      <c r="CF368" s="36" t="s">
        <v>292</v>
      </c>
      <c r="CG368" s="39" t="s">
        <v>281</v>
      </c>
      <c r="CH368" s="39"/>
      <c r="CI368" s="25">
        <v>3</v>
      </c>
    </row>
    <row r="369" spans="1:87" ht="24.75" customHeight="1">
      <c r="A369" s="36" t="s">
        <v>51</v>
      </c>
      <c r="B369" s="167" t="s">
        <v>3042</v>
      </c>
      <c r="C369" s="236"/>
      <c r="D369" s="36" t="s">
        <v>45</v>
      </c>
      <c r="E369" s="39">
        <v>340</v>
      </c>
      <c r="F369" s="39" t="s">
        <v>55</v>
      </c>
      <c r="G369" s="36" t="s">
        <v>1504</v>
      </c>
      <c r="H369" s="36" t="s">
        <v>1501</v>
      </c>
      <c r="I369" s="39">
        <v>1654</v>
      </c>
      <c r="J369" s="39">
        <v>386</v>
      </c>
      <c r="K369" s="39">
        <v>13</v>
      </c>
      <c r="L369" s="39">
        <f t="shared" si="226"/>
        <v>2053</v>
      </c>
      <c r="M369" s="117">
        <v>46281</v>
      </c>
      <c r="N369" s="117">
        <v>46288</v>
      </c>
      <c r="O369" s="39"/>
      <c r="P369" s="39"/>
      <c r="Q369" s="39"/>
      <c r="R369" s="39">
        <f t="shared" si="227"/>
        <v>0</v>
      </c>
      <c r="S369" s="39" t="s">
        <v>130</v>
      </c>
      <c r="T369" s="39"/>
      <c r="U369" s="39"/>
      <c r="V369" s="39"/>
      <c r="W369" s="39"/>
      <c r="X369" s="39"/>
      <c r="Y369" s="39"/>
      <c r="Z369" s="39"/>
      <c r="AA369" s="39"/>
      <c r="AB369" s="118">
        <f t="shared" si="228"/>
        <v>0</v>
      </c>
      <c r="AC369" s="39"/>
      <c r="AD369" s="39"/>
      <c r="AE369" s="39"/>
      <c r="AF369" s="39"/>
      <c r="AG369" s="39"/>
      <c r="AH369" s="39">
        <f t="shared" si="204"/>
        <v>0</v>
      </c>
      <c r="AI369" s="39"/>
      <c r="AJ369" s="39"/>
      <c r="AK369" s="39"/>
      <c r="AL369" s="39"/>
      <c r="AM369" s="39"/>
      <c r="AN369" s="39">
        <f t="shared" si="198"/>
        <v>0</v>
      </c>
      <c r="AO369" s="39"/>
      <c r="AP369" s="39"/>
      <c r="AQ369" s="39"/>
      <c r="AR369" s="39"/>
      <c r="AS369" s="39"/>
      <c r="AT369" s="39">
        <f t="shared" si="205"/>
        <v>0</v>
      </c>
      <c r="AU369" s="39"/>
      <c r="AV369" s="39"/>
      <c r="AW369" s="39"/>
      <c r="AX369" s="39"/>
      <c r="AY369" s="39"/>
      <c r="AZ369" s="39">
        <f t="shared" si="206"/>
        <v>0</v>
      </c>
      <c r="BA369" s="39"/>
      <c r="BB369" s="39"/>
      <c r="BC369" s="39"/>
      <c r="BD369" s="39"/>
      <c r="BE369" s="39"/>
      <c r="BF369" s="39">
        <f t="shared" si="207"/>
        <v>0</v>
      </c>
      <c r="BG369" s="39"/>
      <c r="BH369" s="39"/>
      <c r="BI369" s="39"/>
      <c r="BJ369" s="39"/>
      <c r="BK369" s="39"/>
      <c r="BL369" s="39">
        <f t="shared" si="208"/>
        <v>0</v>
      </c>
      <c r="BM369" s="54">
        <f t="shared" ca="1" si="209"/>
        <v>46283</v>
      </c>
      <c r="BN369" s="62">
        <v>46288</v>
      </c>
      <c r="BO369" s="117">
        <v>46302</v>
      </c>
      <c r="BP369" s="39"/>
      <c r="BQ369" s="39"/>
      <c r="BR369" s="39"/>
      <c r="BS369" s="39"/>
      <c r="BT369" s="39"/>
      <c r="BU369" s="39"/>
      <c r="BV369" s="39"/>
      <c r="BW369" s="39"/>
      <c r="BX369" s="39"/>
      <c r="BY369" s="39"/>
      <c r="BZ369" s="39">
        <f t="shared" si="210"/>
        <v>0</v>
      </c>
      <c r="CA369" s="39">
        <f t="shared" si="211"/>
        <v>-1654</v>
      </c>
      <c r="CB369" s="39">
        <f t="shared" si="212"/>
        <v>-386</v>
      </c>
      <c r="CC369" s="39">
        <f t="shared" si="213"/>
        <v>-13</v>
      </c>
      <c r="CD369" s="39">
        <f t="shared" si="214"/>
        <v>-2053</v>
      </c>
      <c r="CE369" s="102">
        <f t="shared" si="215"/>
        <v>-1</v>
      </c>
      <c r="CF369" s="36" t="s">
        <v>292</v>
      </c>
      <c r="CG369" s="39" t="s">
        <v>281</v>
      </c>
      <c r="CH369" s="39"/>
      <c r="CI369" s="25">
        <v>3</v>
      </c>
    </row>
    <row r="370" spans="1:87" ht="24.75" customHeight="1">
      <c r="A370" s="36" t="s">
        <v>51</v>
      </c>
      <c r="B370" s="167" t="s">
        <v>3043</v>
      </c>
      <c r="C370" s="235" t="s">
        <v>2065</v>
      </c>
      <c r="D370" s="36" t="s">
        <v>45</v>
      </c>
      <c r="E370" s="39">
        <v>340</v>
      </c>
      <c r="F370" s="39" t="s">
        <v>55</v>
      </c>
      <c r="G370" s="36" t="s">
        <v>47</v>
      </c>
      <c r="H370" s="36" t="s">
        <v>1501</v>
      </c>
      <c r="I370" s="39">
        <v>1568</v>
      </c>
      <c r="J370" s="39">
        <v>234</v>
      </c>
      <c r="K370" s="39">
        <v>9</v>
      </c>
      <c r="L370" s="39">
        <f t="shared" ref="L370:L371" si="229">SUM(I370:K370)</f>
        <v>1811</v>
      </c>
      <c r="M370" s="117">
        <v>46282</v>
      </c>
      <c r="N370" s="117">
        <v>46288</v>
      </c>
      <c r="O370" s="39"/>
      <c r="P370" s="39"/>
      <c r="Q370" s="39"/>
      <c r="R370" s="39">
        <f t="shared" ref="R370:R371" si="230">SUM(O370:Q370)</f>
        <v>0</v>
      </c>
      <c r="S370" s="39" t="s">
        <v>130</v>
      </c>
      <c r="T370" s="39"/>
      <c r="U370" s="39"/>
      <c r="V370" s="39"/>
      <c r="W370" s="39"/>
      <c r="X370" s="39"/>
      <c r="Y370" s="39"/>
      <c r="Z370" s="39"/>
      <c r="AA370" s="39"/>
      <c r="AB370" s="118">
        <f t="shared" ref="AB370:AB371" si="231">SUM(Y370:AA370)</f>
        <v>0</v>
      </c>
      <c r="AC370" s="39"/>
      <c r="AD370" s="39"/>
      <c r="AE370" s="39"/>
      <c r="AF370" s="39"/>
      <c r="AG370" s="39"/>
      <c r="AH370" s="39">
        <f t="shared" si="204"/>
        <v>0</v>
      </c>
      <c r="AI370" s="39"/>
      <c r="AJ370" s="39"/>
      <c r="AK370" s="39"/>
      <c r="AL370" s="39"/>
      <c r="AM370" s="39"/>
      <c r="AN370" s="39">
        <f t="shared" si="198"/>
        <v>0</v>
      </c>
      <c r="AO370" s="39"/>
      <c r="AP370" s="39"/>
      <c r="AQ370" s="39"/>
      <c r="AR370" s="39"/>
      <c r="AS370" s="39"/>
      <c r="AT370" s="39">
        <f t="shared" si="205"/>
        <v>0</v>
      </c>
      <c r="AU370" s="39"/>
      <c r="AV370" s="39"/>
      <c r="AW370" s="39"/>
      <c r="AX370" s="39"/>
      <c r="AY370" s="39"/>
      <c r="AZ370" s="39">
        <f t="shared" si="206"/>
        <v>0</v>
      </c>
      <c r="BA370" s="39"/>
      <c r="BB370" s="39"/>
      <c r="BC370" s="39"/>
      <c r="BD370" s="39"/>
      <c r="BE370" s="39"/>
      <c r="BF370" s="39">
        <f t="shared" si="207"/>
        <v>0</v>
      </c>
      <c r="BG370" s="39"/>
      <c r="BH370" s="39"/>
      <c r="BI370" s="39"/>
      <c r="BJ370" s="39"/>
      <c r="BK370" s="39"/>
      <c r="BL370" s="39">
        <f t="shared" si="208"/>
        <v>0</v>
      </c>
      <c r="BM370" s="54">
        <f t="shared" ca="1" si="209"/>
        <v>46283</v>
      </c>
      <c r="BN370" s="62">
        <v>46289</v>
      </c>
      <c r="BO370" s="117">
        <v>46303</v>
      </c>
      <c r="BP370" s="39"/>
      <c r="BQ370" s="39"/>
      <c r="BR370" s="39"/>
      <c r="BS370" s="39"/>
      <c r="BT370" s="39"/>
      <c r="BU370" s="39"/>
      <c r="BV370" s="39"/>
      <c r="BW370" s="39"/>
      <c r="BX370" s="39"/>
      <c r="BY370" s="39"/>
      <c r="BZ370" s="39">
        <f t="shared" si="210"/>
        <v>0</v>
      </c>
      <c r="CA370" s="39">
        <f t="shared" si="211"/>
        <v>-1568</v>
      </c>
      <c r="CB370" s="39">
        <f t="shared" si="212"/>
        <v>-234</v>
      </c>
      <c r="CC370" s="39">
        <f t="shared" si="213"/>
        <v>-9</v>
      </c>
      <c r="CD370" s="39">
        <f t="shared" si="214"/>
        <v>-1811</v>
      </c>
      <c r="CE370" s="102">
        <f t="shared" si="215"/>
        <v>-1</v>
      </c>
      <c r="CF370" s="36" t="s">
        <v>292</v>
      </c>
      <c r="CG370" s="39" t="s">
        <v>281</v>
      </c>
      <c r="CH370" s="39"/>
      <c r="CI370" s="25">
        <v>3</v>
      </c>
    </row>
    <row r="371" spans="1:87" ht="24.75" customHeight="1">
      <c r="A371" s="36" t="s">
        <v>51</v>
      </c>
      <c r="B371" s="167" t="s">
        <v>3043</v>
      </c>
      <c r="C371" s="236"/>
      <c r="D371" s="36"/>
      <c r="E371" s="39"/>
      <c r="F371" s="39"/>
      <c r="G371" s="36" t="s">
        <v>318</v>
      </c>
      <c r="H371" s="36"/>
      <c r="I371" s="39"/>
      <c r="J371" s="39"/>
      <c r="K371" s="39"/>
      <c r="L371" s="39">
        <f t="shared" si="229"/>
        <v>0</v>
      </c>
      <c r="M371" s="117">
        <v>46282</v>
      </c>
      <c r="N371" s="117">
        <v>46288</v>
      </c>
      <c r="O371" s="39"/>
      <c r="P371" s="39"/>
      <c r="Q371" s="39"/>
      <c r="R371" s="39">
        <f t="shared" si="230"/>
        <v>0</v>
      </c>
      <c r="S371" s="39" t="s">
        <v>130</v>
      </c>
      <c r="T371" s="39"/>
      <c r="U371" s="39"/>
      <c r="V371" s="39"/>
      <c r="W371" s="39"/>
      <c r="X371" s="39"/>
      <c r="Y371" s="39"/>
      <c r="Z371" s="39"/>
      <c r="AA371" s="39"/>
      <c r="AB371" s="39">
        <f t="shared" si="231"/>
        <v>0</v>
      </c>
      <c r="AC371" s="39"/>
      <c r="AD371" s="39"/>
      <c r="AE371" s="39"/>
      <c r="AF371" s="39"/>
      <c r="AG371" s="39"/>
      <c r="AH371" s="39">
        <f t="shared" si="204"/>
        <v>0</v>
      </c>
      <c r="AI371" s="39"/>
      <c r="AJ371" s="39"/>
      <c r="AK371" s="39"/>
      <c r="AL371" s="39"/>
      <c r="AM371" s="39"/>
      <c r="AN371" s="39">
        <f t="shared" si="198"/>
        <v>0</v>
      </c>
      <c r="AO371" s="39"/>
      <c r="AP371" s="39"/>
      <c r="AQ371" s="39"/>
      <c r="AR371" s="39"/>
      <c r="AS371" s="39"/>
      <c r="AT371" s="39">
        <f t="shared" si="205"/>
        <v>0</v>
      </c>
      <c r="AU371" s="39"/>
      <c r="AV371" s="39"/>
      <c r="AW371" s="39"/>
      <c r="AX371" s="39"/>
      <c r="AY371" s="39"/>
      <c r="AZ371" s="39">
        <f t="shared" si="206"/>
        <v>0</v>
      </c>
      <c r="BA371" s="39"/>
      <c r="BB371" s="39"/>
      <c r="BC371" s="39"/>
      <c r="BD371" s="39"/>
      <c r="BE371" s="39"/>
      <c r="BF371" s="39">
        <f t="shared" si="207"/>
        <v>0</v>
      </c>
      <c r="BG371" s="39"/>
      <c r="BH371" s="39"/>
      <c r="BI371" s="39"/>
      <c r="BJ371" s="39"/>
      <c r="BK371" s="39"/>
      <c r="BL371" s="39">
        <f t="shared" si="208"/>
        <v>0</v>
      </c>
      <c r="BM371" s="54" t="e">
        <f t="shared" si="209"/>
        <v>#DIV/0!</v>
      </c>
      <c r="BN371" s="62">
        <v>46289</v>
      </c>
      <c r="BO371" s="117">
        <v>46303</v>
      </c>
      <c r="BP371" s="39"/>
      <c r="BQ371" s="39"/>
      <c r="BR371" s="39"/>
      <c r="BS371" s="39"/>
      <c r="BT371" s="39"/>
      <c r="BU371" s="39"/>
      <c r="BV371" s="39"/>
      <c r="BW371" s="39"/>
      <c r="BX371" s="39"/>
      <c r="BY371" s="39"/>
      <c r="BZ371" s="39">
        <f t="shared" si="210"/>
        <v>0</v>
      </c>
      <c r="CA371" s="39">
        <f t="shared" si="211"/>
        <v>0</v>
      </c>
      <c r="CB371" s="39">
        <f t="shared" si="212"/>
        <v>0</v>
      </c>
      <c r="CC371" s="39">
        <f t="shared" si="213"/>
        <v>0</v>
      </c>
      <c r="CD371" s="39">
        <f t="shared" si="214"/>
        <v>0</v>
      </c>
      <c r="CE371" s="102" t="e">
        <f t="shared" si="215"/>
        <v>#DIV/0!</v>
      </c>
      <c r="CF371" s="36" t="s">
        <v>292</v>
      </c>
      <c r="CG371" s="39" t="s">
        <v>281</v>
      </c>
      <c r="CH371" s="39"/>
      <c r="CI371" s="25">
        <v>3</v>
      </c>
    </row>
    <row r="372" spans="1:87" ht="24.75" customHeight="1">
      <c r="A372" s="36" t="s">
        <v>51</v>
      </c>
      <c r="B372" s="28"/>
      <c r="C372" s="41"/>
      <c r="D372" s="36"/>
      <c r="E372" s="39"/>
      <c r="F372" s="39"/>
      <c r="G372" s="36"/>
      <c r="H372" s="39"/>
      <c r="I372" s="39"/>
      <c r="J372" s="39"/>
      <c r="K372" s="39"/>
      <c r="L372" s="39">
        <f t="shared" si="193"/>
        <v>0</v>
      </c>
      <c r="M372" s="39"/>
      <c r="N372" s="39"/>
      <c r="O372" s="39"/>
      <c r="P372" s="39"/>
      <c r="Q372" s="39"/>
      <c r="R372" s="39">
        <f t="shared" si="194"/>
        <v>0</v>
      </c>
      <c r="S372" s="39"/>
      <c r="T372" s="39"/>
      <c r="U372" s="39"/>
      <c r="V372" s="39"/>
      <c r="W372" s="39"/>
      <c r="X372" s="39"/>
      <c r="Y372" s="39"/>
      <c r="Z372" s="39"/>
      <c r="AA372" s="39"/>
      <c r="AB372" s="39">
        <f t="shared" si="195"/>
        <v>0</v>
      </c>
      <c r="AC372" s="39"/>
      <c r="AD372" s="39"/>
      <c r="AE372" s="39"/>
      <c r="AF372" s="39"/>
      <c r="AG372" s="39"/>
      <c r="AH372" s="39">
        <f t="shared" si="3"/>
        <v>0</v>
      </c>
      <c r="AI372" s="39"/>
      <c r="AJ372" s="39"/>
      <c r="AK372" s="39"/>
      <c r="AL372" s="39"/>
      <c r="AM372" s="39"/>
      <c r="AN372" s="39">
        <f t="shared" si="196"/>
        <v>0</v>
      </c>
      <c r="AO372" s="39"/>
      <c r="AP372" s="39"/>
      <c r="AQ372" s="39"/>
      <c r="AR372" s="39"/>
      <c r="AS372" s="39"/>
      <c r="AT372" s="39">
        <f t="shared" si="5"/>
        <v>0</v>
      </c>
      <c r="AU372" s="39"/>
      <c r="AV372" s="39"/>
      <c r="AW372" s="39"/>
      <c r="AX372" s="39"/>
      <c r="AY372" s="39"/>
      <c r="AZ372" s="39">
        <f t="shared" si="6"/>
        <v>0</v>
      </c>
      <c r="BA372" s="39"/>
      <c r="BB372" s="39"/>
      <c r="BC372" s="39"/>
      <c r="BD372" s="39"/>
      <c r="BE372" s="39"/>
      <c r="BF372" s="39">
        <f t="shared" si="7"/>
        <v>0</v>
      </c>
      <c r="BG372" s="39"/>
      <c r="BH372" s="39"/>
      <c r="BI372" s="39"/>
      <c r="BJ372" s="39"/>
      <c r="BK372" s="39"/>
      <c r="BL372" s="39">
        <f t="shared" si="8"/>
        <v>0</v>
      </c>
      <c r="BM372" s="54" t="e">
        <f t="shared" si="9"/>
        <v>#DIV/0!</v>
      </c>
      <c r="BN372" s="63"/>
      <c r="BO372" s="39"/>
      <c r="BP372" s="39"/>
      <c r="BQ372" s="39"/>
      <c r="BR372" s="39"/>
      <c r="BS372" s="39"/>
      <c r="BT372" s="39"/>
      <c r="BU372" s="39"/>
      <c r="BV372" s="39"/>
      <c r="BW372" s="39"/>
      <c r="BX372" s="39"/>
      <c r="BY372" s="39"/>
      <c r="BZ372" s="39">
        <f t="shared" si="10"/>
        <v>0</v>
      </c>
      <c r="CA372" s="39">
        <f t="shared" si="11"/>
        <v>0</v>
      </c>
      <c r="CB372" s="39">
        <f t="shared" si="12"/>
        <v>0</v>
      </c>
      <c r="CC372" s="39">
        <f t="shared" si="13"/>
        <v>0</v>
      </c>
      <c r="CD372" s="39">
        <f t="shared" si="14"/>
        <v>0</v>
      </c>
      <c r="CE372" s="47" t="e">
        <f t="shared" si="15"/>
        <v>#DIV/0!</v>
      </c>
      <c r="CF372" s="36"/>
      <c r="CG372" s="39"/>
      <c r="CH372" s="39"/>
      <c r="CI372" s="25">
        <v>3</v>
      </c>
    </row>
    <row r="373" spans="1:87" ht="24.75" customHeight="1">
      <c r="A373" s="36" t="s">
        <v>51</v>
      </c>
      <c r="B373" s="28"/>
      <c r="C373" s="41"/>
      <c r="D373" s="36"/>
      <c r="E373" s="39"/>
      <c r="F373" s="39"/>
      <c r="G373" s="36"/>
      <c r="H373" s="39"/>
      <c r="I373" s="39"/>
      <c r="J373" s="39"/>
      <c r="K373" s="39"/>
      <c r="L373" s="39">
        <f t="shared" si="193"/>
        <v>0</v>
      </c>
      <c r="M373" s="39"/>
      <c r="N373" s="39"/>
      <c r="O373" s="39"/>
      <c r="P373" s="39"/>
      <c r="Q373" s="39"/>
      <c r="R373" s="39">
        <f t="shared" si="194"/>
        <v>0</v>
      </c>
      <c r="S373" s="39"/>
      <c r="T373" s="39"/>
      <c r="U373" s="39"/>
      <c r="V373" s="39"/>
      <c r="W373" s="39"/>
      <c r="X373" s="39"/>
      <c r="Y373" s="39"/>
      <c r="Z373" s="39"/>
      <c r="AA373" s="39"/>
      <c r="AB373" s="39">
        <f t="shared" si="195"/>
        <v>0</v>
      </c>
      <c r="AC373" s="39"/>
      <c r="AD373" s="39"/>
      <c r="AE373" s="39"/>
      <c r="AF373" s="39"/>
      <c r="AG373" s="39"/>
      <c r="AH373" s="39">
        <f t="shared" si="3"/>
        <v>0</v>
      </c>
      <c r="AI373" s="39"/>
      <c r="AJ373" s="39"/>
      <c r="AK373" s="39"/>
      <c r="AL373" s="39"/>
      <c r="AM373" s="39"/>
      <c r="AN373" s="39">
        <f t="shared" si="196"/>
        <v>0</v>
      </c>
      <c r="AO373" s="39"/>
      <c r="AP373" s="39"/>
      <c r="AQ373" s="39"/>
      <c r="AR373" s="39"/>
      <c r="AS373" s="39"/>
      <c r="AT373" s="39">
        <f t="shared" si="5"/>
        <v>0</v>
      </c>
      <c r="AU373" s="39"/>
      <c r="AV373" s="39"/>
      <c r="AW373" s="39"/>
      <c r="AX373" s="39"/>
      <c r="AY373" s="39"/>
      <c r="AZ373" s="39">
        <f t="shared" si="6"/>
        <v>0</v>
      </c>
      <c r="BA373" s="39"/>
      <c r="BB373" s="39"/>
      <c r="BC373" s="39"/>
      <c r="BD373" s="39"/>
      <c r="BE373" s="39"/>
      <c r="BF373" s="39">
        <f t="shared" si="7"/>
        <v>0</v>
      </c>
      <c r="BG373" s="39"/>
      <c r="BH373" s="39"/>
      <c r="BI373" s="39"/>
      <c r="BJ373" s="39"/>
      <c r="BK373" s="39"/>
      <c r="BL373" s="39">
        <f t="shared" si="8"/>
        <v>0</v>
      </c>
      <c r="BM373" s="54" t="e">
        <f t="shared" si="9"/>
        <v>#DIV/0!</v>
      </c>
      <c r="BN373" s="63"/>
      <c r="BO373" s="39"/>
      <c r="BP373" s="39"/>
      <c r="BQ373" s="39"/>
      <c r="BR373" s="39"/>
      <c r="BS373" s="39"/>
      <c r="BT373" s="39"/>
      <c r="BU373" s="39"/>
      <c r="BV373" s="39"/>
      <c r="BW373" s="39"/>
      <c r="BX373" s="39"/>
      <c r="BY373" s="39"/>
      <c r="BZ373" s="39">
        <f t="shared" si="10"/>
        <v>0</v>
      </c>
      <c r="CA373" s="39">
        <f t="shared" si="11"/>
        <v>0</v>
      </c>
      <c r="CB373" s="39">
        <f t="shared" si="12"/>
        <v>0</v>
      </c>
      <c r="CC373" s="39">
        <f t="shared" si="13"/>
        <v>0</v>
      </c>
      <c r="CD373" s="39">
        <f t="shared" si="14"/>
        <v>0</v>
      </c>
      <c r="CE373" s="47" t="e">
        <f t="shared" si="15"/>
        <v>#DIV/0!</v>
      </c>
      <c r="CF373" s="36"/>
      <c r="CG373" s="39"/>
      <c r="CH373" s="39"/>
      <c r="CI373" s="25">
        <v>3</v>
      </c>
    </row>
    <row r="374" spans="1:87" ht="24.75" customHeight="1">
      <c r="A374" s="36" t="s">
        <v>51</v>
      </c>
      <c r="B374" s="28"/>
      <c r="C374" s="41"/>
      <c r="D374" s="36"/>
      <c r="E374" s="39"/>
      <c r="F374" s="39"/>
      <c r="G374" s="36"/>
      <c r="H374" s="39"/>
      <c r="I374" s="39"/>
      <c r="J374" s="39"/>
      <c r="K374" s="39"/>
      <c r="L374" s="39">
        <f t="shared" si="193"/>
        <v>0</v>
      </c>
      <c r="M374" s="39"/>
      <c r="N374" s="39"/>
      <c r="O374" s="39"/>
      <c r="P374" s="39"/>
      <c r="Q374" s="39"/>
      <c r="R374" s="39">
        <f t="shared" si="194"/>
        <v>0</v>
      </c>
      <c r="S374" s="39"/>
      <c r="T374" s="39"/>
      <c r="U374" s="39"/>
      <c r="V374" s="39"/>
      <c r="W374" s="39"/>
      <c r="X374" s="39"/>
      <c r="Y374" s="39"/>
      <c r="Z374" s="39"/>
      <c r="AA374" s="39"/>
      <c r="AB374" s="39">
        <f t="shared" si="195"/>
        <v>0</v>
      </c>
      <c r="AC374" s="39"/>
      <c r="AD374" s="39"/>
      <c r="AE374" s="39"/>
      <c r="AF374" s="39"/>
      <c r="AG374" s="39"/>
      <c r="AH374" s="39">
        <f t="shared" si="3"/>
        <v>0</v>
      </c>
      <c r="AI374" s="39"/>
      <c r="AJ374" s="39"/>
      <c r="AK374" s="39"/>
      <c r="AL374" s="39"/>
      <c r="AM374" s="39"/>
      <c r="AN374" s="39">
        <f t="shared" si="196"/>
        <v>0</v>
      </c>
      <c r="AO374" s="39"/>
      <c r="AP374" s="39"/>
      <c r="AQ374" s="39"/>
      <c r="AR374" s="39"/>
      <c r="AS374" s="39"/>
      <c r="AT374" s="39">
        <f t="shared" si="5"/>
        <v>0</v>
      </c>
      <c r="AU374" s="39"/>
      <c r="AV374" s="39"/>
      <c r="AW374" s="39"/>
      <c r="AX374" s="39"/>
      <c r="AY374" s="39"/>
      <c r="AZ374" s="39">
        <f t="shared" si="6"/>
        <v>0</v>
      </c>
      <c r="BA374" s="39"/>
      <c r="BB374" s="39"/>
      <c r="BC374" s="39"/>
      <c r="BD374" s="39"/>
      <c r="BE374" s="39"/>
      <c r="BF374" s="39">
        <f t="shared" si="7"/>
        <v>0</v>
      </c>
      <c r="BG374" s="39"/>
      <c r="BH374" s="39"/>
      <c r="BI374" s="39"/>
      <c r="BJ374" s="39"/>
      <c r="BK374" s="39"/>
      <c r="BL374" s="39">
        <f t="shared" si="8"/>
        <v>0</v>
      </c>
      <c r="BM374" s="54" t="e">
        <f t="shared" si="9"/>
        <v>#DIV/0!</v>
      </c>
      <c r="BN374" s="63"/>
      <c r="BO374" s="39"/>
      <c r="BP374" s="39"/>
      <c r="BQ374" s="39"/>
      <c r="BR374" s="39"/>
      <c r="BS374" s="39"/>
      <c r="BT374" s="39"/>
      <c r="BU374" s="39"/>
      <c r="BV374" s="39"/>
      <c r="BW374" s="39"/>
      <c r="BX374" s="39"/>
      <c r="BY374" s="39"/>
      <c r="BZ374" s="39">
        <f t="shared" si="10"/>
        <v>0</v>
      </c>
      <c r="CA374" s="39">
        <f t="shared" si="11"/>
        <v>0</v>
      </c>
      <c r="CB374" s="39">
        <f t="shared" si="12"/>
        <v>0</v>
      </c>
      <c r="CC374" s="39">
        <f t="shared" si="13"/>
        <v>0</v>
      </c>
      <c r="CD374" s="39">
        <f t="shared" si="14"/>
        <v>0</v>
      </c>
      <c r="CE374" s="47" t="e">
        <f t="shared" si="15"/>
        <v>#DIV/0!</v>
      </c>
      <c r="CF374" s="36"/>
      <c r="CG374" s="39"/>
      <c r="CH374" s="39"/>
      <c r="CI374" s="25">
        <v>3</v>
      </c>
    </row>
    <row r="375" spans="1:87" ht="24.75" customHeight="1">
      <c r="A375" s="36" t="s">
        <v>51</v>
      </c>
      <c r="B375" s="28"/>
      <c r="C375" s="41"/>
      <c r="D375" s="36"/>
      <c r="E375" s="39"/>
      <c r="F375" s="39"/>
      <c r="G375" s="36"/>
      <c r="H375" s="39"/>
      <c r="I375" s="39"/>
      <c r="J375" s="39"/>
      <c r="K375" s="39"/>
      <c r="L375" s="39">
        <f t="shared" si="193"/>
        <v>0</v>
      </c>
      <c r="M375" s="39"/>
      <c r="N375" s="39"/>
      <c r="O375" s="39"/>
      <c r="P375" s="39"/>
      <c r="Q375" s="39"/>
      <c r="R375" s="39">
        <f t="shared" si="194"/>
        <v>0</v>
      </c>
      <c r="S375" s="39"/>
      <c r="T375" s="39"/>
      <c r="U375" s="39"/>
      <c r="V375" s="39"/>
      <c r="W375" s="39"/>
      <c r="X375" s="39"/>
      <c r="Y375" s="39"/>
      <c r="Z375" s="39"/>
      <c r="AA375" s="39"/>
      <c r="AB375" s="39">
        <f t="shared" si="195"/>
        <v>0</v>
      </c>
      <c r="AC375" s="39"/>
      <c r="AD375" s="39"/>
      <c r="AE375" s="39"/>
      <c r="AF375" s="39"/>
      <c r="AG375" s="39"/>
      <c r="AH375" s="39">
        <f t="shared" si="3"/>
        <v>0</v>
      </c>
      <c r="AI375" s="39"/>
      <c r="AJ375" s="39"/>
      <c r="AK375" s="39"/>
      <c r="AL375" s="39"/>
      <c r="AM375" s="39"/>
      <c r="AN375" s="39">
        <f t="shared" si="196"/>
        <v>0</v>
      </c>
      <c r="AO375" s="39"/>
      <c r="AP375" s="39"/>
      <c r="AQ375" s="39"/>
      <c r="AR375" s="39"/>
      <c r="AS375" s="39"/>
      <c r="AT375" s="39">
        <f t="shared" si="5"/>
        <v>0</v>
      </c>
      <c r="AU375" s="39"/>
      <c r="AV375" s="39"/>
      <c r="AW375" s="39"/>
      <c r="AX375" s="39"/>
      <c r="AY375" s="39"/>
      <c r="AZ375" s="39">
        <f t="shared" si="6"/>
        <v>0</v>
      </c>
      <c r="BA375" s="39"/>
      <c r="BB375" s="39"/>
      <c r="BC375" s="39"/>
      <c r="BD375" s="39"/>
      <c r="BE375" s="39"/>
      <c r="BF375" s="39">
        <f t="shared" si="7"/>
        <v>0</v>
      </c>
      <c r="BG375" s="39"/>
      <c r="BH375" s="39"/>
      <c r="BI375" s="39"/>
      <c r="BJ375" s="39"/>
      <c r="BK375" s="39"/>
      <c r="BL375" s="39">
        <f t="shared" si="8"/>
        <v>0</v>
      </c>
      <c r="BM375" s="54" t="e">
        <f t="shared" si="9"/>
        <v>#DIV/0!</v>
      </c>
      <c r="BN375" s="63"/>
      <c r="BO375" s="39"/>
      <c r="BP375" s="39"/>
      <c r="BQ375" s="39"/>
      <c r="BR375" s="39"/>
      <c r="BS375" s="39"/>
      <c r="BT375" s="39"/>
      <c r="BU375" s="39"/>
      <c r="BV375" s="39"/>
      <c r="BW375" s="39"/>
      <c r="BX375" s="39"/>
      <c r="BY375" s="39"/>
      <c r="BZ375" s="39">
        <f t="shared" si="10"/>
        <v>0</v>
      </c>
      <c r="CA375" s="39">
        <f t="shared" si="11"/>
        <v>0</v>
      </c>
      <c r="CB375" s="39">
        <f t="shared" si="12"/>
        <v>0</v>
      </c>
      <c r="CC375" s="39">
        <f t="shared" si="13"/>
        <v>0</v>
      </c>
      <c r="CD375" s="39">
        <f t="shared" si="14"/>
        <v>0</v>
      </c>
      <c r="CE375" s="47" t="e">
        <f t="shared" si="15"/>
        <v>#DIV/0!</v>
      </c>
      <c r="CF375" s="36"/>
      <c r="CG375" s="39"/>
      <c r="CH375" s="39"/>
      <c r="CI375" s="25">
        <v>3</v>
      </c>
    </row>
    <row r="376" spans="1:87" ht="24.75" customHeight="1">
      <c r="A376" s="36" t="s">
        <v>51</v>
      </c>
      <c r="B376" s="28"/>
      <c r="C376" s="41"/>
      <c r="D376" s="36"/>
      <c r="E376" s="39"/>
      <c r="F376" s="39"/>
      <c r="G376" s="36"/>
      <c r="H376" s="39"/>
      <c r="I376" s="39"/>
      <c r="J376" s="39"/>
      <c r="K376" s="39"/>
      <c r="L376" s="39">
        <f t="shared" si="193"/>
        <v>0</v>
      </c>
      <c r="M376" s="39"/>
      <c r="N376" s="39"/>
      <c r="O376" s="39"/>
      <c r="P376" s="39"/>
      <c r="Q376" s="39"/>
      <c r="R376" s="39">
        <f t="shared" si="194"/>
        <v>0</v>
      </c>
      <c r="S376" s="39"/>
      <c r="T376" s="39"/>
      <c r="U376" s="39"/>
      <c r="V376" s="39"/>
      <c r="W376" s="39"/>
      <c r="X376" s="39"/>
      <c r="Y376" s="39"/>
      <c r="Z376" s="39"/>
      <c r="AA376" s="39"/>
      <c r="AB376" s="39">
        <f t="shared" si="195"/>
        <v>0</v>
      </c>
      <c r="AC376" s="39"/>
      <c r="AD376" s="39"/>
      <c r="AE376" s="39"/>
      <c r="AF376" s="39"/>
      <c r="AG376" s="39"/>
      <c r="AH376" s="39">
        <f t="shared" si="3"/>
        <v>0</v>
      </c>
      <c r="AI376" s="39"/>
      <c r="AJ376" s="39"/>
      <c r="AK376" s="39"/>
      <c r="AL376" s="39"/>
      <c r="AM376" s="39"/>
      <c r="AN376" s="39">
        <f t="shared" si="196"/>
        <v>0</v>
      </c>
      <c r="AO376" s="39"/>
      <c r="AP376" s="39"/>
      <c r="AQ376" s="39"/>
      <c r="AR376" s="39"/>
      <c r="AS376" s="39"/>
      <c r="AT376" s="39">
        <f t="shared" si="5"/>
        <v>0</v>
      </c>
      <c r="AU376" s="39"/>
      <c r="AV376" s="39"/>
      <c r="AW376" s="39"/>
      <c r="AX376" s="39"/>
      <c r="AY376" s="39"/>
      <c r="AZ376" s="39">
        <f t="shared" si="6"/>
        <v>0</v>
      </c>
      <c r="BA376" s="39"/>
      <c r="BB376" s="39"/>
      <c r="BC376" s="39"/>
      <c r="BD376" s="39"/>
      <c r="BE376" s="39"/>
      <c r="BF376" s="39">
        <f t="shared" si="7"/>
        <v>0</v>
      </c>
      <c r="BG376" s="39"/>
      <c r="BH376" s="39"/>
      <c r="BI376" s="39"/>
      <c r="BJ376" s="39"/>
      <c r="BK376" s="39"/>
      <c r="BL376" s="39">
        <f t="shared" si="8"/>
        <v>0</v>
      </c>
      <c r="BM376" s="54" t="e">
        <f t="shared" si="9"/>
        <v>#DIV/0!</v>
      </c>
      <c r="BN376" s="63"/>
      <c r="BO376" s="39"/>
      <c r="BP376" s="39"/>
      <c r="BQ376" s="39"/>
      <c r="BR376" s="39"/>
      <c r="BS376" s="39"/>
      <c r="BT376" s="39"/>
      <c r="BU376" s="39"/>
      <c r="BV376" s="39"/>
      <c r="BW376" s="39"/>
      <c r="BX376" s="39"/>
      <c r="BY376" s="39"/>
      <c r="BZ376" s="39">
        <f t="shared" si="10"/>
        <v>0</v>
      </c>
      <c r="CA376" s="39">
        <f t="shared" si="11"/>
        <v>0</v>
      </c>
      <c r="CB376" s="39">
        <f t="shared" si="12"/>
        <v>0</v>
      </c>
      <c r="CC376" s="39">
        <f t="shared" si="13"/>
        <v>0</v>
      </c>
      <c r="CD376" s="39">
        <f t="shared" si="14"/>
        <v>0</v>
      </c>
      <c r="CE376" s="47" t="e">
        <f t="shared" si="15"/>
        <v>#DIV/0!</v>
      </c>
      <c r="CF376" s="36"/>
      <c r="CG376" s="39"/>
      <c r="CH376" s="39"/>
      <c r="CI376" s="25">
        <v>3</v>
      </c>
    </row>
    <row r="377" spans="1:87" ht="24.75" customHeight="1">
      <c r="A377" s="36" t="s">
        <v>51</v>
      </c>
      <c r="B377" s="28"/>
      <c r="C377" s="41"/>
      <c r="D377" s="36"/>
      <c r="E377" s="39"/>
      <c r="F377" s="39"/>
      <c r="G377" s="36"/>
      <c r="H377" s="39"/>
      <c r="I377" s="39"/>
      <c r="J377" s="39"/>
      <c r="K377" s="39"/>
      <c r="L377" s="39">
        <f t="shared" si="193"/>
        <v>0</v>
      </c>
      <c r="M377" s="39"/>
      <c r="N377" s="39"/>
      <c r="O377" s="39"/>
      <c r="P377" s="39"/>
      <c r="Q377" s="39"/>
      <c r="R377" s="39">
        <f t="shared" si="194"/>
        <v>0</v>
      </c>
      <c r="S377" s="39"/>
      <c r="T377" s="39"/>
      <c r="U377" s="39"/>
      <c r="V377" s="39"/>
      <c r="W377" s="39"/>
      <c r="X377" s="39"/>
      <c r="Y377" s="39"/>
      <c r="Z377" s="39"/>
      <c r="AA377" s="39"/>
      <c r="AB377" s="39">
        <f t="shared" si="195"/>
        <v>0</v>
      </c>
      <c r="AC377" s="39"/>
      <c r="AD377" s="39"/>
      <c r="AE377" s="39"/>
      <c r="AF377" s="39"/>
      <c r="AG377" s="39"/>
      <c r="AH377" s="39">
        <f t="shared" si="3"/>
        <v>0</v>
      </c>
      <c r="AI377" s="39"/>
      <c r="AJ377" s="39"/>
      <c r="AK377" s="39"/>
      <c r="AL377" s="39"/>
      <c r="AM377" s="39"/>
      <c r="AN377" s="39">
        <f t="shared" si="196"/>
        <v>0</v>
      </c>
      <c r="AO377" s="39"/>
      <c r="AP377" s="39"/>
      <c r="AQ377" s="39"/>
      <c r="AR377" s="39"/>
      <c r="AS377" s="39"/>
      <c r="AT377" s="39">
        <f t="shared" si="5"/>
        <v>0</v>
      </c>
      <c r="AU377" s="39"/>
      <c r="AV377" s="39"/>
      <c r="AW377" s="39"/>
      <c r="AX377" s="39"/>
      <c r="AY377" s="39"/>
      <c r="AZ377" s="39">
        <f t="shared" si="6"/>
        <v>0</v>
      </c>
      <c r="BA377" s="39"/>
      <c r="BB377" s="39"/>
      <c r="BC377" s="39"/>
      <c r="BD377" s="39"/>
      <c r="BE377" s="39"/>
      <c r="BF377" s="39">
        <f t="shared" si="7"/>
        <v>0</v>
      </c>
      <c r="BG377" s="39"/>
      <c r="BH377" s="39"/>
      <c r="BI377" s="39"/>
      <c r="BJ377" s="39"/>
      <c r="BK377" s="39"/>
      <c r="BL377" s="39">
        <f t="shared" si="8"/>
        <v>0</v>
      </c>
      <c r="BM377" s="54" t="e">
        <f t="shared" si="9"/>
        <v>#DIV/0!</v>
      </c>
      <c r="BN377" s="63"/>
      <c r="BO377" s="39"/>
      <c r="BP377" s="39"/>
      <c r="BQ377" s="39"/>
      <c r="BR377" s="39"/>
      <c r="BS377" s="39"/>
      <c r="BT377" s="39"/>
      <c r="BU377" s="39"/>
      <c r="BV377" s="39"/>
      <c r="BW377" s="39"/>
      <c r="BX377" s="39"/>
      <c r="BY377" s="39"/>
      <c r="BZ377" s="39">
        <f t="shared" si="10"/>
        <v>0</v>
      </c>
      <c r="CA377" s="39">
        <f t="shared" si="11"/>
        <v>0</v>
      </c>
      <c r="CB377" s="39">
        <f t="shared" si="12"/>
        <v>0</v>
      </c>
      <c r="CC377" s="39">
        <f t="shared" si="13"/>
        <v>0</v>
      </c>
      <c r="CD377" s="39">
        <f t="shared" si="14"/>
        <v>0</v>
      </c>
      <c r="CE377" s="47" t="e">
        <f t="shared" si="15"/>
        <v>#DIV/0!</v>
      </c>
      <c r="CF377" s="36"/>
      <c r="CG377" s="39"/>
      <c r="CH377" s="39"/>
      <c r="CI377" s="25">
        <v>3</v>
      </c>
    </row>
    <row r="378" spans="1:87" ht="24.75" customHeight="1">
      <c r="A378" s="36" t="s">
        <v>51</v>
      </c>
      <c r="B378" s="28"/>
      <c r="C378" s="41"/>
      <c r="D378" s="36"/>
      <c r="E378" s="39"/>
      <c r="F378" s="39"/>
      <c r="G378" s="36"/>
      <c r="H378" s="39"/>
      <c r="I378" s="39"/>
      <c r="J378" s="39"/>
      <c r="K378" s="39"/>
      <c r="L378" s="39">
        <f t="shared" si="193"/>
        <v>0</v>
      </c>
      <c r="M378" s="39"/>
      <c r="N378" s="39"/>
      <c r="O378" s="39"/>
      <c r="P378" s="39"/>
      <c r="Q378" s="39"/>
      <c r="R378" s="39">
        <f t="shared" si="194"/>
        <v>0</v>
      </c>
      <c r="S378" s="39"/>
      <c r="T378" s="39"/>
      <c r="U378" s="39"/>
      <c r="V378" s="39"/>
      <c r="W378" s="39"/>
      <c r="X378" s="39"/>
      <c r="Y378" s="39"/>
      <c r="Z378" s="39"/>
      <c r="AA378" s="39"/>
      <c r="AB378" s="39">
        <f t="shared" si="195"/>
        <v>0</v>
      </c>
      <c r="AC378" s="39"/>
      <c r="AD378" s="39"/>
      <c r="AE378" s="39"/>
      <c r="AF378" s="39"/>
      <c r="AG378" s="39"/>
      <c r="AH378" s="39">
        <f t="shared" si="3"/>
        <v>0</v>
      </c>
      <c r="AI378" s="39"/>
      <c r="AJ378" s="39"/>
      <c r="AK378" s="39"/>
      <c r="AL378" s="39"/>
      <c r="AM378" s="39"/>
      <c r="AN378" s="39">
        <f t="shared" si="196"/>
        <v>0</v>
      </c>
      <c r="AO378" s="39"/>
      <c r="AP378" s="39"/>
      <c r="AQ378" s="39"/>
      <c r="AR378" s="39"/>
      <c r="AS378" s="39"/>
      <c r="AT378" s="39">
        <f t="shared" si="5"/>
        <v>0</v>
      </c>
      <c r="AU378" s="39"/>
      <c r="AV378" s="39"/>
      <c r="AW378" s="39"/>
      <c r="AX378" s="39"/>
      <c r="AY378" s="39"/>
      <c r="AZ378" s="39">
        <f t="shared" si="6"/>
        <v>0</v>
      </c>
      <c r="BA378" s="39"/>
      <c r="BB378" s="39"/>
      <c r="BC378" s="39"/>
      <c r="BD378" s="39"/>
      <c r="BE378" s="39"/>
      <c r="BF378" s="39">
        <f t="shared" si="7"/>
        <v>0</v>
      </c>
      <c r="BG378" s="39"/>
      <c r="BH378" s="39"/>
      <c r="BI378" s="39"/>
      <c r="BJ378" s="39"/>
      <c r="BK378" s="39"/>
      <c r="BL378" s="39">
        <f t="shared" si="8"/>
        <v>0</v>
      </c>
      <c r="BM378" s="54" t="e">
        <f t="shared" si="9"/>
        <v>#DIV/0!</v>
      </c>
      <c r="BN378" s="63"/>
      <c r="BO378" s="39"/>
      <c r="BP378" s="39"/>
      <c r="BQ378" s="39"/>
      <c r="BR378" s="39"/>
      <c r="BS378" s="39"/>
      <c r="BT378" s="39"/>
      <c r="BU378" s="39"/>
      <c r="BV378" s="39"/>
      <c r="BW378" s="39"/>
      <c r="BX378" s="39"/>
      <c r="BY378" s="39"/>
      <c r="BZ378" s="39">
        <f t="shared" si="10"/>
        <v>0</v>
      </c>
      <c r="CA378" s="39">
        <f t="shared" si="11"/>
        <v>0</v>
      </c>
      <c r="CB378" s="39">
        <f t="shared" si="12"/>
        <v>0</v>
      </c>
      <c r="CC378" s="39">
        <f t="shared" si="13"/>
        <v>0</v>
      </c>
      <c r="CD378" s="39">
        <f t="shared" si="14"/>
        <v>0</v>
      </c>
      <c r="CE378" s="47" t="e">
        <f t="shared" si="15"/>
        <v>#DIV/0!</v>
      </c>
      <c r="CF378" s="36"/>
      <c r="CG378" s="39"/>
      <c r="CH378" s="39"/>
      <c r="CI378" s="25">
        <v>3</v>
      </c>
    </row>
    <row r="379" spans="1:87" ht="24.75" customHeight="1">
      <c r="A379" s="36" t="s">
        <v>51</v>
      </c>
      <c r="B379" s="28"/>
      <c r="C379" s="41"/>
      <c r="D379" s="36"/>
      <c r="E379" s="39"/>
      <c r="F379" s="39"/>
      <c r="G379" s="36"/>
      <c r="H379" s="39"/>
      <c r="I379" s="39"/>
      <c r="J379" s="39"/>
      <c r="K379" s="39"/>
      <c r="L379" s="39">
        <f t="shared" si="193"/>
        <v>0</v>
      </c>
      <c r="M379" s="39"/>
      <c r="N379" s="39"/>
      <c r="O379" s="39"/>
      <c r="P379" s="39"/>
      <c r="Q379" s="39"/>
      <c r="R379" s="39">
        <f t="shared" si="194"/>
        <v>0</v>
      </c>
      <c r="S379" s="39"/>
      <c r="T379" s="39"/>
      <c r="U379" s="39"/>
      <c r="V379" s="39"/>
      <c r="W379" s="39"/>
      <c r="X379" s="39"/>
      <c r="Y379" s="39"/>
      <c r="Z379" s="39"/>
      <c r="AA379" s="39"/>
      <c r="AB379" s="39">
        <f t="shared" si="195"/>
        <v>0</v>
      </c>
      <c r="AC379" s="39"/>
      <c r="AD379" s="39"/>
      <c r="AE379" s="39"/>
      <c r="AF379" s="39"/>
      <c r="AG379" s="39"/>
      <c r="AH379" s="39">
        <f t="shared" si="3"/>
        <v>0</v>
      </c>
      <c r="AI379" s="39"/>
      <c r="AJ379" s="39"/>
      <c r="AK379" s="39"/>
      <c r="AL379" s="39"/>
      <c r="AM379" s="39"/>
      <c r="AN379" s="39">
        <f t="shared" si="196"/>
        <v>0</v>
      </c>
      <c r="AO379" s="39"/>
      <c r="AP379" s="39"/>
      <c r="AQ379" s="39"/>
      <c r="AR379" s="39"/>
      <c r="AS379" s="39"/>
      <c r="AT379" s="39">
        <f t="shared" si="5"/>
        <v>0</v>
      </c>
      <c r="AU379" s="39"/>
      <c r="AV379" s="39"/>
      <c r="AW379" s="39"/>
      <c r="AX379" s="39"/>
      <c r="AY379" s="39"/>
      <c r="AZ379" s="39">
        <f t="shared" si="6"/>
        <v>0</v>
      </c>
      <c r="BA379" s="39"/>
      <c r="BB379" s="39"/>
      <c r="BC379" s="39"/>
      <c r="BD379" s="39"/>
      <c r="BE379" s="39"/>
      <c r="BF379" s="39">
        <f t="shared" si="7"/>
        <v>0</v>
      </c>
      <c r="BG379" s="39"/>
      <c r="BH379" s="39"/>
      <c r="BI379" s="39"/>
      <c r="BJ379" s="39"/>
      <c r="BK379" s="39"/>
      <c r="BL379" s="39">
        <f t="shared" si="8"/>
        <v>0</v>
      </c>
      <c r="BM379" s="54" t="e">
        <f t="shared" si="9"/>
        <v>#DIV/0!</v>
      </c>
      <c r="BN379" s="63"/>
      <c r="BO379" s="39"/>
      <c r="BP379" s="39"/>
      <c r="BQ379" s="39"/>
      <c r="BR379" s="39"/>
      <c r="BS379" s="39"/>
      <c r="BT379" s="39"/>
      <c r="BU379" s="39"/>
      <c r="BV379" s="39"/>
      <c r="BW379" s="39"/>
      <c r="BX379" s="39"/>
      <c r="BY379" s="39"/>
      <c r="BZ379" s="39">
        <f t="shared" si="10"/>
        <v>0</v>
      </c>
      <c r="CA379" s="39">
        <f t="shared" si="11"/>
        <v>0</v>
      </c>
      <c r="CB379" s="39">
        <f t="shared" si="12"/>
        <v>0</v>
      </c>
      <c r="CC379" s="39">
        <f t="shared" si="13"/>
        <v>0</v>
      </c>
      <c r="CD379" s="39">
        <f t="shared" si="14"/>
        <v>0</v>
      </c>
      <c r="CE379" s="47" t="e">
        <f t="shared" si="15"/>
        <v>#DIV/0!</v>
      </c>
      <c r="CF379" s="36"/>
      <c r="CG379" s="39"/>
      <c r="CH379" s="39"/>
      <c r="CI379" s="25">
        <v>3</v>
      </c>
    </row>
    <row r="380" spans="1:87" ht="24.75" customHeight="1">
      <c r="A380" s="36" t="s">
        <v>51</v>
      </c>
      <c r="B380" s="28"/>
      <c r="C380" s="41"/>
      <c r="D380" s="36"/>
      <c r="E380" s="39"/>
      <c r="F380" s="39"/>
      <c r="G380" s="36"/>
      <c r="H380" s="39"/>
      <c r="I380" s="39"/>
      <c r="J380" s="39"/>
      <c r="K380" s="39"/>
      <c r="L380" s="39">
        <f t="shared" si="193"/>
        <v>0</v>
      </c>
      <c r="M380" s="39"/>
      <c r="N380" s="39"/>
      <c r="O380" s="39"/>
      <c r="P380" s="39"/>
      <c r="Q380" s="39"/>
      <c r="R380" s="39">
        <f t="shared" si="194"/>
        <v>0</v>
      </c>
      <c r="S380" s="39"/>
      <c r="T380" s="39"/>
      <c r="U380" s="39"/>
      <c r="V380" s="39"/>
      <c r="W380" s="39"/>
      <c r="X380" s="39"/>
      <c r="Y380" s="39"/>
      <c r="Z380" s="39"/>
      <c r="AA380" s="39"/>
      <c r="AB380" s="39">
        <f t="shared" si="195"/>
        <v>0</v>
      </c>
      <c r="AC380" s="39"/>
      <c r="AD380" s="39"/>
      <c r="AE380" s="39"/>
      <c r="AF380" s="39"/>
      <c r="AG380" s="39"/>
      <c r="AH380" s="39">
        <f t="shared" si="3"/>
        <v>0</v>
      </c>
      <c r="AI380" s="39"/>
      <c r="AJ380" s="39"/>
      <c r="AK380" s="39"/>
      <c r="AL380" s="39"/>
      <c r="AM380" s="39"/>
      <c r="AN380" s="39">
        <f t="shared" si="196"/>
        <v>0</v>
      </c>
      <c r="AO380" s="39"/>
      <c r="AP380" s="39"/>
      <c r="AQ380" s="39"/>
      <c r="AR380" s="39"/>
      <c r="AS380" s="39"/>
      <c r="AT380" s="39">
        <f t="shared" si="5"/>
        <v>0</v>
      </c>
      <c r="AU380" s="39"/>
      <c r="AV380" s="39"/>
      <c r="AW380" s="39"/>
      <c r="AX380" s="39"/>
      <c r="AY380" s="39"/>
      <c r="AZ380" s="39">
        <f t="shared" si="6"/>
        <v>0</v>
      </c>
      <c r="BA380" s="39"/>
      <c r="BB380" s="39"/>
      <c r="BC380" s="39"/>
      <c r="BD380" s="39"/>
      <c r="BE380" s="39"/>
      <c r="BF380" s="39">
        <f t="shared" si="7"/>
        <v>0</v>
      </c>
      <c r="BG380" s="39"/>
      <c r="BH380" s="39"/>
      <c r="BI380" s="39"/>
      <c r="BJ380" s="39"/>
      <c r="BK380" s="39"/>
      <c r="BL380" s="39">
        <f t="shared" si="8"/>
        <v>0</v>
      </c>
      <c r="BM380" s="54" t="e">
        <f t="shared" si="9"/>
        <v>#DIV/0!</v>
      </c>
      <c r="BN380" s="63"/>
      <c r="BO380" s="39"/>
      <c r="BP380" s="39"/>
      <c r="BQ380" s="39"/>
      <c r="BR380" s="39"/>
      <c r="BS380" s="39"/>
      <c r="BT380" s="39"/>
      <c r="BU380" s="39"/>
      <c r="BV380" s="39"/>
      <c r="BW380" s="39"/>
      <c r="BX380" s="39"/>
      <c r="BY380" s="39"/>
      <c r="BZ380" s="39">
        <f t="shared" si="10"/>
        <v>0</v>
      </c>
      <c r="CA380" s="39">
        <f t="shared" si="11"/>
        <v>0</v>
      </c>
      <c r="CB380" s="39">
        <f t="shared" si="12"/>
        <v>0</v>
      </c>
      <c r="CC380" s="39">
        <f t="shared" si="13"/>
        <v>0</v>
      </c>
      <c r="CD380" s="39">
        <f t="shared" si="14"/>
        <v>0</v>
      </c>
      <c r="CE380" s="47" t="e">
        <f t="shared" si="15"/>
        <v>#DIV/0!</v>
      </c>
      <c r="CF380" s="36"/>
      <c r="CG380" s="39"/>
      <c r="CH380" s="39"/>
      <c r="CI380" s="25">
        <v>3</v>
      </c>
    </row>
    <row r="381" spans="1:87" ht="24.75" customHeight="1">
      <c r="A381" s="36" t="s">
        <v>51</v>
      </c>
      <c r="B381" s="28"/>
      <c r="C381" s="41"/>
      <c r="D381" s="36"/>
      <c r="E381" s="39"/>
      <c r="F381" s="39"/>
      <c r="G381" s="36"/>
      <c r="H381" s="39"/>
      <c r="I381" s="39"/>
      <c r="J381" s="39"/>
      <c r="K381" s="39"/>
      <c r="L381" s="39">
        <f t="shared" si="193"/>
        <v>0</v>
      </c>
      <c r="M381" s="39"/>
      <c r="N381" s="39"/>
      <c r="O381" s="39"/>
      <c r="P381" s="39"/>
      <c r="Q381" s="39"/>
      <c r="R381" s="39">
        <f t="shared" si="194"/>
        <v>0</v>
      </c>
      <c r="S381" s="39"/>
      <c r="T381" s="39"/>
      <c r="U381" s="39"/>
      <c r="V381" s="39"/>
      <c r="W381" s="39"/>
      <c r="X381" s="39"/>
      <c r="Y381" s="39"/>
      <c r="Z381" s="39"/>
      <c r="AA381" s="39"/>
      <c r="AB381" s="39">
        <f t="shared" si="195"/>
        <v>0</v>
      </c>
      <c r="AC381" s="39"/>
      <c r="AD381" s="39"/>
      <c r="AE381" s="39"/>
      <c r="AF381" s="39"/>
      <c r="AG381" s="39"/>
      <c r="AH381" s="39">
        <f t="shared" si="3"/>
        <v>0</v>
      </c>
      <c r="AI381" s="39"/>
      <c r="AJ381" s="39"/>
      <c r="AK381" s="39"/>
      <c r="AL381" s="39"/>
      <c r="AM381" s="39"/>
      <c r="AN381" s="39">
        <f t="shared" si="196"/>
        <v>0</v>
      </c>
      <c r="AO381" s="39"/>
      <c r="AP381" s="39"/>
      <c r="AQ381" s="39"/>
      <c r="AR381" s="39"/>
      <c r="AS381" s="39"/>
      <c r="AT381" s="39">
        <f t="shared" si="5"/>
        <v>0</v>
      </c>
      <c r="AU381" s="39"/>
      <c r="AV381" s="39"/>
      <c r="AW381" s="39"/>
      <c r="AX381" s="39"/>
      <c r="AY381" s="39"/>
      <c r="AZ381" s="39">
        <f t="shared" si="6"/>
        <v>0</v>
      </c>
      <c r="BA381" s="39"/>
      <c r="BB381" s="39"/>
      <c r="BC381" s="39"/>
      <c r="BD381" s="39"/>
      <c r="BE381" s="39"/>
      <c r="BF381" s="39">
        <f t="shared" si="7"/>
        <v>0</v>
      </c>
      <c r="BG381" s="39"/>
      <c r="BH381" s="39"/>
      <c r="BI381" s="39"/>
      <c r="BJ381" s="39"/>
      <c r="BK381" s="39"/>
      <c r="BL381" s="39">
        <f t="shared" si="8"/>
        <v>0</v>
      </c>
      <c r="BM381" s="54" t="e">
        <f t="shared" si="9"/>
        <v>#DIV/0!</v>
      </c>
      <c r="BN381" s="63"/>
      <c r="BO381" s="39"/>
      <c r="BP381" s="39"/>
      <c r="BQ381" s="39"/>
      <c r="BR381" s="39"/>
      <c r="BS381" s="39"/>
      <c r="BT381" s="39"/>
      <c r="BU381" s="39"/>
      <c r="BV381" s="39"/>
      <c r="BW381" s="39"/>
      <c r="BX381" s="39"/>
      <c r="BY381" s="39"/>
      <c r="BZ381" s="39">
        <f t="shared" si="10"/>
        <v>0</v>
      </c>
      <c r="CA381" s="39">
        <f t="shared" si="11"/>
        <v>0</v>
      </c>
      <c r="CB381" s="39">
        <f t="shared" si="12"/>
        <v>0</v>
      </c>
      <c r="CC381" s="39">
        <f t="shared" si="13"/>
        <v>0</v>
      </c>
      <c r="CD381" s="39">
        <f t="shared" si="14"/>
        <v>0</v>
      </c>
      <c r="CE381" s="47" t="e">
        <f t="shared" si="15"/>
        <v>#DIV/0!</v>
      </c>
      <c r="CF381" s="36"/>
      <c r="CG381" s="39"/>
      <c r="CH381" s="39"/>
      <c r="CI381" s="25">
        <v>3</v>
      </c>
    </row>
    <row r="382" spans="1:87" ht="24.75" customHeight="1">
      <c r="A382" s="36" t="s">
        <v>387</v>
      </c>
      <c r="B382" s="27">
        <v>48219</v>
      </c>
      <c r="C382" s="235" t="s">
        <v>1749</v>
      </c>
      <c r="D382" s="36"/>
      <c r="E382" s="39">
        <v>230</v>
      </c>
      <c r="F382" s="39" t="s">
        <v>58</v>
      </c>
      <c r="G382" s="36" t="s">
        <v>1367</v>
      </c>
      <c r="H382" s="36" t="s">
        <v>96</v>
      </c>
      <c r="I382" s="39">
        <v>33</v>
      </c>
      <c r="J382" s="39"/>
      <c r="K382" s="39"/>
      <c r="L382" s="39">
        <f t="shared" ref="L382:L405" si="232">SUM(I382:K382)</f>
        <v>33</v>
      </c>
      <c r="M382" s="117">
        <v>46251</v>
      </c>
      <c r="N382" s="117">
        <v>46259</v>
      </c>
      <c r="O382" s="39"/>
      <c r="P382" s="39"/>
      <c r="Q382" s="39"/>
      <c r="R382" s="39">
        <f t="shared" ref="R382:R385" si="233">SUM(O382:Q382)</f>
        <v>0</v>
      </c>
      <c r="S382" s="39" t="s">
        <v>130</v>
      </c>
      <c r="T382" s="39"/>
      <c r="U382" s="39"/>
      <c r="V382" s="39"/>
      <c r="W382" s="39"/>
      <c r="X382" s="39"/>
      <c r="Y382" s="39"/>
      <c r="Z382" s="39"/>
      <c r="AA382" s="39"/>
      <c r="AB382" s="118">
        <f t="shared" ref="AB382:AB386" si="234">SUM(Y382:AA382)</f>
        <v>0</v>
      </c>
      <c r="AC382" s="39"/>
      <c r="AD382" s="39"/>
      <c r="AE382" s="39"/>
      <c r="AF382" s="39"/>
      <c r="AG382" s="39"/>
      <c r="AH382" s="39">
        <f t="shared" ref="AH382:AH444" si="235">AG382-AE382</f>
        <v>0</v>
      </c>
      <c r="AI382" s="39"/>
      <c r="AJ382" s="39"/>
      <c r="AK382" s="39"/>
      <c r="AL382" s="39"/>
      <c r="AM382" s="39"/>
      <c r="AN382" s="39">
        <f t="shared" si="196"/>
        <v>0</v>
      </c>
      <c r="AO382" s="39"/>
      <c r="AP382" s="39"/>
      <c r="AQ382" s="39"/>
      <c r="AR382" s="39"/>
      <c r="AS382" s="39"/>
      <c r="AT382" s="39">
        <f t="shared" ref="AT382:AT444" si="236">AS382-AQ382</f>
        <v>0</v>
      </c>
      <c r="AU382" s="39"/>
      <c r="AV382" s="39"/>
      <c r="AW382" s="39"/>
      <c r="AX382" s="39"/>
      <c r="AY382" s="39"/>
      <c r="AZ382" s="39">
        <f t="shared" ref="AZ382:AZ444" si="237">AY382-AW382</f>
        <v>0</v>
      </c>
      <c r="BA382" s="39"/>
      <c r="BB382" s="39"/>
      <c r="BC382" s="39"/>
      <c r="BD382" s="39"/>
      <c r="BE382" s="39"/>
      <c r="BF382" s="39">
        <f t="shared" ref="BF382:BF444" si="238">BE382-BC382</f>
        <v>0</v>
      </c>
      <c r="BG382" s="39"/>
      <c r="BH382" s="39"/>
      <c r="BI382" s="39"/>
      <c r="BJ382" s="39"/>
      <c r="BK382" s="39"/>
      <c r="BL382" s="39">
        <f t="shared" ref="BL382:BL444" si="239">BK382-BI382</f>
        <v>0</v>
      </c>
      <c r="BM382" s="54">
        <f t="shared" ref="BM382:BM444" ca="1" si="240">IF((BZ382/L382)&lt;0.9,$CO$1-U382,"")</f>
        <v>46283</v>
      </c>
      <c r="BN382" s="58">
        <v>46267</v>
      </c>
      <c r="BO382" s="57">
        <v>46273</v>
      </c>
      <c r="BP382" s="36"/>
      <c r="BQ382" s="36"/>
      <c r="BR382" s="41"/>
      <c r="BS382" s="41"/>
      <c r="BT382" s="39"/>
      <c r="BU382" s="39"/>
      <c r="BV382" s="39"/>
      <c r="BW382" s="39"/>
      <c r="BX382" s="39"/>
      <c r="BY382" s="39"/>
      <c r="BZ382" s="39">
        <f t="shared" ref="BZ382:BZ444" si="241">BU382+BW382+BY382</f>
        <v>0</v>
      </c>
      <c r="CA382" s="39">
        <f t="shared" ref="CA382:CA444" si="242">BU382-I382</f>
        <v>-33</v>
      </c>
      <c r="CB382" s="39">
        <f t="shared" ref="CB382:CB444" si="243">BW382-J382</f>
        <v>0</v>
      </c>
      <c r="CC382" s="39">
        <f t="shared" ref="CC382:CC444" si="244">BY382-K382</f>
        <v>0</v>
      </c>
      <c r="CD382" s="39">
        <f t="shared" ref="CD382:CD444" si="245">SUMIF(CA382:CC382,"&lt;0")</f>
        <v>-33</v>
      </c>
      <c r="CE382" s="102">
        <f t="shared" ref="CE382:CE444" si="246">CD382/L382</f>
        <v>-1</v>
      </c>
      <c r="CF382" s="36" t="s">
        <v>293</v>
      </c>
      <c r="CG382" s="39" t="s">
        <v>1051</v>
      </c>
      <c r="CH382" s="39"/>
      <c r="CI382" s="25">
        <v>1</v>
      </c>
    </row>
    <row r="383" spans="1:87" ht="24.75" customHeight="1">
      <c r="A383" s="36" t="s">
        <v>387</v>
      </c>
      <c r="B383" s="27">
        <v>48219</v>
      </c>
      <c r="C383" s="236"/>
      <c r="D383" s="36" t="s">
        <v>24</v>
      </c>
      <c r="E383" s="39">
        <v>230</v>
      </c>
      <c r="F383" s="39" t="s">
        <v>57</v>
      </c>
      <c r="G383" s="36" t="s">
        <v>1750</v>
      </c>
      <c r="H383" s="36" t="s">
        <v>96</v>
      </c>
      <c r="I383" s="39">
        <v>68</v>
      </c>
      <c r="J383" s="39"/>
      <c r="K383" s="39"/>
      <c r="L383" s="39">
        <f t="shared" si="232"/>
        <v>68</v>
      </c>
      <c r="M383" s="117">
        <v>46251</v>
      </c>
      <c r="N383" s="117">
        <v>46259</v>
      </c>
      <c r="O383" s="39"/>
      <c r="P383" s="39"/>
      <c r="Q383" s="39"/>
      <c r="R383" s="39">
        <f t="shared" ref="R383" si="247">SUM(O383:Q383)</f>
        <v>0</v>
      </c>
      <c r="S383" s="39" t="s">
        <v>130</v>
      </c>
      <c r="T383" s="39"/>
      <c r="U383" s="39"/>
      <c r="V383" s="39"/>
      <c r="W383" s="39"/>
      <c r="X383" s="39"/>
      <c r="Y383" s="39"/>
      <c r="Z383" s="39"/>
      <c r="AA383" s="39"/>
      <c r="AB383" s="118">
        <f t="shared" ref="AB383" si="248">SUM(Y383:AA383)</f>
        <v>0</v>
      </c>
      <c r="AC383" s="39"/>
      <c r="AD383" s="39"/>
      <c r="AE383" s="39"/>
      <c r="AF383" s="39"/>
      <c r="AG383" s="39"/>
      <c r="AH383" s="39">
        <f t="shared" si="235"/>
        <v>0</v>
      </c>
      <c r="AI383" s="39"/>
      <c r="AJ383" s="39"/>
      <c r="AK383" s="39"/>
      <c r="AL383" s="39"/>
      <c r="AM383" s="39"/>
      <c r="AN383" s="39">
        <f t="shared" si="196"/>
        <v>0</v>
      </c>
      <c r="AO383" s="39"/>
      <c r="AP383" s="39"/>
      <c r="AQ383" s="39"/>
      <c r="AR383" s="39"/>
      <c r="AS383" s="39"/>
      <c r="AT383" s="39">
        <f t="shared" si="236"/>
        <v>0</v>
      </c>
      <c r="AU383" s="39"/>
      <c r="AV383" s="39"/>
      <c r="AW383" s="39"/>
      <c r="AX383" s="39"/>
      <c r="AY383" s="39"/>
      <c r="AZ383" s="39">
        <f t="shared" si="237"/>
        <v>0</v>
      </c>
      <c r="BA383" s="39"/>
      <c r="BB383" s="39"/>
      <c r="BC383" s="39"/>
      <c r="BD383" s="39"/>
      <c r="BE383" s="39"/>
      <c r="BF383" s="39">
        <f t="shared" si="238"/>
        <v>0</v>
      </c>
      <c r="BG383" s="39"/>
      <c r="BH383" s="39"/>
      <c r="BI383" s="39"/>
      <c r="BJ383" s="39"/>
      <c r="BK383" s="39"/>
      <c r="BL383" s="39">
        <f t="shared" si="239"/>
        <v>0</v>
      </c>
      <c r="BM383" s="54">
        <f t="shared" ca="1" si="240"/>
        <v>46283</v>
      </c>
      <c r="BN383" s="58">
        <v>46267</v>
      </c>
      <c r="BO383" s="57">
        <v>46273</v>
      </c>
      <c r="BP383" s="36"/>
      <c r="BQ383" s="36"/>
      <c r="BR383" s="41"/>
      <c r="BS383" s="41"/>
      <c r="BT383" s="39"/>
      <c r="BU383" s="39"/>
      <c r="BV383" s="39"/>
      <c r="BW383" s="39"/>
      <c r="BX383" s="39"/>
      <c r="BY383" s="39"/>
      <c r="BZ383" s="39">
        <f t="shared" si="241"/>
        <v>0</v>
      </c>
      <c r="CA383" s="39">
        <f t="shared" si="242"/>
        <v>-68</v>
      </c>
      <c r="CB383" s="39">
        <f t="shared" si="243"/>
        <v>0</v>
      </c>
      <c r="CC383" s="39">
        <f t="shared" si="244"/>
        <v>0</v>
      </c>
      <c r="CD383" s="39">
        <f t="shared" si="245"/>
        <v>-68</v>
      </c>
      <c r="CE383" s="102">
        <f t="shared" si="246"/>
        <v>-1</v>
      </c>
      <c r="CF383" s="36" t="s">
        <v>293</v>
      </c>
      <c r="CG383" s="39" t="s">
        <v>1051</v>
      </c>
      <c r="CH383" s="39"/>
      <c r="CI383" s="25">
        <v>1</v>
      </c>
    </row>
    <row r="384" spans="1:87" ht="24.75" customHeight="1">
      <c r="A384" s="36" t="s">
        <v>387</v>
      </c>
      <c r="B384" s="27">
        <v>48235</v>
      </c>
      <c r="C384" s="235" t="s">
        <v>2033</v>
      </c>
      <c r="D384" s="36"/>
      <c r="E384" s="39">
        <v>160</v>
      </c>
      <c r="F384" s="39" t="s">
        <v>55</v>
      </c>
      <c r="G384" s="36" t="s">
        <v>1366</v>
      </c>
      <c r="H384" s="36" t="s">
        <v>22</v>
      </c>
      <c r="I384" s="39">
        <v>38</v>
      </c>
      <c r="J384" s="39">
        <v>6</v>
      </c>
      <c r="K384" s="39"/>
      <c r="L384" s="39">
        <f t="shared" si="232"/>
        <v>44</v>
      </c>
      <c r="M384" s="117">
        <v>46259</v>
      </c>
      <c r="N384" s="117">
        <v>46264</v>
      </c>
      <c r="O384" s="39"/>
      <c r="P384" s="39"/>
      <c r="Q384" s="39"/>
      <c r="R384" s="39">
        <f t="shared" si="233"/>
        <v>0</v>
      </c>
      <c r="S384" s="39" t="s">
        <v>130</v>
      </c>
      <c r="T384" s="39">
        <v>107892</v>
      </c>
      <c r="U384" s="117">
        <v>46223</v>
      </c>
      <c r="V384" s="39"/>
      <c r="W384" s="39"/>
      <c r="X384" s="39"/>
      <c r="Y384" s="39">
        <v>51</v>
      </c>
      <c r="Z384" s="39">
        <v>9</v>
      </c>
      <c r="AA384" s="39"/>
      <c r="AB384" s="119">
        <f t="shared" si="234"/>
        <v>60</v>
      </c>
      <c r="AC384" s="39"/>
      <c r="AD384" s="39"/>
      <c r="AE384" s="39"/>
      <c r="AF384" s="39"/>
      <c r="AG384" s="39"/>
      <c r="AH384" s="39">
        <f t="shared" si="235"/>
        <v>0</v>
      </c>
      <c r="AI384" s="39"/>
      <c r="AJ384" s="39"/>
      <c r="AK384" s="39"/>
      <c r="AL384" s="39"/>
      <c r="AM384" s="39"/>
      <c r="AN384" s="39">
        <f t="shared" si="196"/>
        <v>0</v>
      </c>
      <c r="AO384" s="39"/>
      <c r="AP384" s="39"/>
      <c r="AQ384" s="39"/>
      <c r="AR384" s="39"/>
      <c r="AS384" s="39"/>
      <c r="AT384" s="39">
        <f t="shared" si="236"/>
        <v>0</v>
      </c>
      <c r="AU384" s="39"/>
      <c r="AV384" s="39"/>
      <c r="AW384" s="39"/>
      <c r="AX384" s="39"/>
      <c r="AY384" s="39"/>
      <c r="AZ384" s="39">
        <f t="shared" si="237"/>
        <v>0</v>
      </c>
      <c r="BA384" s="39"/>
      <c r="BB384" s="39"/>
      <c r="BC384" s="39"/>
      <c r="BD384" s="39"/>
      <c r="BE384" s="39"/>
      <c r="BF384" s="39">
        <f t="shared" si="238"/>
        <v>0</v>
      </c>
      <c r="BG384" s="39"/>
      <c r="BH384" s="39"/>
      <c r="BI384" s="39"/>
      <c r="BJ384" s="39"/>
      <c r="BK384" s="39"/>
      <c r="BL384" s="39">
        <f t="shared" si="239"/>
        <v>0</v>
      </c>
      <c r="BM384" s="54" t="str">
        <f t="shared" si="240"/>
        <v/>
      </c>
      <c r="BN384" s="58">
        <v>46275</v>
      </c>
      <c r="BO384" s="57">
        <v>46290</v>
      </c>
      <c r="BP384" s="36"/>
      <c r="BQ384" s="36"/>
      <c r="BR384" s="155">
        <v>46225</v>
      </c>
      <c r="BS384" s="155">
        <v>46233</v>
      </c>
      <c r="BT384" s="39">
        <v>1825</v>
      </c>
      <c r="BU384" s="39">
        <v>45</v>
      </c>
      <c r="BV384" s="39">
        <v>1918</v>
      </c>
      <c r="BW384" s="39">
        <v>7</v>
      </c>
      <c r="BX384" s="39"/>
      <c r="BY384" s="39"/>
      <c r="BZ384" s="39">
        <f t="shared" si="241"/>
        <v>52</v>
      </c>
      <c r="CA384" s="39">
        <f t="shared" si="242"/>
        <v>7</v>
      </c>
      <c r="CB384" s="39">
        <f t="shared" si="243"/>
        <v>1</v>
      </c>
      <c r="CC384" s="39">
        <f t="shared" si="244"/>
        <v>0</v>
      </c>
      <c r="CD384" s="39">
        <f t="shared" si="245"/>
        <v>0</v>
      </c>
      <c r="CE384" s="102">
        <f t="shared" si="246"/>
        <v>0</v>
      </c>
      <c r="CF384" s="36" t="s">
        <v>293</v>
      </c>
      <c r="CG384" s="39" t="s">
        <v>1051</v>
      </c>
      <c r="CH384" s="39"/>
      <c r="CI384" s="25">
        <v>1</v>
      </c>
    </row>
    <row r="385" spans="1:87" ht="24.75" customHeight="1">
      <c r="A385" s="36" t="s">
        <v>387</v>
      </c>
      <c r="B385" s="27">
        <v>48235</v>
      </c>
      <c r="C385" s="240"/>
      <c r="D385" s="36"/>
      <c r="E385" s="39">
        <v>160</v>
      </c>
      <c r="F385" s="39" t="s">
        <v>55</v>
      </c>
      <c r="G385" s="36" t="s">
        <v>47</v>
      </c>
      <c r="H385" s="36" t="s">
        <v>22</v>
      </c>
      <c r="I385" s="39">
        <v>58</v>
      </c>
      <c r="J385" s="39">
        <v>8</v>
      </c>
      <c r="K385" s="39"/>
      <c r="L385" s="39">
        <f t="shared" ref="L385" si="249">SUM(I385:K385)</f>
        <v>66</v>
      </c>
      <c r="M385" s="117">
        <v>46259</v>
      </c>
      <c r="N385" s="117">
        <v>46264</v>
      </c>
      <c r="O385" s="39"/>
      <c r="P385" s="39"/>
      <c r="Q385" s="39"/>
      <c r="R385" s="39">
        <f t="shared" si="233"/>
        <v>0</v>
      </c>
      <c r="S385" s="39" t="s">
        <v>130</v>
      </c>
      <c r="T385" s="39">
        <v>108690</v>
      </c>
      <c r="U385" s="117">
        <v>46252</v>
      </c>
      <c r="V385" s="39"/>
      <c r="W385" s="39"/>
      <c r="X385" s="39"/>
      <c r="Y385" s="39">
        <v>73</v>
      </c>
      <c r="Z385" s="39">
        <v>11</v>
      </c>
      <c r="AA385" s="39"/>
      <c r="AB385" s="119">
        <f t="shared" ref="AB385" si="250">SUM(Y385:AA385)</f>
        <v>84</v>
      </c>
      <c r="AC385" s="39"/>
      <c r="AD385" s="39"/>
      <c r="AE385" s="39"/>
      <c r="AF385" s="39"/>
      <c r="AG385" s="39"/>
      <c r="AH385" s="39">
        <f t="shared" ref="AH385" si="251">AG385-AE385</f>
        <v>0</v>
      </c>
      <c r="AI385" s="39"/>
      <c r="AJ385" s="39"/>
      <c r="AK385" s="39"/>
      <c r="AL385" s="39"/>
      <c r="AM385" s="39"/>
      <c r="AN385" s="39">
        <f t="shared" ref="AN385" si="252">AM385-AK385</f>
        <v>0</v>
      </c>
      <c r="AO385" s="39"/>
      <c r="AP385" s="39"/>
      <c r="AQ385" s="39"/>
      <c r="AR385" s="39"/>
      <c r="AS385" s="39"/>
      <c r="AT385" s="39">
        <f t="shared" ref="AT385" si="253">AS385-AQ385</f>
        <v>0</v>
      </c>
      <c r="AU385" s="39"/>
      <c r="AV385" s="39"/>
      <c r="AW385" s="39"/>
      <c r="AX385" s="39"/>
      <c r="AY385" s="39"/>
      <c r="AZ385" s="39">
        <f t="shared" ref="AZ385" si="254">AY385-AW385</f>
        <v>0</v>
      </c>
      <c r="BA385" s="39"/>
      <c r="BB385" s="39"/>
      <c r="BC385" s="39"/>
      <c r="BD385" s="39"/>
      <c r="BE385" s="39"/>
      <c r="BF385" s="39">
        <f t="shared" ref="BF385" si="255">BE385-BC385</f>
        <v>0</v>
      </c>
      <c r="BG385" s="39"/>
      <c r="BH385" s="39"/>
      <c r="BI385" s="39"/>
      <c r="BJ385" s="39"/>
      <c r="BK385" s="39"/>
      <c r="BL385" s="39">
        <f t="shared" ref="BL385" si="256">BK385-BI385</f>
        <v>0</v>
      </c>
      <c r="BM385" s="54" t="str">
        <f t="shared" ref="BM385" si="257">IF((BZ385/L385)&lt;0.9,$CO$1-U385,"")</f>
        <v/>
      </c>
      <c r="BN385" s="58">
        <v>46275</v>
      </c>
      <c r="BO385" s="57">
        <v>46290</v>
      </c>
      <c r="BP385" s="36"/>
      <c r="BQ385" s="36"/>
      <c r="BR385" s="155">
        <v>46255</v>
      </c>
      <c r="BS385" s="155">
        <v>46261</v>
      </c>
      <c r="BT385" s="39">
        <v>1018</v>
      </c>
      <c r="BU385" s="39">
        <v>60</v>
      </c>
      <c r="BV385" s="39">
        <v>704</v>
      </c>
      <c r="BW385" s="39">
        <v>9</v>
      </c>
      <c r="BX385" s="39"/>
      <c r="BY385" s="39"/>
      <c r="BZ385" s="39">
        <f t="shared" ref="BZ385" si="258">BU385+BW385+BY385</f>
        <v>69</v>
      </c>
      <c r="CA385" s="39">
        <f t="shared" ref="CA385" si="259">BU385-I385</f>
        <v>2</v>
      </c>
      <c r="CB385" s="39">
        <f t="shared" ref="CB385" si="260">BW385-J385</f>
        <v>1</v>
      </c>
      <c r="CC385" s="39">
        <f t="shared" ref="CC385" si="261">BY385-K385</f>
        <v>0</v>
      </c>
      <c r="CD385" s="39">
        <f t="shared" ref="CD385" si="262">SUMIF(CA385:CC385,"&lt;0")</f>
        <v>0</v>
      </c>
      <c r="CE385" s="102">
        <f t="shared" ref="CE385" si="263">CD385/L385</f>
        <v>0</v>
      </c>
      <c r="CF385" s="36" t="s">
        <v>293</v>
      </c>
      <c r="CG385" s="39" t="s">
        <v>1051</v>
      </c>
      <c r="CH385" s="39" t="s">
        <v>114</v>
      </c>
      <c r="CI385" s="25">
        <v>1</v>
      </c>
    </row>
    <row r="386" spans="1:87" ht="24.75" customHeight="1">
      <c r="A386" s="36" t="s">
        <v>387</v>
      </c>
      <c r="B386" s="27">
        <v>48235</v>
      </c>
      <c r="C386" s="236"/>
      <c r="D386" s="36"/>
      <c r="E386" s="39"/>
      <c r="F386" s="39"/>
      <c r="G386" s="36" t="s">
        <v>1502</v>
      </c>
      <c r="H386" s="36">
        <f>280+445</f>
        <v>725</v>
      </c>
      <c r="I386" s="39" t="s">
        <v>90</v>
      </c>
      <c r="J386" s="39"/>
      <c r="K386" s="39"/>
      <c r="L386" s="39">
        <f t="shared" si="232"/>
        <v>0</v>
      </c>
      <c r="M386" s="117">
        <v>46259</v>
      </c>
      <c r="N386" s="117">
        <v>46264</v>
      </c>
      <c r="O386" s="39"/>
      <c r="P386" s="39"/>
      <c r="Q386" s="39"/>
      <c r="R386" s="39">
        <f t="shared" ref="R386" si="264">SUM(O386:Q386)</f>
        <v>0</v>
      </c>
      <c r="S386" s="39" t="s">
        <v>130</v>
      </c>
      <c r="T386" s="39"/>
      <c r="U386" s="39"/>
      <c r="V386" s="39"/>
      <c r="W386" s="39"/>
      <c r="X386" s="39"/>
      <c r="Y386" s="39"/>
      <c r="Z386" s="39"/>
      <c r="AA386" s="39"/>
      <c r="AB386" s="39">
        <f t="shared" si="234"/>
        <v>0</v>
      </c>
      <c r="AC386" s="39"/>
      <c r="AD386" s="39"/>
      <c r="AE386" s="39"/>
      <c r="AF386" s="39"/>
      <c r="AG386" s="39"/>
      <c r="AH386" s="39">
        <f t="shared" si="235"/>
        <v>0</v>
      </c>
      <c r="AI386" s="39"/>
      <c r="AJ386" s="39"/>
      <c r="AK386" s="39"/>
      <c r="AL386" s="39"/>
      <c r="AM386" s="39"/>
      <c r="AN386" s="39">
        <f t="shared" si="196"/>
        <v>0</v>
      </c>
      <c r="AO386" s="39"/>
      <c r="AP386" s="39"/>
      <c r="AQ386" s="39"/>
      <c r="AR386" s="39"/>
      <c r="AS386" s="39"/>
      <c r="AT386" s="39">
        <f t="shared" si="236"/>
        <v>0</v>
      </c>
      <c r="AU386" s="39"/>
      <c r="AV386" s="39"/>
      <c r="AW386" s="39"/>
      <c r="AX386" s="39"/>
      <c r="AY386" s="39"/>
      <c r="AZ386" s="39">
        <f t="shared" si="237"/>
        <v>0</v>
      </c>
      <c r="BA386" s="39"/>
      <c r="BB386" s="39"/>
      <c r="BC386" s="39"/>
      <c r="BD386" s="39"/>
      <c r="BE386" s="39"/>
      <c r="BF386" s="39">
        <f t="shared" si="238"/>
        <v>0</v>
      </c>
      <c r="BG386" s="39"/>
      <c r="BH386" s="39"/>
      <c r="BI386" s="39"/>
      <c r="BJ386" s="39"/>
      <c r="BK386" s="39"/>
      <c r="BL386" s="39">
        <f t="shared" si="239"/>
        <v>0</v>
      </c>
      <c r="BM386" s="54" t="e">
        <f t="shared" si="240"/>
        <v>#DIV/0!</v>
      </c>
      <c r="BN386" s="58">
        <v>46275</v>
      </c>
      <c r="BO386" s="57">
        <v>46290</v>
      </c>
      <c r="BP386" s="36"/>
      <c r="BQ386" s="36"/>
      <c r="BR386" s="155"/>
      <c r="BS386" s="41"/>
      <c r="BT386" s="39"/>
      <c r="BU386" s="39"/>
      <c r="BV386" s="39"/>
      <c r="BW386" s="39"/>
      <c r="BX386" s="39"/>
      <c r="BY386" s="39"/>
      <c r="BZ386" s="39">
        <f t="shared" si="241"/>
        <v>0</v>
      </c>
      <c r="CA386" s="39" t="e">
        <f t="shared" si="242"/>
        <v>#VALUE!</v>
      </c>
      <c r="CB386" s="39">
        <f t="shared" si="243"/>
        <v>0</v>
      </c>
      <c r="CC386" s="39">
        <f t="shared" si="244"/>
        <v>0</v>
      </c>
      <c r="CD386" s="39">
        <f t="shared" si="245"/>
        <v>0</v>
      </c>
      <c r="CE386" s="102" t="e">
        <f t="shared" si="246"/>
        <v>#DIV/0!</v>
      </c>
      <c r="CF386" s="36" t="s">
        <v>293</v>
      </c>
      <c r="CG386" s="39" t="s">
        <v>1051</v>
      </c>
      <c r="CH386" s="39"/>
      <c r="CI386" s="25">
        <v>1</v>
      </c>
    </row>
    <row r="387" spans="1:87" ht="24.75" customHeight="1">
      <c r="A387" s="36" t="s">
        <v>387</v>
      </c>
      <c r="B387" s="27">
        <v>48214</v>
      </c>
      <c r="C387" s="235" t="s">
        <v>2733</v>
      </c>
      <c r="D387" s="36"/>
      <c r="E387" s="39">
        <v>200</v>
      </c>
      <c r="F387" s="39" t="s">
        <v>66</v>
      </c>
      <c r="G387" s="36" t="s">
        <v>394</v>
      </c>
      <c r="H387" s="36" t="s">
        <v>89</v>
      </c>
      <c r="I387" s="39">
        <v>76</v>
      </c>
      <c r="J387" s="39"/>
      <c r="K387" s="39"/>
      <c r="L387" s="39">
        <f t="shared" si="232"/>
        <v>76</v>
      </c>
      <c r="M387" s="117">
        <v>46249</v>
      </c>
      <c r="N387" s="117">
        <v>46254</v>
      </c>
      <c r="O387" s="39"/>
      <c r="P387" s="39"/>
      <c r="Q387" s="39"/>
      <c r="R387" s="39">
        <f t="shared" ref="R387:R396" si="265">SUM(O387:Q387)</f>
        <v>0</v>
      </c>
      <c r="S387" s="39" t="s">
        <v>130</v>
      </c>
      <c r="T387" s="39"/>
      <c r="U387" s="39"/>
      <c r="V387" s="39"/>
      <c r="W387" s="39"/>
      <c r="X387" s="39"/>
      <c r="Y387" s="39"/>
      <c r="Z387" s="39"/>
      <c r="AA387" s="39"/>
      <c r="AB387" s="118">
        <f t="shared" ref="AB387:AB413" si="266">SUM(Y387:AA387)</f>
        <v>0</v>
      </c>
      <c r="AC387" s="39"/>
      <c r="AD387" s="39"/>
      <c r="AE387" s="39"/>
      <c r="AF387" s="39"/>
      <c r="AG387" s="39"/>
      <c r="AH387" s="39">
        <f t="shared" si="235"/>
        <v>0</v>
      </c>
      <c r="AI387" s="39"/>
      <c r="AJ387" s="39"/>
      <c r="AK387" s="39"/>
      <c r="AL387" s="39"/>
      <c r="AM387" s="39"/>
      <c r="AN387" s="39">
        <f t="shared" si="196"/>
        <v>0</v>
      </c>
      <c r="AO387" s="39"/>
      <c r="AP387" s="39"/>
      <c r="AQ387" s="39"/>
      <c r="AR387" s="39"/>
      <c r="AS387" s="39"/>
      <c r="AT387" s="39">
        <f t="shared" si="236"/>
        <v>0</v>
      </c>
      <c r="AU387" s="39"/>
      <c r="AV387" s="39"/>
      <c r="AW387" s="39"/>
      <c r="AX387" s="39"/>
      <c r="AY387" s="39"/>
      <c r="AZ387" s="39">
        <f t="shared" si="237"/>
        <v>0</v>
      </c>
      <c r="BA387" s="39"/>
      <c r="BB387" s="39"/>
      <c r="BC387" s="39"/>
      <c r="BD387" s="39"/>
      <c r="BE387" s="39"/>
      <c r="BF387" s="39">
        <f t="shared" si="238"/>
        <v>0</v>
      </c>
      <c r="BG387" s="39"/>
      <c r="BH387" s="39"/>
      <c r="BI387" s="39"/>
      <c r="BJ387" s="39"/>
      <c r="BK387" s="39"/>
      <c r="BL387" s="39">
        <f t="shared" si="239"/>
        <v>0</v>
      </c>
      <c r="BM387" s="54">
        <f t="shared" ca="1" si="240"/>
        <v>46283</v>
      </c>
      <c r="BN387" s="58">
        <v>46267</v>
      </c>
      <c r="BO387" s="57">
        <v>46280</v>
      </c>
      <c r="BP387" s="36"/>
      <c r="BQ387" s="36"/>
      <c r="BR387" s="41"/>
      <c r="BS387" s="41"/>
      <c r="BT387" s="39"/>
      <c r="BU387" s="39"/>
      <c r="BV387" s="39"/>
      <c r="BW387" s="39"/>
      <c r="BX387" s="39"/>
      <c r="BY387" s="39"/>
      <c r="BZ387" s="39">
        <f t="shared" si="241"/>
        <v>0</v>
      </c>
      <c r="CA387" s="39">
        <f t="shared" si="242"/>
        <v>-76</v>
      </c>
      <c r="CB387" s="39">
        <f t="shared" si="243"/>
        <v>0</v>
      </c>
      <c r="CC387" s="39">
        <f t="shared" si="244"/>
        <v>0</v>
      </c>
      <c r="CD387" s="39">
        <f t="shared" si="245"/>
        <v>-76</v>
      </c>
      <c r="CE387" s="102">
        <f t="shared" si="246"/>
        <v>-1</v>
      </c>
      <c r="CF387" s="36" t="s">
        <v>293</v>
      </c>
      <c r="CG387" s="39" t="s">
        <v>1051</v>
      </c>
      <c r="CH387" s="39"/>
      <c r="CI387" s="25">
        <v>1</v>
      </c>
    </row>
    <row r="388" spans="1:87" ht="24.75" customHeight="1">
      <c r="A388" s="36" t="s">
        <v>387</v>
      </c>
      <c r="B388" s="27">
        <v>48214</v>
      </c>
      <c r="C388" s="240"/>
      <c r="D388" s="36"/>
      <c r="E388" s="39">
        <v>200</v>
      </c>
      <c r="F388" s="39" t="s">
        <v>66</v>
      </c>
      <c r="G388" s="36" t="s">
        <v>47</v>
      </c>
      <c r="H388" s="36" t="s">
        <v>89</v>
      </c>
      <c r="I388" s="39">
        <v>19</v>
      </c>
      <c r="J388" s="39"/>
      <c r="K388" s="39"/>
      <c r="L388" s="39">
        <f t="shared" ref="L388" si="267">SUM(I388:K388)</f>
        <v>19</v>
      </c>
      <c r="M388" s="117">
        <v>46249</v>
      </c>
      <c r="N388" s="117">
        <v>46254</v>
      </c>
      <c r="O388" s="39"/>
      <c r="P388" s="39"/>
      <c r="Q388" s="39"/>
      <c r="R388" s="39">
        <f t="shared" si="265"/>
        <v>0</v>
      </c>
      <c r="S388" s="39" t="s">
        <v>130</v>
      </c>
      <c r="T388" s="39"/>
      <c r="U388" s="39"/>
      <c r="V388" s="39"/>
      <c r="W388" s="39"/>
      <c r="X388" s="39"/>
      <c r="Y388" s="39"/>
      <c r="Z388" s="39"/>
      <c r="AA388" s="39"/>
      <c r="AB388" s="118">
        <f t="shared" si="266"/>
        <v>0</v>
      </c>
      <c r="AC388" s="39"/>
      <c r="AD388" s="39"/>
      <c r="AE388" s="39"/>
      <c r="AF388" s="39"/>
      <c r="AG388" s="39"/>
      <c r="AH388" s="39">
        <f t="shared" si="235"/>
        <v>0</v>
      </c>
      <c r="AI388" s="39"/>
      <c r="AJ388" s="39"/>
      <c r="AK388" s="39"/>
      <c r="AL388" s="39"/>
      <c r="AM388" s="39"/>
      <c r="AN388" s="39">
        <f t="shared" si="196"/>
        <v>0</v>
      </c>
      <c r="AO388" s="39"/>
      <c r="AP388" s="39"/>
      <c r="AQ388" s="39"/>
      <c r="AR388" s="39"/>
      <c r="AS388" s="39"/>
      <c r="AT388" s="39">
        <f t="shared" si="236"/>
        <v>0</v>
      </c>
      <c r="AU388" s="39"/>
      <c r="AV388" s="39"/>
      <c r="AW388" s="39"/>
      <c r="AX388" s="39"/>
      <c r="AY388" s="39"/>
      <c r="AZ388" s="39">
        <f t="shared" si="237"/>
        <v>0</v>
      </c>
      <c r="BA388" s="39"/>
      <c r="BB388" s="39"/>
      <c r="BC388" s="39"/>
      <c r="BD388" s="39"/>
      <c r="BE388" s="39"/>
      <c r="BF388" s="39">
        <f t="shared" si="238"/>
        <v>0</v>
      </c>
      <c r="BG388" s="39"/>
      <c r="BH388" s="39"/>
      <c r="BI388" s="39"/>
      <c r="BJ388" s="39"/>
      <c r="BK388" s="39"/>
      <c r="BL388" s="39">
        <f t="shared" si="239"/>
        <v>0</v>
      </c>
      <c r="BM388" s="54">
        <f t="shared" ca="1" si="240"/>
        <v>46283</v>
      </c>
      <c r="BN388" s="58">
        <v>46267</v>
      </c>
      <c r="BO388" s="57">
        <v>46280</v>
      </c>
      <c r="BP388" s="36"/>
      <c r="BQ388" s="36"/>
      <c r="BR388" s="41"/>
      <c r="BS388" s="41"/>
      <c r="BT388" s="39"/>
      <c r="BU388" s="39"/>
      <c r="BV388" s="39"/>
      <c r="BW388" s="39"/>
      <c r="BX388" s="39"/>
      <c r="BY388" s="39"/>
      <c r="BZ388" s="39">
        <f t="shared" si="241"/>
        <v>0</v>
      </c>
      <c r="CA388" s="39">
        <f t="shared" si="242"/>
        <v>-19</v>
      </c>
      <c r="CB388" s="39">
        <f t="shared" si="243"/>
        <v>0</v>
      </c>
      <c r="CC388" s="39">
        <f t="shared" si="244"/>
        <v>0</v>
      </c>
      <c r="CD388" s="39">
        <f t="shared" si="245"/>
        <v>-19</v>
      </c>
      <c r="CE388" s="102">
        <f t="shared" si="246"/>
        <v>-1</v>
      </c>
      <c r="CF388" s="36" t="s">
        <v>293</v>
      </c>
      <c r="CG388" s="39" t="s">
        <v>1051</v>
      </c>
      <c r="CH388" s="39"/>
      <c r="CI388" s="25">
        <v>1</v>
      </c>
    </row>
    <row r="389" spans="1:87" ht="24.75" customHeight="1">
      <c r="A389" s="36" t="s">
        <v>387</v>
      </c>
      <c r="B389" s="27">
        <v>48214</v>
      </c>
      <c r="C389" s="240"/>
      <c r="D389" s="36"/>
      <c r="E389" s="39">
        <v>200</v>
      </c>
      <c r="F389" s="39" t="s">
        <v>66</v>
      </c>
      <c r="G389" s="36" t="s">
        <v>47</v>
      </c>
      <c r="H389" s="36" t="s">
        <v>89</v>
      </c>
      <c r="I389" s="39">
        <v>67</v>
      </c>
      <c r="J389" s="39"/>
      <c r="K389" s="39"/>
      <c r="L389" s="39">
        <f t="shared" ref="L389:L393" si="268">SUM(I389:K389)</f>
        <v>67</v>
      </c>
      <c r="M389" s="117">
        <v>46249</v>
      </c>
      <c r="N389" s="117">
        <v>46254</v>
      </c>
      <c r="O389" s="39"/>
      <c r="P389" s="39"/>
      <c r="Q389" s="39"/>
      <c r="R389" s="39">
        <f t="shared" si="265"/>
        <v>0</v>
      </c>
      <c r="S389" s="39" t="s">
        <v>130</v>
      </c>
      <c r="T389" s="39"/>
      <c r="U389" s="39"/>
      <c r="V389" s="39"/>
      <c r="W389" s="39"/>
      <c r="X389" s="39"/>
      <c r="Y389" s="39"/>
      <c r="Z389" s="39"/>
      <c r="AA389" s="39"/>
      <c r="AB389" s="118">
        <f t="shared" si="266"/>
        <v>0</v>
      </c>
      <c r="AC389" s="39"/>
      <c r="AD389" s="39"/>
      <c r="AE389" s="39"/>
      <c r="AF389" s="39"/>
      <c r="AG389" s="39"/>
      <c r="AH389" s="39">
        <f t="shared" si="235"/>
        <v>0</v>
      </c>
      <c r="AI389" s="39"/>
      <c r="AJ389" s="39"/>
      <c r="AK389" s="39"/>
      <c r="AL389" s="39"/>
      <c r="AM389" s="39"/>
      <c r="AN389" s="39">
        <f t="shared" si="196"/>
        <v>0</v>
      </c>
      <c r="AO389" s="39"/>
      <c r="AP389" s="39"/>
      <c r="AQ389" s="39"/>
      <c r="AR389" s="39"/>
      <c r="AS389" s="39"/>
      <c r="AT389" s="39">
        <f t="shared" si="236"/>
        <v>0</v>
      </c>
      <c r="AU389" s="39"/>
      <c r="AV389" s="39"/>
      <c r="AW389" s="39"/>
      <c r="AX389" s="39"/>
      <c r="AY389" s="39"/>
      <c r="AZ389" s="39">
        <f t="shared" si="237"/>
        <v>0</v>
      </c>
      <c r="BA389" s="39"/>
      <c r="BB389" s="39"/>
      <c r="BC389" s="39"/>
      <c r="BD389" s="39"/>
      <c r="BE389" s="39"/>
      <c r="BF389" s="39">
        <f t="shared" si="238"/>
        <v>0</v>
      </c>
      <c r="BG389" s="39"/>
      <c r="BH389" s="39"/>
      <c r="BI389" s="39"/>
      <c r="BJ389" s="39"/>
      <c r="BK389" s="39"/>
      <c r="BL389" s="39">
        <f t="shared" si="239"/>
        <v>0</v>
      </c>
      <c r="BM389" s="54">
        <f t="shared" ca="1" si="240"/>
        <v>46283</v>
      </c>
      <c r="BN389" s="58">
        <v>46267</v>
      </c>
      <c r="BO389" s="57">
        <v>46280</v>
      </c>
      <c r="BP389" s="36"/>
      <c r="BQ389" s="36"/>
      <c r="BR389" s="41"/>
      <c r="BS389" s="41"/>
      <c r="BT389" s="39"/>
      <c r="BU389" s="39"/>
      <c r="BV389" s="39"/>
      <c r="BW389" s="39"/>
      <c r="BX389" s="39"/>
      <c r="BY389" s="39"/>
      <c r="BZ389" s="39">
        <f t="shared" si="241"/>
        <v>0</v>
      </c>
      <c r="CA389" s="39">
        <f t="shared" si="242"/>
        <v>-67</v>
      </c>
      <c r="CB389" s="39">
        <f t="shared" si="243"/>
        <v>0</v>
      </c>
      <c r="CC389" s="39">
        <f t="shared" si="244"/>
        <v>0</v>
      </c>
      <c r="CD389" s="39">
        <f t="shared" si="245"/>
        <v>-67</v>
      </c>
      <c r="CE389" s="102">
        <f t="shared" si="246"/>
        <v>-1</v>
      </c>
      <c r="CF389" s="36" t="s">
        <v>293</v>
      </c>
      <c r="CG389" s="39" t="s">
        <v>1051</v>
      </c>
      <c r="CH389" s="39"/>
      <c r="CI389" s="25">
        <v>1</v>
      </c>
    </row>
    <row r="390" spans="1:87" ht="24.75" customHeight="1">
      <c r="A390" s="36" t="s">
        <v>387</v>
      </c>
      <c r="B390" s="27">
        <v>48214</v>
      </c>
      <c r="C390" s="236"/>
      <c r="D390" s="36"/>
      <c r="E390" s="39">
        <v>200</v>
      </c>
      <c r="F390" s="39" t="s">
        <v>66</v>
      </c>
      <c r="G390" s="36" t="s">
        <v>23</v>
      </c>
      <c r="H390" s="36" t="s">
        <v>89</v>
      </c>
      <c r="I390" s="39">
        <v>17</v>
      </c>
      <c r="J390" s="39"/>
      <c r="K390" s="39"/>
      <c r="L390" s="39">
        <f t="shared" si="268"/>
        <v>17</v>
      </c>
      <c r="M390" s="117">
        <v>46249</v>
      </c>
      <c r="N390" s="117">
        <v>46254</v>
      </c>
      <c r="O390" s="39"/>
      <c r="P390" s="39"/>
      <c r="Q390" s="39"/>
      <c r="R390" s="39">
        <f t="shared" si="265"/>
        <v>0</v>
      </c>
      <c r="S390" s="39" t="s">
        <v>130</v>
      </c>
      <c r="T390" s="39"/>
      <c r="U390" s="39"/>
      <c r="V390" s="39"/>
      <c r="W390" s="39"/>
      <c r="X390" s="39"/>
      <c r="Y390" s="39"/>
      <c r="Z390" s="39"/>
      <c r="AA390" s="39"/>
      <c r="AB390" s="118">
        <f t="shared" si="266"/>
        <v>0</v>
      </c>
      <c r="AC390" s="39"/>
      <c r="AD390" s="39"/>
      <c r="AE390" s="39"/>
      <c r="AF390" s="39"/>
      <c r="AG390" s="39"/>
      <c r="AH390" s="39">
        <f t="shared" si="235"/>
        <v>0</v>
      </c>
      <c r="AI390" s="39"/>
      <c r="AJ390" s="39"/>
      <c r="AK390" s="39"/>
      <c r="AL390" s="39"/>
      <c r="AM390" s="39"/>
      <c r="AN390" s="39">
        <f t="shared" si="196"/>
        <v>0</v>
      </c>
      <c r="AO390" s="39"/>
      <c r="AP390" s="39"/>
      <c r="AQ390" s="39"/>
      <c r="AR390" s="39"/>
      <c r="AS390" s="39"/>
      <c r="AT390" s="39">
        <f t="shared" si="236"/>
        <v>0</v>
      </c>
      <c r="AU390" s="39"/>
      <c r="AV390" s="39"/>
      <c r="AW390" s="39"/>
      <c r="AX390" s="39"/>
      <c r="AY390" s="39"/>
      <c r="AZ390" s="39">
        <f t="shared" si="237"/>
        <v>0</v>
      </c>
      <c r="BA390" s="39"/>
      <c r="BB390" s="39"/>
      <c r="BC390" s="39"/>
      <c r="BD390" s="39"/>
      <c r="BE390" s="39"/>
      <c r="BF390" s="39">
        <f t="shared" si="238"/>
        <v>0</v>
      </c>
      <c r="BG390" s="39"/>
      <c r="BH390" s="39"/>
      <c r="BI390" s="39"/>
      <c r="BJ390" s="39"/>
      <c r="BK390" s="39"/>
      <c r="BL390" s="39">
        <f t="shared" si="239"/>
        <v>0</v>
      </c>
      <c r="BM390" s="54">
        <f t="shared" ca="1" si="240"/>
        <v>46283</v>
      </c>
      <c r="BN390" s="58">
        <v>46267</v>
      </c>
      <c r="BO390" s="57">
        <v>46280</v>
      </c>
      <c r="BP390" s="36"/>
      <c r="BQ390" s="36"/>
      <c r="BR390" s="41"/>
      <c r="BS390" s="41"/>
      <c r="BT390" s="39"/>
      <c r="BU390" s="39"/>
      <c r="BV390" s="39"/>
      <c r="BW390" s="39"/>
      <c r="BX390" s="39"/>
      <c r="BY390" s="39"/>
      <c r="BZ390" s="39">
        <f t="shared" si="241"/>
        <v>0</v>
      </c>
      <c r="CA390" s="39">
        <f t="shared" si="242"/>
        <v>-17</v>
      </c>
      <c r="CB390" s="39">
        <f t="shared" si="243"/>
        <v>0</v>
      </c>
      <c r="CC390" s="39">
        <f t="shared" si="244"/>
        <v>0</v>
      </c>
      <c r="CD390" s="39">
        <f t="shared" si="245"/>
        <v>-17</v>
      </c>
      <c r="CE390" s="102">
        <f t="shared" si="246"/>
        <v>-1</v>
      </c>
      <c r="CF390" s="36" t="s">
        <v>293</v>
      </c>
      <c r="CG390" s="39" t="s">
        <v>1051</v>
      </c>
      <c r="CH390" s="39"/>
      <c r="CI390" s="25">
        <v>1</v>
      </c>
    </row>
    <row r="391" spans="1:87" ht="24.75" customHeight="1">
      <c r="A391" s="36" t="s">
        <v>387</v>
      </c>
      <c r="B391" s="27">
        <v>48224</v>
      </c>
      <c r="C391" s="235" t="s">
        <v>1842</v>
      </c>
      <c r="D391" s="36" t="s">
        <v>82</v>
      </c>
      <c r="E391" s="39">
        <v>260</v>
      </c>
      <c r="F391" s="39" t="s">
        <v>58</v>
      </c>
      <c r="G391" s="36" t="s">
        <v>1221</v>
      </c>
      <c r="H391" s="36" t="s">
        <v>1843</v>
      </c>
      <c r="I391" s="39">
        <v>15</v>
      </c>
      <c r="J391" s="39">
        <v>3</v>
      </c>
      <c r="K391" s="39">
        <v>1</v>
      </c>
      <c r="L391" s="39">
        <f t="shared" si="268"/>
        <v>19</v>
      </c>
      <c r="M391" s="117">
        <v>46250</v>
      </c>
      <c r="N391" s="117">
        <v>46254</v>
      </c>
      <c r="O391" s="39"/>
      <c r="P391" s="39"/>
      <c r="Q391" s="39"/>
      <c r="R391" s="39">
        <f t="shared" si="265"/>
        <v>0</v>
      </c>
      <c r="S391" s="39" t="s">
        <v>130</v>
      </c>
      <c r="T391" s="39">
        <v>109222</v>
      </c>
      <c r="U391" s="117">
        <v>46273</v>
      </c>
      <c r="V391" s="39"/>
      <c r="W391" s="39"/>
      <c r="X391" s="39"/>
      <c r="Y391" s="39">
        <v>24</v>
      </c>
      <c r="Z391" s="39">
        <v>5</v>
      </c>
      <c r="AA391" s="39">
        <v>3</v>
      </c>
      <c r="AB391" s="119">
        <f t="shared" si="266"/>
        <v>32</v>
      </c>
      <c r="AC391" s="39"/>
      <c r="AD391" s="39"/>
      <c r="AE391" s="39"/>
      <c r="AF391" s="39"/>
      <c r="AG391" s="39"/>
      <c r="AH391" s="39">
        <f t="shared" si="235"/>
        <v>0</v>
      </c>
      <c r="AI391" s="39"/>
      <c r="AJ391" s="39"/>
      <c r="AK391" s="39"/>
      <c r="AL391" s="39"/>
      <c r="AM391" s="39"/>
      <c r="AN391" s="39">
        <f t="shared" si="196"/>
        <v>0</v>
      </c>
      <c r="AO391" s="39" t="s">
        <v>280</v>
      </c>
      <c r="AP391" s="117">
        <v>46275</v>
      </c>
      <c r="AQ391" s="39">
        <v>22</v>
      </c>
      <c r="AR391" s="117">
        <v>46276</v>
      </c>
      <c r="AS391" s="39">
        <v>22</v>
      </c>
      <c r="AT391" s="39">
        <f t="shared" si="236"/>
        <v>0</v>
      </c>
      <c r="AU391" s="39"/>
      <c r="AV391" s="39"/>
      <c r="AW391" s="39"/>
      <c r="AX391" s="39"/>
      <c r="AY391" s="39"/>
      <c r="AZ391" s="39">
        <f t="shared" si="237"/>
        <v>0</v>
      </c>
      <c r="BA391" s="39"/>
      <c r="BB391" s="39"/>
      <c r="BC391" s="39"/>
      <c r="BD391" s="39"/>
      <c r="BE391" s="39"/>
      <c r="BF391" s="39">
        <f t="shared" si="238"/>
        <v>0</v>
      </c>
      <c r="BG391" s="39"/>
      <c r="BH391" s="39"/>
      <c r="BI391" s="39"/>
      <c r="BJ391" s="39"/>
      <c r="BK391" s="39"/>
      <c r="BL391" s="39">
        <f t="shared" si="239"/>
        <v>0</v>
      </c>
      <c r="BM391" s="54" t="str">
        <f t="shared" si="240"/>
        <v/>
      </c>
      <c r="BN391" s="58">
        <v>46266</v>
      </c>
      <c r="BO391" s="57">
        <v>46280</v>
      </c>
      <c r="BP391" s="36"/>
      <c r="BQ391" s="36"/>
      <c r="BR391" s="155">
        <v>46280</v>
      </c>
      <c r="BS391" s="41"/>
      <c r="BT391" s="153">
        <v>902</v>
      </c>
      <c r="BU391" s="153">
        <v>21</v>
      </c>
      <c r="BV391" s="153"/>
      <c r="BW391" s="153"/>
      <c r="BX391" s="153"/>
      <c r="BY391" s="153"/>
      <c r="BZ391" s="153">
        <f t="shared" si="241"/>
        <v>21</v>
      </c>
      <c r="CA391" s="153">
        <f t="shared" si="242"/>
        <v>6</v>
      </c>
      <c r="CB391" s="153">
        <f t="shared" si="243"/>
        <v>-3</v>
      </c>
      <c r="CC391" s="153">
        <f t="shared" si="244"/>
        <v>-1</v>
      </c>
      <c r="CD391" s="153">
        <f t="shared" si="245"/>
        <v>-4</v>
      </c>
      <c r="CE391" s="102">
        <f t="shared" si="246"/>
        <v>-0.21052631578947367</v>
      </c>
      <c r="CF391" s="153" t="s">
        <v>293</v>
      </c>
      <c r="CG391" s="39" t="s">
        <v>1051</v>
      </c>
      <c r="CH391" s="39"/>
      <c r="CI391" s="25">
        <v>1</v>
      </c>
    </row>
    <row r="392" spans="1:87" ht="24.75" customHeight="1">
      <c r="A392" s="36" t="s">
        <v>387</v>
      </c>
      <c r="B392" s="27">
        <v>48224</v>
      </c>
      <c r="C392" s="240"/>
      <c r="D392" s="36" t="s">
        <v>82</v>
      </c>
      <c r="E392" s="39">
        <v>260</v>
      </c>
      <c r="F392" s="39" t="s">
        <v>58</v>
      </c>
      <c r="G392" s="36" t="s">
        <v>288</v>
      </c>
      <c r="H392" s="36" t="s">
        <v>1843</v>
      </c>
      <c r="I392" s="39">
        <v>43</v>
      </c>
      <c r="J392" s="39">
        <v>18</v>
      </c>
      <c r="K392" s="39"/>
      <c r="L392" s="39">
        <f t="shared" si="268"/>
        <v>61</v>
      </c>
      <c r="M392" s="117">
        <v>46250</v>
      </c>
      <c r="N392" s="117">
        <v>46254</v>
      </c>
      <c r="O392" s="39"/>
      <c r="P392" s="39"/>
      <c r="Q392" s="39"/>
      <c r="R392" s="39">
        <f t="shared" si="265"/>
        <v>0</v>
      </c>
      <c r="S392" s="39" t="s">
        <v>130</v>
      </c>
      <c r="T392" s="39">
        <v>109152</v>
      </c>
      <c r="U392" s="117">
        <v>46268</v>
      </c>
      <c r="V392" s="39"/>
      <c r="W392" s="39"/>
      <c r="X392" s="39"/>
      <c r="Y392" s="39">
        <v>59</v>
      </c>
      <c r="Z392" s="39">
        <v>22</v>
      </c>
      <c r="AA392" s="39"/>
      <c r="AB392" s="119">
        <f t="shared" si="266"/>
        <v>81</v>
      </c>
      <c r="AC392" s="39"/>
      <c r="AD392" s="39"/>
      <c r="AE392" s="39"/>
      <c r="AF392" s="39"/>
      <c r="AG392" s="39"/>
      <c r="AH392" s="39">
        <f t="shared" si="235"/>
        <v>0</v>
      </c>
      <c r="AI392" s="39"/>
      <c r="AJ392" s="39"/>
      <c r="AK392" s="39"/>
      <c r="AL392" s="39"/>
      <c r="AM392" s="39"/>
      <c r="AN392" s="39">
        <f t="shared" si="196"/>
        <v>0</v>
      </c>
      <c r="AO392" s="39" t="s">
        <v>280</v>
      </c>
      <c r="AP392" s="117">
        <v>46270</v>
      </c>
      <c r="AQ392" s="39">
        <v>55</v>
      </c>
      <c r="AR392" s="117">
        <v>46272</v>
      </c>
      <c r="AS392" s="39">
        <v>52</v>
      </c>
      <c r="AT392" s="39">
        <f t="shared" si="236"/>
        <v>-3</v>
      </c>
      <c r="AU392" s="39"/>
      <c r="AV392" s="39"/>
      <c r="AW392" s="39"/>
      <c r="AX392" s="39"/>
      <c r="AY392" s="39"/>
      <c r="AZ392" s="39">
        <f t="shared" si="237"/>
        <v>0</v>
      </c>
      <c r="BA392" s="39"/>
      <c r="BB392" s="39"/>
      <c r="BC392" s="39"/>
      <c r="BD392" s="39"/>
      <c r="BE392" s="39"/>
      <c r="BF392" s="39">
        <f t="shared" si="238"/>
        <v>0</v>
      </c>
      <c r="BG392" s="39"/>
      <c r="BH392" s="39"/>
      <c r="BI392" s="39"/>
      <c r="BJ392" s="39"/>
      <c r="BK392" s="39"/>
      <c r="BL392" s="39">
        <f t="shared" si="239"/>
        <v>0</v>
      </c>
      <c r="BM392" s="54">
        <f t="shared" ca="1" si="240"/>
        <v>15</v>
      </c>
      <c r="BN392" s="58">
        <v>46266</v>
      </c>
      <c r="BO392" s="57">
        <v>46280</v>
      </c>
      <c r="BP392" s="36"/>
      <c r="BQ392" s="36"/>
      <c r="BR392" s="155">
        <v>46281</v>
      </c>
      <c r="BS392" s="41"/>
      <c r="BT392" s="39">
        <v>906</v>
      </c>
      <c r="BU392" s="39">
        <f>22</f>
        <v>22</v>
      </c>
      <c r="BV392" s="39"/>
      <c r="BW392" s="39"/>
      <c r="BX392" s="39"/>
      <c r="BY392" s="39"/>
      <c r="BZ392" s="39">
        <f t="shared" si="241"/>
        <v>22</v>
      </c>
      <c r="CA392" s="39">
        <f t="shared" si="242"/>
        <v>-21</v>
      </c>
      <c r="CB392" s="39">
        <f t="shared" si="243"/>
        <v>-18</v>
      </c>
      <c r="CC392" s="39">
        <f t="shared" si="244"/>
        <v>0</v>
      </c>
      <c r="CD392" s="39">
        <f t="shared" si="245"/>
        <v>-39</v>
      </c>
      <c r="CE392" s="102">
        <f t="shared" si="246"/>
        <v>-0.63934426229508201</v>
      </c>
      <c r="CF392" s="36" t="s">
        <v>293</v>
      </c>
      <c r="CG392" s="39" t="s">
        <v>1051</v>
      </c>
      <c r="CH392" s="39" t="s">
        <v>3067</v>
      </c>
      <c r="CI392" s="25">
        <v>1</v>
      </c>
    </row>
    <row r="393" spans="1:87" ht="24.75" customHeight="1">
      <c r="A393" s="36" t="s">
        <v>387</v>
      </c>
      <c r="B393" s="27">
        <v>48224</v>
      </c>
      <c r="C393" s="240"/>
      <c r="D393" s="36" t="s">
        <v>82</v>
      </c>
      <c r="E393" s="39">
        <v>260</v>
      </c>
      <c r="F393" s="39" t="s">
        <v>58</v>
      </c>
      <c r="G393" s="36" t="s">
        <v>1440</v>
      </c>
      <c r="H393" s="36" t="s">
        <v>1843</v>
      </c>
      <c r="I393" s="39">
        <v>15</v>
      </c>
      <c r="J393" s="39"/>
      <c r="K393" s="39"/>
      <c r="L393" s="39">
        <f t="shared" si="268"/>
        <v>15</v>
      </c>
      <c r="M393" s="117">
        <v>46250</v>
      </c>
      <c r="N393" s="117">
        <v>46254</v>
      </c>
      <c r="O393" s="39"/>
      <c r="P393" s="39"/>
      <c r="Q393" s="39"/>
      <c r="R393" s="39">
        <f t="shared" si="265"/>
        <v>0</v>
      </c>
      <c r="S393" s="39" t="s">
        <v>130</v>
      </c>
      <c r="T393" s="39">
        <v>109219</v>
      </c>
      <c r="U393" s="117">
        <v>46273</v>
      </c>
      <c r="V393" s="39"/>
      <c r="W393" s="39"/>
      <c r="X393" s="39"/>
      <c r="Y393" s="39">
        <v>24</v>
      </c>
      <c r="Z393" s="39"/>
      <c r="AA393" s="39"/>
      <c r="AB393" s="119">
        <f t="shared" si="266"/>
        <v>24</v>
      </c>
      <c r="AC393" s="39"/>
      <c r="AD393" s="39"/>
      <c r="AE393" s="39"/>
      <c r="AF393" s="39"/>
      <c r="AG393" s="39"/>
      <c r="AH393" s="39">
        <f t="shared" si="235"/>
        <v>0</v>
      </c>
      <c r="AI393" s="39"/>
      <c r="AJ393" s="39"/>
      <c r="AK393" s="39"/>
      <c r="AL393" s="39"/>
      <c r="AM393" s="39"/>
      <c r="AN393" s="39">
        <f t="shared" si="196"/>
        <v>0</v>
      </c>
      <c r="AO393" s="39" t="s">
        <v>280</v>
      </c>
      <c r="AP393" s="117">
        <v>46272</v>
      </c>
      <c r="AQ393" s="39">
        <v>21</v>
      </c>
      <c r="AR393" s="117">
        <v>46276</v>
      </c>
      <c r="AS393" s="39">
        <v>21</v>
      </c>
      <c r="AT393" s="39">
        <f t="shared" si="236"/>
        <v>0</v>
      </c>
      <c r="AU393" s="39"/>
      <c r="AV393" s="39"/>
      <c r="AW393" s="39"/>
      <c r="AX393" s="39"/>
      <c r="AY393" s="39"/>
      <c r="AZ393" s="39">
        <f t="shared" si="237"/>
        <v>0</v>
      </c>
      <c r="BA393" s="39"/>
      <c r="BB393" s="39"/>
      <c r="BC393" s="39"/>
      <c r="BD393" s="39"/>
      <c r="BE393" s="39"/>
      <c r="BF393" s="39">
        <f t="shared" si="238"/>
        <v>0</v>
      </c>
      <c r="BG393" s="39"/>
      <c r="BH393" s="39"/>
      <c r="BI393" s="39"/>
      <c r="BJ393" s="39"/>
      <c r="BK393" s="39"/>
      <c r="BL393" s="39">
        <f t="shared" si="239"/>
        <v>0</v>
      </c>
      <c r="BM393" s="54" t="str">
        <f t="shared" si="240"/>
        <v/>
      </c>
      <c r="BN393" s="58">
        <v>46266</v>
      </c>
      <c r="BO393" s="57">
        <v>46280</v>
      </c>
      <c r="BP393" s="36"/>
      <c r="BQ393" s="36"/>
      <c r="BR393" s="155">
        <v>46280</v>
      </c>
      <c r="BS393" s="155">
        <v>46280</v>
      </c>
      <c r="BT393" s="39">
        <v>902</v>
      </c>
      <c r="BU393" s="39">
        <v>20</v>
      </c>
      <c r="BV393" s="39"/>
      <c r="BW393" s="39"/>
      <c r="BX393" s="39"/>
      <c r="BY393" s="39"/>
      <c r="BZ393" s="39">
        <f t="shared" si="241"/>
        <v>20</v>
      </c>
      <c r="CA393" s="39">
        <f t="shared" si="242"/>
        <v>5</v>
      </c>
      <c r="CB393" s="39">
        <f t="shared" si="243"/>
        <v>0</v>
      </c>
      <c r="CC393" s="39">
        <f t="shared" si="244"/>
        <v>0</v>
      </c>
      <c r="CD393" s="39">
        <f t="shared" si="245"/>
        <v>0</v>
      </c>
      <c r="CE393" s="102">
        <f t="shared" si="246"/>
        <v>0</v>
      </c>
      <c r="CF393" s="36" t="s">
        <v>293</v>
      </c>
      <c r="CG393" s="39" t="s">
        <v>1051</v>
      </c>
      <c r="CH393" s="39"/>
      <c r="CI393" s="25">
        <v>1</v>
      </c>
    </row>
    <row r="394" spans="1:87" ht="24.75" customHeight="1">
      <c r="A394" s="36" t="s">
        <v>387</v>
      </c>
      <c r="B394" s="27">
        <v>48225</v>
      </c>
      <c r="C394" s="235">
        <v>15374431</v>
      </c>
      <c r="D394" s="36"/>
      <c r="E394" s="39">
        <v>220</v>
      </c>
      <c r="F394" s="39" t="s">
        <v>60</v>
      </c>
      <c r="G394" s="36" t="s">
        <v>47</v>
      </c>
      <c r="H394" s="36" t="s">
        <v>89</v>
      </c>
      <c r="I394" s="39">
        <v>148</v>
      </c>
      <c r="J394" s="39"/>
      <c r="K394" s="39"/>
      <c r="L394" s="39">
        <f t="shared" ref="L394:L395" si="269">SUM(I394:K394)</f>
        <v>148</v>
      </c>
      <c r="M394" s="117">
        <v>46256</v>
      </c>
      <c r="N394" s="117">
        <v>46262</v>
      </c>
      <c r="O394" s="39"/>
      <c r="P394" s="39"/>
      <c r="Q394" s="39"/>
      <c r="R394" s="39">
        <f t="shared" si="265"/>
        <v>0</v>
      </c>
      <c r="S394" s="39" t="s">
        <v>130</v>
      </c>
      <c r="T394" s="39"/>
      <c r="U394" s="39"/>
      <c r="V394" s="39"/>
      <c r="W394" s="39"/>
      <c r="X394" s="39"/>
      <c r="Y394" s="39"/>
      <c r="Z394" s="39"/>
      <c r="AA394" s="39"/>
      <c r="AB394" s="118">
        <f t="shared" si="266"/>
        <v>0</v>
      </c>
      <c r="AC394" s="39"/>
      <c r="AD394" s="39"/>
      <c r="AE394" s="39"/>
      <c r="AF394" s="39"/>
      <c r="AG394" s="39"/>
      <c r="AH394" s="39">
        <f t="shared" si="235"/>
        <v>0</v>
      </c>
      <c r="AI394" s="39"/>
      <c r="AJ394" s="39"/>
      <c r="AK394" s="39"/>
      <c r="AL394" s="39"/>
      <c r="AM394" s="39"/>
      <c r="AN394" s="39">
        <f t="shared" si="196"/>
        <v>0</v>
      </c>
      <c r="AO394" s="39"/>
      <c r="AP394" s="39"/>
      <c r="AQ394" s="39"/>
      <c r="AR394" s="39"/>
      <c r="AS394" s="39"/>
      <c r="AT394" s="39">
        <f t="shared" si="236"/>
        <v>0</v>
      </c>
      <c r="AU394" s="39"/>
      <c r="AV394" s="39"/>
      <c r="AW394" s="39"/>
      <c r="AX394" s="39"/>
      <c r="AY394" s="39"/>
      <c r="AZ394" s="39">
        <f t="shared" si="237"/>
        <v>0</v>
      </c>
      <c r="BA394" s="39"/>
      <c r="BB394" s="39"/>
      <c r="BC394" s="39"/>
      <c r="BD394" s="39"/>
      <c r="BE394" s="39"/>
      <c r="BF394" s="39">
        <f t="shared" si="238"/>
        <v>0</v>
      </c>
      <c r="BG394" s="39"/>
      <c r="BH394" s="39"/>
      <c r="BI394" s="39"/>
      <c r="BJ394" s="39"/>
      <c r="BK394" s="39"/>
      <c r="BL394" s="39">
        <f t="shared" si="239"/>
        <v>0</v>
      </c>
      <c r="BM394" s="54">
        <f t="shared" ca="1" si="240"/>
        <v>46283</v>
      </c>
      <c r="BN394" s="58">
        <v>46271</v>
      </c>
      <c r="BO394" s="57">
        <v>46285</v>
      </c>
      <c r="BP394" s="36"/>
      <c r="BQ394" s="36"/>
      <c r="BR394" s="41"/>
      <c r="BS394" s="41"/>
      <c r="BT394" s="39"/>
      <c r="BU394" s="39"/>
      <c r="BV394" s="39"/>
      <c r="BW394" s="39"/>
      <c r="BX394" s="39"/>
      <c r="BY394" s="39"/>
      <c r="BZ394" s="39">
        <f t="shared" si="241"/>
        <v>0</v>
      </c>
      <c r="CA394" s="39">
        <f t="shared" si="242"/>
        <v>-148</v>
      </c>
      <c r="CB394" s="39">
        <f t="shared" si="243"/>
        <v>0</v>
      </c>
      <c r="CC394" s="39">
        <f t="shared" si="244"/>
        <v>0</v>
      </c>
      <c r="CD394" s="39">
        <f t="shared" si="245"/>
        <v>-148</v>
      </c>
      <c r="CE394" s="102">
        <f t="shared" si="246"/>
        <v>-1</v>
      </c>
      <c r="CF394" s="36" t="s">
        <v>293</v>
      </c>
      <c r="CG394" s="39" t="s">
        <v>1051</v>
      </c>
      <c r="CH394" s="39"/>
      <c r="CI394" s="25">
        <v>1</v>
      </c>
    </row>
    <row r="395" spans="1:87" ht="24.75" customHeight="1">
      <c r="A395" s="36" t="s">
        <v>387</v>
      </c>
      <c r="B395" s="27">
        <v>48225</v>
      </c>
      <c r="C395" s="240"/>
      <c r="D395" s="36"/>
      <c r="E395" s="39">
        <v>220</v>
      </c>
      <c r="F395" s="39" t="s">
        <v>60</v>
      </c>
      <c r="G395" s="36" t="s">
        <v>310</v>
      </c>
      <c r="H395" s="36" t="s">
        <v>89</v>
      </c>
      <c r="I395" s="39">
        <v>94</v>
      </c>
      <c r="J395" s="39"/>
      <c r="K395" s="39"/>
      <c r="L395" s="39">
        <f t="shared" si="269"/>
        <v>94</v>
      </c>
      <c r="M395" s="117">
        <v>46256</v>
      </c>
      <c r="N395" s="117">
        <v>46262</v>
      </c>
      <c r="O395" s="39"/>
      <c r="P395" s="39"/>
      <c r="Q395" s="39"/>
      <c r="R395" s="39">
        <f t="shared" si="265"/>
        <v>0</v>
      </c>
      <c r="S395" s="39" t="s">
        <v>31</v>
      </c>
      <c r="T395" s="39"/>
      <c r="U395" s="39"/>
      <c r="V395" s="117">
        <v>46249</v>
      </c>
      <c r="W395" s="39">
        <v>113</v>
      </c>
      <c r="X395" s="117">
        <v>46270</v>
      </c>
      <c r="Y395" s="39">
        <v>105</v>
      </c>
      <c r="Z395" s="39"/>
      <c r="AA395" s="39"/>
      <c r="AB395" s="119">
        <f t="shared" si="266"/>
        <v>105</v>
      </c>
      <c r="AC395" s="39"/>
      <c r="AD395" s="39"/>
      <c r="AE395" s="39"/>
      <c r="AF395" s="39"/>
      <c r="AG395" s="39"/>
      <c r="AH395" s="39">
        <f t="shared" si="235"/>
        <v>0</v>
      </c>
      <c r="AI395" s="39"/>
      <c r="AJ395" s="39"/>
      <c r="AK395" s="39"/>
      <c r="AL395" s="39"/>
      <c r="AM395" s="39"/>
      <c r="AN395" s="39">
        <f t="shared" si="196"/>
        <v>0</v>
      </c>
      <c r="AO395" s="39"/>
      <c r="AP395" s="39"/>
      <c r="AQ395" s="39"/>
      <c r="AR395" s="39"/>
      <c r="AS395" s="39"/>
      <c r="AT395" s="39">
        <f t="shared" si="236"/>
        <v>0</v>
      </c>
      <c r="AU395" s="39"/>
      <c r="AV395" s="39"/>
      <c r="AW395" s="39"/>
      <c r="AX395" s="39"/>
      <c r="AY395" s="39"/>
      <c r="AZ395" s="39">
        <f t="shared" si="237"/>
        <v>0</v>
      </c>
      <c r="BA395" s="39"/>
      <c r="BB395" s="39"/>
      <c r="BC395" s="39"/>
      <c r="BD395" s="39"/>
      <c r="BE395" s="39"/>
      <c r="BF395" s="39">
        <f t="shared" si="238"/>
        <v>0</v>
      </c>
      <c r="BG395" s="39"/>
      <c r="BH395" s="39"/>
      <c r="BI395" s="39"/>
      <c r="BJ395" s="39"/>
      <c r="BK395" s="39"/>
      <c r="BL395" s="39">
        <f t="shared" si="239"/>
        <v>0</v>
      </c>
      <c r="BM395" s="54" t="str">
        <f t="shared" si="240"/>
        <v/>
      </c>
      <c r="BN395" s="58">
        <v>46271</v>
      </c>
      <c r="BO395" s="57">
        <v>46285</v>
      </c>
      <c r="BP395" s="36"/>
      <c r="BQ395" s="36"/>
      <c r="BR395" s="155">
        <v>46270</v>
      </c>
      <c r="BS395" s="155">
        <v>46270</v>
      </c>
      <c r="BT395" s="39">
        <v>960</v>
      </c>
      <c r="BU395" s="39">
        <v>105</v>
      </c>
      <c r="BV395" s="39"/>
      <c r="BW395" s="39"/>
      <c r="BX395" s="39"/>
      <c r="BY395" s="39"/>
      <c r="BZ395" s="39">
        <f t="shared" si="241"/>
        <v>105</v>
      </c>
      <c r="CA395" s="39">
        <f t="shared" si="242"/>
        <v>11</v>
      </c>
      <c r="CB395" s="39">
        <f t="shared" si="243"/>
        <v>0</v>
      </c>
      <c r="CC395" s="39">
        <f t="shared" si="244"/>
        <v>0</v>
      </c>
      <c r="CD395" s="39">
        <f t="shared" si="245"/>
        <v>0</v>
      </c>
      <c r="CE395" s="102">
        <f t="shared" si="246"/>
        <v>0</v>
      </c>
      <c r="CF395" s="36" t="s">
        <v>293</v>
      </c>
      <c r="CG395" s="39" t="s">
        <v>1051</v>
      </c>
      <c r="CH395" s="39"/>
      <c r="CI395" s="25">
        <v>1</v>
      </c>
    </row>
    <row r="396" spans="1:87" ht="24.75" customHeight="1">
      <c r="A396" s="36" t="s">
        <v>387</v>
      </c>
      <c r="B396" s="27">
        <v>48225</v>
      </c>
      <c r="C396" s="236"/>
      <c r="D396" s="36"/>
      <c r="E396" s="39">
        <v>220</v>
      </c>
      <c r="F396" s="39" t="s">
        <v>60</v>
      </c>
      <c r="G396" s="36" t="s">
        <v>592</v>
      </c>
      <c r="H396" s="36" t="s">
        <v>89</v>
      </c>
      <c r="I396" s="39">
        <v>82</v>
      </c>
      <c r="J396" s="39"/>
      <c r="K396" s="39"/>
      <c r="L396" s="39">
        <f t="shared" ref="L396" si="270">SUM(I396:K396)</f>
        <v>82</v>
      </c>
      <c r="M396" s="117">
        <v>46256</v>
      </c>
      <c r="N396" s="117">
        <v>46262</v>
      </c>
      <c r="O396" s="39"/>
      <c r="P396" s="39"/>
      <c r="Q396" s="39"/>
      <c r="R396" s="39">
        <f t="shared" si="265"/>
        <v>0</v>
      </c>
      <c r="S396" s="39" t="s">
        <v>130</v>
      </c>
      <c r="T396" s="39"/>
      <c r="U396" s="39"/>
      <c r="V396" s="39"/>
      <c r="W396" s="39"/>
      <c r="X396" s="39"/>
      <c r="Y396" s="39"/>
      <c r="Z396" s="39"/>
      <c r="AA396" s="39"/>
      <c r="AB396" s="118">
        <f t="shared" si="266"/>
        <v>0</v>
      </c>
      <c r="AC396" s="39"/>
      <c r="AD396" s="39"/>
      <c r="AE396" s="39"/>
      <c r="AF396" s="39"/>
      <c r="AG396" s="39"/>
      <c r="AH396" s="39">
        <f t="shared" si="235"/>
        <v>0</v>
      </c>
      <c r="AI396" s="39"/>
      <c r="AJ396" s="39"/>
      <c r="AK396" s="39"/>
      <c r="AL396" s="39"/>
      <c r="AM396" s="39"/>
      <c r="AN396" s="39">
        <f t="shared" si="196"/>
        <v>0</v>
      </c>
      <c r="AO396" s="39"/>
      <c r="AP396" s="39"/>
      <c r="AQ396" s="39"/>
      <c r="AR396" s="39"/>
      <c r="AS396" s="39"/>
      <c r="AT396" s="39">
        <f t="shared" si="236"/>
        <v>0</v>
      </c>
      <c r="AU396" s="39"/>
      <c r="AV396" s="39"/>
      <c r="AW396" s="39"/>
      <c r="AX396" s="39"/>
      <c r="AY396" s="39"/>
      <c r="AZ396" s="39">
        <f t="shared" si="237"/>
        <v>0</v>
      </c>
      <c r="BA396" s="39"/>
      <c r="BB396" s="39"/>
      <c r="BC396" s="39"/>
      <c r="BD396" s="39"/>
      <c r="BE396" s="39"/>
      <c r="BF396" s="39">
        <f t="shared" si="238"/>
        <v>0</v>
      </c>
      <c r="BG396" s="39"/>
      <c r="BH396" s="39"/>
      <c r="BI396" s="39"/>
      <c r="BJ396" s="39"/>
      <c r="BK396" s="39"/>
      <c r="BL396" s="39">
        <f t="shared" si="239"/>
        <v>0</v>
      </c>
      <c r="BM396" s="54">
        <f t="shared" ca="1" si="240"/>
        <v>46283</v>
      </c>
      <c r="BN396" s="58">
        <v>46271</v>
      </c>
      <c r="BO396" s="57">
        <v>46285</v>
      </c>
      <c r="BP396" s="36"/>
      <c r="BQ396" s="36"/>
      <c r="BR396" s="41"/>
      <c r="BS396" s="41"/>
      <c r="BT396" s="39"/>
      <c r="BU396" s="39"/>
      <c r="BV396" s="39"/>
      <c r="BW396" s="39"/>
      <c r="BX396" s="39"/>
      <c r="BY396" s="39"/>
      <c r="BZ396" s="39">
        <f t="shared" si="241"/>
        <v>0</v>
      </c>
      <c r="CA396" s="39">
        <f t="shared" si="242"/>
        <v>-82</v>
      </c>
      <c r="CB396" s="39">
        <f t="shared" si="243"/>
        <v>0</v>
      </c>
      <c r="CC396" s="39">
        <f t="shared" si="244"/>
        <v>0</v>
      </c>
      <c r="CD396" s="39">
        <f t="shared" si="245"/>
        <v>-82</v>
      </c>
      <c r="CE396" s="102">
        <f t="shared" si="246"/>
        <v>-1</v>
      </c>
      <c r="CF396" s="36" t="s">
        <v>293</v>
      </c>
      <c r="CG396" s="39" t="s">
        <v>1051</v>
      </c>
      <c r="CH396" s="39"/>
      <c r="CI396" s="25">
        <v>1</v>
      </c>
    </row>
    <row r="397" spans="1:87" ht="24.75" customHeight="1">
      <c r="A397" s="36" t="s">
        <v>387</v>
      </c>
      <c r="B397" s="27">
        <v>48227</v>
      </c>
      <c r="C397" s="235">
        <v>15387380</v>
      </c>
      <c r="D397" s="36"/>
      <c r="E397" s="39">
        <v>320</v>
      </c>
      <c r="F397" s="39" t="s">
        <v>60</v>
      </c>
      <c r="G397" s="36" t="s">
        <v>807</v>
      </c>
      <c r="H397" s="36" t="s">
        <v>89</v>
      </c>
      <c r="I397" s="39">
        <v>258</v>
      </c>
      <c r="J397" s="39"/>
      <c r="K397" s="39"/>
      <c r="L397" s="39">
        <f t="shared" ref="L397:L404" si="271">SUM(I397:K397)</f>
        <v>258</v>
      </c>
      <c r="M397" s="117">
        <v>46249</v>
      </c>
      <c r="N397" s="117">
        <v>46254</v>
      </c>
      <c r="O397" s="39"/>
      <c r="P397" s="39"/>
      <c r="Q397" s="39"/>
      <c r="R397" s="39">
        <f t="shared" ref="R397:R403" si="272">SUM(O397:Q397)</f>
        <v>0</v>
      </c>
      <c r="S397" s="39" t="s">
        <v>130</v>
      </c>
      <c r="T397" s="39"/>
      <c r="U397" s="39"/>
      <c r="V397" s="117"/>
      <c r="W397" s="39"/>
      <c r="X397" s="39"/>
      <c r="Y397" s="39"/>
      <c r="Z397" s="39"/>
      <c r="AA397" s="39"/>
      <c r="AB397" s="118">
        <f t="shared" si="266"/>
        <v>0</v>
      </c>
      <c r="AC397" s="39"/>
      <c r="AD397" s="39"/>
      <c r="AE397" s="39"/>
      <c r="AF397" s="39"/>
      <c r="AG397" s="39"/>
      <c r="AH397" s="39">
        <f t="shared" si="235"/>
        <v>0</v>
      </c>
      <c r="AI397" s="39"/>
      <c r="AJ397" s="39"/>
      <c r="AK397" s="39"/>
      <c r="AL397" s="39"/>
      <c r="AM397" s="39"/>
      <c r="AN397" s="39">
        <f t="shared" si="196"/>
        <v>0</v>
      </c>
      <c r="AO397" s="39"/>
      <c r="AP397" s="39"/>
      <c r="AQ397" s="39"/>
      <c r="AR397" s="39"/>
      <c r="AS397" s="39"/>
      <c r="AT397" s="39">
        <f t="shared" si="236"/>
        <v>0</v>
      </c>
      <c r="AU397" s="39"/>
      <c r="AV397" s="39"/>
      <c r="AW397" s="39"/>
      <c r="AX397" s="39"/>
      <c r="AY397" s="39"/>
      <c r="AZ397" s="39">
        <f t="shared" si="237"/>
        <v>0</v>
      </c>
      <c r="BA397" s="39"/>
      <c r="BB397" s="39"/>
      <c r="BC397" s="39"/>
      <c r="BD397" s="39"/>
      <c r="BE397" s="39"/>
      <c r="BF397" s="39">
        <f t="shared" si="238"/>
        <v>0</v>
      </c>
      <c r="BG397" s="39"/>
      <c r="BH397" s="39"/>
      <c r="BI397" s="39"/>
      <c r="BJ397" s="39"/>
      <c r="BK397" s="39"/>
      <c r="BL397" s="39">
        <f t="shared" si="239"/>
        <v>0</v>
      </c>
      <c r="BM397" s="54">
        <f t="shared" ca="1" si="240"/>
        <v>46283</v>
      </c>
      <c r="BN397" s="58">
        <v>46266</v>
      </c>
      <c r="BO397" s="57">
        <v>46280</v>
      </c>
      <c r="BP397" s="36"/>
      <c r="BQ397" s="36"/>
      <c r="BR397" s="41"/>
      <c r="BS397" s="41"/>
      <c r="BT397" s="39"/>
      <c r="BU397" s="39"/>
      <c r="BV397" s="39"/>
      <c r="BW397" s="39"/>
      <c r="BX397" s="39"/>
      <c r="BY397" s="39"/>
      <c r="BZ397" s="39">
        <f t="shared" si="241"/>
        <v>0</v>
      </c>
      <c r="CA397" s="39">
        <f t="shared" si="242"/>
        <v>-258</v>
      </c>
      <c r="CB397" s="39">
        <f t="shared" si="243"/>
        <v>0</v>
      </c>
      <c r="CC397" s="39">
        <f t="shared" si="244"/>
        <v>0</v>
      </c>
      <c r="CD397" s="39">
        <f t="shared" si="245"/>
        <v>-258</v>
      </c>
      <c r="CE397" s="102">
        <f t="shared" si="246"/>
        <v>-1</v>
      </c>
      <c r="CF397" s="36" t="s">
        <v>293</v>
      </c>
      <c r="CG397" s="39" t="s">
        <v>1051</v>
      </c>
      <c r="CH397" s="39"/>
      <c r="CI397" s="25">
        <v>1</v>
      </c>
    </row>
    <row r="398" spans="1:87" ht="24.75" customHeight="1">
      <c r="A398" s="36" t="s">
        <v>387</v>
      </c>
      <c r="B398" s="27">
        <v>48227</v>
      </c>
      <c r="C398" s="240"/>
      <c r="D398" s="36"/>
      <c r="E398" s="39">
        <v>320</v>
      </c>
      <c r="F398" s="39" t="s">
        <v>60</v>
      </c>
      <c r="G398" s="36" t="s">
        <v>310</v>
      </c>
      <c r="H398" s="36" t="s">
        <v>89</v>
      </c>
      <c r="I398" s="39">
        <v>90</v>
      </c>
      <c r="J398" s="39"/>
      <c r="K398" s="39"/>
      <c r="L398" s="39">
        <f t="shared" si="271"/>
        <v>90</v>
      </c>
      <c r="M398" s="117">
        <v>46249</v>
      </c>
      <c r="N398" s="117">
        <v>46254</v>
      </c>
      <c r="O398" s="39"/>
      <c r="P398" s="39"/>
      <c r="Q398" s="39"/>
      <c r="R398" s="39">
        <f t="shared" si="272"/>
        <v>0</v>
      </c>
      <c r="S398" s="39" t="s">
        <v>31</v>
      </c>
      <c r="T398" s="39"/>
      <c r="U398" s="39"/>
      <c r="V398" s="117">
        <v>46249</v>
      </c>
      <c r="W398" s="39">
        <v>109</v>
      </c>
      <c r="X398" s="117">
        <v>46271</v>
      </c>
      <c r="Y398" s="39">
        <v>104</v>
      </c>
      <c r="Z398" s="39"/>
      <c r="AA398" s="39"/>
      <c r="AB398" s="119">
        <f t="shared" si="266"/>
        <v>104</v>
      </c>
      <c r="AC398" s="39"/>
      <c r="AD398" s="39"/>
      <c r="AE398" s="39"/>
      <c r="AF398" s="39"/>
      <c r="AG398" s="39"/>
      <c r="AH398" s="39">
        <f t="shared" si="235"/>
        <v>0</v>
      </c>
      <c r="AI398" s="39"/>
      <c r="AJ398" s="39"/>
      <c r="AK398" s="39"/>
      <c r="AL398" s="39"/>
      <c r="AM398" s="39"/>
      <c r="AN398" s="39">
        <f t="shared" si="196"/>
        <v>0</v>
      </c>
      <c r="AO398" s="39"/>
      <c r="AP398" s="39"/>
      <c r="AQ398" s="39"/>
      <c r="AR398" s="39"/>
      <c r="AS398" s="39"/>
      <c r="AT398" s="39">
        <f t="shared" si="236"/>
        <v>0</v>
      </c>
      <c r="AU398" s="39"/>
      <c r="AV398" s="39"/>
      <c r="AW398" s="39"/>
      <c r="AX398" s="39"/>
      <c r="AY398" s="39"/>
      <c r="AZ398" s="39">
        <f t="shared" si="237"/>
        <v>0</v>
      </c>
      <c r="BA398" s="39"/>
      <c r="BB398" s="39"/>
      <c r="BC398" s="39"/>
      <c r="BD398" s="39"/>
      <c r="BE398" s="39"/>
      <c r="BF398" s="39">
        <f t="shared" si="238"/>
        <v>0</v>
      </c>
      <c r="BG398" s="39"/>
      <c r="BH398" s="39"/>
      <c r="BI398" s="39"/>
      <c r="BJ398" s="39"/>
      <c r="BK398" s="39"/>
      <c r="BL398" s="39">
        <f t="shared" si="239"/>
        <v>0</v>
      </c>
      <c r="BM398" s="54" t="str">
        <f t="shared" si="240"/>
        <v/>
      </c>
      <c r="BN398" s="58">
        <v>46266</v>
      </c>
      <c r="BO398" s="57">
        <v>46280</v>
      </c>
      <c r="BP398" s="36"/>
      <c r="BQ398" s="36"/>
      <c r="BR398" s="155">
        <v>46272</v>
      </c>
      <c r="BS398" s="155">
        <v>46272</v>
      </c>
      <c r="BT398" s="39">
        <v>600</v>
      </c>
      <c r="BU398" s="39">
        <v>104</v>
      </c>
      <c r="BV398" s="39"/>
      <c r="BW398" s="39"/>
      <c r="BX398" s="39"/>
      <c r="BY398" s="39"/>
      <c r="BZ398" s="39">
        <f t="shared" si="241"/>
        <v>104</v>
      </c>
      <c r="CA398" s="39">
        <f t="shared" si="242"/>
        <v>14</v>
      </c>
      <c r="CB398" s="39">
        <f t="shared" si="243"/>
        <v>0</v>
      </c>
      <c r="CC398" s="39">
        <f t="shared" si="244"/>
        <v>0</v>
      </c>
      <c r="CD398" s="39">
        <f t="shared" si="245"/>
        <v>0</v>
      </c>
      <c r="CE398" s="102">
        <f t="shared" si="246"/>
        <v>0</v>
      </c>
      <c r="CF398" s="36" t="s">
        <v>293</v>
      </c>
      <c r="CG398" s="39" t="s">
        <v>1051</v>
      </c>
      <c r="CH398" s="39"/>
      <c r="CI398" s="25">
        <v>1</v>
      </c>
    </row>
    <row r="399" spans="1:87" ht="24.75" customHeight="1">
      <c r="A399" s="36" t="s">
        <v>387</v>
      </c>
      <c r="B399" s="27">
        <v>48227</v>
      </c>
      <c r="C399" s="240"/>
      <c r="D399" s="36"/>
      <c r="E399" s="39">
        <v>320</v>
      </c>
      <c r="F399" s="39" t="s">
        <v>60</v>
      </c>
      <c r="G399" s="36" t="s">
        <v>47</v>
      </c>
      <c r="H399" s="36" t="s">
        <v>89</v>
      </c>
      <c r="I399" s="39">
        <v>93</v>
      </c>
      <c r="J399" s="39"/>
      <c r="K399" s="39"/>
      <c r="L399" s="39">
        <f t="shared" si="271"/>
        <v>93</v>
      </c>
      <c r="M399" s="117">
        <v>46249</v>
      </c>
      <c r="N399" s="117">
        <v>46254</v>
      </c>
      <c r="O399" s="39"/>
      <c r="P399" s="39"/>
      <c r="Q399" s="39"/>
      <c r="R399" s="39">
        <f t="shared" si="272"/>
        <v>0</v>
      </c>
      <c r="S399" s="39" t="s">
        <v>130</v>
      </c>
      <c r="T399" s="39"/>
      <c r="U399" s="39"/>
      <c r="V399" s="39"/>
      <c r="W399" s="39"/>
      <c r="X399" s="39"/>
      <c r="Y399" s="39"/>
      <c r="Z399" s="39"/>
      <c r="AA399" s="39"/>
      <c r="AB399" s="118">
        <f t="shared" si="266"/>
        <v>0</v>
      </c>
      <c r="AC399" s="39"/>
      <c r="AD399" s="39"/>
      <c r="AE399" s="39"/>
      <c r="AF399" s="39"/>
      <c r="AG399" s="39"/>
      <c r="AH399" s="39">
        <f t="shared" si="235"/>
        <v>0</v>
      </c>
      <c r="AI399" s="39"/>
      <c r="AJ399" s="39"/>
      <c r="AK399" s="39"/>
      <c r="AL399" s="39"/>
      <c r="AM399" s="39"/>
      <c r="AN399" s="39">
        <f t="shared" si="196"/>
        <v>0</v>
      </c>
      <c r="AO399" s="39"/>
      <c r="AP399" s="39"/>
      <c r="AQ399" s="39"/>
      <c r="AR399" s="39"/>
      <c r="AS399" s="39"/>
      <c r="AT399" s="39">
        <f t="shared" si="236"/>
        <v>0</v>
      </c>
      <c r="AU399" s="39"/>
      <c r="AV399" s="39"/>
      <c r="AW399" s="39"/>
      <c r="AX399" s="39"/>
      <c r="AY399" s="39"/>
      <c r="AZ399" s="39">
        <f t="shared" si="237"/>
        <v>0</v>
      </c>
      <c r="BA399" s="39"/>
      <c r="BB399" s="39"/>
      <c r="BC399" s="39"/>
      <c r="BD399" s="39"/>
      <c r="BE399" s="39"/>
      <c r="BF399" s="39">
        <f t="shared" si="238"/>
        <v>0</v>
      </c>
      <c r="BG399" s="39"/>
      <c r="BH399" s="39"/>
      <c r="BI399" s="39"/>
      <c r="BJ399" s="39"/>
      <c r="BK399" s="39"/>
      <c r="BL399" s="39">
        <f t="shared" si="239"/>
        <v>0</v>
      </c>
      <c r="BM399" s="54">
        <f t="shared" ca="1" si="240"/>
        <v>46283</v>
      </c>
      <c r="BN399" s="58">
        <v>46266</v>
      </c>
      <c r="BO399" s="57">
        <v>46280</v>
      </c>
      <c r="BP399" s="36"/>
      <c r="BQ399" s="36"/>
      <c r="BR399" s="41"/>
      <c r="BS399" s="41"/>
      <c r="BT399" s="39"/>
      <c r="BU399" s="39"/>
      <c r="BV399" s="39"/>
      <c r="BW399" s="39"/>
      <c r="BX399" s="39"/>
      <c r="BY399" s="39"/>
      <c r="BZ399" s="39">
        <f t="shared" si="241"/>
        <v>0</v>
      </c>
      <c r="CA399" s="39">
        <f t="shared" si="242"/>
        <v>-93</v>
      </c>
      <c r="CB399" s="39">
        <f t="shared" si="243"/>
        <v>0</v>
      </c>
      <c r="CC399" s="39">
        <f t="shared" si="244"/>
        <v>0</v>
      </c>
      <c r="CD399" s="39">
        <f t="shared" si="245"/>
        <v>-93</v>
      </c>
      <c r="CE399" s="102">
        <f t="shared" si="246"/>
        <v>-1</v>
      </c>
      <c r="CF399" s="36" t="s">
        <v>293</v>
      </c>
      <c r="CG399" s="39" t="s">
        <v>1051</v>
      </c>
      <c r="CH399" s="39"/>
      <c r="CI399" s="25">
        <v>1</v>
      </c>
    </row>
    <row r="400" spans="1:87" ht="24.75" customHeight="1">
      <c r="A400" s="36" t="s">
        <v>387</v>
      </c>
      <c r="B400" s="27">
        <v>48227</v>
      </c>
      <c r="C400" s="240"/>
      <c r="D400" s="36"/>
      <c r="E400" s="39">
        <v>320</v>
      </c>
      <c r="F400" s="39" t="s">
        <v>60</v>
      </c>
      <c r="G400" s="36" t="s">
        <v>1441</v>
      </c>
      <c r="H400" s="36" t="s">
        <v>89</v>
      </c>
      <c r="I400" s="39">
        <v>210</v>
      </c>
      <c r="J400" s="39"/>
      <c r="K400" s="39"/>
      <c r="L400" s="39">
        <f t="shared" si="271"/>
        <v>210</v>
      </c>
      <c r="M400" s="117">
        <v>46249</v>
      </c>
      <c r="N400" s="117">
        <v>46254</v>
      </c>
      <c r="O400" s="39"/>
      <c r="P400" s="39"/>
      <c r="Q400" s="39"/>
      <c r="R400" s="39">
        <f t="shared" si="272"/>
        <v>0</v>
      </c>
      <c r="S400" s="39" t="s">
        <v>326</v>
      </c>
      <c r="T400" s="39"/>
      <c r="U400" s="39"/>
      <c r="V400" s="117">
        <v>46251</v>
      </c>
      <c r="W400" s="39">
        <v>236</v>
      </c>
      <c r="X400" s="117">
        <v>46274</v>
      </c>
      <c r="Y400" s="39">
        <f>215</f>
        <v>215</v>
      </c>
      <c r="Z400" s="39"/>
      <c r="AA400" s="39"/>
      <c r="AB400" s="119">
        <f t="shared" si="266"/>
        <v>215</v>
      </c>
      <c r="AC400" s="39"/>
      <c r="AD400" s="39"/>
      <c r="AE400" s="39"/>
      <c r="AF400" s="39"/>
      <c r="AG400" s="39"/>
      <c r="AH400" s="39">
        <f t="shared" si="235"/>
        <v>0</v>
      </c>
      <c r="AI400" s="39"/>
      <c r="AJ400" s="39"/>
      <c r="AK400" s="39"/>
      <c r="AL400" s="39"/>
      <c r="AM400" s="39"/>
      <c r="AN400" s="39">
        <f t="shared" si="196"/>
        <v>0</v>
      </c>
      <c r="AO400" s="39"/>
      <c r="AP400" s="39"/>
      <c r="AQ400" s="39"/>
      <c r="AR400" s="39"/>
      <c r="AS400" s="39"/>
      <c r="AT400" s="39">
        <f t="shared" si="236"/>
        <v>0</v>
      </c>
      <c r="AU400" s="39"/>
      <c r="AV400" s="39"/>
      <c r="AW400" s="39"/>
      <c r="AX400" s="39"/>
      <c r="AY400" s="39"/>
      <c r="AZ400" s="39">
        <f t="shared" si="237"/>
        <v>0</v>
      </c>
      <c r="BA400" s="39"/>
      <c r="BB400" s="39"/>
      <c r="BC400" s="39"/>
      <c r="BD400" s="39"/>
      <c r="BE400" s="39"/>
      <c r="BF400" s="39">
        <f t="shared" si="238"/>
        <v>0</v>
      </c>
      <c r="BG400" s="39"/>
      <c r="BH400" s="39"/>
      <c r="BI400" s="39"/>
      <c r="BJ400" s="39"/>
      <c r="BK400" s="39"/>
      <c r="BL400" s="39">
        <f t="shared" si="239"/>
        <v>0</v>
      </c>
      <c r="BM400" s="54" t="str">
        <f t="shared" si="240"/>
        <v/>
      </c>
      <c r="BN400" s="58">
        <v>46266</v>
      </c>
      <c r="BO400" s="57">
        <v>46280</v>
      </c>
      <c r="BP400" s="36"/>
      <c r="BQ400" s="36"/>
      <c r="BR400" s="155">
        <v>46272</v>
      </c>
      <c r="BS400" s="155">
        <v>46272</v>
      </c>
      <c r="BT400" s="39">
        <v>964</v>
      </c>
      <c r="BU400" s="39">
        <v>215</v>
      </c>
      <c r="BV400" s="39"/>
      <c r="BW400" s="39"/>
      <c r="BX400" s="39"/>
      <c r="BY400" s="39"/>
      <c r="BZ400" s="39">
        <f t="shared" si="241"/>
        <v>215</v>
      </c>
      <c r="CA400" s="39">
        <f t="shared" si="242"/>
        <v>5</v>
      </c>
      <c r="CB400" s="39">
        <f t="shared" si="243"/>
        <v>0</v>
      </c>
      <c r="CC400" s="39">
        <f t="shared" si="244"/>
        <v>0</v>
      </c>
      <c r="CD400" s="39">
        <f t="shared" si="245"/>
        <v>0</v>
      </c>
      <c r="CE400" s="102">
        <f t="shared" si="246"/>
        <v>0</v>
      </c>
      <c r="CF400" s="36" t="s">
        <v>293</v>
      </c>
      <c r="CG400" s="39" t="s">
        <v>1051</v>
      </c>
      <c r="CH400" s="39"/>
      <c r="CI400" s="25">
        <v>1</v>
      </c>
    </row>
    <row r="401" spans="1:87" ht="24.75" customHeight="1">
      <c r="A401" s="36" t="s">
        <v>387</v>
      </c>
      <c r="B401" s="27">
        <v>48227</v>
      </c>
      <c r="C401" s="236"/>
      <c r="D401" s="36"/>
      <c r="E401" s="39"/>
      <c r="F401" s="39"/>
      <c r="G401" s="36" t="s">
        <v>208</v>
      </c>
      <c r="H401" s="36">
        <f>1165+410+422+948</f>
        <v>2945</v>
      </c>
      <c r="I401" s="39" t="s">
        <v>90</v>
      </c>
      <c r="J401" s="39"/>
      <c r="K401" s="39"/>
      <c r="L401" s="39">
        <f t="shared" si="271"/>
        <v>0</v>
      </c>
      <c r="M401" s="117">
        <v>46249</v>
      </c>
      <c r="N401" s="117">
        <v>46254</v>
      </c>
      <c r="O401" s="39"/>
      <c r="P401" s="39"/>
      <c r="Q401" s="39"/>
      <c r="R401" s="39">
        <f t="shared" si="272"/>
        <v>0</v>
      </c>
      <c r="S401" s="39" t="s">
        <v>130</v>
      </c>
      <c r="T401" s="39"/>
      <c r="U401" s="39"/>
      <c r="V401" s="39"/>
      <c r="W401" s="39"/>
      <c r="X401" s="39"/>
      <c r="Y401" s="39"/>
      <c r="Z401" s="39"/>
      <c r="AA401" s="39"/>
      <c r="AB401" s="39">
        <f t="shared" si="266"/>
        <v>0</v>
      </c>
      <c r="AC401" s="39"/>
      <c r="AD401" s="39"/>
      <c r="AE401" s="39"/>
      <c r="AF401" s="39"/>
      <c r="AG401" s="39"/>
      <c r="AH401" s="39">
        <f t="shared" si="235"/>
        <v>0</v>
      </c>
      <c r="AI401" s="39"/>
      <c r="AJ401" s="39"/>
      <c r="AK401" s="39"/>
      <c r="AL401" s="39"/>
      <c r="AM401" s="39"/>
      <c r="AN401" s="39">
        <f t="shared" si="196"/>
        <v>0</v>
      </c>
      <c r="AO401" s="39"/>
      <c r="AP401" s="39"/>
      <c r="AQ401" s="39"/>
      <c r="AR401" s="39"/>
      <c r="AS401" s="39"/>
      <c r="AT401" s="39">
        <f t="shared" si="236"/>
        <v>0</v>
      </c>
      <c r="AU401" s="39"/>
      <c r="AV401" s="39"/>
      <c r="AW401" s="39"/>
      <c r="AX401" s="39"/>
      <c r="AY401" s="39"/>
      <c r="AZ401" s="39">
        <f t="shared" si="237"/>
        <v>0</v>
      </c>
      <c r="BA401" s="39"/>
      <c r="BB401" s="39"/>
      <c r="BC401" s="39"/>
      <c r="BD401" s="39"/>
      <c r="BE401" s="39"/>
      <c r="BF401" s="39">
        <f t="shared" si="238"/>
        <v>0</v>
      </c>
      <c r="BG401" s="39"/>
      <c r="BH401" s="39"/>
      <c r="BI401" s="39"/>
      <c r="BJ401" s="39"/>
      <c r="BK401" s="39"/>
      <c r="BL401" s="39">
        <f t="shared" si="239"/>
        <v>0</v>
      </c>
      <c r="BM401" s="54" t="e">
        <f t="shared" si="240"/>
        <v>#DIV/0!</v>
      </c>
      <c r="BN401" s="58">
        <v>46266</v>
      </c>
      <c r="BO401" s="57">
        <v>46280</v>
      </c>
      <c r="BP401" s="36"/>
      <c r="BQ401" s="36"/>
      <c r="BR401" s="41"/>
      <c r="BS401" s="41"/>
      <c r="BT401" s="39"/>
      <c r="BU401" s="39"/>
      <c r="BV401" s="39"/>
      <c r="BW401" s="39"/>
      <c r="BX401" s="39"/>
      <c r="BY401" s="39"/>
      <c r="BZ401" s="39">
        <f t="shared" si="241"/>
        <v>0</v>
      </c>
      <c r="CA401" s="39" t="e">
        <f t="shared" si="242"/>
        <v>#VALUE!</v>
      </c>
      <c r="CB401" s="39">
        <f t="shared" si="243"/>
        <v>0</v>
      </c>
      <c r="CC401" s="39">
        <f t="shared" si="244"/>
        <v>0</v>
      </c>
      <c r="CD401" s="39">
        <f t="shared" si="245"/>
        <v>0</v>
      </c>
      <c r="CE401" s="102" t="e">
        <f t="shared" si="246"/>
        <v>#DIV/0!</v>
      </c>
      <c r="CF401" s="36" t="s">
        <v>293</v>
      </c>
      <c r="CG401" s="39" t="s">
        <v>1051</v>
      </c>
      <c r="CH401" s="39"/>
      <c r="CI401" s="25">
        <v>1</v>
      </c>
    </row>
    <row r="402" spans="1:87" ht="24.75" customHeight="1">
      <c r="A402" s="36" t="s">
        <v>387</v>
      </c>
      <c r="B402" s="27">
        <v>48232</v>
      </c>
      <c r="C402" s="235">
        <v>15388158</v>
      </c>
      <c r="D402" s="36" t="s">
        <v>37</v>
      </c>
      <c r="E402" s="39">
        <v>150</v>
      </c>
      <c r="F402" s="39" t="s">
        <v>69</v>
      </c>
      <c r="G402" s="36" t="s">
        <v>848</v>
      </c>
      <c r="H402" s="36" t="s">
        <v>22</v>
      </c>
      <c r="I402" s="39">
        <v>101</v>
      </c>
      <c r="J402" s="39"/>
      <c r="K402" s="39"/>
      <c r="L402" s="39">
        <f t="shared" si="271"/>
        <v>101</v>
      </c>
      <c r="M402" s="117">
        <v>46260</v>
      </c>
      <c r="N402" s="117">
        <v>46265</v>
      </c>
      <c r="O402" s="39"/>
      <c r="P402" s="39"/>
      <c r="Q402" s="39"/>
      <c r="R402" s="39">
        <f t="shared" si="272"/>
        <v>0</v>
      </c>
      <c r="S402" s="39" t="s">
        <v>326</v>
      </c>
      <c r="T402" s="39"/>
      <c r="U402" s="39"/>
      <c r="V402" s="117">
        <v>46251</v>
      </c>
      <c r="W402" s="39">
        <v>124</v>
      </c>
      <c r="X402" s="117">
        <v>46272</v>
      </c>
      <c r="Y402" s="39">
        <v>105</v>
      </c>
      <c r="Z402" s="39"/>
      <c r="AA402" s="39"/>
      <c r="AB402" s="119">
        <f t="shared" si="266"/>
        <v>105</v>
      </c>
      <c r="AC402" s="39" t="s">
        <v>139</v>
      </c>
      <c r="AD402" s="117">
        <v>46272</v>
      </c>
      <c r="AE402" s="39">
        <v>103</v>
      </c>
      <c r="AF402" s="117">
        <v>46279</v>
      </c>
      <c r="AG402" s="39">
        <v>104</v>
      </c>
      <c r="AH402" s="39">
        <f t="shared" si="235"/>
        <v>1</v>
      </c>
      <c r="AI402" s="39"/>
      <c r="AJ402" s="39"/>
      <c r="AK402" s="39"/>
      <c r="AL402" s="39"/>
      <c r="AM402" s="39"/>
      <c r="AN402" s="39">
        <f t="shared" si="196"/>
        <v>0</v>
      </c>
      <c r="AO402" s="39"/>
      <c r="AP402" s="39"/>
      <c r="AQ402" s="39"/>
      <c r="AR402" s="39"/>
      <c r="AS402" s="39"/>
      <c r="AT402" s="39">
        <f t="shared" si="236"/>
        <v>0</v>
      </c>
      <c r="AU402" s="39"/>
      <c r="AV402" s="39"/>
      <c r="AW402" s="39"/>
      <c r="AX402" s="39"/>
      <c r="AY402" s="39"/>
      <c r="AZ402" s="39">
        <f t="shared" si="237"/>
        <v>0</v>
      </c>
      <c r="BA402" s="39"/>
      <c r="BB402" s="39"/>
      <c r="BC402" s="39"/>
      <c r="BD402" s="39"/>
      <c r="BE402" s="39"/>
      <c r="BF402" s="39">
        <f t="shared" si="238"/>
        <v>0</v>
      </c>
      <c r="BG402" s="39"/>
      <c r="BH402" s="39"/>
      <c r="BI402" s="39"/>
      <c r="BJ402" s="39"/>
      <c r="BK402" s="39"/>
      <c r="BL402" s="39">
        <f t="shared" si="239"/>
        <v>0</v>
      </c>
      <c r="BM402" s="54" t="str">
        <f t="shared" si="240"/>
        <v/>
      </c>
      <c r="BN402" s="58">
        <v>46275</v>
      </c>
      <c r="BO402" s="57">
        <v>46285</v>
      </c>
      <c r="BP402" s="57">
        <v>46289</v>
      </c>
      <c r="BQ402" s="57">
        <v>46295</v>
      </c>
      <c r="BR402" s="155">
        <v>46280</v>
      </c>
      <c r="BS402" s="155">
        <v>46280</v>
      </c>
      <c r="BT402" s="39">
        <v>813</v>
      </c>
      <c r="BU402" s="39">
        <f>17+87</f>
        <v>104</v>
      </c>
      <c r="BV402" s="39"/>
      <c r="BW402" s="39"/>
      <c r="BX402" s="39"/>
      <c r="BY402" s="39"/>
      <c r="BZ402" s="39">
        <f t="shared" si="241"/>
        <v>104</v>
      </c>
      <c r="CA402" s="39">
        <f t="shared" si="242"/>
        <v>3</v>
      </c>
      <c r="CB402" s="39">
        <f t="shared" si="243"/>
        <v>0</v>
      </c>
      <c r="CC402" s="39">
        <f t="shared" si="244"/>
        <v>0</v>
      </c>
      <c r="CD402" s="39">
        <f t="shared" si="245"/>
        <v>0</v>
      </c>
      <c r="CE402" s="102">
        <f t="shared" si="246"/>
        <v>0</v>
      </c>
      <c r="CF402" s="36" t="s">
        <v>293</v>
      </c>
      <c r="CG402" s="39" t="s">
        <v>1051</v>
      </c>
      <c r="CH402" s="39"/>
      <c r="CI402" s="25">
        <v>1</v>
      </c>
    </row>
    <row r="403" spans="1:87" ht="24.75" customHeight="1">
      <c r="A403" s="36" t="s">
        <v>387</v>
      </c>
      <c r="B403" s="27">
        <v>48232</v>
      </c>
      <c r="C403" s="236"/>
      <c r="D403" s="36"/>
      <c r="E403" s="39"/>
      <c r="F403" s="39"/>
      <c r="G403" s="36" t="s">
        <v>319</v>
      </c>
      <c r="H403" s="36">
        <v>460</v>
      </c>
      <c r="I403" s="39" t="s">
        <v>90</v>
      </c>
      <c r="J403" s="39"/>
      <c r="K403" s="39"/>
      <c r="L403" s="39">
        <f t="shared" si="271"/>
        <v>0</v>
      </c>
      <c r="M403" s="117">
        <v>46260</v>
      </c>
      <c r="N403" s="117">
        <v>46265</v>
      </c>
      <c r="O403" s="39"/>
      <c r="P403" s="39"/>
      <c r="Q403" s="39"/>
      <c r="R403" s="39">
        <f t="shared" si="272"/>
        <v>0</v>
      </c>
      <c r="S403" s="39" t="s">
        <v>130</v>
      </c>
      <c r="T403" s="39"/>
      <c r="U403" s="39"/>
      <c r="V403" s="117">
        <v>46251</v>
      </c>
      <c r="W403" s="39">
        <v>5</v>
      </c>
      <c r="X403" s="39"/>
      <c r="Y403" s="39"/>
      <c r="Z403" s="39"/>
      <c r="AA403" s="39"/>
      <c r="AB403" s="39">
        <f t="shared" si="266"/>
        <v>0</v>
      </c>
      <c r="AC403" s="39"/>
      <c r="AD403" s="39"/>
      <c r="AE403" s="39"/>
      <c r="AF403" s="39"/>
      <c r="AG403" s="39"/>
      <c r="AH403" s="39">
        <f t="shared" si="235"/>
        <v>0</v>
      </c>
      <c r="AI403" s="39"/>
      <c r="AJ403" s="39"/>
      <c r="AK403" s="39"/>
      <c r="AL403" s="39"/>
      <c r="AM403" s="39"/>
      <c r="AN403" s="39">
        <f t="shared" si="196"/>
        <v>0</v>
      </c>
      <c r="AO403" s="39"/>
      <c r="AP403" s="39"/>
      <c r="AQ403" s="39"/>
      <c r="AR403" s="39"/>
      <c r="AS403" s="39"/>
      <c r="AT403" s="39">
        <f t="shared" si="236"/>
        <v>0</v>
      </c>
      <c r="AU403" s="39"/>
      <c r="AV403" s="39"/>
      <c r="AW403" s="39"/>
      <c r="AX403" s="39"/>
      <c r="AY403" s="39"/>
      <c r="AZ403" s="39">
        <f t="shared" si="237"/>
        <v>0</v>
      </c>
      <c r="BA403" s="39"/>
      <c r="BB403" s="39"/>
      <c r="BC403" s="39"/>
      <c r="BD403" s="39"/>
      <c r="BE403" s="39"/>
      <c r="BF403" s="39">
        <f t="shared" si="238"/>
        <v>0</v>
      </c>
      <c r="BG403" s="39"/>
      <c r="BH403" s="39"/>
      <c r="BI403" s="39"/>
      <c r="BJ403" s="39"/>
      <c r="BK403" s="39"/>
      <c r="BL403" s="39">
        <f t="shared" si="239"/>
        <v>0</v>
      </c>
      <c r="BM403" s="54" t="e">
        <f t="shared" si="240"/>
        <v>#DIV/0!</v>
      </c>
      <c r="BN403" s="58">
        <v>46275</v>
      </c>
      <c r="BO403" s="57">
        <v>46285</v>
      </c>
      <c r="BP403" s="57"/>
      <c r="BQ403" s="57"/>
      <c r="BR403" s="41"/>
      <c r="BS403" s="41"/>
      <c r="BT403" s="39"/>
      <c r="BU403" s="39"/>
      <c r="BV403" s="39"/>
      <c r="BW403" s="39"/>
      <c r="BX403" s="39"/>
      <c r="BY403" s="39"/>
      <c r="BZ403" s="39">
        <f t="shared" si="241"/>
        <v>0</v>
      </c>
      <c r="CA403" s="39" t="e">
        <f t="shared" si="242"/>
        <v>#VALUE!</v>
      </c>
      <c r="CB403" s="39">
        <f t="shared" si="243"/>
        <v>0</v>
      </c>
      <c r="CC403" s="39">
        <f t="shared" si="244"/>
        <v>0</v>
      </c>
      <c r="CD403" s="39">
        <f t="shared" si="245"/>
        <v>0</v>
      </c>
      <c r="CE403" s="102" t="e">
        <f t="shared" si="246"/>
        <v>#DIV/0!</v>
      </c>
      <c r="CF403" s="36" t="s">
        <v>293</v>
      </c>
      <c r="CG403" s="39" t="s">
        <v>1051</v>
      </c>
      <c r="CH403" s="39"/>
      <c r="CI403" s="25">
        <v>1</v>
      </c>
    </row>
    <row r="404" spans="1:87" ht="24.75" customHeight="1">
      <c r="A404" s="36" t="s">
        <v>387</v>
      </c>
      <c r="B404" s="27">
        <v>48233</v>
      </c>
      <c r="C404" s="41">
        <v>15388155</v>
      </c>
      <c r="D404" s="36" t="s">
        <v>37</v>
      </c>
      <c r="E404" s="39">
        <v>150</v>
      </c>
      <c r="F404" s="39" t="s">
        <v>69</v>
      </c>
      <c r="G404" s="36" t="s">
        <v>848</v>
      </c>
      <c r="H404" s="36" t="s">
        <v>22</v>
      </c>
      <c r="I404" s="39">
        <v>81</v>
      </c>
      <c r="J404" s="39">
        <v>6</v>
      </c>
      <c r="K404" s="39"/>
      <c r="L404" s="39">
        <f t="shared" si="271"/>
        <v>87</v>
      </c>
      <c r="M404" s="117">
        <v>46259</v>
      </c>
      <c r="N404" s="117">
        <v>46262</v>
      </c>
      <c r="O404" s="39"/>
      <c r="P404" s="39"/>
      <c r="Q404" s="39"/>
      <c r="R404" s="39">
        <f t="shared" ref="R404" si="273">SUM(O404:Q404)</f>
        <v>0</v>
      </c>
      <c r="S404" s="39" t="s">
        <v>326</v>
      </c>
      <c r="T404" s="39"/>
      <c r="U404" s="39"/>
      <c r="V404" s="117">
        <v>46251</v>
      </c>
      <c r="W404" s="39">
        <f>101+9</f>
        <v>110</v>
      </c>
      <c r="X404" s="117">
        <v>46272</v>
      </c>
      <c r="Y404" s="39">
        <f>75</f>
        <v>75</v>
      </c>
      <c r="Z404" s="39"/>
      <c r="AA404" s="39"/>
      <c r="AB404" s="120">
        <f t="shared" si="266"/>
        <v>75</v>
      </c>
      <c r="AC404" s="39" t="s">
        <v>139</v>
      </c>
      <c r="AD404" s="117">
        <v>46273</v>
      </c>
      <c r="AE404" s="39">
        <v>83</v>
      </c>
      <c r="AF404" s="117">
        <v>46279</v>
      </c>
      <c r="AG404" s="39">
        <v>79</v>
      </c>
      <c r="AH404" s="39">
        <f t="shared" si="235"/>
        <v>-4</v>
      </c>
      <c r="AI404" s="39"/>
      <c r="AJ404" s="39"/>
      <c r="AK404" s="39"/>
      <c r="AL404" s="39"/>
      <c r="AM404" s="39"/>
      <c r="AN404" s="39">
        <f t="shared" si="196"/>
        <v>0</v>
      </c>
      <c r="AO404" s="39"/>
      <c r="AP404" s="39"/>
      <c r="AQ404" s="39"/>
      <c r="AR404" s="39"/>
      <c r="AS404" s="39"/>
      <c r="AT404" s="39">
        <f t="shared" si="236"/>
        <v>0</v>
      </c>
      <c r="AU404" s="39"/>
      <c r="AV404" s="39"/>
      <c r="AW404" s="39"/>
      <c r="AX404" s="39"/>
      <c r="AY404" s="39"/>
      <c r="AZ404" s="39">
        <f t="shared" si="237"/>
        <v>0</v>
      </c>
      <c r="BA404" s="39"/>
      <c r="BB404" s="39"/>
      <c r="BC404" s="39"/>
      <c r="BD404" s="39"/>
      <c r="BE404" s="39"/>
      <c r="BF404" s="39">
        <f t="shared" si="238"/>
        <v>0</v>
      </c>
      <c r="BG404" s="39"/>
      <c r="BH404" s="39"/>
      <c r="BI404" s="39"/>
      <c r="BJ404" s="39"/>
      <c r="BK404" s="39"/>
      <c r="BL404" s="39">
        <f t="shared" si="239"/>
        <v>0</v>
      </c>
      <c r="BM404" s="54" t="str">
        <f t="shared" si="240"/>
        <v/>
      </c>
      <c r="BN404" s="58">
        <v>46272</v>
      </c>
      <c r="BO404" s="57">
        <v>46283</v>
      </c>
      <c r="BP404" s="57">
        <v>46289</v>
      </c>
      <c r="BQ404" s="57">
        <v>46295</v>
      </c>
      <c r="BR404" s="117">
        <v>46280</v>
      </c>
      <c r="BS404" s="39"/>
      <c r="BT404" s="39">
        <v>812</v>
      </c>
      <c r="BU404" s="39">
        <f>17+62</f>
        <v>79</v>
      </c>
      <c r="BV404" s="39"/>
      <c r="BW404" s="39"/>
      <c r="BX404" s="39"/>
      <c r="BY404" s="39"/>
      <c r="BZ404" s="39">
        <f t="shared" si="241"/>
        <v>79</v>
      </c>
      <c r="CA404" s="39">
        <f t="shared" si="242"/>
        <v>-2</v>
      </c>
      <c r="CB404" s="39">
        <f t="shared" si="243"/>
        <v>-6</v>
      </c>
      <c r="CC404" s="39">
        <f t="shared" si="244"/>
        <v>0</v>
      </c>
      <c r="CD404" s="39">
        <f t="shared" si="245"/>
        <v>-8</v>
      </c>
      <c r="CE404" s="102">
        <f t="shared" si="246"/>
        <v>-9.1954022988505746E-2</v>
      </c>
      <c r="CF404" s="36" t="s">
        <v>293</v>
      </c>
      <c r="CG404" s="39" t="s">
        <v>1051</v>
      </c>
      <c r="CH404" s="39"/>
      <c r="CI404" s="25">
        <v>1</v>
      </c>
    </row>
    <row r="405" spans="1:87" ht="24.75" customHeight="1">
      <c r="A405" s="36" t="s">
        <v>387</v>
      </c>
      <c r="B405" s="27">
        <v>48234</v>
      </c>
      <c r="C405" s="235" t="s">
        <v>1844</v>
      </c>
      <c r="D405" s="36"/>
      <c r="E405" s="39">
        <v>160</v>
      </c>
      <c r="F405" s="39" t="s">
        <v>57</v>
      </c>
      <c r="G405" s="36" t="s">
        <v>1366</v>
      </c>
      <c r="H405" s="36" t="s">
        <v>22</v>
      </c>
      <c r="I405" s="39">
        <v>54</v>
      </c>
      <c r="J405" s="39"/>
      <c r="K405" s="39"/>
      <c r="L405" s="39">
        <f t="shared" si="232"/>
        <v>54</v>
      </c>
      <c r="M405" s="117">
        <v>46249</v>
      </c>
      <c r="N405" s="117">
        <v>46252</v>
      </c>
      <c r="O405" s="39"/>
      <c r="P405" s="39"/>
      <c r="Q405" s="39"/>
      <c r="R405" s="39">
        <f t="shared" ref="R405:R413" si="274">SUM(O405:Q405)</f>
        <v>0</v>
      </c>
      <c r="S405" s="39" t="s">
        <v>130</v>
      </c>
      <c r="T405" s="39"/>
      <c r="U405" s="39"/>
      <c r="V405" s="39"/>
      <c r="W405" s="39"/>
      <c r="X405" s="39"/>
      <c r="Y405" s="39"/>
      <c r="Z405" s="39"/>
      <c r="AA405" s="39"/>
      <c r="AB405" s="118">
        <f t="shared" si="266"/>
        <v>0</v>
      </c>
      <c r="AC405" s="39"/>
      <c r="AD405" s="39"/>
      <c r="AE405" s="39"/>
      <c r="AF405" s="39"/>
      <c r="AG405" s="39"/>
      <c r="AH405" s="39">
        <f t="shared" si="235"/>
        <v>0</v>
      </c>
      <c r="AI405" s="39"/>
      <c r="AJ405" s="39"/>
      <c r="AK405" s="39"/>
      <c r="AL405" s="39"/>
      <c r="AM405" s="39"/>
      <c r="AN405" s="39">
        <f t="shared" si="196"/>
        <v>0</v>
      </c>
      <c r="AO405" s="39"/>
      <c r="AP405" s="39"/>
      <c r="AQ405" s="39"/>
      <c r="AR405" s="39"/>
      <c r="AS405" s="39"/>
      <c r="AT405" s="39">
        <f t="shared" si="236"/>
        <v>0</v>
      </c>
      <c r="AU405" s="39"/>
      <c r="AV405" s="39"/>
      <c r="AW405" s="39"/>
      <c r="AX405" s="39"/>
      <c r="AY405" s="39"/>
      <c r="AZ405" s="39">
        <f t="shared" si="237"/>
        <v>0</v>
      </c>
      <c r="BA405" s="39"/>
      <c r="BB405" s="39"/>
      <c r="BC405" s="39"/>
      <c r="BD405" s="39"/>
      <c r="BE405" s="39"/>
      <c r="BF405" s="39">
        <f t="shared" si="238"/>
        <v>0</v>
      </c>
      <c r="BG405" s="39"/>
      <c r="BH405" s="39"/>
      <c r="BI405" s="39"/>
      <c r="BJ405" s="39"/>
      <c r="BK405" s="39"/>
      <c r="BL405" s="39">
        <f t="shared" si="239"/>
        <v>0</v>
      </c>
      <c r="BM405" s="54">
        <f t="shared" ca="1" si="240"/>
        <v>46283</v>
      </c>
      <c r="BN405" s="58">
        <v>46266</v>
      </c>
      <c r="BO405" s="57">
        <v>46275</v>
      </c>
      <c r="BP405" s="36"/>
      <c r="BQ405" s="36"/>
      <c r="BR405" s="41"/>
      <c r="BS405" s="39"/>
      <c r="BT405" s="39"/>
      <c r="BU405" s="39"/>
      <c r="BV405" s="39"/>
      <c r="BW405" s="39"/>
      <c r="BX405" s="39"/>
      <c r="BY405" s="39"/>
      <c r="BZ405" s="39">
        <f t="shared" si="241"/>
        <v>0</v>
      </c>
      <c r="CA405" s="39">
        <f t="shared" si="242"/>
        <v>-54</v>
      </c>
      <c r="CB405" s="39">
        <f t="shared" si="243"/>
        <v>0</v>
      </c>
      <c r="CC405" s="39">
        <f t="shared" si="244"/>
        <v>0</v>
      </c>
      <c r="CD405" s="39">
        <f t="shared" si="245"/>
        <v>-54</v>
      </c>
      <c r="CE405" s="102">
        <f t="shared" si="246"/>
        <v>-1</v>
      </c>
      <c r="CF405" s="36" t="s">
        <v>293</v>
      </c>
      <c r="CG405" s="39" t="s">
        <v>1051</v>
      </c>
      <c r="CH405" s="39"/>
      <c r="CI405" s="25">
        <v>1</v>
      </c>
    </row>
    <row r="406" spans="1:87" ht="24.75" customHeight="1">
      <c r="A406" s="36" t="s">
        <v>387</v>
      </c>
      <c r="B406" s="27">
        <v>48234</v>
      </c>
      <c r="C406" s="236"/>
      <c r="D406" s="36"/>
      <c r="E406" s="39"/>
      <c r="F406" s="39"/>
      <c r="G406" s="36" t="s">
        <v>1502</v>
      </c>
      <c r="H406" s="36">
        <v>830</v>
      </c>
      <c r="I406" s="39" t="s">
        <v>90</v>
      </c>
      <c r="J406" s="39"/>
      <c r="K406" s="39"/>
      <c r="L406" s="39">
        <f t="shared" ref="L406:L409" si="275">SUM(I406:K406)</f>
        <v>0</v>
      </c>
      <c r="M406" s="117">
        <v>46249</v>
      </c>
      <c r="N406" s="117">
        <v>46252</v>
      </c>
      <c r="O406" s="39"/>
      <c r="P406" s="39"/>
      <c r="Q406" s="39"/>
      <c r="R406" s="39">
        <f t="shared" si="274"/>
        <v>0</v>
      </c>
      <c r="S406" s="39" t="s">
        <v>130</v>
      </c>
      <c r="T406" s="39"/>
      <c r="U406" s="39"/>
      <c r="V406" s="39"/>
      <c r="W406" s="39"/>
      <c r="X406" s="39"/>
      <c r="Y406" s="39"/>
      <c r="Z406" s="39"/>
      <c r="AA406" s="39"/>
      <c r="AB406" s="39">
        <f t="shared" si="266"/>
        <v>0</v>
      </c>
      <c r="AC406" s="39"/>
      <c r="AD406" s="39"/>
      <c r="AE406" s="39"/>
      <c r="AF406" s="39"/>
      <c r="AG406" s="39"/>
      <c r="AH406" s="39">
        <f t="shared" si="235"/>
        <v>0</v>
      </c>
      <c r="AI406" s="39"/>
      <c r="AJ406" s="39"/>
      <c r="AK406" s="39"/>
      <c r="AL406" s="39"/>
      <c r="AM406" s="39"/>
      <c r="AN406" s="39">
        <f t="shared" si="196"/>
        <v>0</v>
      </c>
      <c r="AO406" s="39"/>
      <c r="AP406" s="39"/>
      <c r="AQ406" s="39"/>
      <c r="AR406" s="39"/>
      <c r="AS406" s="39"/>
      <c r="AT406" s="39">
        <f t="shared" si="236"/>
        <v>0</v>
      </c>
      <c r="AU406" s="39"/>
      <c r="AV406" s="39"/>
      <c r="AW406" s="39"/>
      <c r="AX406" s="39"/>
      <c r="AY406" s="39"/>
      <c r="AZ406" s="39">
        <f t="shared" si="237"/>
        <v>0</v>
      </c>
      <c r="BA406" s="39"/>
      <c r="BB406" s="39"/>
      <c r="BC406" s="39"/>
      <c r="BD406" s="39"/>
      <c r="BE406" s="39"/>
      <c r="BF406" s="39">
        <f t="shared" si="238"/>
        <v>0</v>
      </c>
      <c r="BG406" s="39"/>
      <c r="BH406" s="39"/>
      <c r="BI406" s="39"/>
      <c r="BJ406" s="39"/>
      <c r="BK406" s="39"/>
      <c r="BL406" s="39">
        <f t="shared" si="239"/>
        <v>0</v>
      </c>
      <c r="BM406" s="54" t="e">
        <f t="shared" si="240"/>
        <v>#DIV/0!</v>
      </c>
      <c r="BN406" s="58">
        <v>46266</v>
      </c>
      <c r="BO406" s="57">
        <v>46275</v>
      </c>
      <c r="BP406" s="36"/>
      <c r="BQ406" s="36"/>
      <c r="BR406" s="41"/>
      <c r="BS406" s="39"/>
      <c r="BT406" s="39"/>
      <c r="BU406" s="39"/>
      <c r="BV406" s="39"/>
      <c r="BW406" s="39"/>
      <c r="BX406" s="39"/>
      <c r="BY406" s="39"/>
      <c r="BZ406" s="39">
        <f t="shared" si="241"/>
        <v>0</v>
      </c>
      <c r="CA406" s="39" t="e">
        <f t="shared" si="242"/>
        <v>#VALUE!</v>
      </c>
      <c r="CB406" s="39">
        <f t="shared" si="243"/>
        <v>0</v>
      </c>
      <c r="CC406" s="39">
        <f t="shared" si="244"/>
        <v>0</v>
      </c>
      <c r="CD406" s="39">
        <f t="shared" si="245"/>
        <v>0</v>
      </c>
      <c r="CE406" s="102" t="e">
        <f t="shared" si="246"/>
        <v>#DIV/0!</v>
      </c>
      <c r="CF406" s="36" t="s">
        <v>293</v>
      </c>
      <c r="CG406" s="39" t="s">
        <v>1051</v>
      </c>
      <c r="CH406" s="39"/>
      <c r="CI406" s="25">
        <v>1</v>
      </c>
    </row>
    <row r="407" spans="1:87" ht="24.75" customHeight="1">
      <c r="A407" s="36" t="s">
        <v>387</v>
      </c>
      <c r="B407" s="27">
        <v>48236</v>
      </c>
      <c r="C407" s="41">
        <v>15388156</v>
      </c>
      <c r="D407" s="36" t="s">
        <v>37</v>
      </c>
      <c r="E407" s="39">
        <v>150</v>
      </c>
      <c r="F407" s="39" t="s">
        <v>69</v>
      </c>
      <c r="G407" s="36" t="s">
        <v>848</v>
      </c>
      <c r="H407" s="36" t="s">
        <v>22</v>
      </c>
      <c r="I407" s="39">
        <v>129</v>
      </c>
      <c r="J407" s="39">
        <v>13</v>
      </c>
      <c r="K407" s="39"/>
      <c r="L407" s="39">
        <f t="shared" si="275"/>
        <v>142</v>
      </c>
      <c r="M407" s="117">
        <v>46254</v>
      </c>
      <c r="N407" s="117">
        <v>46258</v>
      </c>
      <c r="O407" s="39"/>
      <c r="P407" s="39"/>
      <c r="Q407" s="39"/>
      <c r="R407" s="39">
        <f t="shared" si="274"/>
        <v>0</v>
      </c>
      <c r="S407" s="39" t="s">
        <v>326</v>
      </c>
      <c r="T407" s="39"/>
      <c r="U407" s="39"/>
      <c r="V407" s="117">
        <v>46251</v>
      </c>
      <c r="W407" s="39">
        <f>157+16</f>
        <v>173</v>
      </c>
      <c r="X407" s="117">
        <v>46272</v>
      </c>
      <c r="Y407" s="39">
        <v>136</v>
      </c>
      <c r="Z407" s="39"/>
      <c r="AA407" s="39"/>
      <c r="AB407" s="120">
        <f t="shared" si="266"/>
        <v>136</v>
      </c>
      <c r="AC407" s="39" t="s">
        <v>139</v>
      </c>
      <c r="AD407" s="117">
        <v>46273</v>
      </c>
      <c r="AE407" s="39">
        <v>136</v>
      </c>
      <c r="AF407" s="117">
        <v>46279</v>
      </c>
      <c r="AG407" s="39">
        <v>127</v>
      </c>
      <c r="AH407" s="39">
        <f t="shared" si="235"/>
        <v>-9</v>
      </c>
      <c r="AI407" s="39"/>
      <c r="AJ407" s="39"/>
      <c r="AK407" s="39"/>
      <c r="AL407" s="39"/>
      <c r="AM407" s="39"/>
      <c r="AN407" s="39">
        <f t="shared" si="196"/>
        <v>0</v>
      </c>
      <c r="AO407" s="39"/>
      <c r="AP407" s="39"/>
      <c r="AQ407" s="39"/>
      <c r="AR407" s="39"/>
      <c r="AS407" s="39"/>
      <c r="AT407" s="39">
        <f t="shared" si="236"/>
        <v>0</v>
      </c>
      <c r="AU407" s="39"/>
      <c r="AV407" s="39"/>
      <c r="AW407" s="39"/>
      <c r="AX407" s="39"/>
      <c r="AY407" s="39"/>
      <c r="AZ407" s="39">
        <f t="shared" si="237"/>
        <v>0</v>
      </c>
      <c r="BA407" s="39"/>
      <c r="BB407" s="39"/>
      <c r="BC407" s="39"/>
      <c r="BD407" s="39"/>
      <c r="BE407" s="39"/>
      <c r="BF407" s="39">
        <f t="shared" si="238"/>
        <v>0</v>
      </c>
      <c r="BG407" s="39"/>
      <c r="BH407" s="39"/>
      <c r="BI407" s="39"/>
      <c r="BJ407" s="39"/>
      <c r="BK407" s="39"/>
      <c r="BL407" s="39">
        <f t="shared" si="239"/>
        <v>0</v>
      </c>
      <c r="BM407" s="54">
        <f t="shared" ca="1" si="240"/>
        <v>46283</v>
      </c>
      <c r="BN407" s="58">
        <v>46271</v>
      </c>
      <c r="BO407" s="57">
        <v>46283</v>
      </c>
      <c r="BP407" s="57">
        <v>46287</v>
      </c>
      <c r="BQ407" s="57">
        <v>46293</v>
      </c>
      <c r="BR407" s="117">
        <v>46280</v>
      </c>
      <c r="BS407" s="39"/>
      <c r="BT407" s="39">
        <v>813</v>
      </c>
      <c r="BU407" s="39">
        <f>21+106</f>
        <v>127</v>
      </c>
      <c r="BV407" s="39"/>
      <c r="BW407" s="39"/>
      <c r="BX407" s="39"/>
      <c r="BY407" s="39"/>
      <c r="BZ407" s="39">
        <f t="shared" si="241"/>
        <v>127</v>
      </c>
      <c r="CA407" s="39">
        <f t="shared" si="242"/>
        <v>-2</v>
      </c>
      <c r="CB407" s="39">
        <f t="shared" si="243"/>
        <v>-13</v>
      </c>
      <c r="CC407" s="39">
        <f t="shared" si="244"/>
        <v>0</v>
      </c>
      <c r="CD407" s="39">
        <f t="shared" si="245"/>
        <v>-15</v>
      </c>
      <c r="CE407" s="102">
        <f t="shared" si="246"/>
        <v>-0.10563380281690141</v>
      </c>
      <c r="CF407" s="36" t="s">
        <v>293</v>
      </c>
      <c r="CG407" s="39" t="s">
        <v>1051</v>
      </c>
      <c r="CH407" s="39"/>
      <c r="CI407" s="25">
        <v>1</v>
      </c>
    </row>
    <row r="408" spans="1:87" ht="24.75" customHeight="1">
      <c r="A408" s="36" t="s">
        <v>387</v>
      </c>
      <c r="B408" s="27">
        <v>48237</v>
      </c>
      <c r="C408" s="235" t="s">
        <v>1845</v>
      </c>
      <c r="D408" s="36"/>
      <c r="E408" s="39">
        <v>160</v>
      </c>
      <c r="F408" s="39" t="s">
        <v>55</v>
      </c>
      <c r="G408" s="36" t="s">
        <v>1366</v>
      </c>
      <c r="H408" s="36" t="s">
        <v>22</v>
      </c>
      <c r="I408" s="39">
        <v>111</v>
      </c>
      <c r="J408" s="39"/>
      <c r="K408" s="39"/>
      <c r="L408" s="39">
        <f t="shared" si="275"/>
        <v>111</v>
      </c>
      <c r="M408" s="117">
        <v>46259</v>
      </c>
      <c r="N408" s="117">
        <v>46264</v>
      </c>
      <c r="O408" s="39"/>
      <c r="P408" s="39"/>
      <c r="Q408" s="39"/>
      <c r="R408" s="39">
        <f t="shared" si="274"/>
        <v>0</v>
      </c>
      <c r="S408" s="39" t="s">
        <v>130</v>
      </c>
      <c r="T408" s="39"/>
      <c r="U408" s="39"/>
      <c r="V408" s="39"/>
      <c r="W408" s="39"/>
      <c r="X408" s="39"/>
      <c r="Y408" s="39"/>
      <c r="Z408" s="39"/>
      <c r="AA408" s="39"/>
      <c r="AB408" s="118">
        <f t="shared" si="266"/>
        <v>0</v>
      </c>
      <c r="AC408" s="39"/>
      <c r="AD408" s="39"/>
      <c r="AE408" s="39"/>
      <c r="AF408" s="39"/>
      <c r="AG408" s="39"/>
      <c r="AH408" s="39">
        <f t="shared" si="235"/>
        <v>0</v>
      </c>
      <c r="AI408" s="39"/>
      <c r="AJ408" s="39"/>
      <c r="AK408" s="39"/>
      <c r="AL408" s="39"/>
      <c r="AM408" s="39"/>
      <c r="AN408" s="39">
        <f t="shared" si="196"/>
        <v>0</v>
      </c>
      <c r="AO408" s="39"/>
      <c r="AP408" s="39"/>
      <c r="AQ408" s="39"/>
      <c r="AR408" s="39"/>
      <c r="AS408" s="39"/>
      <c r="AT408" s="39">
        <f t="shared" si="236"/>
        <v>0</v>
      </c>
      <c r="AU408" s="39"/>
      <c r="AV408" s="39"/>
      <c r="AW408" s="39"/>
      <c r="AX408" s="39"/>
      <c r="AY408" s="39"/>
      <c r="AZ408" s="39">
        <f t="shared" si="237"/>
        <v>0</v>
      </c>
      <c r="BA408" s="39"/>
      <c r="BB408" s="39"/>
      <c r="BC408" s="39"/>
      <c r="BD408" s="39"/>
      <c r="BE408" s="39"/>
      <c r="BF408" s="39">
        <f t="shared" si="238"/>
        <v>0</v>
      </c>
      <c r="BG408" s="39"/>
      <c r="BH408" s="39"/>
      <c r="BI408" s="39"/>
      <c r="BJ408" s="39"/>
      <c r="BK408" s="39"/>
      <c r="BL408" s="39">
        <f t="shared" si="239"/>
        <v>0</v>
      </c>
      <c r="BM408" s="54">
        <f t="shared" ca="1" si="240"/>
        <v>46283</v>
      </c>
      <c r="BN408" s="58">
        <v>46270</v>
      </c>
      <c r="BO408" s="57">
        <v>46285</v>
      </c>
      <c r="BP408" s="36"/>
      <c r="BQ408" s="36"/>
      <c r="BR408" s="41"/>
      <c r="BS408" s="41"/>
      <c r="BT408" s="39"/>
      <c r="BU408" s="39"/>
      <c r="BV408" s="39"/>
      <c r="BW408" s="39"/>
      <c r="BX408" s="39"/>
      <c r="BY408" s="39"/>
      <c r="BZ408" s="39">
        <f t="shared" si="241"/>
        <v>0</v>
      </c>
      <c r="CA408" s="39">
        <f t="shared" si="242"/>
        <v>-111</v>
      </c>
      <c r="CB408" s="39">
        <f t="shared" si="243"/>
        <v>0</v>
      </c>
      <c r="CC408" s="39">
        <f t="shared" si="244"/>
        <v>0</v>
      </c>
      <c r="CD408" s="39">
        <f t="shared" si="245"/>
        <v>-111</v>
      </c>
      <c r="CE408" s="102">
        <f t="shared" si="246"/>
        <v>-1</v>
      </c>
      <c r="CF408" s="36" t="s">
        <v>293</v>
      </c>
      <c r="CG408" s="39" t="s">
        <v>1051</v>
      </c>
      <c r="CH408" s="39"/>
      <c r="CI408" s="25">
        <v>1</v>
      </c>
    </row>
    <row r="409" spans="1:87" ht="24.75" customHeight="1">
      <c r="A409" s="36" t="s">
        <v>387</v>
      </c>
      <c r="B409" s="27">
        <v>48237</v>
      </c>
      <c r="C409" s="236"/>
      <c r="D409" s="36"/>
      <c r="E409" s="39"/>
      <c r="F409" s="39"/>
      <c r="G409" s="36" t="s">
        <v>1502</v>
      </c>
      <c r="H409" s="36">
        <v>910</v>
      </c>
      <c r="I409" s="39" t="s">
        <v>90</v>
      </c>
      <c r="J409" s="39"/>
      <c r="K409" s="39"/>
      <c r="L409" s="39">
        <f t="shared" si="275"/>
        <v>0</v>
      </c>
      <c r="M409" s="117">
        <v>46259</v>
      </c>
      <c r="N409" s="117">
        <v>46264</v>
      </c>
      <c r="O409" s="39"/>
      <c r="P409" s="39"/>
      <c r="Q409" s="39"/>
      <c r="R409" s="39">
        <f t="shared" si="274"/>
        <v>0</v>
      </c>
      <c r="S409" s="39" t="s">
        <v>130</v>
      </c>
      <c r="T409" s="39"/>
      <c r="U409" s="39"/>
      <c r="V409" s="39"/>
      <c r="W409" s="39"/>
      <c r="X409" s="39"/>
      <c r="Y409" s="39"/>
      <c r="Z409" s="39"/>
      <c r="AA409" s="39"/>
      <c r="AB409" s="39">
        <f t="shared" si="266"/>
        <v>0</v>
      </c>
      <c r="AC409" s="39"/>
      <c r="AD409" s="39"/>
      <c r="AE409" s="39"/>
      <c r="AF409" s="39"/>
      <c r="AG409" s="39"/>
      <c r="AH409" s="39">
        <f t="shared" si="235"/>
        <v>0</v>
      </c>
      <c r="AI409" s="39"/>
      <c r="AJ409" s="39"/>
      <c r="AK409" s="39"/>
      <c r="AL409" s="39"/>
      <c r="AM409" s="39"/>
      <c r="AN409" s="39">
        <f t="shared" si="196"/>
        <v>0</v>
      </c>
      <c r="AO409" s="39"/>
      <c r="AP409" s="39"/>
      <c r="AQ409" s="39"/>
      <c r="AR409" s="39"/>
      <c r="AS409" s="39"/>
      <c r="AT409" s="39">
        <f t="shared" si="236"/>
        <v>0</v>
      </c>
      <c r="AU409" s="39"/>
      <c r="AV409" s="39"/>
      <c r="AW409" s="39"/>
      <c r="AX409" s="39"/>
      <c r="AY409" s="39"/>
      <c r="AZ409" s="39">
        <f t="shared" si="237"/>
        <v>0</v>
      </c>
      <c r="BA409" s="39"/>
      <c r="BB409" s="39"/>
      <c r="BC409" s="39"/>
      <c r="BD409" s="39"/>
      <c r="BE409" s="39"/>
      <c r="BF409" s="39">
        <f t="shared" si="238"/>
        <v>0</v>
      </c>
      <c r="BG409" s="39"/>
      <c r="BH409" s="39"/>
      <c r="BI409" s="39"/>
      <c r="BJ409" s="39"/>
      <c r="BK409" s="39"/>
      <c r="BL409" s="39">
        <f t="shared" si="239"/>
        <v>0</v>
      </c>
      <c r="BM409" s="54" t="e">
        <f t="shared" si="240"/>
        <v>#DIV/0!</v>
      </c>
      <c r="BN409" s="58">
        <v>46270</v>
      </c>
      <c r="BO409" s="57">
        <v>46285</v>
      </c>
      <c r="BP409" s="36"/>
      <c r="BQ409" s="36"/>
      <c r="BR409" s="41"/>
      <c r="BS409" s="41"/>
      <c r="BT409" s="39"/>
      <c r="BU409" s="39"/>
      <c r="BV409" s="39"/>
      <c r="BW409" s="39"/>
      <c r="BX409" s="39"/>
      <c r="BY409" s="39"/>
      <c r="BZ409" s="39">
        <f t="shared" si="241"/>
        <v>0</v>
      </c>
      <c r="CA409" s="39" t="e">
        <f t="shared" si="242"/>
        <v>#VALUE!</v>
      </c>
      <c r="CB409" s="39">
        <f t="shared" si="243"/>
        <v>0</v>
      </c>
      <c r="CC409" s="39">
        <f t="shared" si="244"/>
        <v>0</v>
      </c>
      <c r="CD409" s="39">
        <f t="shared" si="245"/>
        <v>0</v>
      </c>
      <c r="CE409" s="102" t="e">
        <f t="shared" si="246"/>
        <v>#DIV/0!</v>
      </c>
      <c r="CF409" s="36" t="s">
        <v>293</v>
      </c>
      <c r="CG409" s="39" t="s">
        <v>1051</v>
      </c>
      <c r="CH409" s="39"/>
      <c r="CI409" s="25">
        <v>1</v>
      </c>
    </row>
    <row r="410" spans="1:87" ht="24.75" customHeight="1">
      <c r="A410" s="36" t="s">
        <v>387</v>
      </c>
      <c r="B410" s="27" t="s">
        <v>2189</v>
      </c>
      <c r="C410" s="235">
        <v>15312874</v>
      </c>
      <c r="D410" s="36" t="s">
        <v>45</v>
      </c>
      <c r="E410" s="39">
        <v>270</v>
      </c>
      <c r="F410" s="39" t="s">
        <v>58</v>
      </c>
      <c r="G410" s="36" t="s">
        <v>1310</v>
      </c>
      <c r="H410" s="36" t="s">
        <v>410</v>
      </c>
      <c r="I410" s="39">
        <v>827</v>
      </c>
      <c r="J410" s="39">
        <v>213</v>
      </c>
      <c r="K410" s="39">
        <v>101</v>
      </c>
      <c r="L410" s="39">
        <f t="shared" ref="L410" si="276">SUM(I410:K410)</f>
        <v>1141</v>
      </c>
      <c r="M410" s="117">
        <v>46254</v>
      </c>
      <c r="N410" s="117">
        <v>46261</v>
      </c>
      <c r="O410" s="39"/>
      <c r="P410" s="39"/>
      <c r="Q410" s="39"/>
      <c r="R410" s="39">
        <f t="shared" si="274"/>
        <v>0</v>
      </c>
      <c r="S410" s="39" t="s">
        <v>130</v>
      </c>
      <c r="T410" s="39" t="s">
        <v>2695</v>
      </c>
      <c r="U410" s="117" t="s">
        <v>2696</v>
      </c>
      <c r="V410" s="39"/>
      <c r="W410" s="39"/>
      <c r="X410" s="39"/>
      <c r="Y410" s="39">
        <f>154+805</f>
        <v>959</v>
      </c>
      <c r="Z410" s="39">
        <v>239</v>
      </c>
      <c r="AA410" s="39">
        <v>118</v>
      </c>
      <c r="AB410" s="119">
        <f t="shared" si="266"/>
        <v>1316</v>
      </c>
      <c r="AC410" s="39"/>
      <c r="AD410" s="39"/>
      <c r="AE410" s="39"/>
      <c r="AF410" s="39"/>
      <c r="AG410" s="39"/>
      <c r="AH410" s="39">
        <f t="shared" si="235"/>
        <v>0</v>
      </c>
      <c r="AI410" s="39"/>
      <c r="AJ410" s="39"/>
      <c r="AK410" s="39"/>
      <c r="AL410" s="39"/>
      <c r="AM410" s="39"/>
      <c r="AN410" s="39">
        <f t="shared" si="196"/>
        <v>0</v>
      </c>
      <c r="AO410" s="39" t="s">
        <v>280</v>
      </c>
      <c r="AP410" s="117">
        <v>46256</v>
      </c>
      <c r="AQ410" s="39">
        <f>738+137</f>
        <v>875</v>
      </c>
      <c r="AR410" s="117" t="s">
        <v>2584</v>
      </c>
      <c r="AS410" s="39">
        <f>138+743</f>
        <v>881</v>
      </c>
      <c r="AT410" s="39">
        <f t="shared" si="236"/>
        <v>6</v>
      </c>
      <c r="AU410" s="39" t="s">
        <v>257</v>
      </c>
      <c r="AV410" s="117" t="s">
        <v>2584</v>
      </c>
      <c r="AW410" s="39">
        <f>138+743</f>
        <v>881</v>
      </c>
      <c r="AX410" s="117" t="s">
        <v>2595</v>
      </c>
      <c r="AY410" s="39">
        <f>133+732</f>
        <v>865</v>
      </c>
      <c r="AZ410" s="39">
        <f t="shared" si="237"/>
        <v>-16</v>
      </c>
      <c r="BA410" s="39"/>
      <c r="BB410" s="39"/>
      <c r="BC410" s="39"/>
      <c r="BD410" s="39"/>
      <c r="BE410" s="39"/>
      <c r="BF410" s="39">
        <f t="shared" si="238"/>
        <v>0</v>
      </c>
      <c r="BG410" s="39" t="s">
        <v>28</v>
      </c>
      <c r="BH410" s="117">
        <v>46267</v>
      </c>
      <c r="BI410" s="39">
        <f>147+681</f>
        <v>828</v>
      </c>
      <c r="BJ410" s="117">
        <v>46277</v>
      </c>
      <c r="BK410" s="39">
        <f>141</f>
        <v>141</v>
      </c>
      <c r="BL410" s="39">
        <f t="shared" si="239"/>
        <v>-687</v>
      </c>
      <c r="BM410" s="54" t="e">
        <f t="shared" ca="1" si="240"/>
        <v>#VALUE!</v>
      </c>
      <c r="BN410" s="58">
        <v>46266</v>
      </c>
      <c r="BO410" s="57">
        <v>46280</v>
      </c>
      <c r="BP410" s="36"/>
      <c r="BQ410" s="36"/>
      <c r="BR410" s="117">
        <v>46262</v>
      </c>
      <c r="BS410" s="39"/>
      <c r="BT410" s="39" t="s">
        <v>3011</v>
      </c>
      <c r="BU410" s="39">
        <f>50+141</f>
        <v>191</v>
      </c>
      <c r="BV410" s="39"/>
      <c r="BW410" s="39"/>
      <c r="BX410" s="39"/>
      <c r="BY410" s="39"/>
      <c r="BZ410" s="39">
        <f t="shared" si="241"/>
        <v>191</v>
      </c>
      <c r="CA410" s="39">
        <f t="shared" si="242"/>
        <v>-636</v>
      </c>
      <c r="CB410" s="39">
        <f t="shared" si="243"/>
        <v>-213</v>
      </c>
      <c r="CC410" s="39">
        <f t="shared" si="244"/>
        <v>-101</v>
      </c>
      <c r="CD410" s="39">
        <f t="shared" si="245"/>
        <v>-950</v>
      </c>
      <c r="CE410" s="102">
        <f t="shared" si="246"/>
        <v>-0.83260297984224363</v>
      </c>
      <c r="CF410" s="36" t="s">
        <v>292</v>
      </c>
      <c r="CG410" s="39" t="s">
        <v>220</v>
      </c>
      <c r="CH410" s="39"/>
      <c r="CI410" s="25">
        <v>1</v>
      </c>
    </row>
    <row r="411" spans="1:87" ht="25.5" customHeight="1">
      <c r="A411" s="36" t="s">
        <v>387</v>
      </c>
      <c r="B411" s="27" t="s">
        <v>2189</v>
      </c>
      <c r="C411" s="240"/>
      <c r="D411" s="36" t="s">
        <v>45</v>
      </c>
      <c r="E411" s="39">
        <v>270</v>
      </c>
      <c r="F411" s="39" t="s">
        <v>58</v>
      </c>
      <c r="G411" s="36" t="s">
        <v>1311</v>
      </c>
      <c r="H411" s="36" t="s">
        <v>410</v>
      </c>
      <c r="I411" s="39">
        <v>827</v>
      </c>
      <c r="J411" s="39">
        <v>213</v>
      </c>
      <c r="K411" s="39">
        <v>101</v>
      </c>
      <c r="L411" s="39">
        <f t="shared" ref="L411:L414" si="277">SUM(I411:K411)</f>
        <v>1141</v>
      </c>
      <c r="M411" s="117">
        <v>46254</v>
      </c>
      <c r="N411" s="117">
        <v>46261</v>
      </c>
      <c r="O411" s="39"/>
      <c r="P411" s="39"/>
      <c r="Q411" s="39"/>
      <c r="R411" s="39">
        <f t="shared" si="274"/>
        <v>0</v>
      </c>
      <c r="S411" s="39" t="s">
        <v>326</v>
      </c>
      <c r="T411" s="39"/>
      <c r="U411" s="39"/>
      <c r="V411" s="117" t="s">
        <v>2341</v>
      </c>
      <c r="W411" s="39">
        <f>970+118+239</f>
        <v>1327</v>
      </c>
      <c r="X411" s="117" t="s">
        <v>3075</v>
      </c>
      <c r="Y411" s="39">
        <f>740+143</f>
        <v>883</v>
      </c>
      <c r="Z411" s="39">
        <f>207</f>
        <v>207</v>
      </c>
      <c r="AA411" s="157">
        <f>90+84</f>
        <v>174</v>
      </c>
      <c r="AB411" s="120">
        <f t="shared" si="266"/>
        <v>1264</v>
      </c>
      <c r="AC411" s="39"/>
      <c r="AD411" s="39"/>
      <c r="AE411" s="39"/>
      <c r="AF411" s="39"/>
      <c r="AG411" s="39"/>
      <c r="AH411" s="39">
        <f t="shared" si="235"/>
        <v>0</v>
      </c>
      <c r="AI411" s="39"/>
      <c r="AJ411" s="39"/>
      <c r="AK411" s="39"/>
      <c r="AL411" s="39"/>
      <c r="AM411" s="39"/>
      <c r="AN411" s="39">
        <f t="shared" si="196"/>
        <v>0</v>
      </c>
      <c r="AO411" s="39" t="s">
        <v>280</v>
      </c>
      <c r="AP411" s="117" t="s">
        <v>2558</v>
      </c>
      <c r="AQ411" s="39">
        <f>742+145</f>
        <v>887</v>
      </c>
      <c r="AR411" s="117" t="s">
        <v>2596</v>
      </c>
      <c r="AS411" s="39">
        <f>435+303+151</f>
        <v>889</v>
      </c>
      <c r="AT411" s="39">
        <f t="shared" si="236"/>
        <v>2</v>
      </c>
      <c r="AU411" s="39" t="s">
        <v>257</v>
      </c>
      <c r="AV411" s="117" t="s">
        <v>2596</v>
      </c>
      <c r="AW411" s="39">
        <f>435+303+151</f>
        <v>889</v>
      </c>
      <c r="AX411" s="117" t="s">
        <v>2629</v>
      </c>
      <c r="AY411" s="39">
        <f>428+298+148</f>
        <v>874</v>
      </c>
      <c r="AZ411" s="39">
        <f t="shared" si="237"/>
        <v>-15</v>
      </c>
      <c r="BA411" s="39"/>
      <c r="BB411" s="39"/>
      <c r="BC411" s="39"/>
      <c r="BD411" s="39"/>
      <c r="BE411" s="39"/>
      <c r="BF411" s="39">
        <f t="shared" si="238"/>
        <v>0</v>
      </c>
      <c r="BG411" s="39" t="s">
        <v>28</v>
      </c>
      <c r="BH411" s="117">
        <v>46265</v>
      </c>
      <c r="BI411" s="39">
        <f>726+153</f>
        <v>879</v>
      </c>
      <c r="BJ411" s="117" t="s">
        <v>2778</v>
      </c>
      <c r="BK411" s="39">
        <f>714+151</f>
        <v>865</v>
      </c>
      <c r="BL411" s="39">
        <f t="shared" si="239"/>
        <v>-14</v>
      </c>
      <c r="BM411" s="54" t="str">
        <f t="shared" si="240"/>
        <v/>
      </c>
      <c r="BN411" s="58">
        <v>46266</v>
      </c>
      <c r="BO411" s="57">
        <v>46280</v>
      </c>
      <c r="BP411" s="36"/>
      <c r="BQ411" s="36"/>
      <c r="BR411" s="117">
        <v>46268</v>
      </c>
      <c r="BS411" s="117">
        <v>46281</v>
      </c>
      <c r="BT411" s="39" t="s">
        <v>2825</v>
      </c>
      <c r="BU411" s="39">
        <f>714+151</f>
        <v>865</v>
      </c>
      <c r="BV411" s="39">
        <v>862</v>
      </c>
      <c r="BW411" s="39">
        <f>207</f>
        <v>207</v>
      </c>
      <c r="BX411" s="39">
        <v>867</v>
      </c>
      <c r="BY411" s="39">
        <f>90</f>
        <v>90</v>
      </c>
      <c r="BZ411" s="39">
        <f t="shared" si="241"/>
        <v>1162</v>
      </c>
      <c r="CA411" s="39">
        <f t="shared" si="242"/>
        <v>38</v>
      </c>
      <c r="CB411" s="39">
        <f t="shared" si="243"/>
        <v>-6</v>
      </c>
      <c r="CC411" s="39">
        <f t="shared" si="244"/>
        <v>-11</v>
      </c>
      <c r="CD411" s="39">
        <f t="shared" si="245"/>
        <v>-17</v>
      </c>
      <c r="CE411" s="102">
        <f t="shared" si="246"/>
        <v>-1.4899211218229623E-2</v>
      </c>
      <c r="CF411" s="36" t="s">
        <v>292</v>
      </c>
      <c r="CG411" s="39" t="s">
        <v>220</v>
      </c>
      <c r="CH411" s="39"/>
      <c r="CI411" s="25">
        <v>1</v>
      </c>
    </row>
    <row r="412" spans="1:87" ht="24.75" customHeight="1">
      <c r="A412" s="36" t="s">
        <v>387</v>
      </c>
      <c r="B412" s="27" t="s">
        <v>2189</v>
      </c>
      <c r="C412" s="240"/>
      <c r="D412" s="36"/>
      <c r="E412" s="39"/>
      <c r="F412" s="39"/>
      <c r="G412" s="36" t="s">
        <v>92</v>
      </c>
      <c r="H412" s="36">
        <f>750+750</f>
        <v>1500</v>
      </c>
      <c r="I412" s="39" t="s">
        <v>90</v>
      </c>
      <c r="J412" s="39"/>
      <c r="K412" s="39"/>
      <c r="L412" s="39">
        <f t="shared" si="277"/>
        <v>0</v>
      </c>
      <c r="M412" s="117">
        <v>46254</v>
      </c>
      <c r="N412" s="117">
        <v>46261</v>
      </c>
      <c r="O412" s="39"/>
      <c r="P412" s="39"/>
      <c r="Q412" s="39"/>
      <c r="R412" s="39">
        <f t="shared" si="274"/>
        <v>0</v>
      </c>
      <c r="S412" s="39" t="s">
        <v>130</v>
      </c>
      <c r="T412" s="39"/>
      <c r="U412" s="39"/>
      <c r="V412" s="117">
        <v>46247</v>
      </c>
      <c r="W412" s="39">
        <f>8</f>
        <v>8</v>
      </c>
      <c r="X412" s="117">
        <v>46259</v>
      </c>
      <c r="Y412" s="39">
        <f>7</f>
        <v>7</v>
      </c>
      <c r="Z412" s="39"/>
      <c r="AA412" s="39"/>
      <c r="AB412" s="39">
        <f t="shared" si="266"/>
        <v>7</v>
      </c>
      <c r="AC412" s="39"/>
      <c r="AD412" s="39"/>
      <c r="AE412" s="39"/>
      <c r="AF412" s="39"/>
      <c r="AG412" s="39"/>
      <c r="AH412" s="39">
        <f t="shared" si="235"/>
        <v>0</v>
      </c>
      <c r="AI412" s="39"/>
      <c r="AJ412" s="39"/>
      <c r="AK412" s="39"/>
      <c r="AL412" s="39"/>
      <c r="AM412" s="39"/>
      <c r="AN412" s="39">
        <f t="shared" si="196"/>
        <v>0</v>
      </c>
      <c r="AO412" s="39"/>
      <c r="AP412" s="39"/>
      <c r="AQ412" s="39"/>
      <c r="AR412" s="39"/>
      <c r="AS412" s="39"/>
      <c r="AT412" s="39">
        <f t="shared" si="236"/>
        <v>0</v>
      </c>
      <c r="AU412" s="39"/>
      <c r="AV412" s="39"/>
      <c r="AW412" s="39"/>
      <c r="AX412" s="39"/>
      <c r="AY412" s="39"/>
      <c r="AZ412" s="39">
        <f t="shared" si="237"/>
        <v>0</v>
      </c>
      <c r="BA412" s="39"/>
      <c r="BB412" s="39"/>
      <c r="BC412" s="39"/>
      <c r="BD412" s="39"/>
      <c r="BE412" s="39"/>
      <c r="BF412" s="39">
        <f t="shared" si="238"/>
        <v>0</v>
      </c>
      <c r="BG412" s="39"/>
      <c r="BH412" s="39"/>
      <c r="BI412" s="39"/>
      <c r="BJ412" s="39"/>
      <c r="BK412" s="39"/>
      <c r="BL412" s="39">
        <f t="shared" si="239"/>
        <v>0</v>
      </c>
      <c r="BM412" s="54" t="e">
        <f t="shared" si="240"/>
        <v>#DIV/0!</v>
      </c>
      <c r="BN412" s="58">
        <v>46266</v>
      </c>
      <c r="BO412" s="57">
        <v>46280</v>
      </c>
      <c r="BP412" s="36"/>
      <c r="BQ412" s="36"/>
      <c r="BR412" s="39"/>
      <c r="BS412" s="39"/>
      <c r="BT412" s="39" t="s">
        <v>2767</v>
      </c>
      <c r="BU412" s="39"/>
      <c r="BV412" s="39"/>
      <c r="BW412" s="39"/>
      <c r="BX412" s="39"/>
      <c r="BY412" s="39"/>
      <c r="BZ412" s="39">
        <f t="shared" si="241"/>
        <v>0</v>
      </c>
      <c r="CA412" s="39" t="e">
        <f t="shared" si="242"/>
        <v>#VALUE!</v>
      </c>
      <c r="CB412" s="39">
        <f t="shared" si="243"/>
        <v>0</v>
      </c>
      <c r="CC412" s="39">
        <f t="shared" si="244"/>
        <v>0</v>
      </c>
      <c r="CD412" s="39">
        <f t="shared" si="245"/>
        <v>0</v>
      </c>
      <c r="CE412" s="102" t="e">
        <f t="shared" si="246"/>
        <v>#DIV/0!</v>
      </c>
      <c r="CF412" s="36" t="s">
        <v>292</v>
      </c>
      <c r="CG412" s="39" t="s">
        <v>220</v>
      </c>
      <c r="CH412" s="39"/>
      <c r="CI412" s="25">
        <v>1</v>
      </c>
    </row>
    <row r="413" spans="1:87" ht="24.75" customHeight="1">
      <c r="A413" s="36" t="s">
        <v>387</v>
      </c>
      <c r="B413" s="27" t="s">
        <v>2189</v>
      </c>
      <c r="C413" s="236"/>
      <c r="D413" s="36"/>
      <c r="E413" s="39"/>
      <c r="F413" s="39"/>
      <c r="G413" s="36" t="s">
        <v>2147</v>
      </c>
      <c r="H413" s="36">
        <f>2870+2870</f>
        <v>5740</v>
      </c>
      <c r="I413" s="39" t="s">
        <v>90</v>
      </c>
      <c r="J413" s="39"/>
      <c r="K413" s="39"/>
      <c r="L413" s="39">
        <f t="shared" si="277"/>
        <v>0</v>
      </c>
      <c r="M413" s="117">
        <v>46254</v>
      </c>
      <c r="N413" s="117">
        <v>46261</v>
      </c>
      <c r="O413" s="39"/>
      <c r="P413" s="39"/>
      <c r="Q413" s="39"/>
      <c r="R413" s="39">
        <f t="shared" si="274"/>
        <v>0</v>
      </c>
      <c r="S413" s="39" t="s">
        <v>130</v>
      </c>
      <c r="T413" s="39">
        <v>109031</v>
      </c>
      <c r="U413" s="117">
        <v>46263</v>
      </c>
      <c r="V413" s="39"/>
      <c r="W413" s="39"/>
      <c r="X413" s="39"/>
      <c r="Y413" s="39">
        <f>8</f>
        <v>8</v>
      </c>
      <c r="Z413" s="39"/>
      <c r="AA413" s="39"/>
      <c r="AB413" s="39">
        <f t="shared" si="266"/>
        <v>8</v>
      </c>
      <c r="AC413" s="39"/>
      <c r="AD413" s="39"/>
      <c r="AE413" s="39"/>
      <c r="AF413" s="39"/>
      <c r="AG413" s="39"/>
      <c r="AH413" s="39">
        <f t="shared" si="235"/>
        <v>0</v>
      </c>
      <c r="AI413" s="39"/>
      <c r="AJ413" s="39"/>
      <c r="AK413" s="39"/>
      <c r="AL413" s="39"/>
      <c r="AM413" s="39"/>
      <c r="AN413" s="39">
        <f t="shared" si="196"/>
        <v>0</v>
      </c>
      <c r="AO413" s="39"/>
      <c r="AP413" s="39"/>
      <c r="AQ413" s="39"/>
      <c r="AR413" s="39"/>
      <c r="AS413" s="39"/>
      <c r="AT413" s="39">
        <f t="shared" si="236"/>
        <v>0</v>
      </c>
      <c r="AU413" s="39"/>
      <c r="AV413" s="39"/>
      <c r="AW413" s="39"/>
      <c r="AX413" s="39"/>
      <c r="AY413" s="39"/>
      <c r="AZ413" s="39">
        <f t="shared" si="237"/>
        <v>0</v>
      </c>
      <c r="BA413" s="39"/>
      <c r="BB413" s="39"/>
      <c r="BC413" s="39"/>
      <c r="BD413" s="39"/>
      <c r="BE413" s="39"/>
      <c r="BF413" s="39">
        <f t="shared" si="238"/>
        <v>0</v>
      </c>
      <c r="BG413" s="39"/>
      <c r="BH413" s="39"/>
      <c r="BI413" s="39"/>
      <c r="BJ413" s="39"/>
      <c r="BK413" s="39"/>
      <c r="BL413" s="39">
        <f t="shared" si="239"/>
        <v>0</v>
      </c>
      <c r="BM413" s="54" t="e">
        <f t="shared" si="240"/>
        <v>#DIV/0!</v>
      </c>
      <c r="BN413" s="58">
        <v>46266</v>
      </c>
      <c r="BO413" s="57">
        <v>46280</v>
      </c>
      <c r="BP413" s="36"/>
      <c r="BQ413" s="36"/>
      <c r="BR413" s="39"/>
      <c r="BS413" s="39"/>
      <c r="BT413" s="39"/>
      <c r="BU413" s="39"/>
      <c r="BV413" s="39"/>
      <c r="BW413" s="39"/>
      <c r="BX413" s="39"/>
      <c r="BY413" s="39"/>
      <c r="BZ413" s="39">
        <f t="shared" si="241"/>
        <v>0</v>
      </c>
      <c r="CA413" s="39" t="e">
        <f t="shared" si="242"/>
        <v>#VALUE!</v>
      </c>
      <c r="CB413" s="39">
        <f t="shared" si="243"/>
        <v>0</v>
      </c>
      <c r="CC413" s="39">
        <f t="shared" si="244"/>
        <v>0</v>
      </c>
      <c r="CD413" s="39">
        <f t="shared" si="245"/>
        <v>0</v>
      </c>
      <c r="CE413" s="102" t="e">
        <f t="shared" si="246"/>
        <v>#DIV/0!</v>
      </c>
      <c r="CF413" s="36" t="s">
        <v>292</v>
      </c>
      <c r="CG413" s="39" t="s">
        <v>220</v>
      </c>
      <c r="CH413" s="39"/>
      <c r="CI413" s="25">
        <v>1</v>
      </c>
    </row>
    <row r="414" spans="1:87" ht="24.75" customHeight="1">
      <c r="A414" s="36" t="s">
        <v>387</v>
      </c>
      <c r="B414" s="27" t="s">
        <v>2190</v>
      </c>
      <c r="C414" s="235" t="s">
        <v>2191</v>
      </c>
      <c r="D414" s="36"/>
      <c r="E414" s="39">
        <v>140</v>
      </c>
      <c r="F414" s="39" t="s">
        <v>57</v>
      </c>
      <c r="G414" s="36" t="s">
        <v>1215</v>
      </c>
      <c r="H414" s="36" t="s">
        <v>22</v>
      </c>
      <c r="I414" s="39">
        <v>797</v>
      </c>
      <c r="J414" s="39">
        <v>70</v>
      </c>
      <c r="K414" s="39"/>
      <c r="L414" s="39">
        <f t="shared" si="277"/>
        <v>867</v>
      </c>
      <c r="M414" s="117">
        <v>46249</v>
      </c>
      <c r="N414" s="117">
        <v>46258</v>
      </c>
      <c r="O414" s="39"/>
      <c r="P414" s="39"/>
      <c r="Q414" s="39"/>
      <c r="R414" s="39">
        <f t="shared" ref="R414:R415" si="278">SUM(O414:Q414)</f>
        <v>0</v>
      </c>
      <c r="S414" s="39" t="s">
        <v>130</v>
      </c>
      <c r="T414" s="39">
        <v>108724</v>
      </c>
      <c r="U414" s="117">
        <v>46252</v>
      </c>
      <c r="V414" s="39"/>
      <c r="W414" s="39"/>
      <c r="X414" s="39"/>
      <c r="Y414" s="39">
        <v>908</v>
      </c>
      <c r="Z414" s="39">
        <v>84</v>
      </c>
      <c r="AA414" s="39"/>
      <c r="AB414" s="119">
        <f t="shared" ref="AB414:AB415" si="279">SUM(Y414:AA414)</f>
        <v>992</v>
      </c>
      <c r="AC414" s="39"/>
      <c r="AD414" s="39"/>
      <c r="AE414" s="39"/>
      <c r="AF414" s="39"/>
      <c r="AG414" s="39"/>
      <c r="AH414" s="39">
        <f t="shared" si="235"/>
        <v>0</v>
      </c>
      <c r="AI414" s="39"/>
      <c r="AJ414" s="39"/>
      <c r="AK414" s="39"/>
      <c r="AL414" s="39"/>
      <c r="AM414" s="39"/>
      <c r="AN414" s="39">
        <f t="shared" si="196"/>
        <v>0</v>
      </c>
      <c r="AO414" s="39"/>
      <c r="AP414" s="39"/>
      <c r="AQ414" s="39"/>
      <c r="AR414" s="39"/>
      <c r="AS414" s="39"/>
      <c r="AT414" s="39">
        <f t="shared" si="236"/>
        <v>0</v>
      </c>
      <c r="AU414" s="39"/>
      <c r="AV414" s="39"/>
      <c r="AW414" s="39"/>
      <c r="AX414" s="39"/>
      <c r="AY414" s="39"/>
      <c r="AZ414" s="39">
        <f t="shared" si="237"/>
        <v>0</v>
      </c>
      <c r="BA414" s="39"/>
      <c r="BB414" s="39"/>
      <c r="BC414" s="39"/>
      <c r="BD414" s="39"/>
      <c r="BE414" s="39"/>
      <c r="BF414" s="39">
        <f t="shared" si="238"/>
        <v>0</v>
      </c>
      <c r="BG414" s="39"/>
      <c r="BH414" s="39"/>
      <c r="BI414" s="39"/>
      <c r="BJ414" s="39"/>
      <c r="BK414" s="39"/>
      <c r="BL414" s="39">
        <f t="shared" si="239"/>
        <v>0</v>
      </c>
      <c r="BM414" s="54" t="str">
        <f t="shared" si="240"/>
        <v/>
      </c>
      <c r="BN414" s="58">
        <v>46266</v>
      </c>
      <c r="BO414" s="57">
        <v>46277</v>
      </c>
      <c r="BP414" s="36"/>
      <c r="BQ414" s="36"/>
      <c r="BR414" s="117">
        <v>46254</v>
      </c>
      <c r="BS414" s="117">
        <v>46262</v>
      </c>
      <c r="BT414" s="39">
        <v>1014</v>
      </c>
      <c r="BU414" s="39">
        <v>812</v>
      </c>
      <c r="BV414" s="39">
        <v>712</v>
      </c>
      <c r="BW414" s="39">
        <v>73</v>
      </c>
      <c r="BX414" s="39"/>
      <c r="BY414" s="39"/>
      <c r="BZ414" s="39">
        <f t="shared" si="241"/>
        <v>885</v>
      </c>
      <c r="CA414" s="39">
        <f t="shared" si="242"/>
        <v>15</v>
      </c>
      <c r="CB414" s="39">
        <f t="shared" si="243"/>
        <v>3</v>
      </c>
      <c r="CC414" s="39">
        <f t="shared" si="244"/>
        <v>0</v>
      </c>
      <c r="CD414" s="39">
        <f t="shared" si="245"/>
        <v>0</v>
      </c>
      <c r="CE414" s="102">
        <f t="shared" si="246"/>
        <v>0</v>
      </c>
      <c r="CF414" s="36" t="s">
        <v>292</v>
      </c>
      <c r="CG414" s="39" t="s">
        <v>220</v>
      </c>
      <c r="CH414" s="39" t="s">
        <v>114</v>
      </c>
      <c r="CI414" s="25">
        <v>1</v>
      </c>
    </row>
    <row r="415" spans="1:87" ht="24.75" customHeight="1">
      <c r="A415" s="36" t="s">
        <v>387</v>
      </c>
      <c r="B415" s="27" t="s">
        <v>2190</v>
      </c>
      <c r="C415" s="236"/>
      <c r="D415" s="36"/>
      <c r="E415" s="39">
        <v>140</v>
      </c>
      <c r="F415" s="39" t="s">
        <v>57</v>
      </c>
      <c r="G415" s="36" t="s">
        <v>401</v>
      </c>
      <c r="H415" s="36" t="s">
        <v>22</v>
      </c>
      <c r="I415" s="39">
        <v>797</v>
      </c>
      <c r="J415" s="39">
        <v>70</v>
      </c>
      <c r="K415" s="39"/>
      <c r="L415" s="39">
        <f t="shared" ref="L415" si="280">SUM(I415:K415)</f>
        <v>867</v>
      </c>
      <c r="M415" s="117">
        <v>46249</v>
      </c>
      <c r="N415" s="117">
        <v>46258</v>
      </c>
      <c r="O415" s="39"/>
      <c r="P415" s="39"/>
      <c r="Q415" s="39"/>
      <c r="R415" s="39">
        <f t="shared" si="278"/>
        <v>0</v>
      </c>
      <c r="S415" s="39" t="s">
        <v>130</v>
      </c>
      <c r="T415" s="39" t="s">
        <v>2575</v>
      </c>
      <c r="U415" s="117" t="s">
        <v>2576</v>
      </c>
      <c r="V415" s="39"/>
      <c r="W415" s="39"/>
      <c r="X415" s="39"/>
      <c r="Y415" s="39">
        <f>780+131</f>
        <v>911</v>
      </c>
      <c r="Z415" s="39">
        <f>70+14</f>
        <v>84</v>
      </c>
      <c r="AA415" s="39"/>
      <c r="AB415" s="119">
        <f t="shared" si="279"/>
        <v>995</v>
      </c>
      <c r="AC415" s="39"/>
      <c r="AD415" s="39"/>
      <c r="AE415" s="39"/>
      <c r="AF415" s="39"/>
      <c r="AG415" s="39"/>
      <c r="AH415" s="39">
        <f t="shared" si="235"/>
        <v>0</v>
      </c>
      <c r="AI415" s="39"/>
      <c r="AJ415" s="39"/>
      <c r="AK415" s="39"/>
      <c r="AL415" s="39"/>
      <c r="AM415" s="39"/>
      <c r="AN415" s="39">
        <f t="shared" si="196"/>
        <v>0</v>
      </c>
      <c r="AO415" s="39"/>
      <c r="AP415" s="39"/>
      <c r="AQ415" s="39"/>
      <c r="AR415" s="39"/>
      <c r="AS415" s="39"/>
      <c r="AT415" s="39">
        <f t="shared" si="236"/>
        <v>0</v>
      </c>
      <c r="AU415" s="39"/>
      <c r="AV415" s="39"/>
      <c r="AW415" s="39"/>
      <c r="AX415" s="39"/>
      <c r="AY415" s="39"/>
      <c r="AZ415" s="39">
        <f t="shared" si="237"/>
        <v>0</v>
      </c>
      <c r="BA415" s="39"/>
      <c r="BB415" s="39"/>
      <c r="BC415" s="39"/>
      <c r="BD415" s="39"/>
      <c r="BE415" s="39"/>
      <c r="BF415" s="39">
        <f t="shared" si="238"/>
        <v>0</v>
      </c>
      <c r="BG415" s="39"/>
      <c r="BH415" s="39"/>
      <c r="BI415" s="39"/>
      <c r="BJ415" s="39"/>
      <c r="BK415" s="39"/>
      <c r="BL415" s="39">
        <f t="shared" si="239"/>
        <v>0</v>
      </c>
      <c r="BM415" s="54" t="str">
        <f t="shared" si="240"/>
        <v/>
      </c>
      <c r="BN415" s="58">
        <v>46266</v>
      </c>
      <c r="BO415" s="57">
        <v>46277</v>
      </c>
      <c r="BP415" s="36"/>
      <c r="BQ415" s="36"/>
      <c r="BR415" s="117">
        <v>46252</v>
      </c>
      <c r="BS415" s="117">
        <v>46262</v>
      </c>
      <c r="BT415" s="39" t="s">
        <v>2633</v>
      </c>
      <c r="BU415" s="39">
        <f>694+115</f>
        <v>809</v>
      </c>
      <c r="BV415" s="39" t="s">
        <v>2777</v>
      </c>
      <c r="BW415" s="39">
        <f>61+10</f>
        <v>71</v>
      </c>
      <c r="BX415" s="39"/>
      <c r="BY415" s="39"/>
      <c r="BZ415" s="39">
        <f t="shared" si="241"/>
        <v>880</v>
      </c>
      <c r="CA415" s="39">
        <f t="shared" si="242"/>
        <v>12</v>
      </c>
      <c r="CB415" s="39">
        <f t="shared" si="243"/>
        <v>1</v>
      </c>
      <c r="CC415" s="39">
        <f t="shared" si="244"/>
        <v>0</v>
      </c>
      <c r="CD415" s="39">
        <f t="shared" si="245"/>
        <v>0</v>
      </c>
      <c r="CE415" s="102">
        <f t="shared" si="246"/>
        <v>0</v>
      </c>
      <c r="CF415" s="36" t="s">
        <v>292</v>
      </c>
      <c r="CG415" s="39" t="s">
        <v>220</v>
      </c>
      <c r="CH415" s="39" t="s">
        <v>114</v>
      </c>
      <c r="CI415" s="25">
        <v>1</v>
      </c>
    </row>
    <row r="416" spans="1:87" ht="24.75" customHeight="1">
      <c r="A416" s="36" t="s">
        <v>387</v>
      </c>
      <c r="B416" s="27">
        <v>48618</v>
      </c>
      <c r="C416" s="235">
        <v>15390921</v>
      </c>
      <c r="D416" s="36"/>
      <c r="E416" s="39">
        <v>140</v>
      </c>
      <c r="F416" s="39" t="s">
        <v>57</v>
      </c>
      <c r="G416" s="36" t="s">
        <v>187</v>
      </c>
      <c r="H416" s="36" t="s">
        <v>87</v>
      </c>
      <c r="I416" s="39">
        <v>71</v>
      </c>
      <c r="J416" s="39">
        <v>7</v>
      </c>
      <c r="K416" s="39"/>
      <c r="L416" s="39">
        <f t="shared" ref="L416:L419" si="281">SUM(I416:K416)</f>
        <v>78</v>
      </c>
      <c r="M416" s="117">
        <v>46260</v>
      </c>
      <c r="N416" s="117">
        <v>46264</v>
      </c>
      <c r="O416" s="39"/>
      <c r="P416" s="39"/>
      <c r="Q416" s="39"/>
      <c r="R416" s="39">
        <f t="shared" ref="R416:R420" si="282">SUM(O416:Q416)</f>
        <v>0</v>
      </c>
      <c r="S416" s="39" t="s">
        <v>130</v>
      </c>
      <c r="T416" s="39"/>
      <c r="U416" s="39"/>
      <c r="V416" s="39"/>
      <c r="W416" s="39"/>
      <c r="X416" s="39"/>
      <c r="Y416" s="39"/>
      <c r="Z416" s="39"/>
      <c r="AA416" s="39"/>
      <c r="AB416" s="118">
        <f t="shared" ref="AB416:AB420" si="283">SUM(Y416:AA416)</f>
        <v>0</v>
      </c>
      <c r="AC416" s="39"/>
      <c r="AD416" s="39"/>
      <c r="AE416" s="39"/>
      <c r="AF416" s="39"/>
      <c r="AG416" s="39"/>
      <c r="AH416" s="39">
        <f t="shared" si="235"/>
        <v>0</v>
      </c>
      <c r="AI416" s="39"/>
      <c r="AJ416" s="39"/>
      <c r="AK416" s="39"/>
      <c r="AL416" s="39"/>
      <c r="AM416" s="39"/>
      <c r="AN416" s="39">
        <f t="shared" si="196"/>
        <v>0</v>
      </c>
      <c r="AO416" s="39"/>
      <c r="AP416" s="39"/>
      <c r="AQ416" s="39"/>
      <c r="AR416" s="39"/>
      <c r="AS416" s="39"/>
      <c r="AT416" s="39">
        <f t="shared" si="236"/>
        <v>0</v>
      </c>
      <c r="AU416" s="39"/>
      <c r="AV416" s="39"/>
      <c r="AW416" s="39"/>
      <c r="AX416" s="39"/>
      <c r="AY416" s="39"/>
      <c r="AZ416" s="39">
        <f t="shared" si="237"/>
        <v>0</v>
      </c>
      <c r="BA416" s="39"/>
      <c r="BB416" s="39"/>
      <c r="BC416" s="39"/>
      <c r="BD416" s="39"/>
      <c r="BE416" s="39"/>
      <c r="BF416" s="39">
        <f t="shared" si="238"/>
        <v>0</v>
      </c>
      <c r="BG416" s="39"/>
      <c r="BH416" s="39"/>
      <c r="BI416" s="39"/>
      <c r="BJ416" s="39"/>
      <c r="BK416" s="39"/>
      <c r="BL416" s="39">
        <f t="shared" si="239"/>
        <v>0</v>
      </c>
      <c r="BM416" s="54">
        <f t="shared" ca="1" si="240"/>
        <v>46283</v>
      </c>
      <c r="BN416" s="58">
        <v>46270</v>
      </c>
      <c r="BO416" s="57">
        <v>46283</v>
      </c>
      <c r="BP416" s="36"/>
      <c r="BQ416" s="36"/>
      <c r="BR416" s="39"/>
      <c r="BS416" s="39"/>
      <c r="BT416" s="39"/>
      <c r="BU416" s="39"/>
      <c r="BV416" s="39"/>
      <c r="BW416" s="39"/>
      <c r="BX416" s="39"/>
      <c r="BY416" s="39"/>
      <c r="BZ416" s="39">
        <f t="shared" si="241"/>
        <v>0</v>
      </c>
      <c r="CA416" s="39">
        <f t="shared" si="242"/>
        <v>-71</v>
      </c>
      <c r="CB416" s="39">
        <f t="shared" si="243"/>
        <v>-7</v>
      </c>
      <c r="CC416" s="39">
        <f t="shared" si="244"/>
        <v>0</v>
      </c>
      <c r="CD416" s="39">
        <f t="shared" si="245"/>
        <v>-78</v>
      </c>
      <c r="CE416" s="102">
        <f t="shared" si="246"/>
        <v>-1</v>
      </c>
      <c r="CF416" s="36" t="s">
        <v>250</v>
      </c>
      <c r="CG416" s="39" t="s">
        <v>415</v>
      </c>
      <c r="CH416" s="39"/>
      <c r="CI416" s="25">
        <v>1</v>
      </c>
    </row>
    <row r="417" spans="1:87" ht="24.75" customHeight="1">
      <c r="A417" s="36" t="s">
        <v>387</v>
      </c>
      <c r="B417" s="27">
        <v>48618</v>
      </c>
      <c r="C417" s="236"/>
      <c r="D417" s="36"/>
      <c r="E417" s="39">
        <v>140</v>
      </c>
      <c r="F417" s="39" t="s">
        <v>57</v>
      </c>
      <c r="G417" s="36" t="s">
        <v>2349</v>
      </c>
      <c r="H417" s="36" t="s">
        <v>87</v>
      </c>
      <c r="I417" s="39">
        <v>71</v>
      </c>
      <c r="J417" s="39">
        <v>7</v>
      </c>
      <c r="K417" s="39"/>
      <c r="L417" s="39">
        <f t="shared" si="281"/>
        <v>78</v>
      </c>
      <c r="M417" s="117">
        <v>46260</v>
      </c>
      <c r="N417" s="117">
        <v>46264</v>
      </c>
      <c r="O417" s="39"/>
      <c r="P417" s="39"/>
      <c r="Q417" s="39"/>
      <c r="R417" s="39">
        <f t="shared" si="282"/>
        <v>0</v>
      </c>
      <c r="S417" s="39" t="s">
        <v>31</v>
      </c>
      <c r="T417" s="39"/>
      <c r="U417" s="39"/>
      <c r="V417" s="117">
        <v>46255</v>
      </c>
      <c r="W417" s="39">
        <f>90+9</f>
        <v>99</v>
      </c>
      <c r="X417" s="117">
        <v>46270</v>
      </c>
      <c r="Y417" s="39">
        <v>75</v>
      </c>
      <c r="Z417" s="39">
        <v>9</v>
      </c>
      <c r="AA417" s="39"/>
      <c r="AB417" s="119">
        <f t="shared" si="283"/>
        <v>84</v>
      </c>
      <c r="AC417" s="39"/>
      <c r="AD417" s="39"/>
      <c r="AE417" s="39"/>
      <c r="AF417" s="39"/>
      <c r="AG417" s="39"/>
      <c r="AH417" s="39">
        <f t="shared" si="235"/>
        <v>0</v>
      </c>
      <c r="AI417" s="39"/>
      <c r="AJ417" s="39"/>
      <c r="AK417" s="39"/>
      <c r="AL417" s="39"/>
      <c r="AM417" s="39"/>
      <c r="AN417" s="39">
        <f t="shared" si="196"/>
        <v>0</v>
      </c>
      <c r="AO417" s="39"/>
      <c r="AP417" s="39"/>
      <c r="AQ417" s="39"/>
      <c r="AR417" s="39"/>
      <c r="AS417" s="39"/>
      <c r="AT417" s="39">
        <f t="shared" si="236"/>
        <v>0</v>
      </c>
      <c r="AU417" s="39"/>
      <c r="AV417" s="39"/>
      <c r="AW417" s="39"/>
      <c r="AX417" s="39"/>
      <c r="AY417" s="39"/>
      <c r="AZ417" s="39">
        <f t="shared" si="237"/>
        <v>0</v>
      </c>
      <c r="BA417" s="39"/>
      <c r="BB417" s="39"/>
      <c r="BC417" s="39"/>
      <c r="BD417" s="39"/>
      <c r="BE417" s="39"/>
      <c r="BF417" s="39">
        <f t="shared" si="238"/>
        <v>0</v>
      </c>
      <c r="BG417" s="39"/>
      <c r="BH417" s="39"/>
      <c r="BI417" s="39"/>
      <c r="BJ417" s="39"/>
      <c r="BK417" s="39"/>
      <c r="BL417" s="39">
        <f t="shared" si="239"/>
        <v>0</v>
      </c>
      <c r="BM417" s="54" t="str">
        <f t="shared" si="240"/>
        <v/>
      </c>
      <c r="BN417" s="58">
        <v>46270</v>
      </c>
      <c r="BO417" s="57">
        <v>46283</v>
      </c>
      <c r="BP417" s="36"/>
      <c r="BQ417" s="36"/>
      <c r="BR417" s="117">
        <v>46270</v>
      </c>
      <c r="BS417" s="117">
        <v>46270</v>
      </c>
      <c r="BT417" s="39">
        <v>960</v>
      </c>
      <c r="BU417" s="39">
        <v>75</v>
      </c>
      <c r="BV417" s="39">
        <v>960</v>
      </c>
      <c r="BW417" s="39">
        <v>9</v>
      </c>
      <c r="BX417" s="39"/>
      <c r="BY417" s="39"/>
      <c r="BZ417" s="39">
        <f t="shared" si="241"/>
        <v>84</v>
      </c>
      <c r="CA417" s="39">
        <f t="shared" si="242"/>
        <v>4</v>
      </c>
      <c r="CB417" s="39">
        <f t="shared" si="243"/>
        <v>2</v>
      </c>
      <c r="CC417" s="39">
        <f t="shared" si="244"/>
        <v>0</v>
      </c>
      <c r="CD417" s="39">
        <f t="shared" si="245"/>
        <v>0</v>
      </c>
      <c r="CE417" s="102">
        <f t="shared" si="246"/>
        <v>0</v>
      </c>
      <c r="CF417" s="36" t="s">
        <v>250</v>
      </c>
      <c r="CG417" s="39" t="s">
        <v>415</v>
      </c>
      <c r="CH417" s="39"/>
      <c r="CI417" s="25">
        <v>1</v>
      </c>
    </row>
    <row r="418" spans="1:87" ht="24.75" customHeight="1">
      <c r="A418" s="36" t="s">
        <v>387</v>
      </c>
      <c r="B418" s="27">
        <v>48623</v>
      </c>
      <c r="C418" s="235">
        <v>15391339</v>
      </c>
      <c r="D418" s="36" t="s">
        <v>49</v>
      </c>
      <c r="E418" s="39">
        <v>260</v>
      </c>
      <c r="F418" s="39" t="s">
        <v>58</v>
      </c>
      <c r="G418" s="36" t="s">
        <v>324</v>
      </c>
      <c r="H418" s="36" t="s">
        <v>410</v>
      </c>
      <c r="I418" s="39">
        <v>686</v>
      </c>
      <c r="J418" s="39">
        <v>124</v>
      </c>
      <c r="K418" s="39"/>
      <c r="L418" s="39">
        <f t="shared" si="281"/>
        <v>810</v>
      </c>
      <c r="M418" s="117">
        <v>46259</v>
      </c>
      <c r="N418" s="117">
        <v>46267</v>
      </c>
      <c r="O418" s="39"/>
      <c r="P418" s="39"/>
      <c r="Q418" s="39"/>
      <c r="R418" s="39">
        <f t="shared" si="282"/>
        <v>0</v>
      </c>
      <c r="S418" s="39" t="s">
        <v>100</v>
      </c>
      <c r="T418" s="39"/>
      <c r="U418" s="39"/>
      <c r="V418" s="117">
        <v>46273</v>
      </c>
      <c r="W418" s="39">
        <f>763+143</f>
        <v>906</v>
      </c>
      <c r="X418" s="39"/>
      <c r="Y418" s="39"/>
      <c r="Z418" s="39"/>
      <c r="AA418" s="39"/>
      <c r="AB418" s="118">
        <f t="shared" si="283"/>
        <v>0</v>
      </c>
      <c r="AC418" s="39"/>
      <c r="AD418" s="39"/>
      <c r="AE418" s="39"/>
      <c r="AF418" s="39"/>
      <c r="AG418" s="39"/>
      <c r="AH418" s="39">
        <f t="shared" si="235"/>
        <v>0</v>
      </c>
      <c r="AI418" s="39"/>
      <c r="AJ418" s="39"/>
      <c r="AK418" s="39"/>
      <c r="AL418" s="39"/>
      <c r="AM418" s="39"/>
      <c r="AN418" s="39">
        <f t="shared" si="196"/>
        <v>0</v>
      </c>
      <c r="AO418" s="39"/>
      <c r="AP418" s="39"/>
      <c r="AQ418" s="39"/>
      <c r="AR418" s="39"/>
      <c r="AS418" s="39"/>
      <c r="AT418" s="39">
        <f t="shared" si="236"/>
        <v>0</v>
      </c>
      <c r="AU418" s="39"/>
      <c r="AV418" s="39"/>
      <c r="AW418" s="39"/>
      <c r="AX418" s="39"/>
      <c r="AY418" s="39"/>
      <c r="AZ418" s="39">
        <f t="shared" si="237"/>
        <v>0</v>
      </c>
      <c r="BA418" s="39"/>
      <c r="BB418" s="39"/>
      <c r="BC418" s="39"/>
      <c r="BD418" s="39"/>
      <c r="BE418" s="39"/>
      <c r="BF418" s="39">
        <f t="shared" si="238"/>
        <v>0</v>
      </c>
      <c r="BG418" s="39"/>
      <c r="BH418" s="39"/>
      <c r="BI418" s="39"/>
      <c r="BJ418" s="39"/>
      <c r="BK418" s="39"/>
      <c r="BL418" s="39">
        <f t="shared" si="239"/>
        <v>0</v>
      </c>
      <c r="BM418" s="54">
        <f t="shared" ca="1" si="240"/>
        <v>46283</v>
      </c>
      <c r="BN418" s="58">
        <v>46270</v>
      </c>
      <c r="BO418" s="57">
        <v>46285</v>
      </c>
      <c r="BP418" s="36"/>
      <c r="BQ418" s="36"/>
      <c r="BR418" s="39"/>
      <c r="BS418" s="39"/>
      <c r="BT418" s="39"/>
      <c r="BU418" s="39"/>
      <c r="BV418" s="39"/>
      <c r="BW418" s="39"/>
      <c r="BX418" s="39"/>
      <c r="BY418" s="39"/>
      <c r="BZ418" s="39">
        <f t="shared" si="241"/>
        <v>0</v>
      </c>
      <c r="CA418" s="39">
        <f t="shared" si="242"/>
        <v>-686</v>
      </c>
      <c r="CB418" s="39">
        <f t="shared" si="243"/>
        <v>-124</v>
      </c>
      <c r="CC418" s="39">
        <f t="shared" si="244"/>
        <v>0</v>
      </c>
      <c r="CD418" s="39">
        <f t="shared" si="245"/>
        <v>-810</v>
      </c>
      <c r="CE418" s="102">
        <f t="shared" si="246"/>
        <v>-1</v>
      </c>
      <c r="CF418" s="36" t="s">
        <v>251</v>
      </c>
      <c r="CG418" s="39" t="s">
        <v>415</v>
      </c>
      <c r="CH418" s="39"/>
      <c r="CI418" s="25">
        <v>1</v>
      </c>
    </row>
    <row r="419" spans="1:87" ht="24.75" customHeight="1">
      <c r="A419" s="36" t="s">
        <v>387</v>
      </c>
      <c r="B419" s="27">
        <v>48623</v>
      </c>
      <c r="C419" s="240"/>
      <c r="D419" s="36" t="s">
        <v>49</v>
      </c>
      <c r="E419" s="39">
        <v>260</v>
      </c>
      <c r="F419" s="39" t="s">
        <v>58</v>
      </c>
      <c r="G419" s="36" t="s">
        <v>2350</v>
      </c>
      <c r="H419" s="36" t="s">
        <v>410</v>
      </c>
      <c r="I419" s="39">
        <v>310</v>
      </c>
      <c r="J419" s="39">
        <v>56</v>
      </c>
      <c r="K419" s="39"/>
      <c r="L419" s="39">
        <f t="shared" si="281"/>
        <v>366</v>
      </c>
      <c r="M419" s="117">
        <v>46259</v>
      </c>
      <c r="N419" s="117">
        <v>46267</v>
      </c>
      <c r="O419" s="39"/>
      <c r="P419" s="39"/>
      <c r="Q419" s="39"/>
      <c r="R419" s="39">
        <f t="shared" si="282"/>
        <v>0</v>
      </c>
      <c r="S419" s="39" t="s">
        <v>31</v>
      </c>
      <c r="T419" s="39"/>
      <c r="U419" s="39"/>
      <c r="V419" s="117">
        <v>46266</v>
      </c>
      <c r="W419" s="39">
        <f>354+66</f>
        <v>420</v>
      </c>
      <c r="X419" s="39"/>
      <c r="Y419" s="39"/>
      <c r="Z419" s="39"/>
      <c r="AA419" s="39"/>
      <c r="AB419" s="118">
        <f t="shared" si="283"/>
        <v>0</v>
      </c>
      <c r="AC419" s="39"/>
      <c r="AD419" s="39"/>
      <c r="AE419" s="39"/>
      <c r="AF419" s="39"/>
      <c r="AG419" s="39"/>
      <c r="AH419" s="39">
        <f t="shared" si="235"/>
        <v>0</v>
      </c>
      <c r="AI419" s="39"/>
      <c r="AJ419" s="39"/>
      <c r="AK419" s="39"/>
      <c r="AL419" s="39"/>
      <c r="AM419" s="39"/>
      <c r="AN419" s="39">
        <f t="shared" si="196"/>
        <v>0</v>
      </c>
      <c r="AO419" s="39"/>
      <c r="AP419" s="39"/>
      <c r="AQ419" s="39"/>
      <c r="AR419" s="39"/>
      <c r="AS419" s="39"/>
      <c r="AT419" s="39">
        <f t="shared" si="236"/>
        <v>0</v>
      </c>
      <c r="AU419" s="39"/>
      <c r="AV419" s="39"/>
      <c r="AW419" s="39"/>
      <c r="AX419" s="39"/>
      <c r="AY419" s="39"/>
      <c r="AZ419" s="39">
        <f t="shared" si="237"/>
        <v>0</v>
      </c>
      <c r="BA419" s="39"/>
      <c r="BB419" s="39"/>
      <c r="BC419" s="39"/>
      <c r="BD419" s="39"/>
      <c r="BE419" s="39"/>
      <c r="BF419" s="39">
        <f t="shared" si="238"/>
        <v>0</v>
      </c>
      <c r="BG419" s="39"/>
      <c r="BH419" s="39"/>
      <c r="BI419" s="39"/>
      <c r="BJ419" s="39"/>
      <c r="BK419" s="39"/>
      <c r="BL419" s="39">
        <f t="shared" si="239"/>
        <v>0</v>
      </c>
      <c r="BM419" s="54">
        <f t="shared" ca="1" si="240"/>
        <v>46283</v>
      </c>
      <c r="BN419" s="58">
        <v>46270</v>
      </c>
      <c r="BO419" s="57">
        <v>46285</v>
      </c>
      <c r="BP419" s="36"/>
      <c r="BQ419" s="36"/>
      <c r="BR419" s="39"/>
      <c r="BS419" s="39"/>
      <c r="BT419" s="39"/>
      <c r="BU419" s="39"/>
      <c r="BV419" s="39"/>
      <c r="BW419" s="39"/>
      <c r="BX419" s="39"/>
      <c r="BY419" s="39"/>
      <c r="BZ419" s="39">
        <f t="shared" si="241"/>
        <v>0</v>
      </c>
      <c r="CA419" s="39">
        <f t="shared" si="242"/>
        <v>-310</v>
      </c>
      <c r="CB419" s="39">
        <f t="shared" si="243"/>
        <v>-56</v>
      </c>
      <c r="CC419" s="39">
        <f t="shared" si="244"/>
        <v>0</v>
      </c>
      <c r="CD419" s="39">
        <f t="shared" si="245"/>
        <v>-366</v>
      </c>
      <c r="CE419" s="102">
        <f t="shared" si="246"/>
        <v>-1</v>
      </c>
      <c r="CF419" s="36" t="s">
        <v>251</v>
      </c>
      <c r="CG419" s="39" t="s">
        <v>415</v>
      </c>
      <c r="CH419" s="39"/>
      <c r="CI419" s="25">
        <v>1</v>
      </c>
    </row>
    <row r="420" spans="1:87" ht="24.75" customHeight="1">
      <c r="A420" s="36" t="s">
        <v>387</v>
      </c>
      <c r="B420" s="27">
        <v>48623</v>
      </c>
      <c r="C420" s="236"/>
      <c r="D420" s="36"/>
      <c r="E420" s="39"/>
      <c r="F420" s="39"/>
      <c r="G420" s="36" t="s">
        <v>92</v>
      </c>
      <c r="H420" s="36">
        <f>620+300</f>
        <v>920</v>
      </c>
      <c r="I420" s="39" t="s">
        <v>90</v>
      </c>
      <c r="J420" s="39"/>
      <c r="K420" s="39"/>
      <c r="L420" s="39">
        <f t="shared" ref="L420:L425" si="284">SUM(I420:K420)</f>
        <v>0</v>
      </c>
      <c r="M420" s="117">
        <v>46259</v>
      </c>
      <c r="N420" s="117">
        <v>46267</v>
      </c>
      <c r="O420" s="39"/>
      <c r="P420" s="39"/>
      <c r="Q420" s="39"/>
      <c r="R420" s="39">
        <f t="shared" si="282"/>
        <v>0</v>
      </c>
      <c r="S420" s="39" t="s">
        <v>130</v>
      </c>
      <c r="T420" s="39"/>
      <c r="U420" s="39"/>
      <c r="V420" s="117" t="s">
        <v>2857</v>
      </c>
      <c r="W420" s="39">
        <f>3+5</f>
        <v>8</v>
      </c>
      <c r="X420" s="39"/>
      <c r="Y420" s="39"/>
      <c r="Z420" s="39"/>
      <c r="AA420" s="39"/>
      <c r="AB420" s="39">
        <f t="shared" si="283"/>
        <v>0</v>
      </c>
      <c r="AC420" s="39"/>
      <c r="AD420" s="39"/>
      <c r="AE420" s="39"/>
      <c r="AF420" s="39"/>
      <c r="AG420" s="39"/>
      <c r="AH420" s="39">
        <f t="shared" si="235"/>
        <v>0</v>
      </c>
      <c r="AI420" s="39"/>
      <c r="AJ420" s="39"/>
      <c r="AK420" s="39"/>
      <c r="AL420" s="39"/>
      <c r="AM420" s="39"/>
      <c r="AN420" s="39">
        <f t="shared" si="196"/>
        <v>0</v>
      </c>
      <c r="AO420" s="39"/>
      <c r="AP420" s="39"/>
      <c r="AQ420" s="39"/>
      <c r="AR420" s="39"/>
      <c r="AS420" s="39"/>
      <c r="AT420" s="39">
        <f t="shared" si="236"/>
        <v>0</v>
      </c>
      <c r="AU420" s="39"/>
      <c r="AV420" s="39"/>
      <c r="AW420" s="39"/>
      <c r="AX420" s="39"/>
      <c r="AY420" s="39"/>
      <c r="AZ420" s="39">
        <f t="shared" si="237"/>
        <v>0</v>
      </c>
      <c r="BA420" s="39"/>
      <c r="BB420" s="39"/>
      <c r="BC420" s="39"/>
      <c r="BD420" s="39"/>
      <c r="BE420" s="39"/>
      <c r="BF420" s="39">
        <f t="shared" si="238"/>
        <v>0</v>
      </c>
      <c r="BG420" s="39"/>
      <c r="BH420" s="39"/>
      <c r="BI420" s="39"/>
      <c r="BJ420" s="39"/>
      <c r="BK420" s="39"/>
      <c r="BL420" s="39">
        <f t="shared" si="239"/>
        <v>0</v>
      </c>
      <c r="BM420" s="54" t="e">
        <f t="shared" si="240"/>
        <v>#DIV/0!</v>
      </c>
      <c r="BN420" s="58">
        <v>46270</v>
      </c>
      <c r="BO420" s="57">
        <v>46285</v>
      </c>
      <c r="BP420" s="36"/>
      <c r="BQ420" s="36"/>
      <c r="BR420" s="39"/>
      <c r="BS420" s="39"/>
      <c r="BT420" s="39"/>
      <c r="BU420" s="39"/>
      <c r="BV420" s="39"/>
      <c r="BW420" s="39"/>
      <c r="BX420" s="39"/>
      <c r="BY420" s="39"/>
      <c r="BZ420" s="39">
        <f t="shared" si="241"/>
        <v>0</v>
      </c>
      <c r="CA420" s="39" t="e">
        <f t="shared" si="242"/>
        <v>#VALUE!</v>
      </c>
      <c r="CB420" s="39">
        <f t="shared" si="243"/>
        <v>0</v>
      </c>
      <c r="CC420" s="39">
        <f t="shared" si="244"/>
        <v>0</v>
      </c>
      <c r="CD420" s="39">
        <f t="shared" si="245"/>
        <v>0</v>
      </c>
      <c r="CE420" s="102" t="e">
        <f t="shared" si="246"/>
        <v>#DIV/0!</v>
      </c>
      <c r="CF420" s="36" t="s">
        <v>251</v>
      </c>
      <c r="CG420" s="39" t="s">
        <v>415</v>
      </c>
      <c r="CH420" s="39"/>
      <c r="CI420" s="25">
        <v>1</v>
      </c>
    </row>
    <row r="421" spans="1:87" ht="24.75" customHeight="1">
      <c r="A421" s="36" t="s">
        <v>387</v>
      </c>
      <c r="B421" s="27">
        <v>48625</v>
      </c>
      <c r="C421" s="235" t="s">
        <v>2351</v>
      </c>
      <c r="D421" s="36"/>
      <c r="E421" s="39">
        <v>260</v>
      </c>
      <c r="F421" s="39" t="s">
        <v>58</v>
      </c>
      <c r="G421" s="36" t="s">
        <v>2352</v>
      </c>
      <c r="H421" s="36" t="s">
        <v>410</v>
      </c>
      <c r="I421" s="39">
        <v>70</v>
      </c>
      <c r="J421" s="39">
        <v>11</v>
      </c>
      <c r="K421" s="39">
        <v>2</v>
      </c>
      <c r="L421" s="39">
        <f t="shared" si="284"/>
        <v>83</v>
      </c>
      <c r="M421" s="117">
        <v>46259</v>
      </c>
      <c r="N421" s="117">
        <v>46266</v>
      </c>
      <c r="O421" s="39"/>
      <c r="P421" s="39"/>
      <c r="Q421" s="39"/>
      <c r="R421" s="39">
        <f t="shared" ref="R421:R426" si="285">SUM(O421:Q421)</f>
        <v>0</v>
      </c>
      <c r="S421" s="39" t="s">
        <v>130</v>
      </c>
      <c r="T421" s="39"/>
      <c r="U421" s="39"/>
      <c r="V421" s="39"/>
      <c r="W421" s="39"/>
      <c r="X421" s="39"/>
      <c r="Y421" s="39"/>
      <c r="Z421" s="39"/>
      <c r="AA421" s="39"/>
      <c r="AB421" s="118">
        <f t="shared" ref="AB421:AB426" si="286">SUM(Y421:AA421)</f>
        <v>0</v>
      </c>
      <c r="AC421" s="39"/>
      <c r="AD421" s="39"/>
      <c r="AE421" s="39"/>
      <c r="AF421" s="39"/>
      <c r="AG421" s="39"/>
      <c r="AH421" s="39">
        <f t="shared" si="235"/>
        <v>0</v>
      </c>
      <c r="AI421" s="39"/>
      <c r="AJ421" s="39"/>
      <c r="AK421" s="39"/>
      <c r="AL421" s="39"/>
      <c r="AM421" s="39"/>
      <c r="AN421" s="39">
        <f t="shared" si="196"/>
        <v>0</v>
      </c>
      <c r="AO421" s="39"/>
      <c r="AP421" s="39"/>
      <c r="AQ421" s="39"/>
      <c r="AR421" s="39"/>
      <c r="AS421" s="39"/>
      <c r="AT421" s="39">
        <f t="shared" si="236"/>
        <v>0</v>
      </c>
      <c r="AU421" s="39"/>
      <c r="AV421" s="39"/>
      <c r="AW421" s="39"/>
      <c r="AX421" s="39"/>
      <c r="AY421" s="39"/>
      <c r="AZ421" s="39">
        <f t="shared" si="237"/>
        <v>0</v>
      </c>
      <c r="BA421" s="39"/>
      <c r="BB421" s="39"/>
      <c r="BC421" s="39"/>
      <c r="BD421" s="39"/>
      <c r="BE421" s="39"/>
      <c r="BF421" s="39">
        <f t="shared" si="238"/>
        <v>0</v>
      </c>
      <c r="BG421" s="39"/>
      <c r="BH421" s="39"/>
      <c r="BI421" s="39"/>
      <c r="BJ421" s="39"/>
      <c r="BK421" s="39"/>
      <c r="BL421" s="39">
        <f t="shared" si="239"/>
        <v>0</v>
      </c>
      <c r="BM421" s="54">
        <f t="shared" ca="1" si="240"/>
        <v>46283</v>
      </c>
      <c r="BN421" s="58">
        <v>46270</v>
      </c>
      <c r="BO421" s="57">
        <v>46284</v>
      </c>
      <c r="BP421" s="36"/>
      <c r="BQ421" s="36"/>
      <c r="BR421" s="39"/>
      <c r="BS421" s="39"/>
      <c r="BT421" s="39"/>
      <c r="BU421" s="39"/>
      <c r="BV421" s="39"/>
      <c r="BW421" s="39"/>
      <c r="BX421" s="39"/>
      <c r="BY421" s="39"/>
      <c r="BZ421" s="39">
        <f t="shared" si="241"/>
        <v>0</v>
      </c>
      <c r="CA421" s="39">
        <f t="shared" si="242"/>
        <v>-70</v>
      </c>
      <c r="CB421" s="39">
        <f t="shared" si="243"/>
        <v>-11</v>
      </c>
      <c r="CC421" s="39">
        <f t="shared" si="244"/>
        <v>-2</v>
      </c>
      <c r="CD421" s="39">
        <f t="shared" si="245"/>
        <v>-83</v>
      </c>
      <c r="CE421" s="102">
        <f t="shared" si="246"/>
        <v>-1</v>
      </c>
      <c r="CF421" s="36" t="s">
        <v>251</v>
      </c>
      <c r="CG421" s="39" t="s">
        <v>415</v>
      </c>
      <c r="CH421" s="39"/>
      <c r="CI421" s="25">
        <v>1</v>
      </c>
    </row>
    <row r="422" spans="1:87" ht="24.75" customHeight="1">
      <c r="A422" s="36" t="s">
        <v>387</v>
      </c>
      <c r="B422" s="27">
        <v>48625</v>
      </c>
      <c r="C422" s="240"/>
      <c r="D422" s="36"/>
      <c r="E422" s="39">
        <v>260</v>
      </c>
      <c r="F422" s="39" t="s">
        <v>58</v>
      </c>
      <c r="G422" s="36" t="s">
        <v>409</v>
      </c>
      <c r="H422" s="36" t="s">
        <v>410</v>
      </c>
      <c r="I422" s="39">
        <v>61</v>
      </c>
      <c r="J422" s="39"/>
      <c r="K422" s="39"/>
      <c r="L422" s="39">
        <f t="shared" si="284"/>
        <v>61</v>
      </c>
      <c r="M422" s="117">
        <v>46259</v>
      </c>
      <c r="N422" s="117">
        <v>46266</v>
      </c>
      <c r="O422" s="39"/>
      <c r="P422" s="39"/>
      <c r="Q422" s="39"/>
      <c r="R422" s="39">
        <f t="shared" si="285"/>
        <v>0</v>
      </c>
      <c r="S422" s="39" t="s">
        <v>130</v>
      </c>
      <c r="T422" s="39">
        <v>109167</v>
      </c>
      <c r="U422" s="117">
        <v>46272</v>
      </c>
      <c r="V422" s="39"/>
      <c r="W422" s="39"/>
      <c r="X422" s="39"/>
      <c r="Y422" s="39">
        <v>71</v>
      </c>
      <c r="Z422" s="39"/>
      <c r="AA422" s="39"/>
      <c r="AB422" s="119">
        <f t="shared" si="286"/>
        <v>71</v>
      </c>
      <c r="AC422" s="39"/>
      <c r="AD422" s="39"/>
      <c r="AE422" s="39"/>
      <c r="AF422" s="39"/>
      <c r="AG422" s="39"/>
      <c r="AH422" s="39">
        <f t="shared" si="235"/>
        <v>0</v>
      </c>
      <c r="AI422" s="39"/>
      <c r="AJ422" s="39"/>
      <c r="AK422" s="39"/>
      <c r="AL422" s="39"/>
      <c r="AM422" s="39"/>
      <c r="AN422" s="39">
        <f t="shared" si="196"/>
        <v>0</v>
      </c>
      <c r="AO422" s="39"/>
      <c r="AP422" s="39"/>
      <c r="AQ422" s="39"/>
      <c r="AR422" s="39"/>
      <c r="AS422" s="39"/>
      <c r="AT422" s="39">
        <f t="shared" si="236"/>
        <v>0</v>
      </c>
      <c r="AU422" s="39"/>
      <c r="AV422" s="39"/>
      <c r="AW422" s="39"/>
      <c r="AX422" s="39"/>
      <c r="AY422" s="39"/>
      <c r="AZ422" s="39">
        <f t="shared" si="237"/>
        <v>0</v>
      </c>
      <c r="BA422" s="39"/>
      <c r="BB422" s="39"/>
      <c r="BC422" s="39"/>
      <c r="BD422" s="39"/>
      <c r="BE422" s="39"/>
      <c r="BF422" s="39">
        <f t="shared" si="238"/>
        <v>0</v>
      </c>
      <c r="BG422" s="39"/>
      <c r="BH422" s="39"/>
      <c r="BI422" s="39"/>
      <c r="BJ422" s="39"/>
      <c r="BK422" s="39"/>
      <c r="BL422" s="39">
        <f t="shared" si="239"/>
        <v>0</v>
      </c>
      <c r="BM422" s="54">
        <f t="shared" ca="1" si="240"/>
        <v>11</v>
      </c>
      <c r="BN422" s="58">
        <v>46270</v>
      </c>
      <c r="BO422" s="57">
        <v>46284</v>
      </c>
      <c r="BP422" s="36"/>
      <c r="BQ422" s="36"/>
      <c r="BR422" s="39"/>
      <c r="BS422" s="39"/>
      <c r="BT422" s="39"/>
      <c r="BU422" s="39"/>
      <c r="BV422" s="39"/>
      <c r="BW422" s="39"/>
      <c r="BX422" s="39"/>
      <c r="BY422" s="39"/>
      <c r="BZ422" s="39">
        <f t="shared" si="241"/>
        <v>0</v>
      </c>
      <c r="CA422" s="39">
        <f t="shared" si="242"/>
        <v>-61</v>
      </c>
      <c r="CB422" s="39">
        <f t="shared" si="243"/>
        <v>0</v>
      </c>
      <c r="CC422" s="39">
        <f t="shared" si="244"/>
        <v>0</v>
      </c>
      <c r="CD422" s="39">
        <f t="shared" si="245"/>
        <v>-61</v>
      </c>
      <c r="CE422" s="102">
        <f t="shared" si="246"/>
        <v>-1</v>
      </c>
      <c r="CF422" s="36" t="s">
        <v>251</v>
      </c>
      <c r="CG422" s="39" t="s">
        <v>415</v>
      </c>
      <c r="CH422" s="39"/>
      <c r="CI422" s="25">
        <v>1</v>
      </c>
    </row>
    <row r="423" spans="1:87" ht="24.75" customHeight="1">
      <c r="A423" s="36" t="s">
        <v>387</v>
      </c>
      <c r="B423" s="27">
        <v>48625</v>
      </c>
      <c r="C423" s="236"/>
      <c r="D423" s="36"/>
      <c r="E423" s="39">
        <v>260</v>
      </c>
      <c r="F423" s="39" t="s">
        <v>58</v>
      </c>
      <c r="G423" s="36" t="s">
        <v>2353</v>
      </c>
      <c r="H423" s="36" t="s">
        <v>410</v>
      </c>
      <c r="I423" s="39">
        <v>161</v>
      </c>
      <c r="J423" s="39">
        <v>71</v>
      </c>
      <c r="K423" s="39"/>
      <c r="L423" s="39">
        <f t="shared" si="284"/>
        <v>232</v>
      </c>
      <c r="M423" s="117">
        <v>46259</v>
      </c>
      <c r="N423" s="117">
        <v>46266</v>
      </c>
      <c r="O423" s="39"/>
      <c r="P423" s="39"/>
      <c r="Q423" s="39"/>
      <c r="R423" s="39">
        <f t="shared" si="285"/>
        <v>0</v>
      </c>
      <c r="S423" s="39" t="s">
        <v>130</v>
      </c>
      <c r="T423" s="39"/>
      <c r="U423" s="39"/>
      <c r="V423" s="39"/>
      <c r="W423" s="39"/>
      <c r="X423" s="39"/>
      <c r="Y423" s="39"/>
      <c r="Z423" s="39"/>
      <c r="AA423" s="39"/>
      <c r="AB423" s="118">
        <f t="shared" si="286"/>
        <v>0</v>
      </c>
      <c r="AC423" s="39"/>
      <c r="AD423" s="39"/>
      <c r="AE423" s="39"/>
      <c r="AF423" s="39"/>
      <c r="AG423" s="39"/>
      <c r="AH423" s="39">
        <f t="shared" si="235"/>
        <v>0</v>
      </c>
      <c r="AI423" s="39"/>
      <c r="AJ423" s="39"/>
      <c r="AK423" s="39"/>
      <c r="AL423" s="39"/>
      <c r="AM423" s="39"/>
      <c r="AN423" s="39">
        <f t="shared" si="196"/>
        <v>0</v>
      </c>
      <c r="AO423" s="39"/>
      <c r="AP423" s="39"/>
      <c r="AQ423" s="39"/>
      <c r="AR423" s="39"/>
      <c r="AS423" s="39"/>
      <c r="AT423" s="39">
        <f t="shared" si="236"/>
        <v>0</v>
      </c>
      <c r="AU423" s="39"/>
      <c r="AV423" s="39"/>
      <c r="AW423" s="39"/>
      <c r="AX423" s="39"/>
      <c r="AY423" s="39"/>
      <c r="AZ423" s="39">
        <f t="shared" si="237"/>
        <v>0</v>
      </c>
      <c r="BA423" s="39"/>
      <c r="BB423" s="39"/>
      <c r="BC423" s="39"/>
      <c r="BD423" s="39"/>
      <c r="BE423" s="39"/>
      <c r="BF423" s="39">
        <f t="shared" si="238"/>
        <v>0</v>
      </c>
      <c r="BG423" s="39"/>
      <c r="BH423" s="39"/>
      <c r="BI423" s="39"/>
      <c r="BJ423" s="39"/>
      <c r="BK423" s="39"/>
      <c r="BL423" s="39">
        <f t="shared" si="239"/>
        <v>0</v>
      </c>
      <c r="BM423" s="54">
        <f t="shared" ca="1" si="240"/>
        <v>46283</v>
      </c>
      <c r="BN423" s="58">
        <v>46270</v>
      </c>
      <c r="BO423" s="57">
        <v>46284</v>
      </c>
      <c r="BP423" s="36"/>
      <c r="BQ423" s="36"/>
      <c r="BR423" s="39"/>
      <c r="BS423" s="39"/>
      <c r="BT423" s="39"/>
      <c r="BU423" s="39"/>
      <c r="BV423" s="39"/>
      <c r="BW423" s="39"/>
      <c r="BX423" s="39"/>
      <c r="BY423" s="39"/>
      <c r="BZ423" s="39">
        <f t="shared" si="241"/>
        <v>0</v>
      </c>
      <c r="CA423" s="39">
        <f t="shared" si="242"/>
        <v>-161</v>
      </c>
      <c r="CB423" s="39">
        <f t="shared" si="243"/>
        <v>-71</v>
      </c>
      <c r="CC423" s="39">
        <f t="shared" si="244"/>
        <v>0</v>
      </c>
      <c r="CD423" s="39">
        <f t="shared" si="245"/>
        <v>-232</v>
      </c>
      <c r="CE423" s="102">
        <f t="shared" si="246"/>
        <v>-1</v>
      </c>
      <c r="CF423" s="36" t="s">
        <v>251</v>
      </c>
      <c r="CG423" s="39" t="s">
        <v>415</v>
      </c>
      <c r="CH423" s="39"/>
      <c r="CI423" s="25">
        <v>1</v>
      </c>
    </row>
    <row r="424" spans="1:87" ht="24.75" customHeight="1">
      <c r="A424" s="36" t="s">
        <v>387</v>
      </c>
      <c r="B424" s="27">
        <v>48626</v>
      </c>
      <c r="C424" s="235">
        <v>15391961</v>
      </c>
      <c r="D424" s="36" t="s">
        <v>37</v>
      </c>
      <c r="E424" s="39">
        <v>260</v>
      </c>
      <c r="F424" s="39" t="s">
        <v>67</v>
      </c>
      <c r="G424" s="36" t="s">
        <v>1216</v>
      </c>
      <c r="H424" s="36" t="s">
        <v>410</v>
      </c>
      <c r="I424" s="39">
        <v>200</v>
      </c>
      <c r="J424" s="39">
        <v>55</v>
      </c>
      <c r="K424" s="39"/>
      <c r="L424" s="39">
        <f t="shared" si="284"/>
        <v>255</v>
      </c>
      <c r="M424" s="117">
        <v>46259</v>
      </c>
      <c r="N424" s="117">
        <v>46264</v>
      </c>
      <c r="O424" s="39"/>
      <c r="P424" s="39"/>
      <c r="Q424" s="39"/>
      <c r="R424" s="39">
        <f t="shared" si="285"/>
        <v>0</v>
      </c>
      <c r="S424" s="39" t="s">
        <v>130</v>
      </c>
      <c r="T424" s="39"/>
      <c r="U424" s="39"/>
      <c r="V424" s="39"/>
      <c r="W424" s="39"/>
      <c r="X424" s="39"/>
      <c r="Y424" s="39"/>
      <c r="Z424" s="39"/>
      <c r="AA424" s="39"/>
      <c r="AB424" s="118">
        <f t="shared" si="286"/>
        <v>0</v>
      </c>
      <c r="AC424" s="39"/>
      <c r="AD424" s="39"/>
      <c r="AE424" s="39"/>
      <c r="AF424" s="39"/>
      <c r="AG424" s="39"/>
      <c r="AH424" s="39">
        <f t="shared" si="235"/>
        <v>0</v>
      </c>
      <c r="AI424" s="39"/>
      <c r="AJ424" s="39"/>
      <c r="AK424" s="39"/>
      <c r="AL424" s="39"/>
      <c r="AM424" s="39"/>
      <c r="AN424" s="39">
        <f t="shared" si="196"/>
        <v>0</v>
      </c>
      <c r="AO424" s="39"/>
      <c r="AP424" s="39"/>
      <c r="AQ424" s="39"/>
      <c r="AR424" s="39"/>
      <c r="AS424" s="39"/>
      <c r="AT424" s="39">
        <f t="shared" si="236"/>
        <v>0</v>
      </c>
      <c r="AU424" s="39"/>
      <c r="AV424" s="39"/>
      <c r="AW424" s="39"/>
      <c r="AX424" s="39"/>
      <c r="AY424" s="39"/>
      <c r="AZ424" s="39">
        <f t="shared" si="237"/>
        <v>0</v>
      </c>
      <c r="BA424" s="39"/>
      <c r="BB424" s="39"/>
      <c r="BC424" s="39"/>
      <c r="BD424" s="39"/>
      <c r="BE424" s="39"/>
      <c r="BF424" s="39">
        <f t="shared" si="238"/>
        <v>0</v>
      </c>
      <c r="BG424" s="39"/>
      <c r="BH424" s="39"/>
      <c r="BI424" s="39"/>
      <c r="BJ424" s="39"/>
      <c r="BK424" s="39"/>
      <c r="BL424" s="39">
        <f t="shared" si="239"/>
        <v>0</v>
      </c>
      <c r="BM424" s="54">
        <f t="shared" ca="1" si="240"/>
        <v>46283</v>
      </c>
      <c r="BN424" s="58">
        <v>46270</v>
      </c>
      <c r="BO424" s="57">
        <v>46283</v>
      </c>
      <c r="BP424" s="57">
        <v>46283</v>
      </c>
      <c r="BQ424" s="57">
        <v>46289</v>
      </c>
      <c r="BR424" s="39"/>
      <c r="BS424" s="39"/>
      <c r="BT424" s="39"/>
      <c r="BU424" s="39"/>
      <c r="BV424" s="39"/>
      <c r="BW424" s="39"/>
      <c r="BX424" s="39"/>
      <c r="BY424" s="39"/>
      <c r="BZ424" s="39">
        <f t="shared" si="241"/>
        <v>0</v>
      </c>
      <c r="CA424" s="39">
        <f t="shared" si="242"/>
        <v>-200</v>
      </c>
      <c r="CB424" s="39">
        <f t="shared" si="243"/>
        <v>-55</v>
      </c>
      <c r="CC424" s="39">
        <f t="shared" si="244"/>
        <v>0</v>
      </c>
      <c r="CD424" s="39">
        <f t="shared" si="245"/>
        <v>-255</v>
      </c>
      <c r="CE424" s="102">
        <f t="shared" si="246"/>
        <v>-1</v>
      </c>
      <c r="CF424" s="36" t="s">
        <v>251</v>
      </c>
      <c r="CG424" s="39" t="s">
        <v>415</v>
      </c>
      <c r="CH424" s="39"/>
      <c r="CI424" s="25">
        <v>1</v>
      </c>
    </row>
    <row r="425" spans="1:87" ht="24.75" customHeight="1">
      <c r="A425" s="36" t="s">
        <v>387</v>
      </c>
      <c r="B425" s="27">
        <v>48626</v>
      </c>
      <c r="C425" s="240"/>
      <c r="D425" s="36"/>
      <c r="E425" s="39">
        <v>260</v>
      </c>
      <c r="F425" s="39" t="s">
        <v>67</v>
      </c>
      <c r="G425" s="36" t="s">
        <v>847</v>
      </c>
      <c r="H425" s="36" t="s">
        <v>410</v>
      </c>
      <c r="I425" s="39">
        <v>212</v>
      </c>
      <c r="J425" s="39">
        <v>62</v>
      </c>
      <c r="K425" s="39"/>
      <c r="L425" s="39">
        <f t="shared" si="284"/>
        <v>274</v>
      </c>
      <c r="M425" s="117">
        <v>46259</v>
      </c>
      <c r="N425" s="117">
        <v>46264</v>
      </c>
      <c r="O425" s="39"/>
      <c r="P425" s="39"/>
      <c r="Q425" s="39"/>
      <c r="R425" s="39">
        <f t="shared" si="285"/>
        <v>0</v>
      </c>
      <c r="S425" s="39" t="s">
        <v>100</v>
      </c>
      <c r="T425" s="39"/>
      <c r="U425" s="39"/>
      <c r="V425" s="117">
        <v>46274</v>
      </c>
      <c r="W425" s="39">
        <f>235+76</f>
        <v>311</v>
      </c>
      <c r="X425" s="39"/>
      <c r="Y425" s="39"/>
      <c r="Z425" s="39"/>
      <c r="AA425" s="39"/>
      <c r="AB425" s="118">
        <f t="shared" si="286"/>
        <v>0</v>
      </c>
      <c r="AC425" s="39"/>
      <c r="AD425" s="39"/>
      <c r="AE425" s="39"/>
      <c r="AF425" s="39"/>
      <c r="AG425" s="39"/>
      <c r="AH425" s="39">
        <f t="shared" si="235"/>
        <v>0</v>
      </c>
      <c r="AI425" s="39"/>
      <c r="AJ425" s="39"/>
      <c r="AK425" s="39"/>
      <c r="AL425" s="39"/>
      <c r="AM425" s="39"/>
      <c r="AN425" s="39">
        <f t="shared" si="196"/>
        <v>0</v>
      </c>
      <c r="AO425" s="39"/>
      <c r="AP425" s="39"/>
      <c r="AQ425" s="39"/>
      <c r="AR425" s="39"/>
      <c r="AS425" s="39"/>
      <c r="AT425" s="39">
        <f t="shared" si="236"/>
        <v>0</v>
      </c>
      <c r="AU425" s="39"/>
      <c r="AV425" s="39"/>
      <c r="AW425" s="39"/>
      <c r="AX425" s="39"/>
      <c r="AY425" s="39"/>
      <c r="AZ425" s="39">
        <f t="shared" si="237"/>
        <v>0</v>
      </c>
      <c r="BA425" s="39"/>
      <c r="BB425" s="39"/>
      <c r="BC425" s="39"/>
      <c r="BD425" s="39"/>
      <c r="BE425" s="39"/>
      <c r="BF425" s="39">
        <f t="shared" si="238"/>
        <v>0</v>
      </c>
      <c r="BG425" s="39"/>
      <c r="BH425" s="39"/>
      <c r="BI425" s="39"/>
      <c r="BJ425" s="39"/>
      <c r="BK425" s="39"/>
      <c r="BL425" s="39">
        <f t="shared" si="239"/>
        <v>0</v>
      </c>
      <c r="BM425" s="54">
        <f t="shared" ca="1" si="240"/>
        <v>46283</v>
      </c>
      <c r="BN425" s="58">
        <v>46270</v>
      </c>
      <c r="BO425" s="57">
        <v>46283</v>
      </c>
      <c r="BP425" s="57"/>
      <c r="BQ425" s="57"/>
      <c r="BR425" s="39"/>
      <c r="BS425" s="39"/>
      <c r="BT425" s="39"/>
      <c r="BU425" s="39"/>
      <c r="BV425" s="39"/>
      <c r="BW425" s="39"/>
      <c r="BX425" s="39"/>
      <c r="BY425" s="39"/>
      <c r="BZ425" s="39">
        <f t="shared" si="241"/>
        <v>0</v>
      </c>
      <c r="CA425" s="39">
        <f t="shared" si="242"/>
        <v>-212</v>
      </c>
      <c r="CB425" s="39">
        <f t="shared" si="243"/>
        <v>-62</v>
      </c>
      <c r="CC425" s="39">
        <f t="shared" si="244"/>
        <v>0</v>
      </c>
      <c r="CD425" s="39">
        <f t="shared" si="245"/>
        <v>-274</v>
      </c>
      <c r="CE425" s="102">
        <f t="shared" si="246"/>
        <v>-1</v>
      </c>
      <c r="CF425" s="36" t="s">
        <v>251</v>
      </c>
      <c r="CG425" s="39" t="s">
        <v>415</v>
      </c>
      <c r="CH425" s="39"/>
      <c r="CI425" s="25">
        <v>1</v>
      </c>
    </row>
    <row r="426" spans="1:87" ht="24.75" customHeight="1">
      <c r="A426" s="36" t="s">
        <v>387</v>
      </c>
      <c r="B426" s="27">
        <v>48626</v>
      </c>
      <c r="C426" s="236"/>
      <c r="D426" s="36"/>
      <c r="E426" s="39"/>
      <c r="F426" s="39"/>
      <c r="G426" s="36" t="s">
        <v>92</v>
      </c>
      <c r="H426" s="36">
        <f>230+260</f>
        <v>490</v>
      </c>
      <c r="I426" s="39" t="s">
        <v>90</v>
      </c>
      <c r="J426" s="39"/>
      <c r="K426" s="39"/>
      <c r="L426" s="39">
        <f t="shared" ref="L426:L429" si="287">SUM(I426:K426)</f>
        <v>0</v>
      </c>
      <c r="M426" s="117">
        <v>46259</v>
      </c>
      <c r="N426" s="117">
        <v>46264</v>
      </c>
      <c r="O426" s="39"/>
      <c r="P426" s="39"/>
      <c r="Q426" s="39"/>
      <c r="R426" s="39">
        <f t="shared" si="285"/>
        <v>0</v>
      </c>
      <c r="S426" s="39" t="s">
        <v>130</v>
      </c>
      <c r="T426" s="39"/>
      <c r="U426" s="39"/>
      <c r="V426" s="117">
        <v>46274</v>
      </c>
      <c r="W426" s="39">
        <f>2</f>
        <v>2</v>
      </c>
      <c r="X426" s="39"/>
      <c r="Y426" s="39"/>
      <c r="Z426" s="39"/>
      <c r="AA426" s="39"/>
      <c r="AB426" s="39">
        <f t="shared" si="286"/>
        <v>0</v>
      </c>
      <c r="AC426" s="39"/>
      <c r="AD426" s="39"/>
      <c r="AE426" s="39"/>
      <c r="AF426" s="39"/>
      <c r="AG426" s="39"/>
      <c r="AH426" s="39">
        <f t="shared" si="235"/>
        <v>0</v>
      </c>
      <c r="AI426" s="39"/>
      <c r="AJ426" s="39"/>
      <c r="AK426" s="39"/>
      <c r="AL426" s="39"/>
      <c r="AM426" s="39"/>
      <c r="AN426" s="39">
        <f t="shared" si="196"/>
        <v>0</v>
      </c>
      <c r="AO426" s="39"/>
      <c r="AP426" s="39"/>
      <c r="AQ426" s="39"/>
      <c r="AR426" s="39"/>
      <c r="AS426" s="39"/>
      <c r="AT426" s="39">
        <f t="shared" si="236"/>
        <v>0</v>
      </c>
      <c r="AU426" s="39"/>
      <c r="AV426" s="39"/>
      <c r="AW426" s="39"/>
      <c r="AX426" s="39"/>
      <c r="AY426" s="39"/>
      <c r="AZ426" s="39">
        <f t="shared" si="237"/>
        <v>0</v>
      </c>
      <c r="BA426" s="39"/>
      <c r="BB426" s="39"/>
      <c r="BC426" s="39"/>
      <c r="BD426" s="39"/>
      <c r="BE426" s="39"/>
      <c r="BF426" s="39">
        <f t="shared" si="238"/>
        <v>0</v>
      </c>
      <c r="BG426" s="39"/>
      <c r="BH426" s="39"/>
      <c r="BI426" s="39"/>
      <c r="BJ426" s="39"/>
      <c r="BK426" s="39"/>
      <c r="BL426" s="39">
        <f t="shared" si="239"/>
        <v>0</v>
      </c>
      <c r="BM426" s="54" t="e">
        <f t="shared" si="240"/>
        <v>#DIV/0!</v>
      </c>
      <c r="BN426" s="58">
        <v>46270</v>
      </c>
      <c r="BO426" s="57">
        <v>46283</v>
      </c>
      <c r="BP426" s="57"/>
      <c r="BQ426" s="57"/>
      <c r="BR426" s="39"/>
      <c r="BS426" s="39"/>
      <c r="BT426" s="39"/>
      <c r="BU426" s="39"/>
      <c r="BV426" s="39"/>
      <c r="BW426" s="39"/>
      <c r="BX426" s="39"/>
      <c r="BY426" s="39"/>
      <c r="BZ426" s="39">
        <f t="shared" si="241"/>
        <v>0</v>
      </c>
      <c r="CA426" s="39" t="e">
        <f t="shared" si="242"/>
        <v>#VALUE!</v>
      </c>
      <c r="CB426" s="39">
        <f t="shared" si="243"/>
        <v>0</v>
      </c>
      <c r="CC426" s="39">
        <f t="shared" si="244"/>
        <v>0</v>
      </c>
      <c r="CD426" s="39">
        <f t="shared" si="245"/>
        <v>0</v>
      </c>
      <c r="CE426" s="102" t="e">
        <f t="shared" si="246"/>
        <v>#DIV/0!</v>
      </c>
      <c r="CF426" s="36" t="s">
        <v>251</v>
      </c>
      <c r="CG426" s="39" t="s">
        <v>415</v>
      </c>
      <c r="CH426" s="39"/>
      <c r="CI426" s="25">
        <v>1</v>
      </c>
    </row>
    <row r="427" spans="1:87" ht="24.75" customHeight="1">
      <c r="A427" s="36" t="s">
        <v>387</v>
      </c>
      <c r="B427" s="27" t="s">
        <v>2354</v>
      </c>
      <c r="C427" s="235" t="s">
        <v>2588</v>
      </c>
      <c r="D427" s="36"/>
      <c r="E427" s="39">
        <v>160</v>
      </c>
      <c r="F427" s="39" t="s">
        <v>57</v>
      </c>
      <c r="G427" s="36" t="s">
        <v>807</v>
      </c>
      <c r="H427" s="36" t="s">
        <v>22</v>
      </c>
      <c r="I427" s="39">
        <f>770+1</f>
        <v>771</v>
      </c>
      <c r="J427" s="39">
        <f>38+2</f>
        <v>40</v>
      </c>
      <c r="K427" s="39"/>
      <c r="L427" s="39">
        <f t="shared" si="287"/>
        <v>811</v>
      </c>
      <c r="M427" s="117">
        <v>46256</v>
      </c>
      <c r="N427" s="117">
        <v>46267</v>
      </c>
      <c r="O427" s="39"/>
      <c r="P427" s="39"/>
      <c r="Q427" s="39"/>
      <c r="R427" s="39">
        <f t="shared" ref="R427:R466" si="288">SUM(O427:Q427)</f>
        <v>0</v>
      </c>
      <c r="S427" s="39" t="s">
        <v>100</v>
      </c>
      <c r="T427" s="39"/>
      <c r="U427" s="39"/>
      <c r="V427" s="117">
        <v>46266</v>
      </c>
      <c r="W427" s="39">
        <f>863+48</f>
        <v>911</v>
      </c>
      <c r="X427" s="39"/>
      <c r="Y427" s="39"/>
      <c r="Z427" s="39"/>
      <c r="AA427" s="39"/>
      <c r="AB427" s="118">
        <f t="shared" ref="AB427:AB466" si="289">SUM(Y427:AA427)</f>
        <v>0</v>
      </c>
      <c r="AC427" s="39"/>
      <c r="AD427" s="39"/>
      <c r="AE427" s="39"/>
      <c r="AF427" s="39"/>
      <c r="AG427" s="39"/>
      <c r="AH427" s="39">
        <f t="shared" si="235"/>
        <v>0</v>
      </c>
      <c r="AI427" s="39"/>
      <c r="AJ427" s="39"/>
      <c r="AK427" s="39"/>
      <c r="AL427" s="39"/>
      <c r="AM427" s="39"/>
      <c r="AN427" s="39">
        <f t="shared" si="196"/>
        <v>0</v>
      </c>
      <c r="AO427" s="39"/>
      <c r="AP427" s="39"/>
      <c r="AQ427" s="39"/>
      <c r="AR427" s="39"/>
      <c r="AS427" s="39"/>
      <c r="AT427" s="39">
        <f t="shared" si="236"/>
        <v>0</v>
      </c>
      <c r="AU427" s="39"/>
      <c r="AV427" s="39"/>
      <c r="AW427" s="39"/>
      <c r="AX427" s="39"/>
      <c r="AY427" s="39"/>
      <c r="AZ427" s="39">
        <f t="shared" si="237"/>
        <v>0</v>
      </c>
      <c r="BA427" s="39"/>
      <c r="BB427" s="39"/>
      <c r="BC427" s="39"/>
      <c r="BD427" s="39"/>
      <c r="BE427" s="39"/>
      <c r="BF427" s="39">
        <f t="shared" si="238"/>
        <v>0</v>
      </c>
      <c r="BG427" s="39"/>
      <c r="BH427" s="39"/>
      <c r="BI427" s="39"/>
      <c r="BJ427" s="39"/>
      <c r="BK427" s="39"/>
      <c r="BL427" s="39">
        <f t="shared" si="239"/>
        <v>0</v>
      </c>
      <c r="BM427" s="54">
        <f t="shared" ca="1" si="240"/>
        <v>46283</v>
      </c>
      <c r="BN427" s="58">
        <v>46269</v>
      </c>
      <c r="BO427" s="57">
        <v>46286</v>
      </c>
      <c r="BP427" s="36"/>
      <c r="BQ427" s="36"/>
      <c r="BR427" s="39"/>
      <c r="BS427" s="39"/>
      <c r="BT427" s="39"/>
      <c r="BU427" s="39"/>
      <c r="BV427" s="39"/>
      <c r="BW427" s="39"/>
      <c r="BX427" s="39"/>
      <c r="BY427" s="39"/>
      <c r="BZ427" s="39">
        <f t="shared" si="241"/>
        <v>0</v>
      </c>
      <c r="CA427" s="39">
        <f t="shared" si="242"/>
        <v>-771</v>
      </c>
      <c r="CB427" s="39">
        <f t="shared" si="243"/>
        <v>-40</v>
      </c>
      <c r="CC427" s="39">
        <f t="shared" si="244"/>
        <v>0</v>
      </c>
      <c r="CD427" s="39">
        <f t="shared" si="245"/>
        <v>-811</v>
      </c>
      <c r="CE427" s="102">
        <f t="shared" si="246"/>
        <v>-1</v>
      </c>
      <c r="CF427" s="36" t="s">
        <v>250</v>
      </c>
      <c r="CG427" s="39" t="s">
        <v>415</v>
      </c>
      <c r="CH427" s="39"/>
      <c r="CI427" s="25">
        <v>1</v>
      </c>
    </row>
    <row r="428" spans="1:87" ht="24.75" customHeight="1">
      <c r="A428" s="36" t="s">
        <v>387</v>
      </c>
      <c r="B428" s="27" t="s">
        <v>2354</v>
      </c>
      <c r="C428" s="240"/>
      <c r="D428" s="36"/>
      <c r="E428" s="39">
        <v>160</v>
      </c>
      <c r="F428" s="39" t="s">
        <v>57</v>
      </c>
      <c r="G428" s="36" t="s">
        <v>1225</v>
      </c>
      <c r="H428" s="36" t="s">
        <v>22</v>
      </c>
      <c r="I428" s="39">
        <v>284</v>
      </c>
      <c r="J428" s="39">
        <v>14</v>
      </c>
      <c r="K428" s="39"/>
      <c r="L428" s="39">
        <f t="shared" si="287"/>
        <v>298</v>
      </c>
      <c r="M428" s="117">
        <v>46256</v>
      </c>
      <c r="N428" s="117">
        <v>46267</v>
      </c>
      <c r="O428" s="39"/>
      <c r="P428" s="39"/>
      <c r="Q428" s="39"/>
      <c r="R428" s="39">
        <f t="shared" si="288"/>
        <v>0</v>
      </c>
      <c r="S428" s="39" t="s">
        <v>31</v>
      </c>
      <c r="T428" s="39"/>
      <c r="U428" s="39"/>
      <c r="V428" s="117">
        <v>46267</v>
      </c>
      <c r="W428" s="39">
        <f>318+17</f>
        <v>335</v>
      </c>
      <c r="X428" s="39"/>
      <c r="Y428" s="39"/>
      <c r="Z428" s="39"/>
      <c r="AA428" s="39"/>
      <c r="AB428" s="118">
        <f t="shared" si="289"/>
        <v>0</v>
      </c>
      <c r="AC428" s="39"/>
      <c r="AD428" s="39"/>
      <c r="AE428" s="39"/>
      <c r="AF428" s="39"/>
      <c r="AG428" s="39"/>
      <c r="AH428" s="39">
        <f t="shared" si="235"/>
        <v>0</v>
      </c>
      <c r="AI428" s="39"/>
      <c r="AJ428" s="39"/>
      <c r="AK428" s="39"/>
      <c r="AL428" s="39"/>
      <c r="AM428" s="39"/>
      <c r="AN428" s="39">
        <f t="shared" si="196"/>
        <v>0</v>
      </c>
      <c r="AO428" s="39"/>
      <c r="AP428" s="39"/>
      <c r="AQ428" s="39"/>
      <c r="AR428" s="39"/>
      <c r="AS428" s="39"/>
      <c r="AT428" s="39">
        <f t="shared" si="236"/>
        <v>0</v>
      </c>
      <c r="AU428" s="39"/>
      <c r="AV428" s="39"/>
      <c r="AW428" s="39"/>
      <c r="AX428" s="39"/>
      <c r="AY428" s="39"/>
      <c r="AZ428" s="39">
        <f t="shared" si="237"/>
        <v>0</v>
      </c>
      <c r="BA428" s="39"/>
      <c r="BB428" s="39"/>
      <c r="BC428" s="39"/>
      <c r="BD428" s="39"/>
      <c r="BE428" s="39"/>
      <c r="BF428" s="39">
        <f t="shared" si="238"/>
        <v>0</v>
      </c>
      <c r="BG428" s="39"/>
      <c r="BH428" s="39"/>
      <c r="BI428" s="39"/>
      <c r="BJ428" s="39"/>
      <c r="BK428" s="39"/>
      <c r="BL428" s="39">
        <f t="shared" si="239"/>
        <v>0</v>
      </c>
      <c r="BM428" s="54">
        <f t="shared" ca="1" si="240"/>
        <v>46283</v>
      </c>
      <c r="BN428" s="58">
        <v>46269</v>
      </c>
      <c r="BO428" s="57">
        <v>46286</v>
      </c>
      <c r="BP428" s="36"/>
      <c r="BQ428" s="36"/>
      <c r="BR428" s="39"/>
      <c r="BS428" s="39"/>
      <c r="BT428" s="39"/>
      <c r="BU428" s="39"/>
      <c r="BV428" s="39"/>
      <c r="BW428" s="39"/>
      <c r="BX428" s="39"/>
      <c r="BY428" s="39"/>
      <c r="BZ428" s="39">
        <f t="shared" si="241"/>
        <v>0</v>
      </c>
      <c r="CA428" s="39">
        <f t="shared" si="242"/>
        <v>-284</v>
      </c>
      <c r="CB428" s="39">
        <f t="shared" si="243"/>
        <v>-14</v>
      </c>
      <c r="CC428" s="39">
        <f t="shared" si="244"/>
        <v>0</v>
      </c>
      <c r="CD428" s="39">
        <f t="shared" si="245"/>
        <v>-298</v>
      </c>
      <c r="CE428" s="102">
        <f t="shared" si="246"/>
        <v>-1</v>
      </c>
      <c r="CF428" s="36" t="s">
        <v>250</v>
      </c>
      <c r="CG428" s="39" t="s">
        <v>415</v>
      </c>
      <c r="CH428" s="39"/>
      <c r="CI428" s="25">
        <v>1</v>
      </c>
    </row>
    <row r="429" spans="1:87" ht="24.75" customHeight="1">
      <c r="A429" s="36" t="s">
        <v>387</v>
      </c>
      <c r="B429" s="27" t="s">
        <v>2354</v>
      </c>
      <c r="C429" s="240"/>
      <c r="D429" s="36"/>
      <c r="E429" s="39">
        <v>160</v>
      </c>
      <c r="F429" s="39" t="s">
        <v>57</v>
      </c>
      <c r="G429" s="36" t="s">
        <v>93</v>
      </c>
      <c r="H429" s="36" t="s">
        <v>22</v>
      </c>
      <c r="I429" s="39">
        <f>1325+8</f>
        <v>1333</v>
      </c>
      <c r="J429" s="39">
        <f>66+1</f>
        <v>67</v>
      </c>
      <c r="K429" s="39"/>
      <c r="L429" s="39">
        <f t="shared" si="287"/>
        <v>1400</v>
      </c>
      <c r="M429" s="117">
        <v>46256</v>
      </c>
      <c r="N429" s="117">
        <v>46267</v>
      </c>
      <c r="O429" s="39"/>
      <c r="P429" s="39"/>
      <c r="Q429" s="39"/>
      <c r="R429" s="39">
        <f t="shared" si="288"/>
        <v>0</v>
      </c>
      <c r="S429" s="39" t="s">
        <v>130</v>
      </c>
      <c r="T429" s="39" t="s">
        <v>2697</v>
      </c>
      <c r="U429" s="117">
        <v>46263</v>
      </c>
      <c r="V429" s="39"/>
      <c r="W429" s="39"/>
      <c r="X429" s="39"/>
      <c r="Y429" s="39">
        <f>742+745</f>
        <v>1487</v>
      </c>
      <c r="Z429" s="39">
        <f>39+38</f>
        <v>77</v>
      </c>
      <c r="AA429" s="39"/>
      <c r="AB429" s="118">
        <f t="shared" si="289"/>
        <v>1564</v>
      </c>
      <c r="AC429" s="39"/>
      <c r="AD429" s="39"/>
      <c r="AE429" s="39"/>
      <c r="AF429" s="39"/>
      <c r="AG429" s="39"/>
      <c r="AH429" s="39">
        <f t="shared" si="235"/>
        <v>0</v>
      </c>
      <c r="AI429" s="39"/>
      <c r="AJ429" s="39"/>
      <c r="AK429" s="39"/>
      <c r="AL429" s="39"/>
      <c r="AM429" s="39"/>
      <c r="AN429" s="39">
        <f t="shared" si="196"/>
        <v>0</v>
      </c>
      <c r="AO429" s="39"/>
      <c r="AP429" s="39"/>
      <c r="AQ429" s="39"/>
      <c r="AR429" s="39"/>
      <c r="AS429" s="39"/>
      <c r="AT429" s="39">
        <f t="shared" si="236"/>
        <v>0</v>
      </c>
      <c r="AU429" s="39"/>
      <c r="AV429" s="39"/>
      <c r="AW429" s="39"/>
      <c r="AX429" s="39"/>
      <c r="AY429" s="39"/>
      <c r="AZ429" s="39">
        <f t="shared" si="237"/>
        <v>0</v>
      </c>
      <c r="BA429" s="39"/>
      <c r="BB429" s="39"/>
      <c r="BC429" s="39"/>
      <c r="BD429" s="39"/>
      <c r="BE429" s="39"/>
      <c r="BF429" s="39">
        <f t="shared" si="238"/>
        <v>0</v>
      </c>
      <c r="BG429" s="39"/>
      <c r="BH429" s="39"/>
      <c r="BI429" s="39"/>
      <c r="BJ429" s="39"/>
      <c r="BK429" s="39"/>
      <c r="BL429" s="39">
        <f t="shared" si="239"/>
        <v>0</v>
      </c>
      <c r="BM429" s="54" t="str">
        <f t="shared" si="240"/>
        <v/>
      </c>
      <c r="BN429" s="58">
        <v>46269</v>
      </c>
      <c r="BO429" s="57">
        <v>46286</v>
      </c>
      <c r="BP429" s="36"/>
      <c r="BQ429" s="36"/>
      <c r="BR429" s="117">
        <v>46266</v>
      </c>
      <c r="BS429" s="117">
        <v>46270</v>
      </c>
      <c r="BT429" s="39" t="s">
        <v>2740</v>
      </c>
      <c r="BU429" s="39">
        <f>670+672</f>
        <v>1342</v>
      </c>
      <c r="BV429" s="39" t="s">
        <v>2809</v>
      </c>
      <c r="BW429" s="39">
        <f>34+34</f>
        <v>68</v>
      </c>
      <c r="BX429" s="39"/>
      <c r="BY429" s="39"/>
      <c r="BZ429" s="39">
        <f t="shared" si="241"/>
        <v>1410</v>
      </c>
      <c r="CA429" s="39">
        <f t="shared" si="242"/>
        <v>9</v>
      </c>
      <c r="CB429" s="39">
        <f t="shared" si="243"/>
        <v>1</v>
      </c>
      <c r="CC429" s="39">
        <f t="shared" si="244"/>
        <v>0</v>
      </c>
      <c r="CD429" s="39">
        <f t="shared" si="245"/>
        <v>0</v>
      </c>
      <c r="CE429" s="102">
        <f t="shared" si="246"/>
        <v>0</v>
      </c>
      <c r="CF429" s="36" t="s">
        <v>250</v>
      </c>
      <c r="CG429" s="39" t="s">
        <v>415</v>
      </c>
      <c r="CH429" s="39" t="s">
        <v>114</v>
      </c>
      <c r="CI429" s="25">
        <v>1</v>
      </c>
    </row>
    <row r="430" spans="1:87" ht="24.75" customHeight="1">
      <c r="A430" s="36" t="s">
        <v>387</v>
      </c>
      <c r="B430" s="27" t="s">
        <v>2354</v>
      </c>
      <c r="C430" s="240"/>
      <c r="D430" s="36"/>
      <c r="E430" s="39">
        <v>160</v>
      </c>
      <c r="F430" s="39" t="s">
        <v>57</v>
      </c>
      <c r="G430" s="36" t="s">
        <v>847</v>
      </c>
      <c r="H430" s="36" t="s">
        <v>22</v>
      </c>
      <c r="I430" s="39">
        <v>227</v>
      </c>
      <c r="J430" s="39">
        <v>11</v>
      </c>
      <c r="K430" s="39"/>
      <c r="L430" s="39">
        <f t="shared" ref="L430:L431" si="290">SUM(I430:K430)</f>
        <v>238</v>
      </c>
      <c r="M430" s="117">
        <v>46256</v>
      </c>
      <c r="N430" s="117">
        <v>46267</v>
      </c>
      <c r="O430" s="39"/>
      <c r="P430" s="39"/>
      <c r="Q430" s="39"/>
      <c r="R430" s="39">
        <f t="shared" si="288"/>
        <v>0</v>
      </c>
      <c r="S430" s="39" t="s">
        <v>100</v>
      </c>
      <c r="T430" s="39"/>
      <c r="U430" s="39"/>
      <c r="V430" s="117">
        <v>46263</v>
      </c>
      <c r="W430" s="39">
        <f>255+14</f>
        <v>269</v>
      </c>
      <c r="X430" s="39"/>
      <c r="Y430" s="39"/>
      <c r="Z430" s="39"/>
      <c r="AA430" s="39"/>
      <c r="AB430" s="118">
        <f t="shared" si="289"/>
        <v>0</v>
      </c>
      <c r="AC430" s="39"/>
      <c r="AD430" s="39"/>
      <c r="AE430" s="39"/>
      <c r="AF430" s="39"/>
      <c r="AG430" s="39"/>
      <c r="AH430" s="39">
        <f t="shared" si="235"/>
        <v>0</v>
      </c>
      <c r="AI430" s="39"/>
      <c r="AJ430" s="39"/>
      <c r="AK430" s="39"/>
      <c r="AL430" s="39"/>
      <c r="AM430" s="39"/>
      <c r="AN430" s="39">
        <f t="shared" si="196"/>
        <v>0</v>
      </c>
      <c r="AO430" s="39"/>
      <c r="AP430" s="39"/>
      <c r="AQ430" s="39"/>
      <c r="AR430" s="39"/>
      <c r="AS430" s="39"/>
      <c r="AT430" s="39">
        <f t="shared" si="236"/>
        <v>0</v>
      </c>
      <c r="AU430" s="39"/>
      <c r="AV430" s="39"/>
      <c r="AW430" s="39"/>
      <c r="AX430" s="39"/>
      <c r="AY430" s="39"/>
      <c r="AZ430" s="39">
        <f t="shared" si="237"/>
        <v>0</v>
      </c>
      <c r="BA430" s="39"/>
      <c r="BB430" s="39"/>
      <c r="BC430" s="39"/>
      <c r="BD430" s="39"/>
      <c r="BE430" s="39"/>
      <c r="BF430" s="39">
        <f t="shared" si="238"/>
        <v>0</v>
      </c>
      <c r="BG430" s="39"/>
      <c r="BH430" s="39"/>
      <c r="BI430" s="39"/>
      <c r="BJ430" s="39"/>
      <c r="BK430" s="39"/>
      <c r="BL430" s="39">
        <f t="shared" si="239"/>
        <v>0</v>
      </c>
      <c r="BM430" s="54">
        <f t="shared" ca="1" si="240"/>
        <v>46283</v>
      </c>
      <c r="BN430" s="58">
        <v>46269</v>
      </c>
      <c r="BO430" s="57">
        <v>46286</v>
      </c>
      <c r="BP430" s="36"/>
      <c r="BQ430" s="36"/>
      <c r="BR430" s="39"/>
      <c r="BS430" s="39"/>
      <c r="BT430" s="39"/>
      <c r="BU430" s="39"/>
      <c r="BV430" s="39"/>
      <c r="BW430" s="39"/>
      <c r="BX430" s="39"/>
      <c r="BY430" s="39"/>
      <c r="BZ430" s="39">
        <f t="shared" si="241"/>
        <v>0</v>
      </c>
      <c r="CA430" s="39">
        <f t="shared" si="242"/>
        <v>-227</v>
      </c>
      <c r="CB430" s="39">
        <f t="shared" si="243"/>
        <v>-11</v>
      </c>
      <c r="CC430" s="39">
        <f t="shared" si="244"/>
        <v>0</v>
      </c>
      <c r="CD430" s="39">
        <f t="shared" si="245"/>
        <v>-238</v>
      </c>
      <c r="CE430" s="102">
        <f t="shared" si="246"/>
        <v>-1</v>
      </c>
      <c r="CF430" s="36" t="s">
        <v>250</v>
      </c>
      <c r="CG430" s="39" t="s">
        <v>415</v>
      </c>
      <c r="CH430" s="39"/>
      <c r="CI430" s="25">
        <v>1</v>
      </c>
    </row>
    <row r="431" spans="1:87" ht="24.75" customHeight="1">
      <c r="A431" s="36" t="s">
        <v>387</v>
      </c>
      <c r="B431" s="27" t="s">
        <v>2354</v>
      </c>
      <c r="C431" s="236"/>
      <c r="D431" s="36"/>
      <c r="E431" s="39">
        <v>160</v>
      </c>
      <c r="F431" s="39" t="s">
        <v>57</v>
      </c>
      <c r="G431" s="36" t="s">
        <v>1222</v>
      </c>
      <c r="H431" s="36" t="s">
        <v>22</v>
      </c>
      <c r="I431" s="39">
        <v>317</v>
      </c>
      <c r="J431" s="39">
        <v>15</v>
      </c>
      <c r="K431" s="39"/>
      <c r="L431" s="39">
        <f t="shared" si="290"/>
        <v>332</v>
      </c>
      <c r="M431" s="117">
        <v>46256</v>
      </c>
      <c r="N431" s="117">
        <v>46267</v>
      </c>
      <c r="O431" s="39"/>
      <c r="P431" s="39"/>
      <c r="Q431" s="39"/>
      <c r="R431" s="39">
        <f t="shared" si="288"/>
        <v>0</v>
      </c>
      <c r="S431" s="39" t="s">
        <v>100</v>
      </c>
      <c r="T431" s="39"/>
      <c r="U431" s="39"/>
      <c r="V431" s="117">
        <v>46266</v>
      </c>
      <c r="W431" s="39">
        <f>356+18</f>
        <v>374</v>
      </c>
      <c r="X431" s="39"/>
      <c r="Y431" s="39"/>
      <c r="Z431" s="39"/>
      <c r="AA431" s="39"/>
      <c r="AB431" s="118">
        <f t="shared" si="289"/>
        <v>0</v>
      </c>
      <c r="AC431" s="39"/>
      <c r="AD431" s="39"/>
      <c r="AE431" s="39"/>
      <c r="AF431" s="39"/>
      <c r="AG431" s="39"/>
      <c r="AH431" s="39">
        <f t="shared" si="235"/>
        <v>0</v>
      </c>
      <c r="AI431" s="39"/>
      <c r="AJ431" s="39"/>
      <c r="AK431" s="39"/>
      <c r="AL431" s="39"/>
      <c r="AM431" s="39"/>
      <c r="AN431" s="39">
        <f t="shared" si="196"/>
        <v>0</v>
      </c>
      <c r="AO431" s="39"/>
      <c r="AP431" s="39"/>
      <c r="AQ431" s="39"/>
      <c r="AR431" s="39"/>
      <c r="AS431" s="39"/>
      <c r="AT431" s="39">
        <f t="shared" si="236"/>
        <v>0</v>
      </c>
      <c r="AU431" s="39"/>
      <c r="AV431" s="39"/>
      <c r="AW431" s="39"/>
      <c r="AX431" s="39"/>
      <c r="AY431" s="39"/>
      <c r="AZ431" s="39">
        <f t="shared" si="237"/>
        <v>0</v>
      </c>
      <c r="BA431" s="39"/>
      <c r="BB431" s="39"/>
      <c r="BC431" s="39"/>
      <c r="BD431" s="39"/>
      <c r="BE431" s="39"/>
      <c r="BF431" s="39">
        <f t="shared" si="238"/>
        <v>0</v>
      </c>
      <c r="BG431" s="39"/>
      <c r="BH431" s="39"/>
      <c r="BI431" s="39"/>
      <c r="BJ431" s="39"/>
      <c r="BK431" s="39"/>
      <c r="BL431" s="39">
        <f t="shared" si="239"/>
        <v>0</v>
      </c>
      <c r="BM431" s="54">
        <f t="shared" ca="1" si="240"/>
        <v>46283</v>
      </c>
      <c r="BN431" s="58">
        <v>46269</v>
      </c>
      <c r="BO431" s="57">
        <v>46286</v>
      </c>
      <c r="BP431" s="36"/>
      <c r="BQ431" s="36"/>
      <c r="BR431" s="39"/>
      <c r="BS431" s="39"/>
      <c r="BT431" s="39"/>
      <c r="BU431" s="39"/>
      <c r="BV431" s="39"/>
      <c r="BW431" s="39"/>
      <c r="BX431" s="39"/>
      <c r="BY431" s="39"/>
      <c r="BZ431" s="39">
        <f t="shared" si="241"/>
        <v>0</v>
      </c>
      <c r="CA431" s="39">
        <f t="shared" si="242"/>
        <v>-317</v>
      </c>
      <c r="CB431" s="39">
        <f t="shared" si="243"/>
        <v>-15</v>
      </c>
      <c r="CC431" s="39">
        <f t="shared" si="244"/>
        <v>0</v>
      </c>
      <c r="CD431" s="39">
        <f t="shared" si="245"/>
        <v>-332</v>
      </c>
      <c r="CE431" s="102">
        <f t="shared" si="246"/>
        <v>-1</v>
      </c>
      <c r="CF431" s="36" t="s">
        <v>250</v>
      </c>
      <c r="CG431" s="39" t="s">
        <v>415</v>
      </c>
      <c r="CH431" s="39"/>
      <c r="CI431" s="25">
        <v>1</v>
      </c>
    </row>
    <row r="432" spans="1:87" ht="24.75" customHeight="1">
      <c r="A432" s="36" t="s">
        <v>387</v>
      </c>
      <c r="B432" s="27">
        <v>48169</v>
      </c>
      <c r="C432" s="235" t="s">
        <v>2391</v>
      </c>
      <c r="D432" s="36"/>
      <c r="E432" s="39">
        <v>180</v>
      </c>
      <c r="F432" s="39" t="s">
        <v>62</v>
      </c>
      <c r="G432" s="36" t="s">
        <v>23</v>
      </c>
      <c r="H432" s="36" t="s">
        <v>87</v>
      </c>
      <c r="I432" s="39">
        <v>166</v>
      </c>
      <c r="J432" s="39"/>
      <c r="K432" s="39"/>
      <c r="L432" s="39">
        <f t="shared" ref="L432:L433" si="291">SUM(I432:K432)</f>
        <v>166</v>
      </c>
      <c r="M432" s="117">
        <v>46254</v>
      </c>
      <c r="N432" s="117">
        <v>46259</v>
      </c>
      <c r="O432" s="39"/>
      <c r="P432" s="39"/>
      <c r="Q432" s="39"/>
      <c r="R432" s="39">
        <f t="shared" si="288"/>
        <v>0</v>
      </c>
      <c r="S432" s="39" t="s">
        <v>100</v>
      </c>
      <c r="T432" s="39"/>
      <c r="U432" s="39"/>
      <c r="V432" s="117">
        <v>46261</v>
      </c>
      <c r="W432" s="39">
        <v>194</v>
      </c>
      <c r="X432" s="39"/>
      <c r="Y432" s="39"/>
      <c r="Z432" s="39"/>
      <c r="AA432" s="39"/>
      <c r="AB432" s="118">
        <f t="shared" si="289"/>
        <v>0</v>
      </c>
      <c r="AC432" s="39"/>
      <c r="AD432" s="39"/>
      <c r="AE432" s="39"/>
      <c r="AF432" s="39"/>
      <c r="AG432" s="39"/>
      <c r="AH432" s="39">
        <f t="shared" si="235"/>
        <v>0</v>
      </c>
      <c r="AI432" s="39"/>
      <c r="AJ432" s="39"/>
      <c r="AK432" s="39"/>
      <c r="AL432" s="39"/>
      <c r="AM432" s="39"/>
      <c r="AN432" s="39">
        <f t="shared" si="196"/>
        <v>0</v>
      </c>
      <c r="AO432" s="39"/>
      <c r="AP432" s="39"/>
      <c r="AQ432" s="39"/>
      <c r="AR432" s="39"/>
      <c r="AS432" s="39"/>
      <c r="AT432" s="39">
        <f t="shared" si="236"/>
        <v>0</v>
      </c>
      <c r="AU432" s="39"/>
      <c r="AV432" s="39"/>
      <c r="AW432" s="39"/>
      <c r="AX432" s="39"/>
      <c r="AY432" s="39"/>
      <c r="AZ432" s="39">
        <f t="shared" si="237"/>
        <v>0</v>
      </c>
      <c r="BA432" s="39"/>
      <c r="BB432" s="39"/>
      <c r="BC432" s="39"/>
      <c r="BD432" s="39"/>
      <c r="BE432" s="39"/>
      <c r="BF432" s="39">
        <f t="shared" si="238"/>
        <v>0</v>
      </c>
      <c r="BG432" s="39"/>
      <c r="BH432" s="39"/>
      <c r="BI432" s="39"/>
      <c r="BJ432" s="39"/>
      <c r="BK432" s="39"/>
      <c r="BL432" s="39">
        <f t="shared" si="239"/>
        <v>0</v>
      </c>
      <c r="BM432" s="54">
        <f t="shared" ca="1" si="240"/>
        <v>46283</v>
      </c>
      <c r="BN432" s="58">
        <v>46267</v>
      </c>
      <c r="BO432" s="57">
        <v>46277</v>
      </c>
      <c r="BP432" s="36"/>
      <c r="BQ432" s="36"/>
      <c r="BR432" s="39"/>
      <c r="BS432" s="39"/>
      <c r="BT432" s="39"/>
      <c r="BU432" s="39"/>
      <c r="BV432" s="39"/>
      <c r="BW432" s="39"/>
      <c r="BX432" s="39"/>
      <c r="BY432" s="39"/>
      <c r="BZ432" s="39">
        <f t="shared" si="241"/>
        <v>0</v>
      </c>
      <c r="CA432" s="39">
        <f t="shared" si="242"/>
        <v>-166</v>
      </c>
      <c r="CB432" s="39">
        <f t="shared" si="243"/>
        <v>0</v>
      </c>
      <c r="CC432" s="39">
        <f t="shared" si="244"/>
        <v>0</v>
      </c>
      <c r="CD432" s="39">
        <f t="shared" si="245"/>
        <v>-166</v>
      </c>
      <c r="CE432" s="102">
        <f t="shared" si="246"/>
        <v>-1</v>
      </c>
      <c r="CF432" s="36" t="s">
        <v>249</v>
      </c>
      <c r="CG432" s="39" t="s">
        <v>222</v>
      </c>
      <c r="CH432" s="39"/>
      <c r="CI432" s="25">
        <v>1</v>
      </c>
    </row>
    <row r="433" spans="1:87" ht="24.75" customHeight="1">
      <c r="A433" s="36" t="s">
        <v>387</v>
      </c>
      <c r="B433" s="27">
        <v>48169</v>
      </c>
      <c r="C433" s="236"/>
      <c r="D433" s="36"/>
      <c r="E433" s="39"/>
      <c r="F433" s="39"/>
      <c r="G433" s="36" t="s">
        <v>75</v>
      </c>
      <c r="H433" s="36">
        <v>230</v>
      </c>
      <c r="I433" s="39" t="s">
        <v>90</v>
      </c>
      <c r="J433" s="39"/>
      <c r="K433" s="39"/>
      <c r="L433" s="39">
        <f t="shared" si="291"/>
        <v>0</v>
      </c>
      <c r="M433" s="117">
        <v>46254</v>
      </c>
      <c r="N433" s="117">
        <v>46259</v>
      </c>
      <c r="O433" s="39"/>
      <c r="P433" s="39"/>
      <c r="Q433" s="39"/>
      <c r="R433" s="39">
        <f t="shared" si="288"/>
        <v>0</v>
      </c>
      <c r="S433" s="39" t="s">
        <v>130</v>
      </c>
      <c r="T433" s="39"/>
      <c r="U433" s="39"/>
      <c r="V433" s="39"/>
      <c r="W433" s="39"/>
      <c r="X433" s="39"/>
      <c r="Y433" s="39"/>
      <c r="Z433" s="39"/>
      <c r="AA433" s="39"/>
      <c r="AB433" s="39">
        <f t="shared" si="289"/>
        <v>0</v>
      </c>
      <c r="AC433" s="39"/>
      <c r="AD433" s="39"/>
      <c r="AE433" s="39"/>
      <c r="AF433" s="39"/>
      <c r="AG433" s="39"/>
      <c r="AH433" s="39">
        <f t="shared" si="235"/>
        <v>0</v>
      </c>
      <c r="AI433" s="39"/>
      <c r="AJ433" s="39"/>
      <c r="AK433" s="39"/>
      <c r="AL433" s="39"/>
      <c r="AM433" s="39"/>
      <c r="AN433" s="39">
        <f t="shared" si="196"/>
        <v>0</v>
      </c>
      <c r="AO433" s="39"/>
      <c r="AP433" s="39"/>
      <c r="AQ433" s="39"/>
      <c r="AR433" s="39"/>
      <c r="AS433" s="39"/>
      <c r="AT433" s="39">
        <f t="shared" si="236"/>
        <v>0</v>
      </c>
      <c r="AU433" s="39"/>
      <c r="AV433" s="39"/>
      <c r="AW433" s="39"/>
      <c r="AX433" s="39"/>
      <c r="AY433" s="39"/>
      <c r="AZ433" s="39">
        <f t="shared" si="237"/>
        <v>0</v>
      </c>
      <c r="BA433" s="39"/>
      <c r="BB433" s="39"/>
      <c r="BC433" s="39"/>
      <c r="BD433" s="39"/>
      <c r="BE433" s="39"/>
      <c r="BF433" s="39">
        <f t="shared" si="238"/>
        <v>0</v>
      </c>
      <c r="BG433" s="39"/>
      <c r="BH433" s="39"/>
      <c r="BI433" s="39"/>
      <c r="BJ433" s="39"/>
      <c r="BK433" s="39"/>
      <c r="BL433" s="39">
        <f t="shared" si="239"/>
        <v>0</v>
      </c>
      <c r="BM433" s="54" t="e">
        <f t="shared" si="240"/>
        <v>#DIV/0!</v>
      </c>
      <c r="BN433" s="58">
        <v>46267</v>
      </c>
      <c r="BO433" s="57">
        <v>46277</v>
      </c>
      <c r="BP433" s="36"/>
      <c r="BQ433" s="36"/>
      <c r="BR433" s="39"/>
      <c r="BS433" s="39"/>
      <c r="BT433" s="39"/>
      <c r="BU433" s="39"/>
      <c r="BV433" s="39"/>
      <c r="BW433" s="39"/>
      <c r="BX433" s="39"/>
      <c r="BY433" s="39"/>
      <c r="BZ433" s="39">
        <f t="shared" si="241"/>
        <v>0</v>
      </c>
      <c r="CA433" s="39" t="e">
        <f t="shared" si="242"/>
        <v>#VALUE!</v>
      </c>
      <c r="CB433" s="39">
        <f t="shared" si="243"/>
        <v>0</v>
      </c>
      <c r="CC433" s="39">
        <f t="shared" si="244"/>
        <v>0</v>
      </c>
      <c r="CD433" s="39">
        <f t="shared" si="245"/>
        <v>0</v>
      </c>
      <c r="CE433" s="102" t="e">
        <f t="shared" si="246"/>
        <v>#DIV/0!</v>
      </c>
      <c r="CF433" s="36" t="s">
        <v>249</v>
      </c>
      <c r="CG433" s="39" t="s">
        <v>222</v>
      </c>
      <c r="CH433" s="39"/>
      <c r="CI433" s="25">
        <v>1</v>
      </c>
    </row>
    <row r="434" spans="1:87" ht="24.75" customHeight="1">
      <c r="A434" s="36" t="s">
        <v>387</v>
      </c>
      <c r="B434" s="165">
        <v>48170</v>
      </c>
      <c r="C434" s="257" t="s">
        <v>2972</v>
      </c>
      <c r="D434" s="36" t="s">
        <v>24</v>
      </c>
      <c r="E434" s="39">
        <v>220</v>
      </c>
      <c r="F434" s="39" t="s">
        <v>55</v>
      </c>
      <c r="G434" s="36" t="s">
        <v>2392</v>
      </c>
      <c r="H434" s="36" t="s">
        <v>212</v>
      </c>
      <c r="I434" s="162">
        <f>204+478+34</f>
        <v>716</v>
      </c>
      <c r="J434" s="39">
        <f>10+24</f>
        <v>34</v>
      </c>
      <c r="K434" s="39"/>
      <c r="L434" s="39">
        <f t="shared" ref="L434:L448" si="292">SUM(I434:K434)</f>
        <v>750</v>
      </c>
      <c r="M434" s="117">
        <v>46260</v>
      </c>
      <c r="N434" s="117">
        <v>46273</v>
      </c>
      <c r="O434" s="39"/>
      <c r="P434" s="39"/>
      <c r="Q434" s="39"/>
      <c r="R434" s="39">
        <f t="shared" si="288"/>
        <v>0</v>
      </c>
      <c r="S434" s="39" t="s">
        <v>130</v>
      </c>
      <c r="T434" s="39"/>
      <c r="U434" s="39"/>
      <c r="V434" s="39"/>
      <c r="W434" s="39"/>
      <c r="X434" s="39"/>
      <c r="Y434" s="39"/>
      <c r="Z434" s="39"/>
      <c r="AA434" s="39"/>
      <c r="AB434" s="118">
        <f t="shared" si="289"/>
        <v>0</v>
      </c>
      <c r="AC434" s="39"/>
      <c r="AD434" s="39"/>
      <c r="AE434" s="39"/>
      <c r="AF434" s="39"/>
      <c r="AG434" s="39"/>
      <c r="AH434" s="39">
        <f t="shared" si="235"/>
        <v>0</v>
      </c>
      <c r="AI434" s="39"/>
      <c r="AJ434" s="39"/>
      <c r="AK434" s="39"/>
      <c r="AL434" s="39"/>
      <c r="AM434" s="39"/>
      <c r="AN434" s="39">
        <f t="shared" si="196"/>
        <v>0</v>
      </c>
      <c r="AO434" s="39"/>
      <c r="AP434" s="39"/>
      <c r="AQ434" s="39"/>
      <c r="AR434" s="39"/>
      <c r="AS434" s="39"/>
      <c r="AT434" s="39">
        <f t="shared" si="236"/>
        <v>0</v>
      </c>
      <c r="AU434" s="39"/>
      <c r="AV434" s="39"/>
      <c r="AW434" s="39"/>
      <c r="AX434" s="39"/>
      <c r="AY434" s="39"/>
      <c r="AZ434" s="39">
        <f t="shared" si="237"/>
        <v>0</v>
      </c>
      <c r="BA434" s="39"/>
      <c r="BB434" s="39"/>
      <c r="BC434" s="39"/>
      <c r="BD434" s="39"/>
      <c r="BE434" s="39"/>
      <c r="BF434" s="39">
        <f t="shared" si="238"/>
        <v>0</v>
      </c>
      <c r="BG434" s="39"/>
      <c r="BH434" s="39"/>
      <c r="BI434" s="39"/>
      <c r="BJ434" s="39"/>
      <c r="BK434" s="39"/>
      <c r="BL434" s="39">
        <f t="shared" si="239"/>
        <v>0</v>
      </c>
      <c r="BM434" s="54">
        <f t="shared" ca="1" si="240"/>
        <v>46283</v>
      </c>
      <c r="BN434" s="58">
        <v>46266</v>
      </c>
      <c r="BO434" s="57">
        <v>46278</v>
      </c>
      <c r="BP434" s="36"/>
      <c r="BQ434" s="36"/>
      <c r="BR434" s="39"/>
      <c r="BS434" s="39"/>
      <c r="BT434" s="39"/>
      <c r="BU434" s="39"/>
      <c r="BV434" s="39"/>
      <c r="BW434" s="39"/>
      <c r="BX434" s="39"/>
      <c r="BY434" s="39"/>
      <c r="BZ434" s="39">
        <f t="shared" si="241"/>
        <v>0</v>
      </c>
      <c r="CA434" s="39">
        <f t="shared" si="242"/>
        <v>-716</v>
      </c>
      <c r="CB434" s="39">
        <f t="shared" si="243"/>
        <v>-34</v>
      </c>
      <c r="CC434" s="39">
        <f t="shared" si="244"/>
        <v>0</v>
      </c>
      <c r="CD434" s="39">
        <f t="shared" si="245"/>
        <v>-750</v>
      </c>
      <c r="CE434" s="102">
        <f t="shared" si="246"/>
        <v>-1</v>
      </c>
      <c r="CF434" s="36" t="s">
        <v>249</v>
      </c>
      <c r="CG434" s="39" t="s">
        <v>222</v>
      </c>
      <c r="CH434" s="39"/>
      <c r="CI434" s="25">
        <v>1</v>
      </c>
    </row>
    <row r="435" spans="1:87" ht="24.75" customHeight="1">
      <c r="A435" s="36" t="s">
        <v>387</v>
      </c>
      <c r="B435" s="165">
        <v>48170</v>
      </c>
      <c r="C435" s="258"/>
      <c r="D435" s="36" t="s">
        <v>24</v>
      </c>
      <c r="E435" s="39">
        <v>220</v>
      </c>
      <c r="F435" s="39" t="s">
        <v>55</v>
      </c>
      <c r="G435" s="36" t="s">
        <v>2393</v>
      </c>
      <c r="H435" s="36" t="s">
        <v>212</v>
      </c>
      <c r="I435" s="162">
        <f>2517+126</f>
        <v>2643</v>
      </c>
      <c r="J435" s="39">
        <v>125</v>
      </c>
      <c r="K435" s="39"/>
      <c r="L435" s="39">
        <f t="shared" si="292"/>
        <v>2768</v>
      </c>
      <c r="M435" s="117">
        <v>46260</v>
      </c>
      <c r="N435" s="117">
        <v>46273</v>
      </c>
      <c r="O435" s="39"/>
      <c r="P435" s="39"/>
      <c r="Q435" s="39"/>
      <c r="R435" s="39">
        <f t="shared" si="288"/>
        <v>0</v>
      </c>
      <c r="S435" s="39" t="s">
        <v>130</v>
      </c>
      <c r="T435" s="39"/>
      <c r="U435" s="39"/>
      <c r="V435" s="39"/>
      <c r="W435" s="39"/>
      <c r="X435" s="39"/>
      <c r="Y435" s="39"/>
      <c r="Z435" s="39"/>
      <c r="AA435" s="39"/>
      <c r="AB435" s="118">
        <f t="shared" si="289"/>
        <v>0</v>
      </c>
      <c r="AC435" s="39"/>
      <c r="AD435" s="39"/>
      <c r="AE435" s="39"/>
      <c r="AF435" s="39"/>
      <c r="AG435" s="39"/>
      <c r="AH435" s="39">
        <f t="shared" si="235"/>
        <v>0</v>
      </c>
      <c r="AI435" s="39"/>
      <c r="AJ435" s="39"/>
      <c r="AK435" s="39"/>
      <c r="AL435" s="39"/>
      <c r="AM435" s="39"/>
      <c r="AN435" s="39">
        <f t="shared" si="196"/>
        <v>0</v>
      </c>
      <c r="AO435" s="39"/>
      <c r="AP435" s="39"/>
      <c r="AQ435" s="39"/>
      <c r="AR435" s="39"/>
      <c r="AS435" s="39"/>
      <c r="AT435" s="39">
        <f t="shared" si="236"/>
        <v>0</v>
      </c>
      <c r="AU435" s="39"/>
      <c r="AV435" s="39"/>
      <c r="AW435" s="39"/>
      <c r="AX435" s="39"/>
      <c r="AY435" s="39"/>
      <c r="AZ435" s="39">
        <f t="shared" si="237"/>
        <v>0</v>
      </c>
      <c r="BA435" s="39"/>
      <c r="BB435" s="39"/>
      <c r="BC435" s="39"/>
      <c r="BD435" s="39"/>
      <c r="BE435" s="39"/>
      <c r="BF435" s="39">
        <f t="shared" si="238"/>
        <v>0</v>
      </c>
      <c r="BG435" s="39"/>
      <c r="BH435" s="39"/>
      <c r="BI435" s="39"/>
      <c r="BJ435" s="39"/>
      <c r="BK435" s="39"/>
      <c r="BL435" s="39">
        <f t="shared" si="239"/>
        <v>0</v>
      </c>
      <c r="BM435" s="54">
        <f t="shared" ca="1" si="240"/>
        <v>46283</v>
      </c>
      <c r="BN435" s="58">
        <v>46266</v>
      </c>
      <c r="BO435" s="57">
        <v>46278</v>
      </c>
      <c r="BP435" s="36"/>
      <c r="BQ435" s="36"/>
      <c r="BR435" s="39"/>
      <c r="BS435" s="39"/>
      <c r="BT435" s="39"/>
      <c r="BU435" s="39"/>
      <c r="BV435" s="39"/>
      <c r="BW435" s="39"/>
      <c r="BX435" s="39"/>
      <c r="BY435" s="39"/>
      <c r="BZ435" s="39">
        <f t="shared" si="241"/>
        <v>0</v>
      </c>
      <c r="CA435" s="39">
        <f t="shared" si="242"/>
        <v>-2643</v>
      </c>
      <c r="CB435" s="39">
        <f t="shared" si="243"/>
        <v>-125</v>
      </c>
      <c r="CC435" s="39">
        <f t="shared" si="244"/>
        <v>0</v>
      </c>
      <c r="CD435" s="39">
        <f t="shared" si="245"/>
        <v>-2768</v>
      </c>
      <c r="CE435" s="102">
        <f t="shared" si="246"/>
        <v>-1</v>
      </c>
      <c r="CF435" s="36" t="s">
        <v>249</v>
      </c>
      <c r="CG435" s="39" t="s">
        <v>222</v>
      </c>
      <c r="CH435" s="39"/>
      <c r="CI435" s="25">
        <v>1</v>
      </c>
    </row>
    <row r="436" spans="1:87" ht="24.75" customHeight="1">
      <c r="A436" s="36" t="s">
        <v>387</v>
      </c>
      <c r="B436" s="165">
        <v>48170</v>
      </c>
      <c r="C436" s="258"/>
      <c r="D436" s="36" t="s">
        <v>24</v>
      </c>
      <c r="E436" s="39">
        <v>220</v>
      </c>
      <c r="F436" s="39" t="s">
        <v>55</v>
      </c>
      <c r="G436" s="36" t="s">
        <v>2394</v>
      </c>
      <c r="H436" s="36" t="s">
        <v>212</v>
      </c>
      <c r="I436" s="162">
        <f>2137+107</f>
        <v>2244</v>
      </c>
      <c r="J436" s="39">
        <v>107</v>
      </c>
      <c r="K436" s="39"/>
      <c r="L436" s="39">
        <f t="shared" si="292"/>
        <v>2351</v>
      </c>
      <c r="M436" s="117">
        <v>46260</v>
      </c>
      <c r="N436" s="117">
        <v>46273</v>
      </c>
      <c r="O436" s="39"/>
      <c r="P436" s="39"/>
      <c r="Q436" s="39"/>
      <c r="R436" s="39">
        <f t="shared" si="288"/>
        <v>0</v>
      </c>
      <c r="S436" s="39" t="s">
        <v>130</v>
      </c>
      <c r="T436" s="39"/>
      <c r="U436" s="39"/>
      <c r="V436" s="39"/>
      <c r="W436" s="39"/>
      <c r="X436" s="39"/>
      <c r="Y436" s="39"/>
      <c r="Z436" s="39"/>
      <c r="AA436" s="39"/>
      <c r="AB436" s="118">
        <f t="shared" si="289"/>
        <v>0</v>
      </c>
      <c r="AC436" s="39"/>
      <c r="AD436" s="39"/>
      <c r="AE436" s="39"/>
      <c r="AF436" s="39"/>
      <c r="AG436" s="39"/>
      <c r="AH436" s="39">
        <f t="shared" si="235"/>
        <v>0</v>
      </c>
      <c r="AI436" s="39"/>
      <c r="AJ436" s="39"/>
      <c r="AK436" s="39"/>
      <c r="AL436" s="39"/>
      <c r="AM436" s="39"/>
      <c r="AN436" s="39">
        <f t="shared" si="196"/>
        <v>0</v>
      </c>
      <c r="AO436" s="39"/>
      <c r="AP436" s="39"/>
      <c r="AQ436" s="39"/>
      <c r="AR436" s="39"/>
      <c r="AS436" s="39"/>
      <c r="AT436" s="39">
        <f t="shared" si="236"/>
        <v>0</v>
      </c>
      <c r="AU436" s="39"/>
      <c r="AV436" s="39"/>
      <c r="AW436" s="39"/>
      <c r="AX436" s="39"/>
      <c r="AY436" s="39"/>
      <c r="AZ436" s="39">
        <f t="shared" si="237"/>
        <v>0</v>
      </c>
      <c r="BA436" s="39"/>
      <c r="BB436" s="39"/>
      <c r="BC436" s="39"/>
      <c r="BD436" s="39"/>
      <c r="BE436" s="39"/>
      <c r="BF436" s="39">
        <f t="shared" si="238"/>
        <v>0</v>
      </c>
      <c r="BG436" s="39"/>
      <c r="BH436" s="39"/>
      <c r="BI436" s="39"/>
      <c r="BJ436" s="39"/>
      <c r="BK436" s="39"/>
      <c r="BL436" s="39">
        <f t="shared" si="239"/>
        <v>0</v>
      </c>
      <c r="BM436" s="54">
        <f t="shared" ca="1" si="240"/>
        <v>46283</v>
      </c>
      <c r="BN436" s="58">
        <v>46266</v>
      </c>
      <c r="BO436" s="57">
        <v>46278</v>
      </c>
      <c r="BP436" s="36"/>
      <c r="BQ436" s="36"/>
      <c r="BR436" s="39"/>
      <c r="BS436" s="39"/>
      <c r="BT436" s="39"/>
      <c r="BU436" s="39"/>
      <c r="BV436" s="39"/>
      <c r="BW436" s="39"/>
      <c r="BX436" s="39"/>
      <c r="BY436" s="39"/>
      <c r="BZ436" s="39">
        <f t="shared" si="241"/>
        <v>0</v>
      </c>
      <c r="CA436" s="39">
        <f t="shared" si="242"/>
        <v>-2244</v>
      </c>
      <c r="CB436" s="39">
        <f t="shared" si="243"/>
        <v>-107</v>
      </c>
      <c r="CC436" s="39">
        <f t="shared" si="244"/>
        <v>0</v>
      </c>
      <c r="CD436" s="39">
        <f t="shared" si="245"/>
        <v>-2351</v>
      </c>
      <c r="CE436" s="102">
        <f t="shared" si="246"/>
        <v>-1</v>
      </c>
      <c r="CF436" s="36" t="s">
        <v>249</v>
      </c>
      <c r="CG436" s="39" t="s">
        <v>222</v>
      </c>
      <c r="CH436" s="39"/>
      <c r="CI436" s="25">
        <v>1</v>
      </c>
    </row>
    <row r="437" spans="1:87" ht="24.75" customHeight="1">
      <c r="A437" s="36" t="s">
        <v>387</v>
      </c>
      <c r="B437" s="165">
        <v>48170</v>
      </c>
      <c r="C437" s="258"/>
      <c r="D437" s="36" t="s">
        <v>24</v>
      </c>
      <c r="E437" s="39">
        <v>220</v>
      </c>
      <c r="F437" s="39" t="s">
        <v>55</v>
      </c>
      <c r="G437" s="36" t="s">
        <v>2395</v>
      </c>
      <c r="H437" s="36" t="s">
        <v>212</v>
      </c>
      <c r="I437" s="162">
        <f>1844+44</f>
        <v>1888</v>
      </c>
      <c r="J437" s="39">
        <v>89</v>
      </c>
      <c r="K437" s="39"/>
      <c r="L437" s="39">
        <f t="shared" ref="L437:L439" si="293">SUM(I437:K437)</f>
        <v>1977</v>
      </c>
      <c r="M437" s="117">
        <v>46260</v>
      </c>
      <c r="N437" s="117">
        <v>46273</v>
      </c>
      <c r="O437" s="39"/>
      <c r="P437" s="39"/>
      <c r="Q437" s="39"/>
      <c r="R437" s="39">
        <f t="shared" si="288"/>
        <v>0</v>
      </c>
      <c r="S437" s="39" t="s">
        <v>130</v>
      </c>
      <c r="T437" s="39"/>
      <c r="U437" s="39"/>
      <c r="V437" s="39"/>
      <c r="W437" s="39"/>
      <c r="X437" s="39"/>
      <c r="Y437" s="39"/>
      <c r="Z437" s="39"/>
      <c r="AA437" s="39"/>
      <c r="AB437" s="118">
        <f t="shared" si="289"/>
        <v>0</v>
      </c>
      <c r="AC437" s="39"/>
      <c r="AD437" s="39"/>
      <c r="AE437" s="39"/>
      <c r="AF437" s="39"/>
      <c r="AG437" s="39"/>
      <c r="AH437" s="39">
        <f t="shared" si="235"/>
        <v>0</v>
      </c>
      <c r="AI437" s="39"/>
      <c r="AJ437" s="39"/>
      <c r="AK437" s="39"/>
      <c r="AL437" s="39"/>
      <c r="AM437" s="39"/>
      <c r="AN437" s="39">
        <f t="shared" si="196"/>
        <v>0</v>
      </c>
      <c r="AO437" s="39"/>
      <c r="AP437" s="39"/>
      <c r="AQ437" s="39"/>
      <c r="AR437" s="39"/>
      <c r="AS437" s="39"/>
      <c r="AT437" s="39">
        <f t="shared" si="236"/>
        <v>0</v>
      </c>
      <c r="AU437" s="39"/>
      <c r="AV437" s="39"/>
      <c r="AW437" s="39"/>
      <c r="AX437" s="39"/>
      <c r="AY437" s="39"/>
      <c r="AZ437" s="39">
        <f t="shared" si="237"/>
        <v>0</v>
      </c>
      <c r="BA437" s="39"/>
      <c r="BB437" s="39"/>
      <c r="BC437" s="39"/>
      <c r="BD437" s="39"/>
      <c r="BE437" s="39"/>
      <c r="BF437" s="39">
        <f t="shared" si="238"/>
        <v>0</v>
      </c>
      <c r="BG437" s="39"/>
      <c r="BH437" s="39"/>
      <c r="BI437" s="39"/>
      <c r="BJ437" s="39"/>
      <c r="BK437" s="39"/>
      <c r="BL437" s="39">
        <f t="shared" si="239"/>
        <v>0</v>
      </c>
      <c r="BM437" s="54">
        <f t="shared" ca="1" si="240"/>
        <v>46283</v>
      </c>
      <c r="BN437" s="58">
        <v>46266</v>
      </c>
      <c r="BO437" s="57">
        <v>46278</v>
      </c>
      <c r="BP437" s="36"/>
      <c r="BQ437" s="36"/>
      <c r="BR437" s="39"/>
      <c r="BS437" s="39"/>
      <c r="BT437" s="39"/>
      <c r="BU437" s="39"/>
      <c r="BV437" s="39"/>
      <c r="BW437" s="39"/>
      <c r="BX437" s="39"/>
      <c r="BY437" s="39"/>
      <c r="BZ437" s="39">
        <f t="shared" si="241"/>
        <v>0</v>
      </c>
      <c r="CA437" s="39">
        <f t="shared" si="242"/>
        <v>-1888</v>
      </c>
      <c r="CB437" s="39">
        <f t="shared" si="243"/>
        <v>-89</v>
      </c>
      <c r="CC437" s="39">
        <f t="shared" si="244"/>
        <v>0</v>
      </c>
      <c r="CD437" s="39">
        <f t="shared" si="245"/>
        <v>-1977</v>
      </c>
      <c r="CE437" s="102">
        <f t="shared" si="246"/>
        <v>-1</v>
      </c>
      <c r="CF437" s="36" t="s">
        <v>249</v>
      </c>
      <c r="CG437" s="39" t="s">
        <v>222</v>
      </c>
      <c r="CH437" s="39"/>
      <c r="CI437" s="25">
        <v>1</v>
      </c>
    </row>
    <row r="438" spans="1:87" ht="24.75" customHeight="1">
      <c r="A438" s="36" t="s">
        <v>387</v>
      </c>
      <c r="B438" s="165">
        <v>48170</v>
      </c>
      <c r="C438" s="258"/>
      <c r="D438" s="36" t="s">
        <v>24</v>
      </c>
      <c r="E438" s="39">
        <v>220</v>
      </c>
      <c r="F438" s="39" t="s">
        <v>55</v>
      </c>
      <c r="G438" s="36" t="s">
        <v>2396</v>
      </c>
      <c r="H438" s="36" t="s">
        <v>212</v>
      </c>
      <c r="I438" s="162">
        <f>146+4</f>
        <v>150</v>
      </c>
      <c r="J438" s="39">
        <v>7</v>
      </c>
      <c r="K438" s="39"/>
      <c r="L438" s="39">
        <f t="shared" si="293"/>
        <v>157</v>
      </c>
      <c r="M438" s="117">
        <v>46260</v>
      </c>
      <c r="N438" s="117">
        <v>46273</v>
      </c>
      <c r="O438" s="39"/>
      <c r="P438" s="39"/>
      <c r="Q438" s="39"/>
      <c r="R438" s="39">
        <f t="shared" si="288"/>
        <v>0</v>
      </c>
      <c r="S438" s="39" t="s">
        <v>130</v>
      </c>
      <c r="T438" s="39"/>
      <c r="U438" s="39"/>
      <c r="V438" s="39"/>
      <c r="W438" s="39"/>
      <c r="X438" s="39"/>
      <c r="Y438" s="39"/>
      <c r="Z438" s="39"/>
      <c r="AA438" s="39"/>
      <c r="AB438" s="118">
        <f t="shared" si="289"/>
        <v>0</v>
      </c>
      <c r="AC438" s="39"/>
      <c r="AD438" s="39"/>
      <c r="AE438" s="39"/>
      <c r="AF438" s="39"/>
      <c r="AG438" s="39"/>
      <c r="AH438" s="39">
        <f t="shared" si="235"/>
        <v>0</v>
      </c>
      <c r="AI438" s="39"/>
      <c r="AJ438" s="39"/>
      <c r="AK438" s="39"/>
      <c r="AL438" s="39"/>
      <c r="AM438" s="39"/>
      <c r="AN438" s="39">
        <f t="shared" si="196"/>
        <v>0</v>
      </c>
      <c r="AO438" s="39"/>
      <c r="AP438" s="39"/>
      <c r="AQ438" s="39"/>
      <c r="AR438" s="39"/>
      <c r="AS438" s="39"/>
      <c r="AT438" s="39">
        <f t="shared" si="236"/>
        <v>0</v>
      </c>
      <c r="AU438" s="39"/>
      <c r="AV438" s="39"/>
      <c r="AW438" s="39"/>
      <c r="AX438" s="39"/>
      <c r="AY438" s="39"/>
      <c r="AZ438" s="39">
        <f t="shared" si="237"/>
        <v>0</v>
      </c>
      <c r="BA438" s="39"/>
      <c r="BB438" s="39"/>
      <c r="BC438" s="39"/>
      <c r="BD438" s="39"/>
      <c r="BE438" s="39"/>
      <c r="BF438" s="39">
        <f t="shared" si="238"/>
        <v>0</v>
      </c>
      <c r="BG438" s="39"/>
      <c r="BH438" s="39"/>
      <c r="BI438" s="39"/>
      <c r="BJ438" s="39"/>
      <c r="BK438" s="39"/>
      <c r="BL438" s="39">
        <f t="shared" si="239"/>
        <v>0</v>
      </c>
      <c r="BM438" s="54">
        <f t="shared" ca="1" si="240"/>
        <v>46283</v>
      </c>
      <c r="BN438" s="58">
        <v>46266</v>
      </c>
      <c r="BO438" s="57">
        <v>46278</v>
      </c>
      <c r="BP438" s="36"/>
      <c r="BQ438" s="36"/>
      <c r="BR438" s="39"/>
      <c r="BS438" s="39"/>
      <c r="BT438" s="39"/>
      <c r="BU438" s="39"/>
      <c r="BV438" s="39"/>
      <c r="BW438" s="39"/>
      <c r="BX438" s="39"/>
      <c r="BY438" s="39"/>
      <c r="BZ438" s="39">
        <f t="shared" si="241"/>
        <v>0</v>
      </c>
      <c r="CA438" s="39">
        <f t="shared" si="242"/>
        <v>-150</v>
      </c>
      <c r="CB438" s="39">
        <f t="shared" si="243"/>
        <v>-7</v>
      </c>
      <c r="CC438" s="39">
        <f t="shared" si="244"/>
        <v>0</v>
      </c>
      <c r="CD438" s="39">
        <f t="shared" si="245"/>
        <v>-157</v>
      </c>
      <c r="CE438" s="102">
        <f t="shared" si="246"/>
        <v>-1</v>
      </c>
      <c r="CF438" s="36" t="s">
        <v>249</v>
      </c>
      <c r="CG438" s="39" t="s">
        <v>222</v>
      </c>
      <c r="CH438" s="39"/>
      <c r="CI438" s="25">
        <v>1</v>
      </c>
    </row>
    <row r="439" spans="1:87" ht="24.75" customHeight="1">
      <c r="A439" s="36" t="s">
        <v>387</v>
      </c>
      <c r="B439" s="165">
        <v>48170</v>
      </c>
      <c r="C439" s="258"/>
      <c r="D439" s="36" t="s">
        <v>24</v>
      </c>
      <c r="E439" s="39">
        <v>220</v>
      </c>
      <c r="F439" s="39" t="s">
        <v>55</v>
      </c>
      <c r="G439" s="36" t="s">
        <v>2397</v>
      </c>
      <c r="H439" s="36" t="s">
        <v>212</v>
      </c>
      <c r="I439" s="162">
        <f>1731+29</f>
        <v>1760</v>
      </c>
      <c r="J439" s="39">
        <v>89</v>
      </c>
      <c r="K439" s="39"/>
      <c r="L439" s="39">
        <f t="shared" si="293"/>
        <v>1849</v>
      </c>
      <c r="M439" s="117">
        <v>46260</v>
      </c>
      <c r="N439" s="117">
        <v>46273</v>
      </c>
      <c r="O439" s="39"/>
      <c r="P439" s="39"/>
      <c r="Q439" s="39"/>
      <c r="R439" s="39">
        <f t="shared" si="288"/>
        <v>0</v>
      </c>
      <c r="S439" s="39" t="s">
        <v>130</v>
      </c>
      <c r="T439" s="39"/>
      <c r="U439" s="39"/>
      <c r="V439" s="39"/>
      <c r="W439" s="39"/>
      <c r="X439" s="39"/>
      <c r="Y439" s="39"/>
      <c r="Z439" s="39"/>
      <c r="AA439" s="39"/>
      <c r="AB439" s="118">
        <f t="shared" si="289"/>
        <v>0</v>
      </c>
      <c r="AC439" s="39"/>
      <c r="AD439" s="39"/>
      <c r="AE439" s="39"/>
      <c r="AF439" s="39"/>
      <c r="AG439" s="39"/>
      <c r="AH439" s="39">
        <f t="shared" si="235"/>
        <v>0</v>
      </c>
      <c r="AI439" s="39"/>
      <c r="AJ439" s="39"/>
      <c r="AK439" s="39"/>
      <c r="AL439" s="39"/>
      <c r="AM439" s="39"/>
      <c r="AN439" s="39">
        <f t="shared" si="196"/>
        <v>0</v>
      </c>
      <c r="AO439" s="39"/>
      <c r="AP439" s="39"/>
      <c r="AQ439" s="39"/>
      <c r="AR439" s="39"/>
      <c r="AS439" s="39"/>
      <c r="AT439" s="39">
        <f t="shared" si="236"/>
        <v>0</v>
      </c>
      <c r="AU439" s="39"/>
      <c r="AV439" s="39"/>
      <c r="AW439" s="39"/>
      <c r="AX439" s="39"/>
      <c r="AY439" s="39"/>
      <c r="AZ439" s="39">
        <f t="shared" si="237"/>
        <v>0</v>
      </c>
      <c r="BA439" s="39"/>
      <c r="BB439" s="39"/>
      <c r="BC439" s="39"/>
      <c r="BD439" s="39"/>
      <c r="BE439" s="39"/>
      <c r="BF439" s="39">
        <f t="shared" si="238"/>
        <v>0</v>
      </c>
      <c r="BG439" s="39"/>
      <c r="BH439" s="39"/>
      <c r="BI439" s="39"/>
      <c r="BJ439" s="39"/>
      <c r="BK439" s="39"/>
      <c r="BL439" s="39">
        <f t="shared" si="239"/>
        <v>0</v>
      </c>
      <c r="BM439" s="54">
        <f t="shared" ca="1" si="240"/>
        <v>46283</v>
      </c>
      <c r="BN439" s="58">
        <v>46266</v>
      </c>
      <c r="BO439" s="57">
        <v>46278</v>
      </c>
      <c r="BP439" s="36"/>
      <c r="BQ439" s="36"/>
      <c r="BR439" s="39"/>
      <c r="BS439" s="39"/>
      <c r="BT439" s="39"/>
      <c r="BU439" s="39"/>
      <c r="BV439" s="39"/>
      <c r="BW439" s="39"/>
      <c r="BX439" s="39"/>
      <c r="BY439" s="39"/>
      <c r="BZ439" s="39">
        <f t="shared" si="241"/>
        <v>0</v>
      </c>
      <c r="CA439" s="39">
        <f t="shared" si="242"/>
        <v>-1760</v>
      </c>
      <c r="CB439" s="39">
        <f t="shared" si="243"/>
        <v>-89</v>
      </c>
      <c r="CC439" s="39">
        <f t="shared" si="244"/>
        <v>0</v>
      </c>
      <c r="CD439" s="39">
        <f t="shared" si="245"/>
        <v>-1849</v>
      </c>
      <c r="CE439" s="102">
        <f t="shared" si="246"/>
        <v>-1</v>
      </c>
      <c r="CF439" s="36" t="s">
        <v>249</v>
      </c>
      <c r="CG439" s="39" t="s">
        <v>222</v>
      </c>
      <c r="CH439" s="39"/>
      <c r="CI439" s="25">
        <v>1</v>
      </c>
    </row>
    <row r="440" spans="1:87" ht="24.75" customHeight="1">
      <c r="A440" s="36" t="s">
        <v>387</v>
      </c>
      <c r="B440" s="27" t="s">
        <v>2398</v>
      </c>
      <c r="C440" s="235">
        <v>15317989</v>
      </c>
      <c r="D440" s="36"/>
      <c r="E440" s="39">
        <v>140</v>
      </c>
      <c r="F440" s="39" t="s">
        <v>57</v>
      </c>
      <c r="G440" s="36" t="s">
        <v>23</v>
      </c>
      <c r="H440" s="36" t="s">
        <v>22</v>
      </c>
      <c r="I440" s="39">
        <v>303</v>
      </c>
      <c r="J440" s="39">
        <v>19</v>
      </c>
      <c r="K440" s="39"/>
      <c r="L440" s="39">
        <f t="shared" ref="L440:L442" si="294">SUM(I440:K440)</f>
        <v>322</v>
      </c>
      <c r="M440" s="117">
        <v>46259</v>
      </c>
      <c r="N440" s="117">
        <v>46267</v>
      </c>
      <c r="O440" s="39"/>
      <c r="P440" s="39"/>
      <c r="Q440" s="39"/>
      <c r="R440" s="39">
        <f t="shared" si="288"/>
        <v>0</v>
      </c>
      <c r="S440" s="39" t="s">
        <v>100</v>
      </c>
      <c r="T440" s="39"/>
      <c r="U440" s="39"/>
      <c r="V440" s="117">
        <v>46258</v>
      </c>
      <c r="W440" s="39">
        <f>333+23</f>
        <v>356</v>
      </c>
      <c r="X440" s="39"/>
      <c r="Y440" s="39"/>
      <c r="Z440" s="39"/>
      <c r="AA440" s="39"/>
      <c r="AB440" s="118">
        <f t="shared" si="289"/>
        <v>0</v>
      </c>
      <c r="AC440" s="39"/>
      <c r="AD440" s="39"/>
      <c r="AE440" s="39"/>
      <c r="AF440" s="39"/>
      <c r="AG440" s="39"/>
      <c r="AH440" s="39">
        <f t="shared" si="235"/>
        <v>0</v>
      </c>
      <c r="AI440" s="39"/>
      <c r="AJ440" s="39"/>
      <c r="AK440" s="39"/>
      <c r="AL440" s="39"/>
      <c r="AM440" s="39"/>
      <c r="AN440" s="39">
        <f t="shared" si="196"/>
        <v>0</v>
      </c>
      <c r="AO440" s="39"/>
      <c r="AP440" s="39"/>
      <c r="AQ440" s="39"/>
      <c r="AR440" s="39"/>
      <c r="AS440" s="39"/>
      <c r="AT440" s="39">
        <f t="shared" si="236"/>
        <v>0</v>
      </c>
      <c r="AU440" s="39"/>
      <c r="AV440" s="39"/>
      <c r="AW440" s="39"/>
      <c r="AX440" s="39"/>
      <c r="AY440" s="39"/>
      <c r="AZ440" s="39">
        <f t="shared" si="237"/>
        <v>0</v>
      </c>
      <c r="BA440" s="39"/>
      <c r="BB440" s="39"/>
      <c r="BC440" s="39"/>
      <c r="BD440" s="39"/>
      <c r="BE440" s="39"/>
      <c r="BF440" s="39">
        <f t="shared" si="238"/>
        <v>0</v>
      </c>
      <c r="BG440" s="39"/>
      <c r="BH440" s="39"/>
      <c r="BI440" s="39"/>
      <c r="BJ440" s="39"/>
      <c r="BK440" s="39"/>
      <c r="BL440" s="39">
        <f t="shared" si="239"/>
        <v>0</v>
      </c>
      <c r="BM440" s="54">
        <f t="shared" ca="1" si="240"/>
        <v>46283</v>
      </c>
      <c r="BN440" s="58">
        <v>46270</v>
      </c>
      <c r="BO440" s="57">
        <v>46284</v>
      </c>
      <c r="BP440" s="36"/>
      <c r="BQ440" s="36"/>
      <c r="BR440" s="39"/>
      <c r="BS440" s="39"/>
      <c r="BT440" s="39"/>
      <c r="BU440" s="39"/>
      <c r="BV440" s="39"/>
      <c r="BW440" s="39"/>
      <c r="BX440" s="39"/>
      <c r="BY440" s="39"/>
      <c r="BZ440" s="39">
        <f t="shared" si="241"/>
        <v>0</v>
      </c>
      <c r="CA440" s="39">
        <f t="shared" si="242"/>
        <v>-303</v>
      </c>
      <c r="CB440" s="39">
        <f t="shared" si="243"/>
        <v>-19</v>
      </c>
      <c r="CC440" s="39">
        <f t="shared" si="244"/>
        <v>0</v>
      </c>
      <c r="CD440" s="39">
        <f t="shared" si="245"/>
        <v>-322</v>
      </c>
      <c r="CE440" s="102">
        <f t="shared" si="246"/>
        <v>-1</v>
      </c>
      <c r="CF440" s="36" t="s">
        <v>249</v>
      </c>
      <c r="CG440" s="39" t="s">
        <v>222</v>
      </c>
      <c r="CH440" s="39"/>
      <c r="CI440" s="25">
        <v>1</v>
      </c>
    </row>
    <row r="441" spans="1:87" ht="24.75" customHeight="1">
      <c r="A441" s="36" t="s">
        <v>387</v>
      </c>
      <c r="B441" s="27" t="s">
        <v>2398</v>
      </c>
      <c r="C441" s="240"/>
      <c r="D441" s="36"/>
      <c r="E441" s="39">
        <v>140</v>
      </c>
      <c r="F441" s="39" t="s">
        <v>57</v>
      </c>
      <c r="G441" s="36" t="s">
        <v>93</v>
      </c>
      <c r="H441" s="36" t="s">
        <v>22</v>
      </c>
      <c r="I441" s="39">
        <v>336</v>
      </c>
      <c r="J441" s="39">
        <v>21</v>
      </c>
      <c r="K441" s="39"/>
      <c r="L441" s="39">
        <f t="shared" si="294"/>
        <v>357</v>
      </c>
      <c r="M441" s="117">
        <v>46259</v>
      </c>
      <c r="N441" s="117">
        <v>46267</v>
      </c>
      <c r="O441" s="39"/>
      <c r="P441" s="39"/>
      <c r="Q441" s="39"/>
      <c r="R441" s="39">
        <f t="shared" si="288"/>
        <v>0</v>
      </c>
      <c r="S441" s="39" t="s">
        <v>130</v>
      </c>
      <c r="T441" s="39">
        <v>109061</v>
      </c>
      <c r="U441" s="117">
        <v>46264</v>
      </c>
      <c r="V441" s="39"/>
      <c r="W441" s="39"/>
      <c r="X441" s="39"/>
      <c r="Y441" s="39">
        <v>383</v>
      </c>
      <c r="Z441" s="39">
        <v>26</v>
      </c>
      <c r="AA441" s="39"/>
      <c r="AB441" s="119">
        <f t="shared" si="289"/>
        <v>409</v>
      </c>
      <c r="AC441" s="39"/>
      <c r="AD441" s="39"/>
      <c r="AE441" s="39"/>
      <c r="AF441" s="39"/>
      <c r="AG441" s="39"/>
      <c r="AH441" s="39">
        <f t="shared" si="235"/>
        <v>0</v>
      </c>
      <c r="AI441" s="39"/>
      <c r="AJ441" s="39"/>
      <c r="AK441" s="39"/>
      <c r="AL441" s="39"/>
      <c r="AM441" s="39"/>
      <c r="AN441" s="39">
        <f t="shared" si="196"/>
        <v>0</v>
      </c>
      <c r="AO441" s="39"/>
      <c r="AP441" s="39"/>
      <c r="AQ441" s="39"/>
      <c r="AR441" s="39"/>
      <c r="AS441" s="39"/>
      <c r="AT441" s="39">
        <f t="shared" si="236"/>
        <v>0</v>
      </c>
      <c r="AU441" s="39"/>
      <c r="AV441" s="39"/>
      <c r="AW441" s="39"/>
      <c r="AX441" s="39"/>
      <c r="AY441" s="39"/>
      <c r="AZ441" s="39">
        <f t="shared" si="237"/>
        <v>0</v>
      </c>
      <c r="BA441" s="39"/>
      <c r="BB441" s="39"/>
      <c r="BC441" s="39"/>
      <c r="BD441" s="39"/>
      <c r="BE441" s="39"/>
      <c r="BF441" s="39">
        <f t="shared" si="238"/>
        <v>0</v>
      </c>
      <c r="BG441" s="39"/>
      <c r="BH441" s="39"/>
      <c r="BI441" s="39"/>
      <c r="BJ441" s="39"/>
      <c r="BK441" s="39"/>
      <c r="BL441" s="39">
        <f t="shared" si="239"/>
        <v>0</v>
      </c>
      <c r="BM441" s="54" t="str">
        <f t="shared" si="240"/>
        <v/>
      </c>
      <c r="BN441" s="58">
        <v>46270</v>
      </c>
      <c r="BO441" s="57">
        <v>46284</v>
      </c>
      <c r="BP441" s="36"/>
      <c r="BQ441" s="36"/>
      <c r="BR441" s="117">
        <v>46267</v>
      </c>
      <c r="BS441" s="117">
        <v>46267</v>
      </c>
      <c r="BT441" s="39">
        <v>736</v>
      </c>
      <c r="BU441" s="39">
        <v>362</v>
      </c>
      <c r="BV441" s="39">
        <v>736</v>
      </c>
      <c r="BW441" s="39">
        <v>27</v>
      </c>
      <c r="BX441" s="39"/>
      <c r="BY441" s="39"/>
      <c r="BZ441" s="39">
        <f t="shared" si="241"/>
        <v>389</v>
      </c>
      <c r="CA441" s="39">
        <f t="shared" si="242"/>
        <v>26</v>
      </c>
      <c r="CB441" s="39">
        <f t="shared" si="243"/>
        <v>6</v>
      </c>
      <c r="CC441" s="39">
        <f t="shared" si="244"/>
        <v>0</v>
      </c>
      <c r="CD441" s="39">
        <f t="shared" si="245"/>
        <v>0</v>
      </c>
      <c r="CE441" s="102">
        <f t="shared" si="246"/>
        <v>0</v>
      </c>
      <c r="CF441" s="36" t="s">
        <v>249</v>
      </c>
      <c r="CG441" s="39" t="s">
        <v>222</v>
      </c>
      <c r="CH441" s="39"/>
      <c r="CI441" s="25">
        <v>1</v>
      </c>
    </row>
    <row r="442" spans="1:87" ht="24.75" customHeight="1">
      <c r="A442" s="36" t="s">
        <v>387</v>
      </c>
      <c r="B442" s="27" t="s">
        <v>2398</v>
      </c>
      <c r="C442" s="240"/>
      <c r="D442" s="36"/>
      <c r="E442" s="39">
        <v>140</v>
      </c>
      <c r="F442" s="39" t="s">
        <v>57</v>
      </c>
      <c r="G442" s="36" t="s">
        <v>47</v>
      </c>
      <c r="H442" s="36" t="s">
        <v>22</v>
      </c>
      <c r="I442" s="39">
        <v>352</v>
      </c>
      <c r="J442" s="39">
        <v>22</v>
      </c>
      <c r="K442" s="39"/>
      <c r="L442" s="39">
        <f t="shared" si="294"/>
        <v>374</v>
      </c>
      <c r="M442" s="117">
        <v>46259</v>
      </c>
      <c r="N442" s="117">
        <v>46267</v>
      </c>
      <c r="O442" s="39"/>
      <c r="P442" s="39"/>
      <c r="Q442" s="39"/>
      <c r="R442" s="39">
        <f t="shared" si="288"/>
        <v>0</v>
      </c>
      <c r="S442" s="39" t="s">
        <v>130</v>
      </c>
      <c r="T442" s="39">
        <v>108913</v>
      </c>
      <c r="U442" s="117">
        <v>46259</v>
      </c>
      <c r="V442" s="39"/>
      <c r="W442" s="39"/>
      <c r="X442" s="39"/>
      <c r="Y442" s="39">
        <v>401</v>
      </c>
      <c r="Z442" s="39">
        <v>25</v>
      </c>
      <c r="AA442" s="39"/>
      <c r="AB442" s="119">
        <f t="shared" si="289"/>
        <v>426</v>
      </c>
      <c r="AC442" s="39"/>
      <c r="AD442" s="39"/>
      <c r="AE442" s="39"/>
      <c r="AF442" s="39"/>
      <c r="AG442" s="39"/>
      <c r="AH442" s="39">
        <f t="shared" si="235"/>
        <v>0</v>
      </c>
      <c r="AI442" s="39"/>
      <c r="AJ442" s="39"/>
      <c r="AK442" s="39"/>
      <c r="AL442" s="39"/>
      <c r="AM442" s="39"/>
      <c r="AN442" s="39">
        <f t="shared" si="196"/>
        <v>0</v>
      </c>
      <c r="AO442" s="39"/>
      <c r="AP442" s="39"/>
      <c r="AQ442" s="39"/>
      <c r="AR442" s="39"/>
      <c r="AS442" s="39"/>
      <c r="AT442" s="39">
        <f t="shared" si="236"/>
        <v>0</v>
      </c>
      <c r="AU442" s="39"/>
      <c r="AV442" s="39"/>
      <c r="AW442" s="39"/>
      <c r="AX442" s="39"/>
      <c r="AY442" s="39"/>
      <c r="AZ442" s="39">
        <f t="shared" si="237"/>
        <v>0</v>
      </c>
      <c r="BA442" s="39"/>
      <c r="BB442" s="39"/>
      <c r="BC442" s="39"/>
      <c r="BD442" s="39"/>
      <c r="BE442" s="39"/>
      <c r="BF442" s="39">
        <f t="shared" si="238"/>
        <v>0</v>
      </c>
      <c r="BG442" s="39"/>
      <c r="BH442" s="39"/>
      <c r="BI442" s="39"/>
      <c r="BJ442" s="39"/>
      <c r="BK442" s="39"/>
      <c r="BL442" s="39">
        <f t="shared" si="239"/>
        <v>0</v>
      </c>
      <c r="BM442" s="54" t="str">
        <f t="shared" si="240"/>
        <v/>
      </c>
      <c r="BN442" s="58">
        <v>46270</v>
      </c>
      <c r="BO442" s="57">
        <v>46284</v>
      </c>
      <c r="BP442" s="36"/>
      <c r="BQ442" s="36"/>
      <c r="BR442" s="117">
        <v>46261</v>
      </c>
      <c r="BS442" s="117">
        <v>46270</v>
      </c>
      <c r="BT442" s="39">
        <v>701</v>
      </c>
      <c r="BU442" s="39">
        <v>373</v>
      </c>
      <c r="BV442" s="39">
        <v>756</v>
      </c>
      <c r="BW442" s="39">
        <v>22</v>
      </c>
      <c r="BX442" s="39"/>
      <c r="BY442" s="39"/>
      <c r="BZ442" s="39">
        <f t="shared" si="241"/>
        <v>395</v>
      </c>
      <c r="CA442" s="39">
        <f t="shared" si="242"/>
        <v>21</v>
      </c>
      <c r="CB442" s="39">
        <f t="shared" si="243"/>
        <v>0</v>
      </c>
      <c r="CC442" s="39">
        <f t="shared" si="244"/>
        <v>0</v>
      </c>
      <c r="CD442" s="39">
        <f t="shared" si="245"/>
        <v>0</v>
      </c>
      <c r="CE442" s="102">
        <f t="shared" si="246"/>
        <v>0</v>
      </c>
      <c r="CF442" s="36" t="s">
        <v>249</v>
      </c>
      <c r="CG442" s="39" t="s">
        <v>222</v>
      </c>
      <c r="CH442" s="39" t="s">
        <v>114</v>
      </c>
      <c r="CI442" s="25">
        <v>1</v>
      </c>
    </row>
    <row r="443" spans="1:87" ht="24.75" customHeight="1">
      <c r="A443" s="36" t="s">
        <v>387</v>
      </c>
      <c r="B443" s="27" t="s">
        <v>2398</v>
      </c>
      <c r="C443" s="236"/>
      <c r="D443" s="36"/>
      <c r="E443" s="39">
        <v>140</v>
      </c>
      <c r="F443" s="39" t="s">
        <v>57</v>
      </c>
      <c r="G443" s="36" t="s">
        <v>1215</v>
      </c>
      <c r="H443" s="36" t="s">
        <v>22</v>
      </c>
      <c r="I443" s="39">
        <v>275</v>
      </c>
      <c r="J443" s="39">
        <v>17</v>
      </c>
      <c r="K443" s="39"/>
      <c r="L443" s="39">
        <f t="shared" ref="L443:L445" si="295">SUM(I443:K443)</f>
        <v>292</v>
      </c>
      <c r="M443" s="117">
        <v>46259</v>
      </c>
      <c r="N443" s="117">
        <v>46267</v>
      </c>
      <c r="O443" s="39"/>
      <c r="P443" s="39"/>
      <c r="Q443" s="39"/>
      <c r="R443" s="39">
        <f t="shared" si="288"/>
        <v>0</v>
      </c>
      <c r="S443" s="39" t="s">
        <v>100</v>
      </c>
      <c r="T443" s="39"/>
      <c r="U443" s="39"/>
      <c r="V443" s="117">
        <v>46258</v>
      </c>
      <c r="W443" s="39">
        <f>314+21</f>
        <v>335</v>
      </c>
      <c r="X443" s="117">
        <v>46265</v>
      </c>
      <c r="Y443" s="39">
        <v>273</v>
      </c>
      <c r="Z443" s="39">
        <v>18</v>
      </c>
      <c r="AA443" s="39"/>
      <c r="AB443" s="119">
        <f t="shared" si="289"/>
        <v>291</v>
      </c>
      <c r="AC443" s="39"/>
      <c r="AD443" s="39"/>
      <c r="AE443" s="39"/>
      <c r="AF443" s="39"/>
      <c r="AG443" s="39"/>
      <c r="AH443" s="39">
        <f t="shared" si="235"/>
        <v>0</v>
      </c>
      <c r="AI443" s="39"/>
      <c r="AJ443" s="39"/>
      <c r="AK443" s="39"/>
      <c r="AL443" s="39"/>
      <c r="AM443" s="39"/>
      <c r="AN443" s="39">
        <f t="shared" si="196"/>
        <v>0</v>
      </c>
      <c r="AO443" s="39"/>
      <c r="AP443" s="39"/>
      <c r="AQ443" s="39"/>
      <c r="AR443" s="39"/>
      <c r="AS443" s="39"/>
      <c r="AT443" s="39">
        <f t="shared" si="236"/>
        <v>0</v>
      </c>
      <c r="AU443" s="39"/>
      <c r="AV443" s="39"/>
      <c r="AW443" s="39"/>
      <c r="AX443" s="39"/>
      <c r="AY443" s="39"/>
      <c r="AZ443" s="39">
        <f t="shared" si="237"/>
        <v>0</v>
      </c>
      <c r="BA443" s="39"/>
      <c r="BB443" s="39"/>
      <c r="BC443" s="39"/>
      <c r="BD443" s="39"/>
      <c r="BE443" s="39"/>
      <c r="BF443" s="39">
        <f t="shared" si="238"/>
        <v>0</v>
      </c>
      <c r="BG443" s="39"/>
      <c r="BH443" s="39"/>
      <c r="BI443" s="39"/>
      <c r="BJ443" s="39"/>
      <c r="BK443" s="39"/>
      <c r="BL443" s="39">
        <f t="shared" si="239"/>
        <v>0</v>
      </c>
      <c r="BM443" s="54" t="str">
        <f t="shared" si="240"/>
        <v/>
      </c>
      <c r="BN443" s="58">
        <v>46270</v>
      </c>
      <c r="BO443" s="57">
        <v>46284</v>
      </c>
      <c r="BP443" s="36"/>
      <c r="BQ443" s="36"/>
      <c r="BR443" s="117">
        <v>46265</v>
      </c>
      <c r="BS443" s="117">
        <v>46265</v>
      </c>
      <c r="BT443" s="39">
        <v>2000</v>
      </c>
      <c r="BU443" s="39">
        <v>273</v>
      </c>
      <c r="BV443" s="39">
        <v>2000</v>
      </c>
      <c r="BW443" s="39">
        <v>18</v>
      </c>
      <c r="BX443" s="39"/>
      <c r="BY443" s="39"/>
      <c r="BZ443" s="39">
        <f t="shared" si="241"/>
        <v>291</v>
      </c>
      <c r="CA443" s="39">
        <f t="shared" si="242"/>
        <v>-2</v>
      </c>
      <c r="CB443" s="39">
        <f t="shared" si="243"/>
        <v>1</v>
      </c>
      <c r="CC443" s="39">
        <f t="shared" si="244"/>
        <v>0</v>
      </c>
      <c r="CD443" s="39">
        <v>0</v>
      </c>
      <c r="CE443" s="102">
        <f t="shared" si="246"/>
        <v>0</v>
      </c>
      <c r="CF443" s="36" t="s">
        <v>249</v>
      </c>
      <c r="CG443" s="39" t="s">
        <v>222</v>
      </c>
      <c r="CH443" s="39"/>
      <c r="CI443" s="25">
        <v>1</v>
      </c>
    </row>
    <row r="444" spans="1:87" ht="24.75" customHeight="1">
      <c r="A444" s="36" t="s">
        <v>387</v>
      </c>
      <c r="B444" s="27" t="s">
        <v>2399</v>
      </c>
      <c r="C444" s="235">
        <v>15382230</v>
      </c>
      <c r="D444" s="36"/>
      <c r="E444" s="39">
        <v>140</v>
      </c>
      <c r="F444" s="39" t="s">
        <v>57</v>
      </c>
      <c r="G444" s="36" t="s">
        <v>23</v>
      </c>
      <c r="H444" s="36" t="s">
        <v>22</v>
      </c>
      <c r="I444" s="39">
        <v>652</v>
      </c>
      <c r="J444" s="39">
        <v>52</v>
      </c>
      <c r="K444" s="39"/>
      <c r="L444" s="39">
        <f t="shared" si="295"/>
        <v>704</v>
      </c>
      <c r="M444" s="117">
        <v>46254</v>
      </c>
      <c r="N444" s="117">
        <v>46262</v>
      </c>
      <c r="O444" s="39"/>
      <c r="P444" s="39"/>
      <c r="Q444" s="39"/>
      <c r="R444" s="39">
        <f t="shared" si="288"/>
        <v>0</v>
      </c>
      <c r="S444" s="39" t="s">
        <v>100</v>
      </c>
      <c r="T444" s="39"/>
      <c r="U444" s="39"/>
      <c r="V444" s="117">
        <v>46256</v>
      </c>
      <c r="W444" s="39">
        <f>715+62</f>
        <v>777</v>
      </c>
      <c r="X444" s="39"/>
      <c r="Y444" s="39"/>
      <c r="Z444" s="39"/>
      <c r="AA444" s="39"/>
      <c r="AB444" s="118">
        <f t="shared" si="289"/>
        <v>0</v>
      </c>
      <c r="AC444" s="39"/>
      <c r="AD444" s="39"/>
      <c r="AE444" s="39"/>
      <c r="AF444" s="39"/>
      <c r="AG444" s="39"/>
      <c r="AH444" s="39">
        <f t="shared" si="235"/>
        <v>0</v>
      </c>
      <c r="AI444" s="39"/>
      <c r="AJ444" s="39"/>
      <c r="AK444" s="39"/>
      <c r="AL444" s="39"/>
      <c r="AM444" s="39"/>
      <c r="AN444" s="39">
        <f t="shared" si="196"/>
        <v>0</v>
      </c>
      <c r="AO444" s="39"/>
      <c r="AP444" s="39"/>
      <c r="AQ444" s="39"/>
      <c r="AR444" s="39"/>
      <c r="AS444" s="39"/>
      <c r="AT444" s="39">
        <f t="shared" si="236"/>
        <v>0</v>
      </c>
      <c r="AU444" s="39"/>
      <c r="AV444" s="39"/>
      <c r="AW444" s="39"/>
      <c r="AX444" s="39"/>
      <c r="AY444" s="39"/>
      <c r="AZ444" s="39">
        <f t="shared" si="237"/>
        <v>0</v>
      </c>
      <c r="BA444" s="39"/>
      <c r="BB444" s="39"/>
      <c r="BC444" s="39"/>
      <c r="BD444" s="39"/>
      <c r="BE444" s="39"/>
      <c r="BF444" s="39">
        <f t="shared" si="238"/>
        <v>0</v>
      </c>
      <c r="BG444" s="39"/>
      <c r="BH444" s="39"/>
      <c r="BI444" s="39"/>
      <c r="BJ444" s="39"/>
      <c r="BK444" s="39"/>
      <c r="BL444" s="39">
        <f t="shared" si="239"/>
        <v>0</v>
      </c>
      <c r="BM444" s="54">
        <f t="shared" ca="1" si="240"/>
        <v>46283</v>
      </c>
      <c r="BN444" s="58">
        <v>46266</v>
      </c>
      <c r="BO444" s="57">
        <v>46280</v>
      </c>
      <c r="BP444" s="36"/>
      <c r="BQ444" s="36"/>
      <c r="BR444" s="39"/>
      <c r="BS444" s="39"/>
      <c r="BT444" s="39"/>
      <c r="BU444" s="39"/>
      <c r="BV444" s="39"/>
      <c r="BW444" s="39"/>
      <c r="BX444" s="39"/>
      <c r="BY444" s="39"/>
      <c r="BZ444" s="39">
        <f t="shared" si="241"/>
        <v>0</v>
      </c>
      <c r="CA444" s="39">
        <f t="shared" si="242"/>
        <v>-652</v>
      </c>
      <c r="CB444" s="39">
        <f t="shared" si="243"/>
        <v>-52</v>
      </c>
      <c r="CC444" s="39">
        <f t="shared" si="244"/>
        <v>0</v>
      </c>
      <c r="CD444" s="39">
        <f t="shared" si="245"/>
        <v>-704</v>
      </c>
      <c r="CE444" s="102">
        <f t="shared" si="246"/>
        <v>-1</v>
      </c>
      <c r="CF444" s="36" t="s">
        <v>249</v>
      </c>
      <c r="CG444" s="39" t="s">
        <v>222</v>
      </c>
      <c r="CH444" s="39"/>
      <c r="CI444" s="25">
        <v>1</v>
      </c>
    </row>
    <row r="445" spans="1:87" ht="24.75" customHeight="1">
      <c r="A445" s="36" t="s">
        <v>387</v>
      </c>
      <c r="B445" s="27" t="s">
        <v>2399</v>
      </c>
      <c r="C445" s="240"/>
      <c r="D445" s="36"/>
      <c r="E445" s="39">
        <v>140</v>
      </c>
      <c r="F445" s="39" t="s">
        <v>57</v>
      </c>
      <c r="G445" s="36" t="s">
        <v>47</v>
      </c>
      <c r="H445" s="36" t="s">
        <v>22</v>
      </c>
      <c r="I445" s="39">
        <v>784</v>
      </c>
      <c r="J445" s="39">
        <v>62</v>
      </c>
      <c r="K445" s="39"/>
      <c r="L445" s="39">
        <f t="shared" si="295"/>
        <v>846</v>
      </c>
      <c r="M445" s="117">
        <v>46254</v>
      </c>
      <c r="N445" s="117">
        <v>46262</v>
      </c>
      <c r="O445" s="39"/>
      <c r="P445" s="39"/>
      <c r="Q445" s="39"/>
      <c r="R445" s="39">
        <f t="shared" si="288"/>
        <v>0</v>
      </c>
      <c r="S445" s="39" t="s">
        <v>130</v>
      </c>
      <c r="T445" s="39" t="s">
        <v>2630</v>
      </c>
      <c r="U445" s="117" t="s">
        <v>2631</v>
      </c>
      <c r="V445" s="39"/>
      <c r="W445" s="39"/>
      <c r="X445" s="39"/>
      <c r="Y445" s="39">
        <f>802+90</f>
        <v>892</v>
      </c>
      <c r="Z445" s="39">
        <f>66+7</f>
        <v>73</v>
      </c>
      <c r="AA445" s="39"/>
      <c r="AB445" s="119">
        <f t="shared" si="289"/>
        <v>965</v>
      </c>
      <c r="AC445" s="39"/>
      <c r="AD445" s="39"/>
      <c r="AE445" s="39"/>
      <c r="AF445" s="39"/>
      <c r="AG445" s="39"/>
      <c r="AH445" s="39">
        <f t="shared" ref="AH445:AH508" si="296">AG445-AE445</f>
        <v>0</v>
      </c>
      <c r="AI445" s="39"/>
      <c r="AJ445" s="39"/>
      <c r="AK445" s="39"/>
      <c r="AL445" s="39"/>
      <c r="AM445" s="39"/>
      <c r="AN445" s="39">
        <f t="shared" si="196"/>
        <v>0</v>
      </c>
      <c r="AO445" s="39"/>
      <c r="AP445" s="39"/>
      <c r="AQ445" s="39"/>
      <c r="AR445" s="39"/>
      <c r="AS445" s="39"/>
      <c r="AT445" s="39">
        <f t="shared" ref="AT445:AT508" si="297">AS445-AQ445</f>
        <v>0</v>
      </c>
      <c r="AU445" s="39"/>
      <c r="AV445" s="39"/>
      <c r="AW445" s="39"/>
      <c r="AX445" s="39"/>
      <c r="AY445" s="39"/>
      <c r="AZ445" s="39">
        <f t="shared" ref="AZ445:AZ508" si="298">AY445-AW445</f>
        <v>0</v>
      </c>
      <c r="BA445" s="39"/>
      <c r="BB445" s="39"/>
      <c r="BC445" s="39"/>
      <c r="BD445" s="39"/>
      <c r="BE445" s="39"/>
      <c r="BF445" s="39">
        <f t="shared" ref="BF445:BF508" si="299">BE445-BC445</f>
        <v>0</v>
      </c>
      <c r="BG445" s="39"/>
      <c r="BH445" s="39"/>
      <c r="BI445" s="39"/>
      <c r="BJ445" s="39"/>
      <c r="BK445" s="39"/>
      <c r="BL445" s="39">
        <f t="shared" ref="BL445:BL508" si="300">BK445-BI445</f>
        <v>0</v>
      </c>
      <c r="BM445" s="54" t="str">
        <f t="shared" ref="BM445:BM508" si="301">IF((BZ445/L445)&lt;0.9,$CO$1-U445,"")</f>
        <v/>
      </c>
      <c r="BN445" s="58">
        <v>46266</v>
      </c>
      <c r="BO445" s="57">
        <v>46280</v>
      </c>
      <c r="BP445" s="36"/>
      <c r="BQ445" s="36"/>
      <c r="BR445" s="117">
        <v>46236</v>
      </c>
      <c r="BS445" s="117">
        <v>46270</v>
      </c>
      <c r="BT445" s="39" t="s">
        <v>2666</v>
      </c>
      <c r="BU445" s="39">
        <f>723+80</f>
        <v>803</v>
      </c>
      <c r="BV445" s="39" t="s">
        <v>2810</v>
      </c>
      <c r="BW445" s="39">
        <f>60+8</f>
        <v>68</v>
      </c>
      <c r="BX445" s="39"/>
      <c r="BY445" s="39"/>
      <c r="BZ445" s="39">
        <f t="shared" ref="BZ445:BZ508" si="302">BU445+BW445+BY445</f>
        <v>871</v>
      </c>
      <c r="CA445" s="39">
        <f t="shared" ref="CA445:CA508" si="303">BU445-I445</f>
        <v>19</v>
      </c>
      <c r="CB445" s="39">
        <f t="shared" ref="CB445:CB508" si="304">BW445-J445</f>
        <v>6</v>
      </c>
      <c r="CC445" s="39">
        <f t="shared" ref="CC445:CC508" si="305">BY445-K445</f>
        <v>0</v>
      </c>
      <c r="CD445" s="39">
        <v>0</v>
      </c>
      <c r="CE445" s="102">
        <f t="shared" ref="CE445:CE508" si="306">CD445/L445</f>
        <v>0</v>
      </c>
      <c r="CF445" s="36" t="s">
        <v>249</v>
      </c>
      <c r="CG445" s="39" t="s">
        <v>222</v>
      </c>
      <c r="CH445" s="39" t="s">
        <v>114</v>
      </c>
      <c r="CI445" s="25">
        <v>1</v>
      </c>
    </row>
    <row r="446" spans="1:87" ht="24.75" customHeight="1">
      <c r="A446" s="36" t="s">
        <v>387</v>
      </c>
      <c r="B446" s="27" t="s">
        <v>2399</v>
      </c>
      <c r="C446" s="240"/>
      <c r="D446" s="36"/>
      <c r="E446" s="39">
        <v>140</v>
      </c>
      <c r="F446" s="39" t="s">
        <v>57</v>
      </c>
      <c r="G446" s="36" t="s">
        <v>1215</v>
      </c>
      <c r="H446" s="36" t="s">
        <v>22</v>
      </c>
      <c r="I446" s="39">
        <v>10</v>
      </c>
      <c r="J446" s="39">
        <v>1</v>
      </c>
      <c r="K446" s="39"/>
      <c r="L446" s="39">
        <f t="shared" ref="L446" si="307">SUM(I446:K446)</f>
        <v>11</v>
      </c>
      <c r="M446" s="117">
        <v>46254</v>
      </c>
      <c r="N446" s="117">
        <v>46262</v>
      </c>
      <c r="O446" s="39"/>
      <c r="P446" s="39"/>
      <c r="Q446" s="39"/>
      <c r="R446" s="39">
        <f t="shared" si="288"/>
        <v>0</v>
      </c>
      <c r="S446" s="39" t="s">
        <v>100</v>
      </c>
      <c r="T446" s="39"/>
      <c r="U446" s="39"/>
      <c r="V446" s="117">
        <v>46258</v>
      </c>
      <c r="W446" s="39">
        <f>17+3</f>
        <v>20</v>
      </c>
      <c r="X446" s="117">
        <v>46265</v>
      </c>
      <c r="Y446" s="39">
        <v>14</v>
      </c>
      <c r="Z446" s="39">
        <v>3</v>
      </c>
      <c r="AA446" s="39"/>
      <c r="AB446" s="119">
        <f t="shared" si="289"/>
        <v>17</v>
      </c>
      <c r="AC446" s="39"/>
      <c r="AD446" s="39"/>
      <c r="AE446" s="39"/>
      <c r="AF446" s="39"/>
      <c r="AG446" s="39"/>
      <c r="AH446" s="39">
        <f t="shared" si="296"/>
        <v>0</v>
      </c>
      <c r="AI446" s="39"/>
      <c r="AJ446" s="39"/>
      <c r="AK446" s="39"/>
      <c r="AL446" s="39"/>
      <c r="AM446" s="39"/>
      <c r="AN446" s="39">
        <f t="shared" si="196"/>
        <v>0</v>
      </c>
      <c r="AO446" s="39"/>
      <c r="AP446" s="39"/>
      <c r="AQ446" s="39"/>
      <c r="AR446" s="39"/>
      <c r="AS446" s="39"/>
      <c r="AT446" s="39">
        <f t="shared" si="297"/>
        <v>0</v>
      </c>
      <c r="AU446" s="39"/>
      <c r="AV446" s="39"/>
      <c r="AW446" s="39"/>
      <c r="AX446" s="39"/>
      <c r="AY446" s="39"/>
      <c r="AZ446" s="39">
        <f t="shared" si="298"/>
        <v>0</v>
      </c>
      <c r="BA446" s="39"/>
      <c r="BB446" s="39"/>
      <c r="BC446" s="39"/>
      <c r="BD446" s="39"/>
      <c r="BE446" s="39"/>
      <c r="BF446" s="39">
        <f t="shared" si="299"/>
        <v>0</v>
      </c>
      <c r="BG446" s="39"/>
      <c r="BH446" s="39"/>
      <c r="BI446" s="39"/>
      <c r="BJ446" s="39"/>
      <c r="BK446" s="39"/>
      <c r="BL446" s="39">
        <f t="shared" si="300"/>
        <v>0</v>
      </c>
      <c r="BM446" s="54" t="str">
        <f t="shared" si="301"/>
        <v/>
      </c>
      <c r="BN446" s="58">
        <v>46266</v>
      </c>
      <c r="BO446" s="57">
        <v>46280</v>
      </c>
      <c r="BP446" s="36"/>
      <c r="BQ446" s="36"/>
      <c r="BR446" s="117">
        <v>46265</v>
      </c>
      <c r="BS446" s="117">
        <v>46265</v>
      </c>
      <c r="BT446" s="39">
        <v>591</v>
      </c>
      <c r="BU446" s="39">
        <v>14</v>
      </c>
      <c r="BV446" s="39">
        <v>591</v>
      </c>
      <c r="BW446" s="39">
        <v>3</v>
      </c>
      <c r="BX446" s="39"/>
      <c r="BY446" s="39"/>
      <c r="BZ446" s="39">
        <f t="shared" si="302"/>
        <v>17</v>
      </c>
      <c r="CA446" s="39">
        <f t="shared" si="303"/>
        <v>4</v>
      </c>
      <c r="CB446" s="39">
        <f t="shared" si="304"/>
        <v>2</v>
      </c>
      <c r="CC446" s="39">
        <f t="shared" si="305"/>
        <v>0</v>
      </c>
      <c r="CD446" s="39">
        <f t="shared" ref="CD446:CD508" si="308">SUMIF(CA446:CC446,"&lt;0")</f>
        <v>0</v>
      </c>
      <c r="CE446" s="102">
        <f t="shared" si="306"/>
        <v>0</v>
      </c>
      <c r="CF446" s="36" t="s">
        <v>249</v>
      </c>
      <c r="CG446" s="39" t="s">
        <v>222</v>
      </c>
      <c r="CH446" s="39"/>
      <c r="CI446" s="25">
        <v>1</v>
      </c>
    </row>
    <row r="447" spans="1:87" ht="24.75" customHeight="1">
      <c r="A447" s="36" t="s">
        <v>387</v>
      </c>
      <c r="B447" s="27" t="s">
        <v>2399</v>
      </c>
      <c r="C447" s="240"/>
      <c r="D447" s="36"/>
      <c r="E447" s="39">
        <v>140</v>
      </c>
      <c r="F447" s="39" t="s">
        <v>57</v>
      </c>
      <c r="G447" s="36" t="s">
        <v>1288</v>
      </c>
      <c r="H447" s="36" t="s">
        <v>22</v>
      </c>
      <c r="I447" s="39">
        <v>10</v>
      </c>
      <c r="J447" s="39">
        <v>1</v>
      </c>
      <c r="K447" s="39"/>
      <c r="L447" s="39">
        <f t="shared" si="292"/>
        <v>11</v>
      </c>
      <c r="M447" s="117">
        <v>46254</v>
      </c>
      <c r="N447" s="117">
        <v>46262</v>
      </c>
      <c r="O447" s="39"/>
      <c r="P447" s="39"/>
      <c r="Q447" s="39"/>
      <c r="R447" s="39">
        <f t="shared" si="288"/>
        <v>0</v>
      </c>
      <c r="S447" s="39" t="s">
        <v>28</v>
      </c>
      <c r="T447" s="39"/>
      <c r="U447" s="39"/>
      <c r="V447" s="117">
        <v>46256</v>
      </c>
      <c r="W447" s="39">
        <f>17+3</f>
        <v>20</v>
      </c>
      <c r="X447" s="117" t="s">
        <v>2905</v>
      </c>
      <c r="Y447" s="39">
        <v>12</v>
      </c>
      <c r="Z447" s="39">
        <v>3</v>
      </c>
      <c r="AA447" s="39"/>
      <c r="AB447" s="119">
        <f t="shared" si="289"/>
        <v>15</v>
      </c>
      <c r="AC447" s="39"/>
      <c r="AD447" s="39"/>
      <c r="AE447" s="39"/>
      <c r="AF447" s="39"/>
      <c r="AG447" s="39"/>
      <c r="AH447" s="39">
        <f t="shared" si="296"/>
        <v>0</v>
      </c>
      <c r="AI447" s="39"/>
      <c r="AJ447" s="39"/>
      <c r="AK447" s="39"/>
      <c r="AL447" s="39"/>
      <c r="AM447" s="39"/>
      <c r="AN447" s="39">
        <f t="shared" si="196"/>
        <v>0</v>
      </c>
      <c r="AO447" s="39"/>
      <c r="AP447" s="39"/>
      <c r="AQ447" s="39"/>
      <c r="AR447" s="39"/>
      <c r="AS447" s="39"/>
      <c r="AT447" s="39">
        <f t="shared" si="297"/>
        <v>0</v>
      </c>
      <c r="AU447" s="39"/>
      <c r="AV447" s="39"/>
      <c r="AW447" s="39"/>
      <c r="AX447" s="39"/>
      <c r="AY447" s="39"/>
      <c r="AZ447" s="39">
        <f t="shared" si="298"/>
        <v>0</v>
      </c>
      <c r="BA447" s="39"/>
      <c r="BB447" s="39"/>
      <c r="BC447" s="39"/>
      <c r="BD447" s="39"/>
      <c r="BE447" s="39"/>
      <c r="BF447" s="39">
        <f t="shared" si="299"/>
        <v>0</v>
      </c>
      <c r="BG447" s="39"/>
      <c r="BH447" s="39"/>
      <c r="BI447" s="39"/>
      <c r="BJ447" s="39"/>
      <c r="BK447" s="39"/>
      <c r="BL447" s="39">
        <f t="shared" si="300"/>
        <v>0</v>
      </c>
      <c r="BM447" s="54" t="str">
        <f t="shared" si="301"/>
        <v/>
      </c>
      <c r="BN447" s="58">
        <v>46266</v>
      </c>
      <c r="BO447" s="57">
        <v>46280</v>
      </c>
      <c r="BP447" s="36"/>
      <c r="BQ447" s="36"/>
      <c r="BR447" s="117">
        <v>46279</v>
      </c>
      <c r="BS447" s="117">
        <v>46279</v>
      </c>
      <c r="BT447" s="39">
        <v>860</v>
      </c>
      <c r="BU447" s="39">
        <v>12</v>
      </c>
      <c r="BV447" s="39">
        <v>860</v>
      </c>
      <c r="BW447" s="39">
        <v>3</v>
      </c>
      <c r="BX447" s="39"/>
      <c r="BY447" s="39"/>
      <c r="BZ447" s="39">
        <f t="shared" si="302"/>
        <v>15</v>
      </c>
      <c r="CA447" s="39">
        <f t="shared" si="303"/>
        <v>2</v>
      </c>
      <c r="CB447" s="39">
        <f t="shared" si="304"/>
        <v>2</v>
      </c>
      <c r="CC447" s="39">
        <f t="shared" si="305"/>
        <v>0</v>
      </c>
      <c r="CD447" s="39">
        <f t="shared" si="308"/>
        <v>0</v>
      </c>
      <c r="CE447" s="102">
        <f t="shared" si="306"/>
        <v>0</v>
      </c>
      <c r="CF447" s="36" t="s">
        <v>249</v>
      </c>
      <c r="CG447" s="39" t="s">
        <v>222</v>
      </c>
      <c r="CH447" s="39"/>
      <c r="CI447" s="25">
        <v>1</v>
      </c>
    </row>
    <row r="448" spans="1:87" ht="24.75" customHeight="1">
      <c r="A448" s="36" t="s">
        <v>387</v>
      </c>
      <c r="B448" s="27" t="s">
        <v>2399</v>
      </c>
      <c r="C448" s="240"/>
      <c r="D448" s="36"/>
      <c r="E448" s="39">
        <v>140</v>
      </c>
      <c r="F448" s="39" t="s">
        <v>57</v>
      </c>
      <c r="G448" s="36" t="s">
        <v>2390</v>
      </c>
      <c r="H448" s="36" t="s">
        <v>22</v>
      </c>
      <c r="I448" s="39">
        <v>10</v>
      </c>
      <c r="J448" s="39">
        <v>1</v>
      </c>
      <c r="K448" s="39"/>
      <c r="L448" s="39">
        <f t="shared" si="292"/>
        <v>11</v>
      </c>
      <c r="M448" s="117">
        <v>46254</v>
      </c>
      <c r="N448" s="117">
        <v>46262</v>
      </c>
      <c r="O448" s="39"/>
      <c r="P448" s="39"/>
      <c r="Q448" s="39"/>
      <c r="R448" s="39">
        <f t="shared" si="288"/>
        <v>0</v>
      </c>
      <c r="S448" s="39" t="s">
        <v>28</v>
      </c>
      <c r="T448" s="39"/>
      <c r="U448" s="39"/>
      <c r="V448" s="117">
        <v>46256</v>
      </c>
      <c r="W448" s="39">
        <f>17+3</f>
        <v>20</v>
      </c>
      <c r="X448" s="39"/>
      <c r="Y448" s="39"/>
      <c r="Z448" s="39"/>
      <c r="AA448" s="39"/>
      <c r="AB448" s="118">
        <f t="shared" si="289"/>
        <v>0</v>
      </c>
      <c r="AC448" s="39"/>
      <c r="AD448" s="39"/>
      <c r="AE448" s="39"/>
      <c r="AF448" s="39"/>
      <c r="AG448" s="39"/>
      <c r="AH448" s="39">
        <f t="shared" si="296"/>
        <v>0</v>
      </c>
      <c r="AI448" s="39"/>
      <c r="AJ448" s="39"/>
      <c r="AK448" s="39"/>
      <c r="AL448" s="39"/>
      <c r="AM448" s="39"/>
      <c r="AN448" s="39">
        <f t="shared" si="196"/>
        <v>0</v>
      </c>
      <c r="AO448" s="39"/>
      <c r="AP448" s="39"/>
      <c r="AQ448" s="39"/>
      <c r="AR448" s="39"/>
      <c r="AS448" s="39"/>
      <c r="AT448" s="39">
        <f t="shared" si="297"/>
        <v>0</v>
      </c>
      <c r="AU448" s="39"/>
      <c r="AV448" s="39"/>
      <c r="AW448" s="39"/>
      <c r="AX448" s="39"/>
      <c r="AY448" s="39"/>
      <c r="AZ448" s="39">
        <f t="shared" si="298"/>
        <v>0</v>
      </c>
      <c r="BA448" s="39"/>
      <c r="BB448" s="39"/>
      <c r="BC448" s="39"/>
      <c r="BD448" s="39"/>
      <c r="BE448" s="39"/>
      <c r="BF448" s="39">
        <f t="shared" si="299"/>
        <v>0</v>
      </c>
      <c r="BG448" s="39"/>
      <c r="BH448" s="39"/>
      <c r="BI448" s="39"/>
      <c r="BJ448" s="39"/>
      <c r="BK448" s="39"/>
      <c r="BL448" s="39">
        <f t="shared" si="300"/>
        <v>0</v>
      </c>
      <c r="BM448" s="54">
        <f t="shared" ca="1" si="301"/>
        <v>46283</v>
      </c>
      <c r="BN448" s="58">
        <v>46266</v>
      </c>
      <c r="BO448" s="57">
        <v>46280</v>
      </c>
      <c r="BP448" s="36"/>
      <c r="BQ448" s="36"/>
      <c r="BR448" s="39"/>
      <c r="BS448" s="39"/>
      <c r="BT448" s="39"/>
      <c r="BU448" s="39"/>
      <c r="BV448" s="39"/>
      <c r="BW448" s="39"/>
      <c r="BX448" s="39"/>
      <c r="BY448" s="39"/>
      <c r="BZ448" s="39">
        <f t="shared" si="302"/>
        <v>0</v>
      </c>
      <c r="CA448" s="39">
        <f t="shared" si="303"/>
        <v>-10</v>
      </c>
      <c r="CB448" s="39">
        <f t="shared" si="304"/>
        <v>-1</v>
      </c>
      <c r="CC448" s="39">
        <f t="shared" si="305"/>
        <v>0</v>
      </c>
      <c r="CD448" s="39">
        <f t="shared" si="308"/>
        <v>-11</v>
      </c>
      <c r="CE448" s="102">
        <f t="shared" si="306"/>
        <v>-1</v>
      </c>
      <c r="CF448" s="36" t="s">
        <v>249</v>
      </c>
      <c r="CG448" s="39" t="s">
        <v>222</v>
      </c>
      <c r="CH448" s="39"/>
      <c r="CI448" s="25">
        <v>1</v>
      </c>
    </row>
    <row r="449" spans="1:87" ht="24.75" customHeight="1">
      <c r="A449" s="36" t="s">
        <v>387</v>
      </c>
      <c r="B449" s="27" t="s">
        <v>2399</v>
      </c>
      <c r="C449" s="240"/>
      <c r="D449" s="36"/>
      <c r="E449" s="39">
        <v>140</v>
      </c>
      <c r="F449" s="39" t="s">
        <v>57</v>
      </c>
      <c r="G449" s="36" t="s">
        <v>2349</v>
      </c>
      <c r="H449" s="36" t="s">
        <v>22</v>
      </c>
      <c r="I449" s="39">
        <v>540</v>
      </c>
      <c r="J449" s="39">
        <v>43</v>
      </c>
      <c r="K449" s="39"/>
      <c r="L449" s="39">
        <f t="shared" ref="L449:L451" si="309">SUM(I449:K449)</f>
        <v>583</v>
      </c>
      <c r="M449" s="117">
        <v>46254</v>
      </c>
      <c r="N449" s="117">
        <v>46262</v>
      </c>
      <c r="O449" s="39"/>
      <c r="P449" s="39"/>
      <c r="Q449" s="39"/>
      <c r="R449" s="39">
        <f t="shared" si="288"/>
        <v>0</v>
      </c>
      <c r="S449" s="39" t="s">
        <v>31</v>
      </c>
      <c r="T449" s="39"/>
      <c r="U449" s="39"/>
      <c r="V449" s="117">
        <v>46255</v>
      </c>
      <c r="W449" s="39">
        <f>618+50</f>
        <v>668</v>
      </c>
      <c r="X449" s="117" t="s">
        <v>2998</v>
      </c>
      <c r="Y449" s="39">
        <f>190+375</f>
        <v>565</v>
      </c>
      <c r="Z449" s="39">
        <f>14+30</f>
        <v>44</v>
      </c>
      <c r="AA449" s="39"/>
      <c r="AB449" s="119">
        <f t="shared" si="289"/>
        <v>609</v>
      </c>
      <c r="AC449" s="39"/>
      <c r="AD449" s="39"/>
      <c r="AE449" s="39"/>
      <c r="AF449" s="39"/>
      <c r="AG449" s="39"/>
      <c r="AH449" s="39">
        <f t="shared" si="296"/>
        <v>0</v>
      </c>
      <c r="AI449" s="39"/>
      <c r="AJ449" s="39"/>
      <c r="AK449" s="39"/>
      <c r="AL449" s="39"/>
      <c r="AM449" s="39"/>
      <c r="AN449" s="39">
        <f t="shared" si="196"/>
        <v>0</v>
      </c>
      <c r="AO449" s="39"/>
      <c r="AP449" s="39"/>
      <c r="AQ449" s="39"/>
      <c r="AR449" s="39"/>
      <c r="AS449" s="39"/>
      <c r="AT449" s="39">
        <f t="shared" si="297"/>
        <v>0</v>
      </c>
      <c r="AU449" s="39"/>
      <c r="AV449" s="39"/>
      <c r="AW449" s="39"/>
      <c r="AX449" s="39"/>
      <c r="AY449" s="39"/>
      <c r="AZ449" s="39">
        <f t="shared" si="298"/>
        <v>0</v>
      </c>
      <c r="BA449" s="39"/>
      <c r="BB449" s="39"/>
      <c r="BC449" s="39"/>
      <c r="BD449" s="39"/>
      <c r="BE449" s="39"/>
      <c r="BF449" s="39">
        <f t="shared" si="299"/>
        <v>0</v>
      </c>
      <c r="BG449" s="39"/>
      <c r="BH449" s="39"/>
      <c r="BI449" s="39"/>
      <c r="BJ449" s="39"/>
      <c r="BK449" s="39"/>
      <c r="BL449" s="39">
        <f t="shared" si="300"/>
        <v>0</v>
      </c>
      <c r="BM449" s="54" t="str">
        <f t="shared" si="301"/>
        <v/>
      </c>
      <c r="BN449" s="58">
        <v>46266</v>
      </c>
      <c r="BO449" s="57">
        <v>46280</v>
      </c>
      <c r="BP449" s="36"/>
      <c r="BQ449" s="36"/>
      <c r="BR449" s="117">
        <v>46270</v>
      </c>
      <c r="BS449" s="117">
        <v>46272</v>
      </c>
      <c r="BT449" s="39" t="s">
        <v>2930</v>
      </c>
      <c r="BU449" s="39">
        <f>190+375</f>
        <v>565</v>
      </c>
      <c r="BV449" s="39" t="s">
        <v>3047</v>
      </c>
      <c r="BW449" s="39">
        <f>15+30</f>
        <v>45</v>
      </c>
      <c r="BX449" s="39"/>
      <c r="BY449" s="39"/>
      <c r="BZ449" s="39">
        <f t="shared" si="302"/>
        <v>610</v>
      </c>
      <c r="CA449" s="39">
        <f t="shared" si="303"/>
        <v>25</v>
      </c>
      <c r="CB449" s="39">
        <f t="shared" si="304"/>
        <v>2</v>
      </c>
      <c r="CC449" s="39">
        <f t="shared" si="305"/>
        <v>0</v>
      </c>
      <c r="CD449" s="39">
        <f t="shared" si="308"/>
        <v>0</v>
      </c>
      <c r="CE449" s="102">
        <f t="shared" si="306"/>
        <v>0</v>
      </c>
      <c r="CF449" s="36" t="s">
        <v>249</v>
      </c>
      <c r="CG449" s="39" t="s">
        <v>222</v>
      </c>
      <c r="CH449" s="39"/>
      <c r="CI449" s="25">
        <v>1</v>
      </c>
    </row>
    <row r="450" spans="1:87" ht="24.75" customHeight="1">
      <c r="A450" s="36" t="s">
        <v>387</v>
      </c>
      <c r="B450" s="27" t="s">
        <v>2399</v>
      </c>
      <c r="C450" s="236"/>
      <c r="D450" s="36"/>
      <c r="E450" s="39"/>
      <c r="F450" s="39"/>
      <c r="G450" s="36" t="s">
        <v>103</v>
      </c>
      <c r="H450" s="36">
        <f>25+910+620+25+25+780+25+25+710+25+25+25+25+25+610+630</f>
        <v>4510</v>
      </c>
      <c r="I450" s="39" t="s">
        <v>90</v>
      </c>
      <c r="J450" s="39"/>
      <c r="K450" s="39"/>
      <c r="L450" s="39">
        <f t="shared" si="309"/>
        <v>0</v>
      </c>
      <c r="M450" s="117">
        <v>46254</v>
      </c>
      <c r="N450" s="117">
        <v>46262</v>
      </c>
      <c r="O450" s="39"/>
      <c r="P450" s="39"/>
      <c r="Q450" s="39"/>
      <c r="R450" s="39">
        <f t="shared" si="288"/>
        <v>0</v>
      </c>
      <c r="S450" s="39" t="s">
        <v>130</v>
      </c>
      <c r="T450" s="39"/>
      <c r="U450" s="39"/>
      <c r="V450" s="39"/>
      <c r="W450" s="39"/>
      <c r="X450" s="39"/>
      <c r="Y450" s="39"/>
      <c r="Z450" s="39"/>
      <c r="AA450" s="39"/>
      <c r="AB450" s="39">
        <f t="shared" si="289"/>
        <v>0</v>
      </c>
      <c r="AC450" s="39"/>
      <c r="AD450" s="39"/>
      <c r="AE450" s="39"/>
      <c r="AF450" s="39"/>
      <c r="AG450" s="39"/>
      <c r="AH450" s="39">
        <f t="shared" si="296"/>
        <v>0</v>
      </c>
      <c r="AI450" s="39"/>
      <c r="AJ450" s="39"/>
      <c r="AK450" s="39"/>
      <c r="AL450" s="39"/>
      <c r="AM450" s="39"/>
      <c r="AN450" s="39">
        <f t="shared" si="196"/>
        <v>0</v>
      </c>
      <c r="AO450" s="39"/>
      <c r="AP450" s="39"/>
      <c r="AQ450" s="39"/>
      <c r="AR450" s="39"/>
      <c r="AS450" s="39"/>
      <c r="AT450" s="39">
        <f t="shared" si="297"/>
        <v>0</v>
      </c>
      <c r="AU450" s="39"/>
      <c r="AV450" s="39"/>
      <c r="AW450" s="39"/>
      <c r="AX450" s="39"/>
      <c r="AY450" s="39"/>
      <c r="AZ450" s="39">
        <f t="shared" si="298"/>
        <v>0</v>
      </c>
      <c r="BA450" s="39"/>
      <c r="BB450" s="39"/>
      <c r="BC450" s="39"/>
      <c r="BD450" s="39"/>
      <c r="BE450" s="39"/>
      <c r="BF450" s="39">
        <f t="shared" si="299"/>
        <v>0</v>
      </c>
      <c r="BG450" s="39"/>
      <c r="BH450" s="39"/>
      <c r="BI450" s="39"/>
      <c r="BJ450" s="39"/>
      <c r="BK450" s="39"/>
      <c r="BL450" s="39">
        <f t="shared" si="300"/>
        <v>0</v>
      </c>
      <c r="BM450" s="54" t="e">
        <f t="shared" si="301"/>
        <v>#DIV/0!</v>
      </c>
      <c r="BN450" s="58">
        <v>46266</v>
      </c>
      <c r="BO450" s="57">
        <v>46280</v>
      </c>
      <c r="BP450" s="36"/>
      <c r="BQ450" s="36"/>
      <c r="BR450" s="39"/>
      <c r="BS450" s="39"/>
      <c r="BT450" s="39"/>
      <c r="BU450" s="39"/>
      <c r="BV450" s="39"/>
      <c r="BW450" s="39"/>
      <c r="BX450" s="39"/>
      <c r="BY450" s="39"/>
      <c r="BZ450" s="39">
        <f t="shared" si="302"/>
        <v>0</v>
      </c>
      <c r="CA450" s="39" t="e">
        <f t="shared" si="303"/>
        <v>#VALUE!</v>
      </c>
      <c r="CB450" s="39">
        <f t="shared" si="304"/>
        <v>0</v>
      </c>
      <c r="CC450" s="39">
        <f t="shared" si="305"/>
        <v>0</v>
      </c>
      <c r="CD450" s="39">
        <f t="shared" si="308"/>
        <v>0</v>
      </c>
      <c r="CE450" s="102" t="e">
        <f t="shared" si="306"/>
        <v>#DIV/0!</v>
      </c>
      <c r="CF450" s="36" t="s">
        <v>249</v>
      </c>
      <c r="CG450" s="39" t="s">
        <v>222</v>
      </c>
      <c r="CH450" s="39"/>
      <c r="CI450" s="25">
        <v>1</v>
      </c>
    </row>
    <row r="451" spans="1:87" ht="24.75" customHeight="1">
      <c r="A451" s="36" t="s">
        <v>387</v>
      </c>
      <c r="B451" s="27" t="s">
        <v>2400</v>
      </c>
      <c r="C451" s="235" t="s">
        <v>2424</v>
      </c>
      <c r="D451" s="36" t="s">
        <v>24</v>
      </c>
      <c r="E451" s="39">
        <v>250</v>
      </c>
      <c r="F451" s="39" t="s">
        <v>183</v>
      </c>
      <c r="G451" s="36" t="s">
        <v>510</v>
      </c>
      <c r="H451" s="36" t="s">
        <v>212</v>
      </c>
      <c r="I451" s="39">
        <f>2893-25</f>
        <v>2868</v>
      </c>
      <c r="J451" s="39">
        <f>140-37</f>
        <v>103</v>
      </c>
      <c r="K451" s="39">
        <f>33-7</f>
        <v>26</v>
      </c>
      <c r="L451" s="39">
        <f t="shared" si="309"/>
        <v>2997</v>
      </c>
      <c r="M451" s="117">
        <v>46261</v>
      </c>
      <c r="N451" s="117">
        <v>46277</v>
      </c>
      <c r="O451" s="39"/>
      <c r="P451" s="39"/>
      <c r="Q451" s="39"/>
      <c r="R451" s="39">
        <f t="shared" si="288"/>
        <v>0</v>
      </c>
      <c r="S451" s="39" t="s">
        <v>130</v>
      </c>
      <c r="T451" s="39"/>
      <c r="U451" s="39"/>
      <c r="V451" s="39"/>
      <c r="W451" s="39"/>
      <c r="X451" s="39"/>
      <c r="Y451" s="39"/>
      <c r="Z451" s="39"/>
      <c r="AA451" s="39"/>
      <c r="AB451" s="118">
        <f t="shared" si="289"/>
        <v>0</v>
      </c>
      <c r="AC451" s="39"/>
      <c r="AD451" s="39"/>
      <c r="AE451" s="39"/>
      <c r="AF451" s="39"/>
      <c r="AG451" s="39"/>
      <c r="AH451" s="39">
        <f t="shared" si="296"/>
        <v>0</v>
      </c>
      <c r="AI451" s="39"/>
      <c r="AJ451" s="39"/>
      <c r="AK451" s="39"/>
      <c r="AL451" s="39"/>
      <c r="AM451" s="39"/>
      <c r="AN451" s="39">
        <f t="shared" si="196"/>
        <v>0</v>
      </c>
      <c r="AO451" s="39"/>
      <c r="AP451" s="39"/>
      <c r="AQ451" s="39"/>
      <c r="AR451" s="39"/>
      <c r="AS451" s="39"/>
      <c r="AT451" s="39">
        <f t="shared" si="297"/>
        <v>0</v>
      </c>
      <c r="AU451" s="39"/>
      <c r="AV451" s="39"/>
      <c r="AW451" s="39"/>
      <c r="AX451" s="39"/>
      <c r="AY451" s="39"/>
      <c r="AZ451" s="39">
        <f t="shared" si="298"/>
        <v>0</v>
      </c>
      <c r="BA451" s="39"/>
      <c r="BB451" s="39"/>
      <c r="BC451" s="39"/>
      <c r="BD451" s="39"/>
      <c r="BE451" s="39"/>
      <c r="BF451" s="39">
        <f t="shared" si="299"/>
        <v>0</v>
      </c>
      <c r="BG451" s="39"/>
      <c r="BH451" s="39"/>
      <c r="BI451" s="39"/>
      <c r="BJ451" s="39"/>
      <c r="BK451" s="39"/>
      <c r="BL451" s="39">
        <f t="shared" si="300"/>
        <v>0</v>
      </c>
      <c r="BM451" s="54">
        <f t="shared" ca="1" si="301"/>
        <v>46283</v>
      </c>
      <c r="BN451" s="58">
        <v>46270</v>
      </c>
      <c r="BO451" s="57">
        <v>46282</v>
      </c>
      <c r="BP451" s="36"/>
      <c r="BQ451" s="36"/>
      <c r="BR451" s="39"/>
      <c r="BS451" s="39"/>
      <c r="BT451" s="39"/>
      <c r="BU451" s="39"/>
      <c r="BV451" s="39"/>
      <c r="BW451" s="39"/>
      <c r="BX451" s="39"/>
      <c r="BY451" s="39"/>
      <c r="BZ451" s="39">
        <f t="shared" si="302"/>
        <v>0</v>
      </c>
      <c r="CA451" s="39">
        <f t="shared" si="303"/>
        <v>-2868</v>
      </c>
      <c r="CB451" s="39">
        <f t="shared" si="304"/>
        <v>-103</v>
      </c>
      <c r="CC451" s="39">
        <f t="shared" si="305"/>
        <v>-26</v>
      </c>
      <c r="CD451" s="39">
        <f t="shared" si="308"/>
        <v>-2997</v>
      </c>
      <c r="CE451" s="102">
        <f t="shared" si="306"/>
        <v>-1</v>
      </c>
      <c r="CF451" s="36" t="s">
        <v>249</v>
      </c>
      <c r="CG451" s="39" t="s">
        <v>222</v>
      </c>
      <c r="CH451" s="39"/>
      <c r="CI451" s="25">
        <v>1</v>
      </c>
    </row>
    <row r="452" spans="1:87" ht="24.75" customHeight="1">
      <c r="A452" s="36" t="s">
        <v>387</v>
      </c>
      <c r="B452" s="27" t="s">
        <v>2400</v>
      </c>
      <c r="C452" s="240"/>
      <c r="D452" s="36" t="s">
        <v>24</v>
      </c>
      <c r="E452" s="39">
        <v>250</v>
      </c>
      <c r="F452" s="39" t="s">
        <v>183</v>
      </c>
      <c r="G452" s="36" t="s">
        <v>2401</v>
      </c>
      <c r="H452" s="36" t="s">
        <v>212</v>
      </c>
      <c r="I452" s="39">
        <f>2893-25</f>
        <v>2868</v>
      </c>
      <c r="J452" s="39">
        <f>140-37</f>
        <v>103</v>
      </c>
      <c r="K452" s="39">
        <f>33-7</f>
        <v>26</v>
      </c>
      <c r="L452" s="39">
        <f t="shared" ref="L452:L453" si="310">SUM(I452:K452)</f>
        <v>2997</v>
      </c>
      <c r="M452" s="117">
        <v>46261</v>
      </c>
      <c r="N452" s="117">
        <v>46277</v>
      </c>
      <c r="O452" s="39"/>
      <c r="P452" s="39"/>
      <c r="Q452" s="39"/>
      <c r="R452" s="39">
        <f t="shared" si="288"/>
        <v>0</v>
      </c>
      <c r="S452" s="39" t="s">
        <v>130</v>
      </c>
      <c r="T452" s="39"/>
      <c r="U452" s="39"/>
      <c r="V452" s="39"/>
      <c r="W452" s="39"/>
      <c r="X452" s="39"/>
      <c r="Y452" s="39"/>
      <c r="Z452" s="39"/>
      <c r="AA452" s="39"/>
      <c r="AB452" s="118">
        <f t="shared" si="289"/>
        <v>0</v>
      </c>
      <c r="AC452" s="39"/>
      <c r="AD452" s="39"/>
      <c r="AE452" s="39"/>
      <c r="AF452" s="39"/>
      <c r="AG452" s="39"/>
      <c r="AH452" s="39">
        <f t="shared" si="296"/>
        <v>0</v>
      </c>
      <c r="AI452" s="39"/>
      <c r="AJ452" s="39"/>
      <c r="AK452" s="39"/>
      <c r="AL452" s="39"/>
      <c r="AM452" s="39"/>
      <c r="AN452" s="39">
        <f t="shared" si="196"/>
        <v>0</v>
      </c>
      <c r="AO452" s="39"/>
      <c r="AP452" s="39"/>
      <c r="AQ452" s="39"/>
      <c r="AR452" s="39"/>
      <c r="AS452" s="39"/>
      <c r="AT452" s="39">
        <f t="shared" si="297"/>
        <v>0</v>
      </c>
      <c r="AU452" s="39"/>
      <c r="AV452" s="39"/>
      <c r="AW452" s="39"/>
      <c r="AX452" s="39"/>
      <c r="AY452" s="39"/>
      <c r="AZ452" s="39">
        <f t="shared" si="298"/>
        <v>0</v>
      </c>
      <c r="BA452" s="39"/>
      <c r="BB452" s="39"/>
      <c r="BC452" s="39"/>
      <c r="BD452" s="39"/>
      <c r="BE452" s="39"/>
      <c r="BF452" s="39">
        <f t="shared" si="299"/>
        <v>0</v>
      </c>
      <c r="BG452" s="39"/>
      <c r="BH452" s="39"/>
      <c r="BI452" s="39"/>
      <c r="BJ452" s="39"/>
      <c r="BK452" s="39"/>
      <c r="BL452" s="39">
        <f t="shared" si="300"/>
        <v>0</v>
      </c>
      <c r="BM452" s="54">
        <f t="shared" ca="1" si="301"/>
        <v>46283</v>
      </c>
      <c r="BN452" s="58">
        <v>46270</v>
      </c>
      <c r="BO452" s="57">
        <v>46282</v>
      </c>
      <c r="BP452" s="36"/>
      <c r="BQ452" s="36"/>
      <c r="BR452" s="39"/>
      <c r="BS452" s="39"/>
      <c r="BT452" s="39"/>
      <c r="BU452" s="39"/>
      <c r="BV452" s="39"/>
      <c r="BW452" s="39"/>
      <c r="BX452" s="39"/>
      <c r="BY452" s="39"/>
      <c r="BZ452" s="39">
        <f t="shared" si="302"/>
        <v>0</v>
      </c>
      <c r="CA452" s="39">
        <f t="shared" si="303"/>
        <v>-2868</v>
      </c>
      <c r="CB452" s="39">
        <f t="shared" si="304"/>
        <v>-103</v>
      </c>
      <c r="CC452" s="39">
        <f t="shared" si="305"/>
        <v>-26</v>
      </c>
      <c r="CD452" s="39">
        <f t="shared" si="308"/>
        <v>-2997</v>
      </c>
      <c r="CE452" s="102">
        <f t="shared" si="306"/>
        <v>-1</v>
      </c>
      <c r="CF452" s="36" t="s">
        <v>249</v>
      </c>
      <c r="CG452" s="39" t="s">
        <v>222</v>
      </c>
      <c r="CH452" s="39"/>
      <c r="CI452" s="25">
        <v>1</v>
      </c>
    </row>
    <row r="453" spans="1:87" ht="24.75" customHeight="1">
      <c r="A453" s="36" t="s">
        <v>387</v>
      </c>
      <c r="B453" s="27" t="s">
        <v>2400</v>
      </c>
      <c r="C453" s="236"/>
      <c r="D453" s="36" t="s">
        <v>24</v>
      </c>
      <c r="E453" s="39">
        <v>250</v>
      </c>
      <c r="F453" s="39" t="s">
        <v>183</v>
      </c>
      <c r="G453" s="36" t="s">
        <v>2402</v>
      </c>
      <c r="H453" s="36" t="s">
        <v>212</v>
      </c>
      <c r="I453" s="39">
        <f>2893+77</f>
        <v>2970</v>
      </c>
      <c r="J453" s="39">
        <f>140-37</f>
        <v>103</v>
      </c>
      <c r="K453" s="39">
        <f>33-7</f>
        <v>26</v>
      </c>
      <c r="L453" s="39">
        <f t="shared" si="310"/>
        <v>3099</v>
      </c>
      <c r="M453" s="117">
        <v>46261</v>
      </c>
      <c r="N453" s="117">
        <v>46277</v>
      </c>
      <c r="O453" s="39"/>
      <c r="P453" s="39"/>
      <c r="Q453" s="39"/>
      <c r="R453" s="39">
        <f t="shared" si="288"/>
        <v>0</v>
      </c>
      <c r="S453" s="39" t="s">
        <v>130</v>
      </c>
      <c r="T453" s="39"/>
      <c r="U453" s="39"/>
      <c r="V453" s="39"/>
      <c r="W453" s="39"/>
      <c r="X453" s="39"/>
      <c r="Y453" s="39"/>
      <c r="Z453" s="39"/>
      <c r="AA453" s="39"/>
      <c r="AB453" s="118">
        <f t="shared" si="289"/>
        <v>0</v>
      </c>
      <c r="AC453" s="39"/>
      <c r="AD453" s="39"/>
      <c r="AE453" s="39"/>
      <c r="AF453" s="39"/>
      <c r="AG453" s="39"/>
      <c r="AH453" s="39">
        <f t="shared" si="296"/>
        <v>0</v>
      </c>
      <c r="AI453" s="39"/>
      <c r="AJ453" s="39"/>
      <c r="AK453" s="39"/>
      <c r="AL453" s="39"/>
      <c r="AM453" s="39"/>
      <c r="AN453" s="39">
        <f t="shared" si="196"/>
        <v>0</v>
      </c>
      <c r="AO453" s="39"/>
      <c r="AP453" s="39"/>
      <c r="AQ453" s="39"/>
      <c r="AR453" s="39"/>
      <c r="AS453" s="39"/>
      <c r="AT453" s="39">
        <f t="shared" si="297"/>
        <v>0</v>
      </c>
      <c r="AU453" s="39"/>
      <c r="AV453" s="39"/>
      <c r="AW453" s="39"/>
      <c r="AX453" s="39"/>
      <c r="AY453" s="39"/>
      <c r="AZ453" s="39">
        <f t="shared" si="298"/>
        <v>0</v>
      </c>
      <c r="BA453" s="39"/>
      <c r="BB453" s="39"/>
      <c r="BC453" s="39"/>
      <c r="BD453" s="39"/>
      <c r="BE453" s="39"/>
      <c r="BF453" s="39">
        <f t="shared" si="299"/>
        <v>0</v>
      </c>
      <c r="BG453" s="39"/>
      <c r="BH453" s="39"/>
      <c r="BI453" s="39"/>
      <c r="BJ453" s="39"/>
      <c r="BK453" s="39"/>
      <c r="BL453" s="39">
        <f t="shared" si="300"/>
        <v>0</v>
      </c>
      <c r="BM453" s="54">
        <f t="shared" ca="1" si="301"/>
        <v>46283</v>
      </c>
      <c r="BN453" s="58">
        <v>46270</v>
      </c>
      <c r="BO453" s="57">
        <v>46282</v>
      </c>
      <c r="BP453" s="36"/>
      <c r="BQ453" s="36"/>
      <c r="BR453" s="39"/>
      <c r="BS453" s="39"/>
      <c r="BT453" s="39"/>
      <c r="BU453" s="39"/>
      <c r="BV453" s="39"/>
      <c r="BW453" s="39"/>
      <c r="BX453" s="39"/>
      <c r="BY453" s="39"/>
      <c r="BZ453" s="39">
        <f t="shared" si="302"/>
        <v>0</v>
      </c>
      <c r="CA453" s="39">
        <f t="shared" si="303"/>
        <v>-2970</v>
      </c>
      <c r="CB453" s="39">
        <f t="shared" si="304"/>
        <v>-103</v>
      </c>
      <c r="CC453" s="39">
        <f t="shared" si="305"/>
        <v>-26</v>
      </c>
      <c r="CD453" s="39">
        <f t="shared" si="308"/>
        <v>-3099</v>
      </c>
      <c r="CE453" s="102">
        <f t="shared" si="306"/>
        <v>-1</v>
      </c>
      <c r="CF453" s="36" t="s">
        <v>249</v>
      </c>
      <c r="CG453" s="39" t="s">
        <v>222</v>
      </c>
      <c r="CH453" s="39"/>
      <c r="CI453" s="25">
        <v>1</v>
      </c>
    </row>
    <row r="454" spans="1:87" ht="24.75" customHeight="1">
      <c r="A454" s="36" t="s">
        <v>387</v>
      </c>
      <c r="B454" s="27">
        <v>48617</v>
      </c>
      <c r="C454" s="227">
        <v>15390892</v>
      </c>
      <c r="D454" s="36" t="s">
        <v>24</v>
      </c>
      <c r="E454" s="39">
        <v>190</v>
      </c>
      <c r="F454" s="39" t="s">
        <v>58</v>
      </c>
      <c r="G454" s="36" t="s">
        <v>2356</v>
      </c>
      <c r="H454" s="36" t="s">
        <v>96</v>
      </c>
      <c r="I454" s="39">
        <v>195</v>
      </c>
      <c r="J454" s="39"/>
      <c r="K454" s="39"/>
      <c r="L454" s="39">
        <f t="shared" ref="L454:L462" si="311">SUM(I454:K454)</f>
        <v>195</v>
      </c>
      <c r="M454" s="117">
        <v>46270</v>
      </c>
      <c r="N454" s="117">
        <v>46279</v>
      </c>
      <c r="O454" s="39"/>
      <c r="P454" s="39"/>
      <c r="Q454" s="39"/>
      <c r="R454" s="39">
        <f t="shared" si="288"/>
        <v>0</v>
      </c>
      <c r="S454" s="39" t="s">
        <v>130</v>
      </c>
      <c r="T454" s="39"/>
      <c r="U454" s="39"/>
      <c r="V454" s="39"/>
      <c r="W454" s="39"/>
      <c r="X454" s="39"/>
      <c r="Y454" s="39"/>
      <c r="Z454" s="39"/>
      <c r="AA454" s="39"/>
      <c r="AB454" s="118">
        <f t="shared" si="289"/>
        <v>0</v>
      </c>
      <c r="AC454" s="39"/>
      <c r="AD454" s="39"/>
      <c r="AE454" s="39"/>
      <c r="AF454" s="39"/>
      <c r="AG454" s="39"/>
      <c r="AH454" s="39">
        <f t="shared" si="296"/>
        <v>0</v>
      </c>
      <c r="AI454" s="39"/>
      <c r="AJ454" s="39"/>
      <c r="AK454" s="39"/>
      <c r="AL454" s="39"/>
      <c r="AM454" s="39"/>
      <c r="AN454" s="39">
        <f t="shared" ref="AN454:AN517" si="312">AM454-AK454</f>
        <v>0</v>
      </c>
      <c r="AO454" s="39"/>
      <c r="AP454" s="39"/>
      <c r="AQ454" s="39"/>
      <c r="AR454" s="39"/>
      <c r="AS454" s="39"/>
      <c r="AT454" s="39">
        <f t="shared" si="297"/>
        <v>0</v>
      </c>
      <c r="AU454" s="39"/>
      <c r="AV454" s="39"/>
      <c r="AW454" s="39"/>
      <c r="AX454" s="39"/>
      <c r="AY454" s="39"/>
      <c r="AZ454" s="39">
        <f t="shared" si="298"/>
        <v>0</v>
      </c>
      <c r="BA454" s="39"/>
      <c r="BB454" s="39"/>
      <c r="BC454" s="39"/>
      <c r="BD454" s="39"/>
      <c r="BE454" s="39"/>
      <c r="BF454" s="39">
        <f t="shared" si="299"/>
        <v>0</v>
      </c>
      <c r="BG454" s="39"/>
      <c r="BH454" s="39"/>
      <c r="BI454" s="39"/>
      <c r="BJ454" s="39"/>
      <c r="BK454" s="39"/>
      <c r="BL454" s="39">
        <f t="shared" si="300"/>
        <v>0</v>
      </c>
      <c r="BM454" s="54">
        <f t="shared" ca="1" si="301"/>
        <v>46283</v>
      </c>
      <c r="BN454" s="58">
        <v>46282</v>
      </c>
      <c r="BO454" s="117">
        <v>46289</v>
      </c>
      <c r="BP454" s="39"/>
      <c r="BQ454" s="39"/>
      <c r="BR454" s="39"/>
      <c r="BS454" s="39"/>
      <c r="BT454" s="39"/>
      <c r="BU454" s="39"/>
      <c r="BV454" s="39"/>
      <c r="BW454" s="39"/>
      <c r="BX454" s="39"/>
      <c r="BY454" s="39"/>
      <c r="BZ454" s="39">
        <f t="shared" si="302"/>
        <v>0</v>
      </c>
      <c r="CA454" s="39">
        <f t="shared" si="303"/>
        <v>-195</v>
      </c>
      <c r="CB454" s="39">
        <f t="shared" si="304"/>
        <v>0</v>
      </c>
      <c r="CC454" s="39">
        <f t="shared" si="305"/>
        <v>0</v>
      </c>
      <c r="CD454" s="39">
        <f t="shared" si="308"/>
        <v>-195</v>
      </c>
      <c r="CE454" s="102">
        <f t="shared" si="306"/>
        <v>-1</v>
      </c>
      <c r="CF454" s="36"/>
      <c r="CG454" s="39" t="s">
        <v>415</v>
      </c>
      <c r="CH454" s="39"/>
      <c r="CI454" s="25">
        <v>1</v>
      </c>
    </row>
    <row r="455" spans="1:87" ht="24.75" customHeight="1">
      <c r="A455" s="36" t="s">
        <v>387</v>
      </c>
      <c r="B455" s="27">
        <v>48617</v>
      </c>
      <c r="C455" s="231"/>
      <c r="D455" s="36" t="s">
        <v>37</v>
      </c>
      <c r="E455" s="39">
        <v>190</v>
      </c>
      <c r="F455" s="39" t="s">
        <v>59</v>
      </c>
      <c r="G455" s="36" t="s">
        <v>105</v>
      </c>
      <c r="H455" s="36" t="s">
        <v>96</v>
      </c>
      <c r="I455" s="39">
        <v>191</v>
      </c>
      <c r="J455" s="39"/>
      <c r="K455" s="39"/>
      <c r="L455" s="39">
        <f t="shared" si="311"/>
        <v>191</v>
      </c>
      <c r="M455" s="117">
        <v>46258</v>
      </c>
      <c r="N455" s="117">
        <v>46272</v>
      </c>
      <c r="O455" s="39"/>
      <c r="P455" s="39"/>
      <c r="Q455" s="39"/>
      <c r="R455" s="39">
        <f t="shared" si="288"/>
        <v>0</v>
      </c>
      <c r="S455" s="39" t="s">
        <v>130</v>
      </c>
      <c r="T455" s="39"/>
      <c r="U455" s="39"/>
      <c r="V455" s="39"/>
      <c r="W455" s="39"/>
      <c r="X455" s="39"/>
      <c r="Y455" s="39"/>
      <c r="Z455" s="39"/>
      <c r="AA455" s="39"/>
      <c r="AB455" s="118">
        <f t="shared" si="289"/>
        <v>0</v>
      </c>
      <c r="AC455" s="39"/>
      <c r="AD455" s="39"/>
      <c r="AE455" s="39"/>
      <c r="AF455" s="39"/>
      <c r="AG455" s="39"/>
      <c r="AH455" s="39">
        <f t="shared" si="296"/>
        <v>0</v>
      </c>
      <c r="AI455" s="39"/>
      <c r="AJ455" s="39"/>
      <c r="AK455" s="39"/>
      <c r="AL455" s="39"/>
      <c r="AM455" s="39"/>
      <c r="AN455" s="39">
        <f t="shared" si="312"/>
        <v>0</v>
      </c>
      <c r="AO455" s="39"/>
      <c r="AP455" s="39"/>
      <c r="AQ455" s="39"/>
      <c r="AR455" s="39"/>
      <c r="AS455" s="39"/>
      <c r="AT455" s="39">
        <f t="shared" si="297"/>
        <v>0</v>
      </c>
      <c r="AU455" s="39"/>
      <c r="AV455" s="39"/>
      <c r="AW455" s="39"/>
      <c r="AX455" s="39"/>
      <c r="AY455" s="39"/>
      <c r="AZ455" s="39">
        <f t="shared" si="298"/>
        <v>0</v>
      </c>
      <c r="BA455" s="39"/>
      <c r="BB455" s="39"/>
      <c r="BC455" s="39"/>
      <c r="BD455" s="39"/>
      <c r="BE455" s="39"/>
      <c r="BF455" s="39">
        <f t="shared" si="299"/>
        <v>0</v>
      </c>
      <c r="BG455" s="39"/>
      <c r="BH455" s="39"/>
      <c r="BI455" s="39"/>
      <c r="BJ455" s="39"/>
      <c r="BK455" s="39"/>
      <c r="BL455" s="39">
        <f t="shared" si="300"/>
        <v>0</v>
      </c>
      <c r="BM455" s="54">
        <f t="shared" ca="1" si="301"/>
        <v>46283</v>
      </c>
      <c r="BN455" s="58">
        <v>46269</v>
      </c>
      <c r="BO455" s="117">
        <v>46283</v>
      </c>
      <c r="BP455" s="117">
        <v>46283</v>
      </c>
      <c r="BQ455" s="117">
        <v>46289</v>
      </c>
      <c r="BR455" s="39"/>
      <c r="BS455" s="39"/>
      <c r="BT455" s="39"/>
      <c r="BU455" s="39"/>
      <c r="BV455" s="39"/>
      <c r="BW455" s="39"/>
      <c r="BX455" s="39"/>
      <c r="BY455" s="39"/>
      <c r="BZ455" s="39">
        <f t="shared" si="302"/>
        <v>0</v>
      </c>
      <c r="CA455" s="39">
        <f t="shared" si="303"/>
        <v>-191</v>
      </c>
      <c r="CB455" s="39">
        <f t="shared" si="304"/>
        <v>0</v>
      </c>
      <c r="CC455" s="39">
        <f t="shared" si="305"/>
        <v>0</v>
      </c>
      <c r="CD455" s="39">
        <f t="shared" si="308"/>
        <v>-191</v>
      </c>
      <c r="CE455" s="102">
        <f t="shared" si="306"/>
        <v>-1</v>
      </c>
      <c r="CF455" s="36"/>
      <c r="CG455" s="39" t="s">
        <v>415</v>
      </c>
      <c r="CH455" s="39"/>
      <c r="CI455" s="25">
        <v>1</v>
      </c>
    </row>
    <row r="456" spans="1:87" ht="24.75" customHeight="1">
      <c r="A456" s="36" t="s">
        <v>387</v>
      </c>
      <c r="B456" s="27">
        <v>48617</v>
      </c>
      <c r="C456" s="231"/>
      <c r="D456" s="36" t="s">
        <v>37</v>
      </c>
      <c r="E456" s="39">
        <v>190</v>
      </c>
      <c r="F456" s="39" t="s">
        <v>59</v>
      </c>
      <c r="G456" s="36" t="s">
        <v>2284</v>
      </c>
      <c r="H456" s="36" t="s">
        <v>96</v>
      </c>
      <c r="I456" s="39">
        <v>374</v>
      </c>
      <c r="J456" s="39"/>
      <c r="K456" s="39"/>
      <c r="L456" s="39">
        <f t="shared" si="311"/>
        <v>374</v>
      </c>
      <c r="M456" s="117">
        <v>46258</v>
      </c>
      <c r="N456" s="117">
        <v>46272</v>
      </c>
      <c r="O456" s="39"/>
      <c r="P456" s="39"/>
      <c r="Q456" s="39"/>
      <c r="R456" s="39">
        <f t="shared" si="288"/>
        <v>0</v>
      </c>
      <c r="S456" s="39" t="s">
        <v>326</v>
      </c>
      <c r="T456" s="39"/>
      <c r="U456" s="39"/>
      <c r="V456" s="117">
        <v>46256</v>
      </c>
      <c r="W456" s="39">
        <v>418</v>
      </c>
      <c r="X456" s="39"/>
      <c r="Y456" s="39"/>
      <c r="Z456" s="39"/>
      <c r="AA456" s="39"/>
      <c r="AB456" s="118">
        <f t="shared" si="289"/>
        <v>0</v>
      </c>
      <c r="AC456" s="39"/>
      <c r="AD456" s="39"/>
      <c r="AE456" s="39"/>
      <c r="AF456" s="39"/>
      <c r="AG456" s="39"/>
      <c r="AH456" s="39">
        <f t="shared" si="296"/>
        <v>0</v>
      </c>
      <c r="AI456" s="39"/>
      <c r="AJ456" s="39"/>
      <c r="AK456" s="39"/>
      <c r="AL456" s="39"/>
      <c r="AM456" s="39"/>
      <c r="AN456" s="39">
        <f t="shared" si="312"/>
        <v>0</v>
      </c>
      <c r="AO456" s="39"/>
      <c r="AP456" s="39"/>
      <c r="AQ456" s="39"/>
      <c r="AR456" s="39"/>
      <c r="AS456" s="39"/>
      <c r="AT456" s="39">
        <f t="shared" si="297"/>
        <v>0</v>
      </c>
      <c r="AU456" s="39"/>
      <c r="AV456" s="39"/>
      <c r="AW456" s="39"/>
      <c r="AX456" s="39"/>
      <c r="AY456" s="39"/>
      <c r="AZ456" s="39">
        <f t="shared" si="298"/>
        <v>0</v>
      </c>
      <c r="BA456" s="39"/>
      <c r="BB456" s="39"/>
      <c r="BC456" s="39"/>
      <c r="BD456" s="39"/>
      <c r="BE456" s="39"/>
      <c r="BF456" s="39">
        <f t="shared" si="299"/>
        <v>0</v>
      </c>
      <c r="BG456" s="39"/>
      <c r="BH456" s="39"/>
      <c r="BI456" s="39"/>
      <c r="BJ456" s="39"/>
      <c r="BK456" s="39"/>
      <c r="BL456" s="39">
        <f t="shared" si="300"/>
        <v>0</v>
      </c>
      <c r="BM456" s="54">
        <f t="shared" ca="1" si="301"/>
        <v>46283</v>
      </c>
      <c r="BN456" s="58">
        <v>46269</v>
      </c>
      <c r="BO456" s="117">
        <v>46283</v>
      </c>
      <c r="BP456" s="117">
        <v>46283</v>
      </c>
      <c r="BQ456" s="117">
        <v>46289</v>
      </c>
      <c r="BR456" s="39"/>
      <c r="BS456" s="39"/>
      <c r="BT456" s="39"/>
      <c r="BU456" s="39"/>
      <c r="BV456" s="39"/>
      <c r="BW456" s="39"/>
      <c r="BX456" s="39"/>
      <c r="BY456" s="39"/>
      <c r="BZ456" s="39">
        <f t="shared" si="302"/>
        <v>0</v>
      </c>
      <c r="CA456" s="39">
        <f t="shared" si="303"/>
        <v>-374</v>
      </c>
      <c r="CB456" s="39">
        <f t="shared" si="304"/>
        <v>0</v>
      </c>
      <c r="CC456" s="39">
        <f t="shared" si="305"/>
        <v>0</v>
      </c>
      <c r="CD456" s="39">
        <f t="shared" si="308"/>
        <v>-374</v>
      </c>
      <c r="CE456" s="102">
        <f t="shared" si="306"/>
        <v>-1</v>
      </c>
      <c r="CF456" s="36"/>
      <c r="CG456" s="39" t="s">
        <v>415</v>
      </c>
      <c r="CH456" s="39"/>
      <c r="CI456" s="25">
        <v>1</v>
      </c>
    </row>
    <row r="457" spans="1:87" ht="24.75" customHeight="1">
      <c r="A457" s="36" t="s">
        <v>387</v>
      </c>
      <c r="B457" s="27">
        <v>48617</v>
      </c>
      <c r="C457" s="231"/>
      <c r="D457" s="36"/>
      <c r="E457" s="39">
        <v>190</v>
      </c>
      <c r="F457" s="39" t="s">
        <v>59</v>
      </c>
      <c r="G457" s="36" t="s">
        <v>187</v>
      </c>
      <c r="H457" s="36" t="s">
        <v>96</v>
      </c>
      <c r="I457" s="39">
        <v>287</v>
      </c>
      <c r="J457" s="39"/>
      <c r="K457" s="39"/>
      <c r="L457" s="39">
        <f t="shared" si="311"/>
        <v>287</v>
      </c>
      <c r="M457" s="117">
        <v>46258</v>
      </c>
      <c r="N457" s="117">
        <v>46272</v>
      </c>
      <c r="O457" s="39"/>
      <c r="P457" s="39"/>
      <c r="Q457" s="39"/>
      <c r="R457" s="39">
        <f t="shared" si="288"/>
        <v>0</v>
      </c>
      <c r="S457" s="39" t="s">
        <v>130</v>
      </c>
      <c r="T457" s="39"/>
      <c r="U457" s="39"/>
      <c r="V457" s="39"/>
      <c r="W457" s="39"/>
      <c r="X457" s="39"/>
      <c r="Y457" s="39"/>
      <c r="Z457" s="39"/>
      <c r="AA457" s="39"/>
      <c r="AB457" s="118">
        <f t="shared" si="289"/>
        <v>0</v>
      </c>
      <c r="AC457" s="39"/>
      <c r="AD457" s="39"/>
      <c r="AE457" s="39"/>
      <c r="AF457" s="39"/>
      <c r="AG457" s="39"/>
      <c r="AH457" s="39">
        <f t="shared" si="296"/>
        <v>0</v>
      </c>
      <c r="AI457" s="39"/>
      <c r="AJ457" s="39"/>
      <c r="AK457" s="39"/>
      <c r="AL457" s="39"/>
      <c r="AM457" s="39"/>
      <c r="AN457" s="39">
        <f t="shared" si="312"/>
        <v>0</v>
      </c>
      <c r="AO457" s="39"/>
      <c r="AP457" s="39"/>
      <c r="AQ457" s="39"/>
      <c r="AR457" s="39"/>
      <c r="AS457" s="39"/>
      <c r="AT457" s="39">
        <f t="shared" si="297"/>
        <v>0</v>
      </c>
      <c r="AU457" s="39"/>
      <c r="AV457" s="39"/>
      <c r="AW457" s="39"/>
      <c r="AX457" s="39"/>
      <c r="AY457" s="39"/>
      <c r="AZ457" s="39">
        <f t="shared" si="298"/>
        <v>0</v>
      </c>
      <c r="BA457" s="39"/>
      <c r="BB457" s="39"/>
      <c r="BC457" s="39"/>
      <c r="BD457" s="39"/>
      <c r="BE457" s="39"/>
      <c r="BF457" s="39">
        <f t="shared" si="299"/>
        <v>0</v>
      </c>
      <c r="BG457" s="39"/>
      <c r="BH457" s="39"/>
      <c r="BI457" s="39"/>
      <c r="BJ457" s="39"/>
      <c r="BK457" s="39"/>
      <c r="BL457" s="39">
        <f t="shared" si="300"/>
        <v>0</v>
      </c>
      <c r="BM457" s="54">
        <f t="shared" ca="1" si="301"/>
        <v>46283</v>
      </c>
      <c r="BN457" s="58">
        <v>46269</v>
      </c>
      <c r="BO457" s="117">
        <v>46283</v>
      </c>
      <c r="BP457" s="39"/>
      <c r="BQ457" s="39"/>
      <c r="BR457" s="39"/>
      <c r="BS457" s="39"/>
      <c r="BT457" s="39"/>
      <c r="BU457" s="39"/>
      <c r="BV457" s="39"/>
      <c r="BW457" s="39"/>
      <c r="BX457" s="39"/>
      <c r="BY457" s="39"/>
      <c r="BZ457" s="39">
        <f t="shared" si="302"/>
        <v>0</v>
      </c>
      <c r="CA457" s="39">
        <f t="shared" si="303"/>
        <v>-287</v>
      </c>
      <c r="CB457" s="39">
        <f t="shared" si="304"/>
        <v>0</v>
      </c>
      <c r="CC457" s="39">
        <f t="shared" si="305"/>
        <v>0</v>
      </c>
      <c r="CD457" s="39">
        <f t="shared" si="308"/>
        <v>-287</v>
      </c>
      <c r="CE457" s="102">
        <f t="shared" si="306"/>
        <v>-1</v>
      </c>
      <c r="CF457" s="36"/>
      <c r="CG457" s="39" t="s">
        <v>415</v>
      </c>
      <c r="CH457" s="39"/>
      <c r="CI457" s="25">
        <v>1</v>
      </c>
    </row>
    <row r="458" spans="1:87" ht="24.75" customHeight="1">
      <c r="A458" s="36" t="s">
        <v>387</v>
      </c>
      <c r="B458" s="27">
        <v>48617</v>
      </c>
      <c r="C458" s="231"/>
      <c r="D458" s="36"/>
      <c r="E458" s="39">
        <v>190</v>
      </c>
      <c r="F458" s="39" t="s">
        <v>59</v>
      </c>
      <c r="G458" s="36" t="s">
        <v>1215</v>
      </c>
      <c r="H458" s="36" t="s">
        <v>96</v>
      </c>
      <c r="I458" s="39">
        <v>385</v>
      </c>
      <c r="J458" s="39"/>
      <c r="K458" s="39"/>
      <c r="L458" s="39">
        <f t="shared" si="311"/>
        <v>385</v>
      </c>
      <c r="M458" s="117">
        <v>46258</v>
      </c>
      <c r="N458" s="117">
        <v>46272</v>
      </c>
      <c r="O458" s="39"/>
      <c r="P458" s="39"/>
      <c r="Q458" s="39"/>
      <c r="R458" s="39">
        <f t="shared" si="288"/>
        <v>0</v>
      </c>
      <c r="S458" s="39" t="s">
        <v>326</v>
      </c>
      <c r="T458" s="39"/>
      <c r="U458" s="39"/>
      <c r="V458" s="117">
        <v>46256</v>
      </c>
      <c r="W458" s="39">
        <v>432</v>
      </c>
      <c r="X458" s="39"/>
      <c r="Y458" s="39"/>
      <c r="Z458" s="39"/>
      <c r="AA458" s="39"/>
      <c r="AB458" s="118">
        <f t="shared" si="289"/>
        <v>0</v>
      </c>
      <c r="AC458" s="39"/>
      <c r="AD458" s="39"/>
      <c r="AE458" s="39"/>
      <c r="AF458" s="39"/>
      <c r="AG458" s="39"/>
      <c r="AH458" s="39">
        <f t="shared" si="296"/>
        <v>0</v>
      </c>
      <c r="AI458" s="39"/>
      <c r="AJ458" s="39"/>
      <c r="AK458" s="39"/>
      <c r="AL458" s="39"/>
      <c r="AM458" s="39"/>
      <c r="AN458" s="39">
        <f t="shared" si="312"/>
        <v>0</v>
      </c>
      <c r="AO458" s="39"/>
      <c r="AP458" s="39"/>
      <c r="AQ458" s="39"/>
      <c r="AR458" s="39"/>
      <c r="AS458" s="39"/>
      <c r="AT458" s="39">
        <f t="shared" si="297"/>
        <v>0</v>
      </c>
      <c r="AU458" s="39"/>
      <c r="AV458" s="39"/>
      <c r="AW458" s="39"/>
      <c r="AX458" s="39"/>
      <c r="AY458" s="39"/>
      <c r="AZ458" s="39">
        <f t="shared" si="298"/>
        <v>0</v>
      </c>
      <c r="BA458" s="39"/>
      <c r="BB458" s="39"/>
      <c r="BC458" s="39"/>
      <c r="BD458" s="39"/>
      <c r="BE458" s="39"/>
      <c r="BF458" s="39">
        <f t="shared" si="299"/>
        <v>0</v>
      </c>
      <c r="BG458" s="39"/>
      <c r="BH458" s="39"/>
      <c r="BI458" s="39"/>
      <c r="BJ458" s="39"/>
      <c r="BK458" s="39"/>
      <c r="BL458" s="39">
        <f t="shared" si="300"/>
        <v>0</v>
      </c>
      <c r="BM458" s="54">
        <f t="shared" ca="1" si="301"/>
        <v>46283</v>
      </c>
      <c r="BN458" s="58">
        <v>46269</v>
      </c>
      <c r="BO458" s="117">
        <v>46283</v>
      </c>
      <c r="BP458" s="39"/>
      <c r="BQ458" s="39"/>
      <c r="BR458" s="39"/>
      <c r="BS458" s="39"/>
      <c r="BT458" s="39"/>
      <c r="BU458" s="39"/>
      <c r="BV458" s="39"/>
      <c r="BW458" s="39"/>
      <c r="BX458" s="39"/>
      <c r="BY458" s="39"/>
      <c r="BZ458" s="39">
        <f t="shared" si="302"/>
        <v>0</v>
      </c>
      <c r="CA458" s="39">
        <f t="shared" si="303"/>
        <v>-385</v>
      </c>
      <c r="CB458" s="39">
        <f t="shared" si="304"/>
        <v>0</v>
      </c>
      <c r="CC458" s="39">
        <f t="shared" si="305"/>
        <v>0</v>
      </c>
      <c r="CD458" s="39">
        <f t="shared" si="308"/>
        <v>-385</v>
      </c>
      <c r="CE458" s="102">
        <f t="shared" si="306"/>
        <v>-1</v>
      </c>
      <c r="CF458" s="36"/>
      <c r="CG458" s="39" t="s">
        <v>415</v>
      </c>
      <c r="CH458" s="39"/>
      <c r="CI458" s="25">
        <v>1</v>
      </c>
    </row>
    <row r="459" spans="1:87" ht="24.75" customHeight="1">
      <c r="A459" s="36" t="s">
        <v>387</v>
      </c>
      <c r="B459" s="27">
        <v>48617</v>
      </c>
      <c r="C459" s="231"/>
      <c r="D459" s="36"/>
      <c r="E459" s="39">
        <v>190</v>
      </c>
      <c r="F459" s="39" t="s">
        <v>59</v>
      </c>
      <c r="G459" s="36" t="s">
        <v>2357</v>
      </c>
      <c r="H459" s="36" t="s">
        <v>96</v>
      </c>
      <c r="I459" s="39">
        <v>295</v>
      </c>
      <c r="J459" s="39"/>
      <c r="K459" s="39"/>
      <c r="L459" s="39">
        <f t="shared" si="311"/>
        <v>295</v>
      </c>
      <c r="M459" s="117">
        <v>46258</v>
      </c>
      <c r="N459" s="117">
        <v>46272</v>
      </c>
      <c r="O459" s="39"/>
      <c r="P459" s="39"/>
      <c r="Q459" s="39"/>
      <c r="R459" s="39">
        <f t="shared" si="288"/>
        <v>0</v>
      </c>
      <c r="S459" s="39" t="s">
        <v>28</v>
      </c>
      <c r="T459" s="39"/>
      <c r="U459" s="39"/>
      <c r="V459" s="117">
        <v>46256</v>
      </c>
      <c r="W459" s="39">
        <v>330</v>
      </c>
      <c r="X459" s="39"/>
      <c r="Y459" s="39"/>
      <c r="Z459" s="39"/>
      <c r="AA459" s="39"/>
      <c r="AB459" s="118">
        <f t="shared" si="289"/>
        <v>0</v>
      </c>
      <c r="AC459" s="39"/>
      <c r="AD459" s="39"/>
      <c r="AE459" s="39"/>
      <c r="AF459" s="39"/>
      <c r="AG459" s="39"/>
      <c r="AH459" s="39">
        <f t="shared" si="296"/>
        <v>0</v>
      </c>
      <c r="AI459" s="39"/>
      <c r="AJ459" s="39"/>
      <c r="AK459" s="39"/>
      <c r="AL459" s="39"/>
      <c r="AM459" s="39"/>
      <c r="AN459" s="39">
        <f t="shared" si="312"/>
        <v>0</v>
      </c>
      <c r="AO459" s="39"/>
      <c r="AP459" s="39"/>
      <c r="AQ459" s="39"/>
      <c r="AR459" s="39"/>
      <c r="AS459" s="39"/>
      <c r="AT459" s="39">
        <f t="shared" si="297"/>
        <v>0</v>
      </c>
      <c r="AU459" s="39"/>
      <c r="AV459" s="39"/>
      <c r="AW459" s="39"/>
      <c r="AX459" s="39"/>
      <c r="AY459" s="39"/>
      <c r="AZ459" s="39">
        <f t="shared" si="298"/>
        <v>0</v>
      </c>
      <c r="BA459" s="39"/>
      <c r="BB459" s="39"/>
      <c r="BC459" s="39"/>
      <c r="BD459" s="39"/>
      <c r="BE459" s="39"/>
      <c r="BF459" s="39">
        <f t="shared" si="299"/>
        <v>0</v>
      </c>
      <c r="BG459" s="39"/>
      <c r="BH459" s="39"/>
      <c r="BI459" s="39"/>
      <c r="BJ459" s="39"/>
      <c r="BK459" s="39"/>
      <c r="BL459" s="39">
        <f t="shared" si="300"/>
        <v>0</v>
      </c>
      <c r="BM459" s="54">
        <f t="shared" ca="1" si="301"/>
        <v>46283</v>
      </c>
      <c r="BN459" s="58">
        <v>46269</v>
      </c>
      <c r="BO459" s="117">
        <v>46283</v>
      </c>
      <c r="BP459" s="39"/>
      <c r="BQ459" s="39"/>
      <c r="BR459" s="39"/>
      <c r="BS459" s="39"/>
      <c r="BT459" s="39"/>
      <c r="BU459" s="39"/>
      <c r="BV459" s="39"/>
      <c r="BW459" s="39"/>
      <c r="BX459" s="39"/>
      <c r="BY459" s="39"/>
      <c r="BZ459" s="39">
        <f t="shared" si="302"/>
        <v>0</v>
      </c>
      <c r="CA459" s="39">
        <f t="shared" si="303"/>
        <v>-295</v>
      </c>
      <c r="CB459" s="39">
        <f t="shared" si="304"/>
        <v>0</v>
      </c>
      <c r="CC459" s="39">
        <f t="shared" si="305"/>
        <v>0</v>
      </c>
      <c r="CD459" s="39">
        <f t="shared" si="308"/>
        <v>-295</v>
      </c>
      <c r="CE459" s="102">
        <f t="shared" si="306"/>
        <v>-1</v>
      </c>
      <c r="CF459" s="36"/>
      <c r="CG459" s="39" t="s">
        <v>415</v>
      </c>
      <c r="CH459" s="39"/>
      <c r="CI459" s="25">
        <v>1</v>
      </c>
    </row>
    <row r="460" spans="1:87" ht="24.75" customHeight="1">
      <c r="A460" s="36" t="s">
        <v>387</v>
      </c>
      <c r="B460" s="27">
        <v>48617</v>
      </c>
      <c r="C460" s="231"/>
      <c r="D460" s="36"/>
      <c r="E460" s="39">
        <v>190</v>
      </c>
      <c r="F460" s="39" t="s">
        <v>59</v>
      </c>
      <c r="G460" s="36" t="s">
        <v>23</v>
      </c>
      <c r="H460" s="36" t="s">
        <v>96</v>
      </c>
      <c r="I460" s="39">
        <v>81</v>
      </c>
      <c r="J460" s="39"/>
      <c r="K460" s="39"/>
      <c r="L460" s="39">
        <f t="shared" si="311"/>
        <v>81</v>
      </c>
      <c r="M460" s="117">
        <v>46258</v>
      </c>
      <c r="N460" s="117">
        <v>46272</v>
      </c>
      <c r="O460" s="39"/>
      <c r="P460" s="39"/>
      <c r="Q460" s="39"/>
      <c r="R460" s="39">
        <f t="shared" si="288"/>
        <v>0</v>
      </c>
      <c r="S460" s="39" t="s">
        <v>31</v>
      </c>
      <c r="T460" s="39"/>
      <c r="U460" s="39"/>
      <c r="V460" s="117">
        <v>46274</v>
      </c>
      <c r="W460" s="39">
        <v>97</v>
      </c>
      <c r="X460" s="117">
        <v>46281</v>
      </c>
      <c r="Y460" s="39">
        <v>87</v>
      </c>
      <c r="Z460" s="39"/>
      <c r="AA460" s="39"/>
      <c r="AB460" s="119">
        <f t="shared" si="289"/>
        <v>87</v>
      </c>
      <c r="AC460" s="39"/>
      <c r="AD460" s="39"/>
      <c r="AE460" s="39"/>
      <c r="AF460" s="39"/>
      <c r="AG460" s="39"/>
      <c r="AH460" s="39">
        <f t="shared" si="296"/>
        <v>0</v>
      </c>
      <c r="AI460" s="39"/>
      <c r="AJ460" s="39"/>
      <c r="AK460" s="39"/>
      <c r="AL460" s="39"/>
      <c r="AM460" s="39"/>
      <c r="AN460" s="39">
        <f t="shared" si="312"/>
        <v>0</v>
      </c>
      <c r="AO460" s="39"/>
      <c r="AP460" s="39"/>
      <c r="AQ460" s="39"/>
      <c r="AR460" s="39"/>
      <c r="AS460" s="39"/>
      <c r="AT460" s="39">
        <f t="shared" si="297"/>
        <v>0</v>
      </c>
      <c r="AU460" s="39"/>
      <c r="AV460" s="39"/>
      <c r="AW460" s="39"/>
      <c r="AX460" s="39"/>
      <c r="AY460" s="39"/>
      <c r="AZ460" s="39">
        <f t="shared" si="298"/>
        <v>0</v>
      </c>
      <c r="BA460" s="39"/>
      <c r="BB460" s="39"/>
      <c r="BC460" s="39"/>
      <c r="BD460" s="39"/>
      <c r="BE460" s="39"/>
      <c r="BF460" s="39">
        <f t="shared" si="299"/>
        <v>0</v>
      </c>
      <c r="BG460" s="39"/>
      <c r="BH460" s="39"/>
      <c r="BI460" s="39"/>
      <c r="BJ460" s="39"/>
      <c r="BK460" s="39"/>
      <c r="BL460" s="39">
        <f t="shared" si="300"/>
        <v>0</v>
      </c>
      <c r="BM460" s="54" t="str">
        <f t="shared" si="301"/>
        <v/>
      </c>
      <c r="BN460" s="58">
        <v>46269</v>
      </c>
      <c r="BO460" s="117">
        <v>46283</v>
      </c>
      <c r="BP460" s="39"/>
      <c r="BQ460" s="39"/>
      <c r="BR460" s="117">
        <v>46281</v>
      </c>
      <c r="BS460" s="117">
        <v>46281</v>
      </c>
      <c r="BT460" s="39">
        <v>867</v>
      </c>
      <c r="BU460" s="39">
        <v>87</v>
      </c>
      <c r="BV460" s="39"/>
      <c r="BW460" s="39"/>
      <c r="BX460" s="39"/>
      <c r="BY460" s="39"/>
      <c r="BZ460" s="39">
        <f t="shared" si="302"/>
        <v>87</v>
      </c>
      <c r="CA460" s="39">
        <f t="shared" si="303"/>
        <v>6</v>
      </c>
      <c r="CB460" s="39">
        <f t="shared" si="304"/>
        <v>0</v>
      </c>
      <c r="CC460" s="39">
        <f t="shared" si="305"/>
        <v>0</v>
      </c>
      <c r="CD460" s="39">
        <f t="shared" si="308"/>
        <v>0</v>
      </c>
      <c r="CE460" s="102">
        <f t="shared" si="306"/>
        <v>0</v>
      </c>
      <c r="CF460" s="36"/>
      <c r="CG460" s="39" t="s">
        <v>415</v>
      </c>
      <c r="CH460" s="39"/>
      <c r="CI460" s="25">
        <v>1</v>
      </c>
    </row>
    <row r="461" spans="1:87" ht="24.75" customHeight="1">
      <c r="A461" s="36" t="s">
        <v>387</v>
      </c>
      <c r="B461" s="27">
        <v>48617</v>
      </c>
      <c r="C461" s="231"/>
      <c r="D461" s="36"/>
      <c r="E461" s="39">
        <v>190</v>
      </c>
      <c r="F461" s="39" t="s">
        <v>59</v>
      </c>
      <c r="G461" s="36" t="s">
        <v>93</v>
      </c>
      <c r="H461" s="36" t="s">
        <v>96</v>
      </c>
      <c r="I461" s="39">
        <v>355</v>
      </c>
      <c r="J461" s="39"/>
      <c r="K461" s="39"/>
      <c r="L461" s="39">
        <f t="shared" si="311"/>
        <v>355</v>
      </c>
      <c r="M461" s="117">
        <v>46258</v>
      </c>
      <c r="N461" s="117">
        <v>46272</v>
      </c>
      <c r="O461" s="39"/>
      <c r="P461" s="39"/>
      <c r="Q461" s="39"/>
      <c r="R461" s="39">
        <f t="shared" si="288"/>
        <v>0</v>
      </c>
      <c r="S461" s="39" t="s">
        <v>130</v>
      </c>
      <c r="T461" s="39"/>
      <c r="U461" s="39"/>
      <c r="V461" s="39"/>
      <c r="W461" s="39"/>
      <c r="X461" s="39"/>
      <c r="Y461" s="39"/>
      <c r="Z461" s="39"/>
      <c r="AA461" s="39"/>
      <c r="AB461" s="118">
        <f t="shared" si="289"/>
        <v>0</v>
      </c>
      <c r="AC461" s="39"/>
      <c r="AD461" s="39"/>
      <c r="AE461" s="39"/>
      <c r="AF461" s="39"/>
      <c r="AG461" s="39"/>
      <c r="AH461" s="39">
        <f t="shared" si="296"/>
        <v>0</v>
      </c>
      <c r="AI461" s="39"/>
      <c r="AJ461" s="39"/>
      <c r="AK461" s="39"/>
      <c r="AL461" s="39"/>
      <c r="AM461" s="39"/>
      <c r="AN461" s="39">
        <f t="shared" si="312"/>
        <v>0</v>
      </c>
      <c r="AO461" s="39"/>
      <c r="AP461" s="39"/>
      <c r="AQ461" s="39"/>
      <c r="AR461" s="39"/>
      <c r="AS461" s="39"/>
      <c r="AT461" s="39">
        <f t="shared" si="297"/>
        <v>0</v>
      </c>
      <c r="AU461" s="39"/>
      <c r="AV461" s="39"/>
      <c r="AW461" s="39"/>
      <c r="AX461" s="39"/>
      <c r="AY461" s="39"/>
      <c r="AZ461" s="39">
        <f t="shared" si="298"/>
        <v>0</v>
      </c>
      <c r="BA461" s="39"/>
      <c r="BB461" s="39"/>
      <c r="BC461" s="39"/>
      <c r="BD461" s="39"/>
      <c r="BE461" s="39"/>
      <c r="BF461" s="39">
        <f t="shared" si="299"/>
        <v>0</v>
      </c>
      <c r="BG461" s="39"/>
      <c r="BH461" s="39"/>
      <c r="BI461" s="39"/>
      <c r="BJ461" s="39"/>
      <c r="BK461" s="39"/>
      <c r="BL461" s="39">
        <f t="shared" si="300"/>
        <v>0</v>
      </c>
      <c r="BM461" s="54">
        <f t="shared" ca="1" si="301"/>
        <v>46283</v>
      </c>
      <c r="BN461" s="58">
        <v>46269</v>
      </c>
      <c r="BO461" s="117">
        <v>46283</v>
      </c>
      <c r="BP461" s="39"/>
      <c r="BQ461" s="39"/>
      <c r="BR461" s="39"/>
      <c r="BS461" s="39"/>
      <c r="BT461" s="39"/>
      <c r="BU461" s="39"/>
      <c r="BV461" s="39"/>
      <c r="BW461" s="39"/>
      <c r="BX461" s="39"/>
      <c r="BY461" s="39"/>
      <c r="BZ461" s="39">
        <f t="shared" si="302"/>
        <v>0</v>
      </c>
      <c r="CA461" s="39">
        <f t="shared" si="303"/>
        <v>-355</v>
      </c>
      <c r="CB461" s="39">
        <f t="shared" si="304"/>
        <v>0</v>
      </c>
      <c r="CC461" s="39">
        <f t="shared" si="305"/>
        <v>0</v>
      </c>
      <c r="CD461" s="39">
        <f t="shared" si="308"/>
        <v>-355</v>
      </c>
      <c r="CE461" s="102">
        <f t="shared" si="306"/>
        <v>-1</v>
      </c>
      <c r="CF461" s="36"/>
      <c r="CG461" s="39" t="s">
        <v>415</v>
      </c>
      <c r="CH461" s="39"/>
      <c r="CI461" s="25">
        <v>1</v>
      </c>
    </row>
    <row r="462" spans="1:87" ht="24.75" customHeight="1">
      <c r="A462" s="36" t="s">
        <v>387</v>
      </c>
      <c r="B462" s="27">
        <v>48617</v>
      </c>
      <c r="C462" s="228"/>
      <c r="D462" s="36" t="s">
        <v>24</v>
      </c>
      <c r="E462" s="39">
        <v>190</v>
      </c>
      <c r="F462" s="39" t="s">
        <v>58</v>
      </c>
      <c r="G462" s="36" t="s">
        <v>2358</v>
      </c>
      <c r="H462" s="36" t="s">
        <v>96</v>
      </c>
      <c r="I462" s="39">
        <v>413</v>
      </c>
      <c r="J462" s="39"/>
      <c r="K462" s="39"/>
      <c r="L462" s="39">
        <f t="shared" si="311"/>
        <v>413</v>
      </c>
      <c r="M462" s="117">
        <v>46270</v>
      </c>
      <c r="N462" s="117">
        <v>46279</v>
      </c>
      <c r="O462" s="39"/>
      <c r="P462" s="39"/>
      <c r="Q462" s="39"/>
      <c r="R462" s="39">
        <f t="shared" si="288"/>
        <v>0</v>
      </c>
      <c r="S462" s="39" t="s">
        <v>130</v>
      </c>
      <c r="T462" s="39"/>
      <c r="U462" s="39"/>
      <c r="V462" s="39"/>
      <c r="W462" s="39"/>
      <c r="X462" s="39"/>
      <c r="Y462" s="39"/>
      <c r="Z462" s="39"/>
      <c r="AA462" s="39"/>
      <c r="AB462" s="118">
        <f t="shared" si="289"/>
        <v>0</v>
      </c>
      <c r="AC462" s="39"/>
      <c r="AD462" s="39"/>
      <c r="AE462" s="39"/>
      <c r="AF462" s="39"/>
      <c r="AG462" s="39"/>
      <c r="AH462" s="39">
        <f t="shared" si="296"/>
        <v>0</v>
      </c>
      <c r="AI462" s="39"/>
      <c r="AJ462" s="39"/>
      <c r="AK462" s="39"/>
      <c r="AL462" s="39"/>
      <c r="AM462" s="39"/>
      <c r="AN462" s="39">
        <f t="shared" si="312"/>
        <v>0</v>
      </c>
      <c r="AO462" s="39"/>
      <c r="AP462" s="39"/>
      <c r="AQ462" s="39"/>
      <c r="AR462" s="39"/>
      <c r="AS462" s="39"/>
      <c r="AT462" s="39">
        <f t="shared" si="297"/>
        <v>0</v>
      </c>
      <c r="AU462" s="39"/>
      <c r="AV462" s="39"/>
      <c r="AW462" s="39"/>
      <c r="AX462" s="39"/>
      <c r="AY462" s="39"/>
      <c r="AZ462" s="39">
        <f t="shared" si="298"/>
        <v>0</v>
      </c>
      <c r="BA462" s="39"/>
      <c r="BB462" s="39"/>
      <c r="BC462" s="39"/>
      <c r="BD462" s="39"/>
      <c r="BE462" s="39"/>
      <c r="BF462" s="39">
        <f t="shared" si="299"/>
        <v>0</v>
      </c>
      <c r="BG462" s="39"/>
      <c r="BH462" s="39"/>
      <c r="BI462" s="39"/>
      <c r="BJ462" s="39"/>
      <c r="BK462" s="39"/>
      <c r="BL462" s="39">
        <f t="shared" si="300"/>
        <v>0</v>
      </c>
      <c r="BM462" s="54">
        <f t="shared" ca="1" si="301"/>
        <v>46283</v>
      </c>
      <c r="BN462" s="58">
        <v>46282</v>
      </c>
      <c r="BO462" s="117">
        <v>46289</v>
      </c>
      <c r="BP462" s="39"/>
      <c r="BQ462" s="39"/>
      <c r="BR462" s="39"/>
      <c r="BS462" s="39"/>
      <c r="BT462" s="39"/>
      <c r="BU462" s="39"/>
      <c r="BV462" s="39"/>
      <c r="BW462" s="39"/>
      <c r="BX462" s="39"/>
      <c r="BY462" s="39"/>
      <c r="BZ462" s="39">
        <f t="shared" si="302"/>
        <v>0</v>
      </c>
      <c r="CA462" s="39">
        <f t="shared" si="303"/>
        <v>-413</v>
      </c>
      <c r="CB462" s="39">
        <f t="shared" si="304"/>
        <v>0</v>
      </c>
      <c r="CC462" s="39">
        <f t="shared" si="305"/>
        <v>0</v>
      </c>
      <c r="CD462" s="39">
        <f t="shared" si="308"/>
        <v>-413</v>
      </c>
      <c r="CE462" s="102">
        <f t="shared" si="306"/>
        <v>-1</v>
      </c>
      <c r="CF462" s="36"/>
      <c r="CG462" s="39" t="s">
        <v>415</v>
      </c>
      <c r="CH462" s="39"/>
      <c r="CI462" s="25">
        <v>1</v>
      </c>
    </row>
    <row r="463" spans="1:87" ht="24.75" customHeight="1">
      <c r="A463" s="36" t="s">
        <v>387</v>
      </c>
      <c r="B463" s="27">
        <v>48612</v>
      </c>
      <c r="C463" s="235" t="s">
        <v>2590</v>
      </c>
      <c r="D463" s="36" t="s">
        <v>37</v>
      </c>
      <c r="E463" s="39">
        <v>240</v>
      </c>
      <c r="F463" s="39" t="s">
        <v>68</v>
      </c>
      <c r="G463" s="36" t="s">
        <v>2415</v>
      </c>
      <c r="H463" s="36" t="s">
        <v>89</v>
      </c>
      <c r="I463" s="39">
        <v>886</v>
      </c>
      <c r="J463" s="39"/>
      <c r="K463" s="39"/>
      <c r="L463" s="39">
        <f t="shared" ref="L463:L467" si="313">SUM(I463:K463)</f>
        <v>886</v>
      </c>
      <c r="M463" s="117">
        <v>46259</v>
      </c>
      <c r="N463" s="117">
        <v>46241</v>
      </c>
      <c r="O463" s="39"/>
      <c r="P463" s="39"/>
      <c r="Q463" s="39"/>
      <c r="R463" s="39">
        <f t="shared" si="288"/>
        <v>0</v>
      </c>
      <c r="S463" s="39" t="s">
        <v>130</v>
      </c>
      <c r="T463" s="39">
        <v>109047</v>
      </c>
      <c r="U463" s="117">
        <v>46262</v>
      </c>
      <c r="V463" s="39"/>
      <c r="W463" s="39"/>
      <c r="X463" s="39"/>
      <c r="Y463" s="39">
        <v>994</v>
      </c>
      <c r="Z463" s="39"/>
      <c r="AA463" s="39"/>
      <c r="AB463" s="119">
        <f t="shared" si="289"/>
        <v>994</v>
      </c>
      <c r="AC463" s="39" t="s">
        <v>268</v>
      </c>
      <c r="AD463" s="117">
        <v>46268</v>
      </c>
      <c r="AE463" s="39">
        <v>896</v>
      </c>
      <c r="AF463" s="117">
        <v>46270</v>
      </c>
      <c r="AG463" s="39">
        <v>890</v>
      </c>
      <c r="AH463" s="39">
        <f t="shared" si="296"/>
        <v>-6</v>
      </c>
      <c r="AI463" s="39"/>
      <c r="AJ463" s="39"/>
      <c r="AK463" s="39"/>
      <c r="AL463" s="39"/>
      <c r="AM463" s="39"/>
      <c r="AN463" s="39">
        <f t="shared" si="312"/>
        <v>0</v>
      </c>
      <c r="AO463" s="39"/>
      <c r="AP463" s="39"/>
      <c r="AQ463" s="39"/>
      <c r="AR463" s="39"/>
      <c r="AS463" s="39"/>
      <c r="AT463" s="39">
        <f t="shared" si="297"/>
        <v>0</v>
      </c>
      <c r="AU463" s="39"/>
      <c r="AV463" s="39"/>
      <c r="AW463" s="39"/>
      <c r="AX463" s="39"/>
      <c r="AY463" s="39"/>
      <c r="AZ463" s="39">
        <f t="shared" si="298"/>
        <v>0</v>
      </c>
      <c r="BA463" s="39"/>
      <c r="BB463" s="39"/>
      <c r="BC463" s="39"/>
      <c r="BD463" s="39"/>
      <c r="BE463" s="39"/>
      <c r="BF463" s="39">
        <f t="shared" si="299"/>
        <v>0</v>
      </c>
      <c r="BG463" s="39"/>
      <c r="BH463" s="39"/>
      <c r="BI463" s="39"/>
      <c r="BJ463" s="39"/>
      <c r="BK463" s="39"/>
      <c r="BL463" s="39">
        <f t="shared" si="300"/>
        <v>0</v>
      </c>
      <c r="BM463" s="54">
        <f t="shared" ca="1" si="301"/>
        <v>21</v>
      </c>
      <c r="BN463" s="58">
        <v>46272</v>
      </c>
      <c r="BO463" s="57">
        <v>46284</v>
      </c>
      <c r="BP463" s="57">
        <v>46282</v>
      </c>
      <c r="BQ463" s="57">
        <v>46290</v>
      </c>
      <c r="BR463" s="39"/>
      <c r="BS463" s="39"/>
      <c r="BT463" s="39"/>
      <c r="BU463" s="39"/>
      <c r="BV463" s="39"/>
      <c r="BW463" s="39"/>
      <c r="BX463" s="39"/>
      <c r="BY463" s="39"/>
      <c r="BZ463" s="39">
        <f t="shared" si="302"/>
        <v>0</v>
      </c>
      <c r="CA463" s="39">
        <f t="shared" si="303"/>
        <v>-886</v>
      </c>
      <c r="CB463" s="39">
        <f t="shared" si="304"/>
        <v>0</v>
      </c>
      <c r="CC463" s="39">
        <f t="shared" si="305"/>
        <v>0</v>
      </c>
      <c r="CD463" s="39">
        <f t="shared" si="308"/>
        <v>-886</v>
      </c>
      <c r="CE463" s="102">
        <f t="shared" si="306"/>
        <v>-1</v>
      </c>
      <c r="CF463" s="36"/>
      <c r="CG463" s="39" t="s">
        <v>415</v>
      </c>
      <c r="CH463" s="39"/>
      <c r="CI463" s="25">
        <v>1</v>
      </c>
    </row>
    <row r="464" spans="1:87" ht="24.75" customHeight="1">
      <c r="A464" s="36" t="s">
        <v>387</v>
      </c>
      <c r="B464" s="27">
        <v>48612</v>
      </c>
      <c r="C464" s="240"/>
      <c r="D464" s="36" t="s">
        <v>37</v>
      </c>
      <c r="E464" s="39">
        <v>240</v>
      </c>
      <c r="F464" s="39" t="s">
        <v>68</v>
      </c>
      <c r="G464" s="36" t="s">
        <v>2284</v>
      </c>
      <c r="H464" s="36" t="s">
        <v>89</v>
      </c>
      <c r="I464" s="39">
        <f>544+9</f>
        <v>553</v>
      </c>
      <c r="J464" s="39"/>
      <c r="K464" s="39"/>
      <c r="L464" s="39">
        <f t="shared" si="313"/>
        <v>553</v>
      </c>
      <c r="M464" s="117">
        <v>46259</v>
      </c>
      <c r="N464" s="117">
        <v>46241</v>
      </c>
      <c r="O464" s="39"/>
      <c r="P464" s="39"/>
      <c r="Q464" s="39"/>
      <c r="R464" s="39">
        <f t="shared" si="288"/>
        <v>0</v>
      </c>
      <c r="S464" s="39" t="s">
        <v>130</v>
      </c>
      <c r="T464" s="39">
        <v>109046</v>
      </c>
      <c r="U464" s="117">
        <v>46266</v>
      </c>
      <c r="V464" s="39"/>
      <c r="W464" s="39"/>
      <c r="X464" s="39"/>
      <c r="Y464" s="39">
        <v>624</v>
      </c>
      <c r="Z464" s="39"/>
      <c r="AA464" s="39"/>
      <c r="AB464" s="119">
        <f t="shared" si="289"/>
        <v>624</v>
      </c>
      <c r="AC464" s="39" t="s">
        <v>268</v>
      </c>
      <c r="AD464" s="117">
        <v>46268</v>
      </c>
      <c r="AE464" s="39">
        <v>560</v>
      </c>
      <c r="AF464" s="117">
        <v>46275</v>
      </c>
      <c r="AG464" s="39">
        <v>568</v>
      </c>
      <c r="AH464" s="39">
        <f t="shared" si="296"/>
        <v>8</v>
      </c>
      <c r="AI464" s="39"/>
      <c r="AJ464" s="39"/>
      <c r="AK464" s="39"/>
      <c r="AL464" s="39"/>
      <c r="AM464" s="39"/>
      <c r="AN464" s="39">
        <f t="shared" si="312"/>
        <v>0</v>
      </c>
      <c r="AO464" s="39"/>
      <c r="AP464" s="39"/>
      <c r="AQ464" s="39"/>
      <c r="AR464" s="39"/>
      <c r="AS464" s="39"/>
      <c r="AT464" s="39">
        <f t="shared" si="297"/>
        <v>0</v>
      </c>
      <c r="AU464" s="39"/>
      <c r="AV464" s="39"/>
      <c r="AW464" s="39"/>
      <c r="AX464" s="39"/>
      <c r="AY464" s="39"/>
      <c r="AZ464" s="39">
        <f t="shared" si="298"/>
        <v>0</v>
      </c>
      <c r="BA464" s="39"/>
      <c r="BB464" s="39"/>
      <c r="BC464" s="39"/>
      <c r="BD464" s="39"/>
      <c r="BE464" s="39"/>
      <c r="BF464" s="39">
        <f t="shared" si="299"/>
        <v>0</v>
      </c>
      <c r="BG464" s="39"/>
      <c r="BH464" s="39"/>
      <c r="BI464" s="39"/>
      <c r="BJ464" s="39"/>
      <c r="BK464" s="39"/>
      <c r="BL464" s="39">
        <f t="shared" si="300"/>
        <v>0</v>
      </c>
      <c r="BM464" s="54" t="str">
        <f t="shared" si="301"/>
        <v/>
      </c>
      <c r="BN464" s="58">
        <v>46272</v>
      </c>
      <c r="BO464" s="57">
        <v>46284</v>
      </c>
      <c r="BP464" s="57">
        <v>46282</v>
      </c>
      <c r="BQ464" s="57">
        <v>46290</v>
      </c>
      <c r="BR464" s="117">
        <v>46277</v>
      </c>
      <c r="BS464" s="117">
        <v>46277</v>
      </c>
      <c r="BT464" s="39">
        <v>809</v>
      </c>
      <c r="BU464" s="39">
        <f>80+488</f>
        <v>568</v>
      </c>
      <c r="BV464" s="39"/>
      <c r="BW464" s="39"/>
      <c r="BX464" s="39"/>
      <c r="BY464" s="39"/>
      <c r="BZ464" s="39">
        <f t="shared" si="302"/>
        <v>568</v>
      </c>
      <c r="CA464" s="39">
        <f t="shared" si="303"/>
        <v>15</v>
      </c>
      <c r="CB464" s="39">
        <f t="shared" si="304"/>
        <v>0</v>
      </c>
      <c r="CC464" s="39">
        <f t="shared" si="305"/>
        <v>0</v>
      </c>
      <c r="CD464" s="39">
        <f t="shared" si="308"/>
        <v>0</v>
      </c>
      <c r="CE464" s="102">
        <f t="shared" si="306"/>
        <v>0</v>
      </c>
      <c r="CF464" s="36"/>
      <c r="CG464" s="39" t="s">
        <v>415</v>
      </c>
      <c r="CH464" s="39"/>
      <c r="CI464" s="25">
        <v>1</v>
      </c>
    </row>
    <row r="465" spans="1:87" ht="24.75" customHeight="1">
      <c r="A465" s="36" t="s">
        <v>387</v>
      </c>
      <c r="B465" s="27">
        <v>48612</v>
      </c>
      <c r="C465" s="236"/>
      <c r="D465" s="36" t="s">
        <v>37</v>
      </c>
      <c r="E465" s="39">
        <v>240</v>
      </c>
      <c r="F465" s="39" t="s">
        <v>68</v>
      </c>
      <c r="G465" s="36" t="s">
        <v>105</v>
      </c>
      <c r="H465" s="36" t="s">
        <v>89</v>
      </c>
      <c r="I465" s="39">
        <f>908+15</f>
        <v>923</v>
      </c>
      <c r="J465" s="39"/>
      <c r="K465" s="39"/>
      <c r="L465" s="39">
        <f t="shared" si="313"/>
        <v>923</v>
      </c>
      <c r="M465" s="117">
        <v>46259</v>
      </c>
      <c r="N465" s="117">
        <v>46241</v>
      </c>
      <c r="O465" s="39"/>
      <c r="P465" s="39"/>
      <c r="Q465" s="39"/>
      <c r="R465" s="39">
        <f t="shared" si="288"/>
        <v>0</v>
      </c>
      <c r="S465" s="39" t="s">
        <v>130</v>
      </c>
      <c r="T465" s="39" t="s">
        <v>2946</v>
      </c>
      <c r="U465" s="117" t="s">
        <v>2934</v>
      </c>
      <c r="V465" s="39"/>
      <c r="W465" s="39"/>
      <c r="X465" s="39"/>
      <c r="Y465" s="39">
        <f>853+197</f>
        <v>1050</v>
      </c>
      <c r="Z465" s="39"/>
      <c r="AA465" s="39"/>
      <c r="AB465" s="119">
        <f t="shared" si="289"/>
        <v>1050</v>
      </c>
      <c r="AC465" s="39" t="s">
        <v>268</v>
      </c>
      <c r="AD465" s="117" t="s">
        <v>3020</v>
      </c>
      <c r="AE465" s="39">
        <f>814+114</f>
        <v>928</v>
      </c>
      <c r="AF465" s="117">
        <v>46270</v>
      </c>
      <c r="AG465" s="39">
        <f>798</f>
        <v>798</v>
      </c>
      <c r="AH465" s="39">
        <f t="shared" si="296"/>
        <v>-130</v>
      </c>
      <c r="AI465" s="39"/>
      <c r="AJ465" s="39"/>
      <c r="AK465" s="39"/>
      <c r="AL465" s="39"/>
      <c r="AM465" s="39"/>
      <c r="AN465" s="39">
        <f t="shared" si="312"/>
        <v>0</v>
      </c>
      <c r="AO465" s="39"/>
      <c r="AP465" s="39"/>
      <c r="AQ465" s="39"/>
      <c r="AR465" s="39"/>
      <c r="AS465" s="39"/>
      <c r="AT465" s="39">
        <f t="shared" si="297"/>
        <v>0</v>
      </c>
      <c r="AU465" s="39"/>
      <c r="AV465" s="39"/>
      <c r="AW465" s="39"/>
      <c r="AX465" s="39"/>
      <c r="AY465" s="39"/>
      <c r="AZ465" s="39">
        <f t="shared" si="298"/>
        <v>0</v>
      </c>
      <c r="BA465" s="39"/>
      <c r="BB465" s="39"/>
      <c r="BC465" s="39"/>
      <c r="BD465" s="39"/>
      <c r="BE465" s="39"/>
      <c r="BF465" s="39">
        <f t="shared" si="299"/>
        <v>0</v>
      </c>
      <c r="BG465" s="39"/>
      <c r="BH465" s="39"/>
      <c r="BI465" s="39"/>
      <c r="BJ465" s="39"/>
      <c r="BK465" s="39"/>
      <c r="BL465" s="39">
        <f t="shared" si="300"/>
        <v>0</v>
      </c>
      <c r="BM465" s="54" t="e">
        <f t="shared" ca="1" si="301"/>
        <v>#VALUE!</v>
      </c>
      <c r="BN465" s="58">
        <v>46272</v>
      </c>
      <c r="BO465" s="57">
        <v>46284</v>
      </c>
      <c r="BP465" s="57">
        <v>46282</v>
      </c>
      <c r="BQ465" s="57">
        <v>46290</v>
      </c>
      <c r="BR465" s="117">
        <v>46272</v>
      </c>
      <c r="BS465" s="39"/>
      <c r="BT465" s="39">
        <v>802</v>
      </c>
      <c r="BU465" s="39">
        <f>86+712</f>
        <v>798</v>
      </c>
      <c r="BV465" s="39"/>
      <c r="BW465" s="39"/>
      <c r="BX465" s="39"/>
      <c r="BY465" s="39"/>
      <c r="BZ465" s="39">
        <f t="shared" si="302"/>
        <v>798</v>
      </c>
      <c r="CA465" s="39">
        <f t="shared" si="303"/>
        <v>-125</v>
      </c>
      <c r="CB465" s="39">
        <f t="shared" si="304"/>
        <v>0</v>
      </c>
      <c r="CC465" s="39">
        <f t="shared" si="305"/>
        <v>0</v>
      </c>
      <c r="CD465" s="39">
        <f t="shared" si="308"/>
        <v>-125</v>
      </c>
      <c r="CE465" s="102">
        <f t="shared" si="306"/>
        <v>-0.13542795232936078</v>
      </c>
      <c r="CF465" s="36"/>
      <c r="CG465" s="39" t="s">
        <v>415</v>
      </c>
      <c r="CH465" s="39"/>
      <c r="CI465" s="25">
        <v>1</v>
      </c>
    </row>
    <row r="466" spans="1:87" ht="24.75" customHeight="1">
      <c r="A466" s="36" t="s">
        <v>387</v>
      </c>
      <c r="B466" s="27">
        <v>48616</v>
      </c>
      <c r="C466" s="235" t="s">
        <v>2416</v>
      </c>
      <c r="D466" s="36" t="s">
        <v>37</v>
      </c>
      <c r="E466" s="39">
        <v>190</v>
      </c>
      <c r="F466" s="39" t="s">
        <v>59</v>
      </c>
      <c r="G466" s="36" t="s">
        <v>105</v>
      </c>
      <c r="H466" s="36" t="s">
        <v>96</v>
      </c>
      <c r="I466" s="39">
        <v>211</v>
      </c>
      <c r="J466" s="39"/>
      <c r="K466" s="39"/>
      <c r="L466" s="39">
        <f t="shared" si="313"/>
        <v>211</v>
      </c>
      <c r="M466" s="117">
        <v>46262</v>
      </c>
      <c r="N466" s="117">
        <v>46268</v>
      </c>
      <c r="O466" s="39"/>
      <c r="P466" s="39"/>
      <c r="Q466" s="39"/>
      <c r="R466" s="39">
        <f t="shared" si="288"/>
        <v>0</v>
      </c>
      <c r="S466" s="39" t="s">
        <v>130</v>
      </c>
      <c r="T466" s="39"/>
      <c r="U466" s="39"/>
      <c r="V466" s="39"/>
      <c r="W466" s="39"/>
      <c r="X466" s="39"/>
      <c r="Y466" s="39"/>
      <c r="Z466" s="39"/>
      <c r="AA466" s="39"/>
      <c r="AB466" s="118">
        <f t="shared" si="289"/>
        <v>0</v>
      </c>
      <c r="AC466" s="39"/>
      <c r="AD466" s="39"/>
      <c r="AE466" s="39"/>
      <c r="AF466" s="39"/>
      <c r="AG466" s="39"/>
      <c r="AH466" s="39">
        <f t="shared" si="296"/>
        <v>0</v>
      </c>
      <c r="AI466" s="39"/>
      <c r="AJ466" s="39"/>
      <c r="AK466" s="39"/>
      <c r="AL466" s="39"/>
      <c r="AM466" s="39"/>
      <c r="AN466" s="39">
        <f t="shared" si="312"/>
        <v>0</v>
      </c>
      <c r="AO466" s="39"/>
      <c r="AP466" s="39"/>
      <c r="AQ466" s="39"/>
      <c r="AR466" s="39"/>
      <c r="AS466" s="39"/>
      <c r="AT466" s="39">
        <f t="shared" si="297"/>
        <v>0</v>
      </c>
      <c r="AU466" s="39"/>
      <c r="AV466" s="39"/>
      <c r="AW466" s="39"/>
      <c r="AX466" s="39"/>
      <c r="AY466" s="39"/>
      <c r="AZ466" s="39">
        <f t="shared" si="298"/>
        <v>0</v>
      </c>
      <c r="BA466" s="39"/>
      <c r="BB466" s="39"/>
      <c r="BC466" s="39"/>
      <c r="BD466" s="39"/>
      <c r="BE466" s="39"/>
      <c r="BF466" s="39">
        <f t="shared" si="299"/>
        <v>0</v>
      </c>
      <c r="BG466" s="39"/>
      <c r="BH466" s="39"/>
      <c r="BI466" s="39"/>
      <c r="BJ466" s="39"/>
      <c r="BK466" s="39"/>
      <c r="BL466" s="39">
        <f t="shared" si="300"/>
        <v>0</v>
      </c>
      <c r="BM466" s="54">
        <f t="shared" ca="1" si="301"/>
        <v>46283</v>
      </c>
      <c r="BN466" s="58">
        <v>46271</v>
      </c>
      <c r="BO466" s="57">
        <v>46282</v>
      </c>
      <c r="BP466" s="57">
        <v>46283</v>
      </c>
      <c r="BQ466" s="57">
        <v>46289</v>
      </c>
      <c r="BR466" s="39"/>
      <c r="BS466" s="39"/>
      <c r="BT466" s="39"/>
      <c r="BU466" s="39"/>
      <c r="BV466" s="39"/>
      <c r="BW466" s="39"/>
      <c r="BX466" s="39"/>
      <c r="BY466" s="39"/>
      <c r="BZ466" s="39">
        <f t="shared" si="302"/>
        <v>0</v>
      </c>
      <c r="CA466" s="39">
        <f t="shared" si="303"/>
        <v>-211</v>
      </c>
      <c r="CB466" s="39">
        <f t="shared" si="304"/>
        <v>0</v>
      </c>
      <c r="CC466" s="39">
        <f t="shared" si="305"/>
        <v>0</v>
      </c>
      <c r="CD466" s="39">
        <f t="shared" si="308"/>
        <v>-211</v>
      </c>
      <c r="CE466" s="102">
        <f t="shared" si="306"/>
        <v>-1</v>
      </c>
      <c r="CF466" s="36" t="s">
        <v>250</v>
      </c>
      <c r="CG466" s="39" t="s">
        <v>415</v>
      </c>
      <c r="CH466" s="39"/>
      <c r="CI466" s="25">
        <v>1</v>
      </c>
    </row>
    <row r="467" spans="1:87" ht="24.75" customHeight="1">
      <c r="A467" s="36" t="s">
        <v>387</v>
      </c>
      <c r="B467" s="27">
        <v>48616</v>
      </c>
      <c r="C467" s="240"/>
      <c r="D467" s="36" t="s">
        <v>37</v>
      </c>
      <c r="E467" s="39">
        <v>190</v>
      </c>
      <c r="F467" s="39" t="s">
        <v>59</v>
      </c>
      <c r="G467" s="36" t="s">
        <v>2284</v>
      </c>
      <c r="H467" s="36" t="s">
        <v>96</v>
      </c>
      <c r="I467" s="39">
        <v>295</v>
      </c>
      <c r="J467" s="39"/>
      <c r="K467" s="39"/>
      <c r="L467" s="39">
        <f t="shared" si="313"/>
        <v>295</v>
      </c>
      <c r="M467" s="117">
        <v>46262</v>
      </c>
      <c r="N467" s="117">
        <v>46268</v>
      </c>
      <c r="O467" s="39"/>
      <c r="P467" s="39"/>
      <c r="Q467" s="39"/>
      <c r="R467" s="39">
        <f t="shared" ref="R467:R471" si="314">SUM(O467:Q467)</f>
        <v>0</v>
      </c>
      <c r="S467" s="39" t="s">
        <v>326</v>
      </c>
      <c r="T467" s="39"/>
      <c r="U467" s="39"/>
      <c r="V467" s="117">
        <v>46256</v>
      </c>
      <c r="W467" s="39">
        <v>331</v>
      </c>
      <c r="X467" s="39"/>
      <c r="Y467" s="39"/>
      <c r="Z467" s="39"/>
      <c r="AA467" s="39"/>
      <c r="AB467" s="118">
        <f t="shared" ref="AB467:AB471" si="315">SUM(Y467:AA467)</f>
        <v>0</v>
      </c>
      <c r="AC467" s="39"/>
      <c r="AD467" s="39"/>
      <c r="AE467" s="39"/>
      <c r="AF467" s="39"/>
      <c r="AG467" s="39"/>
      <c r="AH467" s="39">
        <f t="shared" si="296"/>
        <v>0</v>
      </c>
      <c r="AI467" s="39"/>
      <c r="AJ467" s="39"/>
      <c r="AK467" s="39"/>
      <c r="AL467" s="39"/>
      <c r="AM467" s="39"/>
      <c r="AN467" s="39">
        <f t="shared" si="312"/>
        <v>0</v>
      </c>
      <c r="AO467" s="39"/>
      <c r="AP467" s="39"/>
      <c r="AQ467" s="39"/>
      <c r="AR467" s="39"/>
      <c r="AS467" s="39"/>
      <c r="AT467" s="39">
        <f t="shared" si="297"/>
        <v>0</v>
      </c>
      <c r="AU467" s="39"/>
      <c r="AV467" s="39"/>
      <c r="AW467" s="39"/>
      <c r="AX467" s="39"/>
      <c r="AY467" s="39"/>
      <c r="AZ467" s="39">
        <f t="shared" si="298"/>
        <v>0</v>
      </c>
      <c r="BA467" s="39"/>
      <c r="BB467" s="39"/>
      <c r="BC467" s="39"/>
      <c r="BD467" s="39"/>
      <c r="BE467" s="39"/>
      <c r="BF467" s="39">
        <f t="shared" si="299"/>
        <v>0</v>
      </c>
      <c r="BG467" s="39"/>
      <c r="BH467" s="39"/>
      <c r="BI467" s="39"/>
      <c r="BJ467" s="39"/>
      <c r="BK467" s="39"/>
      <c r="BL467" s="39">
        <f t="shared" si="300"/>
        <v>0</v>
      </c>
      <c r="BM467" s="54">
        <f t="shared" ca="1" si="301"/>
        <v>46283</v>
      </c>
      <c r="BN467" s="58">
        <v>46271</v>
      </c>
      <c r="BO467" s="57">
        <v>46282</v>
      </c>
      <c r="BP467" s="57">
        <v>46283</v>
      </c>
      <c r="BQ467" s="57">
        <v>46289</v>
      </c>
      <c r="BR467" s="39"/>
      <c r="BS467" s="39"/>
      <c r="BT467" s="39"/>
      <c r="BU467" s="39"/>
      <c r="BV467" s="39"/>
      <c r="BW467" s="39"/>
      <c r="BX467" s="39"/>
      <c r="BY467" s="39"/>
      <c r="BZ467" s="39">
        <f t="shared" si="302"/>
        <v>0</v>
      </c>
      <c r="CA467" s="39">
        <f t="shared" si="303"/>
        <v>-295</v>
      </c>
      <c r="CB467" s="39">
        <f t="shared" si="304"/>
        <v>0</v>
      </c>
      <c r="CC467" s="39">
        <f t="shared" si="305"/>
        <v>0</v>
      </c>
      <c r="CD467" s="39">
        <f t="shared" si="308"/>
        <v>-295</v>
      </c>
      <c r="CE467" s="102">
        <f t="shared" si="306"/>
        <v>-1</v>
      </c>
      <c r="CF467" s="36" t="s">
        <v>250</v>
      </c>
      <c r="CG467" s="39" t="s">
        <v>415</v>
      </c>
      <c r="CH467" s="39"/>
      <c r="CI467" s="25">
        <v>1</v>
      </c>
    </row>
    <row r="468" spans="1:87" ht="24.75" customHeight="1">
      <c r="A468" s="36" t="s">
        <v>387</v>
      </c>
      <c r="B468" s="27">
        <v>48616</v>
      </c>
      <c r="C468" s="240"/>
      <c r="D468" s="36"/>
      <c r="E468" s="39">
        <v>190</v>
      </c>
      <c r="F468" s="39" t="s">
        <v>59</v>
      </c>
      <c r="G468" s="36" t="s">
        <v>187</v>
      </c>
      <c r="H468" s="36" t="s">
        <v>96</v>
      </c>
      <c r="I468" s="39">
        <v>66</v>
      </c>
      <c r="J468" s="39"/>
      <c r="K468" s="39"/>
      <c r="L468" s="39">
        <f t="shared" ref="L468" si="316">SUM(I468:K468)</f>
        <v>66</v>
      </c>
      <c r="M468" s="117">
        <v>46262</v>
      </c>
      <c r="N468" s="117">
        <v>46268</v>
      </c>
      <c r="O468" s="39"/>
      <c r="P468" s="39"/>
      <c r="Q468" s="39"/>
      <c r="R468" s="39">
        <f t="shared" si="314"/>
        <v>0</v>
      </c>
      <c r="S468" s="39" t="s">
        <v>130</v>
      </c>
      <c r="T468" s="39"/>
      <c r="U468" s="39"/>
      <c r="V468" s="39"/>
      <c r="W468" s="39"/>
      <c r="X468" s="39"/>
      <c r="Y468" s="39"/>
      <c r="Z468" s="39"/>
      <c r="AA468" s="39"/>
      <c r="AB468" s="118">
        <f t="shared" si="315"/>
        <v>0</v>
      </c>
      <c r="AC468" s="39"/>
      <c r="AD468" s="39"/>
      <c r="AE468" s="39"/>
      <c r="AF468" s="39"/>
      <c r="AG468" s="39"/>
      <c r="AH468" s="39">
        <f t="shared" si="296"/>
        <v>0</v>
      </c>
      <c r="AI468" s="39"/>
      <c r="AJ468" s="39"/>
      <c r="AK468" s="39"/>
      <c r="AL468" s="39"/>
      <c r="AM468" s="39"/>
      <c r="AN468" s="39">
        <f t="shared" si="312"/>
        <v>0</v>
      </c>
      <c r="AO468" s="39"/>
      <c r="AP468" s="39"/>
      <c r="AQ468" s="39"/>
      <c r="AR468" s="39"/>
      <c r="AS468" s="39"/>
      <c r="AT468" s="39">
        <f t="shared" si="297"/>
        <v>0</v>
      </c>
      <c r="AU468" s="39"/>
      <c r="AV468" s="39"/>
      <c r="AW468" s="39"/>
      <c r="AX468" s="39"/>
      <c r="AY468" s="39"/>
      <c r="AZ468" s="39">
        <f t="shared" si="298"/>
        <v>0</v>
      </c>
      <c r="BA468" s="39"/>
      <c r="BB468" s="39"/>
      <c r="BC468" s="39"/>
      <c r="BD468" s="39"/>
      <c r="BE468" s="39"/>
      <c r="BF468" s="39">
        <f t="shared" si="299"/>
        <v>0</v>
      </c>
      <c r="BG468" s="39"/>
      <c r="BH468" s="39"/>
      <c r="BI468" s="39"/>
      <c r="BJ468" s="39"/>
      <c r="BK468" s="39"/>
      <c r="BL468" s="39">
        <f t="shared" si="300"/>
        <v>0</v>
      </c>
      <c r="BM468" s="54">
        <f t="shared" ca="1" si="301"/>
        <v>46283</v>
      </c>
      <c r="BN468" s="58">
        <v>46271</v>
      </c>
      <c r="BO468" s="57">
        <v>46282</v>
      </c>
      <c r="BP468" s="57"/>
      <c r="BQ468" s="57"/>
      <c r="BR468" s="39"/>
      <c r="BS468" s="39"/>
      <c r="BT468" s="39"/>
      <c r="BU468" s="39"/>
      <c r="BV468" s="39"/>
      <c r="BW468" s="39"/>
      <c r="BX468" s="39"/>
      <c r="BY468" s="39"/>
      <c r="BZ468" s="39">
        <f t="shared" si="302"/>
        <v>0</v>
      </c>
      <c r="CA468" s="39">
        <f t="shared" si="303"/>
        <v>-66</v>
      </c>
      <c r="CB468" s="39">
        <f t="shared" si="304"/>
        <v>0</v>
      </c>
      <c r="CC468" s="39">
        <f t="shared" si="305"/>
        <v>0</v>
      </c>
      <c r="CD468" s="39">
        <f t="shared" si="308"/>
        <v>-66</v>
      </c>
      <c r="CE468" s="102">
        <f t="shared" si="306"/>
        <v>-1</v>
      </c>
      <c r="CF468" s="36" t="s">
        <v>250</v>
      </c>
      <c r="CG468" s="39" t="s">
        <v>415</v>
      </c>
      <c r="CH468" s="39"/>
      <c r="CI468" s="25">
        <v>1</v>
      </c>
    </row>
    <row r="469" spans="1:87" ht="24.75" customHeight="1">
      <c r="A469" s="36" t="s">
        <v>387</v>
      </c>
      <c r="B469" s="27">
        <v>48616</v>
      </c>
      <c r="C469" s="240"/>
      <c r="D469" s="36" t="s">
        <v>37</v>
      </c>
      <c r="E469" s="39">
        <v>190</v>
      </c>
      <c r="F469" s="39" t="s">
        <v>59</v>
      </c>
      <c r="G469" s="36" t="s">
        <v>2417</v>
      </c>
      <c r="H469" s="36" t="s">
        <v>96</v>
      </c>
      <c r="I469" s="39">
        <v>175</v>
      </c>
      <c r="J469" s="39"/>
      <c r="K469" s="39"/>
      <c r="L469" s="39">
        <f t="shared" ref="L469:L471" si="317">SUM(I469:K469)</f>
        <v>175</v>
      </c>
      <c r="M469" s="117">
        <v>46262</v>
      </c>
      <c r="N469" s="117">
        <v>46268</v>
      </c>
      <c r="O469" s="39"/>
      <c r="P469" s="39"/>
      <c r="Q469" s="39"/>
      <c r="R469" s="39">
        <f t="shared" si="314"/>
        <v>0</v>
      </c>
      <c r="S469" s="39" t="s">
        <v>28</v>
      </c>
      <c r="T469" s="39"/>
      <c r="U469" s="39"/>
      <c r="V469" s="117">
        <v>46256</v>
      </c>
      <c r="W469" s="39">
        <v>209</v>
      </c>
      <c r="X469" s="39"/>
      <c r="Y469" s="39"/>
      <c r="Z469" s="39"/>
      <c r="AA469" s="39"/>
      <c r="AB469" s="118">
        <f t="shared" si="315"/>
        <v>0</v>
      </c>
      <c r="AC469" s="39"/>
      <c r="AD469" s="39"/>
      <c r="AE469" s="39"/>
      <c r="AF469" s="39"/>
      <c r="AG469" s="39"/>
      <c r="AH469" s="39">
        <f t="shared" si="296"/>
        <v>0</v>
      </c>
      <c r="AI469" s="39"/>
      <c r="AJ469" s="39"/>
      <c r="AK469" s="39"/>
      <c r="AL469" s="39"/>
      <c r="AM469" s="39"/>
      <c r="AN469" s="39">
        <f t="shared" si="312"/>
        <v>0</v>
      </c>
      <c r="AO469" s="39"/>
      <c r="AP469" s="39"/>
      <c r="AQ469" s="39"/>
      <c r="AR469" s="39"/>
      <c r="AS469" s="39"/>
      <c r="AT469" s="39">
        <f t="shared" si="297"/>
        <v>0</v>
      </c>
      <c r="AU469" s="39"/>
      <c r="AV469" s="39"/>
      <c r="AW469" s="39"/>
      <c r="AX469" s="39"/>
      <c r="AY469" s="39"/>
      <c r="AZ469" s="39">
        <f t="shared" si="298"/>
        <v>0</v>
      </c>
      <c r="BA469" s="39"/>
      <c r="BB469" s="39"/>
      <c r="BC469" s="39"/>
      <c r="BD469" s="39"/>
      <c r="BE469" s="39"/>
      <c r="BF469" s="39">
        <f t="shared" si="299"/>
        <v>0</v>
      </c>
      <c r="BG469" s="39"/>
      <c r="BH469" s="39"/>
      <c r="BI469" s="39"/>
      <c r="BJ469" s="39"/>
      <c r="BK469" s="39"/>
      <c r="BL469" s="39">
        <f t="shared" si="300"/>
        <v>0</v>
      </c>
      <c r="BM469" s="54">
        <f t="shared" ca="1" si="301"/>
        <v>46283</v>
      </c>
      <c r="BN469" s="58">
        <v>46271</v>
      </c>
      <c r="BO469" s="57">
        <v>46282</v>
      </c>
      <c r="BP469" s="57">
        <v>46283</v>
      </c>
      <c r="BQ469" s="57">
        <v>46289</v>
      </c>
      <c r="BR469" s="39"/>
      <c r="BS469" s="39"/>
      <c r="BT469" s="39"/>
      <c r="BU469" s="39"/>
      <c r="BV469" s="39"/>
      <c r="BW469" s="39"/>
      <c r="BX469" s="39"/>
      <c r="BY469" s="39"/>
      <c r="BZ469" s="39">
        <f t="shared" si="302"/>
        <v>0</v>
      </c>
      <c r="CA469" s="39">
        <f t="shared" si="303"/>
        <v>-175</v>
      </c>
      <c r="CB469" s="39">
        <f t="shared" si="304"/>
        <v>0</v>
      </c>
      <c r="CC469" s="39">
        <f t="shared" si="305"/>
        <v>0</v>
      </c>
      <c r="CD469" s="39">
        <f t="shared" si="308"/>
        <v>-175</v>
      </c>
      <c r="CE469" s="102">
        <f t="shared" si="306"/>
        <v>-1</v>
      </c>
      <c r="CF469" s="36" t="s">
        <v>250</v>
      </c>
      <c r="CG469" s="39" t="s">
        <v>415</v>
      </c>
      <c r="CH469" s="39"/>
      <c r="CI469" s="25">
        <v>1</v>
      </c>
    </row>
    <row r="470" spans="1:87" ht="24.75" customHeight="1">
      <c r="A470" s="36" t="s">
        <v>387</v>
      </c>
      <c r="B470" s="27">
        <v>48616</v>
      </c>
      <c r="C470" s="240"/>
      <c r="D470" s="36"/>
      <c r="E470" s="39">
        <v>190</v>
      </c>
      <c r="F470" s="39" t="s">
        <v>59</v>
      </c>
      <c r="G470" s="36" t="s">
        <v>1215</v>
      </c>
      <c r="H470" s="36" t="s">
        <v>96</v>
      </c>
      <c r="I470" s="39">
        <v>93</v>
      </c>
      <c r="J470" s="39"/>
      <c r="K470" s="39"/>
      <c r="L470" s="39">
        <f t="shared" si="317"/>
        <v>93</v>
      </c>
      <c r="M470" s="117">
        <v>46262</v>
      </c>
      <c r="N470" s="117">
        <v>46268</v>
      </c>
      <c r="O470" s="39"/>
      <c r="P470" s="39"/>
      <c r="Q470" s="39"/>
      <c r="R470" s="39">
        <f t="shared" si="314"/>
        <v>0</v>
      </c>
      <c r="S470" s="39" t="s">
        <v>326</v>
      </c>
      <c r="T470" s="39"/>
      <c r="U470" s="39"/>
      <c r="V470" s="117">
        <v>46256</v>
      </c>
      <c r="W470" s="39">
        <v>113</v>
      </c>
      <c r="X470" s="39"/>
      <c r="Y470" s="39"/>
      <c r="Z470" s="39"/>
      <c r="AA470" s="39"/>
      <c r="AB470" s="118">
        <f t="shared" si="315"/>
        <v>0</v>
      </c>
      <c r="AC470" s="39"/>
      <c r="AD470" s="39"/>
      <c r="AE470" s="39"/>
      <c r="AF470" s="39"/>
      <c r="AG470" s="39"/>
      <c r="AH470" s="39">
        <f t="shared" si="296"/>
        <v>0</v>
      </c>
      <c r="AI470" s="39"/>
      <c r="AJ470" s="39"/>
      <c r="AK470" s="39"/>
      <c r="AL470" s="39"/>
      <c r="AM470" s="39"/>
      <c r="AN470" s="39">
        <f t="shared" si="312"/>
        <v>0</v>
      </c>
      <c r="AO470" s="39"/>
      <c r="AP470" s="39"/>
      <c r="AQ470" s="39"/>
      <c r="AR470" s="39"/>
      <c r="AS470" s="39"/>
      <c r="AT470" s="39">
        <f t="shared" si="297"/>
        <v>0</v>
      </c>
      <c r="AU470" s="39"/>
      <c r="AV470" s="39"/>
      <c r="AW470" s="39"/>
      <c r="AX470" s="39"/>
      <c r="AY470" s="39"/>
      <c r="AZ470" s="39">
        <f t="shared" si="298"/>
        <v>0</v>
      </c>
      <c r="BA470" s="39"/>
      <c r="BB470" s="39"/>
      <c r="BC470" s="39"/>
      <c r="BD470" s="39"/>
      <c r="BE470" s="39"/>
      <c r="BF470" s="39">
        <f t="shared" si="299"/>
        <v>0</v>
      </c>
      <c r="BG470" s="39"/>
      <c r="BH470" s="39"/>
      <c r="BI470" s="39"/>
      <c r="BJ470" s="39"/>
      <c r="BK470" s="39"/>
      <c r="BL470" s="39">
        <f t="shared" si="300"/>
        <v>0</v>
      </c>
      <c r="BM470" s="54">
        <f t="shared" ca="1" si="301"/>
        <v>46283</v>
      </c>
      <c r="BN470" s="58">
        <v>46271</v>
      </c>
      <c r="BO470" s="57">
        <v>46282</v>
      </c>
      <c r="BP470" s="57"/>
      <c r="BQ470" s="57"/>
      <c r="BR470" s="39"/>
      <c r="BS470" s="39"/>
      <c r="BT470" s="39"/>
      <c r="BU470" s="39"/>
      <c r="BV470" s="39"/>
      <c r="BW470" s="39"/>
      <c r="BX470" s="39"/>
      <c r="BY470" s="39"/>
      <c r="BZ470" s="39">
        <f t="shared" si="302"/>
        <v>0</v>
      </c>
      <c r="CA470" s="39">
        <f t="shared" si="303"/>
        <v>-93</v>
      </c>
      <c r="CB470" s="39">
        <f t="shared" si="304"/>
        <v>0</v>
      </c>
      <c r="CC470" s="39">
        <f t="shared" si="305"/>
        <v>0</v>
      </c>
      <c r="CD470" s="39">
        <f t="shared" si="308"/>
        <v>-93</v>
      </c>
      <c r="CE470" s="102">
        <f t="shared" si="306"/>
        <v>-1</v>
      </c>
      <c r="CF470" s="36" t="s">
        <v>250</v>
      </c>
      <c r="CG470" s="39" t="s">
        <v>415</v>
      </c>
      <c r="CH470" s="39"/>
      <c r="CI470" s="25">
        <v>1</v>
      </c>
    </row>
    <row r="471" spans="1:87" ht="24.75" customHeight="1">
      <c r="A471" s="36" t="s">
        <v>387</v>
      </c>
      <c r="B471" s="27">
        <v>48616</v>
      </c>
      <c r="C471" s="236"/>
      <c r="D471" s="36"/>
      <c r="E471" s="39">
        <v>190</v>
      </c>
      <c r="F471" s="39" t="s">
        <v>59</v>
      </c>
      <c r="G471" s="36" t="s">
        <v>93</v>
      </c>
      <c r="H471" s="36" t="s">
        <v>96</v>
      </c>
      <c r="I471" s="39">
        <v>63</v>
      </c>
      <c r="J471" s="39"/>
      <c r="K471" s="39"/>
      <c r="L471" s="39">
        <f t="shared" si="317"/>
        <v>63</v>
      </c>
      <c r="M471" s="117">
        <v>46262</v>
      </c>
      <c r="N471" s="117">
        <v>46268</v>
      </c>
      <c r="O471" s="39"/>
      <c r="P471" s="39"/>
      <c r="Q471" s="39"/>
      <c r="R471" s="39">
        <f t="shared" si="314"/>
        <v>0</v>
      </c>
      <c r="S471" s="39" t="s">
        <v>130</v>
      </c>
      <c r="T471" s="39"/>
      <c r="U471" s="39"/>
      <c r="V471" s="39"/>
      <c r="W471" s="39"/>
      <c r="X471" s="39"/>
      <c r="Y471" s="39"/>
      <c r="Z471" s="39"/>
      <c r="AA471" s="39"/>
      <c r="AB471" s="118">
        <f t="shared" si="315"/>
        <v>0</v>
      </c>
      <c r="AC471" s="39"/>
      <c r="AD471" s="39"/>
      <c r="AE471" s="39"/>
      <c r="AF471" s="39"/>
      <c r="AG471" s="39"/>
      <c r="AH471" s="39">
        <f t="shared" si="296"/>
        <v>0</v>
      </c>
      <c r="AI471" s="39"/>
      <c r="AJ471" s="39"/>
      <c r="AK471" s="39"/>
      <c r="AL471" s="39"/>
      <c r="AM471" s="39"/>
      <c r="AN471" s="39">
        <f t="shared" si="312"/>
        <v>0</v>
      </c>
      <c r="AO471" s="39"/>
      <c r="AP471" s="39"/>
      <c r="AQ471" s="39"/>
      <c r="AR471" s="39"/>
      <c r="AS471" s="39"/>
      <c r="AT471" s="39">
        <f t="shared" si="297"/>
        <v>0</v>
      </c>
      <c r="AU471" s="39"/>
      <c r="AV471" s="39"/>
      <c r="AW471" s="39"/>
      <c r="AX471" s="39"/>
      <c r="AY471" s="39"/>
      <c r="AZ471" s="39">
        <f t="shared" si="298"/>
        <v>0</v>
      </c>
      <c r="BA471" s="39"/>
      <c r="BB471" s="39"/>
      <c r="BC471" s="39"/>
      <c r="BD471" s="39"/>
      <c r="BE471" s="39"/>
      <c r="BF471" s="39">
        <f t="shared" si="299"/>
        <v>0</v>
      </c>
      <c r="BG471" s="39"/>
      <c r="BH471" s="39"/>
      <c r="BI471" s="39"/>
      <c r="BJ471" s="39"/>
      <c r="BK471" s="39"/>
      <c r="BL471" s="39">
        <f t="shared" si="300"/>
        <v>0</v>
      </c>
      <c r="BM471" s="54">
        <f t="shared" ca="1" si="301"/>
        <v>46283</v>
      </c>
      <c r="BN471" s="58">
        <v>46271</v>
      </c>
      <c r="BO471" s="57">
        <v>46282</v>
      </c>
      <c r="BP471" s="57"/>
      <c r="BQ471" s="57"/>
      <c r="BR471" s="39"/>
      <c r="BS471" s="39"/>
      <c r="BT471" s="39"/>
      <c r="BU471" s="39"/>
      <c r="BV471" s="39"/>
      <c r="BW471" s="39"/>
      <c r="BX471" s="39"/>
      <c r="BY471" s="39"/>
      <c r="BZ471" s="39">
        <f t="shared" si="302"/>
        <v>0</v>
      </c>
      <c r="CA471" s="39">
        <f t="shared" si="303"/>
        <v>-63</v>
      </c>
      <c r="CB471" s="39">
        <f t="shared" si="304"/>
        <v>0</v>
      </c>
      <c r="CC471" s="39">
        <f t="shared" si="305"/>
        <v>0</v>
      </c>
      <c r="CD471" s="39">
        <f t="shared" si="308"/>
        <v>-63</v>
      </c>
      <c r="CE471" s="102">
        <f t="shared" si="306"/>
        <v>-1</v>
      </c>
      <c r="CF471" s="36" t="s">
        <v>250</v>
      </c>
      <c r="CG471" s="39" t="s">
        <v>415</v>
      </c>
      <c r="CH471" s="39"/>
      <c r="CI471" s="25">
        <v>1</v>
      </c>
    </row>
    <row r="472" spans="1:87" ht="24.75" customHeight="1">
      <c r="A472" s="36" t="s">
        <v>387</v>
      </c>
      <c r="B472" s="27">
        <v>48615</v>
      </c>
      <c r="C472" s="235">
        <v>15390900</v>
      </c>
      <c r="D472" s="36" t="s">
        <v>37</v>
      </c>
      <c r="E472" s="39">
        <v>190</v>
      </c>
      <c r="F472" s="39" t="s">
        <v>59</v>
      </c>
      <c r="G472" s="36" t="s">
        <v>105</v>
      </c>
      <c r="H472" s="36" t="s">
        <v>96</v>
      </c>
      <c r="I472" s="39">
        <v>76</v>
      </c>
      <c r="J472" s="39"/>
      <c r="K472" s="39"/>
      <c r="L472" s="39">
        <f t="shared" ref="L472:L476" si="318">SUM(I472:K472)</f>
        <v>76</v>
      </c>
      <c r="M472" s="117">
        <v>46288</v>
      </c>
      <c r="N472" s="117">
        <v>46268</v>
      </c>
      <c r="O472" s="39"/>
      <c r="P472" s="39"/>
      <c r="Q472" s="39"/>
      <c r="R472" s="39">
        <f t="shared" ref="R472:R474" si="319">SUM(O472:Q472)</f>
        <v>0</v>
      </c>
      <c r="S472" s="39" t="s">
        <v>130</v>
      </c>
      <c r="T472" s="39"/>
      <c r="U472" s="39"/>
      <c r="V472" s="39"/>
      <c r="W472" s="39"/>
      <c r="X472" s="39"/>
      <c r="Y472" s="39"/>
      <c r="Z472" s="39"/>
      <c r="AA472" s="39"/>
      <c r="AB472" s="118">
        <f t="shared" ref="AB472:AB474" si="320">SUM(Y472:AA472)</f>
        <v>0</v>
      </c>
      <c r="AC472" s="39"/>
      <c r="AD472" s="39"/>
      <c r="AE472" s="39"/>
      <c r="AF472" s="39"/>
      <c r="AG472" s="39"/>
      <c r="AH472" s="39">
        <f t="shared" si="296"/>
        <v>0</v>
      </c>
      <c r="AI472" s="39"/>
      <c r="AJ472" s="39"/>
      <c r="AK472" s="39"/>
      <c r="AL472" s="39"/>
      <c r="AM472" s="39"/>
      <c r="AN472" s="39">
        <f t="shared" si="312"/>
        <v>0</v>
      </c>
      <c r="AO472" s="39"/>
      <c r="AP472" s="39"/>
      <c r="AQ472" s="39"/>
      <c r="AR472" s="39"/>
      <c r="AS472" s="39"/>
      <c r="AT472" s="39">
        <f t="shared" si="297"/>
        <v>0</v>
      </c>
      <c r="AU472" s="39"/>
      <c r="AV472" s="39"/>
      <c r="AW472" s="39"/>
      <c r="AX472" s="39"/>
      <c r="AY472" s="39"/>
      <c r="AZ472" s="39">
        <f t="shared" si="298"/>
        <v>0</v>
      </c>
      <c r="BA472" s="39"/>
      <c r="BB472" s="39"/>
      <c r="BC472" s="39"/>
      <c r="BD472" s="39"/>
      <c r="BE472" s="39"/>
      <c r="BF472" s="39">
        <f t="shared" si="299"/>
        <v>0</v>
      </c>
      <c r="BG472" s="39"/>
      <c r="BH472" s="39"/>
      <c r="BI472" s="39"/>
      <c r="BJ472" s="39"/>
      <c r="BK472" s="39"/>
      <c r="BL472" s="39">
        <f t="shared" si="300"/>
        <v>0</v>
      </c>
      <c r="BM472" s="54">
        <f t="shared" ca="1" si="301"/>
        <v>46283</v>
      </c>
      <c r="BN472" s="58">
        <v>46267</v>
      </c>
      <c r="BO472" s="57">
        <v>46282</v>
      </c>
      <c r="BP472" s="57">
        <v>46280</v>
      </c>
      <c r="BQ472" s="57">
        <v>46286</v>
      </c>
      <c r="BR472" s="39"/>
      <c r="BS472" s="39"/>
      <c r="BT472" s="39"/>
      <c r="BU472" s="39"/>
      <c r="BV472" s="39"/>
      <c r="BW472" s="39"/>
      <c r="BX472" s="39"/>
      <c r="BY472" s="39"/>
      <c r="BZ472" s="39">
        <f t="shared" si="302"/>
        <v>0</v>
      </c>
      <c r="CA472" s="39">
        <f t="shared" si="303"/>
        <v>-76</v>
      </c>
      <c r="CB472" s="39">
        <f t="shared" si="304"/>
        <v>0</v>
      </c>
      <c r="CC472" s="39">
        <f t="shared" si="305"/>
        <v>0</v>
      </c>
      <c r="CD472" s="39">
        <f t="shared" si="308"/>
        <v>-76</v>
      </c>
      <c r="CE472" s="102">
        <f t="shared" si="306"/>
        <v>-1</v>
      </c>
      <c r="CF472" s="36" t="s">
        <v>250</v>
      </c>
      <c r="CG472" s="39" t="s">
        <v>415</v>
      </c>
      <c r="CH472" s="39"/>
      <c r="CI472" s="25">
        <v>1</v>
      </c>
    </row>
    <row r="473" spans="1:87" ht="24.75" customHeight="1">
      <c r="A473" s="36" t="s">
        <v>387</v>
      </c>
      <c r="B473" s="27">
        <v>48615</v>
      </c>
      <c r="C473" s="240"/>
      <c r="D473" s="36" t="s">
        <v>37</v>
      </c>
      <c r="E473" s="39">
        <v>190</v>
      </c>
      <c r="F473" s="39" t="s">
        <v>59</v>
      </c>
      <c r="G473" s="36" t="s">
        <v>2284</v>
      </c>
      <c r="H473" s="36" t="s">
        <v>96</v>
      </c>
      <c r="I473" s="39">
        <v>217</v>
      </c>
      <c r="J473" s="39"/>
      <c r="K473" s="39"/>
      <c r="L473" s="39">
        <f t="shared" si="318"/>
        <v>217</v>
      </c>
      <c r="M473" s="117">
        <v>46288</v>
      </c>
      <c r="N473" s="117">
        <v>46268</v>
      </c>
      <c r="O473" s="39"/>
      <c r="P473" s="39"/>
      <c r="Q473" s="39"/>
      <c r="R473" s="39">
        <f t="shared" ref="R473" si="321">SUM(O473:Q473)</f>
        <v>0</v>
      </c>
      <c r="S473" s="39" t="s">
        <v>326</v>
      </c>
      <c r="T473" s="39"/>
      <c r="U473" s="39"/>
      <c r="V473" s="117">
        <v>46256</v>
      </c>
      <c r="W473" s="39">
        <v>244</v>
      </c>
      <c r="X473" s="39"/>
      <c r="Y473" s="39"/>
      <c r="Z473" s="39"/>
      <c r="AA473" s="39"/>
      <c r="AB473" s="118">
        <f t="shared" si="320"/>
        <v>0</v>
      </c>
      <c r="AC473" s="39"/>
      <c r="AD473" s="39"/>
      <c r="AE473" s="39"/>
      <c r="AF473" s="39"/>
      <c r="AG473" s="39"/>
      <c r="AH473" s="39">
        <f t="shared" si="296"/>
        <v>0</v>
      </c>
      <c r="AI473" s="39"/>
      <c r="AJ473" s="39"/>
      <c r="AK473" s="39"/>
      <c r="AL473" s="39"/>
      <c r="AM473" s="39"/>
      <c r="AN473" s="39">
        <f t="shared" si="312"/>
        <v>0</v>
      </c>
      <c r="AO473" s="39"/>
      <c r="AP473" s="39"/>
      <c r="AQ473" s="39"/>
      <c r="AR473" s="39"/>
      <c r="AS473" s="39"/>
      <c r="AT473" s="39">
        <f t="shared" si="297"/>
        <v>0</v>
      </c>
      <c r="AU473" s="39"/>
      <c r="AV473" s="39"/>
      <c r="AW473" s="39"/>
      <c r="AX473" s="39"/>
      <c r="AY473" s="39"/>
      <c r="AZ473" s="39">
        <f t="shared" si="298"/>
        <v>0</v>
      </c>
      <c r="BA473" s="39"/>
      <c r="BB473" s="39"/>
      <c r="BC473" s="39"/>
      <c r="BD473" s="39"/>
      <c r="BE473" s="39"/>
      <c r="BF473" s="39">
        <f t="shared" si="299"/>
        <v>0</v>
      </c>
      <c r="BG473" s="39"/>
      <c r="BH473" s="39"/>
      <c r="BI473" s="39"/>
      <c r="BJ473" s="39"/>
      <c r="BK473" s="39"/>
      <c r="BL473" s="39">
        <f t="shared" si="300"/>
        <v>0</v>
      </c>
      <c r="BM473" s="54">
        <f t="shared" ca="1" si="301"/>
        <v>46283</v>
      </c>
      <c r="BN473" s="58">
        <v>46267</v>
      </c>
      <c r="BO473" s="57">
        <v>46282</v>
      </c>
      <c r="BP473" s="57">
        <v>46280</v>
      </c>
      <c r="BQ473" s="57">
        <v>46286</v>
      </c>
      <c r="BR473" s="39"/>
      <c r="BS473" s="39"/>
      <c r="BT473" s="39"/>
      <c r="BU473" s="39"/>
      <c r="BV473" s="39"/>
      <c r="BW473" s="39"/>
      <c r="BX473" s="39"/>
      <c r="BY473" s="39"/>
      <c r="BZ473" s="39">
        <f t="shared" si="302"/>
        <v>0</v>
      </c>
      <c r="CA473" s="39">
        <f t="shared" si="303"/>
        <v>-217</v>
      </c>
      <c r="CB473" s="39">
        <f t="shared" si="304"/>
        <v>0</v>
      </c>
      <c r="CC473" s="39">
        <f t="shared" si="305"/>
        <v>0</v>
      </c>
      <c r="CD473" s="39">
        <f t="shared" si="308"/>
        <v>-217</v>
      </c>
      <c r="CE473" s="102">
        <f t="shared" si="306"/>
        <v>-1</v>
      </c>
      <c r="CF473" s="36" t="s">
        <v>250</v>
      </c>
      <c r="CG473" s="39" t="s">
        <v>415</v>
      </c>
      <c r="CH473" s="39"/>
      <c r="CI473" s="25">
        <v>1</v>
      </c>
    </row>
    <row r="474" spans="1:87" ht="24.75" customHeight="1">
      <c r="A474" s="36" t="s">
        <v>387</v>
      </c>
      <c r="B474" s="27">
        <v>48615</v>
      </c>
      <c r="C474" s="240"/>
      <c r="D474" s="36" t="s">
        <v>24</v>
      </c>
      <c r="E474" s="39">
        <v>190</v>
      </c>
      <c r="F474" s="39" t="s">
        <v>58</v>
      </c>
      <c r="G474" s="36" t="s">
        <v>2356</v>
      </c>
      <c r="H474" s="36" t="s">
        <v>96</v>
      </c>
      <c r="I474" s="39">
        <v>80</v>
      </c>
      <c r="J474" s="39"/>
      <c r="K474" s="39"/>
      <c r="L474" s="39">
        <f t="shared" si="318"/>
        <v>80</v>
      </c>
      <c r="M474" s="117">
        <v>46266</v>
      </c>
      <c r="N474" s="117">
        <v>46272</v>
      </c>
      <c r="O474" s="39"/>
      <c r="P474" s="39"/>
      <c r="Q474" s="39"/>
      <c r="R474" s="39">
        <f t="shared" si="319"/>
        <v>0</v>
      </c>
      <c r="S474" s="39" t="s">
        <v>130</v>
      </c>
      <c r="T474" s="39"/>
      <c r="U474" s="39"/>
      <c r="V474" s="39"/>
      <c r="W474" s="39"/>
      <c r="X474" s="39"/>
      <c r="Y474" s="39"/>
      <c r="Z474" s="39"/>
      <c r="AA474" s="39"/>
      <c r="AB474" s="118">
        <f t="shared" si="320"/>
        <v>0</v>
      </c>
      <c r="AC474" s="39"/>
      <c r="AD474" s="39"/>
      <c r="AE474" s="39"/>
      <c r="AF474" s="39"/>
      <c r="AG474" s="39"/>
      <c r="AH474" s="39">
        <f t="shared" si="296"/>
        <v>0</v>
      </c>
      <c r="AI474" s="39"/>
      <c r="AJ474" s="39"/>
      <c r="AK474" s="39"/>
      <c r="AL474" s="39"/>
      <c r="AM474" s="39"/>
      <c r="AN474" s="39">
        <f t="shared" si="312"/>
        <v>0</v>
      </c>
      <c r="AO474" s="39"/>
      <c r="AP474" s="39"/>
      <c r="AQ474" s="39"/>
      <c r="AR474" s="39"/>
      <c r="AS474" s="39"/>
      <c r="AT474" s="39">
        <f t="shared" si="297"/>
        <v>0</v>
      </c>
      <c r="AU474" s="39"/>
      <c r="AV474" s="39"/>
      <c r="AW474" s="39"/>
      <c r="AX474" s="39"/>
      <c r="AY474" s="39"/>
      <c r="AZ474" s="39">
        <f t="shared" si="298"/>
        <v>0</v>
      </c>
      <c r="BA474" s="39"/>
      <c r="BB474" s="39"/>
      <c r="BC474" s="39"/>
      <c r="BD474" s="39"/>
      <c r="BE474" s="39"/>
      <c r="BF474" s="39">
        <f t="shared" si="299"/>
        <v>0</v>
      </c>
      <c r="BG474" s="39"/>
      <c r="BH474" s="39"/>
      <c r="BI474" s="39"/>
      <c r="BJ474" s="39"/>
      <c r="BK474" s="39"/>
      <c r="BL474" s="39">
        <f t="shared" si="300"/>
        <v>0</v>
      </c>
      <c r="BM474" s="54">
        <f t="shared" ca="1" si="301"/>
        <v>46283</v>
      </c>
      <c r="BN474" s="58">
        <v>46274</v>
      </c>
      <c r="BO474" s="57">
        <v>46280</v>
      </c>
      <c r="BP474" s="36"/>
      <c r="BQ474" s="36"/>
      <c r="BR474" s="39"/>
      <c r="BS474" s="39"/>
      <c r="BT474" s="39"/>
      <c r="BU474" s="39"/>
      <c r="BV474" s="39"/>
      <c r="BW474" s="39"/>
      <c r="BX474" s="39"/>
      <c r="BY474" s="39"/>
      <c r="BZ474" s="39">
        <f t="shared" si="302"/>
        <v>0</v>
      </c>
      <c r="CA474" s="39">
        <f t="shared" si="303"/>
        <v>-80</v>
      </c>
      <c r="CB474" s="39">
        <f t="shared" si="304"/>
        <v>0</v>
      </c>
      <c r="CC474" s="39">
        <f t="shared" si="305"/>
        <v>0</v>
      </c>
      <c r="CD474" s="39">
        <f t="shared" si="308"/>
        <v>-80</v>
      </c>
      <c r="CE474" s="102">
        <f t="shared" si="306"/>
        <v>-1</v>
      </c>
      <c r="CF474" s="36" t="s">
        <v>250</v>
      </c>
      <c r="CG474" s="39" t="s">
        <v>415</v>
      </c>
      <c r="CH474" s="39"/>
      <c r="CI474" s="25">
        <v>1</v>
      </c>
    </row>
    <row r="475" spans="1:87" ht="24.75" customHeight="1">
      <c r="A475" s="36" t="s">
        <v>387</v>
      </c>
      <c r="B475" s="27">
        <v>48615</v>
      </c>
      <c r="C475" s="240"/>
      <c r="D475" s="36"/>
      <c r="E475" s="39">
        <v>190</v>
      </c>
      <c r="F475" s="39" t="s">
        <v>59</v>
      </c>
      <c r="G475" s="36" t="s">
        <v>187</v>
      </c>
      <c r="H475" s="36" t="s">
        <v>96</v>
      </c>
      <c r="I475" s="39">
        <v>407</v>
      </c>
      <c r="J475" s="39"/>
      <c r="K475" s="39"/>
      <c r="L475" s="39">
        <f t="shared" si="318"/>
        <v>407</v>
      </c>
      <c r="M475" s="117">
        <v>46288</v>
      </c>
      <c r="N475" s="117">
        <v>46268</v>
      </c>
      <c r="O475" s="39"/>
      <c r="P475" s="39"/>
      <c r="Q475" s="39"/>
      <c r="R475" s="39">
        <f t="shared" ref="R475:R481" si="322">SUM(O475:Q475)</f>
        <v>0</v>
      </c>
      <c r="S475" s="39" t="s">
        <v>130</v>
      </c>
      <c r="T475" s="39"/>
      <c r="U475" s="39"/>
      <c r="V475" s="39"/>
      <c r="W475" s="39"/>
      <c r="X475" s="39"/>
      <c r="Y475" s="39"/>
      <c r="Z475" s="39"/>
      <c r="AA475" s="39"/>
      <c r="AB475" s="118">
        <f t="shared" ref="AB475:AB481" si="323">SUM(Y475:AA475)</f>
        <v>0</v>
      </c>
      <c r="AC475" s="39"/>
      <c r="AD475" s="39"/>
      <c r="AE475" s="39"/>
      <c r="AF475" s="39"/>
      <c r="AG475" s="39"/>
      <c r="AH475" s="39">
        <f t="shared" si="296"/>
        <v>0</v>
      </c>
      <c r="AI475" s="39"/>
      <c r="AJ475" s="39"/>
      <c r="AK475" s="39"/>
      <c r="AL475" s="39"/>
      <c r="AM475" s="39"/>
      <c r="AN475" s="39">
        <f t="shared" si="312"/>
        <v>0</v>
      </c>
      <c r="AO475" s="39"/>
      <c r="AP475" s="39"/>
      <c r="AQ475" s="39"/>
      <c r="AR475" s="39"/>
      <c r="AS475" s="39"/>
      <c r="AT475" s="39">
        <f t="shared" si="297"/>
        <v>0</v>
      </c>
      <c r="AU475" s="39"/>
      <c r="AV475" s="39"/>
      <c r="AW475" s="39"/>
      <c r="AX475" s="39"/>
      <c r="AY475" s="39"/>
      <c r="AZ475" s="39">
        <f t="shared" si="298"/>
        <v>0</v>
      </c>
      <c r="BA475" s="39"/>
      <c r="BB475" s="39"/>
      <c r="BC475" s="39"/>
      <c r="BD475" s="39"/>
      <c r="BE475" s="39"/>
      <c r="BF475" s="39">
        <f t="shared" si="299"/>
        <v>0</v>
      </c>
      <c r="BG475" s="39"/>
      <c r="BH475" s="39"/>
      <c r="BI475" s="39"/>
      <c r="BJ475" s="39"/>
      <c r="BK475" s="39"/>
      <c r="BL475" s="39">
        <f t="shared" si="300"/>
        <v>0</v>
      </c>
      <c r="BM475" s="54">
        <f t="shared" ca="1" si="301"/>
        <v>46283</v>
      </c>
      <c r="BN475" s="58">
        <v>46267</v>
      </c>
      <c r="BO475" s="57">
        <v>46282</v>
      </c>
      <c r="BP475" s="36"/>
      <c r="BQ475" s="36"/>
      <c r="BR475" s="39"/>
      <c r="BS475" s="39"/>
      <c r="BT475" s="39"/>
      <c r="BU475" s="39"/>
      <c r="BV475" s="39"/>
      <c r="BW475" s="39"/>
      <c r="BX475" s="39"/>
      <c r="BY475" s="39"/>
      <c r="BZ475" s="39">
        <f t="shared" si="302"/>
        <v>0</v>
      </c>
      <c r="CA475" s="39">
        <f t="shared" si="303"/>
        <v>-407</v>
      </c>
      <c r="CB475" s="39">
        <f t="shared" si="304"/>
        <v>0</v>
      </c>
      <c r="CC475" s="39">
        <f t="shared" si="305"/>
        <v>0</v>
      </c>
      <c r="CD475" s="39">
        <f t="shared" si="308"/>
        <v>-407</v>
      </c>
      <c r="CE475" s="102">
        <f t="shared" si="306"/>
        <v>-1</v>
      </c>
      <c r="CF475" s="36" t="s">
        <v>250</v>
      </c>
      <c r="CG475" s="39" t="s">
        <v>415</v>
      </c>
      <c r="CH475" s="39"/>
      <c r="CI475" s="25">
        <v>1</v>
      </c>
    </row>
    <row r="476" spans="1:87" ht="24.75" customHeight="1">
      <c r="A476" s="36" t="s">
        <v>387</v>
      </c>
      <c r="B476" s="27">
        <v>48615</v>
      </c>
      <c r="C476" s="240"/>
      <c r="D476" s="36" t="s">
        <v>37</v>
      </c>
      <c r="E476" s="39">
        <v>190</v>
      </c>
      <c r="F476" s="39" t="s">
        <v>59</v>
      </c>
      <c r="G476" s="36" t="s">
        <v>2417</v>
      </c>
      <c r="H476" s="36" t="s">
        <v>96</v>
      </c>
      <c r="I476" s="39">
        <v>144</v>
      </c>
      <c r="J476" s="39"/>
      <c r="K476" s="39"/>
      <c r="L476" s="39">
        <f t="shared" si="318"/>
        <v>144</v>
      </c>
      <c r="M476" s="117">
        <v>46288</v>
      </c>
      <c r="N476" s="117">
        <v>46268</v>
      </c>
      <c r="O476" s="39"/>
      <c r="P476" s="39"/>
      <c r="Q476" s="39"/>
      <c r="R476" s="39">
        <f t="shared" si="322"/>
        <v>0</v>
      </c>
      <c r="S476" s="39" t="s">
        <v>28</v>
      </c>
      <c r="T476" s="39"/>
      <c r="U476" s="39"/>
      <c r="V476" s="117">
        <v>46256</v>
      </c>
      <c r="W476" s="39">
        <v>174</v>
      </c>
      <c r="X476" s="39"/>
      <c r="Y476" s="39"/>
      <c r="Z476" s="39"/>
      <c r="AA476" s="39"/>
      <c r="AB476" s="118">
        <f t="shared" si="323"/>
        <v>0</v>
      </c>
      <c r="AC476" s="39"/>
      <c r="AD476" s="39"/>
      <c r="AE476" s="39"/>
      <c r="AF476" s="39"/>
      <c r="AG476" s="39"/>
      <c r="AH476" s="39">
        <f t="shared" si="296"/>
        <v>0</v>
      </c>
      <c r="AI476" s="39"/>
      <c r="AJ476" s="39"/>
      <c r="AK476" s="39"/>
      <c r="AL476" s="39"/>
      <c r="AM476" s="39"/>
      <c r="AN476" s="39">
        <f t="shared" si="312"/>
        <v>0</v>
      </c>
      <c r="AO476" s="39"/>
      <c r="AP476" s="39"/>
      <c r="AQ476" s="39"/>
      <c r="AR476" s="39"/>
      <c r="AS476" s="39"/>
      <c r="AT476" s="39">
        <f t="shared" si="297"/>
        <v>0</v>
      </c>
      <c r="AU476" s="39"/>
      <c r="AV476" s="39"/>
      <c r="AW476" s="39"/>
      <c r="AX476" s="39"/>
      <c r="AY476" s="39"/>
      <c r="AZ476" s="39">
        <f t="shared" si="298"/>
        <v>0</v>
      </c>
      <c r="BA476" s="39"/>
      <c r="BB476" s="39"/>
      <c r="BC476" s="39"/>
      <c r="BD476" s="39"/>
      <c r="BE476" s="39"/>
      <c r="BF476" s="39">
        <f t="shared" si="299"/>
        <v>0</v>
      </c>
      <c r="BG476" s="39"/>
      <c r="BH476" s="39"/>
      <c r="BI476" s="39"/>
      <c r="BJ476" s="39"/>
      <c r="BK476" s="39"/>
      <c r="BL476" s="39">
        <f t="shared" si="300"/>
        <v>0</v>
      </c>
      <c r="BM476" s="54">
        <f t="shared" ca="1" si="301"/>
        <v>46283</v>
      </c>
      <c r="BN476" s="58">
        <v>46267</v>
      </c>
      <c r="BO476" s="57">
        <v>46282</v>
      </c>
      <c r="BP476" s="57">
        <v>46280</v>
      </c>
      <c r="BQ476" s="57">
        <v>46286</v>
      </c>
      <c r="BR476" s="39"/>
      <c r="BS476" s="39"/>
      <c r="BT476" s="39"/>
      <c r="BU476" s="39"/>
      <c r="BV476" s="39"/>
      <c r="BW476" s="39"/>
      <c r="BX476" s="39"/>
      <c r="BY476" s="39"/>
      <c r="BZ476" s="39">
        <f t="shared" si="302"/>
        <v>0</v>
      </c>
      <c r="CA476" s="39">
        <f t="shared" si="303"/>
        <v>-144</v>
      </c>
      <c r="CB476" s="39">
        <f t="shared" si="304"/>
        <v>0</v>
      </c>
      <c r="CC476" s="39">
        <f t="shared" si="305"/>
        <v>0</v>
      </c>
      <c r="CD476" s="39">
        <f t="shared" si="308"/>
        <v>-144</v>
      </c>
      <c r="CE476" s="102">
        <f t="shared" si="306"/>
        <v>-1</v>
      </c>
      <c r="CF476" s="36" t="s">
        <v>250</v>
      </c>
      <c r="CG476" s="39" t="s">
        <v>415</v>
      </c>
      <c r="CH476" s="39"/>
      <c r="CI476" s="25">
        <v>1</v>
      </c>
    </row>
    <row r="477" spans="1:87" ht="24.75" customHeight="1">
      <c r="A477" s="36" t="s">
        <v>387</v>
      </c>
      <c r="B477" s="27">
        <v>48615</v>
      </c>
      <c r="C477" s="240"/>
      <c r="D477" s="36"/>
      <c r="E477" s="39">
        <v>190</v>
      </c>
      <c r="F477" s="39" t="s">
        <v>59</v>
      </c>
      <c r="G477" s="36" t="s">
        <v>1215</v>
      </c>
      <c r="H477" s="36" t="s">
        <v>96</v>
      </c>
      <c r="I477" s="39">
        <v>312</v>
      </c>
      <c r="J477" s="39"/>
      <c r="K477" s="39"/>
      <c r="L477" s="39">
        <f t="shared" ref="L477" si="324">SUM(I477:K477)</f>
        <v>312</v>
      </c>
      <c r="M477" s="117">
        <v>46288</v>
      </c>
      <c r="N477" s="117">
        <v>46268</v>
      </c>
      <c r="O477" s="39"/>
      <c r="P477" s="39"/>
      <c r="Q477" s="39"/>
      <c r="R477" s="39">
        <f t="shared" si="322"/>
        <v>0</v>
      </c>
      <c r="S477" s="39" t="s">
        <v>326</v>
      </c>
      <c r="T477" s="39"/>
      <c r="U477" s="39"/>
      <c r="V477" s="117">
        <v>46256</v>
      </c>
      <c r="W477" s="39">
        <v>350</v>
      </c>
      <c r="X477" s="39"/>
      <c r="Y477" s="39"/>
      <c r="Z477" s="39"/>
      <c r="AA477" s="39"/>
      <c r="AB477" s="118">
        <f t="shared" si="323"/>
        <v>0</v>
      </c>
      <c r="AC477" s="39"/>
      <c r="AD477" s="39"/>
      <c r="AE477" s="39"/>
      <c r="AF477" s="39"/>
      <c r="AG477" s="39"/>
      <c r="AH477" s="39">
        <f t="shared" si="296"/>
        <v>0</v>
      </c>
      <c r="AI477" s="39"/>
      <c r="AJ477" s="39"/>
      <c r="AK477" s="39"/>
      <c r="AL477" s="39"/>
      <c r="AM477" s="39"/>
      <c r="AN477" s="39">
        <f t="shared" si="312"/>
        <v>0</v>
      </c>
      <c r="AO477" s="39"/>
      <c r="AP477" s="39"/>
      <c r="AQ477" s="39"/>
      <c r="AR477" s="39"/>
      <c r="AS477" s="39"/>
      <c r="AT477" s="39">
        <f t="shared" si="297"/>
        <v>0</v>
      </c>
      <c r="AU477" s="39"/>
      <c r="AV477" s="39"/>
      <c r="AW477" s="39"/>
      <c r="AX477" s="39"/>
      <c r="AY477" s="39"/>
      <c r="AZ477" s="39">
        <f t="shared" si="298"/>
        <v>0</v>
      </c>
      <c r="BA477" s="39"/>
      <c r="BB477" s="39"/>
      <c r="BC477" s="39"/>
      <c r="BD477" s="39"/>
      <c r="BE477" s="39"/>
      <c r="BF477" s="39">
        <f t="shared" si="299"/>
        <v>0</v>
      </c>
      <c r="BG477" s="39"/>
      <c r="BH477" s="39"/>
      <c r="BI477" s="39"/>
      <c r="BJ477" s="39"/>
      <c r="BK477" s="39"/>
      <c r="BL477" s="39">
        <f t="shared" si="300"/>
        <v>0</v>
      </c>
      <c r="BM477" s="54">
        <f t="shared" ca="1" si="301"/>
        <v>46283</v>
      </c>
      <c r="BN477" s="58">
        <v>46267</v>
      </c>
      <c r="BO477" s="57">
        <v>46282</v>
      </c>
      <c r="BP477" s="36"/>
      <c r="BQ477" s="36"/>
      <c r="BR477" s="39"/>
      <c r="BS477" s="39"/>
      <c r="BT477" s="39"/>
      <c r="BU477" s="39"/>
      <c r="BV477" s="39"/>
      <c r="BW477" s="39"/>
      <c r="BX477" s="39"/>
      <c r="BY477" s="39"/>
      <c r="BZ477" s="39">
        <f t="shared" si="302"/>
        <v>0</v>
      </c>
      <c r="CA477" s="39">
        <f t="shared" si="303"/>
        <v>-312</v>
      </c>
      <c r="CB477" s="39">
        <f t="shared" si="304"/>
        <v>0</v>
      </c>
      <c r="CC477" s="39">
        <f t="shared" si="305"/>
        <v>0</v>
      </c>
      <c r="CD477" s="39">
        <f t="shared" si="308"/>
        <v>-312</v>
      </c>
      <c r="CE477" s="102">
        <f t="shared" si="306"/>
        <v>-1</v>
      </c>
      <c r="CF477" s="36" t="s">
        <v>250</v>
      </c>
      <c r="CG477" s="39" t="s">
        <v>415</v>
      </c>
      <c r="CH477" s="39"/>
      <c r="CI477" s="25">
        <v>1</v>
      </c>
    </row>
    <row r="478" spans="1:87" ht="24.75" customHeight="1">
      <c r="A478" s="36" t="s">
        <v>387</v>
      </c>
      <c r="B478" s="27">
        <v>48615</v>
      </c>
      <c r="C478" s="240"/>
      <c r="D478" s="36"/>
      <c r="E478" s="39">
        <v>190</v>
      </c>
      <c r="F478" s="39" t="s">
        <v>59</v>
      </c>
      <c r="G478" s="36" t="s">
        <v>2357</v>
      </c>
      <c r="H478" s="36" t="s">
        <v>96</v>
      </c>
      <c r="I478" s="39">
        <v>250</v>
      </c>
      <c r="J478" s="39"/>
      <c r="K478" s="39"/>
      <c r="L478" s="39">
        <f t="shared" ref="L478:L482" si="325">SUM(I478:K478)</f>
        <v>250</v>
      </c>
      <c r="M478" s="117">
        <v>46288</v>
      </c>
      <c r="N478" s="117">
        <v>46268</v>
      </c>
      <c r="O478" s="39"/>
      <c r="P478" s="39"/>
      <c r="Q478" s="39"/>
      <c r="R478" s="39">
        <f t="shared" si="322"/>
        <v>0</v>
      </c>
      <c r="S478" s="39" t="s">
        <v>28</v>
      </c>
      <c r="T478" s="39"/>
      <c r="U478" s="39"/>
      <c r="V478" s="117">
        <v>46256</v>
      </c>
      <c r="W478" s="39">
        <v>280</v>
      </c>
      <c r="X478" s="39"/>
      <c r="Y478" s="39"/>
      <c r="Z478" s="39"/>
      <c r="AA478" s="39"/>
      <c r="AB478" s="118">
        <f t="shared" si="323"/>
        <v>0</v>
      </c>
      <c r="AC478" s="39"/>
      <c r="AD478" s="39"/>
      <c r="AE478" s="39"/>
      <c r="AF478" s="39"/>
      <c r="AG478" s="39"/>
      <c r="AH478" s="39">
        <f t="shared" si="296"/>
        <v>0</v>
      </c>
      <c r="AI478" s="39"/>
      <c r="AJ478" s="39"/>
      <c r="AK478" s="39"/>
      <c r="AL478" s="39"/>
      <c r="AM478" s="39"/>
      <c r="AN478" s="39">
        <f t="shared" si="312"/>
        <v>0</v>
      </c>
      <c r="AO478" s="39"/>
      <c r="AP478" s="39"/>
      <c r="AQ478" s="39"/>
      <c r="AR478" s="39"/>
      <c r="AS478" s="39"/>
      <c r="AT478" s="39">
        <f t="shared" si="297"/>
        <v>0</v>
      </c>
      <c r="AU478" s="39"/>
      <c r="AV478" s="39"/>
      <c r="AW478" s="39"/>
      <c r="AX478" s="39"/>
      <c r="AY478" s="39"/>
      <c r="AZ478" s="39">
        <f t="shared" si="298"/>
        <v>0</v>
      </c>
      <c r="BA478" s="39"/>
      <c r="BB478" s="39"/>
      <c r="BC478" s="39"/>
      <c r="BD478" s="39"/>
      <c r="BE478" s="39"/>
      <c r="BF478" s="39">
        <f t="shared" si="299"/>
        <v>0</v>
      </c>
      <c r="BG478" s="39"/>
      <c r="BH478" s="39"/>
      <c r="BI478" s="39"/>
      <c r="BJ478" s="39"/>
      <c r="BK478" s="39"/>
      <c r="BL478" s="39">
        <f t="shared" si="300"/>
        <v>0</v>
      </c>
      <c r="BM478" s="54">
        <f t="shared" ca="1" si="301"/>
        <v>46283</v>
      </c>
      <c r="BN478" s="58">
        <v>46267</v>
      </c>
      <c r="BO478" s="57">
        <v>46282</v>
      </c>
      <c r="BP478" s="36"/>
      <c r="BQ478" s="36"/>
      <c r="BR478" s="39"/>
      <c r="BS478" s="39"/>
      <c r="BT478" s="39"/>
      <c r="BU478" s="39"/>
      <c r="BV478" s="39"/>
      <c r="BW478" s="39"/>
      <c r="BX478" s="39"/>
      <c r="BY478" s="39"/>
      <c r="BZ478" s="39">
        <f t="shared" si="302"/>
        <v>0</v>
      </c>
      <c r="CA478" s="39">
        <f t="shared" si="303"/>
        <v>-250</v>
      </c>
      <c r="CB478" s="39">
        <f t="shared" si="304"/>
        <v>0</v>
      </c>
      <c r="CC478" s="39">
        <f t="shared" si="305"/>
        <v>0</v>
      </c>
      <c r="CD478" s="39">
        <f t="shared" si="308"/>
        <v>-250</v>
      </c>
      <c r="CE478" s="102">
        <f t="shared" si="306"/>
        <v>-1</v>
      </c>
      <c r="CF478" s="36" t="s">
        <v>250</v>
      </c>
      <c r="CG478" s="39" t="s">
        <v>415</v>
      </c>
      <c r="CH478" s="39"/>
      <c r="CI478" s="25">
        <v>1</v>
      </c>
    </row>
    <row r="479" spans="1:87" ht="24.75" customHeight="1">
      <c r="A479" s="36" t="s">
        <v>387</v>
      </c>
      <c r="B479" s="27">
        <v>48615</v>
      </c>
      <c r="C479" s="240"/>
      <c r="D479" s="36"/>
      <c r="E479" s="39">
        <v>190</v>
      </c>
      <c r="F479" s="39" t="s">
        <v>59</v>
      </c>
      <c r="G479" s="36" t="s">
        <v>23</v>
      </c>
      <c r="H479" s="36" t="s">
        <v>96</v>
      </c>
      <c r="I479" s="39">
        <v>830</v>
      </c>
      <c r="J479" s="39"/>
      <c r="K479" s="39"/>
      <c r="L479" s="39">
        <f t="shared" si="325"/>
        <v>830</v>
      </c>
      <c r="M479" s="117">
        <v>46288</v>
      </c>
      <c r="N479" s="117">
        <v>46268</v>
      </c>
      <c r="O479" s="39"/>
      <c r="P479" s="39"/>
      <c r="Q479" s="39"/>
      <c r="R479" s="39">
        <f t="shared" si="322"/>
        <v>0</v>
      </c>
      <c r="S479" s="39" t="s">
        <v>31</v>
      </c>
      <c r="T479" s="39"/>
      <c r="U479" s="39"/>
      <c r="V479" s="117">
        <v>46274</v>
      </c>
      <c r="W479" s="39">
        <v>904</v>
      </c>
      <c r="X479" s="117">
        <v>46281</v>
      </c>
      <c r="Y479" s="39">
        <v>833</v>
      </c>
      <c r="Z479" s="39"/>
      <c r="AA479" s="39"/>
      <c r="AB479" s="119">
        <f t="shared" si="323"/>
        <v>833</v>
      </c>
      <c r="AC479" s="39"/>
      <c r="AD479" s="39"/>
      <c r="AE479" s="39"/>
      <c r="AF479" s="39"/>
      <c r="AG479" s="39"/>
      <c r="AH479" s="39">
        <f t="shared" si="296"/>
        <v>0</v>
      </c>
      <c r="AI479" s="39"/>
      <c r="AJ479" s="39"/>
      <c r="AK479" s="39"/>
      <c r="AL479" s="39"/>
      <c r="AM479" s="39"/>
      <c r="AN479" s="39">
        <f t="shared" si="312"/>
        <v>0</v>
      </c>
      <c r="AO479" s="39"/>
      <c r="AP479" s="39"/>
      <c r="AQ479" s="39"/>
      <c r="AR479" s="39"/>
      <c r="AS479" s="39"/>
      <c r="AT479" s="39">
        <f t="shared" si="297"/>
        <v>0</v>
      </c>
      <c r="AU479" s="39"/>
      <c r="AV479" s="39"/>
      <c r="AW479" s="39"/>
      <c r="AX479" s="39"/>
      <c r="AY479" s="39"/>
      <c r="AZ479" s="39">
        <f t="shared" si="298"/>
        <v>0</v>
      </c>
      <c r="BA479" s="39"/>
      <c r="BB479" s="39"/>
      <c r="BC479" s="39"/>
      <c r="BD479" s="39"/>
      <c r="BE479" s="39"/>
      <c r="BF479" s="39">
        <f t="shared" si="299"/>
        <v>0</v>
      </c>
      <c r="BG479" s="39"/>
      <c r="BH479" s="39"/>
      <c r="BI479" s="39"/>
      <c r="BJ479" s="39"/>
      <c r="BK479" s="39"/>
      <c r="BL479" s="39">
        <f t="shared" si="300"/>
        <v>0</v>
      </c>
      <c r="BM479" s="54" t="str">
        <f t="shared" si="301"/>
        <v/>
      </c>
      <c r="BN479" s="58">
        <v>46267</v>
      </c>
      <c r="BO479" s="57">
        <v>46282</v>
      </c>
      <c r="BP479" s="36"/>
      <c r="BQ479" s="36"/>
      <c r="BR479" s="117">
        <v>46281</v>
      </c>
      <c r="BS479" s="117">
        <v>46281</v>
      </c>
      <c r="BT479" s="39">
        <v>867</v>
      </c>
      <c r="BU479" s="39">
        <v>833</v>
      </c>
      <c r="BV479" s="39"/>
      <c r="BW479" s="39"/>
      <c r="BX479" s="39"/>
      <c r="BY479" s="39"/>
      <c r="BZ479" s="39">
        <f t="shared" si="302"/>
        <v>833</v>
      </c>
      <c r="CA479" s="39">
        <f t="shared" si="303"/>
        <v>3</v>
      </c>
      <c r="CB479" s="39">
        <f t="shared" si="304"/>
        <v>0</v>
      </c>
      <c r="CC479" s="39">
        <f t="shared" si="305"/>
        <v>0</v>
      </c>
      <c r="CD479" s="39">
        <f t="shared" si="308"/>
        <v>0</v>
      </c>
      <c r="CE479" s="102">
        <f t="shared" si="306"/>
        <v>0</v>
      </c>
      <c r="CF479" s="36" t="s">
        <v>250</v>
      </c>
      <c r="CG479" s="39" t="s">
        <v>415</v>
      </c>
      <c r="CH479" s="39"/>
      <c r="CI479" s="25">
        <v>1</v>
      </c>
    </row>
    <row r="480" spans="1:87" ht="24.75" customHeight="1">
      <c r="A480" s="36" t="s">
        <v>387</v>
      </c>
      <c r="B480" s="27">
        <v>48615</v>
      </c>
      <c r="C480" s="240"/>
      <c r="D480" s="36"/>
      <c r="E480" s="39">
        <v>190</v>
      </c>
      <c r="F480" s="39" t="s">
        <v>59</v>
      </c>
      <c r="G480" s="36" t="s">
        <v>93</v>
      </c>
      <c r="H480" s="36" t="s">
        <v>96</v>
      </c>
      <c r="I480" s="39">
        <v>877</v>
      </c>
      <c r="J480" s="39"/>
      <c r="K480" s="39"/>
      <c r="L480" s="39">
        <f t="shared" si="325"/>
        <v>877</v>
      </c>
      <c r="M480" s="117">
        <v>46288</v>
      </c>
      <c r="N480" s="117">
        <v>46268</v>
      </c>
      <c r="O480" s="39"/>
      <c r="P480" s="39"/>
      <c r="Q480" s="39"/>
      <c r="R480" s="39">
        <f t="shared" si="322"/>
        <v>0</v>
      </c>
      <c r="S480" s="39" t="s">
        <v>130</v>
      </c>
      <c r="T480" s="39"/>
      <c r="U480" s="39"/>
      <c r="V480" s="39"/>
      <c r="W480" s="39"/>
      <c r="X480" s="39"/>
      <c r="Y480" s="39"/>
      <c r="Z480" s="39"/>
      <c r="AA480" s="39"/>
      <c r="AB480" s="118">
        <f t="shared" si="323"/>
        <v>0</v>
      </c>
      <c r="AC480" s="39"/>
      <c r="AD480" s="39"/>
      <c r="AE480" s="39"/>
      <c r="AF480" s="39"/>
      <c r="AG480" s="39"/>
      <c r="AH480" s="39">
        <f t="shared" si="296"/>
        <v>0</v>
      </c>
      <c r="AI480" s="39"/>
      <c r="AJ480" s="39"/>
      <c r="AK480" s="39"/>
      <c r="AL480" s="39"/>
      <c r="AM480" s="39"/>
      <c r="AN480" s="39">
        <f t="shared" si="312"/>
        <v>0</v>
      </c>
      <c r="AO480" s="39"/>
      <c r="AP480" s="39"/>
      <c r="AQ480" s="39"/>
      <c r="AR480" s="39"/>
      <c r="AS480" s="39"/>
      <c r="AT480" s="39">
        <f t="shared" si="297"/>
        <v>0</v>
      </c>
      <c r="AU480" s="39"/>
      <c r="AV480" s="39"/>
      <c r="AW480" s="39"/>
      <c r="AX480" s="39"/>
      <c r="AY480" s="39"/>
      <c r="AZ480" s="39">
        <f t="shared" si="298"/>
        <v>0</v>
      </c>
      <c r="BA480" s="39"/>
      <c r="BB480" s="39"/>
      <c r="BC480" s="39"/>
      <c r="BD480" s="39"/>
      <c r="BE480" s="39"/>
      <c r="BF480" s="39">
        <f t="shared" si="299"/>
        <v>0</v>
      </c>
      <c r="BG480" s="39"/>
      <c r="BH480" s="39"/>
      <c r="BI480" s="39"/>
      <c r="BJ480" s="39"/>
      <c r="BK480" s="39"/>
      <c r="BL480" s="39">
        <f t="shared" si="300"/>
        <v>0</v>
      </c>
      <c r="BM480" s="54">
        <f t="shared" ca="1" si="301"/>
        <v>46283</v>
      </c>
      <c r="BN480" s="58">
        <v>46267</v>
      </c>
      <c r="BO480" s="57">
        <v>46282</v>
      </c>
      <c r="BP480" s="36"/>
      <c r="BQ480" s="36"/>
      <c r="BR480" s="39"/>
      <c r="BS480" s="39"/>
      <c r="BT480" s="39"/>
      <c r="BU480" s="39"/>
      <c r="BV480" s="39"/>
      <c r="BW480" s="39"/>
      <c r="BX480" s="39"/>
      <c r="BY480" s="39"/>
      <c r="BZ480" s="39">
        <f t="shared" si="302"/>
        <v>0</v>
      </c>
      <c r="CA480" s="39">
        <f t="shared" si="303"/>
        <v>-877</v>
      </c>
      <c r="CB480" s="39">
        <f t="shared" si="304"/>
        <v>0</v>
      </c>
      <c r="CC480" s="39">
        <f t="shared" si="305"/>
        <v>0</v>
      </c>
      <c r="CD480" s="39">
        <f t="shared" si="308"/>
        <v>-877</v>
      </c>
      <c r="CE480" s="102">
        <f t="shared" si="306"/>
        <v>-1</v>
      </c>
      <c r="CF480" s="36" t="s">
        <v>250</v>
      </c>
      <c r="CG480" s="39" t="s">
        <v>415</v>
      </c>
      <c r="CH480" s="39"/>
      <c r="CI480" s="25">
        <v>1</v>
      </c>
    </row>
    <row r="481" spans="1:87" ht="24.75" customHeight="1">
      <c r="A481" s="36" t="s">
        <v>387</v>
      </c>
      <c r="B481" s="27">
        <v>48615</v>
      </c>
      <c r="C481" s="240"/>
      <c r="D481" s="36" t="s">
        <v>24</v>
      </c>
      <c r="E481" s="39">
        <v>190</v>
      </c>
      <c r="F481" s="39" t="s">
        <v>58</v>
      </c>
      <c r="G481" s="36" t="s">
        <v>2358</v>
      </c>
      <c r="H481" s="36" t="s">
        <v>96</v>
      </c>
      <c r="I481" s="39">
        <v>423</v>
      </c>
      <c r="J481" s="39"/>
      <c r="K481" s="39"/>
      <c r="L481" s="39">
        <f t="shared" si="325"/>
        <v>423</v>
      </c>
      <c r="M481" s="117">
        <v>46266</v>
      </c>
      <c r="N481" s="117">
        <v>46272</v>
      </c>
      <c r="O481" s="39"/>
      <c r="P481" s="39"/>
      <c r="Q481" s="39"/>
      <c r="R481" s="39">
        <f t="shared" si="322"/>
        <v>0</v>
      </c>
      <c r="S481" s="39" t="s">
        <v>130</v>
      </c>
      <c r="T481" s="39"/>
      <c r="U481" s="39"/>
      <c r="V481" s="39"/>
      <c r="W481" s="39"/>
      <c r="X481" s="39"/>
      <c r="Y481" s="39"/>
      <c r="Z481" s="39"/>
      <c r="AA481" s="39"/>
      <c r="AB481" s="118">
        <f t="shared" si="323"/>
        <v>0</v>
      </c>
      <c r="AC481" s="39"/>
      <c r="AD481" s="39"/>
      <c r="AE481" s="39"/>
      <c r="AF481" s="39"/>
      <c r="AG481" s="39"/>
      <c r="AH481" s="39">
        <f t="shared" si="296"/>
        <v>0</v>
      </c>
      <c r="AI481" s="39"/>
      <c r="AJ481" s="39"/>
      <c r="AK481" s="39"/>
      <c r="AL481" s="39"/>
      <c r="AM481" s="39"/>
      <c r="AN481" s="39">
        <f t="shared" si="312"/>
        <v>0</v>
      </c>
      <c r="AO481" s="39"/>
      <c r="AP481" s="39"/>
      <c r="AQ481" s="39"/>
      <c r="AR481" s="39"/>
      <c r="AS481" s="39"/>
      <c r="AT481" s="39">
        <f t="shared" si="297"/>
        <v>0</v>
      </c>
      <c r="AU481" s="39"/>
      <c r="AV481" s="39"/>
      <c r="AW481" s="39"/>
      <c r="AX481" s="39"/>
      <c r="AY481" s="39"/>
      <c r="AZ481" s="39">
        <f t="shared" si="298"/>
        <v>0</v>
      </c>
      <c r="BA481" s="39"/>
      <c r="BB481" s="39"/>
      <c r="BC481" s="39"/>
      <c r="BD481" s="39"/>
      <c r="BE481" s="39"/>
      <c r="BF481" s="39">
        <f t="shared" si="299"/>
        <v>0</v>
      </c>
      <c r="BG481" s="39"/>
      <c r="BH481" s="39"/>
      <c r="BI481" s="39"/>
      <c r="BJ481" s="39"/>
      <c r="BK481" s="39"/>
      <c r="BL481" s="39">
        <f t="shared" si="300"/>
        <v>0</v>
      </c>
      <c r="BM481" s="54">
        <f t="shared" ca="1" si="301"/>
        <v>46283</v>
      </c>
      <c r="BN481" s="58">
        <v>46274</v>
      </c>
      <c r="BO481" s="57">
        <v>46280</v>
      </c>
      <c r="BP481" s="36"/>
      <c r="BQ481" s="36"/>
      <c r="BR481" s="39"/>
      <c r="BS481" s="39"/>
      <c r="BT481" s="39"/>
      <c r="BU481" s="39"/>
      <c r="BV481" s="39"/>
      <c r="BW481" s="39"/>
      <c r="BX481" s="39"/>
      <c r="BY481" s="39"/>
      <c r="BZ481" s="39">
        <f t="shared" si="302"/>
        <v>0</v>
      </c>
      <c r="CA481" s="39">
        <f t="shared" si="303"/>
        <v>-423</v>
      </c>
      <c r="CB481" s="39">
        <f t="shared" si="304"/>
        <v>0</v>
      </c>
      <c r="CC481" s="39">
        <f t="shared" si="305"/>
        <v>0</v>
      </c>
      <c r="CD481" s="39">
        <f t="shared" si="308"/>
        <v>-423</v>
      </c>
      <c r="CE481" s="102">
        <f t="shared" si="306"/>
        <v>-1</v>
      </c>
      <c r="CF481" s="36" t="s">
        <v>250</v>
      </c>
      <c r="CG481" s="39" t="s">
        <v>415</v>
      </c>
      <c r="CH481" s="39"/>
      <c r="CI481" s="25">
        <v>1</v>
      </c>
    </row>
    <row r="482" spans="1:87" ht="24.75" customHeight="1">
      <c r="A482" s="36" t="s">
        <v>387</v>
      </c>
      <c r="B482" s="27">
        <v>48615</v>
      </c>
      <c r="C482" s="240"/>
      <c r="D482" s="36"/>
      <c r="E482" s="39">
        <v>190</v>
      </c>
      <c r="F482" s="39" t="s">
        <v>59</v>
      </c>
      <c r="G482" s="36" t="s">
        <v>1754</v>
      </c>
      <c r="H482" s="36" t="s">
        <v>96</v>
      </c>
      <c r="I482" s="39">
        <v>219</v>
      </c>
      <c r="J482" s="39"/>
      <c r="K482" s="39"/>
      <c r="L482" s="39">
        <f t="shared" si="325"/>
        <v>219</v>
      </c>
      <c r="M482" s="117">
        <v>46288</v>
      </c>
      <c r="N482" s="117">
        <v>46268</v>
      </c>
      <c r="O482" s="39"/>
      <c r="P482" s="39"/>
      <c r="Q482" s="39"/>
      <c r="R482" s="39">
        <f t="shared" ref="R482:R483" si="326">SUM(O482:Q482)</f>
        <v>0</v>
      </c>
      <c r="S482" s="39" t="s">
        <v>326</v>
      </c>
      <c r="T482" s="39"/>
      <c r="U482" s="39"/>
      <c r="V482" s="117">
        <v>46256</v>
      </c>
      <c r="W482" s="39">
        <v>245</v>
      </c>
      <c r="X482" s="39"/>
      <c r="Y482" s="39"/>
      <c r="Z482" s="39"/>
      <c r="AA482" s="39"/>
      <c r="AB482" s="118">
        <f t="shared" ref="AB482:AB483" si="327">SUM(Y482:AA482)</f>
        <v>0</v>
      </c>
      <c r="AC482" s="39"/>
      <c r="AD482" s="39"/>
      <c r="AE482" s="39"/>
      <c r="AF482" s="39"/>
      <c r="AG482" s="39"/>
      <c r="AH482" s="39">
        <f t="shared" si="296"/>
        <v>0</v>
      </c>
      <c r="AI482" s="39"/>
      <c r="AJ482" s="39"/>
      <c r="AK482" s="39"/>
      <c r="AL482" s="39"/>
      <c r="AM482" s="39"/>
      <c r="AN482" s="39">
        <f t="shared" si="312"/>
        <v>0</v>
      </c>
      <c r="AO482" s="39"/>
      <c r="AP482" s="39"/>
      <c r="AQ482" s="39"/>
      <c r="AR482" s="39"/>
      <c r="AS482" s="39"/>
      <c r="AT482" s="39">
        <f t="shared" si="297"/>
        <v>0</v>
      </c>
      <c r="AU482" s="39"/>
      <c r="AV482" s="39"/>
      <c r="AW482" s="39"/>
      <c r="AX482" s="39"/>
      <c r="AY482" s="39"/>
      <c r="AZ482" s="39">
        <f t="shared" si="298"/>
        <v>0</v>
      </c>
      <c r="BA482" s="39"/>
      <c r="BB482" s="39"/>
      <c r="BC482" s="39"/>
      <c r="BD482" s="39"/>
      <c r="BE482" s="39"/>
      <c r="BF482" s="39">
        <f t="shared" si="299"/>
        <v>0</v>
      </c>
      <c r="BG482" s="39"/>
      <c r="BH482" s="39"/>
      <c r="BI482" s="39"/>
      <c r="BJ482" s="39"/>
      <c r="BK482" s="39"/>
      <c r="BL482" s="39">
        <f t="shared" si="300"/>
        <v>0</v>
      </c>
      <c r="BM482" s="54">
        <f t="shared" ca="1" si="301"/>
        <v>46283</v>
      </c>
      <c r="BN482" s="58">
        <v>46267</v>
      </c>
      <c r="BO482" s="57">
        <v>46282</v>
      </c>
      <c r="BP482" s="36"/>
      <c r="BQ482" s="36"/>
      <c r="BR482" s="39"/>
      <c r="BS482" s="39"/>
      <c r="BT482" s="39"/>
      <c r="BU482" s="39"/>
      <c r="BV482" s="39"/>
      <c r="BW482" s="39"/>
      <c r="BX482" s="39"/>
      <c r="BY482" s="39"/>
      <c r="BZ482" s="39">
        <f t="shared" si="302"/>
        <v>0</v>
      </c>
      <c r="CA482" s="39">
        <f t="shared" si="303"/>
        <v>-219</v>
      </c>
      <c r="CB482" s="39">
        <f t="shared" si="304"/>
        <v>0</v>
      </c>
      <c r="CC482" s="39">
        <f t="shared" si="305"/>
        <v>0</v>
      </c>
      <c r="CD482" s="39">
        <f t="shared" si="308"/>
        <v>-219</v>
      </c>
      <c r="CE482" s="102">
        <f t="shared" si="306"/>
        <v>-1</v>
      </c>
      <c r="CF482" s="36" t="s">
        <v>250</v>
      </c>
      <c r="CG482" s="39" t="s">
        <v>415</v>
      </c>
      <c r="CH482" s="39"/>
      <c r="CI482" s="25">
        <v>1</v>
      </c>
    </row>
    <row r="483" spans="1:87" ht="24.75" customHeight="1">
      <c r="A483" s="36" t="s">
        <v>387</v>
      </c>
      <c r="B483" s="27">
        <v>48615</v>
      </c>
      <c r="C483" s="236"/>
      <c r="D483" s="36"/>
      <c r="E483" s="39">
        <v>190</v>
      </c>
      <c r="F483" s="39" t="s">
        <v>59</v>
      </c>
      <c r="G483" s="36" t="s">
        <v>486</v>
      </c>
      <c r="H483" s="36" t="s">
        <v>96</v>
      </c>
      <c r="I483" s="39">
        <v>673</v>
      </c>
      <c r="J483" s="39"/>
      <c r="K483" s="39"/>
      <c r="L483" s="39">
        <f t="shared" ref="L483" si="328">SUM(I483:K483)</f>
        <v>673</v>
      </c>
      <c r="M483" s="117">
        <v>46288</v>
      </c>
      <c r="N483" s="117">
        <v>46268</v>
      </c>
      <c r="O483" s="39"/>
      <c r="P483" s="39"/>
      <c r="Q483" s="39"/>
      <c r="R483" s="39">
        <f t="shared" si="326"/>
        <v>0</v>
      </c>
      <c r="S483" s="39" t="s">
        <v>31</v>
      </c>
      <c r="T483" s="39"/>
      <c r="U483" s="39"/>
      <c r="V483" s="117">
        <v>46256</v>
      </c>
      <c r="W483" s="39">
        <v>756</v>
      </c>
      <c r="X483" s="39"/>
      <c r="Y483" s="39"/>
      <c r="Z483" s="39"/>
      <c r="AA483" s="39"/>
      <c r="AB483" s="118">
        <f t="shared" si="327"/>
        <v>0</v>
      </c>
      <c r="AC483" s="39"/>
      <c r="AD483" s="39"/>
      <c r="AE483" s="39"/>
      <c r="AF483" s="39"/>
      <c r="AG483" s="39"/>
      <c r="AH483" s="39">
        <f t="shared" si="296"/>
        <v>0</v>
      </c>
      <c r="AI483" s="39"/>
      <c r="AJ483" s="39"/>
      <c r="AK483" s="39"/>
      <c r="AL483" s="39"/>
      <c r="AM483" s="39"/>
      <c r="AN483" s="39">
        <f t="shared" si="312"/>
        <v>0</v>
      </c>
      <c r="AO483" s="39"/>
      <c r="AP483" s="39"/>
      <c r="AQ483" s="39"/>
      <c r="AR483" s="39"/>
      <c r="AS483" s="39"/>
      <c r="AT483" s="39">
        <f t="shared" si="297"/>
        <v>0</v>
      </c>
      <c r="AU483" s="39"/>
      <c r="AV483" s="39"/>
      <c r="AW483" s="39"/>
      <c r="AX483" s="39"/>
      <c r="AY483" s="39"/>
      <c r="AZ483" s="39">
        <f t="shared" si="298"/>
        <v>0</v>
      </c>
      <c r="BA483" s="39"/>
      <c r="BB483" s="39"/>
      <c r="BC483" s="39"/>
      <c r="BD483" s="39"/>
      <c r="BE483" s="39"/>
      <c r="BF483" s="39">
        <f t="shared" si="299"/>
        <v>0</v>
      </c>
      <c r="BG483" s="39"/>
      <c r="BH483" s="39"/>
      <c r="BI483" s="39"/>
      <c r="BJ483" s="39"/>
      <c r="BK483" s="39"/>
      <c r="BL483" s="39">
        <f t="shared" si="300"/>
        <v>0</v>
      </c>
      <c r="BM483" s="54">
        <f t="shared" ca="1" si="301"/>
        <v>46283</v>
      </c>
      <c r="BN483" s="58">
        <v>46267</v>
      </c>
      <c r="BO483" s="57">
        <v>46282</v>
      </c>
      <c r="BP483" s="36"/>
      <c r="BQ483" s="36"/>
      <c r="BR483" s="39"/>
      <c r="BS483" s="39"/>
      <c r="BT483" s="39"/>
      <c r="BU483" s="39"/>
      <c r="BV483" s="39"/>
      <c r="BW483" s="39"/>
      <c r="BX483" s="39"/>
      <c r="BY483" s="39"/>
      <c r="BZ483" s="39">
        <f t="shared" si="302"/>
        <v>0</v>
      </c>
      <c r="CA483" s="39">
        <f t="shared" si="303"/>
        <v>-673</v>
      </c>
      <c r="CB483" s="39">
        <f t="shared" si="304"/>
        <v>0</v>
      </c>
      <c r="CC483" s="39">
        <f t="shared" si="305"/>
        <v>0</v>
      </c>
      <c r="CD483" s="39">
        <f t="shared" si="308"/>
        <v>-673</v>
      </c>
      <c r="CE483" s="102">
        <f t="shared" si="306"/>
        <v>-1</v>
      </c>
      <c r="CF483" s="36" t="s">
        <v>250</v>
      </c>
      <c r="CG483" s="39" t="s">
        <v>415</v>
      </c>
      <c r="CH483" s="39"/>
      <c r="CI483" s="25">
        <v>1</v>
      </c>
    </row>
    <row r="484" spans="1:87" ht="24.75" customHeight="1">
      <c r="A484" s="36" t="s">
        <v>387</v>
      </c>
      <c r="B484" s="27" t="s">
        <v>2418</v>
      </c>
      <c r="C484" s="235" t="s">
        <v>2419</v>
      </c>
      <c r="D484" s="36"/>
      <c r="E484" s="39">
        <v>140</v>
      </c>
      <c r="F484" s="39" t="s">
        <v>57</v>
      </c>
      <c r="G484" s="36" t="s">
        <v>1225</v>
      </c>
      <c r="H484" s="36" t="s">
        <v>22</v>
      </c>
      <c r="I484" s="39">
        <v>1008</v>
      </c>
      <c r="J484" s="39">
        <v>84</v>
      </c>
      <c r="K484" s="39"/>
      <c r="L484" s="39">
        <f t="shared" ref="L484:L488" si="329">SUM(I484:K484)</f>
        <v>1092</v>
      </c>
      <c r="M484" s="117">
        <v>46256</v>
      </c>
      <c r="N484" s="117">
        <v>46269</v>
      </c>
      <c r="O484" s="39"/>
      <c r="P484" s="39"/>
      <c r="Q484" s="39"/>
      <c r="R484" s="39">
        <f t="shared" ref="R484:R507" si="330">SUM(O484:Q484)</f>
        <v>0</v>
      </c>
      <c r="S484" s="39" t="s">
        <v>31</v>
      </c>
      <c r="T484" s="39"/>
      <c r="U484" s="39"/>
      <c r="V484" s="117">
        <v>46263</v>
      </c>
      <c r="W484" s="39">
        <f>1149+98</f>
        <v>1247</v>
      </c>
      <c r="X484" s="117">
        <v>46277</v>
      </c>
      <c r="Y484" s="39">
        <f>951</f>
        <v>951</v>
      </c>
      <c r="Z484" s="39"/>
      <c r="AA484" s="39"/>
      <c r="AB484" s="120">
        <f t="shared" ref="AB484:AB517" si="331">SUM(Y484:AA484)</f>
        <v>951</v>
      </c>
      <c r="AC484" s="39"/>
      <c r="AD484" s="39"/>
      <c r="AE484" s="39"/>
      <c r="AF484" s="39"/>
      <c r="AG484" s="39"/>
      <c r="AH484" s="39">
        <f t="shared" si="296"/>
        <v>0</v>
      </c>
      <c r="AI484" s="39"/>
      <c r="AJ484" s="39"/>
      <c r="AK484" s="39"/>
      <c r="AL484" s="39"/>
      <c r="AM484" s="39"/>
      <c r="AN484" s="39">
        <f t="shared" si="312"/>
        <v>0</v>
      </c>
      <c r="AO484" s="39"/>
      <c r="AP484" s="39"/>
      <c r="AQ484" s="39"/>
      <c r="AR484" s="39"/>
      <c r="AS484" s="39"/>
      <c r="AT484" s="39">
        <f t="shared" si="297"/>
        <v>0</v>
      </c>
      <c r="AU484" s="39"/>
      <c r="AV484" s="39"/>
      <c r="AW484" s="39"/>
      <c r="AX484" s="39"/>
      <c r="AY484" s="39"/>
      <c r="AZ484" s="39">
        <f t="shared" si="298"/>
        <v>0</v>
      </c>
      <c r="BA484" s="39"/>
      <c r="BB484" s="39"/>
      <c r="BC484" s="39"/>
      <c r="BD484" s="39"/>
      <c r="BE484" s="39"/>
      <c r="BF484" s="39">
        <f t="shared" si="299"/>
        <v>0</v>
      </c>
      <c r="BG484" s="39"/>
      <c r="BH484" s="39"/>
      <c r="BI484" s="39"/>
      <c r="BJ484" s="39"/>
      <c r="BK484" s="39"/>
      <c r="BL484" s="39">
        <f t="shared" si="300"/>
        <v>0</v>
      </c>
      <c r="BM484" s="54">
        <f t="shared" ca="1" si="301"/>
        <v>46283</v>
      </c>
      <c r="BN484" s="58">
        <v>46266</v>
      </c>
      <c r="BO484" s="57">
        <v>46286</v>
      </c>
      <c r="BP484" s="36"/>
      <c r="BQ484" s="36"/>
      <c r="BR484" s="117">
        <v>46277</v>
      </c>
      <c r="BS484" s="39"/>
      <c r="BT484" s="39">
        <v>969</v>
      </c>
      <c r="BU484" s="39">
        <f>951</f>
        <v>951</v>
      </c>
      <c r="BV484" s="39"/>
      <c r="BW484" s="39"/>
      <c r="BX484" s="39"/>
      <c r="BY484" s="39"/>
      <c r="BZ484" s="39">
        <f t="shared" si="302"/>
        <v>951</v>
      </c>
      <c r="CA484" s="39">
        <f t="shared" si="303"/>
        <v>-57</v>
      </c>
      <c r="CB484" s="39">
        <f t="shared" si="304"/>
        <v>-84</v>
      </c>
      <c r="CC484" s="39">
        <f t="shared" si="305"/>
        <v>0</v>
      </c>
      <c r="CD484" s="39">
        <f t="shared" si="308"/>
        <v>-141</v>
      </c>
      <c r="CE484" s="102">
        <f t="shared" si="306"/>
        <v>-0.12912087912087913</v>
      </c>
      <c r="CF484" s="36" t="s">
        <v>250</v>
      </c>
      <c r="CG484" s="39" t="s">
        <v>415</v>
      </c>
      <c r="CH484" s="39"/>
      <c r="CI484" s="25">
        <v>1</v>
      </c>
    </row>
    <row r="485" spans="1:87" ht="24.75" customHeight="1">
      <c r="A485" s="36" t="s">
        <v>387</v>
      </c>
      <c r="B485" s="27" t="s">
        <v>2418</v>
      </c>
      <c r="C485" s="240"/>
      <c r="D485" s="36"/>
      <c r="E485" s="39">
        <v>140</v>
      </c>
      <c r="F485" s="39" t="s">
        <v>57</v>
      </c>
      <c r="G485" s="36" t="s">
        <v>47</v>
      </c>
      <c r="H485" s="36" t="s">
        <v>22</v>
      </c>
      <c r="I485" s="39">
        <v>892</v>
      </c>
      <c r="J485" s="39">
        <v>74</v>
      </c>
      <c r="K485" s="39"/>
      <c r="L485" s="39">
        <f t="shared" si="329"/>
        <v>966</v>
      </c>
      <c r="M485" s="117">
        <v>46256</v>
      </c>
      <c r="N485" s="117">
        <v>46269</v>
      </c>
      <c r="O485" s="39"/>
      <c r="P485" s="39"/>
      <c r="Q485" s="39"/>
      <c r="R485" s="39">
        <f t="shared" si="330"/>
        <v>0</v>
      </c>
      <c r="S485" s="39" t="s">
        <v>130</v>
      </c>
      <c r="T485" s="39">
        <v>109045</v>
      </c>
      <c r="U485" s="117">
        <v>46274</v>
      </c>
      <c r="V485" s="39"/>
      <c r="W485" s="39"/>
      <c r="X485" s="39"/>
      <c r="Y485" s="39">
        <f>783</f>
        <v>783</v>
      </c>
      <c r="Z485" s="39">
        <f>68</f>
        <v>68</v>
      </c>
      <c r="AA485" s="39"/>
      <c r="AB485" s="118">
        <f t="shared" si="331"/>
        <v>851</v>
      </c>
      <c r="AC485" s="39"/>
      <c r="AD485" s="39"/>
      <c r="AE485" s="39"/>
      <c r="AF485" s="39"/>
      <c r="AG485" s="39"/>
      <c r="AH485" s="39">
        <f t="shared" si="296"/>
        <v>0</v>
      </c>
      <c r="AI485" s="39"/>
      <c r="AJ485" s="39"/>
      <c r="AK485" s="39"/>
      <c r="AL485" s="39"/>
      <c r="AM485" s="39"/>
      <c r="AN485" s="39">
        <f t="shared" si="312"/>
        <v>0</v>
      </c>
      <c r="AO485" s="39"/>
      <c r="AP485" s="39"/>
      <c r="AQ485" s="39"/>
      <c r="AR485" s="39"/>
      <c r="AS485" s="39"/>
      <c r="AT485" s="39">
        <f t="shared" si="297"/>
        <v>0</v>
      </c>
      <c r="AU485" s="39"/>
      <c r="AV485" s="39"/>
      <c r="AW485" s="39"/>
      <c r="AX485" s="39"/>
      <c r="AY485" s="39"/>
      <c r="AZ485" s="39">
        <f t="shared" si="298"/>
        <v>0</v>
      </c>
      <c r="BA485" s="39"/>
      <c r="BB485" s="39"/>
      <c r="BC485" s="39"/>
      <c r="BD485" s="39"/>
      <c r="BE485" s="39"/>
      <c r="BF485" s="39">
        <f t="shared" si="299"/>
        <v>0</v>
      </c>
      <c r="BG485" s="39"/>
      <c r="BH485" s="39"/>
      <c r="BI485" s="39"/>
      <c r="BJ485" s="39"/>
      <c r="BK485" s="39"/>
      <c r="BL485" s="39">
        <f t="shared" si="300"/>
        <v>0</v>
      </c>
      <c r="BM485" s="54">
        <f t="shared" ca="1" si="301"/>
        <v>9</v>
      </c>
      <c r="BN485" s="58">
        <v>46266</v>
      </c>
      <c r="BO485" s="57">
        <v>46286</v>
      </c>
      <c r="BP485" s="36"/>
      <c r="BQ485" s="36"/>
      <c r="BR485" s="117">
        <v>46277</v>
      </c>
      <c r="BS485" s="39"/>
      <c r="BT485" s="39">
        <v>787</v>
      </c>
      <c r="BU485" s="39">
        <f>697</f>
        <v>697</v>
      </c>
      <c r="BV485" s="39">
        <v>787</v>
      </c>
      <c r="BW485" s="39">
        <f>60</f>
        <v>60</v>
      </c>
      <c r="BX485" s="39"/>
      <c r="BY485" s="39"/>
      <c r="BZ485" s="39">
        <f t="shared" si="302"/>
        <v>757</v>
      </c>
      <c r="CA485" s="39">
        <f t="shared" si="303"/>
        <v>-195</v>
      </c>
      <c r="CB485" s="39">
        <f t="shared" si="304"/>
        <v>-14</v>
      </c>
      <c r="CC485" s="39">
        <f t="shared" si="305"/>
        <v>0</v>
      </c>
      <c r="CD485" s="39">
        <f t="shared" si="308"/>
        <v>-209</v>
      </c>
      <c r="CE485" s="102">
        <f t="shared" si="306"/>
        <v>-0.21635610766045549</v>
      </c>
      <c r="CF485" s="36" t="s">
        <v>250</v>
      </c>
      <c r="CG485" s="39" t="s">
        <v>415</v>
      </c>
      <c r="CH485" s="39"/>
      <c r="CI485" s="25">
        <v>1</v>
      </c>
    </row>
    <row r="486" spans="1:87" ht="24.75" customHeight="1">
      <c r="A486" s="36" t="s">
        <v>387</v>
      </c>
      <c r="B486" s="27" t="s">
        <v>2418</v>
      </c>
      <c r="C486" s="240"/>
      <c r="D486" s="36"/>
      <c r="E486" s="39">
        <v>140</v>
      </c>
      <c r="F486" s="39" t="s">
        <v>57</v>
      </c>
      <c r="G486" s="36" t="s">
        <v>1215</v>
      </c>
      <c r="H486" s="36" t="s">
        <v>22</v>
      </c>
      <c r="I486" s="39">
        <v>1273</v>
      </c>
      <c r="J486" s="39">
        <v>106</v>
      </c>
      <c r="K486" s="39"/>
      <c r="L486" s="39">
        <f t="shared" si="329"/>
        <v>1379</v>
      </c>
      <c r="M486" s="117">
        <v>46256</v>
      </c>
      <c r="N486" s="117">
        <v>46269</v>
      </c>
      <c r="O486" s="39"/>
      <c r="P486" s="39"/>
      <c r="Q486" s="39"/>
      <c r="R486" s="39">
        <f t="shared" si="330"/>
        <v>0</v>
      </c>
      <c r="S486" s="39" t="s">
        <v>100</v>
      </c>
      <c r="T486" s="39"/>
      <c r="U486" s="39"/>
      <c r="V486" s="117" t="s">
        <v>2743</v>
      </c>
      <c r="W486" s="39">
        <f>948+124+503</f>
        <v>1575</v>
      </c>
      <c r="X486" s="117">
        <v>46278</v>
      </c>
      <c r="Y486" s="39">
        <f>934</f>
        <v>934</v>
      </c>
      <c r="Z486" s="39">
        <f>79</f>
        <v>79</v>
      </c>
      <c r="AA486" s="39"/>
      <c r="AB486" s="120">
        <f t="shared" si="331"/>
        <v>1013</v>
      </c>
      <c r="AC486" s="39"/>
      <c r="AD486" s="39"/>
      <c r="AE486" s="39"/>
      <c r="AF486" s="39"/>
      <c r="AG486" s="39"/>
      <c r="AH486" s="39">
        <f t="shared" si="296"/>
        <v>0</v>
      </c>
      <c r="AI486" s="39"/>
      <c r="AJ486" s="39"/>
      <c r="AK486" s="39"/>
      <c r="AL486" s="39"/>
      <c r="AM486" s="39"/>
      <c r="AN486" s="39">
        <f t="shared" si="312"/>
        <v>0</v>
      </c>
      <c r="AO486" s="39"/>
      <c r="AP486" s="39"/>
      <c r="AQ486" s="39"/>
      <c r="AR486" s="39"/>
      <c r="AS486" s="39"/>
      <c r="AT486" s="39">
        <f t="shared" si="297"/>
        <v>0</v>
      </c>
      <c r="AU486" s="39"/>
      <c r="AV486" s="39"/>
      <c r="AW486" s="39"/>
      <c r="AX486" s="39"/>
      <c r="AY486" s="39"/>
      <c r="AZ486" s="39">
        <f t="shared" si="298"/>
        <v>0</v>
      </c>
      <c r="BA486" s="39"/>
      <c r="BB486" s="39"/>
      <c r="BC486" s="39"/>
      <c r="BD486" s="39"/>
      <c r="BE486" s="39"/>
      <c r="BF486" s="39">
        <f t="shared" si="299"/>
        <v>0</v>
      </c>
      <c r="BG486" s="39"/>
      <c r="BH486" s="39"/>
      <c r="BI486" s="39"/>
      <c r="BJ486" s="39"/>
      <c r="BK486" s="39"/>
      <c r="BL486" s="39">
        <f t="shared" si="300"/>
        <v>0</v>
      </c>
      <c r="BM486" s="54">
        <f t="shared" ca="1" si="301"/>
        <v>46283</v>
      </c>
      <c r="BN486" s="58">
        <v>46266</v>
      </c>
      <c r="BO486" s="57">
        <v>46286</v>
      </c>
      <c r="BP486" s="36"/>
      <c r="BQ486" s="36"/>
      <c r="BR486" s="117">
        <v>46279</v>
      </c>
      <c r="BS486" s="39"/>
      <c r="BT486" s="39">
        <v>862</v>
      </c>
      <c r="BU486" s="39">
        <f>934</f>
        <v>934</v>
      </c>
      <c r="BV486" s="39">
        <v>862</v>
      </c>
      <c r="BW486" s="39">
        <f>79</f>
        <v>79</v>
      </c>
      <c r="BX486" s="39"/>
      <c r="BY486" s="39"/>
      <c r="BZ486" s="39">
        <f t="shared" si="302"/>
        <v>1013</v>
      </c>
      <c r="CA486" s="39">
        <f t="shared" si="303"/>
        <v>-339</v>
      </c>
      <c r="CB486" s="39">
        <f t="shared" si="304"/>
        <v>-27</v>
      </c>
      <c r="CC486" s="39">
        <f t="shared" si="305"/>
        <v>0</v>
      </c>
      <c r="CD486" s="39">
        <f t="shared" si="308"/>
        <v>-366</v>
      </c>
      <c r="CE486" s="102">
        <f t="shared" si="306"/>
        <v>-0.26540971718636691</v>
      </c>
      <c r="CF486" s="36" t="s">
        <v>250</v>
      </c>
      <c r="CG486" s="39" t="s">
        <v>415</v>
      </c>
      <c r="CH486" s="39"/>
      <c r="CI486" s="25">
        <v>1</v>
      </c>
    </row>
    <row r="487" spans="1:87" ht="24.75" customHeight="1">
      <c r="A487" s="36" t="s">
        <v>387</v>
      </c>
      <c r="B487" s="27" t="s">
        <v>2418</v>
      </c>
      <c r="C487" s="240"/>
      <c r="D487" s="36"/>
      <c r="E487" s="39">
        <v>140</v>
      </c>
      <c r="F487" s="39" t="s">
        <v>57</v>
      </c>
      <c r="G487" s="36" t="s">
        <v>2349</v>
      </c>
      <c r="H487" s="36" t="s">
        <v>22</v>
      </c>
      <c r="I487" s="39">
        <v>1134</v>
      </c>
      <c r="J487" s="39">
        <v>95</v>
      </c>
      <c r="K487" s="39"/>
      <c r="L487" s="39">
        <f t="shared" si="329"/>
        <v>1229</v>
      </c>
      <c r="M487" s="117">
        <v>46256</v>
      </c>
      <c r="N487" s="117">
        <v>46269</v>
      </c>
      <c r="O487" s="39"/>
      <c r="P487" s="39"/>
      <c r="Q487" s="39"/>
      <c r="R487" s="39">
        <f t="shared" si="330"/>
        <v>0</v>
      </c>
      <c r="S487" s="39" t="s">
        <v>31</v>
      </c>
      <c r="T487" s="39"/>
      <c r="U487" s="39"/>
      <c r="V487" s="117" t="s">
        <v>2816</v>
      </c>
      <c r="W487" s="39">
        <f>731+111+562</f>
        <v>1404</v>
      </c>
      <c r="X487" s="117">
        <v>46279</v>
      </c>
      <c r="Y487" s="39">
        <v>1145</v>
      </c>
      <c r="Z487" s="39">
        <v>98</v>
      </c>
      <c r="AA487" s="39"/>
      <c r="AB487" s="119">
        <f t="shared" si="331"/>
        <v>1243</v>
      </c>
      <c r="AC487" s="39"/>
      <c r="AD487" s="39"/>
      <c r="AE487" s="39"/>
      <c r="AF487" s="39"/>
      <c r="AG487" s="39"/>
      <c r="AH487" s="39">
        <f t="shared" si="296"/>
        <v>0</v>
      </c>
      <c r="AI487" s="39"/>
      <c r="AJ487" s="39"/>
      <c r="AK487" s="39"/>
      <c r="AL487" s="39"/>
      <c r="AM487" s="39"/>
      <c r="AN487" s="39">
        <f t="shared" si="312"/>
        <v>0</v>
      </c>
      <c r="AO487" s="39"/>
      <c r="AP487" s="39"/>
      <c r="AQ487" s="39"/>
      <c r="AR487" s="39"/>
      <c r="AS487" s="39"/>
      <c r="AT487" s="39">
        <f t="shared" si="297"/>
        <v>0</v>
      </c>
      <c r="AU487" s="39"/>
      <c r="AV487" s="39"/>
      <c r="AW487" s="39"/>
      <c r="AX487" s="39"/>
      <c r="AY487" s="39"/>
      <c r="AZ487" s="39">
        <f t="shared" si="298"/>
        <v>0</v>
      </c>
      <c r="BA487" s="39"/>
      <c r="BB487" s="39"/>
      <c r="BC487" s="39"/>
      <c r="BD487" s="39"/>
      <c r="BE487" s="39"/>
      <c r="BF487" s="39">
        <f t="shared" si="299"/>
        <v>0</v>
      </c>
      <c r="BG487" s="39"/>
      <c r="BH487" s="39"/>
      <c r="BI487" s="39"/>
      <c r="BJ487" s="39"/>
      <c r="BK487" s="39"/>
      <c r="BL487" s="39">
        <f t="shared" si="300"/>
        <v>0</v>
      </c>
      <c r="BM487" s="54" t="str">
        <f t="shared" si="301"/>
        <v/>
      </c>
      <c r="BN487" s="58">
        <v>46266</v>
      </c>
      <c r="BO487" s="57">
        <v>46286</v>
      </c>
      <c r="BP487" s="36"/>
      <c r="BQ487" s="36"/>
      <c r="BR487" s="117">
        <v>46279</v>
      </c>
      <c r="BS487" s="117">
        <v>46280</v>
      </c>
      <c r="BT487" s="39">
        <v>863</v>
      </c>
      <c r="BU487" s="39">
        <v>1145</v>
      </c>
      <c r="BV487" s="39">
        <v>971</v>
      </c>
      <c r="BW487" s="39">
        <v>98</v>
      </c>
      <c r="BX487" s="39"/>
      <c r="BY487" s="39"/>
      <c r="BZ487" s="39">
        <f t="shared" si="302"/>
        <v>1243</v>
      </c>
      <c r="CA487" s="39">
        <f t="shared" si="303"/>
        <v>11</v>
      </c>
      <c r="CB487" s="39">
        <f t="shared" si="304"/>
        <v>3</v>
      </c>
      <c r="CC487" s="39">
        <f t="shared" si="305"/>
        <v>0</v>
      </c>
      <c r="CD487" s="39">
        <f t="shared" si="308"/>
        <v>0</v>
      </c>
      <c r="CE487" s="102">
        <f t="shared" si="306"/>
        <v>0</v>
      </c>
      <c r="CF487" s="36" t="s">
        <v>250</v>
      </c>
      <c r="CG487" s="39" t="s">
        <v>415</v>
      </c>
      <c r="CH487" s="39"/>
      <c r="CI487" s="25">
        <v>1</v>
      </c>
    </row>
    <row r="488" spans="1:87" ht="24.75" customHeight="1">
      <c r="A488" s="36" t="s">
        <v>387</v>
      </c>
      <c r="B488" s="27" t="s">
        <v>2418</v>
      </c>
      <c r="C488" s="236"/>
      <c r="D488" s="36"/>
      <c r="E488" s="39">
        <v>140</v>
      </c>
      <c r="F488" s="39" t="s">
        <v>57</v>
      </c>
      <c r="G488" s="36" t="s">
        <v>23</v>
      </c>
      <c r="H488" s="36" t="s">
        <v>22</v>
      </c>
      <c r="I488" s="39">
        <v>927</v>
      </c>
      <c r="J488" s="39">
        <v>77</v>
      </c>
      <c r="K488" s="39"/>
      <c r="L488" s="39">
        <f t="shared" si="329"/>
        <v>1004</v>
      </c>
      <c r="M488" s="117">
        <v>46256</v>
      </c>
      <c r="N488" s="117">
        <v>46269</v>
      </c>
      <c r="O488" s="39"/>
      <c r="P488" s="39"/>
      <c r="Q488" s="39"/>
      <c r="R488" s="39">
        <f t="shared" si="330"/>
        <v>0</v>
      </c>
      <c r="S488" s="39" t="s">
        <v>100</v>
      </c>
      <c r="T488" s="39"/>
      <c r="U488" s="39"/>
      <c r="V488" s="117">
        <v>46273</v>
      </c>
      <c r="W488" s="39">
        <f>1020+89</f>
        <v>1109</v>
      </c>
      <c r="X488" s="39"/>
      <c r="Y488" s="39"/>
      <c r="Z488" s="39"/>
      <c r="AA488" s="39"/>
      <c r="AB488" s="118">
        <f t="shared" si="331"/>
        <v>0</v>
      </c>
      <c r="AC488" s="39"/>
      <c r="AD488" s="39"/>
      <c r="AE488" s="39"/>
      <c r="AF488" s="39"/>
      <c r="AG488" s="39"/>
      <c r="AH488" s="39">
        <f t="shared" si="296"/>
        <v>0</v>
      </c>
      <c r="AI488" s="39"/>
      <c r="AJ488" s="39"/>
      <c r="AK488" s="39"/>
      <c r="AL488" s="39"/>
      <c r="AM488" s="39"/>
      <c r="AN488" s="39">
        <f t="shared" si="312"/>
        <v>0</v>
      </c>
      <c r="AO488" s="39"/>
      <c r="AP488" s="39"/>
      <c r="AQ488" s="39"/>
      <c r="AR488" s="39"/>
      <c r="AS488" s="39"/>
      <c r="AT488" s="39">
        <f t="shared" si="297"/>
        <v>0</v>
      </c>
      <c r="AU488" s="39"/>
      <c r="AV488" s="39"/>
      <c r="AW488" s="39"/>
      <c r="AX488" s="39"/>
      <c r="AY488" s="39"/>
      <c r="AZ488" s="39">
        <f t="shared" si="298"/>
        <v>0</v>
      </c>
      <c r="BA488" s="39"/>
      <c r="BB488" s="39"/>
      <c r="BC488" s="39"/>
      <c r="BD488" s="39"/>
      <c r="BE488" s="39"/>
      <c r="BF488" s="39">
        <f t="shared" si="299"/>
        <v>0</v>
      </c>
      <c r="BG488" s="39"/>
      <c r="BH488" s="39"/>
      <c r="BI488" s="39"/>
      <c r="BJ488" s="39"/>
      <c r="BK488" s="39"/>
      <c r="BL488" s="39">
        <f t="shared" si="300"/>
        <v>0</v>
      </c>
      <c r="BM488" s="54">
        <f t="shared" ca="1" si="301"/>
        <v>46283</v>
      </c>
      <c r="BN488" s="58">
        <v>46266</v>
      </c>
      <c r="BO488" s="57">
        <v>46286</v>
      </c>
      <c r="BP488" s="36"/>
      <c r="BQ488" s="36"/>
      <c r="BR488" s="39"/>
      <c r="BS488" s="39"/>
      <c r="BT488" s="39"/>
      <c r="BU488" s="39"/>
      <c r="BV488" s="39"/>
      <c r="BW488" s="39"/>
      <c r="BX488" s="39"/>
      <c r="BY488" s="39"/>
      <c r="BZ488" s="39">
        <f t="shared" si="302"/>
        <v>0</v>
      </c>
      <c r="CA488" s="39">
        <f t="shared" si="303"/>
        <v>-927</v>
      </c>
      <c r="CB488" s="39">
        <f t="shared" si="304"/>
        <v>-77</v>
      </c>
      <c r="CC488" s="39">
        <f t="shared" si="305"/>
        <v>0</v>
      </c>
      <c r="CD488" s="39">
        <f t="shared" si="308"/>
        <v>-1004</v>
      </c>
      <c r="CE488" s="102">
        <f t="shared" si="306"/>
        <v>-1</v>
      </c>
      <c r="CF488" s="36" t="s">
        <v>250</v>
      </c>
      <c r="CG488" s="39" t="s">
        <v>415</v>
      </c>
      <c r="CH488" s="39"/>
      <c r="CI488" s="25">
        <v>1</v>
      </c>
    </row>
    <row r="489" spans="1:87" ht="24.75" customHeight="1">
      <c r="A489" s="36" t="s">
        <v>387</v>
      </c>
      <c r="B489" s="27">
        <v>48613</v>
      </c>
      <c r="C489" s="235">
        <v>15391465</v>
      </c>
      <c r="D489" s="36"/>
      <c r="E489" s="39">
        <v>260</v>
      </c>
      <c r="F489" s="39" t="s">
        <v>60</v>
      </c>
      <c r="G489" s="36" t="s">
        <v>47</v>
      </c>
      <c r="H489" s="36" t="s">
        <v>89</v>
      </c>
      <c r="I489" s="39">
        <v>705</v>
      </c>
      <c r="J489" s="39"/>
      <c r="K489" s="39"/>
      <c r="L489" s="39">
        <f t="shared" ref="L489" si="332">SUM(I489:K489)</f>
        <v>705</v>
      </c>
      <c r="M489" s="117">
        <v>46266</v>
      </c>
      <c r="N489" s="117">
        <v>46270</v>
      </c>
      <c r="O489" s="39"/>
      <c r="P489" s="39"/>
      <c r="Q489" s="39"/>
      <c r="R489" s="39">
        <f t="shared" si="330"/>
        <v>0</v>
      </c>
      <c r="S489" s="39" t="s">
        <v>130</v>
      </c>
      <c r="T489" s="39"/>
      <c r="U489" s="39"/>
      <c r="V489" s="39"/>
      <c r="W489" s="39"/>
      <c r="X489" s="39"/>
      <c r="Y489" s="39"/>
      <c r="Z489" s="39"/>
      <c r="AA489" s="39"/>
      <c r="AB489" s="118">
        <f t="shared" si="331"/>
        <v>0</v>
      </c>
      <c r="AC489" s="39"/>
      <c r="AD489" s="39"/>
      <c r="AE489" s="39"/>
      <c r="AF489" s="39"/>
      <c r="AG489" s="39"/>
      <c r="AH489" s="39">
        <f t="shared" si="296"/>
        <v>0</v>
      </c>
      <c r="AI489" s="39"/>
      <c r="AJ489" s="39"/>
      <c r="AK489" s="39"/>
      <c r="AL489" s="39"/>
      <c r="AM489" s="39"/>
      <c r="AN489" s="39">
        <f t="shared" si="312"/>
        <v>0</v>
      </c>
      <c r="AO489" s="39"/>
      <c r="AP489" s="39"/>
      <c r="AQ489" s="39"/>
      <c r="AR489" s="39"/>
      <c r="AS489" s="39"/>
      <c r="AT489" s="39">
        <f t="shared" si="297"/>
        <v>0</v>
      </c>
      <c r="AU489" s="39"/>
      <c r="AV489" s="39"/>
      <c r="AW489" s="39"/>
      <c r="AX489" s="39"/>
      <c r="AY489" s="39"/>
      <c r="AZ489" s="39">
        <f t="shared" si="298"/>
        <v>0</v>
      </c>
      <c r="BA489" s="39"/>
      <c r="BB489" s="39"/>
      <c r="BC489" s="39"/>
      <c r="BD489" s="39"/>
      <c r="BE489" s="39"/>
      <c r="BF489" s="39">
        <f t="shared" si="299"/>
        <v>0</v>
      </c>
      <c r="BG489" s="39"/>
      <c r="BH489" s="39"/>
      <c r="BI489" s="39"/>
      <c r="BJ489" s="39"/>
      <c r="BK489" s="39"/>
      <c r="BL489" s="39">
        <f t="shared" si="300"/>
        <v>0</v>
      </c>
      <c r="BM489" s="54">
        <f t="shared" ca="1" si="301"/>
        <v>46283</v>
      </c>
      <c r="BN489" s="58">
        <v>46275</v>
      </c>
      <c r="BO489" s="57">
        <v>46290</v>
      </c>
      <c r="BP489" s="36"/>
      <c r="BQ489" s="36"/>
      <c r="BR489" s="39"/>
      <c r="BS489" s="39"/>
      <c r="BT489" s="39"/>
      <c r="BU489" s="39"/>
      <c r="BV489" s="39"/>
      <c r="BW489" s="39"/>
      <c r="BX489" s="39"/>
      <c r="BY489" s="39"/>
      <c r="BZ489" s="39">
        <f t="shared" si="302"/>
        <v>0</v>
      </c>
      <c r="CA489" s="39">
        <f t="shared" si="303"/>
        <v>-705</v>
      </c>
      <c r="CB489" s="39">
        <f t="shared" si="304"/>
        <v>0</v>
      </c>
      <c r="CC489" s="39">
        <f t="shared" si="305"/>
        <v>0</v>
      </c>
      <c r="CD489" s="39">
        <f t="shared" si="308"/>
        <v>-705</v>
      </c>
      <c r="CE489" s="102">
        <f t="shared" si="306"/>
        <v>-1</v>
      </c>
      <c r="CF489" s="36"/>
      <c r="CG489" s="39" t="s">
        <v>415</v>
      </c>
      <c r="CH489" s="39"/>
      <c r="CI489" s="25">
        <v>1</v>
      </c>
    </row>
    <row r="490" spans="1:87" ht="24.75" customHeight="1">
      <c r="A490" s="36" t="s">
        <v>387</v>
      </c>
      <c r="B490" s="27">
        <v>48613</v>
      </c>
      <c r="C490" s="240"/>
      <c r="D490" s="36"/>
      <c r="E490" s="39">
        <v>260</v>
      </c>
      <c r="F490" s="39" t="s">
        <v>60</v>
      </c>
      <c r="G490" s="36" t="s">
        <v>23</v>
      </c>
      <c r="H490" s="36" t="s">
        <v>89</v>
      </c>
      <c r="I490" s="39">
        <v>368</v>
      </c>
      <c r="J490" s="39"/>
      <c r="K490" s="39"/>
      <c r="L490" s="39">
        <f t="shared" ref="L490:L491" si="333">SUM(I490:K490)</f>
        <v>368</v>
      </c>
      <c r="M490" s="117">
        <v>46266</v>
      </c>
      <c r="N490" s="117">
        <v>46270</v>
      </c>
      <c r="O490" s="39"/>
      <c r="P490" s="39"/>
      <c r="Q490" s="39"/>
      <c r="R490" s="39">
        <f t="shared" si="330"/>
        <v>0</v>
      </c>
      <c r="S490" s="39" t="s">
        <v>31</v>
      </c>
      <c r="T490" s="39"/>
      <c r="U490" s="39"/>
      <c r="V490" s="117">
        <v>46268</v>
      </c>
      <c r="W490" s="39">
        <v>406</v>
      </c>
      <c r="X490" s="39"/>
      <c r="Y490" s="39"/>
      <c r="Z490" s="39"/>
      <c r="AA490" s="39"/>
      <c r="AB490" s="118">
        <f t="shared" si="331"/>
        <v>0</v>
      </c>
      <c r="AC490" s="39"/>
      <c r="AD490" s="39"/>
      <c r="AE490" s="39"/>
      <c r="AF490" s="39"/>
      <c r="AG490" s="39"/>
      <c r="AH490" s="39">
        <f t="shared" si="296"/>
        <v>0</v>
      </c>
      <c r="AI490" s="39"/>
      <c r="AJ490" s="39"/>
      <c r="AK490" s="39"/>
      <c r="AL490" s="39"/>
      <c r="AM490" s="39"/>
      <c r="AN490" s="39">
        <f t="shared" si="312"/>
        <v>0</v>
      </c>
      <c r="AO490" s="39"/>
      <c r="AP490" s="39"/>
      <c r="AQ490" s="39"/>
      <c r="AR490" s="39"/>
      <c r="AS490" s="39"/>
      <c r="AT490" s="39">
        <f t="shared" si="297"/>
        <v>0</v>
      </c>
      <c r="AU490" s="39"/>
      <c r="AV490" s="39"/>
      <c r="AW490" s="39"/>
      <c r="AX490" s="39"/>
      <c r="AY490" s="39"/>
      <c r="AZ490" s="39">
        <f t="shared" si="298"/>
        <v>0</v>
      </c>
      <c r="BA490" s="39"/>
      <c r="BB490" s="39"/>
      <c r="BC490" s="39"/>
      <c r="BD490" s="39"/>
      <c r="BE490" s="39"/>
      <c r="BF490" s="39">
        <f t="shared" si="299"/>
        <v>0</v>
      </c>
      <c r="BG490" s="39"/>
      <c r="BH490" s="39"/>
      <c r="BI490" s="39"/>
      <c r="BJ490" s="39"/>
      <c r="BK490" s="39"/>
      <c r="BL490" s="39">
        <f t="shared" si="300"/>
        <v>0</v>
      </c>
      <c r="BM490" s="54" t="str">
        <f t="shared" si="301"/>
        <v/>
      </c>
      <c r="BN490" s="58">
        <v>46275</v>
      </c>
      <c r="BO490" s="57">
        <v>46290</v>
      </c>
      <c r="BP490" s="36"/>
      <c r="BQ490" s="36"/>
      <c r="BR490" s="117">
        <v>46282</v>
      </c>
      <c r="BS490" s="117">
        <v>46282</v>
      </c>
      <c r="BT490" s="39">
        <v>977</v>
      </c>
      <c r="BU490" s="39">
        <v>368</v>
      </c>
      <c r="BV490" s="39"/>
      <c r="BW490" s="39"/>
      <c r="BX490" s="39"/>
      <c r="BY490" s="39"/>
      <c r="BZ490" s="39">
        <f t="shared" si="302"/>
        <v>368</v>
      </c>
      <c r="CA490" s="39">
        <f t="shared" si="303"/>
        <v>0</v>
      </c>
      <c r="CB490" s="39">
        <f t="shared" si="304"/>
        <v>0</v>
      </c>
      <c r="CC490" s="39">
        <f t="shared" si="305"/>
        <v>0</v>
      </c>
      <c r="CD490" s="39">
        <f t="shared" si="308"/>
        <v>0</v>
      </c>
      <c r="CE490" s="102">
        <f t="shared" si="306"/>
        <v>0</v>
      </c>
      <c r="CF490" s="36"/>
      <c r="CG490" s="39" t="s">
        <v>415</v>
      </c>
      <c r="CH490" s="39"/>
      <c r="CI490" s="25">
        <v>1</v>
      </c>
    </row>
    <row r="491" spans="1:87" ht="24.75" customHeight="1">
      <c r="A491" s="36" t="s">
        <v>387</v>
      </c>
      <c r="B491" s="27">
        <v>48613</v>
      </c>
      <c r="C491" s="236"/>
      <c r="D491" s="36"/>
      <c r="E491" s="39"/>
      <c r="F491" s="39"/>
      <c r="G491" s="36" t="s">
        <v>2355</v>
      </c>
      <c r="H491" s="36">
        <f>100+55</f>
        <v>155</v>
      </c>
      <c r="I491" s="39" t="s">
        <v>90</v>
      </c>
      <c r="J491" s="39"/>
      <c r="K491" s="39"/>
      <c r="L491" s="39">
        <f t="shared" si="333"/>
        <v>0</v>
      </c>
      <c r="M491" s="117">
        <v>46266</v>
      </c>
      <c r="N491" s="117">
        <v>46270</v>
      </c>
      <c r="O491" s="39"/>
      <c r="P491" s="39"/>
      <c r="Q491" s="39"/>
      <c r="R491" s="39">
        <f t="shared" si="330"/>
        <v>0</v>
      </c>
      <c r="S491" s="39" t="s">
        <v>130</v>
      </c>
      <c r="T491" s="39"/>
      <c r="U491" s="39"/>
      <c r="V491" s="39"/>
      <c r="W491" s="39"/>
      <c r="X491" s="39"/>
      <c r="Y491" s="39"/>
      <c r="Z491" s="39"/>
      <c r="AA491" s="39"/>
      <c r="AB491" s="39">
        <f t="shared" si="331"/>
        <v>0</v>
      </c>
      <c r="AC491" s="39"/>
      <c r="AD491" s="39"/>
      <c r="AE491" s="39"/>
      <c r="AF491" s="39"/>
      <c r="AG491" s="39"/>
      <c r="AH491" s="39">
        <f t="shared" si="296"/>
        <v>0</v>
      </c>
      <c r="AI491" s="39"/>
      <c r="AJ491" s="39"/>
      <c r="AK491" s="39"/>
      <c r="AL491" s="39"/>
      <c r="AM491" s="39"/>
      <c r="AN491" s="39">
        <f t="shared" si="312"/>
        <v>0</v>
      </c>
      <c r="AO491" s="39"/>
      <c r="AP491" s="39"/>
      <c r="AQ491" s="39"/>
      <c r="AR491" s="39"/>
      <c r="AS491" s="39"/>
      <c r="AT491" s="39">
        <f t="shared" si="297"/>
        <v>0</v>
      </c>
      <c r="AU491" s="39"/>
      <c r="AV491" s="39"/>
      <c r="AW491" s="39"/>
      <c r="AX491" s="39"/>
      <c r="AY491" s="39"/>
      <c r="AZ491" s="39">
        <f t="shared" si="298"/>
        <v>0</v>
      </c>
      <c r="BA491" s="39"/>
      <c r="BB491" s="39"/>
      <c r="BC491" s="39"/>
      <c r="BD491" s="39"/>
      <c r="BE491" s="39"/>
      <c r="BF491" s="39">
        <f t="shared" si="299"/>
        <v>0</v>
      </c>
      <c r="BG491" s="39"/>
      <c r="BH491" s="39"/>
      <c r="BI491" s="39"/>
      <c r="BJ491" s="39"/>
      <c r="BK491" s="39"/>
      <c r="BL491" s="39">
        <f t="shared" si="300"/>
        <v>0</v>
      </c>
      <c r="BM491" s="54" t="e">
        <f t="shared" si="301"/>
        <v>#DIV/0!</v>
      </c>
      <c r="BN491" s="58">
        <v>46275</v>
      </c>
      <c r="BO491" s="57">
        <v>46290</v>
      </c>
      <c r="BP491" s="36"/>
      <c r="BQ491" s="36"/>
      <c r="BR491" s="39"/>
      <c r="BS491" s="39"/>
      <c r="BT491" s="39"/>
      <c r="BU491" s="39"/>
      <c r="BV491" s="39"/>
      <c r="BW491" s="39"/>
      <c r="BX491" s="39"/>
      <c r="BY491" s="39"/>
      <c r="BZ491" s="39">
        <f t="shared" si="302"/>
        <v>0</v>
      </c>
      <c r="CA491" s="39" t="e">
        <f t="shared" si="303"/>
        <v>#VALUE!</v>
      </c>
      <c r="CB491" s="39">
        <f t="shared" si="304"/>
        <v>0</v>
      </c>
      <c r="CC491" s="39">
        <f t="shared" si="305"/>
        <v>0</v>
      </c>
      <c r="CD491" s="39">
        <f t="shared" si="308"/>
        <v>0</v>
      </c>
      <c r="CE491" s="102" t="e">
        <f t="shared" si="306"/>
        <v>#DIV/0!</v>
      </c>
      <c r="CF491" s="36"/>
      <c r="CG491" s="39" t="s">
        <v>415</v>
      </c>
      <c r="CH491" s="39"/>
      <c r="CI491" s="25">
        <v>1</v>
      </c>
    </row>
    <row r="492" spans="1:87" ht="24.75" customHeight="1">
      <c r="A492" s="36" t="s">
        <v>387</v>
      </c>
      <c r="B492" s="27">
        <v>48656</v>
      </c>
      <c r="C492" s="235">
        <v>15312683</v>
      </c>
      <c r="D492" s="36" t="s">
        <v>45</v>
      </c>
      <c r="E492" s="39">
        <v>260</v>
      </c>
      <c r="F492" s="39" t="s">
        <v>58</v>
      </c>
      <c r="G492" s="36" t="s">
        <v>324</v>
      </c>
      <c r="H492" s="36" t="s">
        <v>410</v>
      </c>
      <c r="I492" s="39">
        <v>882</v>
      </c>
      <c r="J492" s="39">
        <v>166</v>
      </c>
      <c r="K492" s="39">
        <v>81</v>
      </c>
      <c r="L492" s="39">
        <f t="shared" ref="L492:L503" si="334">SUM(I492:K492)</f>
        <v>1129</v>
      </c>
      <c r="M492" s="117">
        <v>46259</v>
      </c>
      <c r="N492" s="117">
        <v>46268</v>
      </c>
      <c r="O492" s="39"/>
      <c r="P492" s="39"/>
      <c r="Q492" s="39"/>
      <c r="R492" s="39">
        <f t="shared" si="330"/>
        <v>0</v>
      </c>
      <c r="S492" s="39" t="s">
        <v>130</v>
      </c>
      <c r="T492" s="39">
        <v>109048</v>
      </c>
      <c r="U492" s="117">
        <v>46263</v>
      </c>
      <c r="V492" s="39"/>
      <c r="W492" s="39"/>
      <c r="X492" s="39"/>
      <c r="Y492" s="39">
        <v>1009</v>
      </c>
      <c r="Z492" s="39"/>
      <c r="AA492" s="39"/>
      <c r="AB492" s="118">
        <f t="shared" si="331"/>
        <v>1009</v>
      </c>
      <c r="AC492" s="39" t="s">
        <v>139</v>
      </c>
      <c r="AD492" s="117">
        <v>46280</v>
      </c>
      <c r="AE492" s="39">
        <v>955</v>
      </c>
      <c r="AF492" s="39"/>
      <c r="AG492" s="39"/>
      <c r="AH492" s="39">
        <f t="shared" si="296"/>
        <v>-955</v>
      </c>
      <c r="AI492" s="39"/>
      <c r="AJ492" s="39"/>
      <c r="AK492" s="39"/>
      <c r="AL492" s="39"/>
      <c r="AM492" s="39"/>
      <c r="AN492" s="39">
        <f t="shared" si="312"/>
        <v>0</v>
      </c>
      <c r="AO492" s="39" t="s">
        <v>280</v>
      </c>
      <c r="AP492" s="117">
        <v>46267</v>
      </c>
      <c r="AQ492" s="39">
        <v>974</v>
      </c>
      <c r="AR492" s="117">
        <v>46269</v>
      </c>
      <c r="AS492" s="39">
        <v>967</v>
      </c>
      <c r="AT492" s="39">
        <f t="shared" si="297"/>
        <v>-7</v>
      </c>
      <c r="AU492" s="39" t="s">
        <v>257</v>
      </c>
      <c r="AV492" s="117">
        <v>46269</v>
      </c>
      <c r="AW492" s="39">
        <v>967</v>
      </c>
      <c r="AX492" s="117">
        <v>46269</v>
      </c>
      <c r="AY492" s="39">
        <v>950</v>
      </c>
      <c r="AZ492" s="39">
        <f t="shared" si="298"/>
        <v>-17</v>
      </c>
      <c r="BA492" s="39"/>
      <c r="BB492" s="39"/>
      <c r="BC492" s="39"/>
      <c r="BD492" s="39"/>
      <c r="BE492" s="39"/>
      <c r="BF492" s="39">
        <f t="shared" si="299"/>
        <v>0</v>
      </c>
      <c r="BG492" s="39" t="s">
        <v>139</v>
      </c>
      <c r="BH492" s="117">
        <v>46281</v>
      </c>
      <c r="BI492" s="39">
        <v>955</v>
      </c>
      <c r="BJ492" s="39"/>
      <c r="BK492" s="39"/>
      <c r="BL492" s="39">
        <f t="shared" si="300"/>
        <v>-955</v>
      </c>
      <c r="BM492" s="54">
        <f t="shared" ca="1" si="301"/>
        <v>20</v>
      </c>
      <c r="BN492" s="58">
        <v>46269</v>
      </c>
      <c r="BO492" s="57">
        <v>46283</v>
      </c>
      <c r="BP492" s="36"/>
      <c r="BQ492" s="36"/>
      <c r="BR492" s="39"/>
      <c r="BS492" s="39"/>
      <c r="BT492" s="39"/>
      <c r="BU492" s="39"/>
      <c r="BV492" s="39"/>
      <c r="BW492" s="39"/>
      <c r="BX492" s="39"/>
      <c r="BY492" s="39"/>
      <c r="BZ492" s="39">
        <f t="shared" si="302"/>
        <v>0</v>
      </c>
      <c r="CA492" s="39">
        <f t="shared" si="303"/>
        <v>-882</v>
      </c>
      <c r="CB492" s="39">
        <f t="shared" si="304"/>
        <v>-166</v>
      </c>
      <c r="CC492" s="39">
        <f t="shared" si="305"/>
        <v>-81</v>
      </c>
      <c r="CD492" s="39">
        <f t="shared" si="308"/>
        <v>-1129</v>
      </c>
      <c r="CE492" s="102">
        <f t="shared" si="306"/>
        <v>-1</v>
      </c>
      <c r="CF492" s="36" t="s">
        <v>249</v>
      </c>
      <c r="CG492" s="39" t="s">
        <v>222</v>
      </c>
      <c r="CH492" s="39"/>
      <c r="CI492" s="25">
        <v>1</v>
      </c>
    </row>
    <row r="493" spans="1:87" ht="24.75" customHeight="1">
      <c r="A493" s="36" t="s">
        <v>387</v>
      </c>
      <c r="B493" s="27">
        <v>48656</v>
      </c>
      <c r="C493" s="236"/>
      <c r="D493" s="36"/>
      <c r="E493" s="39"/>
      <c r="F493" s="39"/>
      <c r="G493" s="36" t="s">
        <v>198</v>
      </c>
      <c r="H493" s="36">
        <v>600</v>
      </c>
      <c r="I493" s="39" t="s">
        <v>90</v>
      </c>
      <c r="J493" s="39"/>
      <c r="K493" s="39"/>
      <c r="L493" s="39">
        <f t="shared" si="334"/>
        <v>0</v>
      </c>
      <c r="M493" s="117">
        <v>46259</v>
      </c>
      <c r="N493" s="117">
        <v>46268</v>
      </c>
      <c r="O493" s="39"/>
      <c r="P493" s="39"/>
      <c r="Q493" s="39"/>
      <c r="R493" s="39">
        <f t="shared" si="330"/>
        <v>0</v>
      </c>
      <c r="S493" s="39" t="s">
        <v>130</v>
      </c>
      <c r="T493" s="39"/>
      <c r="U493" s="39"/>
      <c r="V493" s="39"/>
      <c r="W493" s="39"/>
      <c r="X493" s="39"/>
      <c r="Y493" s="39"/>
      <c r="Z493" s="39"/>
      <c r="AA493" s="39"/>
      <c r="AB493" s="39">
        <f t="shared" si="331"/>
        <v>0</v>
      </c>
      <c r="AC493" s="39"/>
      <c r="AD493" s="39"/>
      <c r="AE493" s="39"/>
      <c r="AF493" s="39"/>
      <c r="AG493" s="39"/>
      <c r="AH493" s="39">
        <f t="shared" si="296"/>
        <v>0</v>
      </c>
      <c r="AI493" s="39"/>
      <c r="AJ493" s="39"/>
      <c r="AK493" s="39"/>
      <c r="AL493" s="39"/>
      <c r="AM493" s="39"/>
      <c r="AN493" s="39">
        <f t="shared" si="312"/>
        <v>0</v>
      </c>
      <c r="AO493" s="39"/>
      <c r="AP493" s="39"/>
      <c r="AQ493" s="39"/>
      <c r="AR493" s="39"/>
      <c r="AS493" s="39"/>
      <c r="AT493" s="39">
        <f t="shared" si="297"/>
        <v>0</v>
      </c>
      <c r="AU493" s="39"/>
      <c r="AV493" s="39"/>
      <c r="AW493" s="39"/>
      <c r="AX493" s="39"/>
      <c r="AY493" s="39"/>
      <c r="AZ493" s="39">
        <f t="shared" si="298"/>
        <v>0</v>
      </c>
      <c r="BA493" s="39"/>
      <c r="BB493" s="39"/>
      <c r="BC493" s="39"/>
      <c r="BD493" s="39"/>
      <c r="BE493" s="39"/>
      <c r="BF493" s="39">
        <f t="shared" si="299"/>
        <v>0</v>
      </c>
      <c r="BG493" s="39"/>
      <c r="BH493" s="39"/>
      <c r="BI493" s="39"/>
      <c r="BJ493" s="39"/>
      <c r="BK493" s="39"/>
      <c r="BL493" s="39">
        <f t="shared" si="300"/>
        <v>0</v>
      </c>
      <c r="BM493" s="54" t="e">
        <f t="shared" si="301"/>
        <v>#DIV/0!</v>
      </c>
      <c r="BN493" s="58">
        <v>46269</v>
      </c>
      <c r="BO493" s="57">
        <v>46283</v>
      </c>
      <c r="BP493" s="36"/>
      <c r="BQ493" s="36"/>
      <c r="BR493" s="39"/>
      <c r="BS493" s="39"/>
      <c r="BT493" s="39"/>
      <c r="BU493" s="39"/>
      <c r="BV493" s="39"/>
      <c r="BW493" s="39"/>
      <c r="BX493" s="39"/>
      <c r="BY493" s="39"/>
      <c r="BZ493" s="39">
        <f t="shared" si="302"/>
        <v>0</v>
      </c>
      <c r="CA493" s="39" t="e">
        <f t="shared" si="303"/>
        <v>#VALUE!</v>
      </c>
      <c r="CB493" s="39">
        <f t="shared" si="304"/>
        <v>0</v>
      </c>
      <c r="CC493" s="39">
        <f t="shared" si="305"/>
        <v>0</v>
      </c>
      <c r="CD493" s="39">
        <f t="shared" si="308"/>
        <v>0</v>
      </c>
      <c r="CE493" s="102" t="e">
        <f t="shared" si="306"/>
        <v>#DIV/0!</v>
      </c>
      <c r="CF493" s="36" t="s">
        <v>249</v>
      </c>
      <c r="CG493" s="39" t="s">
        <v>222</v>
      </c>
      <c r="CH493" s="39"/>
      <c r="CI493" s="25">
        <v>1</v>
      </c>
    </row>
    <row r="494" spans="1:87" ht="24.75" customHeight="1">
      <c r="A494" s="36" t="s">
        <v>387</v>
      </c>
      <c r="B494" s="27">
        <v>48659</v>
      </c>
      <c r="C494" s="235" t="s">
        <v>2528</v>
      </c>
      <c r="D494" s="36"/>
      <c r="E494" s="39">
        <v>260</v>
      </c>
      <c r="F494" s="39" t="s">
        <v>58</v>
      </c>
      <c r="G494" s="36" t="s">
        <v>2523</v>
      </c>
      <c r="H494" s="36" t="s">
        <v>410</v>
      </c>
      <c r="I494" s="39">
        <v>745</v>
      </c>
      <c r="J494" s="39">
        <v>217</v>
      </c>
      <c r="K494" s="39"/>
      <c r="L494" s="39">
        <f t="shared" si="334"/>
        <v>962</v>
      </c>
      <c r="M494" s="117">
        <v>46261</v>
      </c>
      <c r="N494" s="117">
        <v>46270</v>
      </c>
      <c r="O494" s="39"/>
      <c r="P494" s="39"/>
      <c r="Q494" s="39"/>
      <c r="R494" s="39">
        <f t="shared" si="330"/>
        <v>0</v>
      </c>
      <c r="S494" s="39" t="s">
        <v>130</v>
      </c>
      <c r="T494" s="39">
        <v>109337</v>
      </c>
      <c r="U494" s="117">
        <v>46276</v>
      </c>
      <c r="V494" s="39"/>
      <c r="W494" s="39"/>
      <c r="X494" s="39"/>
      <c r="Y494" s="39">
        <f>685</f>
        <v>685</v>
      </c>
      <c r="Z494" s="39">
        <f>204</f>
        <v>204</v>
      </c>
      <c r="AA494" s="39"/>
      <c r="AB494" s="118">
        <f t="shared" si="331"/>
        <v>889</v>
      </c>
      <c r="AC494" s="39"/>
      <c r="AD494" s="39"/>
      <c r="AE494" s="39"/>
      <c r="AF494" s="39"/>
      <c r="AG494" s="39"/>
      <c r="AH494" s="39">
        <f t="shared" si="296"/>
        <v>0</v>
      </c>
      <c r="AI494" s="39"/>
      <c r="AJ494" s="39"/>
      <c r="AK494" s="39"/>
      <c r="AL494" s="39"/>
      <c r="AM494" s="39"/>
      <c r="AN494" s="39">
        <f t="shared" si="312"/>
        <v>0</v>
      </c>
      <c r="AO494" s="39"/>
      <c r="AP494" s="39"/>
      <c r="AQ494" s="39"/>
      <c r="AR494" s="39"/>
      <c r="AS494" s="39"/>
      <c r="AT494" s="39">
        <f t="shared" si="297"/>
        <v>0</v>
      </c>
      <c r="AU494" s="39"/>
      <c r="AV494" s="39"/>
      <c r="AW494" s="39"/>
      <c r="AX494" s="39"/>
      <c r="AY494" s="39"/>
      <c r="AZ494" s="39">
        <f t="shared" si="298"/>
        <v>0</v>
      </c>
      <c r="BA494" s="39"/>
      <c r="BB494" s="39"/>
      <c r="BC494" s="39"/>
      <c r="BD494" s="39"/>
      <c r="BE494" s="39"/>
      <c r="BF494" s="39">
        <f t="shared" si="299"/>
        <v>0</v>
      </c>
      <c r="BG494" s="39"/>
      <c r="BH494" s="39"/>
      <c r="BI494" s="39"/>
      <c r="BJ494" s="39"/>
      <c r="BK494" s="39"/>
      <c r="BL494" s="39">
        <f t="shared" si="300"/>
        <v>0</v>
      </c>
      <c r="BM494" s="54">
        <f t="shared" ca="1" si="301"/>
        <v>7</v>
      </c>
      <c r="BN494" s="58">
        <v>46273</v>
      </c>
      <c r="BO494" s="57">
        <v>46287</v>
      </c>
      <c r="BP494" s="36"/>
      <c r="BQ494" s="36"/>
      <c r="BR494" s="117">
        <v>46277</v>
      </c>
      <c r="BS494" s="39"/>
      <c r="BT494" s="39">
        <v>792</v>
      </c>
      <c r="BU494" s="39">
        <f>633</f>
        <v>633</v>
      </c>
      <c r="BV494" s="39"/>
      <c r="BW494" s="39"/>
      <c r="BX494" s="39"/>
      <c r="BY494" s="39"/>
      <c r="BZ494" s="39">
        <f t="shared" si="302"/>
        <v>633</v>
      </c>
      <c r="CA494" s="39">
        <f t="shared" si="303"/>
        <v>-112</v>
      </c>
      <c r="CB494" s="39">
        <f t="shared" si="304"/>
        <v>-217</v>
      </c>
      <c r="CC494" s="39">
        <f t="shared" si="305"/>
        <v>0</v>
      </c>
      <c r="CD494" s="39">
        <f t="shared" si="308"/>
        <v>-329</v>
      </c>
      <c r="CE494" s="102">
        <f t="shared" si="306"/>
        <v>-0.34199584199584199</v>
      </c>
      <c r="CF494" s="36" t="s">
        <v>249</v>
      </c>
      <c r="CG494" s="39" t="s">
        <v>222</v>
      </c>
      <c r="CH494" s="39"/>
      <c r="CI494" s="25">
        <v>1</v>
      </c>
    </row>
    <row r="495" spans="1:87" ht="24.75" customHeight="1">
      <c r="A495" s="36" t="s">
        <v>387</v>
      </c>
      <c r="B495" s="27">
        <v>48659</v>
      </c>
      <c r="C495" s="240"/>
      <c r="D495" s="36"/>
      <c r="E495" s="39">
        <v>260</v>
      </c>
      <c r="F495" s="39" t="s">
        <v>58</v>
      </c>
      <c r="G495" s="36" t="s">
        <v>1311</v>
      </c>
      <c r="H495" s="36" t="s">
        <v>410</v>
      </c>
      <c r="I495" s="39">
        <v>745</v>
      </c>
      <c r="J495" s="39">
        <v>217</v>
      </c>
      <c r="K495" s="39"/>
      <c r="L495" s="39">
        <f t="shared" si="334"/>
        <v>962</v>
      </c>
      <c r="M495" s="117">
        <v>46261</v>
      </c>
      <c r="N495" s="117">
        <v>46270</v>
      </c>
      <c r="O495" s="39"/>
      <c r="P495" s="39"/>
      <c r="Q495" s="39"/>
      <c r="R495" s="39">
        <f t="shared" si="330"/>
        <v>0</v>
      </c>
      <c r="S495" s="39" t="s">
        <v>100</v>
      </c>
      <c r="T495" s="39"/>
      <c r="U495" s="39"/>
      <c r="V495" s="39"/>
      <c r="W495" s="39"/>
      <c r="X495" s="39"/>
      <c r="Y495" s="39"/>
      <c r="Z495" s="39"/>
      <c r="AA495" s="39"/>
      <c r="AB495" s="118">
        <f t="shared" si="331"/>
        <v>0</v>
      </c>
      <c r="AC495" s="39"/>
      <c r="AD495" s="39"/>
      <c r="AE495" s="39"/>
      <c r="AF495" s="39"/>
      <c r="AG495" s="39"/>
      <c r="AH495" s="39">
        <f t="shared" si="296"/>
        <v>0</v>
      </c>
      <c r="AI495" s="39"/>
      <c r="AJ495" s="39"/>
      <c r="AK495" s="39"/>
      <c r="AL495" s="39"/>
      <c r="AM495" s="39"/>
      <c r="AN495" s="39">
        <f t="shared" si="312"/>
        <v>0</v>
      </c>
      <c r="AO495" s="39"/>
      <c r="AP495" s="39"/>
      <c r="AQ495" s="39"/>
      <c r="AR495" s="39"/>
      <c r="AS495" s="39"/>
      <c r="AT495" s="39">
        <f t="shared" si="297"/>
        <v>0</v>
      </c>
      <c r="AU495" s="39"/>
      <c r="AV495" s="39"/>
      <c r="AW495" s="39"/>
      <c r="AX495" s="39"/>
      <c r="AY495" s="39"/>
      <c r="AZ495" s="39">
        <f t="shared" si="298"/>
        <v>0</v>
      </c>
      <c r="BA495" s="39"/>
      <c r="BB495" s="39"/>
      <c r="BC495" s="39"/>
      <c r="BD495" s="39"/>
      <c r="BE495" s="39"/>
      <c r="BF495" s="39">
        <f t="shared" si="299"/>
        <v>0</v>
      </c>
      <c r="BG495" s="39"/>
      <c r="BH495" s="39"/>
      <c r="BI495" s="39"/>
      <c r="BJ495" s="39"/>
      <c r="BK495" s="39"/>
      <c r="BL495" s="39">
        <f t="shared" si="300"/>
        <v>0</v>
      </c>
      <c r="BM495" s="54">
        <f t="shared" ca="1" si="301"/>
        <v>46283</v>
      </c>
      <c r="BN495" s="58">
        <v>46273</v>
      </c>
      <c r="BO495" s="57">
        <v>46287</v>
      </c>
      <c r="BP495" s="36"/>
      <c r="BQ495" s="36"/>
      <c r="BR495" s="39"/>
      <c r="BS495" s="39"/>
      <c r="BT495" s="39"/>
      <c r="BU495" s="39"/>
      <c r="BV495" s="39"/>
      <c r="BW495" s="39"/>
      <c r="BX495" s="39"/>
      <c r="BY495" s="39"/>
      <c r="BZ495" s="39">
        <f t="shared" si="302"/>
        <v>0</v>
      </c>
      <c r="CA495" s="39">
        <f t="shared" si="303"/>
        <v>-745</v>
      </c>
      <c r="CB495" s="39">
        <f t="shared" si="304"/>
        <v>-217</v>
      </c>
      <c r="CC495" s="39">
        <f t="shared" si="305"/>
        <v>0</v>
      </c>
      <c r="CD495" s="39">
        <f t="shared" si="308"/>
        <v>-962</v>
      </c>
      <c r="CE495" s="102">
        <f t="shared" si="306"/>
        <v>-1</v>
      </c>
      <c r="CF495" s="36" t="s">
        <v>249</v>
      </c>
      <c r="CG495" s="39" t="s">
        <v>222</v>
      </c>
      <c r="CH495" s="39"/>
      <c r="CI495" s="25">
        <v>1</v>
      </c>
    </row>
    <row r="496" spans="1:87" ht="24.75" customHeight="1">
      <c r="A496" s="36" t="s">
        <v>387</v>
      </c>
      <c r="B496" s="27">
        <v>48659</v>
      </c>
      <c r="C496" s="236"/>
      <c r="D496" s="36"/>
      <c r="E496" s="39"/>
      <c r="F496" s="39"/>
      <c r="G496" s="36" t="s">
        <v>92</v>
      </c>
      <c r="H496" s="36">
        <f>775+775</f>
        <v>1550</v>
      </c>
      <c r="I496" s="39" t="s">
        <v>90</v>
      </c>
      <c r="J496" s="39"/>
      <c r="K496" s="39"/>
      <c r="L496" s="39">
        <f t="shared" ref="L496:L497" si="335">SUM(I496:K496)</f>
        <v>0</v>
      </c>
      <c r="M496" s="117">
        <v>46261</v>
      </c>
      <c r="N496" s="117">
        <v>46270</v>
      </c>
      <c r="O496" s="39"/>
      <c r="P496" s="39"/>
      <c r="Q496" s="39"/>
      <c r="R496" s="39">
        <f t="shared" si="330"/>
        <v>0</v>
      </c>
      <c r="S496" s="39" t="s">
        <v>130</v>
      </c>
      <c r="T496" s="39">
        <v>109337</v>
      </c>
      <c r="U496" s="117">
        <v>46276</v>
      </c>
      <c r="V496" s="39"/>
      <c r="W496" s="39"/>
      <c r="X496" s="39"/>
      <c r="Y496" s="39">
        <v>7</v>
      </c>
      <c r="Z496" s="39"/>
      <c r="AA496" s="39"/>
      <c r="AB496" s="39">
        <f t="shared" si="331"/>
        <v>7</v>
      </c>
      <c r="AC496" s="39"/>
      <c r="AD496" s="39"/>
      <c r="AE496" s="39"/>
      <c r="AF496" s="39"/>
      <c r="AG496" s="39"/>
      <c r="AH496" s="39">
        <f t="shared" si="296"/>
        <v>0</v>
      </c>
      <c r="AI496" s="39"/>
      <c r="AJ496" s="39"/>
      <c r="AK496" s="39"/>
      <c r="AL496" s="39"/>
      <c r="AM496" s="39"/>
      <c r="AN496" s="39">
        <f t="shared" si="312"/>
        <v>0</v>
      </c>
      <c r="AO496" s="39"/>
      <c r="AP496" s="39"/>
      <c r="AQ496" s="39"/>
      <c r="AR496" s="39"/>
      <c r="AS496" s="39"/>
      <c r="AT496" s="39">
        <f t="shared" si="297"/>
        <v>0</v>
      </c>
      <c r="AU496" s="39"/>
      <c r="AV496" s="39"/>
      <c r="AW496" s="39"/>
      <c r="AX496" s="39"/>
      <c r="AY496" s="39"/>
      <c r="AZ496" s="39">
        <f t="shared" si="298"/>
        <v>0</v>
      </c>
      <c r="BA496" s="39"/>
      <c r="BB496" s="39"/>
      <c r="BC496" s="39"/>
      <c r="BD496" s="39"/>
      <c r="BE496" s="39"/>
      <c r="BF496" s="39">
        <f t="shared" si="299"/>
        <v>0</v>
      </c>
      <c r="BG496" s="39"/>
      <c r="BH496" s="39"/>
      <c r="BI496" s="39"/>
      <c r="BJ496" s="39"/>
      <c r="BK496" s="39"/>
      <c r="BL496" s="39">
        <f t="shared" si="300"/>
        <v>0</v>
      </c>
      <c r="BM496" s="54" t="e">
        <f t="shared" si="301"/>
        <v>#DIV/0!</v>
      </c>
      <c r="BN496" s="58">
        <v>46273</v>
      </c>
      <c r="BO496" s="57">
        <v>46287</v>
      </c>
      <c r="BP496" s="36"/>
      <c r="BQ496" s="36"/>
      <c r="BR496" s="39"/>
      <c r="BS496" s="39"/>
      <c r="BT496" s="39"/>
      <c r="BU496" s="39"/>
      <c r="BV496" s="39"/>
      <c r="BW496" s="39"/>
      <c r="BX496" s="39"/>
      <c r="BY496" s="39"/>
      <c r="BZ496" s="39">
        <f t="shared" si="302"/>
        <v>0</v>
      </c>
      <c r="CA496" s="39" t="e">
        <f t="shared" si="303"/>
        <v>#VALUE!</v>
      </c>
      <c r="CB496" s="39">
        <f t="shared" si="304"/>
        <v>0</v>
      </c>
      <c r="CC496" s="39">
        <f t="shared" si="305"/>
        <v>0</v>
      </c>
      <c r="CD496" s="39">
        <f t="shared" si="308"/>
        <v>0</v>
      </c>
      <c r="CE496" s="102" t="e">
        <f t="shared" si="306"/>
        <v>#DIV/0!</v>
      </c>
      <c r="CF496" s="36" t="s">
        <v>249</v>
      </c>
      <c r="CG496" s="39" t="s">
        <v>222</v>
      </c>
      <c r="CH496" s="39"/>
      <c r="CI496" s="25">
        <v>1</v>
      </c>
    </row>
    <row r="497" spans="1:87" ht="24.75" customHeight="1">
      <c r="A497" s="36" t="s">
        <v>387</v>
      </c>
      <c r="B497" s="27">
        <v>48660</v>
      </c>
      <c r="C497" s="41">
        <v>15392243</v>
      </c>
      <c r="D497" s="36"/>
      <c r="E497" s="39">
        <v>180</v>
      </c>
      <c r="F497" s="39" t="s">
        <v>57</v>
      </c>
      <c r="G497" s="36" t="s">
        <v>47</v>
      </c>
      <c r="H497" s="36" t="s">
        <v>22</v>
      </c>
      <c r="I497" s="39">
        <v>304</v>
      </c>
      <c r="J497" s="39">
        <v>23</v>
      </c>
      <c r="K497" s="39"/>
      <c r="L497" s="39">
        <f t="shared" si="335"/>
        <v>327</v>
      </c>
      <c r="M497" s="117">
        <v>46261</v>
      </c>
      <c r="N497" s="117">
        <v>46265</v>
      </c>
      <c r="O497" s="39"/>
      <c r="P497" s="39"/>
      <c r="Q497" s="39"/>
      <c r="R497" s="39">
        <f t="shared" si="330"/>
        <v>0</v>
      </c>
      <c r="S497" s="39" t="s">
        <v>130</v>
      </c>
      <c r="T497" s="39">
        <v>109351</v>
      </c>
      <c r="U497" s="117">
        <v>46277</v>
      </c>
      <c r="V497" s="39"/>
      <c r="W497" s="39"/>
      <c r="X497" s="39"/>
      <c r="Y497" s="39">
        <v>345</v>
      </c>
      <c r="Z497" s="39">
        <v>29</v>
      </c>
      <c r="AA497" s="39"/>
      <c r="AB497" s="119">
        <f t="shared" si="331"/>
        <v>374</v>
      </c>
      <c r="AC497" s="39"/>
      <c r="AD497" s="39"/>
      <c r="AE497" s="39"/>
      <c r="AF497" s="39"/>
      <c r="AG497" s="39"/>
      <c r="AH497" s="39">
        <f t="shared" si="296"/>
        <v>0</v>
      </c>
      <c r="AI497" s="39"/>
      <c r="AJ497" s="39"/>
      <c r="AK497" s="39"/>
      <c r="AL497" s="39"/>
      <c r="AM497" s="39"/>
      <c r="AN497" s="39">
        <f t="shared" si="312"/>
        <v>0</v>
      </c>
      <c r="AO497" s="39"/>
      <c r="AP497" s="39"/>
      <c r="AQ497" s="39"/>
      <c r="AR497" s="39"/>
      <c r="AS497" s="39"/>
      <c r="AT497" s="39">
        <f t="shared" si="297"/>
        <v>0</v>
      </c>
      <c r="AU497" s="39"/>
      <c r="AV497" s="39"/>
      <c r="AW497" s="39"/>
      <c r="AX497" s="39"/>
      <c r="AY497" s="39"/>
      <c r="AZ497" s="39">
        <f t="shared" si="298"/>
        <v>0</v>
      </c>
      <c r="BA497" s="39"/>
      <c r="BB497" s="39"/>
      <c r="BC497" s="39"/>
      <c r="BD497" s="39"/>
      <c r="BE497" s="39"/>
      <c r="BF497" s="39">
        <f t="shared" si="299"/>
        <v>0</v>
      </c>
      <c r="BG497" s="39"/>
      <c r="BH497" s="39"/>
      <c r="BI497" s="39"/>
      <c r="BJ497" s="39"/>
      <c r="BK497" s="39"/>
      <c r="BL497" s="39">
        <f t="shared" si="300"/>
        <v>0</v>
      </c>
      <c r="BM497" s="54" t="str">
        <f t="shared" si="301"/>
        <v/>
      </c>
      <c r="BN497" s="58">
        <v>46268</v>
      </c>
      <c r="BO497" s="57">
        <v>46281</v>
      </c>
      <c r="BP497" s="36"/>
      <c r="BQ497" s="36"/>
      <c r="BR497" s="117">
        <v>46280</v>
      </c>
      <c r="BS497" s="117">
        <v>46280</v>
      </c>
      <c r="BT497" s="39">
        <v>901</v>
      </c>
      <c r="BU497" s="39">
        <v>304</v>
      </c>
      <c r="BV497" s="39">
        <v>901</v>
      </c>
      <c r="BW497" s="39">
        <v>25</v>
      </c>
      <c r="BX497" s="39"/>
      <c r="BY497" s="39"/>
      <c r="BZ497" s="39">
        <f t="shared" si="302"/>
        <v>329</v>
      </c>
      <c r="CA497" s="39">
        <f t="shared" si="303"/>
        <v>0</v>
      </c>
      <c r="CB497" s="39">
        <f t="shared" si="304"/>
        <v>2</v>
      </c>
      <c r="CC497" s="39">
        <f t="shared" si="305"/>
        <v>0</v>
      </c>
      <c r="CD497" s="39">
        <f t="shared" si="308"/>
        <v>0</v>
      </c>
      <c r="CE497" s="102">
        <f t="shared" si="306"/>
        <v>0</v>
      </c>
      <c r="CF497" s="36" t="s">
        <v>249</v>
      </c>
      <c r="CG497" s="39" t="s">
        <v>222</v>
      </c>
      <c r="CH497" s="39"/>
      <c r="CI497" s="25">
        <v>1</v>
      </c>
    </row>
    <row r="498" spans="1:87" ht="24.75" customHeight="1">
      <c r="A498" s="36" t="s">
        <v>387</v>
      </c>
      <c r="B498" s="27">
        <v>48661</v>
      </c>
      <c r="C498" s="41">
        <v>15392580</v>
      </c>
      <c r="D498" s="36"/>
      <c r="E498" s="39">
        <v>140</v>
      </c>
      <c r="F498" s="39" t="s">
        <v>57</v>
      </c>
      <c r="G498" s="36" t="s">
        <v>93</v>
      </c>
      <c r="H498" s="36" t="s">
        <v>22</v>
      </c>
      <c r="I498" s="39">
        <v>97</v>
      </c>
      <c r="J498" s="39">
        <v>7</v>
      </c>
      <c r="K498" s="39"/>
      <c r="L498" s="39">
        <f t="shared" ref="L498:L500" si="336">SUM(I498:K498)</f>
        <v>104</v>
      </c>
      <c r="M498" s="117">
        <v>46266</v>
      </c>
      <c r="N498" s="117">
        <v>46267</v>
      </c>
      <c r="O498" s="39"/>
      <c r="P498" s="39"/>
      <c r="Q498" s="39"/>
      <c r="R498" s="39">
        <f t="shared" si="330"/>
        <v>0</v>
      </c>
      <c r="S498" s="39" t="s">
        <v>130</v>
      </c>
      <c r="T498" s="39">
        <v>109062</v>
      </c>
      <c r="U498" s="117">
        <v>46264</v>
      </c>
      <c r="V498" s="39"/>
      <c r="W498" s="39"/>
      <c r="X498" s="39"/>
      <c r="Y498" s="39">
        <v>120</v>
      </c>
      <c r="Z498" s="39">
        <v>10</v>
      </c>
      <c r="AA498" s="39"/>
      <c r="AB498" s="119">
        <f t="shared" si="331"/>
        <v>130</v>
      </c>
      <c r="AC498" s="39"/>
      <c r="AD498" s="39"/>
      <c r="AE498" s="39"/>
      <c r="AF498" s="39"/>
      <c r="AG498" s="39"/>
      <c r="AH498" s="39">
        <f t="shared" si="296"/>
        <v>0</v>
      </c>
      <c r="AI498" s="39"/>
      <c r="AJ498" s="39"/>
      <c r="AK498" s="39"/>
      <c r="AL498" s="39"/>
      <c r="AM498" s="39"/>
      <c r="AN498" s="39">
        <f t="shared" si="312"/>
        <v>0</v>
      </c>
      <c r="AO498" s="39"/>
      <c r="AP498" s="39"/>
      <c r="AQ498" s="39"/>
      <c r="AR498" s="39"/>
      <c r="AS498" s="39"/>
      <c r="AT498" s="39">
        <f t="shared" si="297"/>
        <v>0</v>
      </c>
      <c r="AU498" s="39"/>
      <c r="AV498" s="39"/>
      <c r="AW498" s="39"/>
      <c r="AX498" s="39"/>
      <c r="AY498" s="39"/>
      <c r="AZ498" s="39">
        <f t="shared" si="298"/>
        <v>0</v>
      </c>
      <c r="BA498" s="39"/>
      <c r="BB498" s="39"/>
      <c r="BC498" s="39"/>
      <c r="BD498" s="39"/>
      <c r="BE498" s="39"/>
      <c r="BF498" s="39">
        <f t="shared" si="299"/>
        <v>0</v>
      </c>
      <c r="BG498" s="39"/>
      <c r="BH498" s="39"/>
      <c r="BI498" s="39"/>
      <c r="BJ498" s="39"/>
      <c r="BK498" s="39"/>
      <c r="BL498" s="39">
        <f t="shared" si="300"/>
        <v>0</v>
      </c>
      <c r="BM498" s="54" t="str">
        <f t="shared" si="301"/>
        <v/>
      </c>
      <c r="BN498" s="58">
        <v>46272</v>
      </c>
      <c r="BO498" s="57">
        <v>46283</v>
      </c>
      <c r="BP498" s="36"/>
      <c r="BQ498" s="36"/>
      <c r="BR498" s="117">
        <v>46267</v>
      </c>
      <c r="BS498" s="117">
        <v>46267</v>
      </c>
      <c r="BT498" s="39">
        <v>736</v>
      </c>
      <c r="BU498" s="39">
        <v>99</v>
      </c>
      <c r="BV498" s="39">
        <v>736</v>
      </c>
      <c r="BW498" s="39">
        <v>8</v>
      </c>
      <c r="BX498" s="39"/>
      <c r="BY498" s="39"/>
      <c r="BZ498" s="39">
        <f t="shared" si="302"/>
        <v>107</v>
      </c>
      <c r="CA498" s="39">
        <f t="shared" si="303"/>
        <v>2</v>
      </c>
      <c r="CB498" s="39">
        <f t="shared" si="304"/>
        <v>1</v>
      </c>
      <c r="CC498" s="39">
        <f t="shared" si="305"/>
        <v>0</v>
      </c>
      <c r="CD498" s="39">
        <f t="shared" si="308"/>
        <v>0</v>
      </c>
      <c r="CE498" s="102">
        <f t="shared" si="306"/>
        <v>0</v>
      </c>
      <c r="CF498" s="36" t="s">
        <v>249</v>
      </c>
      <c r="CG498" s="39" t="s">
        <v>222</v>
      </c>
      <c r="CH498" s="39"/>
      <c r="CI498" s="25">
        <v>1</v>
      </c>
    </row>
    <row r="499" spans="1:87" ht="24.75" customHeight="1">
      <c r="A499" s="36" t="s">
        <v>387</v>
      </c>
      <c r="B499" s="27">
        <v>48663</v>
      </c>
      <c r="C499" s="235">
        <v>15393265</v>
      </c>
      <c r="D499" s="36"/>
      <c r="E499" s="39">
        <v>160</v>
      </c>
      <c r="F499" s="39" t="s">
        <v>57</v>
      </c>
      <c r="G499" s="36" t="s">
        <v>47</v>
      </c>
      <c r="H499" s="36" t="s">
        <v>22</v>
      </c>
      <c r="I499" s="39">
        <v>767</v>
      </c>
      <c r="J499" s="39">
        <v>40</v>
      </c>
      <c r="K499" s="39"/>
      <c r="L499" s="39">
        <f t="shared" si="336"/>
        <v>807</v>
      </c>
      <c r="M499" s="117">
        <v>46259</v>
      </c>
      <c r="N499" s="117">
        <v>46265</v>
      </c>
      <c r="O499" s="39"/>
      <c r="P499" s="39"/>
      <c r="Q499" s="39"/>
      <c r="R499" s="39">
        <f t="shared" si="330"/>
        <v>0</v>
      </c>
      <c r="S499" s="39" t="s">
        <v>130</v>
      </c>
      <c r="T499" s="39">
        <v>109072</v>
      </c>
      <c r="U499" s="117">
        <v>46265</v>
      </c>
      <c r="V499" s="39"/>
      <c r="W499" s="39"/>
      <c r="X499" s="39"/>
      <c r="Y499" s="39">
        <v>862</v>
      </c>
      <c r="Z499" s="39">
        <v>47</v>
      </c>
      <c r="AA499" s="39"/>
      <c r="AB499" s="119">
        <f t="shared" si="331"/>
        <v>909</v>
      </c>
      <c r="AC499" s="39"/>
      <c r="AD499" s="39"/>
      <c r="AE499" s="39"/>
      <c r="AF499" s="39"/>
      <c r="AG499" s="39"/>
      <c r="AH499" s="39">
        <f t="shared" si="296"/>
        <v>0</v>
      </c>
      <c r="AI499" s="39"/>
      <c r="AJ499" s="39"/>
      <c r="AK499" s="39"/>
      <c r="AL499" s="39"/>
      <c r="AM499" s="39"/>
      <c r="AN499" s="39">
        <f t="shared" si="312"/>
        <v>0</v>
      </c>
      <c r="AO499" s="39"/>
      <c r="AP499" s="39"/>
      <c r="AQ499" s="39"/>
      <c r="AR499" s="39"/>
      <c r="AS499" s="39"/>
      <c r="AT499" s="39">
        <f t="shared" si="297"/>
        <v>0</v>
      </c>
      <c r="AU499" s="39"/>
      <c r="AV499" s="39"/>
      <c r="AW499" s="39"/>
      <c r="AX499" s="39"/>
      <c r="AY499" s="39"/>
      <c r="AZ499" s="39">
        <f t="shared" si="298"/>
        <v>0</v>
      </c>
      <c r="BA499" s="39"/>
      <c r="BB499" s="39"/>
      <c r="BC499" s="39"/>
      <c r="BD499" s="39"/>
      <c r="BE499" s="39"/>
      <c r="BF499" s="39">
        <f t="shared" si="299"/>
        <v>0</v>
      </c>
      <c r="BG499" s="39"/>
      <c r="BH499" s="39"/>
      <c r="BI499" s="39"/>
      <c r="BJ499" s="39"/>
      <c r="BK499" s="39"/>
      <c r="BL499" s="39">
        <f t="shared" si="300"/>
        <v>0</v>
      </c>
      <c r="BM499" s="54" t="str">
        <f t="shared" si="301"/>
        <v/>
      </c>
      <c r="BN499" s="58">
        <v>46267</v>
      </c>
      <c r="BO499" s="57">
        <v>46280</v>
      </c>
      <c r="BP499" s="36"/>
      <c r="BQ499" s="36"/>
      <c r="BR499" s="117">
        <v>46267</v>
      </c>
      <c r="BS499" s="117">
        <v>46267</v>
      </c>
      <c r="BT499" s="39">
        <v>736</v>
      </c>
      <c r="BU499" s="39">
        <v>778</v>
      </c>
      <c r="BV499" s="39">
        <v>736</v>
      </c>
      <c r="BW499" s="39">
        <v>41</v>
      </c>
      <c r="BX499" s="39"/>
      <c r="BY499" s="39"/>
      <c r="BZ499" s="39">
        <f t="shared" si="302"/>
        <v>819</v>
      </c>
      <c r="CA499" s="39">
        <f t="shared" si="303"/>
        <v>11</v>
      </c>
      <c r="CB499" s="39">
        <f t="shared" si="304"/>
        <v>1</v>
      </c>
      <c r="CC499" s="39">
        <f t="shared" si="305"/>
        <v>0</v>
      </c>
      <c r="CD499" s="39">
        <f t="shared" si="308"/>
        <v>0</v>
      </c>
      <c r="CE499" s="102">
        <f t="shared" si="306"/>
        <v>0</v>
      </c>
      <c r="CF499" s="36" t="s">
        <v>249</v>
      </c>
      <c r="CG499" s="39" t="s">
        <v>222</v>
      </c>
      <c r="CH499" s="39"/>
      <c r="CI499" s="25">
        <v>1</v>
      </c>
    </row>
    <row r="500" spans="1:87" ht="24.75" customHeight="1">
      <c r="A500" s="36" t="s">
        <v>387</v>
      </c>
      <c r="B500" s="27">
        <v>48663</v>
      </c>
      <c r="C500" s="236"/>
      <c r="D500" s="36"/>
      <c r="E500" s="39">
        <v>160</v>
      </c>
      <c r="F500" s="39" t="s">
        <v>57</v>
      </c>
      <c r="G500" s="36" t="s">
        <v>2349</v>
      </c>
      <c r="H500" s="36" t="s">
        <v>22</v>
      </c>
      <c r="I500" s="39">
        <v>767</v>
      </c>
      <c r="J500" s="39">
        <v>40</v>
      </c>
      <c r="K500" s="39"/>
      <c r="L500" s="39">
        <f t="shared" si="336"/>
        <v>807</v>
      </c>
      <c r="M500" s="117">
        <v>46259</v>
      </c>
      <c r="N500" s="117">
        <v>46265</v>
      </c>
      <c r="O500" s="39"/>
      <c r="P500" s="39"/>
      <c r="Q500" s="39"/>
      <c r="R500" s="39">
        <f t="shared" si="330"/>
        <v>0</v>
      </c>
      <c r="S500" s="39" t="s">
        <v>31</v>
      </c>
      <c r="T500" s="39"/>
      <c r="U500" s="39"/>
      <c r="V500" s="117">
        <v>46267</v>
      </c>
      <c r="W500" s="39">
        <f>863+47</f>
        <v>910</v>
      </c>
      <c r="X500" s="117" t="s">
        <v>3034</v>
      </c>
      <c r="Y500" s="39">
        <f>765</f>
        <v>765</v>
      </c>
      <c r="Z500" s="39">
        <v>42</v>
      </c>
      <c r="AA500" s="39"/>
      <c r="AB500" s="119">
        <f t="shared" si="331"/>
        <v>807</v>
      </c>
      <c r="AC500" s="39"/>
      <c r="AD500" s="39"/>
      <c r="AE500" s="39"/>
      <c r="AF500" s="39"/>
      <c r="AG500" s="39"/>
      <c r="AH500" s="39">
        <f t="shared" si="296"/>
        <v>0</v>
      </c>
      <c r="AI500" s="39"/>
      <c r="AJ500" s="39"/>
      <c r="AK500" s="39"/>
      <c r="AL500" s="39"/>
      <c r="AM500" s="39"/>
      <c r="AN500" s="39">
        <f t="shared" si="312"/>
        <v>0</v>
      </c>
      <c r="AO500" s="39"/>
      <c r="AP500" s="39"/>
      <c r="AQ500" s="39"/>
      <c r="AR500" s="39"/>
      <c r="AS500" s="39"/>
      <c r="AT500" s="39">
        <f t="shared" si="297"/>
        <v>0</v>
      </c>
      <c r="AU500" s="39"/>
      <c r="AV500" s="39"/>
      <c r="AW500" s="39"/>
      <c r="AX500" s="39"/>
      <c r="AY500" s="39"/>
      <c r="AZ500" s="39">
        <f t="shared" si="298"/>
        <v>0</v>
      </c>
      <c r="BA500" s="39"/>
      <c r="BB500" s="39"/>
      <c r="BC500" s="39"/>
      <c r="BD500" s="39"/>
      <c r="BE500" s="39"/>
      <c r="BF500" s="39">
        <f t="shared" si="299"/>
        <v>0</v>
      </c>
      <c r="BG500" s="39"/>
      <c r="BH500" s="39"/>
      <c r="BI500" s="39"/>
      <c r="BJ500" s="39"/>
      <c r="BK500" s="39"/>
      <c r="BL500" s="39">
        <f t="shared" si="300"/>
        <v>0</v>
      </c>
      <c r="BM500" s="54" t="str">
        <f t="shared" si="301"/>
        <v/>
      </c>
      <c r="BN500" s="58">
        <v>46267</v>
      </c>
      <c r="BO500" s="57">
        <v>46280</v>
      </c>
      <c r="BP500" s="36"/>
      <c r="BQ500" s="36"/>
      <c r="BR500" s="117">
        <v>46272</v>
      </c>
      <c r="BS500" s="117">
        <v>46281</v>
      </c>
      <c r="BT500" s="39">
        <v>966</v>
      </c>
      <c r="BU500" s="39">
        <v>765</v>
      </c>
      <c r="BV500" s="39">
        <v>867</v>
      </c>
      <c r="BW500" s="39">
        <v>42</v>
      </c>
      <c r="BX500" s="39"/>
      <c r="BY500" s="39"/>
      <c r="BZ500" s="39">
        <f t="shared" si="302"/>
        <v>807</v>
      </c>
      <c r="CA500" s="39">
        <f t="shared" si="303"/>
        <v>-2</v>
      </c>
      <c r="CB500" s="39">
        <f t="shared" si="304"/>
        <v>2</v>
      </c>
      <c r="CC500" s="39">
        <f t="shared" si="305"/>
        <v>0</v>
      </c>
      <c r="CD500" s="39">
        <v>0</v>
      </c>
      <c r="CE500" s="102">
        <f t="shared" si="306"/>
        <v>0</v>
      </c>
      <c r="CF500" s="36" t="s">
        <v>249</v>
      </c>
      <c r="CG500" s="39" t="s">
        <v>222</v>
      </c>
      <c r="CH500" s="39"/>
      <c r="CI500" s="25">
        <v>1</v>
      </c>
    </row>
    <row r="501" spans="1:87" ht="24.75" customHeight="1">
      <c r="A501" s="36" t="s">
        <v>387</v>
      </c>
      <c r="B501" s="27">
        <v>48619</v>
      </c>
      <c r="C501" s="235">
        <v>15291465</v>
      </c>
      <c r="D501" s="36"/>
      <c r="E501" s="39">
        <v>140</v>
      </c>
      <c r="F501" s="39" t="s">
        <v>57</v>
      </c>
      <c r="G501" s="36" t="s">
        <v>1222</v>
      </c>
      <c r="H501" s="36" t="s">
        <v>22</v>
      </c>
      <c r="I501" s="39">
        <v>1515</v>
      </c>
      <c r="J501" s="39">
        <v>115</v>
      </c>
      <c r="K501" s="39"/>
      <c r="L501" s="39">
        <f t="shared" ref="L501" si="337">SUM(I501:K501)</f>
        <v>1630</v>
      </c>
      <c r="M501" s="117">
        <v>46259</v>
      </c>
      <c r="N501" s="117">
        <v>46269</v>
      </c>
      <c r="O501" s="39"/>
      <c r="P501" s="39"/>
      <c r="Q501" s="39"/>
      <c r="R501" s="39">
        <f t="shared" si="330"/>
        <v>0</v>
      </c>
      <c r="S501" s="39" t="s">
        <v>100</v>
      </c>
      <c r="T501" s="39"/>
      <c r="U501" s="39"/>
      <c r="V501" s="117">
        <v>46263</v>
      </c>
      <c r="W501" s="39">
        <f>1712+135</f>
        <v>1847</v>
      </c>
      <c r="X501" s="117" t="s">
        <v>3017</v>
      </c>
      <c r="Y501" s="39">
        <f>787+277</f>
        <v>1064</v>
      </c>
      <c r="Z501" s="39">
        <f>22</f>
        <v>22</v>
      </c>
      <c r="AA501" s="39"/>
      <c r="AB501" s="120">
        <f t="shared" si="331"/>
        <v>1086</v>
      </c>
      <c r="AC501" s="39"/>
      <c r="AD501" s="39"/>
      <c r="AE501" s="39"/>
      <c r="AF501" s="39"/>
      <c r="AG501" s="39"/>
      <c r="AH501" s="39">
        <f t="shared" si="296"/>
        <v>0</v>
      </c>
      <c r="AI501" s="39"/>
      <c r="AJ501" s="39"/>
      <c r="AK501" s="39"/>
      <c r="AL501" s="39"/>
      <c r="AM501" s="39"/>
      <c r="AN501" s="39">
        <f t="shared" si="312"/>
        <v>0</v>
      </c>
      <c r="AO501" s="39"/>
      <c r="AP501" s="39"/>
      <c r="AQ501" s="39"/>
      <c r="AR501" s="39"/>
      <c r="AS501" s="39"/>
      <c r="AT501" s="39">
        <f t="shared" si="297"/>
        <v>0</v>
      </c>
      <c r="AU501" s="39"/>
      <c r="AV501" s="39"/>
      <c r="AW501" s="39"/>
      <c r="AX501" s="39"/>
      <c r="AY501" s="39"/>
      <c r="AZ501" s="39">
        <f t="shared" si="298"/>
        <v>0</v>
      </c>
      <c r="BA501" s="39"/>
      <c r="BB501" s="39"/>
      <c r="BC501" s="39"/>
      <c r="BD501" s="39"/>
      <c r="BE501" s="39"/>
      <c r="BF501" s="39">
        <f t="shared" si="299"/>
        <v>0</v>
      </c>
      <c r="BG501" s="39"/>
      <c r="BH501" s="39"/>
      <c r="BI501" s="39"/>
      <c r="BJ501" s="39"/>
      <c r="BK501" s="39"/>
      <c r="BL501" s="39">
        <f t="shared" si="300"/>
        <v>0</v>
      </c>
      <c r="BM501" s="54">
        <f t="shared" ca="1" si="301"/>
        <v>46283</v>
      </c>
      <c r="BN501" s="58">
        <v>46268</v>
      </c>
      <c r="BO501" s="57">
        <v>46284</v>
      </c>
      <c r="BP501" s="36"/>
      <c r="BQ501" s="36"/>
      <c r="BR501" s="117">
        <v>46272</v>
      </c>
      <c r="BS501" s="39"/>
      <c r="BT501" s="39" t="s">
        <v>3012</v>
      </c>
      <c r="BU501" s="39">
        <f>787+277</f>
        <v>1064</v>
      </c>
      <c r="BV501" s="39">
        <v>865</v>
      </c>
      <c r="BW501" s="39">
        <f>22</f>
        <v>22</v>
      </c>
      <c r="BX501" s="39"/>
      <c r="BY501" s="39"/>
      <c r="BZ501" s="39">
        <f t="shared" si="302"/>
        <v>1086</v>
      </c>
      <c r="CA501" s="39">
        <f t="shared" si="303"/>
        <v>-451</v>
      </c>
      <c r="CB501" s="39">
        <f t="shared" si="304"/>
        <v>-93</v>
      </c>
      <c r="CC501" s="39">
        <f t="shared" si="305"/>
        <v>0</v>
      </c>
      <c r="CD501" s="39">
        <f t="shared" si="308"/>
        <v>-544</v>
      </c>
      <c r="CE501" s="102">
        <f t="shared" si="306"/>
        <v>-0.33374233128834357</v>
      </c>
      <c r="CF501" s="36" t="s">
        <v>292</v>
      </c>
      <c r="CG501" s="39" t="s">
        <v>220</v>
      </c>
      <c r="CH501" s="39"/>
      <c r="CI501" s="25">
        <v>1</v>
      </c>
    </row>
    <row r="502" spans="1:87" ht="24.75" customHeight="1">
      <c r="A502" s="36" t="s">
        <v>387</v>
      </c>
      <c r="B502" s="27">
        <v>48619</v>
      </c>
      <c r="C502" s="240"/>
      <c r="D502" s="36"/>
      <c r="E502" s="39">
        <v>140</v>
      </c>
      <c r="F502" s="39" t="s">
        <v>57</v>
      </c>
      <c r="G502" s="36" t="s">
        <v>1225</v>
      </c>
      <c r="H502" s="36" t="s">
        <v>22</v>
      </c>
      <c r="I502" s="39">
        <v>756</v>
      </c>
      <c r="J502" s="39">
        <v>58</v>
      </c>
      <c r="K502" s="39"/>
      <c r="L502" s="39">
        <f t="shared" si="334"/>
        <v>814</v>
      </c>
      <c r="M502" s="117">
        <v>46259</v>
      </c>
      <c r="N502" s="117">
        <v>46269</v>
      </c>
      <c r="O502" s="39"/>
      <c r="P502" s="39"/>
      <c r="Q502" s="39"/>
      <c r="R502" s="39">
        <f t="shared" si="330"/>
        <v>0</v>
      </c>
      <c r="S502" s="39" t="s">
        <v>31</v>
      </c>
      <c r="T502" s="39"/>
      <c r="U502" s="39"/>
      <c r="V502" s="117">
        <v>46263</v>
      </c>
      <c r="W502" s="39">
        <f>862+68</f>
        <v>930</v>
      </c>
      <c r="X502" s="117">
        <v>46274</v>
      </c>
      <c r="Y502" s="39">
        <v>761</v>
      </c>
      <c r="Z502" s="39"/>
      <c r="AA502" s="39"/>
      <c r="AB502" s="120">
        <f t="shared" si="331"/>
        <v>761</v>
      </c>
      <c r="AC502" s="39"/>
      <c r="AD502" s="39"/>
      <c r="AE502" s="39"/>
      <c r="AF502" s="39"/>
      <c r="AG502" s="39"/>
      <c r="AH502" s="39">
        <f t="shared" si="296"/>
        <v>0</v>
      </c>
      <c r="AI502" s="39"/>
      <c r="AJ502" s="39"/>
      <c r="AK502" s="39"/>
      <c r="AL502" s="39"/>
      <c r="AM502" s="39"/>
      <c r="AN502" s="39">
        <f t="shared" si="312"/>
        <v>0</v>
      </c>
      <c r="AO502" s="39"/>
      <c r="AP502" s="39"/>
      <c r="AQ502" s="39"/>
      <c r="AR502" s="39"/>
      <c r="AS502" s="39"/>
      <c r="AT502" s="39">
        <f t="shared" si="297"/>
        <v>0</v>
      </c>
      <c r="AU502" s="39"/>
      <c r="AV502" s="39"/>
      <c r="AW502" s="39"/>
      <c r="AX502" s="39"/>
      <c r="AY502" s="39"/>
      <c r="AZ502" s="39">
        <f t="shared" si="298"/>
        <v>0</v>
      </c>
      <c r="BA502" s="39"/>
      <c r="BB502" s="39"/>
      <c r="BC502" s="39"/>
      <c r="BD502" s="39"/>
      <c r="BE502" s="39"/>
      <c r="BF502" s="39">
        <f t="shared" si="299"/>
        <v>0</v>
      </c>
      <c r="BG502" s="39"/>
      <c r="BH502" s="39"/>
      <c r="BI502" s="39"/>
      <c r="BJ502" s="39"/>
      <c r="BK502" s="39"/>
      <c r="BL502" s="39">
        <f t="shared" si="300"/>
        <v>0</v>
      </c>
      <c r="BM502" s="54" t="str">
        <f t="shared" si="301"/>
        <v/>
      </c>
      <c r="BN502" s="58">
        <v>46268</v>
      </c>
      <c r="BO502" s="57">
        <v>46284</v>
      </c>
      <c r="BP502" s="36"/>
      <c r="BQ502" s="36"/>
      <c r="BR502" s="117">
        <v>46272</v>
      </c>
      <c r="BS502" s="39"/>
      <c r="BT502" s="39">
        <v>855</v>
      </c>
      <c r="BU502" s="39">
        <v>761</v>
      </c>
      <c r="BV502" s="39"/>
      <c r="BW502" s="39"/>
      <c r="BX502" s="39"/>
      <c r="BY502" s="39"/>
      <c r="BZ502" s="39">
        <f t="shared" si="302"/>
        <v>761</v>
      </c>
      <c r="CA502" s="39">
        <f t="shared" si="303"/>
        <v>5</v>
      </c>
      <c r="CB502" s="39">
        <f t="shared" si="304"/>
        <v>-58</v>
      </c>
      <c r="CC502" s="39">
        <f t="shared" si="305"/>
        <v>0</v>
      </c>
      <c r="CD502" s="39">
        <f t="shared" si="308"/>
        <v>-58</v>
      </c>
      <c r="CE502" s="102">
        <f t="shared" si="306"/>
        <v>-7.125307125307126E-2</v>
      </c>
      <c r="CF502" s="36" t="s">
        <v>292</v>
      </c>
      <c r="CG502" s="39" t="s">
        <v>220</v>
      </c>
      <c r="CH502" s="39"/>
      <c r="CI502" s="25">
        <v>1</v>
      </c>
    </row>
    <row r="503" spans="1:87" ht="24.75" customHeight="1">
      <c r="A503" s="36" t="s">
        <v>387</v>
      </c>
      <c r="B503" s="27">
        <v>48619</v>
      </c>
      <c r="C503" s="240"/>
      <c r="D503" s="36"/>
      <c r="E503" s="39">
        <v>140</v>
      </c>
      <c r="F503" s="39" t="s">
        <v>57</v>
      </c>
      <c r="G503" s="36" t="s">
        <v>47</v>
      </c>
      <c r="H503" s="36" t="s">
        <v>22</v>
      </c>
      <c r="I503" s="39">
        <v>1518</v>
      </c>
      <c r="J503" s="39">
        <v>116</v>
      </c>
      <c r="K503" s="39"/>
      <c r="L503" s="39">
        <f t="shared" si="334"/>
        <v>1634</v>
      </c>
      <c r="M503" s="117">
        <v>46259</v>
      </c>
      <c r="N503" s="117">
        <v>46269</v>
      </c>
      <c r="O503" s="39"/>
      <c r="P503" s="39"/>
      <c r="Q503" s="39"/>
      <c r="R503" s="39">
        <f t="shared" si="330"/>
        <v>0</v>
      </c>
      <c r="S503" s="39" t="s">
        <v>130</v>
      </c>
      <c r="T503" s="39" t="s">
        <v>2920</v>
      </c>
      <c r="U503" s="117" t="s">
        <v>2921</v>
      </c>
      <c r="V503" s="39"/>
      <c r="W503" s="39"/>
      <c r="X503" s="39"/>
      <c r="Y503" s="39">
        <f>792+794</f>
        <v>1586</v>
      </c>
      <c r="Z503" s="39">
        <f>62+64</f>
        <v>126</v>
      </c>
      <c r="AA503" s="39"/>
      <c r="AB503" s="118">
        <f t="shared" si="331"/>
        <v>1712</v>
      </c>
      <c r="AC503" s="39"/>
      <c r="AD503" s="39"/>
      <c r="AE503" s="39"/>
      <c r="AF503" s="39"/>
      <c r="AG503" s="39"/>
      <c r="AH503" s="39">
        <f t="shared" si="296"/>
        <v>0</v>
      </c>
      <c r="AI503" s="39"/>
      <c r="AJ503" s="39"/>
      <c r="AK503" s="39"/>
      <c r="AL503" s="39"/>
      <c r="AM503" s="39"/>
      <c r="AN503" s="39">
        <f t="shared" si="312"/>
        <v>0</v>
      </c>
      <c r="AO503" s="39"/>
      <c r="AP503" s="39"/>
      <c r="AQ503" s="39"/>
      <c r="AR503" s="39"/>
      <c r="AS503" s="39"/>
      <c r="AT503" s="39">
        <f t="shared" si="297"/>
        <v>0</v>
      </c>
      <c r="AU503" s="39"/>
      <c r="AV503" s="39"/>
      <c r="AW503" s="39"/>
      <c r="AX503" s="39"/>
      <c r="AY503" s="39"/>
      <c r="AZ503" s="39">
        <f t="shared" si="298"/>
        <v>0</v>
      </c>
      <c r="BA503" s="39"/>
      <c r="BB503" s="39"/>
      <c r="BC503" s="39"/>
      <c r="BD503" s="39"/>
      <c r="BE503" s="39"/>
      <c r="BF503" s="39">
        <f t="shared" si="299"/>
        <v>0</v>
      </c>
      <c r="BG503" s="39"/>
      <c r="BH503" s="39"/>
      <c r="BI503" s="39"/>
      <c r="BJ503" s="39"/>
      <c r="BK503" s="39"/>
      <c r="BL503" s="39">
        <f t="shared" si="300"/>
        <v>0</v>
      </c>
      <c r="BM503" s="54" t="str">
        <f t="shared" si="301"/>
        <v/>
      </c>
      <c r="BN503" s="58">
        <v>46268</v>
      </c>
      <c r="BO503" s="57">
        <v>46284</v>
      </c>
      <c r="BP503" s="36"/>
      <c r="BQ503" s="36"/>
      <c r="BR503" s="57">
        <v>46272</v>
      </c>
      <c r="BS503" s="39"/>
      <c r="BT503" s="39" t="s">
        <v>2977</v>
      </c>
      <c r="BU503" s="39">
        <f>715+715</f>
        <v>1430</v>
      </c>
      <c r="BV503" s="39">
        <v>763</v>
      </c>
      <c r="BW503" s="39">
        <f>54</f>
        <v>54</v>
      </c>
      <c r="BX503" s="39"/>
      <c r="BY503" s="39"/>
      <c r="BZ503" s="39">
        <f t="shared" si="302"/>
        <v>1484</v>
      </c>
      <c r="CA503" s="39">
        <f t="shared" si="303"/>
        <v>-88</v>
      </c>
      <c r="CB503" s="39">
        <f t="shared" si="304"/>
        <v>-62</v>
      </c>
      <c r="CC503" s="39">
        <f t="shared" si="305"/>
        <v>0</v>
      </c>
      <c r="CD503" s="39">
        <f t="shared" si="308"/>
        <v>-150</v>
      </c>
      <c r="CE503" s="102">
        <f t="shared" si="306"/>
        <v>-9.1799265605875147E-2</v>
      </c>
      <c r="CF503" s="36" t="s">
        <v>292</v>
      </c>
      <c r="CG503" s="39" t="s">
        <v>220</v>
      </c>
      <c r="CH503" s="39" t="s">
        <v>114</v>
      </c>
      <c r="CI503" s="25">
        <v>1</v>
      </c>
    </row>
    <row r="504" spans="1:87" ht="24.75" customHeight="1">
      <c r="A504" s="36" t="s">
        <v>387</v>
      </c>
      <c r="B504" s="27">
        <v>48619</v>
      </c>
      <c r="C504" s="236"/>
      <c r="D504" s="36"/>
      <c r="E504" s="39"/>
      <c r="F504" s="39"/>
      <c r="G504" s="36" t="s">
        <v>103</v>
      </c>
      <c r="H504" s="36">
        <f>3580+1800+3580</f>
        <v>8960</v>
      </c>
      <c r="I504" s="39" t="s">
        <v>90</v>
      </c>
      <c r="J504" s="39"/>
      <c r="K504" s="39"/>
      <c r="L504" s="39">
        <f t="shared" ref="L504:L505" si="338">SUM(I504:K504)</f>
        <v>0</v>
      </c>
      <c r="M504" s="117">
        <v>46259</v>
      </c>
      <c r="N504" s="117">
        <v>46269</v>
      </c>
      <c r="O504" s="39"/>
      <c r="P504" s="39"/>
      <c r="Q504" s="39"/>
      <c r="R504" s="39">
        <f t="shared" si="330"/>
        <v>0</v>
      </c>
      <c r="S504" s="39" t="s">
        <v>130</v>
      </c>
      <c r="T504" s="39"/>
      <c r="U504" s="117"/>
      <c r="V504" s="39"/>
      <c r="W504" s="39"/>
      <c r="X504" s="39"/>
      <c r="Y504" s="39"/>
      <c r="Z504" s="39"/>
      <c r="AA504" s="39"/>
      <c r="AB504" s="39">
        <f t="shared" si="331"/>
        <v>0</v>
      </c>
      <c r="AC504" s="39"/>
      <c r="AD504" s="39"/>
      <c r="AE504" s="39"/>
      <c r="AF504" s="39"/>
      <c r="AG504" s="39"/>
      <c r="AH504" s="39">
        <f t="shared" si="296"/>
        <v>0</v>
      </c>
      <c r="AI504" s="39"/>
      <c r="AJ504" s="39"/>
      <c r="AK504" s="39"/>
      <c r="AL504" s="39"/>
      <c r="AM504" s="39"/>
      <c r="AN504" s="39">
        <f t="shared" si="312"/>
        <v>0</v>
      </c>
      <c r="AO504" s="39"/>
      <c r="AP504" s="39"/>
      <c r="AQ504" s="39"/>
      <c r="AR504" s="39"/>
      <c r="AS504" s="39"/>
      <c r="AT504" s="39">
        <f t="shared" si="297"/>
        <v>0</v>
      </c>
      <c r="AU504" s="39"/>
      <c r="AV504" s="39"/>
      <c r="AW504" s="39"/>
      <c r="AX504" s="39"/>
      <c r="AY504" s="39"/>
      <c r="AZ504" s="39">
        <f t="shared" si="298"/>
        <v>0</v>
      </c>
      <c r="BA504" s="39"/>
      <c r="BB504" s="39"/>
      <c r="BC504" s="39"/>
      <c r="BD504" s="39"/>
      <c r="BE504" s="39"/>
      <c r="BF504" s="39">
        <f t="shared" si="299"/>
        <v>0</v>
      </c>
      <c r="BG504" s="39"/>
      <c r="BH504" s="39"/>
      <c r="BI504" s="39"/>
      <c r="BJ504" s="39"/>
      <c r="BK504" s="39"/>
      <c r="BL504" s="39">
        <f t="shared" si="300"/>
        <v>0</v>
      </c>
      <c r="BM504" s="54" t="e">
        <f t="shared" si="301"/>
        <v>#DIV/0!</v>
      </c>
      <c r="BN504" s="58">
        <v>46268</v>
      </c>
      <c r="BO504" s="57">
        <v>46284</v>
      </c>
      <c r="BP504" s="36"/>
      <c r="BQ504" s="36"/>
      <c r="BR504" s="39"/>
      <c r="BS504" s="39"/>
      <c r="BT504" s="39"/>
      <c r="BU504" s="39"/>
      <c r="BV504" s="39"/>
      <c r="BW504" s="39"/>
      <c r="BX504" s="39"/>
      <c r="BY504" s="39"/>
      <c r="BZ504" s="39">
        <f t="shared" si="302"/>
        <v>0</v>
      </c>
      <c r="CA504" s="39" t="e">
        <f t="shared" si="303"/>
        <v>#VALUE!</v>
      </c>
      <c r="CB504" s="39">
        <f t="shared" si="304"/>
        <v>0</v>
      </c>
      <c r="CC504" s="39">
        <f t="shared" si="305"/>
        <v>0</v>
      </c>
      <c r="CD504" s="39">
        <f t="shared" si="308"/>
        <v>0</v>
      </c>
      <c r="CE504" s="102" t="e">
        <f t="shared" si="306"/>
        <v>#DIV/0!</v>
      </c>
      <c r="CF504" s="36" t="s">
        <v>292</v>
      </c>
      <c r="CG504" s="39" t="s">
        <v>220</v>
      </c>
      <c r="CH504" s="39"/>
      <c r="CI504" s="25">
        <v>1</v>
      </c>
    </row>
    <row r="505" spans="1:87" ht="24.75" customHeight="1">
      <c r="A505" s="36" t="s">
        <v>387</v>
      </c>
      <c r="B505" s="27">
        <v>48607</v>
      </c>
      <c r="C505" s="235" t="s">
        <v>2524</v>
      </c>
      <c r="D505" s="36"/>
      <c r="E505" s="39">
        <v>180</v>
      </c>
      <c r="F505" s="39" t="s">
        <v>59</v>
      </c>
      <c r="G505" s="36" t="s">
        <v>23</v>
      </c>
      <c r="H505" s="36" t="s">
        <v>383</v>
      </c>
      <c r="I505" s="39">
        <v>254</v>
      </c>
      <c r="J505" s="39"/>
      <c r="K505" s="39"/>
      <c r="L505" s="39">
        <f t="shared" si="338"/>
        <v>254</v>
      </c>
      <c r="M505" s="117">
        <v>46262</v>
      </c>
      <c r="N505" s="117">
        <v>46269</v>
      </c>
      <c r="O505" s="39"/>
      <c r="P505" s="39"/>
      <c r="Q505" s="39"/>
      <c r="R505" s="39">
        <f t="shared" si="330"/>
        <v>0</v>
      </c>
      <c r="S505" s="39" t="s">
        <v>31</v>
      </c>
      <c r="T505" s="39"/>
      <c r="U505" s="39"/>
      <c r="V505" s="117">
        <v>46262</v>
      </c>
      <c r="W505" s="39">
        <v>273</v>
      </c>
      <c r="X505" s="117">
        <v>46279</v>
      </c>
      <c r="Y505" s="39">
        <v>252</v>
      </c>
      <c r="Z505" s="39"/>
      <c r="AA505" s="39"/>
      <c r="AB505" s="119">
        <f t="shared" si="331"/>
        <v>252</v>
      </c>
      <c r="AC505" s="39"/>
      <c r="AD505" s="39"/>
      <c r="AE505" s="39"/>
      <c r="AF505" s="39"/>
      <c r="AG505" s="39"/>
      <c r="AH505" s="39">
        <f t="shared" si="296"/>
        <v>0</v>
      </c>
      <c r="AI505" s="39"/>
      <c r="AJ505" s="39"/>
      <c r="AK505" s="39"/>
      <c r="AL505" s="39"/>
      <c r="AM505" s="39"/>
      <c r="AN505" s="39">
        <f t="shared" si="312"/>
        <v>0</v>
      </c>
      <c r="AO505" s="39"/>
      <c r="AP505" s="39"/>
      <c r="AQ505" s="39"/>
      <c r="AR505" s="39"/>
      <c r="AS505" s="39"/>
      <c r="AT505" s="39">
        <f t="shared" si="297"/>
        <v>0</v>
      </c>
      <c r="AU505" s="39"/>
      <c r="AV505" s="39"/>
      <c r="AW505" s="39"/>
      <c r="AX505" s="39"/>
      <c r="AY505" s="39"/>
      <c r="AZ505" s="39">
        <f t="shared" si="298"/>
        <v>0</v>
      </c>
      <c r="BA505" s="39"/>
      <c r="BB505" s="39"/>
      <c r="BC505" s="39"/>
      <c r="BD505" s="39"/>
      <c r="BE505" s="39"/>
      <c r="BF505" s="39">
        <f t="shared" si="299"/>
        <v>0</v>
      </c>
      <c r="BG505" s="39"/>
      <c r="BH505" s="39"/>
      <c r="BI505" s="39"/>
      <c r="BJ505" s="39"/>
      <c r="BK505" s="39"/>
      <c r="BL505" s="39">
        <f t="shared" si="300"/>
        <v>0</v>
      </c>
      <c r="BM505" s="54" t="str">
        <f t="shared" si="301"/>
        <v/>
      </c>
      <c r="BN505" s="58">
        <v>46273</v>
      </c>
      <c r="BO505" s="57">
        <v>46287</v>
      </c>
      <c r="BP505" s="36"/>
      <c r="BQ505" s="36"/>
      <c r="BR505" s="117">
        <v>46280</v>
      </c>
      <c r="BS505" s="39"/>
      <c r="BT505" s="39">
        <v>971</v>
      </c>
      <c r="BU505" s="39">
        <v>252</v>
      </c>
      <c r="BV505" s="39"/>
      <c r="BW505" s="39"/>
      <c r="BX505" s="39"/>
      <c r="BY505" s="39"/>
      <c r="BZ505" s="39">
        <f t="shared" si="302"/>
        <v>252</v>
      </c>
      <c r="CA505" s="39">
        <f t="shared" si="303"/>
        <v>-2</v>
      </c>
      <c r="CB505" s="39">
        <f t="shared" si="304"/>
        <v>0</v>
      </c>
      <c r="CC505" s="39">
        <f t="shared" si="305"/>
        <v>0</v>
      </c>
      <c r="CD505" s="39">
        <v>0</v>
      </c>
      <c r="CE505" s="102">
        <f t="shared" si="306"/>
        <v>0</v>
      </c>
      <c r="CF505" s="36" t="s">
        <v>292</v>
      </c>
      <c r="CG505" s="39" t="s">
        <v>220</v>
      </c>
      <c r="CH505" s="39"/>
      <c r="CI505" s="25">
        <v>1</v>
      </c>
    </row>
    <row r="506" spans="1:87" ht="24.75" customHeight="1">
      <c r="A506" s="36" t="s">
        <v>387</v>
      </c>
      <c r="B506" s="27">
        <v>48607</v>
      </c>
      <c r="C506" s="236"/>
      <c r="D506" s="36"/>
      <c r="E506" s="39">
        <v>180</v>
      </c>
      <c r="F506" s="39" t="s">
        <v>59</v>
      </c>
      <c r="G506" s="36" t="s">
        <v>308</v>
      </c>
      <c r="H506" s="36" t="s">
        <v>383</v>
      </c>
      <c r="I506" s="39">
        <v>254</v>
      </c>
      <c r="J506" s="39"/>
      <c r="K506" s="39"/>
      <c r="L506" s="39">
        <f t="shared" ref="L506" si="339">SUM(I506:K506)</f>
        <v>254</v>
      </c>
      <c r="M506" s="117">
        <v>46262</v>
      </c>
      <c r="N506" s="117">
        <v>46269</v>
      </c>
      <c r="O506" s="39"/>
      <c r="P506" s="39"/>
      <c r="Q506" s="39"/>
      <c r="R506" s="39">
        <f t="shared" si="330"/>
        <v>0</v>
      </c>
      <c r="S506" s="39" t="s">
        <v>31</v>
      </c>
      <c r="T506" s="39"/>
      <c r="U506" s="39"/>
      <c r="V506" s="117">
        <v>46262</v>
      </c>
      <c r="W506" s="39">
        <v>283</v>
      </c>
      <c r="X506" s="39"/>
      <c r="Y506" s="39"/>
      <c r="Z506" s="39"/>
      <c r="AA506" s="39"/>
      <c r="AB506" s="118">
        <f t="shared" si="331"/>
        <v>0</v>
      </c>
      <c r="AC506" s="39"/>
      <c r="AD506" s="39"/>
      <c r="AE506" s="39"/>
      <c r="AF506" s="39"/>
      <c r="AG506" s="39"/>
      <c r="AH506" s="39">
        <f t="shared" si="296"/>
        <v>0</v>
      </c>
      <c r="AI506" s="39"/>
      <c r="AJ506" s="39"/>
      <c r="AK506" s="39"/>
      <c r="AL506" s="39"/>
      <c r="AM506" s="39"/>
      <c r="AN506" s="39">
        <f t="shared" si="312"/>
        <v>0</v>
      </c>
      <c r="AO506" s="39"/>
      <c r="AP506" s="39"/>
      <c r="AQ506" s="39"/>
      <c r="AR506" s="39"/>
      <c r="AS506" s="39"/>
      <c r="AT506" s="39">
        <f t="shared" si="297"/>
        <v>0</v>
      </c>
      <c r="AU506" s="39"/>
      <c r="AV506" s="39"/>
      <c r="AW506" s="39"/>
      <c r="AX506" s="39"/>
      <c r="AY506" s="39"/>
      <c r="AZ506" s="39">
        <f t="shared" si="298"/>
        <v>0</v>
      </c>
      <c r="BA506" s="39"/>
      <c r="BB506" s="39"/>
      <c r="BC506" s="39"/>
      <c r="BD506" s="39"/>
      <c r="BE506" s="39"/>
      <c r="BF506" s="39">
        <f t="shared" si="299"/>
        <v>0</v>
      </c>
      <c r="BG506" s="39"/>
      <c r="BH506" s="39"/>
      <c r="BI506" s="39"/>
      <c r="BJ506" s="39"/>
      <c r="BK506" s="39"/>
      <c r="BL506" s="39">
        <f t="shared" si="300"/>
        <v>0</v>
      </c>
      <c r="BM506" s="54">
        <f t="shared" ca="1" si="301"/>
        <v>46283</v>
      </c>
      <c r="BN506" s="58">
        <v>46273</v>
      </c>
      <c r="BO506" s="57">
        <v>46287</v>
      </c>
      <c r="BP506" s="36"/>
      <c r="BQ506" s="36"/>
      <c r="BR506" s="39"/>
      <c r="BS506" s="39"/>
      <c r="BT506" s="39"/>
      <c r="BU506" s="39"/>
      <c r="BV506" s="39"/>
      <c r="BW506" s="39"/>
      <c r="BX506" s="39"/>
      <c r="BY506" s="39"/>
      <c r="BZ506" s="39">
        <f t="shared" si="302"/>
        <v>0</v>
      </c>
      <c r="CA506" s="39">
        <f t="shared" si="303"/>
        <v>-254</v>
      </c>
      <c r="CB506" s="39">
        <f t="shared" si="304"/>
        <v>0</v>
      </c>
      <c r="CC506" s="39">
        <f t="shared" si="305"/>
        <v>0</v>
      </c>
      <c r="CD506" s="39">
        <f t="shared" si="308"/>
        <v>-254</v>
      </c>
      <c r="CE506" s="102">
        <f t="shared" si="306"/>
        <v>-1</v>
      </c>
      <c r="CF506" s="36" t="s">
        <v>292</v>
      </c>
      <c r="CG506" s="39" t="s">
        <v>220</v>
      </c>
      <c r="CH506" s="39"/>
      <c r="CI506" s="25">
        <v>1</v>
      </c>
    </row>
    <row r="507" spans="1:87" ht="24.75" customHeight="1">
      <c r="A507" s="36" t="s">
        <v>387</v>
      </c>
      <c r="B507" s="27">
        <v>48662</v>
      </c>
      <c r="C507" s="235">
        <v>15393258</v>
      </c>
      <c r="D507" s="36"/>
      <c r="E507" s="39">
        <v>260</v>
      </c>
      <c r="F507" s="39" t="s">
        <v>58</v>
      </c>
      <c r="G507" s="36" t="s">
        <v>47</v>
      </c>
      <c r="H507" s="36" t="s">
        <v>410</v>
      </c>
      <c r="I507" s="39">
        <v>808</v>
      </c>
      <c r="J507" s="39">
        <v>244</v>
      </c>
      <c r="K507" s="39"/>
      <c r="L507" s="39">
        <f t="shared" ref="L507:L508" si="340">SUM(I507:K507)</f>
        <v>1052</v>
      </c>
      <c r="M507" s="117">
        <v>46260</v>
      </c>
      <c r="N507" s="117">
        <v>46272</v>
      </c>
      <c r="O507" s="39"/>
      <c r="P507" s="39"/>
      <c r="Q507" s="39"/>
      <c r="R507" s="39">
        <f t="shared" si="330"/>
        <v>0</v>
      </c>
      <c r="S507" s="39" t="s">
        <v>130</v>
      </c>
      <c r="T507" s="39"/>
      <c r="U507" s="39"/>
      <c r="V507" s="39"/>
      <c r="W507" s="39"/>
      <c r="X507" s="39"/>
      <c r="Y507" s="39"/>
      <c r="Z507" s="39"/>
      <c r="AA507" s="39"/>
      <c r="AB507" s="118">
        <f t="shared" si="331"/>
        <v>0</v>
      </c>
      <c r="AC507" s="39"/>
      <c r="AD507" s="39"/>
      <c r="AE507" s="39"/>
      <c r="AF507" s="39"/>
      <c r="AG507" s="39"/>
      <c r="AH507" s="39">
        <f t="shared" si="296"/>
        <v>0</v>
      </c>
      <c r="AI507" s="39"/>
      <c r="AJ507" s="39"/>
      <c r="AK507" s="39"/>
      <c r="AL507" s="39"/>
      <c r="AM507" s="39"/>
      <c r="AN507" s="39">
        <f t="shared" si="312"/>
        <v>0</v>
      </c>
      <c r="AO507" s="39"/>
      <c r="AP507" s="39"/>
      <c r="AQ507" s="39"/>
      <c r="AR507" s="39"/>
      <c r="AS507" s="39"/>
      <c r="AT507" s="39">
        <f t="shared" si="297"/>
        <v>0</v>
      </c>
      <c r="AU507" s="39"/>
      <c r="AV507" s="39"/>
      <c r="AW507" s="39"/>
      <c r="AX507" s="39"/>
      <c r="AY507" s="39"/>
      <c r="AZ507" s="39">
        <f t="shared" si="298"/>
        <v>0</v>
      </c>
      <c r="BA507" s="39"/>
      <c r="BB507" s="39"/>
      <c r="BC507" s="39"/>
      <c r="BD507" s="39"/>
      <c r="BE507" s="39"/>
      <c r="BF507" s="39">
        <f t="shared" si="299"/>
        <v>0</v>
      </c>
      <c r="BG507" s="39"/>
      <c r="BH507" s="39"/>
      <c r="BI507" s="39"/>
      <c r="BJ507" s="39"/>
      <c r="BK507" s="39"/>
      <c r="BL507" s="39">
        <f t="shared" si="300"/>
        <v>0</v>
      </c>
      <c r="BM507" s="54">
        <f t="shared" ca="1" si="301"/>
        <v>46283</v>
      </c>
      <c r="BN507" s="58">
        <v>46272</v>
      </c>
      <c r="BO507" s="57">
        <v>46287</v>
      </c>
      <c r="BP507" s="36"/>
      <c r="BQ507" s="36"/>
      <c r="BR507" s="39"/>
      <c r="BS507" s="39"/>
      <c r="BT507" s="39"/>
      <c r="BU507" s="39"/>
      <c r="BV507" s="39"/>
      <c r="BW507" s="39"/>
      <c r="BX507" s="39"/>
      <c r="BY507" s="39"/>
      <c r="BZ507" s="39">
        <f t="shared" si="302"/>
        <v>0</v>
      </c>
      <c r="CA507" s="39">
        <f t="shared" si="303"/>
        <v>-808</v>
      </c>
      <c r="CB507" s="39">
        <f t="shared" si="304"/>
        <v>-244</v>
      </c>
      <c r="CC507" s="39">
        <f t="shared" si="305"/>
        <v>0</v>
      </c>
      <c r="CD507" s="39">
        <f t="shared" si="308"/>
        <v>-1052</v>
      </c>
      <c r="CE507" s="102">
        <f t="shared" si="306"/>
        <v>-1</v>
      </c>
      <c r="CF507" s="36" t="s">
        <v>249</v>
      </c>
      <c r="CG507" s="39" t="s">
        <v>222</v>
      </c>
      <c r="CH507" s="39"/>
      <c r="CI507" s="25">
        <v>1</v>
      </c>
    </row>
    <row r="508" spans="1:87" ht="24.75" customHeight="1">
      <c r="A508" s="36" t="s">
        <v>387</v>
      </c>
      <c r="B508" s="27">
        <v>48662</v>
      </c>
      <c r="C508" s="240"/>
      <c r="D508" s="36"/>
      <c r="E508" s="39">
        <v>260</v>
      </c>
      <c r="F508" s="39" t="s">
        <v>58</v>
      </c>
      <c r="G508" s="36" t="s">
        <v>2352</v>
      </c>
      <c r="H508" s="36" t="s">
        <v>410</v>
      </c>
      <c r="I508" s="39">
        <v>808</v>
      </c>
      <c r="J508" s="39">
        <v>244</v>
      </c>
      <c r="K508" s="39"/>
      <c r="L508" s="39">
        <f t="shared" si="340"/>
        <v>1052</v>
      </c>
      <c r="M508" s="117">
        <v>46260</v>
      </c>
      <c r="N508" s="117">
        <v>46272</v>
      </c>
      <c r="O508" s="39"/>
      <c r="P508" s="39"/>
      <c r="Q508" s="39"/>
      <c r="R508" s="39">
        <f t="shared" ref="R508:R517" si="341">SUM(O508:Q508)</f>
        <v>0</v>
      </c>
      <c r="S508" s="39" t="s">
        <v>31</v>
      </c>
      <c r="T508" s="39"/>
      <c r="U508" s="39"/>
      <c r="V508" s="117">
        <v>46272</v>
      </c>
      <c r="W508" s="39">
        <f>890+280</f>
        <v>1170</v>
      </c>
      <c r="X508" s="39"/>
      <c r="Y508" s="39"/>
      <c r="Z508" s="39"/>
      <c r="AA508" s="39"/>
      <c r="AB508" s="118">
        <f t="shared" si="331"/>
        <v>0</v>
      </c>
      <c r="AC508" s="39"/>
      <c r="AD508" s="39"/>
      <c r="AE508" s="39"/>
      <c r="AF508" s="39"/>
      <c r="AG508" s="39"/>
      <c r="AH508" s="39">
        <f t="shared" si="296"/>
        <v>0</v>
      </c>
      <c r="AI508" s="39"/>
      <c r="AJ508" s="39"/>
      <c r="AK508" s="39"/>
      <c r="AL508" s="39"/>
      <c r="AM508" s="39"/>
      <c r="AN508" s="39">
        <f t="shared" si="312"/>
        <v>0</v>
      </c>
      <c r="AO508" s="39"/>
      <c r="AP508" s="39"/>
      <c r="AQ508" s="39"/>
      <c r="AR508" s="39"/>
      <c r="AS508" s="39"/>
      <c r="AT508" s="39">
        <f t="shared" si="297"/>
        <v>0</v>
      </c>
      <c r="AU508" s="39"/>
      <c r="AV508" s="39"/>
      <c r="AW508" s="39"/>
      <c r="AX508" s="39"/>
      <c r="AY508" s="39"/>
      <c r="AZ508" s="39">
        <f t="shared" si="298"/>
        <v>0</v>
      </c>
      <c r="BA508" s="39"/>
      <c r="BB508" s="39"/>
      <c r="BC508" s="39"/>
      <c r="BD508" s="39"/>
      <c r="BE508" s="39"/>
      <c r="BF508" s="39">
        <f t="shared" si="299"/>
        <v>0</v>
      </c>
      <c r="BG508" s="39"/>
      <c r="BH508" s="39"/>
      <c r="BI508" s="39"/>
      <c r="BJ508" s="39"/>
      <c r="BK508" s="39"/>
      <c r="BL508" s="39">
        <f t="shared" si="300"/>
        <v>0</v>
      </c>
      <c r="BM508" s="54">
        <f t="shared" ca="1" si="301"/>
        <v>46283</v>
      </c>
      <c r="BN508" s="58">
        <v>46272</v>
      </c>
      <c r="BO508" s="57">
        <v>46287</v>
      </c>
      <c r="BP508" s="36"/>
      <c r="BQ508" s="36"/>
      <c r="BR508" s="39"/>
      <c r="BS508" s="39"/>
      <c r="BT508" s="39"/>
      <c r="BU508" s="39"/>
      <c r="BV508" s="39"/>
      <c r="BW508" s="39"/>
      <c r="BX508" s="39"/>
      <c r="BY508" s="39"/>
      <c r="BZ508" s="39">
        <f t="shared" si="302"/>
        <v>0</v>
      </c>
      <c r="CA508" s="39">
        <f t="shared" si="303"/>
        <v>-808</v>
      </c>
      <c r="CB508" s="39">
        <f t="shared" si="304"/>
        <v>-244</v>
      </c>
      <c r="CC508" s="39">
        <f t="shared" si="305"/>
        <v>0</v>
      </c>
      <c r="CD508" s="39">
        <f t="shared" si="308"/>
        <v>-1052</v>
      </c>
      <c r="CE508" s="102">
        <f t="shared" si="306"/>
        <v>-1</v>
      </c>
      <c r="CF508" s="36" t="s">
        <v>249</v>
      </c>
      <c r="CG508" s="39" t="s">
        <v>222</v>
      </c>
      <c r="CH508" s="39"/>
      <c r="CI508" s="25">
        <v>1</v>
      </c>
    </row>
    <row r="509" spans="1:87" ht="24.75" customHeight="1">
      <c r="A509" s="36" t="s">
        <v>387</v>
      </c>
      <c r="B509" s="27">
        <v>48662</v>
      </c>
      <c r="C509" s="236"/>
      <c r="D509" s="36"/>
      <c r="E509" s="39"/>
      <c r="F509" s="39"/>
      <c r="G509" s="36" t="s">
        <v>92</v>
      </c>
      <c r="H509" s="36">
        <f>880+880</f>
        <v>1760</v>
      </c>
      <c r="I509" s="39" t="s">
        <v>90</v>
      </c>
      <c r="J509" s="39"/>
      <c r="K509" s="39"/>
      <c r="L509" s="39">
        <f t="shared" ref="L509" si="342">SUM(I509:K509)</f>
        <v>0</v>
      </c>
      <c r="M509" s="117">
        <v>46260</v>
      </c>
      <c r="N509" s="117">
        <v>46272</v>
      </c>
      <c r="O509" s="39"/>
      <c r="P509" s="39"/>
      <c r="Q509" s="39"/>
      <c r="R509" s="39">
        <f t="shared" si="341"/>
        <v>0</v>
      </c>
      <c r="S509" s="39" t="s">
        <v>130</v>
      </c>
      <c r="T509" s="39"/>
      <c r="U509" s="39"/>
      <c r="V509" s="117">
        <v>46272</v>
      </c>
      <c r="W509" s="39">
        <v>8</v>
      </c>
      <c r="X509" s="39"/>
      <c r="Y509" s="39"/>
      <c r="Z509" s="39"/>
      <c r="AA509" s="39"/>
      <c r="AB509" s="39">
        <f t="shared" si="331"/>
        <v>0</v>
      </c>
      <c r="AC509" s="39"/>
      <c r="AD509" s="39"/>
      <c r="AE509" s="39"/>
      <c r="AF509" s="39"/>
      <c r="AG509" s="39"/>
      <c r="AH509" s="39">
        <f t="shared" ref="AH509:AH520" si="343">AG509-AE509</f>
        <v>0</v>
      </c>
      <c r="AI509" s="39"/>
      <c r="AJ509" s="39"/>
      <c r="AK509" s="39"/>
      <c r="AL509" s="39"/>
      <c r="AM509" s="39"/>
      <c r="AN509" s="39">
        <f t="shared" si="312"/>
        <v>0</v>
      </c>
      <c r="AO509" s="39"/>
      <c r="AP509" s="39"/>
      <c r="AQ509" s="39"/>
      <c r="AR509" s="39"/>
      <c r="AS509" s="39"/>
      <c r="AT509" s="39">
        <f t="shared" ref="AT509:AT520" si="344">AS509-AQ509</f>
        <v>0</v>
      </c>
      <c r="AU509" s="39"/>
      <c r="AV509" s="39"/>
      <c r="AW509" s="39"/>
      <c r="AX509" s="39"/>
      <c r="AY509" s="39"/>
      <c r="AZ509" s="39">
        <f t="shared" ref="AZ509:AZ520" si="345">AY509-AW509</f>
        <v>0</v>
      </c>
      <c r="BA509" s="39"/>
      <c r="BB509" s="39"/>
      <c r="BC509" s="39"/>
      <c r="BD509" s="39"/>
      <c r="BE509" s="39"/>
      <c r="BF509" s="39">
        <f t="shared" ref="BF509:BF520" si="346">BE509-BC509</f>
        <v>0</v>
      </c>
      <c r="BG509" s="39"/>
      <c r="BH509" s="39"/>
      <c r="BI509" s="39"/>
      <c r="BJ509" s="39"/>
      <c r="BK509" s="39"/>
      <c r="BL509" s="39">
        <f t="shared" ref="BL509:BL520" si="347">BK509-BI509</f>
        <v>0</v>
      </c>
      <c r="BM509" s="54" t="e">
        <f t="shared" ref="BM509:BM520" si="348">IF((BZ509/L509)&lt;0.9,$CO$1-U509,"")</f>
        <v>#DIV/0!</v>
      </c>
      <c r="BN509" s="58">
        <v>46272</v>
      </c>
      <c r="BO509" s="57">
        <v>46287</v>
      </c>
      <c r="BP509" s="36"/>
      <c r="BQ509" s="36"/>
      <c r="BR509" s="39"/>
      <c r="BS509" s="39"/>
      <c r="BT509" s="39"/>
      <c r="BU509" s="39"/>
      <c r="BV509" s="39"/>
      <c r="BW509" s="39"/>
      <c r="BX509" s="39"/>
      <c r="BY509" s="39"/>
      <c r="BZ509" s="39">
        <f t="shared" ref="BZ509:BZ520" si="349">BU509+BW509+BY509</f>
        <v>0</v>
      </c>
      <c r="CA509" s="39" t="e">
        <f t="shared" ref="CA509:CA520" si="350">BU509-I509</f>
        <v>#VALUE!</v>
      </c>
      <c r="CB509" s="39">
        <f t="shared" ref="CB509:CB520" si="351">BW509-J509</f>
        <v>0</v>
      </c>
      <c r="CC509" s="39">
        <f t="shared" ref="CC509:CC520" si="352">BY509-K509</f>
        <v>0</v>
      </c>
      <c r="CD509" s="39">
        <f t="shared" ref="CD509:CD520" si="353">SUMIF(CA509:CC509,"&lt;0")</f>
        <v>0</v>
      </c>
      <c r="CE509" s="102" t="e">
        <f t="shared" ref="CE509:CE520" si="354">CD509/L509</f>
        <v>#DIV/0!</v>
      </c>
      <c r="CF509" s="36" t="s">
        <v>249</v>
      </c>
      <c r="CG509" s="39" t="s">
        <v>222</v>
      </c>
      <c r="CH509" s="39"/>
      <c r="CI509" s="25">
        <v>1</v>
      </c>
    </row>
    <row r="510" spans="1:87" ht="24.75" customHeight="1">
      <c r="A510" s="36" t="s">
        <v>387</v>
      </c>
      <c r="B510" s="27">
        <v>48664</v>
      </c>
      <c r="C510" s="235">
        <v>15393404</v>
      </c>
      <c r="D510" s="36"/>
      <c r="E510" s="39">
        <v>180</v>
      </c>
      <c r="F510" s="39" t="s">
        <v>57</v>
      </c>
      <c r="G510" s="36" t="s">
        <v>47</v>
      </c>
      <c r="H510" s="36" t="s">
        <v>22</v>
      </c>
      <c r="I510" s="39">
        <v>896</v>
      </c>
      <c r="J510" s="39">
        <v>40</v>
      </c>
      <c r="K510" s="39"/>
      <c r="L510" s="39">
        <f t="shared" ref="L510:L513" si="355">SUM(I510:K510)</f>
        <v>936</v>
      </c>
      <c r="M510" s="117">
        <v>46261</v>
      </c>
      <c r="N510" s="117">
        <v>46272</v>
      </c>
      <c r="O510" s="39"/>
      <c r="P510" s="39"/>
      <c r="Q510" s="39"/>
      <c r="R510" s="39">
        <f t="shared" si="341"/>
        <v>0</v>
      </c>
      <c r="S510" s="39" t="s">
        <v>130</v>
      </c>
      <c r="T510" s="39" t="s">
        <v>2994</v>
      </c>
      <c r="U510" s="117" t="s">
        <v>2995</v>
      </c>
      <c r="V510" s="39"/>
      <c r="W510" s="39"/>
      <c r="X510" s="39"/>
      <c r="Y510" s="39">
        <f>812+201</f>
        <v>1013</v>
      </c>
      <c r="Z510" s="39">
        <f>42</f>
        <v>42</v>
      </c>
      <c r="AA510" s="39"/>
      <c r="AB510" s="119">
        <f t="shared" si="331"/>
        <v>1055</v>
      </c>
      <c r="AC510" s="39"/>
      <c r="AD510" s="39"/>
      <c r="AE510" s="39"/>
      <c r="AF510" s="39"/>
      <c r="AG510" s="39"/>
      <c r="AH510" s="39">
        <f t="shared" si="343"/>
        <v>0</v>
      </c>
      <c r="AI510" s="39"/>
      <c r="AJ510" s="39"/>
      <c r="AK510" s="39"/>
      <c r="AL510" s="39"/>
      <c r="AM510" s="39"/>
      <c r="AN510" s="39">
        <f t="shared" si="312"/>
        <v>0</v>
      </c>
      <c r="AO510" s="39"/>
      <c r="AP510" s="39"/>
      <c r="AQ510" s="39"/>
      <c r="AR510" s="39"/>
      <c r="AS510" s="39"/>
      <c r="AT510" s="39">
        <f t="shared" si="344"/>
        <v>0</v>
      </c>
      <c r="AU510" s="39"/>
      <c r="AV510" s="39"/>
      <c r="AW510" s="39"/>
      <c r="AX510" s="39"/>
      <c r="AY510" s="39"/>
      <c r="AZ510" s="39">
        <f t="shared" si="345"/>
        <v>0</v>
      </c>
      <c r="BA510" s="39"/>
      <c r="BB510" s="39"/>
      <c r="BC510" s="39"/>
      <c r="BD510" s="39"/>
      <c r="BE510" s="39"/>
      <c r="BF510" s="39">
        <f t="shared" si="346"/>
        <v>0</v>
      </c>
      <c r="BG510" s="39"/>
      <c r="BH510" s="39"/>
      <c r="BI510" s="39"/>
      <c r="BJ510" s="39"/>
      <c r="BK510" s="39"/>
      <c r="BL510" s="39">
        <f t="shared" si="347"/>
        <v>0</v>
      </c>
      <c r="BM510" s="54" t="str">
        <f t="shared" si="348"/>
        <v/>
      </c>
      <c r="BN510" s="58">
        <v>46273</v>
      </c>
      <c r="BO510" s="57">
        <v>46287</v>
      </c>
      <c r="BP510" s="36"/>
      <c r="BQ510" s="36"/>
      <c r="BR510" s="117">
        <v>46280</v>
      </c>
      <c r="BS510" s="117">
        <v>46280</v>
      </c>
      <c r="BT510" s="39" t="s">
        <v>3046</v>
      </c>
      <c r="BU510" s="39">
        <f>172+719</f>
        <v>891</v>
      </c>
      <c r="BV510" s="39" t="s">
        <v>3046</v>
      </c>
      <c r="BW510" s="39">
        <f>7+38</f>
        <v>45</v>
      </c>
      <c r="BX510" s="39"/>
      <c r="BY510" s="39"/>
      <c r="BZ510" s="39">
        <f t="shared" si="349"/>
        <v>936</v>
      </c>
      <c r="CA510" s="39">
        <f t="shared" si="350"/>
        <v>-5</v>
      </c>
      <c r="CB510" s="39">
        <f t="shared" si="351"/>
        <v>5</v>
      </c>
      <c r="CC510" s="39">
        <f t="shared" si="352"/>
        <v>0</v>
      </c>
      <c r="CD510" s="39">
        <v>0</v>
      </c>
      <c r="CE510" s="102">
        <f t="shared" si="354"/>
        <v>0</v>
      </c>
      <c r="CF510" s="36" t="s">
        <v>249</v>
      </c>
      <c r="CG510" s="39" t="s">
        <v>222</v>
      </c>
      <c r="CH510" s="39"/>
      <c r="CI510" s="25">
        <v>1</v>
      </c>
    </row>
    <row r="511" spans="1:87" ht="24.75" customHeight="1">
      <c r="A511" s="36" t="s">
        <v>387</v>
      </c>
      <c r="B511" s="27">
        <v>48664</v>
      </c>
      <c r="C511" s="236"/>
      <c r="D511" s="36"/>
      <c r="E511" s="39">
        <v>180</v>
      </c>
      <c r="F511" s="39" t="s">
        <v>57</v>
      </c>
      <c r="G511" s="36" t="s">
        <v>2349</v>
      </c>
      <c r="H511" s="36" t="s">
        <v>22</v>
      </c>
      <c r="I511" s="39">
        <v>796</v>
      </c>
      <c r="J511" s="39">
        <v>35</v>
      </c>
      <c r="K511" s="39"/>
      <c r="L511" s="39">
        <f t="shared" si="355"/>
        <v>831</v>
      </c>
      <c r="M511" s="117">
        <v>46261</v>
      </c>
      <c r="N511" s="117">
        <v>46272</v>
      </c>
      <c r="O511" s="39"/>
      <c r="P511" s="39"/>
      <c r="Q511" s="39"/>
      <c r="R511" s="39">
        <f t="shared" ref="R511" si="356">SUM(O511:Q511)</f>
        <v>0</v>
      </c>
      <c r="S511" s="39" t="s">
        <v>31</v>
      </c>
      <c r="T511" s="39"/>
      <c r="U511" s="39"/>
      <c r="V511" s="39"/>
      <c r="W511" s="39"/>
      <c r="X511" s="39"/>
      <c r="Y511" s="39"/>
      <c r="Z511" s="39"/>
      <c r="AA511" s="39"/>
      <c r="AB511" s="118">
        <f t="shared" ref="AB511" si="357">SUM(Y511:AA511)</f>
        <v>0</v>
      </c>
      <c r="AC511" s="39"/>
      <c r="AD511" s="39"/>
      <c r="AE511" s="39"/>
      <c r="AF511" s="39"/>
      <c r="AG511" s="39"/>
      <c r="AH511" s="39">
        <f t="shared" si="343"/>
        <v>0</v>
      </c>
      <c r="AI511" s="39"/>
      <c r="AJ511" s="39"/>
      <c r="AK511" s="39"/>
      <c r="AL511" s="39"/>
      <c r="AM511" s="39"/>
      <c r="AN511" s="39">
        <f t="shared" si="312"/>
        <v>0</v>
      </c>
      <c r="AO511" s="39"/>
      <c r="AP511" s="39"/>
      <c r="AQ511" s="39"/>
      <c r="AR511" s="39"/>
      <c r="AS511" s="39"/>
      <c r="AT511" s="39">
        <f t="shared" si="344"/>
        <v>0</v>
      </c>
      <c r="AU511" s="39"/>
      <c r="AV511" s="39"/>
      <c r="AW511" s="39"/>
      <c r="AX511" s="39"/>
      <c r="AY511" s="39"/>
      <c r="AZ511" s="39">
        <f t="shared" si="345"/>
        <v>0</v>
      </c>
      <c r="BA511" s="39"/>
      <c r="BB511" s="39"/>
      <c r="BC511" s="39"/>
      <c r="BD511" s="39"/>
      <c r="BE511" s="39"/>
      <c r="BF511" s="39">
        <f t="shared" si="346"/>
        <v>0</v>
      </c>
      <c r="BG511" s="39"/>
      <c r="BH511" s="39"/>
      <c r="BI511" s="39"/>
      <c r="BJ511" s="39"/>
      <c r="BK511" s="39"/>
      <c r="BL511" s="39">
        <f t="shared" si="347"/>
        <v>0</v>
      </c>
      <c r="BM511" s="54">
        <f t="shared" ca="1" si="348"/>
        <v>46283</v>
      </c>
      <c r="BN511" s="58">
        <v>46273</v>
      </c>
      <c r="BO511" s="57">
        <v>46287</v>
      </c>
      <c r="BP511" s="36"/>
      <c r="BQ511" s="36"/>
      <c r="BR511" s="39"/>
      <c r="BS511" s="39"/>
      <c r="BT511" s="39"/>
      <c r="BU511" s="39"/>
      <c r="BV511" s="39"/>
      <c r="BW511" s="39"/>
      <c r="BX511" s="39"/>
      <c r="BY511" s="39"/>
      <c r="BZ511" s="39">
        <f t="shared" si="349"/>
        <v>0</v>
      </c>
      <c r="CA511" s="39">
        <f t="shared" si="350"/>
        <v>-796</v>
      </c>
      <c r="CB511" s="39">
        <f t="shared" si="351"/>
        <v>-35</v>
      </c>
      <c r="CC511" s="39">
        <f t="shared" si="352"/>
        <v>0</v>
      </c>
      <c r="CD511" s="39">
        <f t="shared" si="353"/>
        <v>-831</v>
      </c>
      <c r="CE511" s="102">
        <f t="shared" si="354"/>
        <v>-1</v>
      </c>
      <c r="CF511" s="36" t="s">
        <v>249</v>
      </c>
      <c r="CG511" s="39" t="s">
        <v>222</v>
      </c>
      <c r="CH511" s="39"/>
      <c r="CI511" s="25">
        <v>1</v>
      </c>
    </row>
    <row r="512" spans="1:87" ht="24.75" customHeight="1">
      <c r="A512" s="36" t="s">
        <v>387</v>
      </c>
      <c r="B512" s="27">
        <v>48666</v>
      </c>
      <c r="C512" s="235" t="s">
        <v>2679</v>
      </c>
      <c r="D512" s="36"/>
      <c r="E512" s="39">
        <v>140</v>
      </c>
      <c r="F512" s="39" t="s">
        <v>57</v>
      </c>
      <c r="G512" s="36" t="s">
        <v>47</v>
      </c>
      <c r="H512" s="36" t="s">
        <v>22</v>
      </c>
      <c r="I512" s="39">
        <v>520</v>
      </c>
      <c r="J512" s="39">
        <v>35</v>
      </c>
      <c r="K512" s="39"/>
      <c r="L512" s="39">
        <f t="shared" si="355"/>
        <v>555</v>
      </c>
      <c r="M512" s="117">
        <v>46262</v>
      </c>
      <c r="N512" s="117">
        <v>46269</v>
      </c>
      <c r="O512" s="39"/>
      <c r="P512" s="39"/>
      <c r="Q512" s="39"/>
      <c r="R512" s="39">
        <f t="shared" si="341"/>
        <v>0</v>
      </c>
      <c r="S512" s="39" t="s">
        <v>130</v>
      </c>
      <c r="T512" s="39" t="s">
        <v>321</v>
      </c>
      <c r="U512" s="39"/>
      <c r="V512" s="39"/>
      <c r="W512" s="39"/>
      <c r="X512" s="39"/>
      <c r="Y512" s="39"/>
      <c r="Z512" s="39"/>
      <c r="AA512" s="39"/>
      <c r="AB512" s="39">
        <f t="shared" si="331"/>
        <v>0</v>
      </c>
      <c r="AC512" s="39"/>
      <c r="AD512" s="39"/>
      <c r="AE512" s="39"/>
      <c r="AF512" s="39"/>
      <c r="AG512" s="39"/>
      <c r="AH512" s="39">
        <f t="shared" si="343"/>
        <v>0</v>
      </c>
      <c r="AI512" s="39"/>
      <c r="AJ512" s="39"/>
      <c r="AK512" s="39"/>
      <c r="AL512" s="39"/>
      <c r="AM512" s="39"/>
      <c r="AN512" s="39">
        <f t="shared" si="312"/>
        <v>0</v>
      </c>
      <c r="AO512" s="39"/>
      <c r="AP512" s="39"/>
      <c r="AQ512" s="39"/>
      <c r="AR512" s="39"/>
      <c r="AS512" s="39"/>
      <c r="AT512" s="39">
        <f t="shared" si="344"/>
        <v>0</v>
      </c>
      <c r="AU512" s="39"/>
      <c r="AV512" s="39"/>
      <c r="AW512" s="39"/>
      <c r="AX512" s="39"/>
      <c r="AY512" s="39"/>
      <c r="AZ512" s="39">
        <f t="shared" si="345"/>
        <v>0</v>
      </c>
      <c r="BA512" s="39"/>
      <c r="BB512" s="39"/>
      <c r="BC512" s="39"/>
      <c r="BD512" s="39"/>
      <c r="BE512" s="39"/>
      <c r="BF512" s="39">
        <f t="shared" si="346"/>
        <v>0</v>
      </c>
      <c r="BG512" s="39"/>
      <c r="BH512" s="39"/>
      <c r="BI512" s="39"/>
      <c r="BJ512" s="39"/>
      <c r="BK512" s="39"/>
      <c r="BL512" s="39">
        <f t="shared" si="347"/>
        <v>0</v>
      </c>
      <c r="BM512" s="54" t="str">
        <f t="shared" si="348"/>
        <v/>
      </c>
      <c r="BN512" s="58">
        <v>46273</v>
      </c>
      <c r="BO512" s="57">
        <v>46287</v>
      </c>
      <c r="BP512" s="36"/>
      <c r="BQ512" s="36"/>
      <c r="BR512" s="39"/>
      <c r="BS512" s="39"/>
      <c r="BT512" s="39" t="s">
        <v>2680</v>
      </c>
      <c r="BU512" s="39">
        <v>520</v>
      </c>
      <c r="BV512" s="39"/>
      <c r="BW512" s="39"/>
      <c r="BX512" s="39"/>
      <c r="BY512" s="39"/>
      <c r="BZ512" s="39">
        <f t="shared" si="349"/>
        <v>520</v>
      </c>
      <c r="CA512" s="39">
        <f t="shared" si="350"/>
        <v>0</v>
      </c>
      <c r="CB512" s="39">
        <f t="shared" si="351"/>
        <v>-35</v>
      </c>
      <c r="CC512" s="39">
        <f t="shared" si="352"/>
        <v>0</v>
      </c>
      <c r="CD512" s="39">
        <f t="shared" si="353"/>
        <v>-35</v>
      </c>
      <c r="CE512" s="102">
        <f t="shared" si="354"/>
        <v>-6.3063063063063057E-2</v>
      </c>
      <c r="CF512" s="36" t="s">
        <v>249</v>
      </c>
      <c r="CG512" s="39" t="s">
        <v>222</v>
      </c>
      <c r="CH512" s="39"/>
      <c r="CI512" s="25">
        <v>1</v>
      </c>
    </row>
    <row r="513" spans="1:87" ht="24.75" customHeight="1">
      <c r="A513" s="36" t="s">
        <v>387</v>
      </c>
      <c r="B513" s="27">
        <v>48666</v>
      </c>
      <c r="C513" s="236"/>
      <c r="D513" s="36"/>
      <c r="E513" s="39">
        <v>140</v>
      </c>
      <c r="F513" s="39" t="s">
        <v>57</v>
      </c>
      <c r="G513" s="36" t="s">
        <v>401</v>
      </c>
      <c r="H513" s="36" t="s">
        <v>22</v>
      </c>
      <c r="I513" s="39">
        <v>520</v>
      </c>
      <c r="J513" s="39">
        <v>35</v>
      </c>
      <c r="K513" s="39"/>
      <c r="L513" s="39">
        <f t="shared" si="355"/>
        <v>555</v>
      </c>
      <c r="M513" s="117">
        <v>46262</v>
      </c>
      <c r="N513" s="117">
        <v>46269</v>
      </c>
      <c r="O513" s="39"/>
      <c r="P513" s="39"/>
      <c r="Q513" s="39"/>
      <c r="R513" s="39">
        <f t="shared" si="341"/>
        <v>0</v>
      </c>
      <c r="S513" s="39" t="s">
        <v>100</v>
      </c>
      <c r="T513" s="39"/>
      <c r="U513" s="39"/>
      <c r="V513" s="117">
        <v>46263</v>
      </c>
      <c r="W513" s="39">
        <f>593+41</f>
        <v>634</v>
      </c>
      <c r="X513" s="39"/>
      <c r="Y513" s="39"/>
      <c r="Z513" s="39"/>
      <c r="AA513" s="39"/>
      <c r="AB513" s="118">
        <f t="shared" si="331"/>
        <v>0</v>
      </c>
      <c r="AC513" s="39"/>
      <c r="AD513" s="39"/>
      <c r="AE513" s="39"/>
      <c r="AF513" s="39"/>
      <c r="AG513" s="39"/>
      <c r="AH513" s="39">
        <f t="shared" si="343"/>
        <v>0</v>
      </c>
      <c r="AI513" s="39"/>
      <c r="AJ513" s="39"/>
      <c r="AK513" s="39"/>
      <c r="AL513" s="39"/>
      <c r="AM513" s="39"/>
      <c r="AN513" s="39">
        <f t="shared" si="312"/>
        <v>0</v>
      </c>
      <c r="AO513" s="39"/>
      <c r="AP513" s="39"/>
      <c r="AQ513" s="39"/>
      <c r="AR513" s="39"/>
      <c r="AS513" s="39"/>
      <c r="AT513" s="39">
        <f t="shared" si="344"/>
        <v>0</v>
      </c>
      <c r="AU513" s="39"/>
      <c r="AV513" s="39"/>
      <c r="AW513" s="39"/>
      <c r="AX513" s="39"/>
      <c r="AY513" s="39"/>
      <c r="AZ513" s="39">
        <f t="shared" si="345"/>
        <v>0</v>
      </c>
      <c r="BA513" s="39"/>
      <c r="BB513" s="39"/>
      <c r="BC513" s="39"/>
      <c r="BD513" s="39"/>
      <c r="BE513" s="39"/>
      <c r="BF513" s="39">
        <f t="shared" si="346"/>
        <v>0</v>
      </c>
      <c r="BG513" s="39"/>
      <c r="BH513" s="39"/>
      <c r="BI513" s="39"/>
      <c r="BJ513" s="39"/>
      <c r="BK513" s="39"/>
      <c r="BL513" s="39">
        <f t="shared" si="347"/>
        <v>0</v>
      </c>
      <c r="BM513" s="54">
        <f t="shared" ca="1" si="348"/>
        <v>46283</v>
      </c>
      <c r="BN513" s="58">
        <v>46273</v>
      </c>
      <c r="BO513" s="57">
        <v>46287</v>
      </c>
      <c r="BP513" s="36"/>
      <c r="BQ513" s="36"/>
      <c r="BR513" s="39"/>
      <c r="BS513" s="39"/>
      <c r="BT513" s="39"/>
      <c r="BU513" s="39"/>
      <c r="BV513" s="39"/>
      <c r="BW513" s="39"/>
      <c r="BX513" s="39"/>
      <c r="BY513" s="39"/>
      <c r="BZ513" s="39">
        <f t="shared" si="349"/>
        <v>0</v>
      </c>
      <c r="CA513" s="39">
        <f t="shared" si="350"/>
        <v>-520</v>
      </c>
      <c r="CB513" s="39">
        <f t="shared" si="351"/>
        <v>-35</v>
      </c>
      <c r="CC513" s="39">
        <f t="shared" si="352"/>
        <v>0</v>
      </c>
      <c r="CD513" s="39">
        <f t="shared" si="353"/>
        <v>-555</v>
      </c>
      <c r="CE513" s="102">
        <f t="shared" si="354"/>
        <v>-1</v>
      </c>
      <c r="CF513" s="36" t="s">
        <v>249</v>
      </c>
      <c r="CG513" s="39" t="s">
        <v>222</v>
      </c>
      <c r="CH513" s="39"/>
      <c r="CI513" s="25">
        <v>1</v>
      </c>
    </row>
    <row r="514" spans="1:87" ht="24.75" customHeight="1">
      <c r="A514" s="36" t="s">
        <v>387</v>
      </c>
      <c r="B514" s="27">
        <v>48667</v>
      </c>
      <c r="C514" s="235" t="s">
        <v>2678</v>
      </c>
      <c r="D514" s="36"/>
      <c r="E514" s="39">
        <v>140</v>
      </c>
      <c r="F514" s="39" t="s">
        <v>57</v>
      </c>
      <c r="G514" s="36" t="s">
        <v>47</v>
      </c>
      <c r="H514" s="36" t="s">
        <v>22</v>
      </c>
      <c r="I514" s="39">
        <f>254+4</f>
        <v>258</v>
      </c>
      <c r="J514" s="39"/>
      <c r="K514" s="39"/>
      <c r="L514" s="39">
        <f t="shared" ref="L514:L517" si="358">SUM(I514:K514)</f>
        <v>258</v>
      </c>
      <c r="M514" s="117">
        <v>46266</v>
      </c>
      <c r="N514" s="117">
        <v>46270</v>
      </c>
      <c r="O514" s="39"/>
      <c r="P514" s="39"/>
      <c r="Q514" s="39"/>
      <c r="R514" s="39">
        <f t="shared" si="341"/>
        <v>0</v>
      </c>
      <c r="S514" s="39" t="s">
        <v>130</v>
      </c>
      <c r="T514" s="39">
        <v>109300</v>
      </c>
      <c r="U514" s="117">
        <v>46273</v>
      </c>
      <c r="V514" s="39"/>
      <c r="W514" s="39"/>
      <c r="X514" s="39"/>
      <c r="Y514" s="39">
        <v>293</v>
      </c>
      <c r="Z514" s="39"/>
      <c r="AA514" s="39"/>
      <c r="AB514" s="119">
        <f t="shared" si="331"/>
        <v>293</v>
      </c>
      <c r="AC514" s="39"/>
      <c r="AD514" s="39"/>
      <c r="AE514" s="39"/>
      <c r="AF514" s="39"/>
      <c r="AG514" s="39"/>
      <c r="AH514" s="39">
        <f t="shared" si="343"/>
        <v>0</v>
      </c>
      <c r="AI514" s="39"/>
      <c r="AJ514" s="39"/>
      <c r="AK514" s="39"/>
      <c r="AL514" s="39"/>
      <c r="AM514" s="39"/>
      <c r="AN514" s="39">
        <f t="shared" si="312"/>
        <v>0</v>
      </c>
      <c r="AO514" s="39"/>
      <c r="AP514" s="39"/>
      <c r="AQ514" s="39"/>
      <c r="AR514" s="39"/>
      <c r="AS514" s="39"/>
      <c r="AT514" s="39">
        <f t="shared" si="344"/>
        <v>0</v>
      </c>
      <c r="AU514" s="39"/>
      <c r="AV514" s="39"/>
      <c r="AW514" s="39"/>
      <c r="AX514" s="39"/>
      <c r="AY514" s="39"/>
      <c r="AZ514" s="39">
        <f t="shared" si="345"/>
        <v>0</v>
      </c>
      <c r="BA514" s="39"/>
      <c r="BB514" s="39"/>
      <c r="BC514" s="39"/>
      <c r="BD514" s="39"/>
      <c r="BE514" s="39"/>
      <c r="BF514" s="39">
        <f t="shared" si="346"/>
        <v>0</v>
      </c>
      <c r="BG514" s="39"/>
      <c r="BH514" s="39"/>
      <c r="BI514" s="39"/>
      <c r="BJ514" s="39"/>
      <c r="BK514" s="39"/>
      <c r="BL514" s="39">
        <f t="shared" si="347"/>
        <v>0</v>
      </c>
      <c r="BM514" s="54" t="str">
        <f t="shared" si="348"/>
        <v/>
      </c>
      <c r="BN514" s="58">
        <v>46275</v>
      </c>
      <c r="BO514" s="57">
        <v>46288</v>
      </c>
      <c r="BP514" s="36"/>
      <c r="BQ514" s="36"/>
      <c r="BR514" s="117">
        <v>46272</v>
      </c>
      <c r="BS514" s="117">
        <v>46272</v>
      </c>
      <c r="BT514" s="39">
        <v>775</v>
      </c>
      <c r="BU514" s="39">
        <v>263</v>
      </c>
      <c r="BV514" s="39"/>
      <c r="BW514" s="39"/>
      <c r="BX514" s="39"/>
      <c r="BY514" s="39"/>
      <c r="BZ514" s="39">
        <f t="shared" si="349"/>
        <v>263</v>
      </c>
      <c r="CA514" s="39">
        <f t="shared" si="350"/>
        <v>5</v>
      </c>
      <c r="CB514" s="39">
        <f t="shared" si="351"/>
        <v>0</v>
      </c>
      <c r="CC514" s="39">
        <f t="shared" si="352"/>
        <v>0</v>
      </c>
      <c r="CD514" s="39">
        <f t="shared" si="353"/>
        <v>0</v>
      </c>
      <c r="CE514" s="102">
        <f t="shared" si="354"/>
        <v>0</v>
      </c>
      <c r="CF514" s="36" t="s">
        <v>249</v>
      </c>
      <c r="CG514" s="39" t="s">
        <v>222</v>
      </c>
      <c r="CH514" s="39"/>
      <c r="CI514" s="25">
        <v>1</v>
      </c>
    </row>
    <row r="515" spans="1:87" ht="24.75" customHeight="1">
      <c r="A515" s="36" t="s">
        <v>387</v>
      </c>
      <c r="B515" s="27">
        <v>48667</v>
      </c>
      <c r="C515" s="236"/>
      <c r="D515" s="36"/>
      <c r="E515" s="39">
        <v>140</v>
      </c>
      <c r="F515" s="39" t="s">
        <v>57</v>
      </c>
      <c r="G515" s="36" t="s">
        <v>479</v>
      </c>
      <c r="H515" s="36" t="s">
        <v>22</v>
      </c>
      <c r="I515" s="39">
        <f>254+4</f>
        <v>258</v>
      </c>
      <c r="J515" s="39"/>
      <c r="K515" s="39"/>
      <c r="L515" s="39">
        <f t="shared" si="358"/>
        <v>258</v>
      </c>
      <c r="M515" s="117">
        <v>46266</v>
      </c>
      <c r="N515" s="117">
        <v>46270</v>
      </c>
      <c r="O515" s="39"/>
      <c r="P515" s="39"/>
      <c r="Q515" s="39"/>
      <c r="R515" s="39">
        <f t="shared" si="341"/>
        <v>0</v>
      </c>
      <c r="S515" s="39" t="s">
        <v>31</v>
      </c>
      <c r="T515" s="39"/>
      <c r="U515" s="39"/>
      <c r="V515" s="117" t="s">
        <v>2815</v>
      </c>
      <c r="W515" s="39">
        <f>290+7</f>
        <v>297</v>
      </c>
      <c r="X515" s="39"/>
      <c r="Y515" s="39"/>
      <c r="Z515" s="39"/>
      <c r="AA515" s="39"/>
      <c r="AB515" s="118">
        <f t="shared" si="331"/>
        <v>0</v>
      </c>
      <c r="AC515" s="39"/>
      <c r="AD515" s="39"/>
      <c r="AE515" s="39"/>
      <c r="AF515" s="39"/>
      <c r="AG515" s="39"/>
      <c r="AH515" s="39">
        <f t="shared" si="343"/>
        <v>0</v>
      </c>
      <c r="AI515" s="39"/>
      <c r="AJ515" s="39"/>
      <c r="AK515" s="39"/>
      <c r="AL515" s="39"/>
      <c r="AM515" s="39"/>
      <c r="AN515" s="39">
        <f t="shared" si="312"/>
        <v>0</v>
      </c>
      <c r="AO515" s="39"/>
      <c r="AP515" s="39"/>
      <c r="AQ515" s="39"/>
      <c r="AR515" s="39"/>
      <c r="AS515" s="39"/>
      <c r="AT515" s="39">
        <f t="shared" si="344"/>
        <v>0</v>
      </c>
      <c r="AU515" s="39"/>
      <c r="AV515" s="39"/>
      <c r="AW515" s="39"/>
      <c r="AX515" s="39"/>
      <c r="AY515" s="39"/>
      <c r="AZ515" s="39">
        <f t="shared" si="345"/>
        <v>0</v>
      </c>
      <c r="BA515" s="39"/>
      <c r="BB515" s="39"/>
      <c r="BC515" s="39"/>
      <c r="BD515" s="39"/>
      <c r="BE515" s="39"/>
      <c r="BF515" s="39">
        <f t="shared" si="346"/>
        <v>0</v>
      </c>
      <c r="BG515" s="39"/>
      <c r="BH515" s="39"/>
      <c r="BI515" s="39"/>
      <c r="BJ515" s="39"/>
      <c r="BK515" s="39"/>
      <c r="BL515" s="39">
        <f t="shared" si="347"/>
        <v>0</v>
      </c>
      <c r="BM515" s="54">
        <f t="shared" ca="1" si="348"/>
        <v>46283</v>
      </c>
      <c r="BN515" s="58">
        <v>46275</v>
      </c>
      <c r="BO515" s="57">
        <v>46288</v>
      </c>
      <c r="BP515" s="36"/>
      <c r="BQ515" s="36"/>
      <c r="BR515" s="39"/>
      <c r="BS515" s="39"/>
      <c r="BT515" s="39"/>
      <c r="BU515" s="39"/>
      <c r="BV515" s="39"/>
      <c r="BW515" s="39"/>
      <c r="BX515" s="39"/>
      <c r="BY515" s="39"/>
      <c r="BZ515" s="39">
        <f t="shared" si="349"/>
        <v>0</v>
      </c>
      <c r="CA515" s="39">
        <f t="shared" si="350"/>
        <v>-258</v>
      </c>
      <c r="CB515" s="39">
        <f t="shared" si="351"/>
        <v>0</v>
      </c>
      <c r="CC515" s="39">
        <f t="shared" si="352"/>
        <v>0</v>
      </c>
      <c r="CD515" s="39">
        <f t="shared" si="353"/>
        <v>-258</v>
      </c>
      <c r="CE515" s="102">
        <f t="shared" si="354"/>
        <v>-1</v>
      </c>
      <c r="CF515" s="36" t="s">
        <v>249</v>
      </c>
      <c r="CG515" s="39" t="s">
        <v>222</v>
      </c>
      <c r="CH515" s="39"/>
      <c r="CI515" s="25">
        <v>1</v>
      </c>
    </row>
    <row r="516" spans="1:87" ht="24.75" customHeight="1">
      <c r="A516" s="36" t="s">
        <v>387</v>
      </c>
      <c r="B516" s="27">
        <v>48831</v>
      </c>
      <c r="C516" s="257" t="s">
        <v>2889</v>
      </c>
      <c r="D516" s="36" t="s">
        <v>45</v>
      </c>
      <c r="E516" s="39">
        <v>260</v>
      </c>
      <c r="F516" s="39" t="s">
        <v>58</v>
      </c>
      <c r="G516" s="36" t="s">
        <v>2600</v>
      </c>
      <c r="H516" s="36" t="s">
        <v>414</v>
      </c>
      <c r="I516" s="39">
        <f>188+32</f>
        <v>220</v>
      </c>
      <c r="J516" s="39">
        <f>53+9</f>
        <v>62</v>
      </c>
      <c r="K516" s="39">
        <f>18+3</f>
        <v>21</v>
      </c>
      <c r="L516" s="39">
        <f t="shared" si="358"/>
        <v>303</v>
      </c>
      <c r="M516" s="117">
        <v>46273</v>
      </c>
      <c r="N516" s="117">
        <v>46275</v>
      </c>
      <c r="O516" s="39"/>
      <c r="P516" s="39"/>
      <c r="Q516" s="39"/>
      <c r="R516" s="39">
        <f t="shared" si="341"/>
        <v>0</v>
      </c>
      <c r="S516" s="39" t="s">
        <v>326</v>
      </c>
      <c r="T516" s="39"/>
      <c r="U516" s="39"/>
      <c r="V516" s="117" t="s">
        <v>3061</v>
      </c>
      <c r="W516" s="39">
        <f>228+74+25+29</f>
        <v>356</v>
      </c>
      <c r="X516" s="39"/>
      <c r="Y516" s="39"/>
      <c r="Z516" s="39"/>
      <c r="AA516" s="39"/>
      <c r="AB516" s="118">
        <f t="shared" si="331"/>
        <v>0</v>
      </c>
      <c r="AC516" s="39"/>
      <c r="AD516" s="39"/>
      <c r="AE516" s="39"/>
      <c r="AF516" s="39"/>
      <c r="AG516" s="39"/>
      <c r="AH516" s="39">
        <f t="shared" si="343"/>
        <v>0</v>
      </c>
      <c r="AI516" s="39"/>
      <c r="AJ516" s="39"/>
      <c r="AK516" s="39"/>
      <c r="AL516" s="39"/>
      <c r="AM516" s="39"/>
      <c r="AN516" s="39">
        <f t="shared" si="312"/>
        <v>0</v>
      </c>
      <c r="AO516" s="39"/>
      <c r="AP516" s="39"/>
      <c r="AQ516" s="39"/>
      <c r="AR516" s="39"/>
      <c r="AS516" s="39"/>
      <c r="AT516" s="39">
        <f t="shared" si="344"/>
        <v>0</v>
      </c>
      <c r="AU516" s="39"/>
      <c r="AV516" s="39"/>
      <c r="AW516" s="39"/>
      <c r="AX516" s="39"/>
      <c r="AY516" s="39"/>
      <c r="AZ516" s="39">
        <f t="shared" si="345"/>
        <v>0</v>
      </c>
      <c r="BA516" s="39"/>
      <c r="BB516" s="39"/>
      <c r="BC516" s="39"/>
      <c r="BD516" s="39"/>
      <c r="BE516" s="39"/>
      <c r="BF516" s="39">
        <f t="shared" si="346"/>
        <v>0</v>
      </c>
      <c r="BG516" s="39"/>
      <c r="BH516" s="39"/>
      <c r="BI516" s="39"/>
      <c r="BJ516" s="39"/>
      <c r="BK516" s="39"/>
      <c r="BL516" s="39">
        <f t="shared" si="347"/>
        <v>0</v>
      </c>
      <c r="BM516" s="54">
        <f t="shared" ca="1" si="348"/>
        <v>46283</v>
      </c>
      <c r="BN516" s="58">
        <v>46270</v>
      </c>
      <c r="BO516" s="57">
        <v>46283</v>
      </c>
      <c r="BP516" s="36"/>
      <c r="BQ516" s="36"/>
      <c r="BR516" s="39"/>
      <c r="BS516" s="39"/>
      <c r="BT516" s="39"/>
      <c r="BU516" s="39"/>
      <c r="BV516" s="39"/>
      <c r="BW516" s="39"/>
      <c r="BX516" s="39"/>
      <c r="BY516" s="39"/>
      <c r="BZ516" s="39">
        <f t="shared" si="349"/>
        <v>0</v>
      </c>
      <c r="CA516" s="39">
        <f t="shared" si="350"/>
        <v>-220</v>
      </c>
      <c r="CB516" s="39">
        <f t="shared" si="351"/>
        <v>-62</v>
      </c>
      <c r="CC516" s="39">
        <f t="shared" si="352"/>
        <v>-21</v>
      </c>
      <c r="CD516" s="39">
        <f t="shared" si="353"/>
        <v>-303</v>
      </c>
      <c r="CE516" s="102">
        <f t="shared" si="354"/>
        <v>-1</v>
      </c>
      <c r="CF516" s="36" t="s">
        <v>293</v>
      </c>
      <c r="CG516" s="39" t="s">
        <v>1051</v>
      </c>
      <c r="CH516" s="39"/>
      <c r="CI516" s="25">
        <v>1</v>
      </c>
    </row>
    <row r="517" spans="1:87" ht="24.75" customHeight="1">
      <c r="A517" s="36" t="s">
        <v>387</v>
      </c>
      <c r="B517" s="27">
        <v>48831</v>
      </c>
      <c r="C517" s="259"/>
      <c r="D517" s="36" t="s">
        <v>45</v>
      </c>
      <c r="E517" s="39">
        <v>260</v>
      </c>
      <c r="F517" s="39" t="s">
        <v>58</v>
      </c>
      <c r="G517" s="36" t="s">
        <v>430</v>
      </c>
      <c r="H517" s="36" t="s">
        <v>414</v>
      </c>
      <c r="I517" s="39">
        <f>188+32</f>
        <v>220</v>
      </c>
      <c r="J517" s="39">
        <f>53+9</f>
        <v>62</v>
      </c>
      <c r="K517" s="39">
        <f>18+3</f>
        <v>21</v>
      </c>
      <c r="L517" s="39">
        <f t="shared" si="358"/>
        <v>303</v>
      </c>
      <c r="M517" s="117">
        <v>46273</v>
      </c>
      <c r="N517" s="117">
        <v>46275</v>
      </c>
      <c r="O517" s="39"/>
      <c r="P517" s="39"/>
      <c r="Q517" s="39"/>
      <c r="R517" s="39">
        <f t="shared" si="341"/>
        <v>0</v>
      </c>
      <c r="S517" s="39" t="s">
        <v>326</v>
      </c>
      <c r="T517" s="39"/>
      <c r="U517" s="39"/>
      <c r="V517" s="117" t="s">
        <v>3061</v>
      </c>
      <c r="W517" s="39">
        <f>228+74+25+29</f>
        <v>356</v>
      </c>
      <c r="X517" s="39"/>
      <c r="Y517" s="39"/>
      <c r="Z517" s="39"/>
      <c r="AA517" s="39"/>
      <c r="AB517" s="118">
        <f t="shared" si="331"/>
        <v>0</v>
      </c>
      <c r="AC517" s="39"/>
      <c r="AD517" s="39"/>
      <c r="AE517" s="39"/>
      <c r="AF517" s="39"/>
      <c r="AG517" s="39"/>
      <c r="AH517" s="39">
        <f t="shared" si="343"/>
        <v>0</v>
      </c>
      <c r="AI517" s="39"/>
      <c r="AJ517" s="39"/>
      <c r="AK517" s="39"/>
      <c r="AL517" s="39"/>
      <c r="AM517" s="39"/>
      <c r="AN517" s="39">
        <f t="shared" si="312"/>
        <v>0</v>
      </c>
      <c r="AO517" s="39"/>
      <c r="AP517" s="39"/>
      <c r="AQ517" s="39"/>
      <c r="AR517" s="39"/>
      <c r="AS517" s="39"/>
      <c r="AT517" s="39">
        <f t="shared" si="344"/>
        <v>0</v>
      </c>
      <c r="AU517" s="39"/>
      <c r="AV517" s="39"/>
      <c r="AW517" s="39"/>
      <c r="AX517" s="39"/>
      <c r="AY517" s="39"/>
      <c r="AZ517" s="39">
        <f t="shared" si="345"/>
        <v>0</v>
      </c>
      <c r="BA517" s="39"/>
      <c r="BB517" s="39"/>
      <c r="BC517" s="39"/>
      <c r="BD517" s="39"/>
      <c r="BE517" s="39"/>
      <c r="BF517" s="39">
        <f t="shared" si="346"/>
        <v>0</v>
      </c>
      <c r="BG517" s="39"/>
      <c r="BH517" s="39"/>
      <c r="BI517" s="39"/>
      <c r="BJ517" s="39"/>
      <c r="BK517" s="39"/>
      <c r="BL517" s="39">
        <f t="shared" si="347"/>
        <v>0</v>
      </c>
      <c r="BM517" s="54">
        <f t="shared" ca="1" si="348"/>
        <v>46283</v>
      </c>
      <c r="BN517" s="58">
        <v>46270</v>
      </c>
      <c r="BO517" s="57">
        <v>46283</v>
      </c>
      <c r="BP517" s="36"/>
      <c r="BQ517" s="36"/>
      <c r="BR517" s="39"/>
      <c r="BS517" s="39"/>
      <c r="BT517" s="39"/>
      <c r="BU517" s="39"/>
      <c r="BV517" s="39"/>
      <c r="BW517" s="39"/>
      <c r="BX517" s="39"/>
      <c r="BY517" s="39"/>
      <c r="BZ517" s="39">
        <f t="shared" si="349"/>
        <v>0</v>
      </c>
      <c r="CA517" s="39">
        <f t="shared" si="350"/>
        <v>-220</v>
      </c>
      <c r="CB517" s="39">
        <f t="shared" si="351"/>
        <v>-62</v>
      </c>
      <c r="CC517" s="39">
        <f t="shared" si="352"/>
        <v>-21</v>
      </c>
      <c r="CD517" s="39">
        <f t="shared" si="353"/>
        <v>-303</v>
      </c>
      <c r="CE517" s="102">
        <f t="shared" si="354"/>
        <v>-1</v>
      </c>
      <c r="CF517" s="36" t="s">
        <v>293</v>
      </c>
      <c r="CG517" s="39" t="s">
        <v>1051</v>
      </c>
      <c r="CH517" s="39"/>
      <c r="CI517" s="25">
        <v>1</v>
      </c>
    </row>
    <row r="518" spans="1:87" ht="24.75" customHeight="1">
      <c r="A518" s="36" t="s">
        <v>387</v>
      </c>
      <c r="B518" s="27" t="s">
        <v>2526</v>
      </c>
      <c r="C518" s="36" t="s">
        <v>743</v>
      </c>
      <c r="D518" s="36"/>
      <c r="E518" s="39">
        <v>180</v>
      </c>
      <c r="F518" s="39" t="s">
        <v>55</v>
      </c>
      <c r="G518" s="36" t="s">
        <v>23</v>
      </c>
      <c r="H518" s="36" t="s">
        <v>87</v>
      </c>
      <c r="I518" s="39">
        <v>10000</v>
      </c>
      <c r="J518" s="39"/>
      <c r="K518" s="39"/>
      <c r="L518" s="39">
        <f t="shared" ref="L518" si="359">SUM(I518:K518)</f>
        <v>10000</v>
      </c>
      <c r="M518" s="39" t="s">
        <v>42</v>
      </c>
      <c r="N518" s="39" t="s">
        <v>42</v>
      </c>
      <c r="O518" s="39"/>
      <c r="P518" s="39"/>
      <c r="Q518" s="39"/>
      <c r="R518" s="39">
        <f t="shared" ref="R518" si="360">SUM(O518:Q518)</f>
        <v>0</v>
      </c>
      <c r="S518" s="39" t="s">
        <v>100</v>
      </c>
      <c r="T518" s="39"/>
      <c r="U518" s="39"/>
      <c r="V518" s="117" t="s">
        <v>3072</v>
      </c>
      <c r="W518" s="39">
        <f>3167+2107+2229</f>
        <v>7503</v>
      </c>
      <c r="X518" s="39"/>
      <c r="Y518" s="39"/>
      <c r="Z518" s="39"/>
      <c r="AA518" s="39"/>
      <c r="AB518" s="118">
        <f t="shared" ref="AB518:AB520" si="361">SUM(Y518:AA518)</f>
        <v>0</v>
      </c>
      <c r="AC518" s="39"/>
      <c r="AD518" s="39"/>
      <c r="AE518" s="39"/>
      <c r="AF518" s="39"/>
      <c r="AG518" s="39"/>
      <c r="AH518" s="39">
        <f t="shared" si="343"/>
        <v>0</v>
      </c>
      <c r="AI518" s="39"/>
      <c r="AJ518" s="39"/>
      <c r="AK518" s="39"/>
      <c r="AL518" s="39"/>
      <c r="AM518" s="39"/>
      <c r="AN518" s="39">
        <f t="shared" ref="AN518:AN520" si="362">AM518-AK518</f>
        <v>0</v>
      </c>
      <c r="AO518" s="39"/>
      <c r="AP518" s="39"/>
      <c r="AQ518" s="39"/>
      <c r="AR518" s="39"/>
      <c r="AS518" s="39"/>
      <c r="AT518" s="39">
        <f t="shared" si="344"/>
        <v>0</v>
      </c>
      <c r="AU518" s="39"/>
      <c r="AV518" s="39"/>
      <c r="AW518" s="39"/>
      <c r="AX518" s="39"/>
      <c r="AY518" s="39"/>
      <c r="AZ518" s="39">
        <f t="shared" si="345"/>
        <v>0</v>
      </c>
      <c r="BA518" s="39"/>
      <c r="BB518" s="39"/>
      <c r="BC518" s="39"/>
      <c r="BD518" s="39"/>
      <c r="BE518" s="39"/>
      <c r="BF518" s="39">
        <f t="shared" si="346"/>
        <v>0</v>
      </c>
      <c r="BG518" s="39"/>
      <c r="BH518" s="39"/>
      <c r="BI518" s="39"/>
      <c r="BJ518" s="39"/>
      <c r="BK518" s="39"/>
      <c r="BL518" s="39">
        <f t="shared" si="347"/>
        <v>0</v>
      </c>
      <c r="BM518" s="54">
        <f t="shared" ca="1" si="348"/>
        <v>46283</v>
      </c>
      <c r="BN518" s="58">
        <v>46259</v>
      </c>
      <c r="BO518" s="57">
        <v>46275</v>
      </c>
      <c r="BP518" s="36"/>
      <c r="BQ518" s="36"/>
      <c r="BR518" s="39"/>
      <c r="BS518" s="39"/>
      <c r="BT518" s="39"/>
      <c r="BU518" s="39"/>
      <c r="BV518" s="39"/>
      <c r="BW518" s="39"/>
      <c r="BX518" s="39"/>
      <c r="BY518" s="39"/>
      <c r="BZ518" s="39">
        <f t="shared" si="349"/>
        <v>0</v>
      </c>
      <c r="CA518" s="39">
        <f t="shared" si="350"/>
        <v>-10000</v>
      </c>
      <c r="CB518" s="39">
        <f t="shared" si="351"/>
        <v>0</v>
      </c>
      <c r="CC518" s="39">
        <f t="shared" si="352"/>
        <v>0</v>
      </c>
      <c r="CD518" s="39">
        <f t="shared" si="353"/>
        <v>-10000</v>
      </c>
      <c r="CE518" s="102">
        <f t="shared" si="354"/>
        <v>-1</v>
      </c>
      <c r="CF518" s="36" t="s">
        <v>292</v>
      </c>
      <c r="CG518" s="39" t="s">
        <v>220</v>
      </c>
      <c r="CH518" s="39"/>
      <c r="CI518" s="25">
        <v>1</v>
      </c>
    </row>
    <row r="519" spans="1:87" ht="24.75" customHeight="1">
      <c r="A519" s="36" t="s">
        <v>387</v>
      </c>
      <c r="B519" s="27">
        <v>48158</v>
      </c>
      <c r="C519" s="235" t="s">
        <v>2882</v>
      </c>
      <c r="D519" s="36"/>
      <c r="E519" s="39">
        <v>140</v>
      </c>
      <c r="F519" s="39" t="s">
        <v>62</v>
      </c>
      <c r="G519" s="36" t="s">
        <v>23</v>
      </c>
      <c r="H519" s="36" t="s">
        <v>22</v>
      </c>
      <c r="I519" s="39">
        <v>952</v>
      </c>
      <c r="J519" s="39">
        <v>120</v>
      </c>
      <c r="K519" s="39"/>
      <c r="L519" s="39">
        <f t="shared" ref="L519:L520" si="363">SUM(I519:K519)</f>
        <v>1072</v>
      </c>
      <c r="M519" s="117">
        <v>46270</v>
      </c>
      <c r="N519" s="117">
        <v>46273</v>
      </c>
      <c r="O519" s="39"/>
      <c r="P519" s="39"/>
      <c r="Q519" s="39"/>
      <c r="R519" s="39">
        <f t="shared" ref="R519" si="364">SUM(O519:Q519)</f>
        <v>0</v>
      </c>
      <c r="S519" s="39" t="s">
        <v>130</v>
      </c>
      <c r="T519" s="39">
        <v>109288</v>
      </c>
      <c r="U519" s="117">
        <v>46274</v>
      </c>
      <c r="V519" s="39"/>
      <c r="W519" s="39"/>
      <c r="X519" s="39"/>
      <c r="Y519" s="39">
        <v>1051</v>
      </c>
      <c r="Z519" s="39">
        <v>137</v>
      </c>
      <c r="AA519" s="39"/>
      <c r="AB519" s="119">
        <f t="shared" si="361"/>
        <v>1188</v>
      </c>
      <c r="AC519" s="39"/>
      <c r="AD519" s="39"/>
      <c r="AE519" s="39"/>
      <c r="AF519" s="39"/>
      <c r="AG519" s="39"/>
      <c r="AH519" s="39">
        <f t="shared" si="343"/>
        <v>0</v>
      </c>
      <c r="AI519" s="39"/>
      <c r="AJ519" s="39"/>
      <c r="AK519" s="39"/>
      <c r="AL519" s="39"/>
      <c r="AM519" s="39"/>
      <c r="AN519" s="39">
        <f t="shared" si="362"/>
        <v>0</v>
      </c>
      <c r="AO519" s="39"/>
      <c r="AP519" s="39"/>
      <c r="AQ519" s="39"/>
      <c r="AR519" s="39"/>
      <c r="AS519" s="39"/>
      <c r="AT519" s="39">
        <f t="shared" si="344"/>
        <v>0</v>
      </c>
      <c r="AU519" s="39"/>
      <c r="AV519" s="39"/>
      <c r="AW519" s="39"/>
      <c r="AX519" s="39"/>
      <c r="AY519" s="39"/>
      <c r="AZ519" s="39">
        <f t="shared" si="345"/>
        <v>0</v>
      </c>
      <c r="BA519" s="39"/>
      <c r="BB519" s="39"/>
      <c r="BC519" s="39"/>
      <c r="BD519" s="39"/>
      <c r="BE519" s="39"/>
      <c r="BF519" s="39">
        <f t="shared" si="346"/>
        <v>0</v>
      </c>
      <c r="BG519" s="39"/>
      <c r="BH519" s="39"/>
      <c r="BI519" s="39"/>
      <c r="BJ519" s="39"/>
      <c r="BK519" s="39"/>
      <c r="BL519" s="39">
        <f t="shared" si="347"/>
        <v>0</v>
      </c>
      <c r="BM519" s="54" t="str">
        <f t="shared" si="348"/>
        <v/>
      </c>
      <c r="BN519" s="58">
        <v>46273</v>
      </c>
      <c r="BO519" s="57">
        <v>46277</v>
      </c>
      <c r="BP519" s="36"/>
      <c r="BQ519" s="36"/>
      <c r="BR519" s="117">
        <v>46272</v>
      </c>
      <c r="BS519" s="117">
        <v>46272</v>
      </c>
      <c r="BT519" s="39">
        <v>777</v>
      </c>
      <c r="BU519" s="39">
        <v>990</v>
      </c>
      <c r="BV519" s="39">
        <v>777</v>
      </c>
      <c r="BW519" s="39">
        <v>128</v>
      </c>
      <c r="BX519" s="39"/>
      <c r="BY519" s="39"/>
      <c r="BZ519" s="39">
        <f t="shared" si="349"/>
        <v>1118</v>
      </c>
      <c r="CA519" s="39">
        <f t="shared" si="350"/>
        <v>38</v>
      </c>
      <c r="CB519" s="39">
        <f t="shared" si="351"/>
        <v>8</v>
      </c>
      <c r="CC519" s="39">
        <f t="shared" si="352"/>
        <v>0</v>
      </c>
      <c r="CD519" s="39">
        <f t="shared" si="353"/>
        <v>0</v>
      </c>
      <c r="CE519" s="102">
        <f t="shared" si="354"/>
        <v>0</v>
      </c>
      <c r="CF519" s="36" t="s">
        <v>249</v>
      </c>
      <c r="CG519" s="39" t="s">
        <v>222</v>
      </c>
      <c r="CH519" s="39"/>
      <c r="CI519" s="25">
        <v>1</v>
      </c>
    </row>
    <row r="520" spans="1:87" ht="24.75" customHeight="1">
      <c r="A520" s="36" t="s">
        <v>387</v>
      </c>
      <c r="B520" s="27">
        <v>48158</v>
      </c>
      <c r="C520" s="236"/>
      <c r="D520" s="36"/>
      <c r="E520" s="39">
        <v>140</v>
      </c>
      <c r="F520" s="39" t="s">
        <v>62</v>
      </c>
      <c r="G520" s="36" t="s">
        <v>47</v>
      </c>
      <c r="H520" s="36" t="s">
        <v>22</v>
      </c>
      <c r="I520" s="39">
        <v>952</v>
      </c>
      <c r="J520" s="39">
        <v>120</v>
      </c>
      <c r="K520" s="39"/>
      <c r="L520" s="39">
        <f t="shared" si="363"/>
        <v>1072</v>
      </c>
      <c r="M520" s="117">
        <v>46270</v>
      </c>
      <c r="N520" s="117">
        <v>46273</v>
      </c>
      <c r="O520" s="39"/>
      <c r="P520" s="39"/>
      <c r="Q520" s="39"/>
      <c r="R520" s="39">
        <f t="shared" ref="R520" si="365">SUM(O520:Q520)</f>
        <v>0</v>
      </c>
      <c r="S520" s="39" t="s">
        <v>130</v>
      </c>
      <c r="T520" s="39" t="s">
        <v>2903</v>
      </c>
      <c r="U520" s="117">
        <v>46273</v>
      </c>
      <c r="V520" s="39"/>
      <c r="W520" s="39"/>
      <c r="X520" s="39"/>
      <c r="Y520" s="39">
        <f>761+325</f>
        <v>1086</v>
      </c>
      <c r="Z520" s="39">
        <f>92+56</f>
        <v>148</v>
      </c>
      <c r="AA520" s="39"/>
      <c r="AB520" s="119">
        <f t="shared" si="361"/>
        <v>1234</v>
      </c>
      <c r="AC520" s="39"/>
      <c r="AD520" s="39"/>
      <c r="AE520" s="39"/>
      <c r="AF520" s="39"/>
      <c r="AG520" s="39"/>
      <c r="AH520" s="39">
        <f t="shared" si="343"/>
        <v>0</v>
      </c>
      <c r="AI520" s="39"/>
      <c r="AJ520" s="39"/>
      <c r="AK520" s="39"/>
      <c r="AL520" s="39"/>
      <c r="AM520" s="39"/>
      <c r="AN520" s="39">
        <f t="shared" si="362"/>
        <v>0</v>
      </c>
      <c r="AO520" s="39"/>
      <c r="AP520" s="39"/>
      <c r="AQ520" s="39"/>
      <c r="AR520" s="39"/>
      <c r="AS520" s="39"/>
      <c r="AT520" s="39">
        <f t="shared" si="344"/>
        <v>0</v>
      </c>
      <c r="AU520" s="39"/>
      <c r="AV520" s="39"/>
      <c r="AW520" s="39"/>
      <c r="AX520" s="39"/>
      <c r="AY520" s="39"/>
      <c r="AZ520" s="39">
        <f t="shared" si="345"/>
        <v>0</v>
      </c>
      <c r="BA520" s="39"/>
      <c r="BB520" s="39"/>
      <c r="BC520" s="39"/>
      <c r="BD520" s="39"/>
      <c r="BE520" s="39"/>
      <c r="BF520" s="39">
        <f t="shared" si="346"/>
        <v>0</v>
      </c>
      <c r="BG520" s="39"/>
      <c r="BH520" s="39"/>
      <c r="BI520" s="39"/>
      <c r="BJ520" s="39"/>
      <c r="BK520" s="39"/>
      <c r="BL520" s="39">
        <f t="shared" si="347"/>
        <v>0</v>
      </c>
      <c r="BM520" s="54" t="str">
        <f t="shared" si="348"/>
        <v/>
      </c>
      <c r="BN520" s="58">
        <v>46273</v>
      </c>
      <c r="BO520" s="57">
        <v>46277</v>
      </c>
      <c r="BP520" s="36"/>
      <c r="BQ520" s="36"/>
      <c r="BR520" s="57">
        <v>46272</v>
      </c>
      <c r="BS520" s="117">
        <v>46272</v>
      </c>
      <c r="BT520" s="39">
        <v>774</v>
      </c>
      <c r="BU520" s="39">
        <f>684+288</f>
        <v>972</v>
      </c>
      <c r="BV520" s="39">
        <v>777</v>
      </c>
      <c r="BW520" s="39">
        <f>85+49</f>
        <v>134</v>
      </c>
      <c r="BX520" s="39"/>
      <c r="BY520" s="39"/>
      <c r="BZ520" s="39">
        <f t="shared" si="349"/>
        <v>1106</v>
      </c>
      <c r="CA520" s="39">
        <f t="shared" si="350"/>
        <v>20</v>
      </c>
      <c r="CB520" s="39">
        <f t="shared" si="351"/>
        <v>14</v>
      </c>
      <c r="CC520" s="39">
        <f t="shared" si="352"/>
        <v>0</v>
      </c>
      <c r="CD520" s="39">
        <f t="shared" si="353"/>
        <v>0</v>
      </c>
      <c r="CE520" s="102">
        <f t="shared" si="354"/>
        <v>0</v>
      </c>
      <c r="CF520" s="36" t="s">
        <v>249</v>
      </c>
      <c r="CG520" s="39" t="s">
        <v>222</v>
      </c>
      <c r="CH520" s="39" t="s">
        <v>114</v>
      </c>
      <c r="CI520" s="25">
        <v>1</v>
      </c>
    </row>
    <row r="521" spans="1:87" ht="24.75" customHeight="1">
      <c r="A521" s="36" t="s">
        <v>387</v>
      </c>
      <c r="B521" s="27"/>
      <c r="C521" s="36"/>
      <c r="D521" s="36"/>
      <c r="E521" s="39"/>
      <c r="F521" s="39"/>
      <c r="G521" s="36"/>
      <c r="H521" s="39"/>
      <c r="I521" s="39"/>
      <c r="J521" s="39"/>
      <c r="K521" s="39"/>
      <c r="L521" s="39">
        <f t="shared" si="193"/>
        <v>0</v>
      </c>
      <c r="M521" s="39"/>
      <c r="N521" s="39"/>
      <c r="O521" s="39"/>
      <c r="P521" s="39"/>
      <c r="Q521" s="39"/>
      <c r="R521" s="39">
        <f t="shared" si="194"/>
        <v>0</v>
      </c>
      <c r="S521" s="39"/>
      <c r="T521" s="39"/>
      <c r="U521" s="39"/>
      <c r="V521" s="39"/>
      <c r="W521" s="39"/>
      <c r="X521" s="39"/>
      <c r="Y521" s="39"/>
      <c r="Z521" s="39"/>
      <c r="AA521" s="39"/>
      <c r="AB521" s="39">
        <f t="shared" si="195"/>
        <v>0</v>
      </c>
      <c r="AC521" s="39"/>
      <c r="AD521" s="39"/>
      <c r="AE521" s="39"/>
      <c r="AF521" s="39"/>
      <c r="AG521" s="39"/>
      <c r="AH521" s="39">
        <f t="shared" ref="AH521:AH645" si="366">AG521-AE521</f>
        <v>0</v>
      </c>
      <c r="AI521" s="39"/>
      <c r="AJ521" s="39"/>
      <c r="AK521" s="39"/>
      <c r="AL521" s="39"/>
      <c r="AM521" s="39"/>
      <c r="AN521" s="39">
        <f t="shared" si="196"/>
        <v>0</v>
      </c>
      <c r="AO521" s="39"/>
      <c r="AP521" s="39"/>
      <c r="AQ521" s="39"/>
      <c r="AR521" s="39"/>
      <c r="AS521" s="39"/>
      <c r="AT521" s="39">
        <f t="shared" ref="AT521:AT912" si="367">AS521-AQ521</f>
        <v>0</v>
      </c>
      <c r="AU521" s="39"/>
      <c r="AV521" s="39"/>
      <c r="AW521" s="39"/>
      <c r="AX521" s="39"/>
      <c r="AY521" s="39"/>
      <c r="AZ521" s="39">
        <f t="shared" ref="AZ521:AZ912" si="368">AY521-AW521</f>
        <v>0</v>
      </c>
      <c r="BA521" s="39"/>
      <c r="BB521" s="39"/>
      <c r="BC521" s="39"/>
      <c r="BD521" s="39"/>
      <c r="BE521" s="39"/>
      <c r="BF521" s="39">
        <f t="shared" ref="BF521:BF912" si="369">BE521-BC521</f>
        <v>0</v>
      </c>
      <c r="BG521" s="39"/>
      <c r="BH521" s="39"/>
      <c r="BI521" s="39"/>
      <c r="BJ521" s="39"/>
      <c r="BK521" s="39"/>
      <c r="BL521" s="39">
        <f t="shared" ref="BL521:BL645" si="370">BK521-BI521</f>
        <v>0</v>
      </c>
      <c r="BM521" s="54" t="e">
        <f t="shared" ref="BM521:BM912" si="371">IF((BZ521/L521)&lt;0.9,$CO$1-U521,"")</f>
        <v>#DIV/0!</v>
      </c>
      <c r="BN521" s="42"/>
      <c r="BO521" s="39"/>
      <c r="BP521" s="39"/>
      <c r="BQ521" s="39"/>
      <c r="BR521" s="39"/>
      <c r="BS521" s="39"/>
      <c r="BT521" s="39"/>
      <c r="BU521" s="39"/>
      <c r="BV521" s="39"/>
      <c r="BW521" s="39"/>
      <c r="BX521" s="39"/>
      <c r="BY521" s="39"/>
      <c r="BZ521" s="39">
        <f t="shared" ref="BZ521:BZ645" si="372">BU521+BW521+BY521</f>
        <v>0</v>
      </c>
      <c r="CA521" s="39">
        <f t="shared" ref="CA521:CA912" si="373">BU521-I521</f>
        <v>0</v>
      </c>
      <c r="CB521" s="39">
        <f t="shared" ref="CB521:CB912" si="374">BW521-J521</f>
        <v>0</v>
      </c>
      <c r="CC521" s="39">
        <f t="shared" ref="CC521:CC912" si="375">BY521-K521</f>
        <v>0</v>
      </c>
      <c r="CD521" s="39">
        <f t="shared" ref="CD521:CD912" si="376">SUMIF(CA521:CC521,"&lt;0")</f>
        <v>0</v>
      </c>
      <c r="CE521" s="47" t="e">
        <f t="shared" ref="CE521:CE912" si="377">CD521/L521</f>
        <v>#DIV/0!</v>
      </c>
      <c r="CF521" s="36"/>
      <c r="CG521" s="39"/>
      <c r="CH521" s="39"/>
      <c r="CI521" s="25">
        <v>1</v>
      </c>
    </row>
    <row r="522" spans="1:87" ht="24.75" customHeight="1">
      <c r="A522" s="36" t="s">
        <v>387</v>
      </c>
      <c r="B522" s="27"/>
      <c r="C522" s="36"/>
      <c r="D522" s="36"/>
      <c r="E522" s="39"/>
      <c r="F522" s="39"/>
      <c r="G522" s="36"/>
      <c r="H522" s="39"/>
      <c r="I522" s="39"/>
      <c r="J522" s="39"/>
      <c r="K522" s="39"/>
      <c r="L522" s="39">
        <f t="shared" si="193"/>
        <v>0</v>
      </c>
      <c r="M522" s="39"/>
      <c r="N522" s="39"/>
      <c r="O522" s="39"/>
      <c r="P522" s="39"/>
      <c r="Q522" s="39"/>
      <c r="R522" s="39">
        <f t="shared" si="194"/>
        <v>0</v>
      </c>
      <c r="S522" s="39"/>
      <c r="T522" s="39"/>
      <c r="U522" s="39"/>
      <c r="V522" s="39"/>
      <c r="W522" s="39"/>
      <c r="X522" s="39"/>
      <c r="Y522" s="39"/>
      <c r="Z522" s="39"/>
      <c r="AA522" s="39"/>
      <c r="AB522" s="39">
        <f t="shared" si="195"/>
        <v>0</v>
      </c>
      <c r="AC522" s="39"/>
      <c r="AD522" s="39"/>
      <c r="AE522" s="39"/>
      <c r="AF522" s="39"/>
      <c r="AG522" s="39"/>
      <c r="AH522" s="39">
        <f t="shared" si="366"/>
        <v>0</v>
      </c>
      <c r="AI522" s="39"/>
      <c r="AJ522" s="39"/>
      <c r="AK522" s="39"/>
      <c r="AL522" s="39"/>
      <c r="AM522" s="39"/>
      <c r="AN522" s="39">
        <f t="shared" si="196"/>
        <v>0</v>
      </c>
      <c r="AO522" s="39"/>
      <c r="AP522" s="39"/>
      <c r="AQ522" s="39"/>
      <c r="AR522" s="39"/>
      <c r="AS522" s="39"/>
      <c r="AT522" s="39">
        <f t="shared" si="367"/>
        <v>0</v>
      </c>
      <c r="AU522" s="39"/>
      <c r="AV522" s="39"/>
      <c r="AW522" s="39"/>
      <c r="AX522" s="39"/>
      <c r="AY522" s="39"/>
      <c r="AZ522" s="39">
        <f t="shared" si="368"/>
        <v>0</v>
      </c>
      <c r="BA522" s="39"/>
      <c r="BB522" s="39"/>
      <c r="BC522" s="39"/>
      <c r="BD522" s="39"/>
      <c r="BE522" s="39"/>
      <c r="BF522" s="39">
        <f t="shared" si="369"/>
        <v>0</v>
      </c>
      <c r="BG522" s="39"/>
      <c r="BH522" s="39"/>
      <c r="BI522" s="39"/>
      <c r="BJ522" s="39"/>
      <c r="BK522" s="39"/>
      <c r="BL522" s="39">
        <f t="shared" si="370"/>
        <v>0</v>
      </c>
      <c r="BM522" s="54" t="e">
        <f t="shared" si="371"/>
        <v>#DIV/0!</v>
      </c>
      <c r="BN522" s="42"/>
      <c r="BO522" s="39"/>
      <c r="BP522" s="39"/>
      <c r="BQ522" s="39"/>
      <c r="BR522" s="39"/>
      <c r="BS522" s="39"/>
      <c r="BT522" s="39"/>
      <c r="BU522" s="39"/>
      <c r="BV522" s="39"/>
      <c r="BW522" s="39"/>
      <c r="BX522" s="39"/>
      <c r="BY522" s="39"/>
      <c r="BZ522" s="39">
        <f t="shared" si="372"/>
        <v>0</v>
      </c>
      <c r="CA522" s="39">
        <f t="shared" si="373"/>
        <v>0</v>
      </c>
      <c r="CB522" s="39">
        <f t="shared" si="374"/>
        <v>0</v>
      </c>
      <c r="CC522" s="39">
        <f t="shared" si="375"/>
        <v>0</v>
      </c>
      <c r="CD522" s="39">
        <f t="shared" si="376"/>
        <v>0</v>
      </c>
      <c r="CE522" s="47" t="e">
        <f t="shared" si="377"/>
        <v>#DIV/0!</v>
      </c>
      <c r="CF522" s="36"/>
      <c r="CG522" s="39"/>
      <c r="CH522" s="39"/>
      <c r="CI522" s="25">
        <v>1</v>
      </c>
    </row>
    <row r="523" spans="1:87" ht="24.75" customHeight="1">
      <c r="A523" s="36" t="s">
        <v>387</v>
      </c>
      <c r="B523" s="27"/>
      <c r="C523" s="36"/>
      <c r="D523" s="36"/>
      <c r="E523" s="39"/>
      <c r="F523" s="39"/>
      <c r="G523" s="36"/>
      <c r="H523" s="39"/>
      <c r="I523" s="39"/>
      <c r="J523" s="39"/>
      <c r="K523" s="39"/>
      <c r="L523" s="39">
        <f t="shared" si="193"/>
        <v>0</v>
      </c>
      <c r="M523" s="39"/>
      <c r="N523" s="39"/>
      <c r="O523" s="39"/>
      <c r="P523" s="39"/>
      <c r="Q523" s="39"/>
      <c r="R523" s="39">
        <f t="shared" si="194"/>
        <v>0</v>
      </c>
      <c r="S523" s="39"/>
      <c r="T523" s="39"/>
      <c r="U523" s="39"/>
      <c r="V523" s="39"/>
      <c r="W523" s="39"/>
      <c r="X523" s="39"/>
      <c r="Y523" s="39"/>
      <c r="Z523" s="39"/>
      <c r="AA523" s="39"/>
      <c r="AB523" s="39">
        <f t="shared" si="195"/>
        <v>0</v>
      </c>
      <c r="AC523" s="39"/>
      <c r="AD523" s="39"/>
      <c r="AE523" s="39"/>
      <c r="AF523" s="39"/>
      <c r="AG523" s="39"/>
      <c r="AH523" s="39">
        <f t="shared" si="366"/>
        <v>0</v>
      </c>
      <c r="AI523" s="39"/>
      <c r="AJ523" s="39"/>
      <c r="AK523" s="39"/>
      <c r="AL523" s="39"/>
      <c r="AM523" s="39"/>
      <c r="AN523" s="39">
        <f t="shared" si="196"/>
        <v>0</v>
      </c>
      <c r="AO523" s="39"/>
      <c r="AP523" s="39"/>
      <c r="AQ523" s="39"/>
      <c r="AR523" s="39"/>
      <c r="AS523" s="39"/>
      <c r="AT523" s="39">
        <f t="shared" si="367"/>
        <v>0</v>
      </c>
      <c r="AU523" s="39"/>
      <c r="AV523" s="39"/>
      <c r="AW523" s="39"/>
      <c r="AX523" s="39"/>
      <c r="AY523" s="39"/>
      <c r="AZ523" s="39">
        <f t="shared" si="368"/>
        <v>0</v>
      </c>
      <c r="BA523" s="39"/>
      <c r="BB523" s="39"/>
      <c r="BC523" s="39"/>
      <c r="BD523" s="39"/>
      <c r="BE523" s="39"/>
      <c r="BF523" s="39">
        <f t="shared" si="369"/>
        <v>0</v>
      </c>
      <c r="BG523" s="39"/>
      <c r="BH523" s="39"/>
      <c r="BI523" s="39"/>
      <c r="BJ523" s="39"/>
      <c r="BK523" s="39"/>
      <c r="BL523" s="39">
        <f t="shared" si="370"/>
        <v>0</v>
      </c>
      <c r="BM523" s="54" t="e">
        <f t="shared" si="371"/>
        <v>#DIV/0!</v>
      </c>
      <c r="BN523" s="42"/>
      <c r="BO523" s="39"/>
      <c r="BP523" s="39"/>
      <c r="BQ523" s="39"/>
      <c r="BR523" s="39"/>
      <c r="BS523" s="39"/>
      <c r="BT523" s="39"/>
      <c r="BU523" s="39"/>
      <c r="BV523" s="39"/>
      <c r="BW523" s="39"/>
      <c r="BX523" s="39"/>
      <c r="BY523" s="39"/>
      <c r="BZ523" s="39">
        <f t="shared" si="372"/>
        <v>0</v>
      </c>
      <c r="CA523" s="39">
        <f t="shared" si="373"/>
        <v>0</v>
      </c>
      <c r="CB523" s="39">
        <f t="shared" si="374"/>
        <v>0</v>
      </c>
      <c r="CC523" s="39">
        <f t="shared" si="375"/>
        <v>0</v>
      </c>
      <c r="CD523" s="39">
        <f t="shared" si="376"/>
        <v>0</v>
      </c>
      <c r="CE523" s="47" t="e">
        <f t="shared" si="377"/>
        <v>#DIV/0!</v>
      </c>
      <c r="CF523" s="36"/>
      <c r="CG523" s="39"/>
      <c r="CH523" s="39"/>
      <c r="CI523" s="25">
        <v>1</v>
      </c>
    </row>
    <row r="524" spans="1:87" ht="24.75" customHeight="1">
      <c r="A524" s="36" t="s">
        <v>387</v>
      </c>
      <c r="B524" s="27"/>
      <c r="C524" s="36"/>
      <c r="D524" s="36"/>
      <c r="E524" s="39"/>
      <c r="F524" s="39"/>
      <c r="G524" s="36"/>
      <c r="H524" s="39"/>
      <c r="I524" s="39"/>
      <c r="J524" s="39"/>
      <c r="K524" s="39"/>
      <c r="L524" s="39">
        <f t="shared" si="193"/>
        <v>0</v>
      </c>
      <c r="M524" s="39"/>
      <c r="N524" s="39"/>
      <c r="O524" s="39"/>
      <c r="P524" s="39"/>
      <c r="Q524" s="39"/>
      <c r="R524" s="39">
        <f t="shared" si="194"/>
        <v>0</v>
      </c>
      <c r="S524" s="39"/>
      <c r="T524" s="39"/>
      <c r="U524" s="39"/>
      <c r="V524" s="39"/>
      <c r="W524" s="39"/>
      <c r="X524" s="39"/>
      <c r="Y524" s="39"/>
      <c r="Z524" s="39"/>
      <c r="AA524" s="39"/>
      <c r="AB524" s="39">
        <f t="shared" si="195"/>
        <v>0</v>
      </c>
      <c r="AC524" s="39"/>
      <c r="AD524" s="39"/>
      <c r="AE524" s="39"/>
      <c r="AF524" s="39"/>
      <c r="AG524" s="39"/>
      <c r="AH524" s="39">
        <f t="shared" si="366"/>
        <v>0</v>
      </c>
      <c r="AI524" s="39"/>
      <c r="AJ524" s="39"/>
      <c r="AK524" s="39"/>
      <c r="AL524" s="39"/>
      <c r="AM524" s="39"/>
      <c r="AN524" s="39">
        <f t="shared" si="196"/>
        <v>0</v>
      </c>
      <c r="AO524" s="39"/>
      <c r="AP524" s="39"/>
      <c r="AQ524" s="39"/>
      <c r="AR524" s="39"/>
      <c r="AS524" s="39"/>
      <c r="AT524" s="39">
        <f t="shared" si="367"/>
        <v>0</v>
      </c>
      <c r="AU524" s="39"/>
      <c r="AV524" s="39"/>
      <c r="AW524" s="39"/>
      <c r="AX524" s="39"/>
      <c r="AY524" s="39"/>
      <c r="AZ524" s="39">
        <f t="shared" si="368"/>
        <v>0</v>
      </c>
      <c r="BA524" s="39"/>
      <c r="BB524" s="39"/>
      <c r="BC524" s="39"/>
      <c r="BD524" s="39"/>
      <c r="BE524" s="39"/>
      <c r="BF524" s="39">
        <f t="shared" si="369"/>
        <v>0</v>
      </c>
      <c r="BG524" s="39"/>
      <c r="BH524" s="39"/>
      <c r="BI524" s="39"/>
      <c r="BJ524" s="39"/>
      <c r="BK524" s="39"/>
      <c r="BL524" s="39">
        <f t="shared" si="370"/>
        <v>0</v>
      </c>
      <c r="BM524" s="54" t="e">
        <f t="shared" si="371"/>
        <v>#DIV/0!</v>
      </c>
      <c r="BN524" s="42"/>
      <c r="BO524" s="39"/>
      <c r="BP524" s="39"/>
      <c r="BQ524" s="39"/>
      <c r="BR524" s="39"/>
      <c r="BS524" s="39"/>
      <c r="BT524" s="39"/>
      <c r="BU524" s="39"/>
      <c r="BV524" s="39"/>
      <c r="BW524" s="39"/>
      <c r="BX524" s="39"/>
      <c r="BY524" s="39"/>
      <c r="BZ524" s="39">
        <f t="shared" si="372"/>
        <v>0</v>
      </c>
      <c r="CA524" s="39">
        <f t="shared" si="373"/>
        <v>0</v>
      </c>
      <c r="CB524" s="39">
        <f t="shared" si="374"/>
        <v>0</v>
      </c>
      <c r="CC524" s="39">
        <f t="shared" si="375"/>
        <v>0</v>
      </c>
      <c r="CD524" s="39">
        <f t="shared" si="376"/>
        <v>0</v>
      </c>
      <c r="CE524" s="47" t="e">
        <f t="shared" si="377"/>
        <v>#DIV/0!</v>
      </c>
      <c r="CF524" s="36"/>
      <c r="CG524" s="39"/>
      <c r="CH524" s="39"/>
      <c r="CI524" s="25">
        <v>1</v>
      </c>
    </row>
    <row r="525" spans="1:87" ht="24.75" customHeight="1">
      <c r="A525" s="36" t="s">
        <v>387</v>
      </c>
      <c r="B525" s="27"/>
      <c r="C525" s="36"/>
      <c r="D525" s="36"/>
      <c r="E525" s="39"/>
      <c r="F525" s="39"/>
      <c r="G525" s="36"/>
      <c r="H525" s="39"/>
      <c r="I525" s="39"/>
      <c r="J525" s="39"/>
      <c r="K525" s="39"/>
      <c r="L525" s="39">
        <f t="shared" si="193"/>
        <v>0</v>
      </c>
      <c r="M525" s="39"/>
      <c r="N525" s="39"/>
      <c r="O525" s="39"/>
      <c r="P525" s="39"/>
      <c r="Q525" s="39"/>
      <c r="R525" s="39">
        <f t="shared" si="194"/>
        <v>0</v>
      </c>
      <c r="S525" s="39"/>
      <c r="T525" s="39"/>
      <c r="U525" s="39"/>
      <c r="V525" s="39"/>
      <c r="W525" s="39"/>
      <c r="X525" s="39"/>
      <c r="Y525" s="39"/>
      <c r="Z525" s="39"/>
      <c r="AA525" s="39"/>
      <c r="AB525" s="39">
        <f t="shared" si="195"/>
        <v>0</v>
      </c>
      <c r="AC525" s="39"/>
      <c r="AD525" s="39"/>
      <c r="AE525" s="39"/>
      <c r="AF525" s="39"/>
      <c r="AG525" s="39"/>
      <c r="AH525" s="39">
        <f t="shared" si="366"/>
        <v>0</v>
      </c>
      <c r="AI525" s="39"/>
      <c r="AJ525" s="39"/>
      <c r="AK525" s="39"/>
      <c r="AL525" s="39"/>
      <c r="AM525" s="39"/>
      <c r="AN525" s="39">
        <f t="shared" si="196"/>
        <v>0</v>
      </c>
      <c r="AO525" s="39"/>
      <c r="AP525" s="39"/>
      <c r="AQ525" s="39"/>
      <c r="AR525" s="39"/>
      <c r="AS525" s="39"/>
      <c r="AT525" s="39">
        <f t="shared" si="367"/>
        <v>0</v>
      </c>
      <c r="AU525" s="39"/>
      <c r="AV525" s="39"/>
      <c r="AW525" s="39"/>
      <c r="AX525" s="39"/>
      <c r="AY525" s="39"/>
      <c r="AZ525" s="39">
        <f t="shared" si="368"/>
        <v>0</v>
      </c>
      <c r="BA525" s="39"/>
      <c r="BB525" s="39"/>
      <c r="BC525" s="39"/>
      <c r="BD525" s="39"/>
      <c r="BE525" s="39"/>
      <c r="BF525" s="39">
        <f t="shared" si="369"/>
        <v>0</v>
      </c>
      <c r="BG525" s="39"/>
      <c r="BH525" s="39"/>
      <c r="BI525" s="39"/>
      <c r="BJ525" s="39"/>
      <c r="BK525" s="39"/>
      <c r="BL525" s="39">
        <f t="shared" si="370"/>
        <v>0</v>
      </c>
      <c r="BM525" s="54" t="e">
        <f t="shared" si="371"/>
        <v>#DIV/0!</v>
      </c>
      <c r="BN525" s="42"/>
      <c r="BO525" s="39"/>
      <c r="BP525" s="39"/>
      <c r="BQ525" s="39"/>
      <c r="BR525" s="39"/>
      <c r="BS525" s="39"/>
      <c r="BT525" s="39"/>
      <c r="BU525" s="39"/>
      <c r="BV525" s="39"/>
      <c r="BW525" s="39"/>
      <c r="BX525" s="39"/>
      <c r="BY525" s="39"/>
      <c r="BZ525" s="39">
        <f t="shared" si="372"/>
        <v>0</v>
      </c>
      <c r="CA525" s="39">
        <f t="shared" si="373"/>
        <v>0</v>
      </c>
      <c r="CB525" s="39">
        <f t="shared" si="374"/>
        <v>0</v>
      </c>
      <c r="CC525" s="39">
        <f t="shared" si="375"/>
        <v>0</v>
      </c>
      <c r="CD525" s="39">
        <f t="shared" si="376"/>
        <v>0</v>
      </c>
      <c r="CE525" s="47" t="e">
        <f t="shared" si="377"/>
        <v>#DIV/0!</v>
      </c>
      <c r="CF525" s="36"/>
      <c r="CG525" s="39"/>
      <c r="CH525" s="39"/>
      <c r="CI525" s="25">
        <v>1</v>
      </c>
    </row>
    <row r="526" spans="1:87" ht="24.75" customHeight="1">
      <c r="A526" s="36" t="s">
        <v>387</v>
      </c>
      <c r="B526" s="27"/>
      <c r="C526" s="36"/>
      <c r="D526" s="36"/>
      <c r="E526" s="39"/>
      <c r="F526" s="39"/>
      <c r="G526" s="36"/>
      <c r="H526" s="39"/>
      <c r="I526" s="39"/>
      <c r="J526" s="39"/>
      <c r="K526" s="39"/>
      <c r="L526" s="39">
        <f t="shared" si="193"/>
        <v>0</v>
      </c>
      <c r="M526" s="39"/>
      <c r="N526" s="39"/>
      <c r="O526" s="39"/>
      <c r="P526" s="39"/>
      <c r="Q526" s="39"/>
      <c r="R526" s="39">
        <f t="shared" si="194"/>
        <v>0</v>
      </c>
      <c r="S526" s="39"/>
      <c r="T526" s="39"/>
      <c r="U526" s="39"/>
      <c r="V526" s="39"/>
      <c r="W526" s="39"/>
      <c r="X526" s="39"/>
      <c r="Y526" s="39"/>
      <c r="Z526" s="39"/>
      <c r="AA526" s="39"/>
      <c r="AB526" s="39">
        <f t="shared" si="195"/>
        <v>0</v>
      </c>
      <c r="AC526" s="39"/>
      <c r="AD526" s="39"/>
      <c r="AE526" s="39"/>
      <c r="AF526" s="39"/>
      <c r="AG526" s="39"/>
      <c r="AH526" s="39">
        <f t="shared" si="366"/>
        <v>0</v>
      </c>
      <c r="AI526" s="39"/>
      <c r="AJ526" s="39"/>
      <c r="AK526" s="39"/>
      <c r="AL526" s="39"/>
      <c r="AM526" s="39"/>
      <c r="AN526" s="39">
        <f t="shared" si="196"/>
        <v>0</v>
      </c>
      <c r="AO526" s="39"/>
      <c r="AP526" s="39"/>
      <c r="AQ526" s="39"/>
      <c r="AR526" s="39"/>
      <c r="AS526" s="39"/>
      <c r="AT526" s="39">
        <f t="shared" si="367"/>
        <v>0</v>
      </c>
      <c r="AU526" s="39"/>
      <c r="AV526" s="39"/>
      <c r="AW526" s="39"/>
      <c r="AX526" s="39"/>
      <c r="AY526" s="39"/>
      <c r="AZ526" s="39">
        <f t="shared" si="368"/>
        <v>0</v>
      </c>
      <c r="BA526" s="39"/>
      <c r="BB526" s="39"/>
      <c r="BC526" s="39"/>
      <c r="BD526" s="39"/>
      <c r="BE526" s="39"/>
      <c r="BF526" s="39">
        <f t="shared" si="369"/>
        <v>0</v>
      </c>
      <c r="BG526" s="39"/>
      <c r="BH526" s="39"/>
      <c r="BI526" s="39"/>
      <c r="BJ526" s="39"/>
      <c r="BK526" s="39"/>
      <c r="BL526" s="39">
        <f t="shared" si="370"/>
        <v>0</v>
      </c>
      <c r="BM526" s="54" t="e">
        <f t="shared" si="371"/>
        <v>#DIV/0!</v>
      </c>
      <c r="BN526" s="42"/>
      <c r="BO526" s="39"/>
      <c r="BP526" s="39"/>
      <c r="BQ526" s="39"/>
      <c r="BR526" s="39"/>
      <c r="BS526" s="39"/>
      <c r="BT526" s="39"/>
      <c r="BU526" s="39"/>
      <c r="BV526" s="39"/>
      <c r="BW526" s="39"/>
      <c r="BX526" s="39"/>
      <c r="BY526" s="39"/>
      <c r="BZ526" s="39">
        <f t="shared" si="372"/>
        <v>0</v>
      </c>
      <c r="CA526" s="39">
        <f t="shared" si="373"/>
        <v>0</v>
      </c>
      <c r="CB526" s="39">
        <f t="shared" si="374"/>
        <v>0</v>
      </c>
      <c r="CC526" s="39">
        <f t="shared" si="375"/>
        <v>0</v>
      </c>
      <c r="CD526" s="39">
        <f t="shared" si="376"/>
        <v>0</v>
      </c>
      <c r="CE526" s="47" t="e">
        <f t="shared" si="377"/>
        <v>#DIV/0!</v>
      </c>
      <c r="CF526" s="36"/>
      <c r="CG526" s="39"/>
      <c r="CH526" s="39"/>
      <c r="CI526" s="25">
        <v>1</v>
      </c>
    </row>
    <row r="527" spans="1:87" ht="24.75" customHeight="1">
      <c r="A527" s="36" t="s">
        <v>387</v>
      </c>
      <c r="B527" s="27"/>
      <c r="C527" s="36"/>
      <c r="D527" s="36"/>
      <c r="E527" s="39"/>
      <c r="F527" s="39"/>
      <c r="G527" s="36"/>
      <c r="H527" s="39"/>
      <c r="I527" s="39"/>
      <c r="J527" s="39"/>
      <c r="K527" s="39"/>
      <c r="L527" s="39">
        <f t="shared" si="193"/>
        <v>0</v>
      </c>
      <c r="M527" s="39"/>
      <c r="N527" s="39"/>
      <c r="O527" s="39"/>
      <c r="P527" s="39"/>
      <c r="Q527" s="39"/>
      <c r="R527" s="39">
        <f t="shared" si="194"/>
        <v>0</v>
      </c>
      <c r="S527" s="39"/>
      <c r="T527" s="39"/>
      <c r="U527" s="39"/>
      <c r="V527" s="39"/>
      <c r="W527" s="39"/>
      <c r="X527" s="39"/>
      <c r="Y527" s="39"/>
      <c r="Z527" s="39"/>
      <c r="AA527" s="39"/>
      <c r="AB527" s="39">
        <f t="shared" si="195"/>
        <v>0</v>
      </c>
      <c r="AC527" s="39"/>
      <c r="AD527" s="39"/>
      <c r="AE527" s="39"/>
      <c r="AF527" s="39"/>
      <c r="AG527" s="39"/>
      <c r="AH527" s="39">
        <f t="shared" si="366"/>
        <v>0</v>
      </c>
      <c r="AI527" s="39"/>
      <c r="AJ527" s="39"/>
      <c r="AK527" s="39"/>
      <c r="AL527" s="39"/>
      <c r="AM527" s="39"/>
      <c r="AN527" s="39">
        <f t="shared" si="196"/>
        <v>0</v>
      </c>
      <c r="AO527" s="39"/>
      <c r="AP527" s="39"/>
      <c r="AQ527" s="39"/>
      <c r="AR527" s="39"/>
      <c r="AS527" s="39"/>
      <c r="AT527" s="39">
        <f t="shared" si="367"/>
        <v>0</v>
      </c>
      <c r="AU527" s="39"/>
      <c r="AV527" s="39"/>
      <c r="AW527" s="39"/>
      <c r="AX527" s="39"/>
      <c r="AY527" s="39"/>
      <c r="AZ527" s="39">
        <f t="shared" si="368"/>
        <v>0</v>
      </c>
      <c r="BA527" s="39"/>
      <c r="BB527" s="39"/>
      <c r="BC527" s="39"/>
      <c r="BD527" s="39"/>
      <c r="BE527" s="39"/>
      <c r="BF527" s="39">
        <f t="shared" si="369"/>
        <v>0</v>
      </c>
      <c r="BG527" s="39"/>
      <c r="BH527" s="39"/>
      <c r="BI527" s="39"/>
      <c r="BJ527" s="39"/>
      <c r="BK527" s="39"/>
      <c r="BL527" s="39">
        <f t="shared" si="370"/>
        <v>0</v>
      </c>
      <c r="BM527" s="54" t="e">
        <f t="shared" si="371"/>
        <v>#DIV/0!</v>
      </c>
      <c r="BN527" s="42"/>
      <c r="BO527" s="39"/>
      <c r="BP527" s="39"/>
      <c r="BQ527" s="39"/>
      <c r="BR527" s="39"/>
      <c r="BS527" s="39"/>
      <c r="BT527" s="39"/>
      <c r="BU527" s="39"/>
      <c r="BV527" s="39"/>
      <c r="BW527" s="39"/>
      <c r="BX527" s="39"/>
      <c r="BY527" s="39"/>
      <c r="BZ527" s="39">
        <f t="shared" si="372"/>
        <v>0</v>
      </c>
      <c r="CA527" s="39">
        <f t="shared" si="373"/>
        <v>0</v>
      </c>
      <c r="CB527" s="39">
        <f t="shared" si="374"/>
        <v>0</v>
      </c>
      <c r="CC527" s="39">
        <f t="shared" si="375"/>
        <v>0</v>
      </c>
      <c r="CD527" s="39">
        <f t="shared" si="376"/>
        <v>0</v>
      </c>
      <c r="CE527" s="47" t="e">
        <f t="shared" si="377"/>
        <v>#DIV/0!</v>
      </c>
      <c r="CF527" s="36"/>
      <c r="CG527" s="39"/>
      <c r="CH527" s="39"/>
      <c r="CI527" s="25">
        <v>1</v>
      </c>
    </row>
    <row r="528" spans="1:87" ht="24.75" customHeight="1">
      <c r="A528" s="36" t="s">
        <v>387</v>
      </c>
      <c r="B528" s="27"/>
      <c r="C528" s="41"/>
      <c r="D528" s="36"/>
      <c r="E528" s="39"/>
      <c r="F528" s="39"/>
      <c r="G528" s="36"/>
      <c r="H528" s="39"/>
      <c r="I528" s="39"/>
      <c r="J528" s="39"/>
      <c r="K528" s="39"/>
      <c r="L528" s="39">
        <f t="shared" si="193"/>
        <v>0</v>
      </c>
      <c r="M528" s="39"/>
      <c r="N528" s="39"/>
      <c r="O528" s="39"/>
      <c r="P528" s="39"/>
      <c r="Q528" s="39"/>
      <c r="R528" s="39">
        <f t="shared" si="194"/>
        <v>0</v>
      </c>
      <c r="S528" s="39"/>
      <c r="T528" s="39"/>
      <c r="U528" s="39"/>
      <c r="V528" s="39"/>
      <c r="W528" s="39"/>
      <c r="X528" s="39"/>
      <c r="Y528" s="39"/>
      <c r="Z528" s="39"/>
      <c r="AA528" s="39"/>
      <c r="AB528" s="39">
        <f t="shared" si="195"/>
        <v>0</v>
      </c>
      <c r="AC528" s="39"/>
      <c r="AD528" s="39"/>
      <c r="AE528" s="39"/>
      <c r="AF528" s="39"/>
      <c r="AG528" s="39"/>
      <c r="AH528" s="39">
        <f t="shared" si="366"/>
        <v>0</v>
      </c>
      <c r="AI528" s="39"/>
      <c r="AJ528" s="39"/>
      <c r="AK528" s="39"/>
      <c r="AL528" s="39"/>
      <c r="AM528" s="39"/>
      <c r="AN528" s="39">
        <f t="shared" si="196"/>
        <v>0</v>
      </c>
      <c r="AO528" s="39"/>
      <c r="AP528" s="39"/>
      <c r="AQ528" s="39"/>
      <c r="AR528" s="39"/>
      <c r="AS528" s="39"/>
      <c r="AT528" s="39">
        <f t="shared" si="367"/>
        <v>0</v>
      </c>
      <c r="AU528" s="39"/>
      <c r="AV528" s="39"/>
      <c r="AW528" s="39"/>
      <c r="AX528" s="39"/>
      <c r="AY528" s="39"/>
      <c r="AZ528" s="39">
        <f t="shared" si="368"/>
        <v>0</v>
      </c>
      <c r="BA528" s="39"/>
      <c r="BB528" s="39"/>
      <c r="BC528" s="39"/>
      <c r="BD528" s="39"/>
      <c r="BE528" s="39"/>
      <c r="BF528" s="39">
        <f t="shared" si="369"/>
        <v>0</v>
      </c>
      <c r="BG528" s="39"/>
      <c r="BH528" s="39"/>
      <c r="BI528" s="39"/>
      <c r="BJ528" s="39"/>
      <c r="BK528" s="39"/>
      <c r="BL528" s="39">
        <f t="shared" si="370"/>
        <v>0</v>
      </c>
      <c r="BM528" s="54" t="e">
        <f t="shared" si="371"/>
        <v>#DIV/0!</v>
      </c>
      <c r="BN528" s="64"/>
      <c r="BO528" s="36"/>
      <c r="BP528" s="36"/>
      <c r="BQ528" s="36"/>
      <c r="BR528" s="39"/>
      <c r="BS528" s="39"/>
      <c r="BT528" s="39"/>
      <c r="BU528" s="39"/>
      <c r="BV528" s="39"/>
      <c r="BW528" s="39"/>
      <c r="BX528" s="39"/>
      <c r="BY528" s="39"/>
      <c r="BZ528" s="39">
        <f t="shared" si="372"/>
        <v>0</v>
      </c>
      <c r="CA528" s="39">
        <f t="shared" si="373"/>
        <v>0</v>
      </c>
      <c r="CB528" s="39">
        <f t="shared" si="374"/>
        <v>0</v>
      </c>
      <c r="CC528" s="39">
        <f t="shared" si="375"/>
        <v>0</v>
      </c>
      <c r="CD528" s="39">
        <f t="shared" si="376"/>
        <v>0</v>
      </c>
      <c r="CE528" s="47" t="e">
        <f t="shared" si="377"/>
        <v>#DIV/0!</v>
      </c>
      <c r="CF528" s="36"/>
      <c r="CG528" s="39"/>
      <c r="CH528" s="39"/>
      <c r="CI528" s="25">
        <v>1</v>
      </c>
    </row>
    <row r="529" spans="1:87" ht="24.75" customHeight="1">
      <c r="A529" s="36" t="s">
        <v>387</v>
      </c>
      <c r="B529" s="27"/>
      <c r="C529" s="41"/>
      <c r="D529" s="36"/>
      <c r="E529" s="39"/>
      <c r="F529" s="39"/>
      <c r="G529" s="36"/>
      <c r="H529" s="39"/>
      <c r="I529" s="39"/>
      <c r="J529" s="39"/>
      <c r="K529" s="39"/>
      <c r="L529" s="39">
        <f t="shared" si="193"/>
        <v>0</v>
      </c>
      <c r="M529" s="39"/>
      <c r="N529" s="39"/>
      <c r="O529" s="39"/>
      <c r="P529" s="39"/>
      <c r="Q529" s="39"/>
      <c r="R529" s="39">
        <f t="shared" si="194"/>
        <v>0</v>
      </c>
      <c r="S529" s="39"/>
      <c r="T529" s="39"/>
      <c r="U529" s="39"/>
      <c r="V529" s="39"/>
      <c r="W529" s="39"/>
      <c r="X529" s="39"/>
      <c r="Y529" s="39"/>
      <c r="Z529" s="39"/>
      <c r="AA529" s="39"/>
      <c r="AB529" s="39">
        <f t="shared" si="195"/>
        <v>0</v>
      </c>
      <c r="AC529" s="39"/>
      <c r="AD529" s="39"/>
      <c r="AE529" s="39"/>
      <c r="AF529" s="39"/>
      <c r="AG529" s="39"/>
      <c r="AH529" s="39">
        <f t="shared" si="366"/>
        <v>0</v>
      </c>
      <c r="AI529" s="39"/>
      <c r="AJ529" s="39"/>
      <c r="AK529" s="39"/>
      <c r="AL529" s="39"/>
      <c r="AM529" s="39"/>
      <c r="AN529" s="39">
        <f t="shared" si="196"/>
        <v>0</v>
      </c>
      <c r="AO529" s="39"/>
      <c r="AP529" s="39"/>
      <c r="AQ529" s="39"/>
      <c r="AR529" s="39"/>
      <c r="AS529" s="39"/>
      <c r="AT529" s="39">
        <f t="shared" si="367"/>
        <v>0</v>
      </c>
      <c r="AU529" s="39"/>
      <c r="AV529" s="39"/>
      <c r="AW529" s="39"/>
      <c r="AX529" s="39"/>
      <c r="AY529" s="39"/>
      <c r="AZ529" s="39">
        <f t="shared" si="368"/>
        <v>0</v>
      </c>
      <c r="BA529" s="39"/>
      <c r="BB529" s="39"/>
      <c r="BC529" s="39"/>
      <c r="BD529" s="39"/>
      <c r="BE529" s="39"/>
      <c r="BF529" s="39">
        <f t="shared" si="369"/>
        <v>0</v>
      </c>
      <c r="BG529" s="39"/>
      <c r="BH529" s="39"/>
      <c r="BI529" s="39"/>
      <c r="BJ529" s="39"/>
      <c r="BK529" s="39"/>
      <c r="BL529" s="39">
        <f t="shared" si="370"/>
        <v>0</v>
      </c>
      <c r="BM529" s="54" t="e">
        <f t="shared" si="371"/>
        <v>#DIV/0!</v>
      </c>
      <c r="BN529" s="64"/>
      <c r="BO529" s="36"/>
      <c r="BP529" s="36"/>
      <c r="BQ529" s="36"/>
      <c r="BR529" s="39"/>
      <c r="BS529" s="39"/>
      <c r="BT529" s="39"/>
      <c r="BU529" s="39"/>
      <c r="BV529" s="39"/>
      <c r="BW529" s="39"/>
      <c r="BX529" s="39"/>
      <c r="BY529" s="39"/>
      <c r="BZ529" s="39">
        <f t="shared" si="372"/>
        <v>0</v>
      </c>
      <c r="CA529" s="39">
        <f t="shared" si="373"/>
        <v>0</v>
      </c>
      <c r="CB529" s="39">
        <f t="shared" si="374"/>
        <v>0</v>
      </c>
      <c r="CC529" s="39">
        <f t="shared" si="375"/>
        <v>0</v>
      </c>
      <c r="CD529" s="39">
        <f t="shared" si="376"/>
        <v>0</v>
      </c>
      <c r="CE529" s="47" t="e">
        <f t="shared" si="377"/>
        <v>#DIV/0!</v>
      </c>
      <c r="CF529" s="36"/>
      <c r="CG529" s="39"/>
      <c r="CH529" s="39"/>
      <c r="CI529" s="25">
        <v>1</v>
      </c>
    </row>
    <row r="530" spans="1:87" ht="24.75" customHeight="1">
      <c r="A530" s="36" t="s">
        <v>387</v>
      </c>
      <c r="B530" s="27"/>
      <c r="C530" s="41"/>
      <c r="D530" s="36"/>
      <c r="E530" s="39"/>
      <c r="F530" s="39"/>
      <c r="G530" s="36"/>
      <c r="H530" s="39"/>
      <c r="I530" s="39"/>
      <c r="J530" s="39"/>
      <c r="K530" s="39"/>
      <c r="L530" s="39">
        <f t="shared" si="193"/>
        <v>0</v>
      </c>
      <c r="M530" s="39"/>
      <c r="N530" s="39"/>
      <c r="O530" s="39"/>
      <c r="P530" s="39"/>
      <c r="Q530" s="39"/>
      <c r="R530" s="39">
        <f t="shared" si="194"/>
        <v>0</v>
      </c>
      <c r="S530" s="39"/>
      <c r="T530" s="39"/>
      <c r="U530" s="39"/>
      <c r="V530" s="39"/>
      <c r="W530" s="39"/>
      <c r="X530" s="39"/>
      <c r="Y530" s="39"/>
      <c r="Z530" s="39"/>
      <c r="AA530" s="39"/>
      <c r="AB530" s="39">
        <f t="shared" si="195"/>
        <v>0</v>
      </c>
      <c r="AC530" s="39"/>
      <c r="AD530" s="39"/>
      <c r="AE530" s="39"/>
      <c r="AF530" s="39"/>
      <c r="AG530" s="39"/>
      <c r="AH530" s="39">
        <f t="shared" si="366"/>
        <v>0</v>
      </c>
      <c r="AI530" s="39"/>
      <c r="AJ530" s="39"/>
      <c r="AK530" s="39"/>
      <c r="AL530" s="39"/>
      <c r="AM530" s="39"/>
      <c r="AN530" s="39">
        <f t="shared" si="196"/>
        <v>0</v>
      </c>
      <c r="AO530" s="39"/>
      <c r="AP530" s="39"/>
      <c r="AQ530" s="39"/>
      <c r="AR530" s="39"/>
      <c r="AS530" s="39"/>
      <c r="AT530" s="39">
        <f t="shared" si="367"/>
        <v>0</v>
      </c>
      <c r="AU530" s="39"/>
      <c r="AV530" s="39"/>
      <c r="AW530" s="39"/>
      <c r="AX530" s="39"/>
      <c r="AY530" s="39"/>
      <c r="AZ530" s="39">
        <f t="shared" si="368"/>
        <v>0</v>
      </c>
      <c r="BA530" s="39"/>
      <c r="BB530" s="39"/>
      <c r="BC530" s="39"/>
      <c r="BD530" s="39"/>
      <c r="BE530" s="39"/>
      <c r="BF530" s="39">
        <f t="shared" si="369"/>
        <v>0</v>
      </c>
      <c r="BG530" s="39"/>
      <c r="BH530" s="39"/>
      <c r="BI530" s="39"/>
      <c r="BJ530" s="39"/>
      <c r="BK530" s="39"/>
      <c r="BL530" s="39">
        <f t="shared" si="370"/>
        <v>0</v>
      </c>
      <c r="BM530" s="54" t="e">
        <f t="shared" si="371"/>
        <v>#DIV/0!</v>
      </c>
      <c r="BN530" s="64"/>
      <c r="BO530" s="36"/>
      <c r="BP530" s="36"/>
      <c r="BQ530" s="36"/>
      <c r="BR530" s="39"/>
      <c r="BS530" s="39"/>
      <c r="BT530" s="39"/>
      <c r="BU530" s="39"/>
      <c r="BV530" s="39"/>
      <c r="BW530" s="39"/>
      <c r="BX530" s="39"/>
      <c r="BY530" s="39"/>
      <c r="BZ530" s="39">
        <f t="shared" si="372"/>
        <v>0</v>
      </c>
      <c r="CA530" s="39">
        <f t="shared" si="373"/>
        <v>0</v>
      </c>
      <c r="CB530" s="39">
        <f t="shared" si="374"/>
        <v>0</v>
      </c>
      <c r="CC530" s="39">
        <f t="shared" si="375"/>
        <v>0</v>
      </c>
      <c r="CD530" s="39">
        <f t="shared" si="376"/>
        <v>0</v>
      </c>
      <c r="CE530" s="47" t="e">
        <f t="shared" si="377"/>
        <v>#DIV/0!</v>
      </c>
      <c r="CF530" s="36"/>
      <c r="CG530" s="39"/>
      <c r="CH530" s="39"/>
      <c r="CI530" s="25">
        <v>1</v>
      </c>
    </row>
    <row r="531" spans="1:87" ht="24.75" customHeight="1">
      <c r="A531" s="36" t="s">
        <v>387</v>
      </c>
      <c r="B531" s="27"/>
      <c r="C531" s="41"/>
      <c r="D531" s="36"/>
      <c r="E531" s="39"/>
      <c r="F531" s="39"/>
      <c r="G531" s="36"/>
      <c r="H531" s="39"/>
      <c r="I531" s="39"/>
      <c r="J531" s="39"/>
      <c r="K531" s="39"/>
      <c r="L531" s="39">
        <f t="shared" si="193"/>
        <v>0</v>
      </c>
      <c r="M531" s="39"/>
      <c r="N531" s="39"/>
      <c r="O531" s="39"/>
      <c r="P531" s="39"/>
      <c r="Q531" s="39"/>
      <c r="R531" s="39">
        <f t="shared" si="194"/>
        <v>0</v>
      </c>
      <c r="S531" s="39"/>
      <c r="T531" s="39"/>
      <c r="U531" s="39"/>
      <c r="V531" s="39"/>
      <c r="W531" s="39"/>
      <c r="X531" s="39"/>
      <c r="Y531" s="39"/>
      <c r="Z531" s="39"/>
      <c r="AA531" s="39"/>
      <c r="AB531" s="39">
        <f t="shared" si="195"/>
        <v>0</v>
      </c>
      <c r="AC531" s="39"/>
      <c r="AD531" s="39"/>
      <c r="AE531" s="39"/>
      <c r="AF531" s="39"/>
      <c r="AG531" s="39"/>
      <c r="AH531" s="39">
        <f t="shared" si="366"/>
        <v>0</v>
      </c>
      <c r="AI531" s="39"/>
      <c r="AJ531" s="39"/>
      <c r="AK531" s="39"/>
      <c r="AL531" s="39"/>
      <c r="AM531" s="39"/>
      <c r="AN531" s="39">
        <f t="shared" si="196"/>
        <v>0</v>
      </c>
      <c r="AO531" s="39"/>
      <c r="AP531" s="39"/>
      <c r="AQ531" s="39"/>
      <c r="AR531" s="39"/>
      <c r="AS531" s="39"/>
      <c r="AT531" s="39">
        <f t="shared" si="367"/>
        <v>0</v>
      </c>
      <c r="AU531" s="39"/>
      <c r="AV531" s="39"/>
      <c r="AW531" s="39"/>
      <c r="AX531" s="39"/>
      <c r="AY531" s="39"/>
      <c r="AZ531" s="39">
        <f t="shared" si="368"/>
        <v>0</v>
      </c>
      <c r="BA531" s="39"/>
      <c r="BB531" s="39"/>
      <c r="BC531" s="39"/>
      <c r="BD531" s="39"/>
      <c r="BE531" s="39"/>
      <c r="BF531" s="39">
        <f t="shared" si="369"/>
        <v>0</v>
      </c>
      <c r="BG531" s="39"/>
      <c r="BH531" s="39"/>
      <c r="BI531" s="39"/>
      <c r="BJ531" s="39"/>
      <c r="BK531" s="39"/>
      <c r="BL531" s="39">
        <f t="shared" si="370"/>
        <v>0</v>
      </c>
      <c r="BM531" s="54" t="e">
        <f t="shared" si="371"/>
        <v>#DIV/0!</v>
      </c>
      <c r="BN531" s="64"/>
      <c r="BO531" s="36"/>
      <c r="BP531" s="36"/>
      <c r="BQ531" s="36"/>
      <c r="BR531" s="39"/>
      <c r="BS531" s="39"/>
      <c r="BT531" s="39"/>
      <c r="BU531" s="39"/>
      <c r="BV531" s="39"/>
      <c r="BW531" s="39"/>
      <c r="BX531" s="39"/>
      <c r="BY531" s="39"/>
      <c r="BZ531" s="39">
        <f t="shared" si="372"/>
        <v>0</v>
      </c>
      <c r="CA531" s="39">
        <f t="shared" si="373"/>
        <v>0</v>
      </c>
      <c r="CB531" s="39">
        <f t="shared" si="374"/>
        <v>0</v>
      </c>
      <c r="CC531" s="39">
        <f t="shared" si="375"/>
        <v>0</v>
      </c>
      <c r="CD531" s="39">
        <f t="shared" si="376"/>
        <v>0</v>
      </c>
      <c r="CE531" s="47" t="e">
        <f t="shared" si="377"/>
        <v>#DIV/0!</v>
      </c>
      <c r="CF531" s="36"/>
      <c r="CG531" s="39"/>
      <c r="CH531" s="39"/>
      <c r="CI531" s="25">
        <v>1</v>
      </c>
    </row>
    <row r="532" spans="1:87" ht="24.75" customHeight="1">
      <c r="A532" s="36" t="s">
        <v>387</v>
      </c>
      <c r="B532" s="27"/>
      <c r="C532" s="41"/>
      <c r="D532" s="36"/>
      <c r="E532" s="39"/>
      <c r="F532" s="39"/>
      <c r="G532" s="36"/>
      <c r="H532" s="39"/>
      <c r="I532" s="39"/>
      <c r="J532" s="39"/>
      <c r="K532" s="39"/>
      <c r="L532" s="39">
        <f t="shared" si="193"/>
        <v>0</v>
      </c>
      <c r="M532" s="39"/>
      <c r="N532" s="39"/>
      <c r="O532" s="39"/>
      <c r="P532" s="39"/>
      <c r="Q532" s="39"/>
      <c r="R532" s="39">
        <f t="shared" si="194"/>
        <v>0</v>
      </c>
      <c r="S532" s="39"/>
      <c r="T532" s="39"/>
      <c r="U532" s="39"/>
      <c r="V532" s="39"/>
      <c r="W532" s="39"/>
      <c r="X532" s="39"/>
      <c r="Y532" s="39"/>
      <c r="Z532" s="39"/>
      <c r="AA532" s="39"/>
      <c r="AB532" s="39">
        <f t="shared" si="195"/>
        <v>0</v>
      </c>
      <c r="AC532" s="39"/>
      <c r="AD532" s="39"/>
      <c r="AE532" s="39"/>
      <c r="AF532" s="39"/>
      <c r="AG532" s="39"/>
      <c r="AH532" s="39">
        <f t="shared" si="366"/>
        <v>0</v>
      </c>
      <c r="AI532" s="39"/>
      <c r="AJ532" s="39"/>
      <c r="AK532" s="39"/>
      <c r="AL532" s="39"/>
      <c r="AM532" s="39"/>
      <c r="AN532" s="39">
        <f t="shared" si="196"/>
        <v>0</v>
      </c>
      <c r="AO532" s="39"/>
      <c r="AP532" s="39"/>
      <c r="AQ532" s="39"/>
      <c r="AR532" s="39"/>
      <c r="AS532" s="39"/>
      <c r="AT532" s="39">
        <f t="shared" si="367"/>
        <v>0</v>
      </c>
      <c r="AU532" s="39"/>
      <c r="AV532" s="39"/>
      <c r="AW532" s="39"/>
      <c r="AX532" s="39"/>
      <c r="AY532" s="39"/>
      <c r="AZ532" s="39">
        <f t="shared" si="368"/>
        <v>0</v>
      </c>
      <c r="BA532" s="39"/>
      <c r="BB532" s="39"/>
      <c r="BC532" s="39"/>
      <c r="BD532" s="39"/>
      <c r="BE532" s="39"/>
      <c r="BF532" s="39">
        <f t="shared" si="369"/>
        <v>0</v>
      </c>
      <c r="BG532" s="39"/>
      <c r="BH532" s="39"/>
      <c r="BI532" s="39"/>
      <c r="BJ532" s="39"/>
      <c r="BK532" s="39"/>
      <c r="BL532" s="39">
        <f t="shared" si="370"/>
        <v>0</v>
      </c>
      <c r="BM532" s="54" t="e">
        <f t="shared" si="371"/>
        <v>#DIV/0!</v>
      </c>
      <c r="BN532" s="64"/>
      <c r="BO532" s="36"/>
      <c r="BP532" s="36"/>
      <c r="BQ532" s="36"/>
      <c r="BR532" s="39"/>
      <c r="BS532" s="39"/>
      <c r="BT532" s="39"/>
      <c r="BU532" s="39"/>
      <c r="BV532" s="39"/>
      <c r="BW532" s="39"/>
      <c r="BX532" s="39"/>
      <c r="BY532" s="39"/>
      <c r="BZ532" s="39">
        <f t="shared" si="372"/>
        <v>0</v>
      </c>
      <c r="CA532" s="39">
        <f t="shared" si="373"/>
        <v>0</v>
      </c>
      <c r="CB532" s="39">
        <f t="shared" si="374"/>
        <v>0</v>
      </c>
      <c r="CC532" s="39">
        <f t="shared" si="375"/>
        <v>0</v>
      </c>
      <c r="CD532" s="39">
        <f t="shared" si="376"/>
        <v>0</v>
      </c>
      <c r="CE532" s="47" t="e">
        <f t="shared" si="377"/>
        <v>#DIV/0!</v>
      </c>
      <c r="CF532" s="36"/>
      <c r="CG532" s="39"/>
      <c r="CH532" s="39"/>
      <c r="CI532" s="25">
        <v>1</v>
      </c>
    </row>
    <row r="533" spans="1:87" ht="24.75" customHeight="1">
      <c r="A533" s="36" t="s">
        <v>387</v>
      </c>
      <c r="B533" s="27"/>
      <c r="C533" s="41"/>
      <c r="D533" s="36"/>
      <c r="E533" s="39"/>
      <c r="F533" s="39"/>
      <c r="G533" s="36"/>
      <c r="H533" s="39"/>
      <c r="I533" s="39"/>
      <c r="J533" s="39"/>
      <c r="K533" s="39"/>
      <c r="L533" s="39">
        <f t="shared" si="193"/>
        <v>0</v>
      </c>
      <c r="M533" s="39"/>
      <c r="N533" s="39"/>
      <c r="O533" s="39"/>
      <c r="P533" s="39"/>
      <c r="Q533" s="39"/>
      <c r="R533" s="39">
        <f t="shared" si="194"/>
        <v>0</v>
      </c>
      <c r="S533" s="39"/>
      <c r="T533" s="39"/>
      <c r="U533" s="39"/>
      <c r="V533" s="39"/>
      <c r="W533" s="39"/>
      <c r="X533" s="39"/>
      <c r="Y533" s="39"/>
      <c r="Z533" s="39"/>
      <c r="AA533" s="39"/>
      <c r="AB533" s="39">
        <f t="shared" si="195"/>
        <v>0</v>
      </c>
      <c r="AC533" s="39"/>
      <c r="AD533" s="39"/>
      <c r="AE533" s="39"/>
      <c r="AF533" s="39"/>
      <c r="AG533" s="39"/>
      <c r="AH533" s="39">
        <f t="shared" si="366"/>
        <v>0</v>
      </c>
      <c r="AI533" s="39"/>
      <c r="AJ533" s="39"/>
      <c r="AK533" s="39"/>
      <c r="AL533" s="39"/>
      <c r="AM533" s="39"/>
      <c r="AN533" s="39">
        <f t="shared" si="196"/>
        <v>0</v>
      </c>
      <c r="AO533" s="39"/>
      <c r="AP533" s="39"/>
      <c r="AQ533" s="39"/>
      <c r="AR533" s="39"/>
      <c r="AS533" s="39"/>
      <c r="AT533" s="39">
        <f t="shared" si="367"/>
        <v>0</v>
      </c>
      <c r="AU533" s="39"/>
      <c r="AV533" s="39"/>
      <c r="AW533" s="39"/>
      <c r="AX533" s="39"/>
      <c r="AY533" s="39"/>
      <c r="AZ533" s="39">
        <f t="shared" si="368"/>
        <v>0</v>
      </c>
      <c r="BA533" s="39"/>
      <c r="BB533" s="39"/>
      <c r="BC533" s="39"/>
      <c r="BD533" s="39"/>
      <c r="BE533" s="39"/>
      <c r="BF533" s="39">
        <f t="shared" si="369"/>
        <v>0</v>
      </c>
      <c r="BG533" s="39"/>
      <c r="BH533" s="39"/>
      <c r="BI533" s="39"/>
      <c r="BJ533" s="39"/>
      <c r="BK533" s="39"/>
      <c r="BL533" s="39">
        <f t="shared" si="370"/>
        <v>0</v>
      </c>
      <c r="BM533" s="54" t="e">
        <f t="shared" si="371"/>
        <v>#DIV/0!</v>
      </c>
      <c r="BN533" s="64"/>
      <c r="BO533" s="36"/>
      <c r="BP533" s="36"/>
      <c r="BQ533" s="36"/>
      <c r="BR533" s="39"/>
      <c r="BS533" s="39"/>
      <c r="BT533" s="39"/>
      <c r="BU533" s="39"/>
      <c r="BV533" s="39"/>
      <c r="BW533" s="39"/>
      <c r="BX533" s="39"/>
      <c r="BY533" s="39"/>
      <c r="BZ533" s="39">
        <f t="shared" si="372"/>
        <v>0</v>
      </c>
      <c r="CA533" s="39">
        <f t="shared" si="373"/>
        <v>0</v>
      </c>
      <c r="CB533" s="39">
        <f t="shared" si="374"/>
        <v>0</v>
      </c>
      <c r="CC533" s="39">
        <f t="shared" si="375"/>
        <v>0</v>
      </c>
      <c r="CD533" s="39">
        <f t="shared" si="376"/>
        <v>0</v>
      </c>
      <c r="CE533" s="47" t="e">
        <f t="shared" si="377"/>
        <v>#DIV/0!</v>
      </c>
      <c r="CF533" s="36"/>
      <c r="CG533" s="39"/>
      <c r="CH533" s="39"/>
      <c r="CI533" s="25">
        <v>1</v>
      </c>
    </row>
    <row r="534" spans="1:87" ht="24.75" customHeight="1">
      <c r="A534" s="36" t="s">
        <v>387</v>
      </c>
      <c r="B534" s="27"/>
      <c r="C534" s="41"/>
      <c r="D534" s="36"/>
      <c r="E534" s="39"/>
      <c r="F534" s="39"/>
      <c r="G534" s="36"/>
      <c r="H534" s="39"/>
      <c r="I534" s="39"/>
      <c r="J534" s="39"/>
      <c r="K534" s="39"/>
      <c r="L534" s="39">
        <f t="shared" si="193"/>
        <v>0</v>
      </c>
      <c r="M534" s="39"/>
      <c r="N534" s="39"/>
      <c r="O534" s="39"/>
      <c r="P534" s="39"/>
      <c r="Q534" s="39"/>
      <c r="R534" s="39">
        <f t="shared" si="194"/>
        <v>0</v>
      </c>
      <c r="S534" s="39"/>
      <c r="T534" s="39"/>
      <c r="U534" s="39"/>
      <c r="V534" s="39"/>
      <c r="W534" s="39"/>
      <c r="X534" s="39"/>
      <c r="Y534" s="39"/>
      <c r="Z534" s="39"/>
      <c r="AA534" s="39"/>
      <c r="AB534" s="39">
        <f t="shared" si="195"/>
        <v>0</v>
      </c>
      <c r="AC534" s="39"/>
      <c r="AD534" s="39"/>
      <c r="AE534" s="39"/>
      <c r="AF534" s="39"/>
      <c r="AG534" s="39"/>
      <c r="AH534" s="39">
        <f t="shared" si="366"/>
        <v>0</v>
      </c>
      <c r="AI534" s="39"/>
      <c r="AJ534" s="39"/>
      <c r="AK534" s="39"/>
      <c r="AL534" s="39"/>
      <c r="AM534" s="39"/>
      <c r="AN534" s="39">
        <f t="shared" si="196"/>
        <v>0</v>
      </c>
      <c r="AO534" s="39"/>
      <c r="AP534" s="39"/>
      <c r="AQ534" s="39"/>
      <c r="AR534" s="39"/>
      <c r="AS534" s="39"/>
      <c r="AT534" s="39">
        <f t="shared" si="367"/>
        <v>0</v>
      </c>
      <c r="AU534" s="39"/>
      <c r="AV534" s="39"/>
      <c r="AW534" s="39"/>
      <c r="AX534" s="39"/>
      <c r="AY534" s="39"/>
      <c r="AZ534" s="39">
        <f t="shared" si="368"/>
        <v>0</v>
      </c>
      <c r="BA534" s="39"/>
      <c r="BB534" s="39"/>
      <c r="BC534" s="39"/>
      <c r="BD534" s="39"/>
      <c r="BE534" s="39"/>
      <c r="BF534" s="39">
        <f t="shared" si="369"/>
        <v>0</v>
      </c>
      <c r="BG534" s="39"/>
      <c r="BH534" s="39"/>
      <c r="BI534" s="39"/>
      <c r="BJ534" s="39"/>
      <c r="BK534" s="39"/>
      <c r="BL534" s="39">
        <f t="shared" si="370"/>
        <v>0</v>
      </c>
      <c r="BM534" s="54" t="e">
        <f t="shared" si="371"/>
        <v>#DIV/0!</v>
      </c>
      <c r="BN534" s="64"/>
      <c r="BO534" s="36"/>
      <c r="BP534" s="36"/>
      <c r="BQ534" s="36"/>
      <c r="BR534" s="39"/>
      <c r="BS534" s="39"/>
      <c r="BT534" s="39"/>
      <c r="BU534" s="39"/>
      <c r="BV534" s="39"/>
      <c r="BW534" s="39"/>
      <c r="BX534" s="39"/>
      <c r="BY534" s="39"/>
      <c r="BZ534" s="39">
        <f t="shared" si="372"/>
        <v>0</v>
      </c>
      <c r="CA534" s="39">
        <f t="shared" si="373"/>
        <v>0</v>
      </c>
      <c r="CB534" s="39">
        <f t="shared" si="374"/>
        <v>0</v>
      </c>
      <c r="CC534" s="39">
        <f t="shared" si="375"/>
        <v>0</v>
      </c>
      <c r="CD534" s="39">
        <f t="shared" si="376"/>
        <v>0</v>
      </c>
      <c r="CE534" s="47" t="e">
        <f t="shared" si="377"/>
        <v>#DIV/0!</v>
      </c>
      <c r="CF534" s="36"/>
      <c r="CG534" s="39"/>
      <c r="CH534" s="39"/>
      <c r="CI534" s="25">
        <v>1</v>
      </c>
    </row>
    <row r="535" spans="1:87" ht="24.75" customHeight="1">
      <c r="A535" s="36" t="s">
        <v>387</v>
      </c>
      <c r="B535" s="27" t="s">
        <v>1751</v>
      </c>
      <c r="C535" s="227" t="s">
        <v>1752</v>
      </c>
      <c r="D535" s="36"/>
      <c r="E535" s="39">
        <v>180</v>
      </c>
      <c r="F535" s="39" t="s">
        <v>55</v>
      </c>
      <c r="G535" s="36" t="s">
        <v>1753</v>
      </c>
      <c r="H535" s="36" t="s">
        <v>87</v>
      </c>
      <c r="I535" s="39">
        <v>63</v>
      </c>
      <c r="J535" s="39"/>
      <c r="K535" s="39"/>
      <c r="L535" s="39">
        <f t="shared" ref="L535:L537" si="378">SUM(I535:K535)</f>
        <v>63</v>
      </c>
      <c r="M535" s="117">
        <v>46266</v>
      </c>
      <c r="N535" s="117">
        <v>46271</v>
      </c>
      <c r="O535" s="39"/>
      <c r="P535" s="39"/>
      <c r="Q535" s="39"/>
      <c r="R535" s="39">
        <f t="shared" ref="R535" si="379">SUM(O535:Q535)</f>
        <v>0</v>
      </c>
      <c r="S535" s="39" t="s">
        <v>100</v>
      </c>
      <c r="T535" s="39"/>
      <c r="U535" s="39"/>
      <c r="V535" s="117">
        <v>46252</v>
      </c>
      <c r="W535" s="39">
        <v>79</v>
      </c>
      <c r="X535" s="39"/>
      <c r="Y535" s="39"/>
      <c r="Z535" s="39"/>
      <c r="AA535" s="39"/>
      <c r="AB535" s="118">
        <f t="shared" ref="AB535" si="380">SUM(Y535:AA535)</f>
        <v>0</v>
      </c>
      <c r="AC535" s="39"/>
      <c r="AD535" s="39"/>
      <c r="AE535" s="39"/>
      <c r="AF535" s="39"/>
      <c r="AG535" s="39"/>
      <c r="AH535" s="39">
        <f t="shared" si="366"/>
        <v>0</v>
      </c>
      <c r="AI535" s="39"/>
      <c r="AJ535" s="39"/>
      <c r="AK535" s="39"/>
      <c r="AL535" s="39"/>
      <c r="AM535" s="39"/>
      <c r="AN535" s="39">
        <f t="shared" si="196"/>
        <v>0</v>
      </c>
      <c r="AO535" s="39"/>
      <c r="AP535" s="39"/>
      <c r="AQ535" s="39"/>
      <c r="AR535" s="39"/>
      <c r="AS535" s="39"/>
      <c r="AT535" s="39">
        <f t="shared" si="367"/>
        <v>0</v>
      </c>
      <c r="AU535" s="39"/>
      <c r="AV535" s="39"/>
      <c r="AW535" s="39"/>
      <c r="AX535" s="39"/>
      <c r="AY535" s="39"/>
      <c r="AZ535" s="39">
        <f t="shared" si="368"/>
        <v>0</v>
      </c>
      <c r="BA535" s="39"/>
      <c r="BB535" s="39"/>
      <c r="BC535" s="39"/>
      <c r="BD535" s="39"/>
      <c r="BE535" s="39"/>
      <c r="BF535" s="39">
        <f t="shared" si="369"/>
        <v>0</v>
      </c>
      <c r="BG535" s="39"/>
      <c r="BH535" s="39"/>
      <c r="BI535" s="39"/>
      <c r="BJ535" s="39"/>
      <c r="BK535" s="39"/>
      <c r="BL535" s="39">
        <f t="shared" si="370"/>
        <v>0</v>
      </c>
      <c r="BM535" s="54">
        <f t="shared" ca="1" si="371"/>
        <v>46283</v>
      </c>
      <c r="BN535" s="66">
        <v>46280</v>
      </c>
      <c r="BO535" s="117">
        <v>46295</v>
      </c>
      <c r="BP535" s="39"/>
      <c r="BQ535" s="39"/>
      <c r="BR535" s="36"/>
      <c r="BS535" s="36"/>
      <c r="BT535" s="39"/>
      <c r="BU535" s="39"/>
      <c r="BV535" s="39"/>
      <c r="BW535" s="39"/>
      <c r="BX535" s="39"/>
      <c r="BY535" s="39"/>
      <c r="BZ535" s="39">
        <f t="shared" si="372"/>
        <v>0</v>
      </c>
      <c r="CA535" s="39">
        <f t="shared" si="373"/>
        <v>-63</v>
      </c>
      <c r="CB535" s="39">
        <f t="shared" si="374"/>
        <v>0</v>
      </c>
      <c r="CC535" s="39">
        <f t="shared" si="375"/>
        <v>0</v>
      </c>
      <c r="CD535" s="39">
        <f t="shared" si="376"/>
        <v>-63</v>
      </c>
      <c r="CE535" s="102">
        <f t="shared" si="377"/>
        <v>-1</v>
      </c>
      <c r="CF535" s="36" t="s">
        <v>292</v>
      </c>
      <c r="CG535" s="39" t="s">
        <v>220</v>
      </c>
      <c r="CH535" s="39"/>
      <c r="CI535" s="25">
        <v>2</v>
      </c>
    </row>
    <row r="536" spans="1:87" ht="24.75" customHeight="1">
      <c r="A536" s="36" t="s">
        <v>387</v>
      </c>
      <c r="B536" s="27" t="s">
        <v>1751</v>
      </c>
      <c r="C536" s="231"/>
      <c r="D536" s="36"/>
      <c r="E536" s="39">
        <v>180</v>
      </c>
      <c r="F536" s="39" t="s">
        <v>55</v>
      </c>
      <c r="G536" s="36" t="s">
        <v>1754</v>
      </c>
      <c r="H536" s="36" t="s">
        <v>87</v>
      </c>
      <c r="I536" s="39">
        <v>63</v>
      </c>
      <c r="J536" s="39"/>
      <c r="K536" s="39"/>
      <c r="L536" s="39">
        <f t="shared" si="378"/>
        <v>63</v>
      </c>
      <c r="M536" s="117">
        <v>46266</v>
      </c>
      <c r="N536" s="117">
        <v>46271</v>
      </c>
      <c r="O536" s="39"/>
      <c r="P536" s="39"/>
      <c r="Q536" s="39"/>
      <c r="R536" s="39">
        <f t="shared" ref="R536:R537" si="381">SUM(O536:Q536)</f>
        <v>0</v>
      </c>
      <c r="S536" s="39" t="s">
        <v>100</v>
      </c>
      <c r="T536" s="39"/>
      <c r="U536" s="39"/>
      <c r="V536" s="117">
        <v>46252</v>
      </c>
      <c r="W536" s="39">
        <v>79</v>
      </c>
      <c r="X536" s="39"/>
      <c r="Y536" s="39"/>
      <c r="Z536" s="39"/>
      <c r="AA536" s="39"/>
      <c r="AB536" s="118">
        <f t="shared" ref="AB536:AB537" si="382">SUM(Y536:AA536)</f>
        <v>0</v>
      </c>
      <c r="AC536" s="39"/>
      <c r="AD536" s="39"/>
      <c r="AE536" s="39"/>
      <c r="AF536" s="39"/>
      <c r="AG536" s="39"/>
      <c r="AH536" s="39">
        <f t="shared" si="366"/>
        <v>0</v>
      </c>
      <c r="AI536" s="39"/>
      <c r="AJ536" s="39"/>
      <c r="AK536" s="39"/>
      <c r="AL536" s="39"/>
      <c r="AM536" s="39"/>
      <c r="AN536" s="39">
        <f t="shared" si="196"/>
        <v>0</v>
      </c>
      <c r="AO536" s="39"/>
      <c r="AP536" s="39"/>
      <c r="AQ536" s="39"/>
      <c r="AR536" s="39"/>
      <c r="AS536" s="39"/>
      <c r="AT536" s="39">
        <f t="shared" si="367"/>
        <v>0</v>
      </c>
      <c r="AU536" s="39"/>
      <c r="AV536" s="39"/>
      <c r="AW536" s="39"/>
      <c r="AX536" s="39"/>
      <c r="AY536" s="39"/>
      <c r="AZ536" s="39">
        <f t="shared" si="368"/>
        <v>0</v>
      </c>
      <c r="BA536" s="39"/>
      <c r="BB536" s="39"/>
      <c r="BC536" s="39"/>
      <c r="BD536" s="39"/>
      <c r="BE536" s="39"/>
      <c r="BF536" s="39">
        <f t="shared" si="369"/>
        <v>0</v>
      </c>
      <c r="BG536" s="39"/>
      <c r="BH536" s="39"/>
      <c r="BI536" s="39"/>
      <c r="BJ536" s="39"/>
      <c r="BK536" s="39"/>
      <c r="BL536" s="39">
        <f t="shared" si="370"/>
        <v>0</v>
      </c>
      <c r="BM536" s="54">
        <f t="shared" ca="1" si="371"/>
        <v>46283</v>
      </c>
      <c r="BN536" s="66">
        <v>46280</v>
      </c>
      <c r="BO536" s="117">
        <v>46295</v>
      </c>
      <c r="BP536" s="39"/>
      <c r="BQ536" s="39"/>
      <c r="BR536" s="36"/>
      <c r="BS536" s="36"/>
      <c r="BT536" s="39"/>
      <c r="BU536" s="39"/>
      <c r="BV536" s="39"/>
      <c r="BW536" s="39"/>
      <c r="BX536" s="39"/>
      <c r="BY536" s="39"/>
      <c r="BZ536" s="39">
        <f t="shared" si="372"/>
        <v>0</v>
      </c>
      <c r="CA536" s="39">
        <f t="shared" si="373"/>
        <v>-63</v>
      </c>
      <c r="CB536" s="39">
        <f t="shared" si="374"/>
        <v>0</v>
      </c>
      <c r="CC536" s="39">
        <f t="shared" si="375"/>
        <v>0</v>
      </c>
      <c r="CD536" s="39">
        <f t="shared" si="376"/>
        <v>-63</v>
      </c>
      <c r="CE536" s="102">
        <f t="shared" si="377"/>
        <v>-1</v>
      </c>
      <c r="CF536" s="36" t="s">
        <v>292</v>
      </c>
      <c r="CG536" s="39" t="s">
        <v>220</v>
      </c>
      <c r="CH536" s="39"/>
      <c r="CI536" s="25">
        <v>2</v>
      </c>
    </row>
    <row r="537" spans="1:87" ht="24.75" customHeight="1">
      <c r="A537" s="36" t="s">
        <v>387</v>
      </c>
      <c r="B537" s="27" t="s">
        <v>1751</v>
      </c>
      <c r="C537" s="228"/>
      <c r="D537" s="36"/>
      <c r="E537" s="39">
        <v>180</v>
      </c>
      <c r="F537" s="39" t="s">
        <v>55</v>
      </c>
      <c r="G537" s="36" t="s">
        <v>1755</v>
      </c>
      <c r="H537" s="36" t="s">
        <v>87</v>
      </c>
      <c r="I537" s="39">
        <v>63</v>
      </c>
      <c r="J537" s="39"/>
      <c r="K537" s="39"/>
      <c r="L537" s="39">
        <f t="shared" si="378"/>
        <v>63</v>
      </c>
      <c r="M537" s="117">
        <v>46266</v>
      </c>
      <c r="N537" s="117">
        <v>46271</v>
      </c>
      <c r="O537" s="39"/>
      <c r="P537" s="39"/>
      <c r="Q537" s="39"/>
      <c r="R537" s="39">
        <f t="shared" si="381"/>
        <v>0</v>
      </c>
      <c r="S537" s="39" t="s">
        <v>100</v>
      </c>
      <c r="T537" s="39"/>
      <c r="U537" s="39"/>
      <c r="V537" s="117">
        <v>46252</v>
      </c>
      <c r="W537" s="39">
        <v>79</v>
      </c>
      <c r="X537" s="39"/>
      <c r="Y537" s="39"/>
      <c r="Z537" s="39"/>
      <c r="AA537" s="39"/>
      <c r="AB537" s="118">
        <f t="shared" si="382"/>
        <v>0</v>
      </c>
      <c r="AC537" s="39"/>
      <c r="AD537" s="39"/>
      <c r="AE537" s="39"/>
      <c r="AF537" s="39"/>
      <c r="AG537" s="39"/>
      <c r="AH537" s="39">
        <f t="shared" si="366"/>
        <v>0</v>
      </c>
      <c r="AI537" s="39"/>
      <c r="AJ537" s="39"/>
      <c r="AK537" s="39"/>
      <c r="AL537" s="39"/>
      <c r="AM537" s="39"/>
      <c r="AN537" s="39">
        <f t="shared" si="196"/>
        <v>0</v>
      </c>
      <c r="AO537" s="39"/>
      <c r="AP537" s="39"/>
      <c r="AQ537" s="39"/>
      <c r="AR537" s="39"/>
      <c r="AS537" s="39"/>
      <c r="AT537" s="39">
        <f t="shared" si="367"/>
        <v>0</v>
      </c>
      <c r="AU537" s="39"/>
      <c r="AV537" s="39"/>
      <c r="AW537" s="39"/>
      <c r="AX537" s="39"/>
      <c r="AY537" s="39"/>
      <c r="AZ537" s="39">
        <f t="shared" si="368"/>
        <v>0</v>
      </c>
      <c r="BA537" s="39"/>
      <c r="BB537" s="39"/>
      <c r="BC537" s="39"/>
      <c r="BD537" s="39"/>
      <c r="BE537" s="39"/>
      <c r="BF537" s="39">
        <f t="shared" si="369"/>
        <v>0</v>
      </c>
      <c r="BG537" s="39"/>
      <c r="BH537" s="39"/>
      <c r="BI537" s="39"/>
      <c r="BJ537" s="39"/>
      <c r="BK537" s="39"/>
      <c r="BL537" s="39">
        <f t="shared" si="370"/>
        <v>0</v>
      </c>
      <c r="BM537" s="54">
        <f t="shared" ca="1" si="371"/>
        <v>46283</v>
      </c>
      <c r="BN537" s="66">
        <v>46280</v>
      </c>
      <c r="BO537" s="117">
        <v>46295</v>
      </c>
      <c r="BP537" s="39"/>
      <c r="BQ537" s="39"/>
      <c r="BR537" s="36"/>
      <c r="BS537" s="36"/>
      <c r="BT537" s="39"/>
      <c r="BU537" s="39"/>
      <c r="BV537" s="39"/>
      <c r="BW537" s="39"/>
      <c r="BX537" s="39"/>
      <c r="BY537" s="39"/>
      <c r="BZ537" s="39">
        <f t="shared" si="372"/>
        <v>0</v>
      </c>
      <c r="CA537" s="39">
        <f t="shared" si="373"/>
        <v>-63</v>
      </c>
      <c r="CB537" s="39">
        <f t="shared" si="374"/>
        <v>0</v>
      </c>
      <c r="CC537" s="39">
        <f t="shared" si="375"/>
        <v>0</v>
      </c>
      <c r="CD537" s="39">
        <f t="shared" si="376"/>
        <v>-63</v>
      </c>
      <c r="CE537" s="102">
        <f t="shared" si="377"/>
        <v>-1</v>
      </c>
      <c r="CF537" s="36" t="s">
        <v>292</v>
      </c>
      <c r="CG537" s="39" t="s">
        <v>220</v>
      </c>
      <c r="CH537" s="39"/>
      <c r="CI537" s="25">
        <v>2</v>
      </c>
    </row>
    <row r="538" spans="1:87" ht="24.75" customHeight="1">
      <c r="A538" s="36" t="s">
        <v>387</v>
      </c>
      <c r="B538" s="27">
        <v>48228</v>
      </c>
      <c r="C538" s="227" t="s">
        <v>1846</v>
      </c>
      <c r="D538" s="36"/>
      <c r="E538" s="39">
        <v>220</v>
      </c>
      <c r="F538" s="39" t="s">
        <v>66</v>
      </c>
      <c r="G538" s="36" t="s">
        <v>1654</v>
      </c>
      <c r="H538" s="36" t="s">
        <v>89</v>
      </c>
      <c r="I538" s="39">
        <v>39</v>
      </c>
      <c r="J538" s="39"/>
      <c r="K538" s="39"/>
      <c r="L538" s="39">
        <f t="shared" ref="L538:L542" si="383">SUM(I538:K538)</f>
        <v>39</v>
      </c>
      <c r="M538" s="117">
        <v>46270</v>
      </c>
      <c r="N538" s="117">
        <v>46275</v>
      </c>
      <c r="O538" s="39"/>
      <c r="P538" s="39"/>
      <c r="Q538" s="39"/>
      <c r="R538" s="39">
        <f t="shared" ref="R538:R554" si="384">SUM(O538:Q538)</f>
        <v>0</v>
      </c>
      <c r="S538" s="39" t="s">
        <v>130</v>
      </c>
      <c r="T538" s="39"/>
      <c r="U538" s="39"/>
      <c r="V538" s="39"/>
      <c r="W538" s="39"/>
      <c r="X538" s="39"/>
      <c r="Y538" s="39"/>
      <c r="Z538" s="39"/>
      <c r="AA538" s="39"/>
      <c r="AB538" s="118">
        <f t="shared" ref="AB538:AB554" si="385">SUM(Y538:AA538)</f>
        <v>0</v>
      </c>
      <c r="AC538" s="39"/>
      <c r="AD538" s="39"/>
      <c r="AE538" s="39"/>
      <c r="AF538" s="39"/>
      <c r="AG538" s="39"/>
      <c r="AH538" s="39">
        <f t="shared" si="366"/>
        <v>0</v>
      </c>
      <c r="AI538" s="39"/>
      <c r="AJ538" s="39"/>
      <c r="AK538" s="39"/>
      <c r="AL538" s="39"/>
      <c r="AM538" s="39"/>
      <c r="AN538" s="39">
        <f t="shared" si="196"/>
        <v>0</v>
      </c>
      <c r="AO538" s="39"/>
      <c r="AP538" s="39"/>
      <c r="AQ538" s="39"/>
      <c r="AR538" s="39"/>
      <c r="AS538" s="39"/>
      <c r="AT538" s="39">
        <f t="shared" si="367"/>
        <v>0</v>
      </c>
      <c r="AU538" s="39"/>
      <c r="AV538" s="39"/>
      <c r="AW538" s="39"/>
      <c r="AX538" s="39"/>
      <c r="AY538" s="39"/>
      <c r="AZ538" s="39">
        <f t="shared" si="368"/>
        <v>0</v>
      </c>
      <c r="BA538" s="39"/>
      <c r="BB538" s="39"/>
      <c r="BC538" s="39"/>
      <c r="BD538" s="39"/>
      <c r="BE538" s="39"/>
      <c r="BF538" s="39">
        <f t="shared" si="369"/>
        <v>0</v>
      </c>
      <c r="BG538" s="39"/>
      <c r="BH538" s="39"/>
      <c r="BI538" s="39"/>
      <c r="BJ538" s="39"/>
      <c r="BK538" s="39"/>
      <c r="BL538" s="39">
        <f t="shared" si="370"/>
        <v>0</v>
      </c>
      <c r="BM538" s="54">
        <f t="shared" ca="1" si="371"/>
        <v>46283</v>
      </c>
      <c r="BN538" s="66">
        <v>46285</v>
      </c>
      <c r="BO538" s="117">
        <v>46300</v>
      </c>
      <c r="BP538" s="39"/>
      <c r="BQ538" s="39"/>
      <c r="BR538" s="36"/>
      <c r="BS538" s="36"/>
      <c r="BT538" s="39"/>
      <c r="BU538" s="39"/>
      <c r="BV538" s="39"/>
      <c r="BW538" s="39"/>
      <c r="BX538" s="39"/>
      <c r="BY538" s="39"/>
      <c r="BZ538" s="39">
        <f t="shared" si="372"/>
        <v>0</v>
      </c>
      <c r="CA538" s="39">
        <f t="shared" si="373"/>
        <v>-39</v>
      </c>
      <c r="CB538" s="39">
        <f t="shared" si="374"/>
        <v>0</v>
      </c>
      <c r="CC538" s="39">
        <f t="shared" si="375"/>
        <v>0</v>
      </c>
      <c r="CD538" s="39">
        <f t="shared" si="376"/>
        <v>-39</v>
      </c>
      <c r="CE538" s="102">
        <f t="shared" si="377"/>
        <v>-1</v>
      </c>
      <c r="CF538" s="36" t="s">
        <v>293</v>
      </c>
      <c r="CG538" s="39" t="s">
        <v>1051</v>
      </c>
      <c r="CH538" s="39"/>
      <c r="CI538" s="25">
        <v>2</v>
      </c>
    </row>
    <row r="539" spans="1:87" ht="24.75" customHeight="1">
      <c r="A539" s="36" t="s">
        <v>387</v>
      </c>
      <c r="B539" s="27">
        <v>48228</v>
      </c>
      <c r="C539" s="231"/>
      <c r="D539" s="36"/>
      <c r="E539" s="39">
        <v>220</v>
      </c>
      <c r="F539" s="39" t="s">
        <v>66</v>
      </c>
      <c r="G539" s="36" t="s">
        <v>1441</v>
      </c>
      <c r="H539" s="36" t="s">
        <v>89</v>
      </c>
      <c r="I539" s="39">
        <v>39</v>
      </c>
      <c r="J539" s="39"/>
      <c r="K539" s="39"/>
      <c r="L539" s="39">
        <f t="shared" si="383"/>
        <v>39</v>
      </c>
      <c r="M539" s="117">
        <v>46270</v>
      </c>
      <c r="N539" s="117">
        <v>46275</v>
      </c>
      <c r="O539" s="39"/>
      <c r="P539" s="39"/>
      <c r="Q539" s="39"/>
      <c r="R539" s="39">
        <f t="shared" si="384"/>
        <v>0</v>
      </c>
      <c r="S539" s="39" t="s">
        <v>130</v>
      </c>
      <c r="T539" s="39"/>
      <c r="U539" s="39"/>
      <c r="V539" s="39"/>
      <c r="W539" s="39"/>
      <c r="X539" s="39"/>
      <c r="Y539" s="39"/>
      <c r="Z539" s="39"/>
      <c r="AA539" s="39"/>
      <c r="AB539" s="118">
        <f t="shared" si="385"/>
        <v>0</v>
      </c>
      <c r="AC539" s="39"/>
      <c r="AD539" s="39"/>
      <c r="AE539" s="39"/>
      <c r="AF539" s="39"/>
      <c r="AG539" s="39"/>
      <c r="AH539" s="39">
        <f t="shared" si="366"/>
        <v>0</v>
      </c>
      <c r="AI539" s="39"/>
      <c r="AJ539" s="39"/>
      <c r="AK539" s="39"/>
      <c r="AL539" s="39"/>
      <c r="AM539" s="39"/>
      <c r="AN539" s="39">
        <f t="shared" si="196"/>
        <v>0</v>
      </c>
      <c r="AO539" s="39"/>
      <c r="AP539" s="39"/>
      <c r="AQ539" s="39"/>
      <c r="AR539" s="39"/>
      <c r="AS539" s="39"/>
      <c r="AT539" s="39">
        <f t="shared" si="367"/>
        <v>0</v>
      </c>
      <c r="AU539" s="39"/>
      <c r="AV539" s="39"/>
      <c r="AW539" s="39"/>
      <c r="AX539" s="39"/>
      <c r="AY539" s="39"/>
      <c r="AZ539" s="39">
        <f t="shared" si="368"/>
        <v>0</v>
      </c>
      <c r="BA539" s="39"/>
      <c r="BB539" s="39"/>
      <c r="BC539" s="39"/>
      <c r="BD539" s="39"/>
      <c r="BE539" s="39"/>
      <c r="BF539" s="39">
        <f t="shared" si="369"/>
        <v>0</v>
      </c>
      <c r="BG539" s="39"/>
      <c r="BH539" s="39"/>
      <c r="BI539" s="39"/>
      <c r="BJ539" s="39"/>
      <c r="BK539" s="39"/>
      <c r="BL539" s="39">
        <f t="shared" si="370"/>
        <v>0</v>
      </c>
      <c r="BM539" s="54">
        <f t="shared" ca="1" si="371"/>
        <v>46283</v>
      </c>
      <c r="BN539" s="66">
        <v>46285</v>
      </c>
      <c r="BO539" s="117">
        <v>46300</v>
      </c>
      <c r="BP539" s="39"/>
      <c r="BQ539" s="39"/>
      <c r="BR539" s="36"/>
      <c r="BS539" s="36"/>
      <c r="BT539" s="39"/>
      <c r="BU539" s="39"/>
      <c r="BV539" s="39"/>
      <c r="BW539" s="39"/>
      <c r="BX539" s="39"/>
      <c r="BY539" s="39"/>
      <c r="BZ539" s="39">
        <f t="shared" si="372"/>
        <v>0</v>
      </c>
      <c r="CA539" s="39">
        <f t="shared" si="373"/>
        <v>-39</v>
      </c>
      <c r="CB539" s="39">
        <f t="shared" si="374"/>
        <v>0</v>
      </c>
      <c r="CC539" s="39">
        <f t="shared" si="375"/>
        <v>0</v>
      </c>
      <c r="CD539" s="39">
        <f t="shared" si="376"/>
        <v>-39</v>
      </c>
      <c r="CE539" s="102">
        <f t="shared" si="377"/>
        <v>-1</v>
      </c>
      <c r="CF539" s="36" t="s">
        <v>293</v>
      </c>
      <c r="CG539" s="39" t="s">
        <v>1051</v>
      </c>
      <c r="CH539" s="39"/>
      <c r="CI539" s="25">
        <v>2</v>
      </c>
    </row>
    <row r="540" spans="1:87" ht="24.75" customHeight="1">
      <c r="A540" s="36" t="s">
        <v>387</v>
      </c>
      <c r="B540" s="27">
        <v>48228</v>
      </c>
      <c r="C540" s="228"/>
      <c r="D540" s="36"/>
      <c r="E540" s="39"/>
      <c r="F540" s="39"/>
      <c r="G540" s="36" t="s">
        <v>1502</v>
      </c>
      <c r="H540" s="36">
        <f>282+282</f>
        <v>564</v>
      </c>
      <c r="I540" s="39" t="s">
        <v>90</v>
      </c>
      <c r="J540" s="39"/>
      <c r="K540" s="39"/>
      <c r="L540" s="39">
        <f t="shared" si="383"/>
        <v>0</v>
      </c>
      <c r="M540" s="117">
        <v>46270</v>
      </c>
      <c r="N540" s="117">
        <v>46275</v>
      </c>
      <c r="O540" s="39"/>
      <c r="P540" s="39"/>
      <c r="Q540" s="39"/>
      <c r="R540" s="39">
        <f t="shared" si="384"/>
        <v>0</v>
      </c>
      <c r="S540" s="39" t="s">
        <v>130</v>
      </c>
      <c r="T540" s="39"/>
      <c r="U540" s="39"/>
      <c r="V540" s="39"/>
      <c r="W540" s="39"/>
      <c r="X540" s="39"/>
      <c r="Y540" s="39"/>
      <c r="Z540" s="39"/>
      <c r="AA540" s="39"/>
      <c r="AB540" s="39">
        <f t="shared" si="385"/>
        <v>0</v>
      </c>
      <c r="AC540" s="39"/>
      <c r="AD540" s="39"/>
      <c r="AE540" s="39"/>
      <c r="AF540" s="39"/>
      <c r="AG540" s="39"/>
      <c r="AH540" s="39">
        <f t="shared" si="366"/>
        <v>0</v>
      </c>
      <c r="AI540" s="39"/>
      <c r="AJ540" s="39"/>
      <c r="AK540" s="39"/>
      <c r="AL540" s="39"/>
      <c r="AM540" s="39"/>
      <c r="AN540" s="39">
        <f t="shared" si="196"/>
        <v>0</v>
      </c>
      <c r="AO540" s="39"/>
      <c r="AP540" s="39"/>
      <c r="AQ540" s="39"/>
      <c r="AR540" s="39"/>
      <c r="AS540" s="39"/>
      <c r="AT540" s="39">
        <f t="shared" si="367"/>
        <v>0</v>
      </c>
      <c r="AU540" s="39"/>
      <c r="AV540" s="39"/>
      <c r="AW540" s="39"/>
      <c r="AX540" s="39"/>
      <c r="AY540" s="39"/>
      <c r="AZ540" s="39">
        <f t="shared" si="368"/>
        <v>0</v>
      </c>
      <c r="BA540" s="39"/>
      <c r="BB540" s="39"/>
      <c r="BC540" s="39"/>
      <c r="BD540" s="39"/>
      <c r="BE540" s="39"/>
      <c r="BF540" s="39">
        <f t="shared" si="369"/>
        <v>0</v>
      </c>
      <c r="BG540" s="39"/>
      <c r="BH540" s="39"/>
      <c r="BI540" s="39"/>
      <c r="BJ540" s="39"/>
      <c r="BK540" s="39"/>
      <c r="BL540" s="39">
        <f t="shared" si="370"/>
        <v>0</v>
      </c>
      <c r="BM540" s="54" t="e">
        <f t="shared" si="371"/>
        <v>#DIV/0!</v>
      </c>
      <c r="BN540" s="66">
        <v>46285</v>
      </c>
      <c r="BO540" s="117">
        <v>46300</v>
      </c>
      <c r="BP540" s="39"/>
      <c r="BQ540" s="39"/>
      <c r="BR540" s="36"/>
      <c r="BS540" s="36"/>
      <c r="BT540" s="39"/>
      <c r="BU540" s="39"/>
      <c r="BV540" s="39"/>
      <c r="BW540" s="39"/>
      <c r="BX540" s="39"/>
      <c r="BY540" s="39"/>
      <c r="BZ540" s="39">
        <f t="shared" si="372"/>
        <v>0</v>
      </c>
      <c r="CA540" s="39" t="e">
        <f t="shared" si="373"/>
        <v>#VALUE!</v>
      </c>
      <c r="CB540" s="39">
        <f t="shared" si="374"/>
        <v>0</v>
      </c>
      <c r="CC540" s="39">
        <f t="shared" si="375"/>
        <v>0</v>
      </c>
      <c r="CD540" s="39">
        <f t="shared" si="376"/>
        <v>0</v>
      </c>
      <c r="CE540" s="102" t="e">
        <f t="shared" si="377"/>
        <v>#DIV/0!</v>
      </c>
      <c r="CF540" s="36" t="s">
        <v>293</v>
      </c>
      <c r="CG540" s="39" t="s">
        <v>1051</v>
      </c>
      <c r="CH540" s="39"/>
      <c r="CI540" s="25">
        <v>2</v>
      </c>
    </row>
    <row r="541" spans="1:87" ht="24.75" customHeight="1">
      <c r="A541" s="36" t="s">
        <v>387</v>
      </c>
      <c r="B541" s="27" t="s">
        <v>1847</v>
      </c>
      <c r="C541" s="227" t="s">
        <v>1655</v>
      </c>
      <c r="D541" s="36"/>
      <c r="E541" s="39">
        <v>220</v>
      </c>
      <c r="F541" s="39" t="s">
        <v>66</v>
      </c>
      <c r="G541" s="36" t="s">
        <v>47</v>
      </c>
      <c r="H541" s="36" t="s">
        <v>89</v>
      </c>
      <c r="I541" s="39">
        <v>165</v>
      </c>
      <c r="J541" s="39"/>
      <c r="K541" s="39"/>
      <c r="L541" s="39">
        <f t="shared" si="383"/>
        <v>165</v>
      </c>
      <c r="M541" s="117">
        <v>46270</v>
      </c>
      <c r="N541" s="117">
        <v>46275</v>
      </c>
      <c r="O541" s="39"/>
      <c r="P541" s="39"/>
      <c r="Q541" s="39"/>
      <c r="R541" s="39">
        <f t="shared" si="384"/>
        <v>0</v>
      </c>
      <c r="S541" s="39" t="s">
        <v>130</v>
      </c>
      <c r="T541" s="39"/>
      <c r="U541" s="39"/>
      <c r="V541" s="39"/>
      <c r="W541" s="39"/>
      <c r="X541" s="39"/>
      <c r="Y541" s="39"/>
      <c r="Z541" s="39"/>
      <c r="AA541" s="39"/>
      <c r="AB541" s="118">
        <f t="shared" si="385"/>
        <v>0</v>
      </c>
      <c r="AC541" s="39"/>
      <c r="AD541" s="39"/>
      <c r="AE541" s="39"/>
      <c r="AF541" s="39"/>
      <c r="AG541" s="39"/>
      <c r="AH541" s="39">
        <f t="shared" si="366"/>
        <v>0</v>
      </c>
      <c r="AI541" s="39"/>
      <c r="AJ541" s="39"/>
      <c r="AK541" s="39"/>
      <c r="AL541" s="39"/>
      <c r="AM541" s="39"/>
      <c r="AN541" s="39">
        <f t="shared" si="196"/>
        <v>0</v>
      </c>
      <c r="AO541" s="39"/>
      <c r="AP541" s="39"/>
      <c r="AQ541" s="39"/>
      <c r="AR541" s="39"/>
      <c r="AS541" s="39"/>
      <c r="AT541" s="39">
        <f t="shared" si="367"/>
        <v>0</v>
      </c>
      <c r="AU541" s="39"/>
      <c r="AV541" s="39"/>
      <c r="AW541" s="39"/>
      <c r="AX541" s="39"/>
      <c r="AY541" s="39"/>
      <c r="AZ541" s="39">
        <f t="shared" si="368"/>
        <v>0</v>
      </c>
      <c r="BA541" s="39"/>
      <c r="BB541" s="39"/>
      <c r="BC541" s="39"/>
      <c r="BD541" s="39"/>
      <c r="BE541" s="39"/>
      <c r="BF541" s="39">
        <f t="shared" si="369"/>
        <v>0</v>
      </c>
      <c r="BG541" s="39"/>
      <c r="BH541" s="39"/>
      <c r="BI541" s="39"/>
      <c r="BJ541" s="39"/>
      <c r="BK541" s="39"/>
      <c r="BL541" s="39">
        <f t="shared" si="370"/>
        <v>0</v>
      </c>
      <c r="BM541" s="54">
        <f t="shared" ca="1" si="371"/>
        <v>46283</v>
      </c>
      <c r="BN541" s="66">
        <v>46283</v>
      </c>
      <c r="BO541" s="117">
        <v>46295</v>
      </c>
      <c r="BP541" s="39"/>
      <c r="BQ541" s="39"/>
      <c r="BR541" s="36"/>
      <c r="BS541" s="36"/>
      <c r="BT541" s="39"/>
      <c r="BU541" s="39"/>
      <c r="BV541" s="39"/>
      <c r="BW541" s="39"/>
      <c r="BX541" s="39"/>
      <c r="BY541" s="39"/>
      <c r="BZ541" s="39">
        <f t="shared" si="372"/>
        <v>0</v>
      </c>
      <c r="CA541" s="39">
        <f t="shared" si="373"/>
        <v>-165</v>
      </c>
      <c r="CB541" s="39">
        <f t="shared" si="374"/>
        <v>0</v>
      </c>
      <c r="CC541" s="39">
        <f t="shared" si="375"/>
        <v>0</v>
      </c>
      <c r="CD541" s="39">
        <f t="shared" si="376"/>
        <v>-165</v>
      </c>
      <c r="CE541" s="102">
        <f t="shared" si="377"/>
        <v>-1</v>
      </c>
      <c r="CF541" s="36" t="s">
        <v>293</v>
      </c>
      <c r="CG541" s="39" t="s">
        <v>1051</v>
      </c>
      <c r="CH541" s="39"/>
      <c r="CI541" s="25">
        <v>2</v>
      </c>
    </row>
    <row r="542" spans="1:87" ht="24.75" customHeight="1">
      <c r="A542" s="36" t="s">
        <v>387</v>
      </c>
      <c r="B542" s="27" t="s">
        <v>1847</v>
      </c>
      <c r="C542" s="228"/>
      <c r="D542" s="36"/>
      <c r="E542" s="39"/>
      <c r="F542" s="39"/>
      <c r="G542" s="36" t="s">
        <v>1502</v>
      </c>
      <c r="H542" s="36">
        <v>1270</v>
      </c>
      <c r="I542" s="39" t="s">
        <v>90</v>
      </c>
      <c r="J542" s="39"/>
      <c r="K542" s="39"/>
      <c r="L542" s="39">
        <f t="shared" si="383"/>
        <v>0</v>
      </c>
      <c r="M542" s="117">
        <v>46270</v>
      </c>
      <c r="N542" s="117">
        <v>46275</v>
      </c>
      <c r="O542" s="39"/>
      <c r="P542" s="39"/>
      <c r="Q542" s="39"/>
      <c r="R542" s="39">
        <f t="shared" si="384"/>
        <v>0</v>
      </c>
      <c r="S542" s="39" t="s">
        <v>130</v>
      </c>
      <c r="T542" s="39"/>
      <c r="U542" s="39"/>
      <c r="V542" s="39"/>
      <c r="W542" s="39"/>
      <c r="X542" s="39"/>
      <c r="Y542" s="39"/>
      <c r="Z542" s="39"/>
      <c r="AA542" s="39"/>
      <c r="AB542" s="39">
        <f t="shared" si="385"/>
        <v>0</v>
      </c>
      <c r="AC542" s="39"/>
      <c r="AD542" s="39"/>
      <c r="AE542" s="39"/>
      <c r="AF542" s="39"/>
      <c r="AG542" s="39"/>
      <c r="AH542" s="39">
        <f t="shared" si="366"/>
        <v>0</v>
      </c>
      <c r="AI542" s="39"/>
      <c r="AJ542" s="39"/>
      <c r="AK542" s="39"/>
      <c r="AL542" s="39"/>
      <c r="AM542" s="39"/>
      <c r="AN542" s="39">
        <f t="shared" si="196"/>
        <v>0</v>
      </c>
      <c r="AO542" s="39"/>
      <c r="AP542" s="39"/>
      <c r="AQ542" s="39"/>
      <c r="AR542" s="39"/>
      <c r="AS542" s="39"/>
      <c r="AT542" s="39">
        <f t="shared" si="367"/>
        <v>0</v>
      </c>
      <c r="AU542" s="39"/>
      <c r="AV542" s="39"/>
      <c r="AW542" s="39"/>
      <c r="AX542" s="39"/>
      <c r="AY542" s="39"/>
      <c r="AZ542" s="39">
        <f t="shared" si="368"/>
        <v>0</v>
      </c>
      <c r="BA542" s="39"/>
      <c r="BB542" s="39"/>
      <c r="BC542" s="39"/>
      <c r="BD542" s="39"/>
      <c r="BE542" s="39"/>
      <c r="BF542" s="39">
        <f t="shared" si="369"/>
        <v>0</v>
      </c>
      <c r="BG542" s="39"/>
      <c r="BH542" s="39"/>
      <c r="BI542" s="39"/>
      <c r="BJ542" s="39"/>
      <c r="BK542" s="39"/>
      <c r="BL542" s="39">
        <f t="shared" si="370"/>
        <v>0</v>
      </c>
      <c r="BM542" s="54" t="e">
        <f t="shared" si="371"/>
        <v>#DIV/0!</v>
      </c>
      <c r="BN542" s="66">
        <v>46283</v>
      </c>
      <c r="BO542" s="117">
        <v>46295</v>
      </c>
      <c r="BP542" s="39"/>
      <c r="BQ542" s="39"/>
      <c r="BR542" s="36"/>
      <c r="BS542" s="36"/>
      <c r="BT542" s="39"/>
      <c r="BU542" s="39"/>
      <c r="BV542" s="39"/>
      <c r="BW542" s="39"/>
      <c r="BX542" s="39"/>
      <c r="BY542" s="39"/>
      <c r="BZ542" s="39">
        <f t="shared" si="372"/>
        <v>0</v>
      </c>
      <c r="CA542" s="39" t="e">
        <f t="shared" si="373"/>
        <v>#VALUE!</v>
      </c>
      <c r="CB542" s="39">
        <f t="shared" si="374"/>
        <v>0</v>
      </c>
      <c r="CC542" s="39">
        <f t="shared" si="375"/>
        <v>0</v>
      </c>
      <c r="CD542" s="39">
        <f t="shared" si="376"/>
        <v>0</v>
      </c>
      <c r="CE542" s="102" t="e">
        <f t="shared" si="377"/>
        <v>#DIV/0!</v>
      </c>
      <c r="CF542" s="36" t="s">
        <v>293</v>
      </c>
      <c r="CG542" s="39" t="s">
        <v>1051</v>
      </c>
      <c r="CH542" s="39"/>
      <c r="CI542" s="25">
        <v>2</v>
      </c>
    </row>
    <row r="543" spans="1:87" ht="24.75" customHeight="1">
      <c r="A543" s="36" t="s">
        <v>387</v>
      </c>
      <c r="B543" s="27">
        <v>48614</v>
      </c>
      <c r="C543" s="235">
        <v>15391466</v>
      </c>
      <c r="D543" s="36"/>
      <c r="E543" s="39">
        <v>260</v>
      </c>
      <c r="F543" s="39" t="s">
        <v>60</v>
      </c>
      <c r="G543" s="36" t="s">
        <v>47</v>
      </c>
      <c r="H543" s="36" t="s">
        <v>89</v>
      </c>
      <c r="I543" s="39">
        <v>210</v>
      </c>
      <c r="J543" s="39"/>
      <c r="K543" s="39"/>
      <c r="L543" s="39">
        <f t="shared" ref="L543:L545" si="386">SUM(I543:K543)</f>
        <v>210</v>
      </c>
      <c r="M543" s="117">
        <v>46266</v>
      </c>
      <c r="N543" s="117">
        <v>46270</v>
      </c>
      <c r="O543" s="39"/>
      <c r="P543" s="39"/>
      <c r="Q543" s="39"/>
      <c r="R543" s="39">
        <f t="shared" si="384"/>
        <v>0</v>
      </c>
      <c r="S543" s="39" t="s">
        <v>130</v>
      </c>
      <c r="T543" s="39"/>
      <c r="U543" s="39"/>
      <c r="V543" s="39"/>
      <c r="W543" s="39"/>
      <c r="X543" s="39"/>
      <c r="Y543" s="39"/>
      <c r="Z543" s="39"/>
      <c r="AA543" s="39"/>
      <c r="AB543" s="118">
        <f t="shared" si="385"/>
        <v>0</v>
      </c>
      <c r="AC543" s="39"/>
      <c r="AD543" s="39"/>
      <c r="AE543" s="39"/>
      <c r="AF543" s="39"/>
      <c r="AG543" s="39"/>
      <c r="AH543" s="39">
        <f t="shared" si="366"/>
        <v>0</v>
      </c>
      <c r="AI543" s="39"/>
      <c r="AJ543" s="39"/>
      <c r="AK543" s="39"/>
      <c r="AL543" s="39"/>
      <c r="AM543" s="39"/>
      <c r="AN543" s="39">
        <f t="shared" si="196"/>
        <v>0</v>
      </c>
      <c r="AO543" s="39"/>
      <c r="AP543" s="39"/>
      <c r="AQ543" s="39"/>
      <c r="AR543" s="39"/>
      <c r="AS543" s="39"/>
      <c r="AT543" s="39">
        <f t="shared" si="367"/>
        <v>0</v>
      </c>
      <c r="AU543" s="39"/>
      <c r="AV543" s="39"/>
      <c r="AW543" s="39"/>
      <c r="AX543" s="39"/>
      <c r="AY543" s="39"/>
      <c r="AZ543" s="39">
        <f t="shared" si="368"/>
        <v>0</v>
      </c>
      <c r="BA543" s="39"/>
      <c r="BB543" s="39"/>
      <c r="BC543" s="39"/>
      <c r="BD543" s="39"/>
      <c r="BE543" s="39"/>
      <c r="BF543" s="39">
        <f t="shared" si="369"/>
        <v>0</v>
      </c>
      <c r="BG543" s="39"/>
      <c r="BH543" s="39"/>
      <c r="BI543" s="39"/>
      <c r="BJ543" s="39"/>
      <c r="BK543" s="39"/>
      <c r="BL543" s="39">
        <f t="shared" si="370"/>
        <v>0</v>
      </c>
      <c r="BM543" s="54">
        <f t="shared" ca="1" si="371"/>
        <v>46283</v>
      </c>
      <c r="BN543" s="66">
        <v>46277</v>
      </c>
      <c r="BO543" s="57">
        <v>46290</v>
      </c>
      <c r="BP543" s="36"/>
      <c r="BQ543" s="36"/>
      <c r="BR543" s="39"/>
      <c r="BS543" s="39"/>
      <c r="BT543" s="39"/>
      <c r="BU543" s="39"/>
      <c r="BV543" s="39"/>
      <c r="BW543" s="39"/>
      <c r="BX543" s="39"/>
      <c r="BY543" s="39"/>
      <c r="BZ543" s="39">
        <f t="shared" si="372"/>
        <v>0</v>
      </c>
      <c r="CA543" s="39">
        <f t="shared" si="373"/>
        <v>-210</v>
      </c>
      <c r="CB543" s="39">
        <f t="shared" si="374"/>
        <v>0</v>
      </c>
      <c r="CC543" s="39">
        <f t="shared" si="375"/>
        <v>0</v>
      </c>
      <c r="CD543" s="39">
        <f t="shared" si="376"/>
        <v>-210</v>
      </c>
      <c r="CE543" s="102">
        <f t="shared" si="377"/>
        <v>-1</v>
      </c>
      <c r="CF543" s="36"/>
      <c r="CG543" s="39" t="s">
        <v>415</v>
      </c>
      <c r="CH543" s="39"/>
      <c r="CI543" s="25">
        <v>2</v>
      </c>
    </row>
    <row r="544" spans="1:87" ht="24.75" customHeight="1">
      <c r="A544" s="36" t="s">
        <v>387</v>
      </c>
      <c r="B544" s="27">
        <v>48614</v>
      </c>
      <c r="C544" s="240"/>
      <c r="D544" s="36"/>
      <c r="E544" s="39">
        <v>260</v>
      </c>
      <c r="F544" s="39" t="s">
        <v>60</v>
      </c>
      <c r="G544" s="36" t="s">
        <v>23</v>
      </c>
      <c r="H544" s="36" t="s">
        <v>89</v>
      </c>
      <c r="I544" s="39">
        <v>274</v>
      </c>
      <c r="J544" s="39"/>
      <c r="K544" s="39"/>
      <c r="L544" s="39">
        <f t="shared" si="386"/>
        <v>274</v>
      </c>
      <c r="M544" s="117">
        <v>46266</v>
      </c>
      <c r="N544" s="117">
        <v>46270</v>
      </c>
      <c r="O544" s="39"/>
      <c r="P544" s="39"/>
      <c r="Q544" s="39"/>
      <c r="R544" s="39">
        <f t="shared" si="384"/>
        <v>0</v>
      </c>
      <c r="S544" s="39" t="s">
        <v>31</v>
      </c>
      <c r="T544" s="39"/>
      <c r="U544" s="39"/>
      <c r="V544" s="117">
        <v>46262</v>
      </c>
      <c r="W544" s="39">
        <v>302</v>
      </c>
      <c r="X544" s="39"/>
      <c r="Y544" s="39"/>
      <c r="Z544" s="39"/>
      <c r="AA544" s="39"/>
      <c r="AB544" s="118">
        <f t="shared" si="385"/>
        <v>0</v>
      </c>
      <c r="AC544" s="39"/>
      <c r="AD544" s="39"/>
      <c r="AE544" s="39"/>
      <c r="AF544" s="39"/>
      <c r="AG544" s="39"/>
      <c r="AH544" s="39">
        <f t="shared" si="366"/>
        <v>0</v>
      </c>
      <c r="AI544" s="39"/>
      <c r="AJ544" s="39"/>
      <c r="AK544" s="39"/>
      <c r="AL544" s="39"/>
      <c r="AM544" s="39"/>
      <c r="AN544" s="39">
        <f t="shared" si="196"/>
        <v>0</v>
      </c>
      <c r="AO544" s="39"/>
      <c r="AP544" s="39"/>
      <c r="AQ544" s="39"/>
      <c r="AR544" s="39"/>
      <c r="AS544" s="39"/>
      <c r="AT544" s="39">
        <f t="shared" si="367"/>
        <v>0</v>
      </c>
      <c r="AU544" s="39"/>
      <c r="AV544" s="39"/>
      <c r="AW544" s="39"/>
      <c r="AX544" s="39"/>
      <c r="AY544" s="39"/>
      <c r="AZ544" s="39">
        <f t="shared" si="368"/>
        <v>0</v>
      </c>
      <c r="BA544" s="39"/>
      <c r="BB544" s="39"/>
      <c r="BC544" s="39"/>
      <c r="BD544" s="39"/>
      <c r="BE544" s="39"/>
      <c r="BF544" s="39">
        <f t="shared" si="369"/>
        <v>0</v>
      </c>
      <c r="BG544" s="39"/>
      <c r="BH544" s="39"/>
      <c r="BI544" s="39"/>
      <c r="BJ544" s="39"/>
      <c r="BK544" s="39"/>
      <c r="BL544" s="39">
        <f t="shared" si="370"/>
        <v>0</v>
      </c>
      <c r="BM544" s="54" t="str">
        <f t="shared" si="371"/>
        <v/>
      </c>
      <c r="BN544" s="66">
        <v>46277</v>
      </c>
      <c r="BO544" s="57">
        <v>46290</v>
      </c>
      <c r="BP544" s="36"/>
      <c r="BQ544" s="36"/>
      <c r="BR544" s="117">
        <v>46282</v>
      </c>
      <c r="BS544" s="117">
        <v>46282</v>
      </c>
      <c r="BT544" s="39">
        <v>977</v>
      </c>
      <c r="BU544" s="39">
        <v>275</v>
      </c>
      <c r="BV544" s="39"/>
      <c r="BW544" s="39"/>
      <c r="BX544" s="39"/>
      <c r="BY544" s="39"/>
      <c r="BZ544" s="39">
        <f t="shared" si="372"/>
        <v>275</v>
      </c>
      <c r="CA544" s="39">
        <f t="shared" si="373"/>
        <v>1</v>
      </c>
      <c r="CB544" s="39">
        <f t="shared" si="374"/>
        <v>0</v>
      </c>
      <c r="CC544" s="39">
        <f t="shared" si="375"/>
        <v>0</v>
      </c>
      <c r="CD544" s="39">
        <f t="shared" si="376"/>
        <v>0</v>
      </c>
      <c r="CE544" s="102">
        <f t="shared" si="377"/>
        <v>0</v>
      </c>
      <c r="CF544" s="36"/>
      <c r="CG544" s="39" t="s">
        <v>415</v>
      </c>
      <c r="CH544" s="39"/>
      <c r="CI544" s="25">
        <v>2</v>
      </c>
    </row>
    <row r="545" spans="1:87" ht="24.75" customHeight="1">
      <c r="A545" s="36" t="s">
        <v>387</v>
      </c>
      <c r="B545" s="27">
        <v>48614</v>
      </c>
      <c r="C545" s="236"/>
      <c r="D545" s="36"/>
      <c r="E545" s="39"/>
      <c r="F545" s="39"/>
      <c r="G545" s="36" t="s">
        <v>2355</v>
      </c>
      <c r="H545" s="36">
        <f>17+22</f>
        <v>39</v>
      </c>
      <c r="I545" s="39" t="s">
        <v>90</v>
      </c>
      <c r="J545" s="39"/>
      <c r="K545" s="39"/>
      <c r="L545" s="39">
        <f t="shared" si="386"/>
        <v>0</v>
      </c>
      <c r="M545" s="117">
        <v>46266</v>
      </c>
      <c r="N545" s="117">
        <v>46270</v>
      </c>
      <c r="O545" s="39"/>
      <c r="P545" s="39"/>
      <c r="Q545" s="39"/>
      <c r="R545" s="39">
        <f t="shared" si="384"/>
        <v>0</v>
      </c>
      <c r="S545" s="39" t="s">
        <v>130</v>
      </c>
      <c r="T545" s="39"/>
      <c r="U545" s="39"/>
      <c r="V545" s="39"/>
      <c r="W545" s="39"/>
      <c r="X545" s="39"/>
      <c r="Y545" s="39"/>
      <c r="Z545" s="39"/>
      <c r="AA545" s="39"/>
      <c r="AB545" s="39">
        <f t="shared" si="385"/>
        <v>0</v>
      </c>
      <c r="AC545" s="39"/>
      <c r="AD545" s="39"/>
      <c r="AE545" s="39"/>
      <c r="AF545" s="39"/>
      <c r="AG545" s="39"/>
      <c r="AH545" s="39">
        <f t="shared" si="366"/>
        <v>0</v>
      </c>
      <c r="AI545" s="39"/>
      <c r="AJ545" s="39"/>
      <c r="AK545" s="39"/>
      <c r="AL545" s="39"/>
      <c r="AM545" s="39"/>
      <c r="AN545" s="39">
        <f t="shared" si="196"/>
        <v>0</v>
      </c>
      <c r="AO545" s="39"/>
      <c r="AP545" s="39"/>
      <c r="AQ545" s="39"/>
      <c r="AR545" s="39"/>
      <c r="AS545" s="39"/>
      <c r="AT545" s="39">
        <f t="shared" si="367"/>
        <v>0</v>
      </c>
      <c r="AU545" s="39"/>
      <c r="AV545" s="39"/>
      <c r="AW545" s="39"/>
      <c r="AX545" s="39"/>
      <c r="AY545" s="39"/>
      <c r="AZ545" s="39">
        <f t="shared" si="368"/>
        <v>0</v>
      </c>
      <c r="BA545" s="39"/>
      <c r="BB545" s="39"/>
      <c r="BC545" s="39"/>
      <c r="BD545" s="39"/>
      <c r="BE545" s="39"/>
      <c r="BF545" s="39">
        <f t="shared" si="369"/>
        <v>0</v>
      </c>
      <c r="BG545" s="39"/>
      <c r="BH545" s="39"/>
      <c r="BI545" s="39"/>
      <c r="BJ545" s="39"/>
      <c r="BK545" s="39"/>
      <c r="BL545" s="39">
        <f t="shared" si="370"/>
        <v>0</v>
      </c>
      <c r="BM545" s="54" t="e">
        <f t="shared" si="371"/>
        <v>#DIV/0!</v>
      </c>
      <c r="BN545" s="66">
        <v>46277</v>
      </c>
      <c r="BO545" s="57">
        <v>46290</v>
      </c>
      <c r="BP545" s="36"/>
      <c r="BQ545" s="36"/>
      <c r="BR545" s="39"/>
      <c r="BS545" s="39"/>
      <c r="BT545" s="39"/>
      <c r="BU545" s="39"/>
      <c r="BV545" s="39"/>
      <c r="BW545" s="39"/>
      <c r="BX545" s="39"/>
      <c r="BY545" s="39"/>
      <c r="BZ545" s="39">
        <f t="shared" si="372"/>
        <v>0</v>
      </c>
      <c r="CA545" s="39" t="e">
        <f t="shared" si="373"/>
        <v>#VALUE!</v>
      </c>
      <c r="CB545" s="39">
        <f t="shared" si="374"/>
        <v>0</v>
      </c>
      <c r="CC545" s="39">
        <f t="shared" si="375"/>
        <v>0</v>
      </c>
      <c r="CD545" s="39">
        <f t="shared" si="376"/>
        <v>0</v>
      </c>
      <c r="CE545" s="102" t="e">
        <f t="shared" si="377"/>
        <v>#DIV/0!</v>
      </c>
      <c r="CF545" s="36"/>
      <c r="CG545" s="39" t="s">
        <v>415</v>
      </c>
      <c r="CH545" s="39"/>
      <c r="CI545" s="25">
        <v>2</v>
      </c>
    </row>
    <row r="546" spans="1:87" ht="24.75" customHeight="1">
      <c r="A546" s="36" t="s">
        <v>387</v>
      </c>
      <c r="B546" s="27">
        <v>48620</v>
      </c>
      <c r="C546" s="227" t="s">
        <v>2359</v>
      </c>
      <c r="D546" s="36"/>
      <c r="E546" s="39">
        <v>240</v>
      </c>
      <c r="F546" s="39" t="s">
        <v>68</v>
      </c>
      <c r="G546" s="36" t="s">
        <v>1288</v>
      </c>
      <c r="H546" s="36" t="s">
        <v>264</v>
      </c>
      <c r="I546" s="39">
        <v>157</v>
      </c>
      <c r="J546" s="39"/>
      <c r="K546" s="39"/>
      <c r="L546" s="39">
        <f t="shared" ref="L546:L554" si="387">SUM(I546:K546)</f>
        <v>157</v>
      </c>
      <c r="M546" s="117">
        <v>46266</v>
      </c>
      <c r="N546" s="117">
        <v>46277</v>
      </c>
      <c r="O546" s="39"/>
      <c r="P546" s="39"/>
      <c r="Q546" s="39"/>
      <c r="R546" s="39">
        <f t="shared" si="384"/>
        <v>0</v>
      </c>
      <c r="S546" s="39" t="s">
        <v>130</v>
      </c>
      <c r="T546" s="39"/>
      <c r="U546" s="39"/>
      <c r="V546" s="39"/>
      <c r="W546" s="39"/>
      <c r="X546" s="39"/>
      <c r="Y546" s="39"/>
      <c r="Z546" s="39"/>
      <c r="AA546" s="39"/>
      <c r="AB546" s="118">
        <f t="shared" si="385"/>
        <v>0</v>
      </c>
      <c r="AC546" s="39"/>
      <c r="AD546" s="39"/>
      <c r="AE546" s="39"/>
      <c r="AF546" s="39"/>
      <c r="AG546" s="39"/>
      <c r="AH546" s="39">
        <f t="shared" si="366"/>
        <v>0</v>
      </c>
      <c r="AI546" s="39"/>
      <c r="AJ546" s="39"/>
      <c r="AK546" s="39"/>
      <c r="AL546" s="39"/>
      <c r="AM546" s="39"/>
      <c r="AN546" s="39">
        <f t="shared" si="196"/>
        <v>0</v>
      </c>
      <c r="AO546" s="39"/>
      <c r="AP546" s="39"/>
      <c r="AQ546" s="39"/>
      <c r="AR546" s="39"/>
      <c r="AS546" s="39"/>
      <c r="AT546" s="39">
        <f t="shared" si="367"/>
        <v>0</v>
      </c>
      <c r="AU546" s="39"/>
      <c r="AV546" s="39"/>
      <c r="AW546" s="39"/>
      <c r="AX546" s="39"/>
      <c r="AY546" s="39"/>
      <c r="AZ546" s="39">
        <f t="shared" si="368"/>
        <v>0</v>
      </c>
      <c r="BA546" s="39"/>
      <c r="BB546" s="39"/>
      <c r="BC546" s="39"/>
      <c r="BD546" s="39"/>
      <c r="BE546" s="39"/>
      <c r="BF546" s="39">
        <f t="shared" si="369"/>
        <v>0</v>
      </c>
      <c r="BG546" s="39"/>
      <c r="BH546" s="39"/>
      <c r="BI546" s="39"/>
      <c r="BJ546" s="39"/>
      <c r="BK546" s="39"/>
      <c r="BL546" s="39">
        <f t="shared" si="370"/>
        <v>0</v>
      </c>
      <c r="BM546" s="54">
        <f t="shared" ca="1" si="371"/>
        <v>46283</v>
      </c>
      <c r="BN546" s="66">
        <v>46280</v>
      </c>
      <c r="BO546" s="117">
        <v>46295</v>
      </c>
      <c r="BP546" s="39"/>
      <c r="BQ546" s="39"/>
      <c r="BR546" s="39"/>
      <c r="BS546" s="39"/>
      <c r="BT546" s="39"/>
      <c r="BU546" s="39"/>
      <c r="BV546" s="39"/>
      <c r="BW546" s="39"/>
      <c r="BX546" s="39"/>
      <c r="BY546" s="39"/>
      <c r="BZ546" s="39">
        <f t="shared" si="372"/>
        <v>0</v>
      </c>
      <c r="CA546" s="39">
        <f t="shared" si="373"/>
        <v>-157</v>
      </c>
      <c r="CB546" s="39">
        <f t="shared" si="374"/>
        <v>0</v>
      </c>
      <c r="CC546" s="39">
        <f t="shared" si="375"/>
        <v>0</v>
      </c>
      <c r="CD546" s="39">
        <f t="shared" si="376"/>
        <v>-157</v>
      </c>
      <c r="CE546" s="102">
        <f t="shared" si="377"/>
        <v>-1</v>
      </c>
      <c r="CF546" s="36"/>
      <c r="CG546" s="39" t="s">
        <v>415</v>
      </c>
      <c r="CH546" s="39"/>
      <c r="CI546" s="25">
        <v>2</v>
      </c>
    </row>
    <row r="547" spans="1:87" ht="24.75" customHeight="1">
      <c r="A547" s="36" t="s">
        <v>387</v>
      </c>
      <c r="B547" s="27">
        <v>48620</v>
      </c>
      <c r="C547" s="231"/>
      <c r="D547" s="36"/>
      <c r="E547" s="39">
        <v>240</v>
      </c>
      <c r="F547" s="39" t="s">
        <v>68</v>
      </c>
      <c r="G547" s="36" t="s">
        <v>47</v>
      </c>
      <c r="H547" s="36" t="s">
        <v>264</v>
      </c>
      <c r="I547" s="39">
        <v>307</v>
      </c>
      <c r="J547" s="39"/>
      <c r="K547" s="39"/>
      <c r="L547" s="39">
        <f t="shared" si="387"/>
        <v>307</v>
      </c>
      <c r="M547" s="117">
        <v>46266</v>
      </c>
      <c r="N547" s="117">
        <v>46277</v>
      </c>
      <c r="O547" s="39"/>
      <c r="P547" s="39"/>
      <c r="Q547" s="39"/>
      <c r="R547" s="39">
        <f t="shared" si="384"/>
        <v>0</v>
      </c>
      <c r="S547" s="39" t="s">
        <v>130</v>
      </c>
      <c r="T547" s="39"/>
      <c r="U547" s="39"/>
      <c r="V547" s="39"/>
      <c r="W547" s="39"/>
      <c r="X547" s="39"/>
      <c r="Y547" s="39"/>
      <c r="Z547" s="39"/>
      <c r="AA547" s="39"/>
      <c r="AB547" s="118">
        <f t="shared" si="385"/>
        <v>0</v>
      </c>
      <c r="AC547" s="39"/>
      <c r="AD547" s="39"/>
      <c r="AE547" s="39"/>
      <c r="AF547" s="39"/>
      <c r="AG547" s="39"/>
      <c r="AH547" s="39">
        <f t="shared" si="366"/>
        <v>0</v>
      </c>
      <c r="AI547" s="39"/>
      <c r="AJ547" s="39"/>
      <c r="AK547" s="39"/>
      <c r="AL547" s="39"/>
      <c r="AM547" s="39"/>
      <c r="AN547" s="39">
        <f t="shared" si="196"/>
        <v>0</v>
      </c>
      <c r="AO547" s="39"/>
      <c r="AP547" s="39"/>
      <c r="AQ547" s="39"/>
      <c r="AR547" s="39"/>
      <c r="AS547" s="39"/>
      <c r="AT547" s="39">
        <f t="shared" si="367"/>
        <v>0</v>
      </c>
      <c r="AU547" s="39"/>
      <c r="AV547" s="39"/>
      <c r="AW547" s="39"/>
      <c r="AX547" s="39"/>
      <c r="AY547" s="39"/>
      <c r="AZ547" s="39">
        <f t="shared" si="368"/>
        <v>0</v>
      </c>
      <c r="BA547" s="39"/>
      <c r="BB547" s="39"/>
      <c r="BC547" s="39"/>
      <c r="BD547" s="39"/>
      <c r="BE547" s="39"/>
      <c r="BF547" s="39">
        <f t="shared" si="369"/>
        <v>0</v>
      </c>
      <c r="BG547" s="39"/>
      <c r="BH547" s="39"/>
      <c r="BI547" s="39"/>
      <c r="BJ547" s="39"/>
      <c r="BK547" s="39"/>
      <c r="BL547" s="39">
        <f t="shared" si="370"/>
        <v>0</v>
      </c>
      <c r="BM547" s="54">
        <f t="shared" ca="1" si="371"/>
        <v>46283</v>
      </c>
      <c r="BN547" s="66">
        <v>46280</v>
      </c>
      <c r="BO547" s="117">
        <v>46295</v>
      </c>
      <c r="BP547" s="39"/>
      <c r="BQ547" s="39"/>
      <c r="BR547" s="39"/>
      <c r="BS547" s="39"/>
      <c r="BT547" s="39"/>
      <c r="BU547" s="39"/>
      <c r="BV547" s="39"/>
      <c r="BW547" s="39"/>
      <c r="BX547" s="39"/>
      <c r="BY547" s="39"/>
      <c r="BZ547" s="39">
        <f t="shared" si="372"/>
        <v>0</v>
      </c>
      <c r="CA547" s="39">
        <f t="shared" si="373"/>
        <v>-307</v>
      </c>
      <c r="CB547" s="39">
        <f t="shared" si="374"/>
        <v>0</v>
      </c>
      <c r="CC547" s="39">
        <f t="shared" si="375"/>
        <v>0</v>
      </c>
      <c r="CD547" s="39">
        <f t="shared" si="376"/>
        <v>-307</v>
      </c>
      <c r="CE547" s="102">
        <f t="shared" si="377"/>
        <v>-1</v>
      </c>
      <c r="CF547" s="36"/>
      <c r="CG547" s="39" t="s">
        <v>415</v>
      </c>
      <c r="CH547" s="39"/>
      <c r="CI547" s="25">
        <v>2</v>
      </c>
    </row>
    <row r="548" spans="1:87" ht="24.75" customHeight="1">
      <c r="A548" s="36" t="s">
        <v>387</v>
      </c>
      <c r="B548" s="27">
        <v>48620</v>
      </c>
      <c r="C548" s="231"/>
      <c r="D548" s="36"/>
      <c r="E548" s="39">
        <v>240</v>
      </c>
      <c r="F548" s="39" t="s">
        <v>68</v>
      </c>
      <c r="G548" s="36" t="s">
        <v>1221</v>
      </c>
      <c r="H548" s="36" t="s">
        <v>264</v>
      </c>
      <c r="I548" s="39">
        <v>250</v>
      </c>
      <c r="J548" s="39"/>
      <c r="K548" s="39"/>
      <c r="L548" s="39">
        <f t="shared" si="387"/>
        <v>250</v>
      </c>
      <c r="M548" s="117">
        <v>46266</v>
      </c>
      <c r="N548" s="117">
        <v>46277</v>
      </c>
      <c r="O548" s="39"/>
      <c r="P548" s="39"/>
      <c r="Q548" s="39"/>
      <c r="R548" s="39">
        <f t="shared" si="384"/>
        <v>0</v>
      </c>
      <c r="S548" s="39" t="s">
        <v>130</v>
      </c>
      <c r="T548" s="39"/>
      <c r="U548" s="39"/>
      <c r="V548" s="39"/>
      <c r="W548" s="39"/>
      <c r="X548" s="39"/>
      <c r="Y548" s="39"/>
      <c r="Z548" s="39"/>
      <c r="AA548" s="39"/>
      <c r="AB548" s="118">
        <f t="shared" si="385"/>
        <v>0</v>
      </c>
      <c r="AC548" s="39"/>
      <c r="AD548" s="39"/>
      <c r="AE548" s="39"/>
      <c r="AF548" s="39"/>
      <c r="AG548" s="39"/>
      <c r="AH548" s="39">
        <f t="shared" si="366"/>
        <v>0</v>
      </c>
      <c r="AI548" s="39"/>
      <c r="AJ548" s="39"/>
      <c r="AK548" s="39"/>
      <c r="AL548" s="39"/>
      <c r="AM548" s="39"/>
      <c r="AN548" s="39">
        <f t="shared" si="196"/>
        <v>0</v>
      </c>
      <c r="AO548" s="39"/>
      <c r="AP548" s="39"/>
      <c r="AQ548" s="39"/>
      <c r="AR548" s="39"/>
      <c r="AS548" s="39"/>
      <c r="AT548" s="39">
        <f t="shared" si="367"/>
        <v>0</v>
      </c>
      <c r="AU548" s="39"/>
      <c r="AV548" s="39"/>
      <c r="AW548" s="39"/>
      <c r="AX548" s="39"/>
      <c r="AY548" s="39"/>
      <c r="AZ548" s="39">
        <f t="shared" si="368"/>
        <v>0</v>
      </c>
      <c r="BA548" s="39"/>
      <c r="BB548" s="39"/>
      <c r="BC548" s="39"/>
      <c r="BD548" s="39"/>
      <c r="BE548" s="39"/>
      <c r="BF548" s="39">
        <f t="shared" si="369"/>
        <v>0</v>
      </c>
      <c r="BG548" s="39"/>
      <c r="BH548" s="39"/>
      <c r="BI548" s="39"/>
      <c r="BJ548" s="39"/>
      <c r="BK548" s="39"/>
      <c r="BL548" s="39">
        <f t="shared" si="370"/>
        <v>0</v>
      </c>
      <c r="BM548" s="54">
        <f t="shared" ca="1" si="371"/>
        <v>46283</v>
      </c>
      <c r="BN548" s="66">
        <v>46280</v>
      </c>
      <c r="BO548" s="117">
        <v>46295</v>
      </c>
      <c r="BP548" s="39"/>
      <c r="BQ548" s="39"/>
      <c r="BR548" s="39"/>
      <c r="BS548" s="39"/>
      <c r="BT548" s="39"/>
      <c r="BU548" s="39"/>
      <c r="BV548" s="39"/>
      <c r="BW548" s="39"/>
      <c r="BX548" s="39"/>
      <c r="BY548" s="39"/>
      <c r="BZ548" s="39">
        <f t="shared" si="372"/>
        <v>0</v>
      </c>
      <c r="CA548" s="39">
        <f t="shared" si="373"/>
        <v>-250</v>
      </c>
      <c r="CB548" s="39">
        <f t="shared" si="374"/>
        <v>0</v>
      </c>
      <c r="CC548" s="39">
        <f t="shared" si="375"/>
        <v>0</v>
      </c>
      <c r="CD548" s="39">
        <f t="shared" si="376"/>
        <v>-250</v>
      </c>
      <c r="CE548" s="102">
        <f t="shared" si="377"/>
        <v>-1</v>
      </c>
      <c r="CF548" s="36"/>
      <c r="CG548" s="39" t="s">
        <v>415</v>
      </c>
      <c r="CH548" s="39"/>
      <c r="CI548" s="25">
        <v>2</v>
      </c>
    </row>
    <row r="549" spans="1:87" ht="24.75" customHeight="1">
      <c r="A549" s="36" t="s">
        <v>387</v>
      </c>
      <c r="B549" s="27">
        <v>48620</v>
      </c>
      <c r="C549" s="228"/>
      <c r="D549" s="36"/>
      <c r="E549" s="39">
        <v>240</v>
      </c>
      <c r="F549" s="39" t="s">
        <v>68</v>
      </c>
      <c r="G549" s="36" t="s">
        <v>23</v>
      </c>
      <c r="H549" s="36" t="s">
        <v>264</v>
      </c>
      <c r="I549" s="39">
        <v>244</v>
      </c>
      <c r="J549" s="39"/>
      <c r="K549" s="39"/>
      <c r="L549" s="39">
        <f t="shared" si="387"/>
        <v>244</v>
      </c>
      <c r="M549" s="117">
        <v>46266</v>
      </c>
      <c r="N549" s="117">
        <v>46277</v>
      </c>
      <c r="O549" s="39"/>
      <c r="P549" s="39"/>
      <c r="Q549" s="39"/>
      <c r="R549" s="39">
        <f t="shared" si="384"/>
        <v>0</v>
      </c>
      <c r="S549" s="39" t="s">
        <v>130</v>
      </c>
      <c r="T549" s="39"/>
      <c r="U549" s="39"/>
      <c r="V549" s="39"/>
      <c r="W549" s="39"/>
      <c r="X549" s="39"/>
      <c r="Y549" s="39"/>
      <c r="Z549" s="39"/>
      <c r="AA549" s="39"/>
      <c r="AB549" s="118">
        <f t="shared" si="385"/>
        <v>0</v>
      </c>
      <c r="AC549" s="39"/>
      <c r="AD549" s="39"/>
      <c r="AE549" s="39"/>
      <c r="AF549" s="39"/>
      <c r="AG549" s="39"/>
      <c r="AH549" s="39">
        <f t="shared" si="366"/>
        <v>0</v>
      </c>
      <c r="AI549" s="39"/>
      <c r="AJ549" s="39"/>
      <c r="AK549" s="39"/>
      <c r="AL549" s="39"/>
      <c r="AM549" s="39"/>
      <c r="AN549" s="39">
        <f t="shared" si="196"/>
        <v>0</v>
      </c>
      <c r="AO549" s="39"/>
      <c r="AP549" s="39"/>
      <c r="AQ549" s="39"/>
      <c r="AR549" s="39"/>
      <c r="AS549" s="39"/>
      <c r="AT549" s="39">
        <f t="shared" si="367"/>
        <v>0</v>
      </c>
      <c r="AU549" s="39"/>
      <c r="AV549" s="39"/>
      <c r="AW549" s="39"/>
      <c r="AX549" s="39"/>
      <c r="AY549" s="39"/>
      <c r="AZ549" s="39">
        <f t="shared" si="368"/>
        <v>0</v>
      </c>
      <c r="BA549" s="39"/>
      <c r="BB549" s="39"/>
      <c r="BC549" s="39"/>
      <c r="BD549" s="39"/>
      <c r="BE549" s="39"/>
      <c r="BF549" s="39">
        <f t="shared" si="369"/>
        <v>0</v>
      </c>
      <c r="BG549" s="39"/>
      <c r="BH549" s="39"/>
      <c r="BI549" s="39"/>
      <c r="BJ549" s="39"/>
      <c r="BK549" s="39"/>
      <c r="BL549" s="39">
        <f t="shared" si="370"/>
        <v>0</v>
      </c>
      <c r="BM549" s="54">
        <f t="shared" ca="1" si="371"/>
        <v>46283</v>
      </c>
      <c r="BN549" s="66">
        <v>46280</v>
      </c>
      <c r="BO549" s="117">
        <v>46295</v>
      </c>
      <c r="BP549" s="39"/>
      <c r="BQ549" s="39"/>
      <c r="BR549" s="39"/>
      <c r="BS549" s="39"/>
      <c r="BT549" s="39"/>
      <c r="BU549" s="39"/>
      <c r="BV549" s="39"/>
      <c r="BW549" s="39"/>
      <c r="BX549" s="39"/>
      <c r="BY549" s="39"/>
      <c r="BZ549" s="39">
        <f t="shared" si="372"/>
        <v>0</v>
      </c>
      <c r="CA549" s="39">
        <f t="shared" si="373"/>
        <v>-244</v>
      </c>
      <c r="CB549" s="39">
        <f t="shared" si="374"/>
        <v>0</v>
      </c>
      <c r="CC549" s="39">
        <f t="shared" si="375"/>
        <v>0</v>
      </c>
      <c r="CD549" s="39">
        <f t="shared" si="376"/>
        <v>-244</v>
      </c>
      <c r="CE549" s="102">
        <f t="shared" si="377"/>
        <v>-1</v>
      </c>
      <c r="CF549" s="36"/>
      <c r="CG549" s="39" t="s">
        <v>415</v>
      </c>
      <c r="CH549" s="39"/>
      <c r="CI549" s="25">
        <v>2</v>
      </c>
    </row>
    <row r="550" spans="1:87" ht="24.75" customHeight="1">
      <c r="A550" s="36" t="s">
        <v>387</v>
      </c>
      <c r="B550" s="27">
        <v>48621</v>
      </c>
      <c r="C550" s="36" t="s">
        <v>2409</v>
      </c>
      <c r="D550" s="36"/>
      <c r="E550" s="39">
        <v>160</v>
      </c>
      <c r="F550" s="39" t="s">
        <v>53</v>
      </c>
      <c r="G550" s="36" t="s">
        <v>23</v>
      </c>
      <c r="H550" s="36" t="s">
        <v>87</v>
      </c>
      <c r="I550" s="39">
        <v>540</v>
      </c>
      <c r="J550" s="39"/>
      <c r="K550" s="39"/>
      <c r="L550" s="39">
        <f t="shared" si="387"/>
        <v>540</v>
      </c>
      <c r="M550" s="117">
        <v>46268</v>
      </c>
      <c r="N550" s="117">
        <v>46273</v>
      </c>
      <c r="O550" s="39"/>
      <c r="P550" s="39"/>
      <c r="Q550" s="39"/>
      <c r="R550" s="39">
        <f t="shared" si="384"/>
        <v>0</v>
      </c>
      <c r="S550" s="39" t="s">
        <v>130</v>
      </c>
      <c r="T550" s="39">
        <v>109217</v>
      </c>
      <c r="U550" s="117">
        <v>46273</v>
      </c>
      <c r="V550" s="39"/>
      <c r="W550" s="39"/>
      <c r="X550" s="39"/>
      <c r="Y550" s="39">
        <v>601</v>
      </c>
      <c r="Z550" s="39"/>
      <c r="AA550" s="39"/>
      <c r="AB550" s="119">
        <f t="shared" si="385"/>
        <v>601</v>
      </c>
      <c r="AC550" s="39"/>
      <c r="AD550" s="39"/>
      <c r="AE550" s="39"/>
      <c r="AF550" s="39"/>
      <c r="AG550" s="39"/>
      <c r="AH550" s="39">
        <f t="shared" si="366"/>
        <v>0</v>
      </c>
      <c r="AI550" s="39"/>
      <c r="AJ550" s="39"/>
      <c r="AK550" s="39"/>
      <c r="AL550" s="39"/>
      <c r="AM550" s="39"/>
      <c r="AN550" s="39">
        <f t="shared" si="196"/>
        <v>0</v>
      </c>
      <c r="AO550" s="39"/>
      <c r="AP550" s="39"/>
      <c r="AQ550" s="39"/>
      <c r="AR550" s="39"/>
      <c r="AS550" s="39"/>
      <c r="AT550" s="39">
        <f t="shared" si="367"/>
        <v>0</v>
      </c>
      <c r="AU550" s="39"/>
      <c r="AV550" s="39"/>
      <c r="AW550" s="39"/>
      <c r="AX550" s="39"/>
      <c r="AY550" s="39"/>
      <c r="AZ550" s="39">
        <f t="shared" si="368"/>
        <v>0</v>
      </c>
      <c r="BA550" s="39"/>
      <c r="BB550" s="39"/>
      <c r="BC550" s="39"/>
      <c r="BD550" s="39"/>
      <c r="BE550" s="39"/>
      <c r="BF550" s="39">
        <f t="shared" si="369"/>
        <v>0</v>
      </c>
      <c r="BG550" s="39"/>
      <c r="BH550" s="39"/>
      <c r="BI550" s="39"/>
      <c r="BJ550" s="39"/>
      <c r="BK550" s="39"/>
      <c r="BL550" s="39">
        <f t="shared" si="370"/>
        <v>0</v>
      </c>
      <c r="BM550" s="54" t="str">
        <f t="shared" si="371"/>
        <v/>
      </c>
      <c r="BN550" s="66">
        <v>46281</v>
      </c>
      <c r="BO550" s="117">
        <v>46293</v>
      </c>
      <c r="BP550" s="39"/>
      <c r="BQ550" s="39"/>
      <c r="BR550" s="117">
        <v>46276</v>
      </c>
      <c r="BS550" s="117">
        <v>46276</v>
      </c>
      <c r="BT550" s="39">
        <v>781</v>
      </c>
      <c r="BU550" s="39">
        <v>553</v>
      </c>
      <c r="BV550" s="39"/>
      <c r="BW550" s="39"/>
      <c r="BX550" s="39"/>
      <c r="BY550" s="39"/>
      <c r="BZ550" s="39">
        <f t="shared" si="372"/>
        <v>553</v>
      </c>
      <c r="CA550" s="39">
        <f t="shared" si="373"/>
        <v>13</v>
      </c>
      <c r="CB550" s="39">
        <f t="shared" si="374"/>
        <v>0</v>
      </c>
      <c r="CC550" s="39">
        <f t="shared" si="375"/>
        <v>0</v>
      </c>
      <c r="CD550" s="39">
        <f t="shared" si="376"/>
        <v>0</v>
      </c>
      <c r="CE550" s="102">
        <f t="shared" si="377"/>
        <v>0</v>
      </c>
      <c r="CF550" s="36"/>
      <c r="CG550" s="39" t="s">
        <v>415</v>
      </c>
      <c r="CH550" s="39"/>
      <c r="CI550" s="25">
        <v>2</v>
      </c>
    </row>
    <row r="551" spans="1:87" ht="24.75" customHeight="1">
      <c r="A551" s="36" t="s">
        <v>387</v>
      </c>
      <c r="B551" s="27">
        <v>48624</v>
      </c>
      <c r="C551" s="227">
        <v>15391423</v>
      </c>
      <c r="D551" s="36" t="s">
        <v>49</v>
      </c>
      <c r="E551" s="39">
        <v>280</v>
      </c>
      <c r="F551" s="39" t="s">
        <v>58</v>
      </c>
      <c r="G551" s="36" t="s">
        <v>187</v>
      </c>
      <c r="H551" s="36" t="s">
        <v>539</v>
      </c>
      <c r="I551" s="39">
        <v>235</v>
      </c>
      <c r="J551" s="39">
        <v>58</v>
      </c>
      <c r="K551" s="39"/>
      <c r="L551" s="39">
        <f t="shared" si="387"/>
        <v>293</v>
      </c>
      <c r="M551" s="117">
        <v>46270</v>
      </c>
      <c r="N551" s="117">
        <v>46275</v>
      </c>
      <c r="O551" s="39"/>
      <c r="P551" s="39"/>
      <c r="Q551" s="39"/>
      <c r="R551" s="39">
        <f t="shared" si="384"/>
        <v>0</v>
      </c>
      <c r="S551" s="39" t="s">
        <v>28</v>
      </c>
      <c r="T551" s="39"/>
      <c r="U551" s="39"/>
      <c r="V551" s="117">
        <v>46282</v>
      </c>
      <c r="W551" s="39">
        <f>272+76</f>
        <v>348</v>
      </c>
      <c r="X551" s="39"/>
      <c r="Y551" s="39"/>
      <c r="Z551" s="39"/>
      <c r="AA551" s="39"/>
      <c r="AB551" s="118">
        <f t="shared" si="385"/>
        <v>0</v>
      </c>
      <c r="AC551" s="39"/>
      <c r="AD551" s="39"/>
      <c r="AE551" s="39"/>
      <c r="AF551" s="39"/>
      <c r="AG551" s="39"/>
      <c r="AH551" s="39">
        <f t="shared" si="366"/>
        <v>0</v>
      </c>
      <c r="AI551" s="39"/>
      <c r="AJ551" s="39"/>
      <c r="AK551" s="39"/>
      <c r="AL551" s="39"/>
      <c r="AM551" s="39"/>
      <c r="AN551" s="39">
        <f t="shared" si="196"/>
        <v>0</v>
      </c>
      <c r="AO551" s="39"/>
      <c r="AP551" s="39"/>
      <c r="AQ551" s="39"/>
      <c r="AR551" s="39"/>
      <c r="AS551" s="39"/>
      <c r="AT551" s="39">
        <f t="shared" si="367"/>
        <v>0</v>
      </c>
      <c r="AU551" s="39"/>
      <c r="AV551" s="39"/>
      <c r="AW551" s="39"/>
      <c r="AX551" s="39"/>
      <c r="AY551" s="39"/>
      <c r="AZ551" s="39">
        <f t="shared" si="368"/>
        <v>0</v>
      </c>
      <c r="BA551" s="39"/>
      <c r="BB551" s="39"/>
      <c r="BC551" s="39"/>
      <c r="BD551" s="39"/>
      <c r="BE551" s="39"/>
      <c r="BF551" s="39">
        <f t="shared" si="369"/>
        <v>0</v>
      </c>
      <c r="BG551" s="39"/>
      <c r="BH551" s="39"/>
      <c r="BI551" s="39"/>
      <c r="BJ551" s="39"/>
      <c r="BK551" s="39"/>
      <c r="BL551" s="39">
        <f t="shared" si="370"/>
        <v>0</v>
      </c>
      <c r="BM551" s="54">
        <f t="shared" ca="1" si="371"/>
        <v>46283</v>
      </c>
      <c r="BN551" s="66">
        <v>46280</v>
      </c>
      <c r="BO551" s="117">
        <v>46295</v>
      </c>
      <c r="BP551" s="39"/>
      <c r="BQ551" s="39"/>
      <c r="BR551" s="39"/>
      <c r="BS551" s="39"/>
      <c r="BT551" s="39"/>
      <c r="BU551" s="39"/>
      <c r="BV551" s="39"/>
      <c r="BW551" s="39"/>
      <c r="BX551" s="39"/>
      <c r="BY551" s="39"/>
      <c r="BZ551" s="39">
        <f t="shared" si="372"/>
        <v>0</v>
      </c>
      <c r="CA551" s="39">
        <f t="shared" si="373"/>
        <v>-235</v>
      </c>
      <c r="CB551" s="39">
        <f t="shared" si="374"/>
        <v>-58</v>
      </c>
      <c r="CC551" s="39">
        <f t="shared" si="375"/>
        <v>0</v>
      </c>
      <c r="CD551" s="39">
        <f t="shared" si="376"/>
        <v>-293</v>
      </c>
      <c r="CE551" s="102">
        <f t="shared" si="377"/>
        <v>-1</v>
      </c>
      <c r="CF551" s="36"/>
      <c r="CG551" s="39" t="s">
        <v>415</v>
      </c>
      <c r="CH551" s="39"/>
      <c r="CI551" s="25">
        <v>2</v>
      </c>
    </row>
    <row r="552" spans="1:87" ht="24.75" customHeight="1">
      <c r="A552" s="36" t="s">
        <v>387</v>
      </c>
      <c r="B552" s="27">
        <v>48624</v>
      </c>
      <c r="C552" s="228"/>
      <c r="D552" s="36"/>
      <c r="E552" s="39"/>
      <c r="F552" s="39"/>
      <c r="G552" s="36" t="s">
        <v>92</v>
      </c>
      <c r="H552" s="36">
        <v>250</v>
      </c>
      <c r="I552" s="39" t="s">
        <v>90</v>
      </c>
      <c r="J552" s="39"/>
      <c r="K552" s="39"/>
      <c r="L552" s="39">
        <f t="shared" si="387"/>
        <v>0</v>
      </c>
      <c r="M552" s="117">
        <v>46270</v>
      </c>
      <c r="N552" s="117">
        <v>46275</v>
      </c>
      <c r="O552" s="39"/>
      <c r="P552" s="39"/>
      <c r="Q552" s="39"/>
      <c r="R552" s="39">
        <f t="shared" si="384"/>
        <v>0</v>
      </c>
      <c r="S552" s="39" t="s">
        <v>130</v>
      </c>
      <c r="T552" s="39"/>
      <c r="U552" s="39"/>
      <c r="V552" s="117">
        <v>46282</v>
      </c>
      <c r="W552" s="39">
        <v>2</v>
      </c>
      <c r="X552" s="39"/>
      <c r="Y552" s="39"/>
      <c r="Z552" s="39"/>
      <c r="AA552" s="39"/>
      <c r="AB552" s="39">
        <f t="shared" si="385"/>
        <v>0</v>
      </c>
      <c r="AC552" s="39"/>
      <c r="AD552" s="39"/>
      <c r="AE552" s="39"/>
      <c r="AF552" s="39"/>
      <c r="AG552" s="39"/>
      <c r="AH552" s="39">
        <f t="shared" si="366"/>
        <v>0</v>
      </c>
      <c r="AI552" s="39"/>
      <c r="AJ552" s="39"/>
      <c r="AK552" s="39"/>
      <c r="AL552" s="39"/>
      <c r="AM552" s="39"/>
      <c r="AN552" s="39">
        <f t="shared" si="196"/>
        <v>0</v>
      </c>
      <c r="AO552" s="39"/>
      <c r="AP552" s="39"/>
      <c r="AQ552" s="39"/>
      <c r="AR552" s="39"/>
      <c r="AS552" s="39"/>
      <c r="AT552" s="39">
        <f t="shared" si="367"/>
        <v>0</v>
      </c>
      <c r="AU552" s="39"/>
      <c r="AV552" s="39"/>
      <c r="AW552" s="39"/>
      <c r="AX552" s="39"/>
      <c r="AY552" s="39"/>
      <c r="AZ552" s="39">
        <f t="shared" si="368"/>
        <v>0</v>
      </c>
      <c r="BA552" s="39"/>
      <c r="BB552" s="39"/>
      <c r="BC552" s="39"/>
      <c r="BD552" s="39"/>
      <c r="BE552" s="39"/>
      <c r="BF552" s="39">
        <f t="shared" si="369"/>
        <v>0</v>
      </c>
      <c r="BG552" s="39"/>
      <c r="BH552" s="39"/>
      <c r="BI552" s="39"/>
      <c r="BJ552" s="39"/>
      <c r="BK552" s="39"/>
      <c r="BL552" s="39">
        <f t="shared" si="370"/>
        <v>0</v>
      </c>
      <c r="BM552" s="54" t="e">
        <f t="shared" si="371"/>
        <v>#DIV/0!</v>
      </c>
      <c r="BN552" s="66">
        <v>46280</v>
      </c>
      <c r="BO552" s="117">
        <v>46295</v>
      </c>
      <c r="BP552" s="39"/>
      <c r="BQ552" s="39"/>
      <c r="BR552" s="39"/>
      <c r="BS552" s="39"/>
      <c r="BT552" s="39"/>
      <c r="BU552" s="39"/>
      <c r="BV552" s="39"/>
      <c r="BW552" s="39"/>
      <c r="BX552" s="39"/>
      <c r="BY552" s="39"/>
      <c r="BZ552" s="39">
        <f t="shared" si="372"/>
        <v>0</v>
      </c>
      <c r="CA552" s="39" t="e">
        <f t="shared" si="373"/>
        <v>#VALUE!</v>
      </c>
      <c r="CB552" s="39">
        <f t="shared" si="374"/>
        <v>0</v>
      </c>
      <c r="CC552" s="39">
        <f t="shared" si="375"/>
        <v>0</v>
      </c>
      <c r="CD552" s="39">
        <f t="shared" si="376"/>
        <v>0</v>
      </c>
      <c r="CE552" s="102" t="e">
        <f t="shared" si="377"/>
        <v>#DIV/0!</v>
      </c>
      <c r="CF552" s="36"/>
      <c r="CG552" s="39" t="s">
        <v>415</v>
      </c>
      <c r="CH552" s="39"/>
      <c r="CI552" s="25">
        <v>2</v>
      </c>
    </row>
    <row r="553" spans="1:87" ht="24.75" customHeight="1">
      <c r="A553" s="36" t="s">
        <v>387</v>
      </c>
      <c r="B553" s="27" t="s">
        <v>2360</v>
      </c>
      <c r="C553" s="227" t="s">
        <v>2361</v>
      </c>
      <c r="D553" s="36"/>
      <c r="E553" s="39">
        <v>140</v>
      </c>
      <c r="F553" s="39" t="s">
        <v>57</v>
      </c>
      <c r="G553" s="36" t="s">
        <v>47</v>
      </c>
      <c r="H553" s="36" t="s">
        <v>22</v>
      </c>
      <c r="I553" s="39">
        <v>93</v>
      </c>
      <c r="J553" s="39">
        <v>8</v>
      </c>
      <c r="K553" s="39"/>
      <c r="L553" s="39">
        <f t="shared" si="387"/>
        <v>101</v>
      </c>
      <c r="M553" s="117">
        <v>46273</v>
      </c>
      <c r="N553" s="117">
        <v>46278</v>
      </c>
      <c r="O553" s="39"/>
      <c r="P553" s="39"/>
      <c r="Q553" s="39"/>
      <c r="R553" s="39">
        <f t="shared" si="384"/>
        <v>0</v>
      </c>
      <c r="S553" s="39" t="s">
        <v>130</v>
      </c>
      <c r="T553" s="39">
        <v>108922</v>
      </c>
      <c r="U553" s="117">
        <v>46260</v>
      </c>
      <c r="V553" s="39"/>
      <c r="W553" s="39"/>
      <c r="X553" s="39"/>
      <c r="Y553" s="39">
        <v>115</v>
      </c>
      <c r="Z553" s="39">
        <v>11</v>
      </c>
      <c r="AA553" s="39"/>
      <c r="AB553" s="119">
        <f t="shared" si="385"/>
        <v>126</v>
      </c>
      <c r="AC553" s="39"/>
      <c r="AD553" s="39"/>
      <c r="AE553" s="39"/>
      <c r="AF553" s="39"/>
      <c r="AG553" s="39"/>
      <c r="AH553" s="39">
        <f t="shared" si="366"/>
        <v>0</v>
      </c>
      <c r="AI553" s="39"/>
      <c r="AJ553" s="39"/>
      <c r="AK553" s="39"/>
      <c r="AL553" s="39"/>
      <c r="AM553" s="39"/>
      <c r="AN553" s="39">
        <f t="shared" si="196"/>
        <v>0</v>
      </c>
      <c r="AO553" s="39"/>
      <c r="AP553" s="39"/>
      <c r="AQ553" s="39"/>
      <c r="AR553" s="39"/>
      <c r="AS553" s="39"/>
      <c r="AT553" s="39">
        <f t="shared" si="367"/>
        <v>0</v>
      </c>
      <c r="AU553" s="39"/>
      <c r="AV553" s="39"/>
      <c r="AW553" s="39"/>
      <c r="AX553" s="39"/>
      <c r="AY553" s="39"/>
      <c r="AZ553" s="39">
        <f t="shared" si="368"/>
        <v>0</v>
      </c>
      <c r="BA553" s="39"/>
      <c r="BB553" s="39"/>
      <c r="BC553" s="39"/>
      <c r="BD553" s="39"/>
      <c r="BE553" s="39"/>
      <c r="BF553" s="39">
        <f t="shared" si="369"/>
        <v>0</v>
      </c>
      <c r="BG553" s="39"/>
      <c r="BH553" s="39"/>
      <c r="BI553" s="39"/>
      <c r="BJ553" s="39"/>
      <c r="BK553" s="39"/>
      <c r="BL553" s="39">
        <f t="shared" si="370"/>
        <v>0</v>
      </c>
      <c r="BM553" s="54" t="str">
        <f t="shared" si="371"/>
        <v/>
      </c>
      <c r="BN553" s="66">
        <v>46285</v>
      </c>
      <c r="BO553" s="117">
        <v>46300</v>
      </c>
      <c r="BP553" s="39"/>
      <c r="BQ553" s="39"/>
      <c r="BR553" s="117">
        <v>46263</v>
      </c>
      <c r="BS553" s="117">
        <v>46270</v>
      </c>
      <c r="BT553" s="39">
        <v>715</v>
      </c>
      <c r="BU553" s="39">
        <v>99</v>
      </c>
      <c r="BV553" s="39">
        <v>756</v>
      </c>
      <c r="BW553" s="39">
        <v>8</v>
      </c>
      <c r="BX553" s="39"/>
      <c r="BY553" s="39"/>
      <c r="BZ553" s="39">
        <f t="shared" si="372"/>
        <v>107</v>
      </c>
      <c r="CA553" s="39">
        <f t="shared" si="373"/>
        <v>6</v>
      </c>
      <c r="CB553" s="39">
        <f t="shared" si="374"/>
        <v>0</v>
      </c>
      <c r="CC553" s="39">
        <f t="shared" si="375"/>
        <v>0</v>
      </c>
      <c r="CD553" s="39">
        <f t="shared" si="376"/>
        <v>0</v>
      </c>
      <c r="CE553" s="102">
        <f t="shared" si="377"/>
        <v>0</v>
      </c>
      <c r="CF553" s="36"/>
      <c r="CG553" s="39" t="s">
        <v>415</v>
      </c>
      <c r="CH553" s="39" t="s">
        <v>114</v>
      </c>
      <c r="CI553" s="25">
        <v>2</v>
      </c>
    </row>
    <row r="554" spans="1:87" ht="24.75" customHeight="1">
      <c r="A554" s="36" t="s">
        <v>387</v>
      </c>
      <c r="B554" s="27" t="s">
        <v>2360</v>
      </c>
      <c r="C554" s="228"/>
      <c r="D554" s="36"/>
      <c r="E554" s="39">
        <v>140</v>
      </c>
      <c r="F554" s="39" t="s">
        <v>57</v>
      </c>
      <c r="G554" s="36" t="s">
        <v>23</v>
      </c>
      <c r="H554" s="36" t="s">
        <v>22</v>
      </c>
      <c r="I554" s="39">
        <v>93</v>
      </c>
      <c r="J554" s="39">
        <v>8</v>
      </c>
      <c r="K554" s="39"/>
      <c r="L554" s="39">
        <f t="shared" si="387"/>
        <v>101</v>
      </c>
      <c r="M554" s="117">
        <v>46273</v>
      </c>
      <c r="N554" s="117">
        <v>46278</v>
      </c>
      <c r="O554" s="39"/>
      <c r="P554" s="39"/>
      <c r="Q554" s="39"/>
      <c r="R554" s="39">
        <f t="shared" si="384"/>
        <v>0</v>
      </c>
      <c r="S554" s="39" t="s">
        <v>100</v>
      </c>
      <c r="T554" s="39"/>
      <c r="U554" s="39"/>
      <c r="V554" s="117">
        <v>46258</v>
      </c>
      <c r="W554" s="39">
        <f>112+11</f>
        <v>123</v>
      </c>
      <c r="X554" s="39"/>
      <c r="Y554" s="39"/>
      <c r="Z554" s="39"/>
      <c r="AA554" s="39"/>
      <c r="AB554" s="118">
        <f t="shared" si="385"/>
        <v>0</v>
      </c>
      <c r="AC554" s="39"/>
      <c r="AD554" s="39"/>
      <c r="AE554" s="39"/>
      <c r="AF554" s="39"/>
      <c r="AG554" s="39"/>
      <c r="AH554" s="39">
        <f t="shared" si="366"/>
        <v>0</v>
      </c>
      <c r="AI554" s="39"/>
      <c r="AJ554" s="39"/>
      <c r="AK554" s="39"/>
      <c r="AL554" s="39"/>
      <c r="AM554" s="39"/>
      <c r="AN554" s="39">
        <f t="shared" si="196"/>
        <v>0</v>
      </c>
      <c r="AO554" s="39"/>
      <c r="AP554" s="39"/>
      <c r="AQ554" s="39"/>
      <c r="AR554" s="39"/>
      <c r="AS554" s="39"/>
      <c r="AT554" s="39">
        <f t="shared" si="367"/>
        <v>0</v>
      </c>
      <c r="AU554" s="39"/>
      <c r="AV554" s="39"/>
      <c r="AW554" s="39"/>
      <c r="AX554" s="39"/>
      <c r="AY554" s="39"/>
      <c r="AZ554" s="39">
        <f t="shared" si="368"/>
        <v>0</v>
      </c>
      <c r="BA554" s="39"/>
      <c r="BB554" s="39"/>
      <c r="BC554" s="39"/>
      <c r="BD554" s="39"/>
      <c r="BE554" s="39"/>
      <c r="BF554" s="39">
        <f t="shared" si="369"/>
        <v>0</v>
      </c>
      <c r="BG554" s="39"/>
      <c r="BH554" s="39"/>
      <c r="BI554" s="39"/>
      <c r="BJ554" s="39"/>
      <c r="BK554" s="39"/>
      <c r="BL554" s="39">
        <f t="shared" si="370"/>
        <v>0</v>
      </c>
      <c r="BM554" s="54">
        <f t="shared" ca="1" si="371"/>
        <v>46283</v>
      </c>
      <c r="BN554" s="66">
        <v>46285</v>
      </c>
      <c r="BO554" s="117">
        <v>46300</v>
      </c>
      <c r="BP554" s="39"/>
      <c r="BQ554" s="39"/>
      <c r="BR554" s="39"/>
      <c r="BS554" s="39"/>
      <c r="BT554" s="39"/>
      <c r="BU554" s="39"/>
      <c r="BV554" s="39"/>
      <c r="BW554" s="39"/>
      <c r="BX554" s="39"/>
      <c r="BY554" s="39"/>
      <c r="BZ554" s="39">
        <f t="shared" si="372"/>
        <v>0</v>
      </c>
      <c r="CA554" s="39">
        <f t="shared" si="373"/>
        <v>-93</v>
      </c>
      <c r="CB554" s="39">
        <f t="shared" si="374"/>
        <v>-8</v>
      </c>
      <c r="CC554" s="39">
        <f t="shared" si="375"/>
        <v>0</v>
      </c>
      <c r="CD554" s="39">
        <f t="shared" si="376"/>
        <v>-101</v>
      </c>
      <c r="CE554" s="102">
        <f t="shared" si="377"/>
        <v>-1</v>
      </c>
      <c r="CF554" s="36"/>
      <c r="CG554" s="39" t="s">
        <v>415</v>
      </c>
      <c r="CH554" s="39"/>
      <c r="CI554" s="25">
        <v>2</v>
      </c>
    </row>
    <row r="555" spans="1:87" ht="24.75" customHeight="1">
      <c r="A555" s="36" t="s">
        <v>387</v>
      </c>
      <c r="B555" s="27" t="s">
        <v>2385</v>
      </c>
      <c r="C555" s="227" t="s">
        <v>2386</v>
      </c>
      <c r="D555" s="36"/>
      <c r="E555" s="39">
        <v>160</v>
      </c>
      <c r="F555" s="39" t="s">
        <v>57</v>
      </c>
      <c r="G555" s="36" t="s">
        <v>1310</v>
      </c>
      <c r="H555" s="36" t="s">
        <v>2387</v>
      </c>
      <c r="I555" s="39">
        <v>1206</v>
      </c>
      <c r="J555" s="39">
        <v>74</v>
      </c>
      <c r="K555" s="39"/>
      <c r="L555" s="39">
        <f t="shared" ref="L555:L557" si="388">SUM(I555:K555)</f>
        <v>1280</v>
      </c>
      <c r="M555" s="117">
        <v>46266</v>
      </c>
      <c r="N555" s="117">
        <v>46277</v>
      </c>
      <c r="O555" s="39"/>
      <c r="P555" s="39"/>
      <c r="Q555" s="39"/>
      <c r="R555" s="39">
        <f t="shared" ref="R555:R557" si="389">SUM(O555:Q555)</f>
        <v>0</v>
      </c>
      <c r="S555" s="39" t="s">
        <v>130</v>
      </c>
      <c r="T555" s="39">
        <v>109125</v>
      </c>
      <c r="U555" s="117">
        <v>46266</v>
      </c>
      <c r="V555" s="39"/>
      <c r="W555" s="39"/>
      <c r="X555" s="39"/>
      <c r="Y555" s="39">
        <f>922</f>
        <v>922</v>
      </c>
      <c r="Z555" s="39">
        <v>80</v>
      </c>
      <c r="AA555" s="39"/>
      <c r="AB555" s="118">
        <f t="shared" ref="AB555:AB557" si="390">SUM(Y555:AA555)</f>
        <v>1002</v>
      </c>
      <c r="AC555" s="39"/>
      <c r="AD555" s="39"/>
      <c r="AE555" s="39"/>
      <c r="AF555" s="39"/>
      <c r="AG555" s="39"/>
      <c r="AH555" s="39">
        <f t="shared" si="366"/>
        <v>0</v>
      </c>
      <c r="AI555" s="39"/>
      <c r="AJ555" s="39"/>
      <c r="AK555" s="39"/>
      <c r="AL555" s="39"/>
      <c r="AM555" s="39"/>
      <c r="AN555" s="39">
        <f t="shared" si="196"/>
        <v>0</v>
      </c>
      <c r="AO555" s="39"/>
      <c r="AP555" s="39"/>
      <c r="AQ555" s="39"/>
      <c r="AR555" s="39"/>
      <c r="AS555" s="39"/>
      <c r="AT555" s="39">
        <f t="shared" si="367"/>
        <v>0</v>
      </c>
      <c r="AU555" s="39"/>
      <c r="AV555" s="39"/>
      <c r="AW555" s="39"/>
      <c r="AX555" s="39"/>
      <c r="AY555" s="39"/>
      <c r="AZ555" s="39">
        <f t="shared" si="368"/>
        <v>0</v>
      </c>
      <c r="BA555" s="39"/>
      <c r="BB555" s="39"/>
      <c r="BC555" s="39"/>
      <c r="BD555" s="39"/>
      <c r="BE555" s="39"/>
      <c r="BF555" s="39">
        <f t="shared" si="369"/>
        <v>0</v>
      </c>
      <c r="BG555" s="39"/>
      <c r="BH555" s="39"/>
      <c r="BI555" s="39"/>
      <c r="BJ555" s="39"/>
      <c r="BK555" s="39"/>
      <c r="BL555" s="39">
        <f t="shared" si="370"/>
        <v>0</v>
      </c>
      <c r="BM555" s="54">
        <f t="shared" ca="1" si="371"/>
        <v>17</v>
      </c>
      <c r="BN555" s="66">
        <v>46279</v>
      </c>
      <c r="BO555" s="117">
        <v>46300</v>
      </c>
      <c r="BP555" s="39"/>
      <c r="BQ555" s="39"/>
      <c r="BR555" s="117">
        <v>46268</v>
      </c>
      <c r="BS555" s="39"/>
      <c r="BT555" s="39">
        <v>743</v>
      </c>
      <c r="BU555" s="39">
        <f>890</f>
        <v>890</v>
      </c>
      <c r="BV555" s="39"/>
      <c r="BW555" s="39"/>
      <c r="BX555" s="39"/>
      <c r="BY555" s="39"/>
      <c r="BZ555" s="39">
        <f t="shared" si="372"/>
        <v>890</v>
      </c>
      <c r="CA555" s="39">
        <f t="shared" si="373"/>
        <v>-316</v>
      </c>
      <c r="CB555" s="39">
        <f t="shared" si="374"/>
        <v>-74</v>
      </c>
      <c r="CC555" s="39">
        <f t="shared" si="375"/>
        <v>0</v>
      </c>
      <c r="CD555" s="39">
        <f t="shared" si="376"/>
        <v>-390</v>
      </c>
      <c r="CE555" s="102">
        <f t="shared" si="377"/>
        <v>-0.3046875</v>
      </c>
      <c r="CF555" s="36" t="s">
        <v>249</v>
      </c>
      <c r="CG555" s="39" t="s">
        <v>222</v>
      </c>
      <c r="CH555" s="39" t="s">
        <v>114</v>
      </c>
      <c r="CI555" s="25">
        <v>2</v>
      </c>
    </row>
    <row r="556" spans="1:87" ht="24.75" customHeight="1">
      <c r="A556" s="36" t="s">
        <v>387</v>
      </c>
      <c r="B556" s="27" t="s">
        <v>2385</v>
      </c>
      <c r="C556" s="231"/>
      <c r="D556" s="36"/>
      <c r="E556" s="39">
        <v>160</v>
      </c>
      <c r="F556" s="39" t="s">
        <v>57</v>
      </c>
      <c r="G556" s="36" t="s">
        <v>2691</v>
      </c>
      <c r="H556" s="36" t="s">
        <v>2387</v>
      </c>
      <c r="I556" s="39">
        <v>1206</v>
      </c>
      <c r="J556" s="39">
        <v>74</v>
      </c>
      <c r="K556" s="39"/>
      <c r="L556" s="39">
        <f t="shared" si="388"/>
        <v>1280</v>
      </c>
      <c r="M556" s="117">
        <v>46266</v>
      </c>
      <c r="N556" s="117">
        <v>46277</v>
      </c>
      <c r="O556" s="39"/>
      <c r="P556" s="39"/>
      <c r="Q556" s="39"/>
      <c r="R556" s="39">
        <f t="shared" si="389"/>
        <v>0</v>
      </c>
      <c r="S556" s="39" t="s">
        <v>31</v>
      </c>
      <c r="T556" s="39"/>
      <c r="U556" s="39"/>
      <c r="V556" s="117">
        <v>46265</v>
      </c>
      <c r="W556" s="39">
        <f>1315+88</f>
        <v>1403</v>
      </c>
      <c r="X556" s="117">
        <v>46275</v>
      </c>
      <c r="Y556" s="39">
        <v>1264</v>
      </c>
      <c r="Z556" s="39"/>
      <c r="AA556" s="39"/>
      <c r="AB556" s="120">
        <f t="shared" si="390"/>
        <v>1264</v>
      </c>
      <c r="AC556" s="39"/>
      <c r="AD556" s="39"/>
      <c r="AE556" s="39"/>
      <c r="AF556" s="39"/>
      <c r="AG556" s="39"/>
      <c r="AH556" s="39">
        <f t="shared" si="366"/>
        <v>0</v>
      </c>
      <c r="AI556" s="39"/>
      <c r="AJ556" s="39"/>
      <c r="AK556" s="39"/>
      <c r="AL556" s="39"/>
      <c r="AM556" s="39"/>
      <c r="AN556" s="39">
        <f t="shared" si="196"/>
        <v>0</v>
      </c>
      <c r="AO556" s="39"/>
      <c r="AP556" s="39"/>
      <c r="AQ556" s="39"/>
      <c r="AR556" s="39"/>
      <c r="AS556" s="39"/>
      <c r="AT556" s="39">
        <f t="shared" si="367"/>
        <v>0</v>
      </c>
      <c r="AU556" s="39"/>
      <c r="AV556" s="39"/>
      <c r="AW556" s="39"/>
      <c r="AX556" s="39"/>
      <c r="AY556" s="39"/>
      <c r="AZ556" s="39">
        <f t="shared" si="368"/>
        <v>0</v>
      </c>
      <c r="BA556" s="39"/>
      <c r="BB556" s="39"/>
      <c r="BC556" s="39"/>
      <c r="BD556" s="39"/>
      <c r="BE556" s="39"/>
      <c r="BF556" s="39">
        <f t="shared" si="369"/>
        <v>0</v>
      </c>
      <c r="BG556" s="39"/>
      <c r="BH556" s="39"/>
      <c r="BI556" s="39"/>
      <c r="BJ556" s="39"/>
      <c r="BK556" s="39"/>
      <c r="BL556" s="39">
        <f t="shared" si="370"/>
        <v>0</v>
      </c>
      <c r="BM556" s="54" t="str">
        <f t="shared" si="371"/>
        <v/>
      </c>
      <c r="BN556" s="66">
        <v>46279</v>
      </c>
      <c r="BO556" s="117">
        <v>46300</v>
      </c>
      <c r="BP556" s="39"/>
      <c r="BQ556" s="39"/>
      <c r="BR556" s="117">
        <v>46276</v>
      </c>
      <c r="BS556" s="39"/>
      <c r="BT556" s="39">
        <v>858</v>
      </c>
      <c r="BU556" s="39">
        <v>1264</v>
      </c>
      <c r="BV556" s="39"/>
      <c r="BW556" s="39"/>
      <c r="BX556" s="39"/>
      <c r="BY556" s="39"/>
      <c r="BZ556" s="39">
        <f t="shared" si="372"/>
        <v>1264</v>
      </c>
      <c r="CA556" s="39">
        <f t="shared" si="373"/>
        <v>58</v>
      </c>
      <c r="CB556" s="39">
        <f t="shared" si="374"/>
        <v>-74</v>
      </c>
      <c r="CC556" s="39">
        <f t="shared" si="375"/>
        <v>0</v>
      </c>
      <c r="CD556" s="39">
        <f t="shared" si="376"/>
        <v>-74</v>
      </c>
      <c r="CE556" s="102">
        <f t="shared" si="377"/>
        <v>-5.7812500000000003E-2</v>
      </c>
      <c r="CF556" s="36" t="s">
        <v>249</v>
      </c>
      <c r="CG556" s="39" t="s">
        <v>222</v>
      </c>
      <c r="CH556" s="39"/>
      <c r="CI556" s="25">
        <v>2</v>
      </c>
    </row>
    <row r="557" spans="1:87" ht="24.75" customHeight="1">
      <c r="A557" s="36" t="s">
        <v>387</v>
      </c>
      <c r="B557" s="27" t="s">
        <v>2385</v>
      </c>
      <c r="C557" s="228"/>
      <c r="D557" s="36"/>
      <c r="E557" s="39">
        <v>160</v>
      </c>
      <c r="F557" s="39" t="s">
        <v>57</v>
      </c>
      <c r="G557" s="36" t="s">
        <v>2692</v>
      </c>
      <c r="H557" s="36" t="s">
        <v>2387</v>
      </c>
      <c r="I557" s="39">
        <v>1164</v>
      </c>
      <c r="J557" s="39">
        <v>71</v>
      </c>
      <c r="K557" s="39"/>
      <c r="L557" s="39">
        <f t="shared" si="388"/>
        <v>1235</v>
      </c>
      <c r="M557" s="117">
        <v>46266</v>
      </c>
      <c r="N557" s="117">
        <v>46277</v>
      </c>
      <c r="O557" s="39"/>
      <c r="P557" s="39"/>
      <c r="Q557" s="39"/>
      <c r="R557" s="39">
        <f t="shared" si="389"/>
        <v>0</v>
      </c>
      <c r="S557" s="39" t="s">
        <v>31</v>
      </c>
      <c r="T557" s="39"/>
      <c r="U557" s="39"/>
      <c r="V557" s="117">
        <v>46265</v>
      </c>
      <c r="W557" s="39">
        <f>970+85</f>
        <v>1055</v>
      </c>
      <c r="X557" s="117">
        <v>46279</v>
      </c>
      <c r="Y557" s="39">
        <f>923</f>
        <v>923</v>
      </c>
      <c r="Z557" s="39"/>
      <c r="AA557" s="39"/>
      <c r="AB557" s="120">
        <f t="shared" si="390"/>
        <v>923</v>
      </c>
      <c r="AC557" s="39"/>
      <c r="AD557" s="39"/>
      <c r="AE557" s="39"/>
      <c r="AF557" s="39"/>
      <c r="AG557" s="39"/>
      <c r="AH557" s="39">
        <f t="shared" si="366"/>
        <v>0</v>
      </c>
      <c r="AI557" s="39"/>
      <c r="AJ557" s="39"/>
      <c r="AK557" s="39"/>
      <c r="AL557" s="39"/>
      <c r="AM557" s="39"/>
      <c r="AN557" s="39">
        <f t="shared" si="196"/>
        <v>0</v>
      </c>
      <c r="AO557" s="39"/>
      <c r="AP557" s="39"/>
      <c r="AQ557" s="39"/>
      <c r="AR557" s="39"/>
      <c r="AS557" s="39"/>
      <c r="AT557" s="39">
        <f t="shared" si="367"/>
        <v>0</v>
      </c>
      <c r="AU557" s="39"/>
      <c r="AV557" s="39"/>
      <c r="AW557" s="39"/>
      <c r="AX557" s="39"/>
      <c r="AY557" s="39"/>
      <c r="AZ557" s="39">
        <f t="shared" si="368"/>
        <v>0</v>
      </c>
      <c r="BA557" s="39"/>
      <c r="BB557" s="39"/>
      <c r="BC557" s="39"/>
      <c r="BD557" s="39"/>
      <c r="BE557" s="39"/>
      <c r="BF557" s="39">
        <f t="shared" si="369"/>
        <v>0</v>
      </c>
      <c r="BG557" s="39"/>
      <c r="BH557" s="39"/>
      <c r="BI557" s="39"/>
      <c r="BJ557" s="39"/>
      <c r="BK557" s="39"/>
      <c r="BL557" s="39">
        <f t="shared" si="370"/>
        <v>0</v>
      </c>
      <c r="BM557" s="54">
        <f t="shared" ca="1" si="371"/>
        <v>46283</v>
      </c>
      <c r="BN557" s="66">
        <v>46279</v>
      </c>
      <c r="BO557" s="117">
        <v>46300</v>
      </c>
      <c r="BP557" s="39"/>
      <c r="BQ557" s="39"/>
      <c r="BR557" s="117">
        <v>46279</v>
      </c>
      <c r="BS557" s="39"/>
      <c r="BT557" s="39">
        <v>863</v>
      </c>
      <c r="BU557" s="39">
        <f>923</f>
        <v>923</v>
      </c>
      <c r="BV557" s="39"/>
      <c r="BW557" s="39"/>
      <c r="BX557" s="39"/>
      <c r="BY557" s="39"/>
      <c r="BZ557" s="39">
        <f t="shared" si="372"/>
        <v>923</v>
      </c>
      <c r="CA557" s="39">
        <f t="shared" si="373"/>
        <v>-241</v>
      </c>
      <c r="CB557" s="39">
        <f t="shared" si="374"/>
        <v>-71</v>
      </c>
      <c r="CC557" s="39">
        <f t="shared" si="375"/>
        <v>0</v>
      </c>
      <c r="CD557" s="39">
        <f t="shared" si="376"/>
        <v>-312</v>
      </c>
      <c r="CE557" s="102">
        <f t="shared" si="377"/>
        <v>-0.25263157894736843</v>
      </c>
      <c r="CF557" s="36" t="s">
        <v>249</v>
      </c>
      <c r="CG557" s="39" t="s">
        <v>222</v>
      </c>
      <c r="CH557" s="39"/>
      <c r="CI557" s="25">
        <v>2</v>
      </c>
    </row>
    <row r="558" spans="1:87" ht="24.75" customHeight="1">
      <c r="A558" s="36" t="s">
        <v>387</v>
      </c>
      <c r="B558" s="27" t="s">
        <v>2388</v>
      </c>
      <c r="C558" s="227">
        <v>15318144</v>
      </c>
      <c r="D558" s="36"/>
      <c r="E558" s="39">
        <v>140</v>
      </c>
      <c r="F558" s="39" t="s">
        <v>57</v>
      </c>
      <c r="G558" s="36" t="s">
        <v>47</v>
      </c>
      <c r="H558" s="36" t="s">
        <v>22</v>
      </c>
      <c r="I558" s="39">
        <v>172</v>
      </c>
      <c r="J558" s="39">
        <v>14</v>
      </c>
      <c r="K558" s="39"/>
      <c r="L558" s="39">
        <f t="shared" ref="L558:L575" si="391">SUM(I558:K558)</f>
        <v>186</v>
      </c>
      <c r="M558" s="117">
        <v>46266</v>
      </c>
      <c r="N558" s="117">
        <v>46272</v>
      </c>
      <c r="O558" s="39"/>
      <c r="P558" s="39"/>
      <c r="Q558" s="39"/>
      <c r="R558" s="39">
        <f t="shared" ref="R558:R583" si="392">SUM(O558:Q558)</f>
        <v>0</v>
      </c>
      <c r="S558" s="39" t="s">
        <v>130</v>
      </c>
      <c r="T558" s="39">
        <v>108918</v>
      </c>
      <c r="U558" s="117">
        <v>46260</v>
      </c>
      <c r="V558" s="39"/>
      <c r="W558" s="39"/>
      <c r="X558" s="39"/>
      <c r="Y558" s="39">
        <v>209</v>
      </c>
      <c r="Z558" s="39">
        <v>16</v>
      </c>
      <c r="AA558" s="39"/>
      <c r="AB558" s="119">
        <f t="shared" ref="AB558:AB583" si="393">SUM(Y558:AA558)</f>
        <v>225</v>
      </c>
      <c r="AC558" s="39"/>
      <c r="AD558" s="39"/>
      <c r="AE558" s="39"/>
      <c r="AF558" s="39"/>
      <c r="AG558" s="39"/>
      <c r="AH558" s="39">
        <f t="shared" si="366"/>
        <v>0</v>
      </c>
      <c r="AI558" s="39"/>
      <c r="AJ558" s="39"/>
      <c r="AK558" s="39"/>
      <c r="AL558" s="39"/>
      <c r="AM558" s="39"/>
      <c r="AN558" s="39">
        <f t="shared" si="196"/>
        <v>0</v>
      </c>
      <c r="AO558" s="39"/>
      <c r="AP558" s="39"/>
      <c r="AQ558" s="39"/>
      <c r="AR558" s="39"/>
      <c r="AS558" s="39"/>
      <c r="AT558" s="39">
        <f t="shared" si="367"/>
        <v>0</v>
      </c>
      <c r="AU558" s="39"/>
      <c r="AV558" s="39"/>
      <c r="AW558" s="39"/>
      <c r="AX558" s="39"/>
      <c r="AY558" s="39"/>
      <c r="AZ558" s="39">
        <f t="shared" si="368"/>
        <v>0</v>
      </c>
      <c r="BA558" s="39"/>
      <c r="BB558" s="39"/>
      <c r="BC558" s="39"/>
      <c r="BD558" s="39"/>
      <c r="BE558" s="39"/>
      <c r="BF558" s="39">
        <f t="shared" si="369"/>
        <v>0</v>
      </c>
      <c r="BG558" s="39"/>
      <c r="BH558" s="39"/>
      <c r="BI558" s="39"/>
      <c r="BJ558" s="39"/>
      <c r="BK558" s="39"/>
      <c r="BL558" s="39">
        <f t="shared" si="370"/>
        <v>0</v>
      </c>
      <c r="BM558" s="54" t="str">
        <f t="shared" si="371"/>
        <v/>
      </c>
      <c r="BN558" s="66">
        <v>46278</v>
      </c>
      <c r="BO558" s="117">
        <v>46295</v>
      </c>
      <c r="BP558" s="39"/>
      <c r="BQ558" s="39"/>
      <c r="BR558" s="117">
        <v>46263</v>
      </c>
      <c r="BS558" s="117">
        <v>46270</v>
      </c>
      <c r="BT558" s="39">
        <v>715</v>
      </c>
      <c r="BU558" s="39">
        <v>178</v>
      </c>
      <c r="BV558" s="39">
        <v>756</v>
      </c>
      <c r="BW558" s="39">
        <f>11</f>
        <v>11</v>
      </c>
      <c r="BX558" s="39"/>
      <c r="BY558" s="39"/>
      <c r="BZ558" s="39">
        <f t="shared" si="372"/>
        <v>189</v>
      </c>
      <c r="CA558" s="39">
        <f t="shared" si="373"/>
        <v>6</v>
      </c>
      <c r="CB558" s="39">
        <f t="shared" si="374"/>
        <v>-3</v>
      </c>
      <c r="CC558" s="39">
        <f t="shared" si="375"/>
        <v>0</v>
      </c>
      <c r="CD558" s="39">
        <f t="shared" si="376"/>
        <v>-3</v>
      </c>
      <c r="CE558" s="102">
        <f t="shared" si="377"/>
        <v>-1.6129032258064516E-2</v>
      </c>
      <c r="CF558" s="36" t="s">
        <v>249</v>
      </c>
      <c r="CG558" s="39" t="s">
        <v>222</v>
      </c>
      <c r="CH558" s="39" t="s">
        <v>114</v>
      </c>
      <c r="CI558" s="25">
        <v>2</v>
      </c>
    </row>
    <row r="559" spans="1:87" ht="24.75" customHeight="1">
      <c r="A559" s="36" t="s">
        <v>387</v>
      </c>
      <c r="B559" s="27" t="s">
        <v>2388</v>
      </c>
      <c r="C559" s="231"/>
      <c r="D559" s="36"/>
      <c r="E559" s="39">
        <v>140</v>
      </c>
      <c r="F559" s="39" t="s">
        <v>57</v>
      </c>
      <c r="G559" s="36" t="s">
        <v>39</v>
      </c>
      <c r="H559" s="36" t="s">
        <v>22</v>
      </c>
      <c r="I559" s="39">
        <v>215</v>
      </c>
      <c r="J559" s="39">
        <v>17</v>
      </c>
      <c r="K559" s="39"/>
      <c r="L559" s="39">
        <f t="shared" si="391"/>
        <v>232</v>
      </c>
      <c r="M559" s="117">
        <v>46266</v>
      </c>
      <c r="N559" s="117">
        <v>46272</v>
      </c>
      <c r="O559" s="39"/>
      <c r="P559" s="39"/>
      <c r="Q559" s="39"/>
      <c r="R559" s="39">
        <f t="shared" si="392"/>
        <v>0</v>
      </c>
      <c r="S559" s="39" t="s">
        <v>326</v>
      </c>
      <c r="T559" s="39"/>
      <c r="U559" s="39"/>
      <c r="V559" s="39"/>
      <c r="W559" s="39"/>
      <c r="X559" s="39"/>
      <c r="Y559" s="39"/>
      <c r="Z559" s="39"/>
      <c r="AA559" s="39"/>
      <c r="AB559" s="118">
        <f t="shared" si="393"/>
        <v>0</v>
      </c>
      <c r="AC559" s="39"/>
      <c r="AD559" s="39"/>
      <c r="AE559" s="39"/>
      <c r="AF559" s="39"/>
      <c r="AG559" s="39"/>
      <c r="AH559" s="39">
        <f t="shared" si="366"/>
        <v>0</v>
      </c>
      <c r="AI559" s="39"/>
      <c r="AJ559" s="39"/>
      <c r="AK559" s="39"/>
      <c r="AL559" s="39"/>
      <c r="AM559" s="39"/>
      <c r="AN559" s="39">
        <f t="shared" si="196"/>
        <v>0</v>
      </c>
      <c r="AO559" s="39"/>
      <c r="AP559" s="39"/>
      <c r="AQ559" s="39"/>
      <c r="AR559" s="39"/>
      <c r="AS559" s="39"/>
      <c r="AT559" s="39">
        <f t="shared" si="367"/>
        <v>0</v>
      </c>
      <c r="AU559" s="39"/>
      <c r="AV559" s="39"/>
      <c r="AW559" s="39"/>
      <c r="AX559" s="39"/>
      <c r="AY559" s="39"/>
      <c r="AZ559" s="39">
        <f t="shared" si="368"/>
        <v>0</v>
      </c>
      <c r="BA559" s="39"/>
      <c r="BB559" s="39"/>
      <c r="BC559" s="39"/>
      <c r="BD559" s="39"/>
      <c r="BE559" s="39"/>
      <c r="BF559" s="39">
        <f t="shared" si="369"/>
        <v>0</v>
      </c>
      <c r="BG559" s="39"/>
      <c r="BH559" s="39"/>
      <c r="BI559" s="39"/>
      <c r="BJ559" s="39"/>
      <c r="BK559" s="39"/>
      <c r="BL559" s="39">
        <f t="shared" si="370"/>
        <v>0</v>
      </c>
      <c r="BM559" s="54">
        <f t="shared" ca="1" si="371"/>
        <v>46283</v>
      </c>
      <c r="BN559" s="66">
        <v>46278</v>
      </c>
      <c r="BO559" s="117">
        <v>46295</v>
      </c>
      <c r="BP559" s="39"/>
      <c r="BQ559" s="39"/>
      <c r="BR559" s="39"/>
      <c r="BS559" s="39"/>
      <c r="BT559" s="39"/>
      <c r="BU559" s="39"/>
      <c r="BV559" s="39"/>
      <c r="BW559" s="39"/>
      <c r="BX559" s="39"/>
      <c r="BY559" s="39"/>
      <c r="BZ559" s="39">
        <f t="shared" si="372"/>
        <v>0</v>
      </c>
      <c r="CA559" s="39">
        <f t="shared" si="373"/>
        <v>-215</v>
      </c>
      <c r="CB559" s="39">
        <f t="shared" si="374"/>
        <v>-17</v>
      </c>
      <c r="CC559" s="39">
        <f t="shared" si="375"/>
        <v>0</v>
      </c>
      <c r="CD559" s="39">
        <f t="shared" si="376"/>
        <v>-232</v>
      </c>
      <c r="CE559" s="102">
        <f t="shared" si="377"/>
        <v>-1</v>
      </c>
      <c r="CF559" s="36" t="s">
        <v>249</v>
      </c>
      <c r="CG559" s="39" t="s">
        <v>222</v>
      </c>
      <c r="CH559" s="39"/>
      <c r="CI559" s="25">
        <v>2</v>
      </c>
    </row>
    <row r="560" spans="1:87" ht="24.75" customHeight="1">
      <c r="A560" s="36" t="s">
        <v>387</v>
      </c>
      <c r="B560" s="27" t="s">
        <v>2388</v>
      </c>
      <c r="C560" s="231"/>
      <c r="D560" s="36"/>
      <c r="E560" s="39">
        <v>140</v>
      </c>
      <c r="F560" s="39" t="s">
        <v>57</v>
      </c>
      <c r="G560" s="36" t="s">
        <v>442</v>
      </c>
      <c r="H560" s="36" t="s">
        <v>22</v>
      </c>
      <c r="I560" s="39">
        <v>165</v>
      </c>
      <c r="J560" s="39">
        <v>13</v>
      </c>
      <c r="K560" s="39"/>
      <c r="L560" s="39">
        <f t="shared" si="391"/>
        <v>178</v>
      </c>
      <c r="M560" s="117">
        <v>46266</v>
      </c>
      <c r="N560" s="117">
        <v>46272</v>
      </c>
      <c r="O560" s="39"/>
      <c r="P560" s="39"/>
      <c r="Q560" s="39"/>
      <c r="R560" s="39">
        <f t="shared" si="392"/>
        <v>0</v>
      </c>
      <c r="S560" s="39" t="s">
        <v>28</v>
      </c>
      <c r="T560" s="39"/>
      <c r="U560" s="39"/>
      <c r="V560" s="117">
        <v>46263</v>
      </c>
      <c r="W560" s="39">
        <f>201+18</f>
        <v>219</v>
      </c>
      <c r="X560" s="39"/>
      <c r="Y560" s="39"/>
      <c r="Z560" s="39"/>
      <c r="AA560" s="39"/>
      <c r="AB560" s="118">
        <f t="shared" si="393"/>
        <v>0</v>
      </c>
      <c r="AC560" s="39"/>
      <c r="AD560" s="39"/>
      <c r="AE560" s="39"/>
      <c r="AF560" s="39"/>
      <c r="AG560" s="39"/>
      <c r="AH560" s="39">
        <f t="shared" si="366"/>
        <v>0</v>
      </c>
      <c r="AI560" s="39"/>
      <c r="AJ560" s="39"/>
      <c r="AK560" s="39"/>
      <c r="AL560" s="39"/>
      <c r="AM560" s="39"/>
      <c r="AN560" s="39">
        <f t="shared" si="196"/>
        <v>0</v>
      </c>
      <c r="AO560" s="39"/>
      <c r="AP560" s="39"/>
      <c r="AQ560" s="39"/>
      <c r="AR560" s="39"/>
      <c r="AS560" s="39"/>
      <c r="AT560" s="39">
        <f t="shared" si="367"/>
        <v>0</v>
      </c>
      <c r="AU560" s="39"/>
      <c r="AV560" s="39"/>
      <c r="AW560" s="39"/>
      <c r="AX560" s="39"/>
      <c r="AY560" s="39"/>
      <c r="AZ560" s="39">
        <f t="shared" si="368"/>
        <v>0</v>
      </c>
      <c r="BA560" s="39"/>
      <c r="BB560" s="39"/>
      <c r="BC560" s="39"/>
      <c r="BD560" s="39"/>
      <c r="BE560" s="39"/>
      <c r="BF560" s="39">
        <f t="shared" si="369"/>
        <v>0</v>
      </c>
      <c r="BG560" s="39"/>
      <c r="BH560" s="39"/>
      <c r="BI560" s="39"/>
      <c r="BJ560" s="39"/>
      <c r="BK560" s="39"/>
      <c r="BL560" s="39">
        <f t="shared" si="370"/>
        <v>0</v>
      </c>
      <c r="BM560" s="54">
        <f t="shared" ca="1" si="371"/>
        <v>46283</v>
      </c>
      <c r="BN560" s="66">
        <v>46278</v>
      </c>
      <c r="BO560" s="117">
        <v>46295</v>
      </c>
      <c r="BP560" s="39"/>
      <c r="BQ560" s="39"/>
      <c r="BR560" s="39"/>
      <c r="BS560" s="39"/>
      <c r="BT560" s="39"/>
      <c r="BU560" s="39"/>
      <c r="BV560" s="39"/>
      <c r="BW560" s="39"/>
      <c r="BX560" s="39"/>
      <c r="BY560" s="39"/>
      <c r="BZ560" s="39">
        <f t="shared" si="372"/>
        <v>0</v>
      </c>
      <c r="CA560" s="39">
        <f t="shared" si="373"/>
        <v>-165</v>
      </c>
      <c r="CB560" s="39">
        <f t="shared" si="374"/>
        <v>-13</v>
      </c>
      <c r="CC560" s="39">
        <f t="shared" si="375"/>
        <v>0</v>
      </c>
      <c r="CD560" s="39">
        <f t="shared" si="376"/>
        <v>-178</v>
      </c>
      <c r="CE560" s="102">
        <f t="shared" si="377"/>
        <v>-1</v>
      </c>
      <c r="CF560" s="36" t="s">
        <v>249</v>
      </c>
      <c r="CG560" s="39" t="s">
        <v>222</v>
      </c>
      <c r="CH560" s="39"/>
      <c r="CI560" s="25">
        <v>2</v>
      </c>
    </row>
    <row r="561" spans="1:87" ht="24.75" customHeight="1">
      <c r="A561" s="36" t="s">
        <v>387</v>
      </c>
      <c r="B561" s="27" t="s">
        <v>2388</v>
      </c>
      <c r="C561" s="228"/>
      <c r="D561" s="36"/>
      <c r="E561" s="39"/>
      <c r="F561" s="39"/>
      <c r="G561" s="36" t="s">
        <v>103</v>
      </c>
      <c r="H561" s="36">
        <f>410+510+400</f>
        <v>1320</v>
      </c>
      <c r="I561" s="39" t="s">
        <v>90</v>
      </c>
      <c r="J561" s="39"/>
      <c r="K561" s="39"/>
      <c r="L561" s="39">
        <f t="shared" si="391"/>
        <v>0</v>
      </c>
      <c r="M561" s="117">
        <v>46266</v>
      </c>
      <c r="N561" s="117">
        <v>46272</v>
      </c>
      <c r="O561" s="39"/>
      <c r="P561" s="39"/>
      <c r="Q561" s="39"/>
      <c r="R561" s="39">
        <f t="shared" si="392"/>
        <v>0</v>
      </c>
      <c r="S561" s="39" t="s">
        <v>130</v>
      </c>
      <c r="T561" s="39"/>
      <c r="U561" s="39"/>
      <c r="V561" s="39"/>
      <c r="W561" s="39"/>
      <c r="X561" s="39"/>
      <c r="Y561" s="39"/>
      <c r="Z561" s="39"/>
      <c r="AA561" s="39"/>
      <c r="AB561" s="39">
        <f t="shared" si="393"/>
        <v>0</v>
      </c>
      <c r="AC561" s="39"/>
      <c r="AD561" s="39"/>
      <c r="AE561" s="39"/>
      <c r="AF561" s="39"/>
      <c r="AG561" s="39"/>
      <c r="AH561" s="39">
        <f t="shared" si="366"/>
        <v>0</v>
      </c>
      <c r="AI561" s="39"/>
      <c r="AJ561" s="39"/>
      <c r="AK561" s="39"/>
      <c r="AL561" s="39"/>
      <c r="AM561" s="39"/>
      <c r="AN561" s="39">
        <f t="shared" si="196"/>
        <v>0</v>
      </c>
      <c r="AO561" s="39"/>
      <c r="AP561" s="39"/>
      <c r="AQ561" s="39"/>
      <c r="AR561" s="39"/>
      <c r="AS561" s="39"/>
      <c r="AT561" s="39">
        <f t="shared" si="367"/>
        <v>0</v>
      </c>
      <c r="AU561" s="39"/>
      <c r="AV561" s="39"/>
      <c r="AW561" s="39"/>
      <c r="AX561" s="39"/>
      <c r="AY561" s="39"/>
      <c r="AZ561" s="39">
        <f t="shared" si="368"/>
        <v>0</v>
      </c>
      <c r="BA561" s="39"/>
      <c r="BB561" s="39"/>
      <c r="BC561" s="39"/>
      <c r="BD561" s="39"/>
      <c r="BE561" s="39"/>
      <c r="BF561" s="39">
        <f t="shared" si="369"/>
        <v>0</v>
      </c>
      <c r="BG561" s="39"/>
      <c r="BH561" s="39"/>
      <c r="BI561" s="39"/>
      <c r="BJ561" s="39"/>
      <c r="BK561" s="39"/>
      <c r="BL561" s="39">
        <f t="shared" si="370"/>
        <v>0</v>
      </c>
      <c r="BM561" s="54" t="e">
        <f t="shared" si="371"/>
        <v>#DIV/0!</v>
      </c>
      <c r="BN561" s="66">
        <v>46278</v>
      </c>
      <c r="BO561" s="117">
        <v>46295</v>
      </c>
      <c r="BP561" s="39"/>
      <c r="BQ561" s="39"/>
      <c r="BR561" s="39"/>
      <c r="BS561" s="39"/>
      <c r="BT561" s="39"/>
      <c r="BU561" s="39"/>
      <c r="BV561" s="39"/>
      <c r="BW561" s="39"/>
      <c r="BX561" s="39"/>
      <c r="BY561" s="39"/>
      <c r="BZ561" s="39">
        <f t="shared" si="372"/>
        <v>0</v>
      </c>
      <c r="CA561" s="39" t="e">
        <f t="shared" si="373"/>
        <v>#VALUE!</v>
      </c>
      <c r="CB561" s="39">
        <f t="shared" si="374"/>
        <v>0</v>
      </c>
      <c r="CC561" s="39">
        <f t="shared" si="375"/>
        <v>0</v>
      </c>
      <c r="CD561" s="39">
        <f t="shared" si="376"/>
        <v>0</v>
      </c>
      <c r="CE561" s="102" t="e">
        <f t="shared" si="377"/>
        <v>#DIV/0!</v>
      </c>
      <c r="CF561" s="36" t="s">
        <v>249</v>
      </c>
      <c r="CG561" s="39" t="s">
        <v>222</v>
      </c>
      <c r="CH561" s="39"/>
      <c r="CI561" s="25">
        <v>2</v>
      </c>
    </row>
    <row r="562" spans="1:87" ht="24.75" customHeight="1">
      <c r="A562" s="36" t="s">
        <v>387</v>
      </c>
      <c r="B562" s="27" t="s">
        <v>2389</v>
      </c>
      <c r="C562" s="227">
        <v>15382230</v>
      </c>
      <c r="D562" s="36"/>
      <c r="E562" s="39">
        <v>140</v>
      </c>
      <c r="F562" s="39" t="s">
        <v>57</v>
      </c>
      <c r="G562" s="36" t="s">
        <v>23</v>
      </c>
      <c r="H562" s="36" t="s">
        <v>22</v>
      </c>
      <c r="I562" s="39">
        <v>273</v>
      </c>
      <c r="J562" s="39">
        <v>22</v>
      </c>
      <c r="K562" s="39"/>
      <c r="L562" s="39">
        <f t="shared" si="391"/>
        <v>295</v>
      </c>
      <c r="M562" s="117">
        <v>46259</v>
      </c>
      <c r="N562" s="117">
        <v>46271</v>
      </c>
      <c r="O562" s="39"/>
      <c r="P562" s="39"/>
      <c r="Q562" s="39"/>
      <c r="R562" s="39">
        <f t="shared" si="392"/>
        <v>0</v>
      </c>
      <c r="S562" s="39" t="s">
        <v>100</v>
      </c>
      <c r="T562" s="39"/>
      <c r="U562" s="39"/>
      <c r="V562" s="117">
        <v>46256</v>
      </c>
      <c r="W562" s="39">
        <f>300+28</f>
        <v>328</v>
      </c>
      <c r="X562" s="39"/>
      <c r="Y562" s="39"/>
      <c r="Z562" s="39"/>
      <c r="AA562" s="39"/>
      <c r="AB562" s="118">
        <f t="shared" si="393"/>
        <v>0</v>
      </c>
      <c r="AC562" s="39"/>
      <c r="AD562" s="39"/>
      <c r="AE562" s="39"/>
      <c r="AF562" s="39"/>
      <c r="AG562" s="39"/>
      <c r="AH562" s="39">
        <f t="shared" si="366"/>
        <v>0</v>
      </c>
      <c r="AI562" s="39"/>
      <c r="AJ562" s="39"/>
      <c r="AK562" s="39"/>
      <c r="AL562" s="39"/>
      <c r="AM562" s="39"/>
      <c r="AN562" s="39">
        <f t="shared" si="196"/>
        <v>0</v>
      </c>
      <c r="AO562" s="39"/>
      <c r="AP562" s="39"/>
      <c r="AQ562" s="39"/>
      <c r="AR562" s="39"/>
      <c r="AS562" s="39"/>
      <c r="AT562" s="39">
        <f t="shared" si="367"/>
        <v>0</v>
      </c>
      <c r="AU562" s="39"/>
      <c r="AV562" s="39"/>
      <c r="AW562" s="39"/>
      <c r="AX562" s="39"/>
      <c r="AY562" s="39"/>
      <c r="AZ562" s="39">
        <f t="shared" si="368"/>
        <v>0</v>
      </c>
      <c r="BA562" s="39"/>
      <c r="BB562" s="39"/>
      <c r="BC562" s="39"/>
      <c r="BD562" s="39"/>
      <c r="BE562" s="39"/>
      <c r="BF562" s="39">
        <f t="shared" si="369"/>
        <v>0</v>
      </c>
      <c r="BG562" s="39"/>
      <c r="BH562" s="39"/>
      <c r="BI562" s="39"/>
      <c r="BJ562" s="39"/>
      <c r="BK562" s="39"/>
      <c r="BL562" s="39">
        <f t="shared" si="370"/>
        <v>0</v>
      </c>
      <c r="BM562" s="54">
        <f t="shared" ca="1" si="371"/>
        <v>46283</v>
      </c>
      <c r="BN562" s="66">
        <v>46277</v>
      </c>
      <c r="BO562" s="117">
        <v>46295</v>
      </c>
      <c r="BP562" s="39"/>
      <c r="BQ562" s="39"/>
      <c r="BR562" s="39"/>
      <c r="BS562" s="39"/>
      <c r="BT562" s="39"/>
      <c r="BU562" s="39"/>
      <c r="BV562" s="39"/>
      <c r="BW562" s="39"/>
      <c r="BX562" s="39"/>
      <c r="BY562" s="39"/>
      <c r="BZ562" s="39">
        <f t="shared" si="372"/>
        <v>0</v>
      </c>
      <c r="CA562" s="39">
        <f t="shared" si="373"/>
        <v>-273</v>
      </c>
      <c r="CB562" s="39">
        <f t="shared" si="374"/>
        <v>-22</v>
      </c>
      <c r="CC562" s="39">
        <f t="shared" si="375"/>
        <v>0</v>
      </c>
      <c r="CD562" s="39">
        <f t="shared" si="376"/>
        <v>-295</v>
      </c>
      <c r="CE562" s="102">
        <f t="shared" si="377"/>
        <v>-1</v>
      </c>
      <c r="CF562" s="36" t="s">
        <v>249</v>
      </c>
      <c r="CG562" s="39" t="s">
        <v>222</v>
      </c>
      <c r="CH562" s="39"/>
      <c r="CI562" s="25">
        <v>2</v>
      </c>
    </row>
    <row r="563" spans="1:87" ht="24.75" customHeight="1">
      <c r="A563" s="36" t="s">
        <v>387</v>
      </c>
      <c r="B563" s="27" t="s">
        <v>2389</v>
      </c>
      <c r="C563" s="231"/>
      <c r="D563" s="36"/>
      <c r="E563" s="39">
        <v>140</v>
      </c>
      <c r="F563" s="39" t="s">
        <v>57</v>
      </c>
      <c r="G563" s="36" t="s">
        <v>47</v>
      </c>
      <c r="H563" s="36" t="s">
        <v>22</v>
      </c>
      <c r="I563" s="39">
        <v>939</v>
      </c>
      <c r="J563" s="39">
        <v>75</v>
      </c>
      <c r="K563" s="39"/>
      <c r="L563" s="39">
        <f t="shared" si="391"/>
        <v>1014</v>
      </c>
      <c r="M563" s="117">
        <v>46259</v>
      </c>
      <c r="N563" s="117">
        <v>46271</v>
      </c>
      <c r="O563" s="39"/>
      <c r="P563" s="39"/>
      <c r="Q563" s="39"/>
      <c r="R563" s="39">
        <f t="shared" si="392"/>
        <v>0</v>
      </c>
      <c r="S563" s="39" t="s">
        <v>130</v>
      </c>
      <c r="T563" s="39" t="s">
        <v>2632</v>
      </c>
      <c r="U563" s="117">
        <v>46260</v>
      </c>
      <c r="V563" s="39"/>
      <c r="W563" s="39"/>
      <c r="X563" s="39"/>
      <c r="Y563" s="39">
        <f>261+813</f>
        <v>1074</v>
      </c>
      <c r="Z563" s="39">
        <f>21+68</f>
        <v>89</v>
      </c>
      <c r="AA563" s="39"/>
      <c r="AB563" s="119">
        <f t="shared" si="393"/>
        <v>1163</v>
      </c>
      <c r="AC563" s="39"/>
      <c r="AD563" s="39"/>
      <c r="AE563" s="39"/>
      <c r="AF563" s="39"/>
      <c r="AG563" s="39"/>
      <c r="AH563" s="39">
        <f t="shared" si="366"/>
        <v>0</v>
      </c>
      <c r="AI563" s="39"/>
      <c r="AJ563" s="39"/>
      <c r="AK563" s="39"/>
      <c r="AL563" s="39"/>
      <c r="AM563" s="39"/>
      <c r="AN563" s="39">
        <f t="shared" si="196"/>
        <v>0</v>
      </c>
      <c r="AO563" s="39"/>
      <c r="AP563" s="39"/>
      <c r="AQ563" s="39"/>
      <c r="AR563" s="39"/>
      <c r="AS563" s="39"/>
      <c r="AT563" s="39">
        <f t="shared" si="367"/>
        <v>0</v>
      </c>
      <c r="AU563" s="39"/>
      <c r="AV563" s="39"/>
      <c r="AW563" s="39"/>
      <c r="AX563" s="39"/>
      <c r="AY563" s="39"/>
      <c r="AZ563" s="39">
        <f t="shared" si="368"/>
        <v>0</v>
      </c>
      <c r="BA563" s="39"/>
      <c r="BB563" s="39"/>
      <c r="BC563" s="39"/>
      <c r="BD563" s="39"/>
      <c r="BE563" s="39"/>
      <c r="BF563" s="39">
        <f t="shared" si="369"/>
        <v>0</v>
      </c>
      <c r="BG563" s="39"/>
      <c r="BH563" s="39"/>
      <c r="BI563" s="39"/>
      <c r="BJ563" s="39"/>
      <c r="BK563" s="39"/>
      <c r="BL563" s="39">
        <f t="shared" si="370"/>
        <v>0</v>
      </c>
      <c r="BM563" s="54" t="str">
        <f t="shared" si="371"/>
        <v/>
      </c>
      <c r="BN563" s="66">
        <v>46277</v>
      </c>
      <c r="BO563" s="117">
        <v>46295</v>
      </c>
      <c r="BP563" s="39"/>
      <c r="BQ563" s="39"/>
      <c r="BR563" s="117">
        <v>46263</v>
      </c>
      <c r="BS563" s="117">
        <v>46270</v>
      </c>
      <c r="BT563" s="39" t="s">
        <v>2704</v>
      </c>
      <c r="BU563" s="39">
        <f>256+724</f>
        <v>980</v>
      </c>
      <c r="BV563" s="39">
        <v>756</v>
      </c>
      <c r="BW563" s="39">
        <f>67+20</f>
        <v>87</v>
      </c>
      <c r="BX563" s="39"/>
      <c r="BY563" s="39"/>
      <c r="BZ563" s="39">
        <f t="shared" si="372"/>
        <v>1067</v>
      </c>
      <c r="CA563" s="39">
        <f t="shared" si="373"/>
        <v>41</v>
      </c>
      <c r="CB563" s="39">
        <f t="shared" si="374"/>
        <v>12</v>
      </c>
      <c r="CC563" s="39">
        <f t="shared" si="375"/>
        <v>0</v>
      </c>
      <c r="CD563" s="39">
        <v>0</v>
      </c>
      <c r="CE563" s="102">
        <f t="shared" si="377"/>
        <v>0</v>
      </c>
      <c r="CF563" s="36" t="s">
        <v>249</v>
      </c>
      <c r="CG563" s="39" t="s">
        <v>222</v>
      </c>
      <c r="CH563" s="39" t="s">
        <v>114</v>
      </c>
      <c r="CI563" s="25">
        <v>2</v>
      </c>
    </row>
    <row r="564" spans="1:87" ht="24.75" customHeight="1">
      <c r="A564" s="36" t="s">
        <v>387</v>
      </c>
      <c r="B564" s="27" t="s">
        <v>2389</v>
      </c>
      <c r="C564" s="231"/>
      <c r="D564" s="36"/>
      <c r="E564" s="39">
        <v>140</v>
      </c>
      <c r="F564" s="39" t="s">
        <v>57</v>
      </c>
      <c r="G564" s="36" t="s">
        <v>1215</v>
      </c>
      <c r="H564" s="36" t="s">
        <v>22</v>
      </c>
      <c r="I564" s="39">
        <v>127</v>
      </c>
      <c r="J564" s="39">
        <v>10</v>
      </c>
      <c r="K564" s="39"/>
      <c r="L564" s="39">
        <f t="shared" si="391"/>
        <v>137</v>
      </c>
      <c r="M564" s="117">
        <v>46259</v>
      </c>
      <c r="N564" s="117">
        <v>46271</v>
      </c>
      <c r="O564" s="39"/>
      <c r="P564" s="39"/>
      <c r="Q564" s="39"/>
      <c r="R564" s="39">
        <f t="shared" si="392"/>
        <v>0</v>
      </c>
      <c r="S564" s="39" t="s">
        <v>100</v>
      </c>
      <c r="T564" s="39"/>
      <c r="U564" s="39"/>
      <c r="V564" s="117">
        <v>46258</v>
      </c>
      <c r="W564" s="39">
        <f>156+13</f>
        <v>169</v>
      </c>
      <c r="X564" s="39"/>
      <c r="Y564" s="39"/>
      <c r="Z564" s="39"/>
      <c r="AA564" s="39"/>
      <c r="AB564" s="118">
        <f t="shared" si="393"/>
        <v>0</v>
      </c>
      <c r="AC564" s="39"/>
      <c r="AD564" s="39"/>
      <c r="AE564" s="39"/>
      <c r="AF564" s="39"/>
      <c r="AG564" s="39"/>
      <c r="AH564" s="39">
        <f t="shared" si="366"/>
        <v>0</v>
      </c>
      <c r="AI564" s="39"/>
      <c r="AJ564" s="39"/>
      <c r="AK564" s="39"/>
      <c r="AL564" s="39"/>
      <c r="AM564" s="39"/>
      <c r="AN564" s="39">
        <f t="shared" si="196"/>
        <v>0</v>
      </c>
      <c r="AO564" s="39"/>
      <c r="AP564" s="39"/>
      <c r="AQ564" s="39"/>
      <c r="AR564" s="39"/>
      <c r="AS564" s="39"/>
      <c r="AT564" s="39">
        <f t="shared" si="367"/>
        <v>0</v>
      </c>
      <c r="AU564" s="39"/>
      <c r="AV564" s="39"/>
      <c r="AW564" s="39"/>
      <c r="AX564" s="39"/>
      <c r="AY564" s="39"/>
      <c r="AZ564" s="39">
        <f t="shared" si="368"/>
        <v>0</v>
      </c>
      <c r="BA564" s="39"/>
      <c r="BB564" s="39"/>
      <c r="BC564" s="39"/>
      <c r="BD564" s="39"/>
      <c r="BE564" s="39"/>
      <c r="BF564" s="39">
        <f t="shared" si="369"/>
        <v>0</v>
      </c>
      <c r="BG564" s="39"/>
      <c r="BH564" s="39"/>
      <c r="BI564" s="39"/>
      <c r="BJ564" s="39"/>
      <c r="BK564" s="39"/>
      <c r="BL564" s="39">
        <f t="shared" si="370"/>
        <v>0</v>
      </c>
      <c r="BM564" s="54">
        <f t="shared" ca="1" si="371"/>
        <v>46283</v>
      </c>
      <c r="BN564" s="66">
        <v>46277</v>
      </c>
      <c r="BO564" s="117">
        <v>46295</v>
      </c>
      <c r="BP564" s="39"/>
      <c r="BQ564" s="39"/>
      <c r="BR564" s="39"/>
      <c r="BS564" s="39"/>
      <c r="BT564" s="39"/>
      <c r="BU564" s="39"/>
      <c r="BV564" s="39"/>
      <c r="BW564" s="39"/>
      <c r="BX564" s="39"/>
      <c r="BY564" s="39"/>
      <c r="BZ564" s="39">
        <f t="shared" si="372"/>
        <v>0</v>
      </c>
      <c r="CA564" s="39">
        <f t="shared" si="373"/>
        <v>-127</v>
      </c>
      <c r="CB564" s="39">
        <f t="shared" si="374"/>
        <v>-10</v>
      </c>
      <c r="CC564" s="39">
        <f t="shared" si="375"/>
        <v>0</v>
      </c>
      <c r="CD564" s="39">
        <f t="shared" si="376"/>
        <v>-137</v>
      </c>
      <c r="CE564" s="102">
        <f t="shared" si="377"/>
        <v>-1</v>
      </c>
      <c r="CF564" s="36" t="s">
        <v>249</v>
      </c>
      <c r="CG564" s="39" t="s">
        <v>222</v>
      </c>
      <c r="CH564" s="39"/>
      <c r="CI564" s="25">
        <v>2</v>
      </c>
    </row>
    <row r="565" spans="1:87" ht="24.75" customHeight="1">
      <c r="A565" s="36" t="s">
        <v>387</v>
      </c>
      <c r="B565" s="27" t="s">
        <v>2389</v>
      </c>
      <c r="C565" s="231"/>
      <c r="D565" s="36"/>
      <c r="E565" s="39">
        <v>140</v>
      </c>
      <c r="F565" s="39" t="s">
        <v>57</v>
      </c>
      <c r="G565" s="36" t="s">
        <v>1288</v>
      </c>
      <c r="H565" s="36" t="s">
        <v>22</v>
      </c>
      <c r="I565" s="39">
        <v>539</v>
      </c>
      <c r="J565" s="39">
        <v>43</v>
      </c>
      <c r="K565" s="39"/>
      <c r="L565" s="39">
        <f t="shared" si="391"/>
        <v>582</v>
      </c>
      <c r="M565" s="117">
        <v>46259</v>
      </c>
      <c r="N565" s="117">
        <v>46271</v>
      </c>
      <c r="O565" s="39"/>
      <c r="P565" s="39"/>
      <c r="Q565" s="39"/>
      <c r="R565" s="39">
        <f t="shared" si="392"/>
        <v>0</v>
      </c>
      <c r="S565" s="39" t="s">
        <v>28</v>
      </c>
      <c r="T565" s="39"/>
      <c r="U565" s="39"/>
      <c r="V565" s="117">
        <v>46256</v>
      </c>
      <c r="W565" s="39">
        <f>615+50</f>
        <v>665</v>
      </c>
      <c r="X565" s="117">
        <v>46273</v>
      </c>
      <c r="Y565" s="39">
        <f>484</f>
        <v>484</v>
      </c>
      <c r="Z565" s="39">
        <v>45</v>
      </c>
      <c r="AA565" s="39"/>
      <c r="AB565" s="120">
        <f t="shared" si="393"/>
        <v>529</v>
      </c>
      <c r="AC565" s="39"/>
      <c r="AD565" s="39"/>
      <c r="AE565" s="39"/>
      <c r="AF565" s="39"/>
      <c r="AG565" s="39"/>
      <c r="AH565" s="39">
        <f t="shared" si="366"/>
        <v>0</v>
      </c>
      <c r="AI565" s="39"/>
      <c r="AJ565" s="39"/>
      <c r="AK565" s="39"/>
      <c r="AL565" s="39"/>
      <c r="AM565" s="39"/>
      <c r="AN565" s="39">
        <f t="shared" si="196"/>
        <v>0</v>
      </c>
      <c r="AO565" s="39"/>
      <c r="AP565" s="39"/>
      <c r="AQ565" s="39"/>
      <c r="AR565" s="39"/>
      <c r="AS565" s="39"/>
      <c r="AT565" s="39">
        <f t="shared" si="367"/>
        <v>0</v>
      </c>
      <c r="AU565" s="39"/>
      <c r="AV565" s="39"/>
      <c r="AW565" s="39"/>
      <c r="AX565" s="39"/>
      <c r="AY565" s="39"/>
      <c r="AZ565" s="39">
        <f t="shared" si="368"/>
        <v>0</v>
      </c>
      <c r="BA565" s="39"/>
      <c r="BB565" s="39"/>
      <c r="BC565" s="39"/>
      <c r="BD565" s="39"/>
      <c r="BE565" s="39"/>
      <c r="BF565" s="39">
        <f t="shared" si="369"/>
        <v>0</v>
      </c>
      <c r="BG565" s="39"/>
      <c r="BH565" s="39"/>
      <c r="BI565" s="39"/>
      <c r="BJ565" s="39"/>
      <c r="BK565" s="39"/>
      <c r="BL565" s="39">
        <f t="shared" si="370"/>
        <v>0</v>
      </c>
      <c r="BM565" s="54" t="str">
        <f t="shared" si="371"/>
        <v/>
      </c>
      <c r="BN565" s="66">
        <v>46277</v>
      </c>
      <c r="BO565" s="117">
        <v>46295</v>
      </c>
      <c r="BP565" s="39"/>
      <c r="BQ565" s="39"/>
      <c r="BR565" s="117">
        <v>46279</v>
      </c>
      <c r="BS565" s="39"/>
      <c r="BT565" s="39">
        <v>860</v>
      </c>
      <c r="BU565" s="39">
        <f>484</f>
        <v>484</v>
      </c>
      <c r="BV565" s="39">
        <v>860</v>
      </c>
      <c r="BW565" s="39">
        <v>45</v>
      </c>
      <c r="BX565" s="39"/>
      <c r="BY565" s="39"/>
      <c r="BZ565" s="39">
        <f t="shared" si="372"/>
        <v>529</v>
      </c>
      <c r="CA565" s="39">
        <f t="shared" si="373"/>
        <v>-55</v>
      </c>
      <c r="CB565" s="39">
        <f t="shared" si="374"/>
        <v>2</v>
      </c>
      <c r="CC565" s="39">
        <f t="shared" si="375"/>
        <v>0</v>
      </c>
      <c r="CD565" s="39">
        <f t="shared" si="376"/>
        <v>-55</v>
      </c>
      <c r="CE565" s="102">
        <f t="shared" si="377"/>
        <v>-9.4501718213058417E-2</v>
      </c>
      <c r="CF565" s="36" t="s">
        <v>249</v>
      </c>
      <c r="CG565" s="39" t="s">
        <v>222</v>
      </c>
      <c r="CH565" s="39"/>
      <c r="CI565" s="25">
        <v>2</v>
      </c>
    </row>
    <row r="566" spans="1:87" ht="24.75" customHeight="1">
      <c r="A566" s="36" t="s">
        <v>387</v>
      </c>
      <c r="B566" s="27" t="s">
        <v>2389</v>
      </c>
      <c r="C566" s="231"/>
      <c r="D566" s="36"/>
      <c r="E566" s="39">
        <v>140</v>
      </c>
      <c r="F566" s="39" t="s">
        <v>57</v>
      </c>
      <c r="G566" s="36" t="s">
        <v>2390</v>
      </c>
      <c r="H566" s="36" t="s">
        <v>22</v>
      </c>
      <c r="I566" s="39">
        <v>273</v>
      </c>
      <c r="J566" s="39">
        <v>22</v>
      </c>
      <c r="K566" s="39"/>
      <c r="L566" s="39">
        <f t="shared" si="391"/>
        <v>295</v>
      </c>
      <c r="M566" s="117">
        <v>46259</v>
      </c>
      <c r="N566" s="117">
        <v>46271</v>
      </c>
      <c r="O566" s="39"/>
      <c r="P566" s="39"/>
      <c r="Q566" s="39"/>
      <c r="R566" s="39">
        <f t="shared" si="392"/>
        <v>0</v>
      </c>
      <c r="S566" s="39" t="s">
        <v>28</v>
      </c>
      <c r="T566" s="39"/>
      <c r="U566" s="39"/>
      <c r="V566" s="117">
        <v>46256</v>
      </c>
      <c r="W566" s="39">
        <f>311+26</f>
        <v>337</v>
      </c>
      <c r="X566" s="39"/>
      <c r="Y566" s="39"/>
      <c r="Z566" s="39"/>
      <c r="AA566" s="39"/>
      <c r="AB566" s="118">
        <f t="shared" si="393"/>
        <v>0</v>
      </c>
      <c r="AC566" s="39"/>
      <c r="AD566" s="39"/>
      <c r="AE566" s="39"/>
      <c r="AF566" s="39"/>
      <c r="AG566" s="39"/>
      <c r="AH566" s="39">
        <f t="shared" si="366"/>
        <v>0</v>
      </c>
      <c r="AI566" s="39"/>
      <c r="AJ566" s="39"/>
      <c r="AK566" s="39"/>
      <c r="AL566" s="39"/>
      <c r="AM566" s="39"/>
      <c r="AN566" s="39">
        <f t="shared" si="196"/>
        <v>0</v>
      </c>
      <c r="AO566" s="39"/>
      <c r="AP566" s="39"/>
      <c r="AQ566" s="39"/>
      <c r="AR566" s="39"/>
      <c r="AS566" s="39"/>
      <c r="AT566" s="39">
        <f t="shared" si="367"/>
        <v>0</v>
      </c>
      <c r="AU566" s="39"/>
      <c r="AV566" s="39"/>
      <c r="AW566" s="39"/>
      <c r="AX566" s="39"/>
      <c r="AY566" s="39"/>
      <c r="AZ566" s="39">
        <f t="shared" si="368"/>
        <v>0</v>
      </c>
      <c r="BA566" s="39"/>
      <c r="BB566" s="39"/>
      <c r="BC566" s="39"/>
      <c r="BD566" s="39"/>
      <c r="BE566" s="39"/>
      <c r="BF566" s="39">
        <f t="shared" si="369"/>
        <v>0</v>
      </c>
      <c r="BG566" s="39"/>
      <c r="BH566" s="39"/>
      <c r="BI566" s="39"/>
      <c r="BJ566" s="39"/>
      <c r="BK566" s="39"/>
      <c r="BL566" s="39">
        <f t="shared" si="370"/>
        <v>0</v>
      </c>
      <c r="BM566" s="54">
        <f t="shared" ca="1" si="371"/>
        <v>46283</v>
      </c>
      <c r="BN566" s="66">
        <v>46277</v>
      </c>
      <c r="BO566" s="117">
        <v>46295</v>
      </c>
      <c r="BP566" s="39"/>
      <c r="BQ566" s="39"/>
      <c r="BR566" s="39"/>
      <c r="BS566" s="39"/>
      <c r="BT566" s="39"/>
      <c r="BU566" s="39"/>
      <c r="BV566" s="39"/>
      <c r="BW566" s="39"/>
      <c r="BX566" s="39"/>
      <c r="BY566" s="39"/>
      <c r="BZ566" s="39">
        <f t="shared" si="372"/>
        <v>0</v>
      </c>
      <c r="CA566" s="39">
        <f t="shared" si="373"/>
        <v>-273</v>
      </c>
      <c r="CB566" s="39">
        <f t="shared" si="374"/>
        <v>-22</v>
      </c>
      <c r="CC566" s="39">
        <f t="shared" si="375"/>
        <v>0</v>
      </c>
      <c r="CD566" s="39">
        <f t="shared" si="376"/>
        <v>-295</v>
      </c>
      <c r="CE566" s="102">
        <f t="shared" si="377"/>
        <v>-1</v>
      </c>
      <c r="CF566" s="36" t="s">
        <v>249</v>
      </c>
      <c r="CG566" s="39" t="s">
        <v>222</v>
      </c>
      <c r="CH566" s="39"/>
      <c r="CI566" s="25">
        <v>2</v>
      </c>
    </row>
    <row r="567" spans="1:87" ht="24.75" customHeight="1">
      <c r="A567" s="36" t="s">
        <v>387</v>
      </c>
      <c r="B567" s="27" t="s">
        <v>2389</v>
      </c>
      <c r="C567" s="231"/>
      <c r="D567" s="36"/>
      <c r="E567" s="39">
        <v>140</v>
      </c>
      <c r="F567" s="39" t="s">
        <v>57</v>
      </c>
      <c r="G567" s="36" t="s">
        <v>2349</v>
      </c>
      <c r="H567" s="36" t="s">
        <v>22</v>
      </c>
      <c r="I567" s="39">
        <v>666</v>
      </c>
      <c r="J567" s="39">
        <v>53</v>
      </c>
      <c r="K567" s="39"/>
      <c r="L567" s="39">
        <f t="shared" si="391"/>
        <v>719</v>
      </c>
      <c r="M567" s="117">
        <v>46259</v>
      </c>
      <c r="N567" s="117">
        <v>46271</v>
      </c>
      <c r="O567" s="39"/>
      <c r="P567" s="39"/>
      <c r="Q567" s="39"/>
      <c r="R567" s="39">
        <f t="shared" si="392"/>
        <v>0</v>
      </c>
      <c r="S567" s="39" t="s">
        <v>31</v>
      </c>
      <c r="T567" s="39"/>
      <c r="U567" s="39"/>
      <c r="V567" s="117">
        <v>46256</v>
      </c>
      <c r="W567" s="39">
        <f>759+62</f>
        <v>821</v>
      </c>
      <c r="X567" s="117">
        <v>46278</v>
      </c>
      <c r="Y567" s="39">
        <f>449+181</f>
        <v>630</v>
      </c>
      <c r="Z567" s="39"/>
      <c r="AA567" s="39"/>
      <c r="AB567" s="120">
        <f t="shared" si="393"/>
        <v>630</v>
      </c>
      <c r="AC567" s="39"/>
      <c r="AD567" s="39"/>
      <c r="AE567" s="39"/>
      <c r="AF567" s="39"/>
      <c r="AG567" s="39"/>
      <c r="AH567" s="39">
        <f t="shared" si="366"/>
        <v>0</v>
      </c>
      <c r="AI567" s="39"/>
      <c r="AJ567" s="39"/>
      <c r="AK567" s="39"/>
      <c r="AL567" s="39"/>
      <c r="AM567" s="39"/>
      <c r="AN567" s="39">
        <f t="shared" si="196"/>
        <v>0</v>
      </c>
      <c r="AO567" s="39"/>
      <c r="AP567" s="39"/>
      <c r="AQ567" s="39"/>
      <c r="AR567" s="39"/>
      <c r="AS567" s="39"/>
      <c r="AT567" s="39">
        <f t="shared" si="367"/>
        <v>0</v>
      </c>
      <c r="AU567" s="39"/>
      <c r="AV567" s="39"/>
      <c r="AW567" s="39"/>
      <c r="AX567" s="39"/>
      <c r="AY567" s="39"/>
      <c r="AZ567" s="39">
        <f t="shared" si="368"/>
        <v>0</v>
      </c>
      <c r="BA567" s="39"/>
      <c r="BB567" s="39"/>
      <c r="BC567" s="39"/>
      <c r="BD567" s="39"/>
      <c r="BE567" s="39"/>
      <c r="BF567" s="39">
        <f t="shared" si="369"/>
        <v>0</v>
      </c>
      <c r="BG567" s="39"/>
      <c r="BH567" s="39"/>
      <c r="BI567" s="39"/>
      <c r="BJ567" s="39"/>
      <c r="BK567" s="39"/>
      <c r="BL567" s="39">
        <f t="shared" si="370"/>
        <v>0</v>
      </c>
      <c r="BM567" s="54">
        <f t="shared" ca="1" si="371"/>
        <v>46283</v>
      </c>
      <c r="BN567" s="66">
        <v>46277</v>
      </c>
      <c r="BO567" s="117">
        <v>46295</v>
      </c>
      <c r="BP567" s="39"/>
      <c r="BQ567" s="39"/>
      <c r="BR567" s="117">
        <v>46279</v>
      </c>
      <c r="BS567" s="39"/>
      <c r="BT567" s="39">
        <v>861</v>
      </c>
      <c r="BU567" s="39">
        <f>449+181</f>
        <v>630</v>
      </c>
      <c r="BV567" s="39"/>
      <c r="BW567" s="39"/>
      <c r="BX567" s="39"/>
      <c r="BY567" s="39"/>
      <c r="BZ567" s="39">
        <f t="shared" si="372"/>
        <v>630</v>
      </c>
      <c r="CA567" s="39">
        <f t="shared" si="373"/>
        <v>-36</v>
      </c>
      <c r="CB567" s="39">
        <f t="shared" si="374"/>
        <v>-53</v>
      </c>
      <c r="CC567" s="39">
        <f t="shared" si="375"/>
        <v>0</v>
      </c>
      <c r="CD567" s="39">
        <f t="shared" si="376"/>
        <v>-89</v>
      </c>
      <c r="CE567" s="102">
        <f t="shared" si="377"/>
        <v>-0.12378303198887343</v>
      </c>
      <c r="CF567" s="36" t="s">
        <v>249</v>
      </c>
      <c r="CG567" s="39" t="s">
        <v>222</v>
      </c>
      <c r="CH567" s="39"/>
      <c r="CI567" s="25">
        <v>2</v>
      </c>
    </row>
    <row r="568" spans="1:87" ht="24.75" customHeight="1">
      <c r="A568" s="36" t="s">
        <v>387</v>
      </c>
      <c r="B568" s="27" t="s">
        <v>2389</v>
      </c>
      <c r="C568" s="228"/>
      <c r="D568" s="36"/>
      <c r="E568" s="39"/>
      <c r="F568" s="39"/>
      <c r="G568" s="36" t="s">
        <v>103</v>
      </c>
      <c r="H568" s="36">
        <f>650+650+1280+310+310+1280+650+310+1280</f>
        <v>6720</v>
      </c>
      <c r="I568" s="39" t="s">
        <v>90</v>
      </c>
      <c r="J568" s="39"/>
      <c r="K568" s="39"/>
      <c r="L568" s="39">
        <f t="shared" si="391"/>
        <v>0</v>
      </c>
      <c r="M568" s="117">
        <v>46259</v>
      </c>
      <c r="N568" s="117">
        <v>46271</v>
      </c>
      <c r="O568" s="39"/>
      <c r="P568" s="39"/>
      <c r="Q568" s="39"/>
      <c r="R568" s="39">
        <f t="shared" si="392"/>
        <v>0</v>
      </c>
      <c r="S568" s="39" t="s">
        <v>130</v>
      </c>
      <c r="T568" s="39"/>
      <c r="U568" s="39"/>
      <c r="V568" s="39"/>
      <c r="W568" s="39"/>
      <c r="X568" s="39"/>
      <c r="Y568" s="39"/>
      <c r="Z568" s="39"/>
      <c r="AA568" s="39"/>
      <c r="AB568" s="39">
        <f t="shared" si="393"/>
        <v>0</v>
      </c>
      <c r="AC568" s="39"/>
      <c r="AD568" s="39"/>
      <c r="AE568" s="39"/>
      <c r="AF568" s="39"/>
      <c r="AG568" s="39"/>
      <c r="AH568" s="39">
        <f t="shared" si="366"/>
        <v>0</v>
      </c>
      <c r="AI568" s="39"/>
      <c r="AJ568" s="39"/>
      <c r="AK568" s="39"/>
      <c r="AL568" s="39"/>
      <c r="AM568" s="39"/>
      <c r="AN568" s="39">
        <f t="shared" si="196"/>
        <v>0</v>
      </c>
      <c r="AO568" s="39"/>
      <c r="AP568" s="39"/>
      <c r="AQ568" s="39"/>
      <c r="AR568" s="39"/>
      <c r="AS568" s="39"/>
      <c r="AT568" s="39">
        <f t="shared" si="367"/>
        <v>0</v>
      </c>
      <c r="AU568" s="39"/>
      <c r="AV568" s="39"/>
      <c r="AW568" s="39"/>
      <c r="AX568" s="39"/>
      <c r="AY568" s="39"/>
      <c r="AZ568" s="39">
        <f t="shared" si="368"/>
        <v>0</v>
      </c>
      <c r="BA568" s="39"/>
      <c r="BB568" s="39"/>
      <c r="BC568" s="39"/>
      <c r="BD568" s="39"/>
      <c r="BE568" s="39"/>
      <c r="BF568" s="39">
        <f t="shared" si="369"/>
        <v>0</v>
      </c>
      <c r="BG568" s="39"/>
      <c r="BH568" s="39"/>
      <c r="BI568" s="39"/>
      <c r="BJ568" s="39"/>
      <c r="BK568" s="39"/>
      <c r="BL568" s="39">
        <f t="shared" si="370"/>
        <v>0</v>
      </c>
      <c r="BM568" s="54" t="e">
        <f t="shared" si="371"/>
        <v>#DIV/0!</v>
      </c>
      <c r="BN568" s="66">
        <v>46277</v>
      </c>
      <c r="BO568" s="117">
        <v>46295</v>
      </c>
      <c r="BP568" s="39"/>
      <c r="BQ568" s="39"/>
      <c r="BR568" s="39"/>
      <c r="BS568" s="39"/>
      <c r="BT568" s="39"/>
      <c r="BU568" s="39"/>
      <c r="BV568" s="39"/>
      <c r="BW568" s="39"/>
      <c r="BX568" s="39"/>
      <c r="BY568" s="39"/>
      <c r="BZ568" s="39">
        <f t="shared" si="372"/>
        <v>0</v>
      </c>
      <c r="CA568" s="39" t="e">
        <f t="shared" si="373"/>
        <v>#VALUE!</v>
      </c>
      <c r="CB568" s="39">
        <f t="shared" si="374"/>
        <v>0</v>
      </c>
      <c r="CC568" s="39">
        <f t="shared" si="375"/>
        <v>0</v>
      </c>
      <c r="CD568" s="39">
        <f t="shared" si="376"/>
        <v>0</v>
      </c>
      <c r="CE568" s="102" t="e">
        <f t="shared" si="377"/>
        <v>#DIV/0!</v>
      </c>
      <c r="CF568" s="36" t="s">
        <v>249</v>
      </c>
      <c r="CG568" s="39" t="s">
        <v>222</v>
      </c>
      <c r="CH568" s="39"/>
      <c r="CI568" s="25">
        <v>2</v>
      </c>
    </row>
    <row r="569" spans="1:87" ht="24.75" customHeight="1">
      <c r="A569" s="36" t="s">
        <v>387</v>
      </c>
      <c r="B569" s="27" t="s">
        <v>2421</v>
      </c>
      <c r="C569" s="227">
        <v>15391922</v>
      </c>
      <c r="D569" s="36" t="s">
        <v>24</v>
      </c>
      <c r="E569" s="39">
        <v>160</v>
      </c>
      <c r="F569" s="39" t="s">
        <v>65</v>
      </c>
      <c r="G569" s="36" t="s">
        <v>2413</v>
      </c>
      <c r="H569" s="36" t="s">
        <v>22</v>
      </c>
      <c r="I569" s="39">
        <v>125</v>
      </c>
      <c r="J569" s="39">
        <v>7</v>
      </c>
      <c r="K569" s="39">
        <v>2</v>
      </c>
      <c r="L569" s="39">
        <f t="shared" si="391"/>
        <v>134</v>
      </c>
      <c r="M569" s="117">
        <v>46270</v>
      </c>
      <c r="N569" s="117">
        <v>46276</v>
      </c>
      <c r="O569" s="39"/>
      <c r="P569" s="39"/>
      <c r="Q569" s="39"/>
      <c r="R569" s="39">
        <f t="shared" si="392"/>
        <v>0</v>
      </c>
      <c r="S569" s="39" t="s">
        <v>130</v>
      </c>
      <c r="T569" s="39">
        <v>109313</v>
      </c>
      <c r="U569" s="117">
        <v>46274</v>
      </c>
      <c r="V569" s="39"/>
      <c r="W569" s="39"/>
      <c r="X569" s="39"/>
      <c r="Y569" s="39">
        <f>136</f>
        <v>136</v>
      </c>
      <c r="Z569" s="39">
        <v>8</v>
      </c>
      <c r="AA569" s="39">
        <v>4</v>
      </c>
      <c r="AB569" s="119">
        <f t="shared" si="393"/>
        <v>148</v>
      </c>
      <c r="AC569" s="39"/>
      <c r="AD569" s="39"/>
      <c r="AE569" s="39"/>
      <c r="AF569" s="39"/>
      <c r="AG569" s="39"/>
      <c r="AH569" s="39">
        <f t="shared" si="366"/>
        <v>0</v>
      </c>
      <c r="AI569" s="39"/>
      <c r="AJ569" s="39"/>
      <c r="AK569" s="39"/>
      <c r="AL569" s="39"/>
      <c r="AM569" s="39"/>
      <c r="AN569" s="39">
        <f t="shared" si="196"/>
        <v>0</v>
      </c>
      <c r="AO569" s="39"/>
      <c r="AP569" s="39"/>
      <c r="AQ569" s="39"/>
      <c r="AR569" s="39"/>
      <c r="AS569" s="39"/>
      <c r="AT569" s="39">
        <f t="shared" si="367"/>
        <v>0</v>
      </c>
      <c r="AU569" s="39"/>
      <c r="AV569" s="39"/>
      <c r="AW569" s="39"/>
      <c r="AX569" s="39"/>
      <c r="AY569" s="39"/>
      <c r="AZ569" s="39">
        <f t="shared" si="368"/>
        <v>0</v>
      </c>
      <c r="BA569" s="39"/>
      <c r="BB569" s="39"/>
      <c r="BC569" s="39"/>
      <c r="BD569" s="39"/>
      <c r="BE569" s="39"/>
      <c r="BF569" s="39">
        <f t="shared" si="369"/>
        <v>0</v>
      </c>
      <c r="BG569" s="39"/>
      <c r="BH569" s="39"/>
      <c r="BI569" s="39"/>
      <c r="BJ569" s="39"/>
      <c r="BK569" s="39"/>
      <c r="BL569" s="39">
        <f t="shared" si="370"/>
        <v>0</v>
      </c>
      <c r="BM569" s="54" t="str">
        <f t="shared" si="371"/>
        <v/>
      </c>
      <c r="BN569" s="66">
        <v>46279</v>
      </c>
      <c r="BO569" s="117">
        <v>46283</v>
      </c>
      <c r="BP569" s="39"/>
      <c r="BQ569" s="39"/>
      <c r="BR569" s="117">
        <v>46272</v>
      </c>
      <c r="BS569" s="39"/>
      <c r="BT569" s="39">
        <v>776</v>
      </c>
      <c r="BU569" s="39">
        <v>127</v>
      </c>
      <c r="BV569" s="39"/>
      <c r="BW569" s="39"/>
      <c r="BX569" s="39">
        <v>776</v>
      </c>
      <c r="BY569" s="39">
        <v>3</v>
      </c>
      <c r="BZ569" s="39">
        <f t="shared" si="372"/>
        <v>130</v>
      </c>
      <c r="CA569" s="39">
        <f t="shared" si="373"/>
        <v>2</v>
      </c>
      <c r="CB569" s="39">
        <f t="shared" si="374"/>
        <v>-7</v>
      </c>
      <c r="CC569" s="39">
        <f t="shared" si="375"/>
        <v>1</v>
      </c>
      <c r="CD569" s="39">
        <f t="shared" si="376"/>
        <v>-7</v>
      </c>
      <c r="CE569" s="102">
        <f t="shared" si="377"/>
        <v>-5.2238805970149252E-2</v>
      </c>
      <c r="CF569" s="36" t="s">
        <v>384</v>
      </c>
      <c r="CG569" s="39" t="s">
        <v>415</v>
      </c>
      <c r="CH569" s="39"/>
      <c r="CI569" s="25">
        <v>2</v>
      </c>
    </row>
    <row r="570" spans="1:87" ht="24.75" customHeight="1">
      <c r="A570" s="36" t="s">
        <v>387</v>
      </c>
      <c r="B570" s="27" t="s">
        <v>2421</v>
      </c>
      <c r="C570" s="228"/>
      <c r="D570" s="36" t="s">
        <v>24</v>
      </c>
      <c r="E570" s="39">
        <v>160</v>
      </c>
      <c r="F570" s="39" t="s">
        <v>65</v>
      </c>
      <c r="G570" s="36" t="s">
        <v>2414</v>
      </c>
      <c r="H570" s="36" t="s">
        <v>22</v>
      </c>
      <c r="I570" s="39">
        <v>85</v>
      </c>
      <c r="J570" s="39">
        <v>5</v>
      </c>
      <c r="K570" s="39">
        <v>2</v>
      </c>
      <c r="L570" s="39">
        <f t="shared" si="391"/>
        <v>92</v>
      </c>
      <c r="M570" s="117">
        <v>46270</v>
      </c>
      <c r="N570" s="117">
        <v>46276</v>
      </c>
      <c r="O570" s="39"/>
      <c r="P570" s="39"/>
      <c r="Q570" s="39"/>
      <c r="R570" s="39">
        <f t="shared" si="392"/>
        <v>0</v>
      </c>
      <c r="S570" s="39" t="s">
        <v>130</v>
      </c>
      <c r="T570" s="39"/>
      <c r="U570" s="39"/>
      <c r="V570" s="39"/>
      <c r="W570" s="39"/>
      <c r="X570" s="39"/>
      <c r="Y570" s="39"/>
      <c r="Z570" s="39"/>
      <c r="AA570" s="39"/>
      <c r="AB570" s="118">
        <f t="shared" si="393"/>
        <v>0</v>
      </c>
      <c r="AC570" s="39"/>
      <c r="AD570" s="39"/>
      <c r="AE570" s="39"/>
      <c r="AF570" s="39"/>
      <c r="AG570" s="39"/>
      <c r="AH570" s="39">
        <f t="shared" si="366"/>
        <v>0</v>
      </c>
      <c r="AI570" s="39"/>
      <c r="AJ570" s="39"/>
      <c r="AK570" s="39"/>
      <c r="AL570" s="39"/>
      <c r="AM570" s="39"/>
      <c r="AN570" s="39">
        <f t="shared" si="196"/>
        <v>0</v>
      </c>
      <c r="AO570" s="39"/>
      <c r="AP570" s="39"/>
      <c r="AQ570" s="39"/>
      <c r="AR570" s="39"/>
      <c r="AS570" s="39"/>
      <c r="AT570" s="39">
        <f t="shared" si="367"/>
        <v>0</v>
      </c>
      <c r="AU570" s="39"/>
      <c r="AV570" s="39"/>
      <c r="AW570" s="39"/>
      <c r="AX570" s="39"/>
      <c r="AY570" s="39"/>
      <c r="AZ570" s="39">
        <f t="shared" si="368"/>
        <v>0</v>
      </c>
      <c r="BA570" s="39"/>
      <c r="BB570" s="39"/>
      <c r="BC570" s="39"/>
      <c r="BD570" s="39"/>
      <c r="BE570" s="39"/>
      <c r="BF570" s="39">
        <f t="shared" si="369"/>
        <v>0</v>
      </c>
      <c r="BG570" s="39"/>
      <c r="BH570" s="39"/>
      <c r="BI570" s="39"/>
      <c r="BJ570" s="39"/>
      <c r="BK570" s="39"/>
      <c r="BL570" s="39">
        <f t="shared" si="370"/>
        <v>0</v>
      </c>
      <c r="BM570" s="54">
        <f t="shared" ca="1" si="371"/>
        <v>46283</v>
      </c>
      <c r="BN570" s="66">
        <v>46279</v>
      </c>
      <c r="BO570" s="117">
        <v>46283</v>
      </c>
      <c r="BP570" s="39"/>
      <c r="BQ570" s="39"/>
      <c r="BR570" s="39"/>
      <c r="BS570" s="39"/>
      <c r="BT570" s="39"/>
      <c r="BU570" s="39"/>
      <c r="BV570" s="39"/>
      <c r="BW570" s="39"/>
      <c r="BX570" s="39"/>
      <c r="BY570" s="39"/>
      <c r="BZ570" s="39">
        <f t="shared" si="372"/>
        <v>0</v>
      </c>
      <c r="CA570" s="39">
        <f t="shared" si="373"/>
        <v>-85</v>
      </c>
      <c r="CB570" s="39">
        <f t="shared" si="374"/>
        <v>-5</v>
      </c>
      <c r="CC570" s="39">
        <f t="shared" si="375"/>
        <v>-2</v>
      </c>
      <c r="CD570" s="39">
        <f t="shared" si="376"/>
        <v>-92</v>
      </c>
      <c r="CE570" s="102">
        <f t="shared" si="377"/>
        <v>-1</v>
      </c>
      <c r="CF570" s="36" t="s">
        <v>384</v>
      </c>
      <c r="CG570" s="39" t="s">
        <v>415</v>
      </c>
      <c r="CH570" s="39"/>
      <c r="CI570" s="25">
        <v>2</v>
      </c>
    </row>
    <row r="571" spans="1:87" ht="24.75" customHeight="1">
      <c r="A571" s="36" t="s">
        <v>387</v>
      </c>
      <c r="B571" s="27" t="s">
        <v>2422</v>
      </c>
      <c r="C571" s="227" t="s">
        <v>2419</v>
      </c>
      <c r="D571" s="36"/>
      <c r="E571" s="39">
        <v>140</v>
      </c>
      <c r="F571" s="39" t="s">
        <v>57</v>
      </c>
      <c r="G571" s="36" t="s">
        <v>47</v>
      </c>
      <c r="H571" s="36" t="s">
        <v>22</v>
      </c>
      <c r="I571" s="39">
        <v>85</v>
      </c>
      <c r="J571" s="39">
        <v>7</v>
      </c>
      <c r="K571" s="39"/>
      <c r="L571" s="39">
        <f t="shared" si="391"/>
        <v>92</v>
      </c>
      <c r="M571" s="117">
        <v>46270</v>
      </c>
      <c r="N571" s="117">
        <v>46275</v>
      </c>
      <c r="O571" s="39"/>
      <c r="P571" s="39"/>
      <c r="Q571" s="39"/>
      <c r="R571" s="39">
        <f t="shared" si="392"/>
        <v>0</v>
      </c>
      <c r="S571" s="39" t="s">
        <v>130</v>
      </c>
      <c r="T571" s="39"/>
      <c r="U571" s="39"/>
      <c r="V571" s="39"/>
      <c r="W571" s="39"/>
      <c r="X571" s="39"/>
      <c r="Y571" s="39"/>
      <c r="Z571" s="39"/>
      <c r="AA571" s="39"/>
      <c r="AB571" s="118">
        <f t="shared" si="393"/>
        <v>0</v>
      </c>
      <c r="AC571" s="39"/>
      <c r="AD571" s="39"/>
      <c r="AE571" s="39"/>
      <c r="AF571" s="39"/>
      <c r="AG571" s="39"/>
      <c r="AH571" s="39">
        <f t="shared" si="366"/>
        <v>0</v>
      </c>
      <c r="AI571" s="39"/>
      <c r="AJ571" s="39"/>
      <c r="AK571" s="39"/>
      <c r="AL571" s="39"/>
      <c r="AM571" s="39"/>
      <c r="AN571" s="39">
        <f t="shared" si="196"/>
        <v>0</v>
      </c>
      <c r="AO571" s="39"/>
      <c r="AP571" s="39"/>
      <c r="AQ571" s="39"/>
      <c r="AR571" s="39"/>
      <c r="AS571" s="39"/>
      <c r="AT571" s="39">
        <f t="shared" si="367"/>
        <v>0</v>
      </c>
      <c r="AU571" s="39"/>
      <c r="AV571" s="39"/>
      <c r="AW571" s="39"/>
      <c r="AX571" s="39"/>
      <c r="AY571" s="39"/>
      <c r="AZ571" s="39">
        <f t="shared" si="368"/>
        <v>0</v>
      </c>
      <c r="BA571" s="39"/>
      <c r="BB571" s="39"/>
      <c r="BC571" s="39"/>
      <c r="BD571" s="39"/>
      <c r="BE571" s="39"/>
      <c r="BF571" s="39">
        <f t="shared" si="369"/>
        <v>0</v>
      </c>
      <c r="BG571" s="39"/>
      <c r="BH571" s="39"/>
      <c r="BI571" s="39"/>
      <c r="BJ571" s="39"/>
      <c r="BK571" s="39"/>
      <c r="BL571" s="39">
        <f t="shared" si="370"/>
        <v>0</v>
      </c>
      <c r="BM571" s="54">
        <f t="shared" ca="1" si="371"/>
        <v>46283</v>
      </c>
      <c r="BN571" s="66">
        <v>46285</v>
      </c>
      <c r="BO571" s="117">
        <v>46300</v>
      </c>
      <c r="BP571" s="39"/>
      <c r="BQ571" s="39"/>
      <c r="BR571" s="39"/>
      <c r="BS571" s="39"/>
      <c r="BT571" s="39"/>
      <c r="BU571" s="39"/>
      <c r="BV571" s="39"/>
      <c r="BW571" s="39"/>
      <c r="BX571" s="39"/>
      <c r="BY571" s="39"/>
      <c r="BZ571" s="39">
        <f t="shared" si="372"/>
        <v>0</v>
      </c>
      <c r="CA571" s="39">
        <f t="shared" si="373"/>
        <v>-85</v>
      </c>
      <c r="CB571" s="39">
        <f t="shared" si="374"/>
        <v>-7</v>
      </c>
      <c r="CC571" s="39">
        <f t="shared" si="375"/>
        <v>0</v>
      </c>
      <c r="CD571" s="39">
        <f t="shared" si="376"/>
        <v>-92</v>
      </c>
      <c r="CE571" s="102">
        <f t="shared" si="377"/>
        <v>-1</v>
      </c>
      <c r="CF571" s="36" t="s">
        <v>250</v>
      </c>
      <c r="CG571" s="39" t="s">
        <v>415</v>
      </c>
      <c r="CH571" s="39"/>
      <c r="CI571" s="25">
        <v>2</v>
      </c>
    </row>
    <row r="572" spans="1:87" ht="24.75" customHeight="1">
      <c r="A572" s="36" t="s">
        <v>387</v>
      </c>
      <c r="B572" s="27" t="s">
        <v>2422</v>
      </c>
      <c r="C572" s="231"/>
      <c r="D572" s="36"/>
      <c r="E572" s="39">
        <v>140</v>
      </c>
      <c r="F572" s="39" t="s">
        <v>57</v>
      </c>
      <c r="G572" s="36" t="s">
        <v>1215</v>
      </c>
      <c r="H572" s="36" t="s">
        <v>22</v>
      </c>
      <c r="I572" s="39">
        <v>85</v>
      </c>
      <c r="J572" s="39">
        <v>7</v>
      </c>
      <c r="K572" s="39"/>
      <c r="L572" s="39">
        <f t="shared" si="391"/>
        <v>92</v>
      </c>
      <c r="M572" s="117">
        <v>46270</v>
      </c>
      <c r="N572" s="117">
        <v>46275</v>
      </c>
      <c r="O572" s="39"/>
      <c r="P572" s="39"/>
      <c r="Q572" s="39"/>
      <c r="R572" s="39">
        <f t="shared" si="392"/>
        <v>0</v>
      </c>
      <c r="S572" s="39" t="s">
        <v>100</v>
      </c>
      <c r="T572" s="39"/>
      <c r="U572" s="39"/>
      <c r="V572" s="117">
        <v>46268</v>
      </c>
      <c r="W572" s="39">
        <f>108+9</f>
        <v>117</v>
      </c>
      <c r="X572" s="39"/>
      <c r="Y572" s="39"/>
      <c r="Z572" s="39"/>
      <c r="AA572" s="39"/>
      <c r="AB572" s="118">
        <f t="shared" si="393"/>
        <v>0</v>
      </c>
      <c r="AC572" s="39"/>
      <c r="AD572" s="39"/>
      <c r="AE572" s="39"/>
      <c r="AF572" s="39"/>
      <c r="AG572" s="39"/>
      <c r="AH572" s="39">
        <f t="shared" si="366"/>
        <v>0</v>
      </c>
      <c r="AI572" s="39"/>
      <c r="AJ572" s="39"/>
      <c r="AK572" s="39"/>
      <c r="AL572" s="39"/>
      <c r="AM572" s="39"/>
      <c r="AN572" s="39">
        <f t="shared" si="196"/>
        <v>0</v>
      </c>
      <c r="AO572" s="39"/>
      <c r="AP572" s="39"/>
      <c r="AQ572" s="39"/>
      <c r="AR572" s="39"/>
      <c r="AS572" s="39"/>
      <c r="AT572" s="39">
        <f t="shared" si="367"/>
        <v>0</v>
      </c>
      <c r="AU572" s="39"/>
      <c r="AV572" s="39"/>
      <c r="AW572" s="39"/>
      <c r="AX572" s="39"/>
      <c r="AY572" s="39"/>
      <c r="AZ572" s="39">
        <f t="shared" si="368"/>
        <v>0</v>
      </c>
      <c r="BA572" s="39"/>
      <c r="BB572" s="39"/>
      <c r="BC572" s="39"/>
      <c r="BD572" s="39"/>
      <c r="BE572" s="39"/>
      <c r="BF572" s="39">
        <f t="shared" si="369"/>
        <v>0</v>
      </c>
      <c r="BG572" s="39"/>
      <c r="BH572" s="39"/>
      <c r="BI572" s="39"/>
      <c r="BJ572" s="39"/>
      <c r="BK572" s="39"/>
      <c r="BL572" s="39">
        <f t="shared" si="370"/>
        <v>0</v>
      </c>
      <c r="BM572" s="54">
        <f t="shared" ca="1" si="371"/>
        <v>46283</v>
      </c>
      <c r="BN572" s="66">
        <v>46285</v>
      </c>
      <c r="BO572" s="117">
        <v>46300</v>
      </c>
      <c r="BP572" s="39"/>
      <c r="BQ572" s="39"/>
      <c r="BR572" s="39"/>
      <c r="BS572" s="39"/>
      <c r="BT572" s="39"/>
      <c r="BU572" s="39"/>
      <c r="BV572" s="39"/>
      <c r="BW572" s="39"/>
      <c r="BX572" s="39"/>
      <c r="BY572" s="39"/>
      <c r="BZ572" s="39">
        <f t="shared" si="372"/>
        <v>0</v>
      </c>
      <c r="CA572" s="39">
        <f t="shared" si="373"/>
        <v>-85</v>
      </c>
      <c r="CB572" s="39">
        <f t="shared" si="374"/>
        <v>-7</v>
      </c>
      <c r="CC572" s="39">
        <f t="shared" si="375"/>
        <v>0</v>
      </c>
      <c r="CD572" s="39">
        <f t="shared" si="376"/>
        <v>-92</v>
      </c>
      <c r="CE572" s="102">
        <f t="shared" si="377"/>
        <v>-1</v>
      </c>
      <c r="CF572" s="36" t="s">
        <v>250</v>
      </c>
      <c r="CG572" s="39" t="s">
        <v>415</v>
      </c>
      <c r="CH572" s="39"/>
      <c r="CI572" s="25">
        <v>2</v>
      </c>
    </row>
    <row r="573" spans="1:87" ht="24.75" customHeight="1">
      <c r="A573" s="36" t="s">
        <v>387</v>
      </c>
      <c r="B573" s="27" t="s">
        <v>2422</v>
      </c>
      <c r="C573" s="231"/>
      <c r="D573" s="36"/>
      <c r="E573" s="39">
        <v>140</v>
      </c>
      <c r="F573" s="39" t="s">
        <v>57</v>
      </c>
      <c r="G573" s="36" t="s">
        <v>2349</v>
      </c>
      <c r="H573" s="36" t="s">
        <v>22</v>
      </c>
      <c r="I573" s="39">
        <v>85</v>
      </c>
      <c r="J573" s="39">
        <v>7</v>
      </c>
      <c r="K573" s="39"/>
      <c r="L573" s="39">
        <f t="shared" si="391"/>
        <v>92</v>
      </c>
      <c r="M573" s="117">
        <v>46270</v>
      </c>
      <c r="N573" s="117">
        <v>46275</v>
      </c>
      <c r="O573" s="39"/>
      <c r="P573" s="39"/>
      <c r="Q573" s="39"/>
      <c r="R573" s="39">
        <f t="shared" si="392"/>
        <v>0</v>
      </c>
      <c r="S573" s="39" t="s">
        <v>31</v>
      </c>
      <c r="T573" s="39"/>
      <c r="U573" s="39"/>
      <c r="V573" s="117">
        <v>46272</v>
      </c>
      <c r="W573" s="39">
        <f>107+11</f>
        <v>118</v>
      </c>
      <c r="X573" s="39"/>
      <c r="Y573" s="39"/>
      <c r="Z573" s="39"/>
      <c r="AA573" s="39"/>
      <c r="AB573" s="118">
        <f t="shared" si="393"/>
        <v>0</v>
      </c>
      <c r="AC573" s="39"/>
      <c r="AD573" s="39"/>
      <c r="AE573" s="39"/>
      <c r="AF573" s="39"/>
      <c r="AG573" s="39"/>
      <c r="AH573" s="39">
        <f t="shared" si="366"/>
        <v>0</v>
      </c>
      <c r="AI573" s="39"/>
      <c r="AJ573" s="39"/>
      <c r="AK573" s="39"/>
      <c r="AL573" s="39"/>
      <c r="AM573" s="39"/>
      <c r="AN573" s="39">
        <f t="shared" si="196"/>
        <v>0</v>
      </c>
      <c r="AO573" s="39"/>
      <c r="AP573" s="39"/>
      <c r="AQ573" s="39"/>
      <c r="AR573" s="39"/>
      <c r="AS573" s="39"/>
      <c r="AT573" s="39">
        <f t="shared" si="367"/>
        <v>0</v>
      </c>
      <c r="AU573" s="39"/>
      <c r="AV573" s="39"/>
      <c r="AW573" s="39"/>
      <c r="AX573" s="39"/>
      <c r="AY573" s="39"/>
      <c r="AZ573" s="39">
        <f t="shared" si="368"/>
        <v>0</v>
      </c>
      <c r="BA573" s="39"/>
      <c r="BB573" s="39"/>
      <c r="BC573" s="39"/>
      <c r="BD573" s="39"/>
      <c r="BE573" s="39"/>
      <c r="BF573" s="39">
        <f t="shared" si="369"/>
        <v>0</v>
      </c>
      <c r="BG573" s="39"/>
      <c r="BH573" s="39"/>
      <c r="BI573" s="39"/>
      <c r="BJ573" s="39"/>
      <c r="BK573" s="39"/>
      <c r="BL573" s="39">
        <f t="shared" si="370"/>
        <v>0</v>
      </c>
      <c r="BM573" s="54">
        <f t="shared" ca="1" si="371"/>
        <v>46283</v>
      </c>
      <c r="BN573" s="66">
        <v>46285</v>
      </c>
      <c r="BO573" s="117">
        <v>46300</v>
      </c>
      <c r="BP573" s="39"/>
      <c r="BQ573" s="39"/>
      <c r="BR573" s="39"/>
      <c r="BS573" s="39"/>
      <c r="BT573" s="39"/>
      <c r="BU573" s="39"/>
      <c r="BV573" s="39"/>
      <c r="BW573" s="39"/>
      <c r="BX573" s="39"/>
      <c r="BY573" s="39"/>
      <c r="BZ573" s="39">
        <f t="shared" si="372"/>
        <v>0</v>
      </c>
      <c r="CA573" s="39">
        <f t="shared" si="373"/>
        <v>-85</v>
      </c>
      <c r="CB573" s="39">
        <f t="shared" si="374"/>
        <v>-7</v>
      </c>
      <c r="CC573" s="39">
        <f t="shared" si="375"/>
        <v>0</v>
      </c>
      <c r="CD573" s="39">
        <f t="shared" si="376"/>
        <v>-92</v>
      </c>
      <c r="CE573" s="102">
        <f t="shared" si="377"/>
        <v>-1</v>
      </c>
      <c r="CF573" s="36" t="s">
        <v>250</v>
      </c>
      <c r="CG573" s="39" t="s">
        <v>415</v>
      </c>
      <c r="CH573" s="39"/>
      <c r="CI573" s="25">
        <v>2</v>
      </c>
    </row>
    <row r="574" spans="1:87" ht="24.75" customHeight="1">
      <c r="A574" s="36" t="s">
        <v>387</v>
      </c>
      <c r="B574" s="27" t="s">
        <v>2422</v>
      </c>
      <c r="C574" s="228"/>
      <c r="D574" s="36"/>
      <c r="E574" s="39">
        <v>140</v>
      </c>
      <c r="F574" s="39" t="s">
        <v>57</v>
      </c>
      <c r="G574" s="36" t="s">
        <v>23</v>
      </c>
      <c r="H574" s="36" t="s">
        <v>22</v>
      </c>
      <c r="I574" s="39">
        <v>85</v>
      </c>
      <c r="J574" s="39">
        <v>7</v>
      </c>
      <c r="K574" s="39"/>
      <c r="L574" s="39">
        <f t="shared" si="391"/>
        <v>92</v>
      </c>
      <c r="M574" s="117">
        <v>46270</v>
      </c>
      <c r="N574" s="117">
        <v>46275</v>
      </c>
      <c r="O574" s="39"/>
      <c r="P574" s="39"/>
      <c r="Q574" s="39"/>
      <c r="R574" s="39">
        <f t="shared" si="392"/>
        <v>0</v>
      </c>
      <c r="S574" s="39" t="s">
        <v>100</v>
      </c>
      <c r="T574" s="39"/>
      <c r="U574" s="39"/>
      <c r="V574" s="117">
        <v>46273</v>
      </c>
      <c r="W574" s="39">
        <f>104+10</f>
        <v>114</v>
      </c>
      <c r="X574" s="39"/>
      <c r="Y574" s="39"/>
      <c r="Z574" s="39"/>
      <c r="AA574" s="39"/>
      <c r="AB574" s="118">
        <f t="shared" si="393"/>
        <v>0</v>
      </c>
      <c r="AC574" s="39"/>
      <c r="AD574" s="39"/>
      <c r="AE574" s="39"/>
      <c r="AF574" s="39"/>
      <c r="AG574" s="39"/>
      <c r="AH574" s="39">
        <f t="shared" si="366"/>
        <v>0</v>
      </c>
      <c r="AI574" s="39"/>
      <c r="AJ574" s="39"/>
      <c r="AK574" s="39"/>
      <c r="AL574" s="39"/>
      <c r="AM574" s="39"/>
      <c r="AN574" s="39">
        <f t="shared" si="196"/>
        <v>0</v>
      </c>
      <c r="AO574" s="39"/>
      <c r="AP574" s="39"/>
      <c r="AQ574" s="39"/>
      <c r="AR574" s="39"/>
      <c r="AS574" s="39"/>
      <c r="AT574" s="39">
        <f t="shared" si="367"/>
        <v>0</v>
      </c>
      <c r="AU574" s="39"/>
      <c r="AV574" s="39"/>
      <c r="AW574" s="39"/>
      <c r="AX574" s="39"/>
      <c r="AY574" s="39"/>
      <c r="AZ574" s="39">
        <f t="shared" si="368"/>
        <v>0</v>
      </c>
      <c r="BA574" s="39"/>
      <c r="BB574" s="39"/>
      <c r="BC574" s="39"/>
      <c r="BD574" s="39"/>
      <c r="BE574" s="39"/>
      <c r="BF574" s="39">
        <f t="shared" si="369"/>
        <v>0</v>
      </c>
      <c r="BG574" s="39"/>
      <c r="BH574" s="39"/>
      <c r="BI574" s="39"/>
      <c r="BJ574" s="39"/>
      <c r="BK574" s="39"/>
      <c r="BL574" s="39">
        <f t="shared" si="370"/>
        <v>0</v>
      </c>
      <c r="BM574" s="54">
        <f t="shared" ca="1" si="371"/>
        <v>46283</v>
      </c>
      <c r="BN574" s="66">
        <v>46285</v>
      </c>
      <c r="BO574" s="117">
        <v>46300</v>
      </c>
      <c r="BP574" s="39"/>
      <c r="BQ574" s="39"/>
      <c r="BR574" s="39"/>
      <c r="BS574" s="39"/>
      <c r="BT574" s="39"/>
      <c r="BU574" s="39"/>
      <c r="BV574" s="39"/>
      <c r="BW574" s="39"/>
      <c r="BX574" s="39"/>
      <c r="BY574" s="39"/>
      <c r="BZ574" s="39">
        <f t="shared" si="372"/>
        <v>0</v>
      </c>
      <c r="CA574" s="39">
        <f t="shared" si="373"/>
        <v>-85</v>
      </c>
      <c r="CB574" s="39">
        <f t="shared" si="374"/>
        <v>-7</v>
      </c>
      <c r="CC574" s="39">
        <f t="shared" si="375"/>
        <v>0</v>
      </c>
      <c r="CD574" s="39">
        <f t="shared" si="376"/>
        <v>-92</v>
      </c>
      <c r="CE574" s="102">
        <f t="shared" si="377"/>
        <v>-1</v>
      </c>
      <c r="CF574" s="36" t="s">
        <v>250</v>
      </c>
      <c r="CG574" s="39" t="s">
        <v>415</v>
      </c>
      <c r="CH574" s="39"/>
      <c r="CI574" s="25">
        <v>2</v>
      </c>
    </row>
    <row r="575" spans="1:87" ht="24.75" customHeight="1">
      <c r="A575" s="36" t="s">
        <v>387</v>
      </c>
      <c r="B575" s="27">
        <v>48657</v>
      </c>
      <c r="C575" s="227" t="s">
        <v>2768</v>
      </c>
      <c r="D575" s="36" t="s">
        <v>24</v>
      </c>
      <c r="E575" s="39">
        <v>220</v>
      </c>
      <c r="F575" s="39" t="s">
        <v>55</v>
      </c>
      <c r="G575" s="36" t="s">
        <v>2394</v>
      </c>
      <c r="H575" s="36" t="s">
        <v>212</v>
      </c>
      <c r="I575" s="39">
        <v>379</v>
      </c>
      <c r="J575" s="39">
        <v>21</v>
      </c>
      <c r="K575" s="39"/>
      <c r="L575" s="39">
        <f t="shared" si="391"/>
        <v>400</v>
      </c>
      <c r="M575" s="117">
        <v>46270</v>
      </c>
      <c r="N575" s="117">
        <v>46284</v>
      </c>
      <c r="O575" s="39"/>
      <c r="P575" s="39"/>
      <c r="Q575" s="39"/>
      <c r="R575" s="39">
        <f t="shared" si="392"/>
        <v>0</v>
      </c>
      <c r="S575" s="39" t="s">
        <v>130</v>
      </c>
      <c r="T575" s="39"/>
      <c r="U575" s="39"/>
      <c r="V575" s="39"/>
      <c r="W575" s="39"/>
      <c r="X575" s="39"/>
      <c r="Y575" s="39"/>
      <c r="Z575" s="39"/>
      <c r="AA575" s="39"/>
      <c r="AB575" s="118">
        <f t="shared" si="393"/>
        <v>0</v>
      </c>
      <c r="AC575" s="39"/>
      <c r="AD575" s="39"/>
      <c r="AE575" s="39"/>
      <c r="AF575" s="39"/>
      <c r="AG575" s="39"/>
      <c r="AH575" s="39">
        <f t="shared" si="366"/>
        <v>0</v>
      </c>
      <c r="AI575" s="39"/>
      <c r="AJ575" s="39"/>
      <c r="AK575" s="39"/>
      <c r="AL575" s="39"/>
      <c r="AM575" s="39"/>
      <c r="AN575" s="39">
        <f t="shared" ref="AN575:AN630" si="394">AM575-AK575</f>
        <v>0</v>
      </c>
      <c r="AO575" s="39"/>
      <c r="AP575" s="39"/>
      <c r="AQ575" s="39"/>
      <c r="AR575" s="39"/>
      <c r="AS575" s="39"/>
      <c r="AT575" s="39">
        <f t="shared" si="367"/>
        <v>0</v>
      </c>
      <c r="AU575" s="39"/>
      <c r="AV575" s="39"/>
      <c r="AW575" s="39"/>
      <c r="AX575" s="39"/>
      <c r="AY575" s="39"/>
      <c r="AZ575" s="39">
        <f t="shared" si="368"/>
        <v>0</v>
      </c>
      <c r="BA575" s="39"/>
      <c r="BB575" s="39"/>
      <c r="BC575" s="39"/>
      <c r="BD575" s="39"/>
      <c r="BE575" s="39"/>
      <c r="BF575" s="39">
        <f t="shared" si="369"/>
        <v>0</v>
      </c>
      <c r="BG575" s="39"/>
      <c r="BH575" s="39"/>
      <c r="BI575" s="39"/>
      <c r="BJ575" s="39"/>
      <c r="BK575" s="39"/>
      <c r="BL575" s="39">
        <f t="shared" si="370"/>
        <v>0</v>
      </c>
      <c r="BM575" s="54">
        <f t="shared" ca="1" si="371"/>
        <v>46283</v>
      </c>
      <c r="BN575" s="66">
        <v>46283</v>
      </c>
      <c r="BO575" s="117">
        <v>46291</v>
      </c>
      <c r="BP575" s="39"/>
      <c r="BQ575" s="39"/>
      <c r="BR575" s="39"/>
      <c r="BS575" s="39"/>
      <c r="BT575" s="39"/>
      <c r="BU575" s="39"/>
      <c r="BV575" s="39"/>
      <c r="BW575" s="39"/>
      <c r="BX575" s="39"/>
      <c r="BY575" s="39"/>
      <c r="BZ575" s="39">
        <f t="shared" si="372"/>
        <v>0</v>
      </c>
      <c r="CA575" s="39">
        <f t="shared" si="373"/>
        <v>-379</v>
      </c>
      <c r="CB575" s="39">
        <f t="shared" si="374"/>
        <v>-21</v>
      </c>
      <c r="CC575" s="39">
        <f t="shared" si="375"/>
        <v>0</v>
      </c>
      <c r="CD575" s="39">
        <f t="shared" si="376"/>
        <v>-400</v>
      </c>
      <c r="CE575" s="102">
        <f t="shared" si="377"/>
        <v>-1</v>
      </c>
      <c r="CF575" s="36" t="s">
        <v>249</v>
      </c>
      <c r="CG575" s="39" t="s">
        <v>222</v>
      </c>
      <c r="CH575" s="39"/>
      <c r="CI575" s="25">
        <v>2</v>
      </c>
    </row>
    <row r="576" spans="1:87" ht="24.75" customHeight="1">
      <c r="A576" s="36" t="s">
        <v>387</v>
      </c>
      <c r="B576" s="27">
        <v>48657</v>
      </c>
      <c r="C576" s="231"/>
      <c r="D576" s="36" t="s">
        <v>24</v>
      </c>
      <c r="E576" s="39">
        <v>220</v>
      </c>
      <c r="F576" s="39" t="s">
        <v>55</v>
      </c>
      <c r="G576" s="36" t="s">
        <v>2397</v>
      </c>
      <c r="H576" s="36" t="s">
        <v>212</v>
      </c>
      <c r="I576" s="39">
        <v>443</v>
      </c>
      <c r="J576" s="39">
        <v>24</v>
      </c>
      <c r="K576" s="39"/>
      <c r="L576" s="39">
        <f t="shared" ref="L576:L582" si="395">SUM(I576:K576)</f>
        <v>467</v>
      </c>
      <c r="M576" s="117">
        <v>46270</v>
      </c>
      <c r="N576" s="117">
        <v>46284</v>
      </c>
      <c r="O576" s="39"/>
      <c r="P576" s="39"/>
      <c r="Q576" s="39"/>
      <c r="R576" s="39">
        <f t="shared" si="392"/>
        <v>0</v>
      </c>
      <c r="S576" s="39" t="s">
        <v>130</v>
      </c>
      <c r="T576" s="39"/>
      <c r="U576" s="39"/>
      <c r="V576" s="39"/>
      <c r="W576" s="39"/>
      <c r="X576" s="39"/>
      <c r="Y576" s="39"/>
      <c r="Z576" s="39"/>
      <c r="AA576" s="39"/>
      <c r="AB576" s="118">
        <f t="shared" si="393"/>
        <v>0</v>
      </c>
      <c r="AC576" s="39"/>
      <c r="AD576" s="39"/>
      <c r="AE576" s="39"/>
      <c r="AF576" s="39"/>
      <c r="AG576" s="39"/>
      <c r="AH576" s="39">
        <f t="shared" si="366"/>
        <v>0</v>
      </c>
      <c r="AI576" s="39"/>
      <c r="AJ576" s="39"/>
      <c r="AK576" s="39"/>
      <c r="AL576" s="39"/>
      <c r="AM576" s="39"/>
      <c r="AN576" s="39">
        <f t="shared" si="394"/>
        <v>0</v>
      </c>
      <c r="AO576" s="39"/>
      <c r="AP576" s="39"/>
      <c r="AQ576" s="39"/>
      <c r="AR576" s="39"/>
      <c r="AS576" s="39"/>
      <c r="AT576" s="39">
        <f t="shared" si="367"/>
        <v>0</v>
      </c>
      <c r="AU576" s="39"/>
      <c r="AV576" s="39"/>
      <c r="AW576" s="39"/>
      <c r="AX576" s="39"/>
      <c r="AY576" s="39"/>
      <c r="AZ576" s="39">
        <f t="shared" si="368"/>
        <v>0</v>
      </c>
      <c r="BA576" s="39"/>
      <c r="BB576" s="39"/>
      <c r="BC576" s="39"/>
      <c r="BD576" s="39"/>
      <c r="BE576" s="39"/>
      <c r="BF576" s="39">
        <f t="shared" si="369"/>
        <v>0</v>
      </c>
      <c r="BG576" s="39"/>
      <c r="BH576" s="39"/>
      <c r="BI576" s="39"/>
      <c r="BJ576" s="39"/>
      <c r="BK576" s="39"/>
      <c r="BL576" s="39">
        <f t="shared" si="370"/>
        <v>0</v>
      </c>
      <c r="BM576" s="54">
        <f t="shared" ca="1" si="371"/>
        <v>46283</v>
      </c>
      <c r="BN576" s="66">
        <v>46283</v>
      </c>
      <c r="BO576" s="117">
        <v>46291</v>
      </c>
      <c r="BP576" s="39"/>
      <c r="BQ576" s="39"/>
      <c r="BR576" s="39"/>
      <c r="BS576" s="39"/>
      <c r="BT576" s="39"/>
      <c r="BU576" s="39"/>
      <c r="BV576" s="39"/>
      <c r="BW576" s="39"/>
      <c r="BX576" s="39"/>
      <c r="BY576" s="39"/>
      <c r="BZ576" s="39">
        <f t="shared" si="372"/>
        <v>0</v>
      </c>
      <c r="CA576" s="39">
        <f t="shared" si="373"/>
        <v>-443</v>
      </c>
      <c r="CB576" s="39">
        <f t="shared" si="374"/>
        <v>-24</v>
      </c>
      <c r="CC576" s="39">
        <f t="shared" si="375"/>
        <v>0</v>
      </c>
      <c r="CD576" s="39">
        <f t="shared" si="376"/>
        <v>-467</v>
      </c>
      <c r="CE576" s="102">
        <f t="shared" si="377"/>
        <v>-1</v>
      </c>
      <c r="CF576" s="36" t="s">
        <v>249</v>
      </c>
      <c r="CG576" s="39" t="s">
        <v>222</v>
      </c>
      <c r="CH576" s="39"/>
      <c r="CI576" s="25">
        <v>2</v>
      </c>
    </row>
    <row r="577" spans="1:87" ht="24.75" customHeight="1">
      <c r="A577" s="36" t="s">
        <v>387</v>
      </c>
      <c r="B577" s="27">
        <v>48657</v>
      </c>
      <c r="C577" s="231"/>
      <c r="D577" s="36" t="s">
        <v>24</v>
      </c>
      <c r="E577" s="39">
        <v>220</v>
      </c>
      <c r="F577" s="39" t="s">
        <v>55</v>
      </c>
      <c r="G577" s="36" t="s">
        <v>2521</v>
      </c>
      <c r="H577" s="36" t="s">
        <v>212</v>
      </c>
      <c r="I577" s="39">
        <v>252</v>
      </c>
      <c r="J577" s="39">
        <v>14</v>
      </c>
      <c r="K577" s="39"/>
      <c r="L577" s="39">
        <f t="shared" si="395"/>
        <v>266</v>
      </c>
      <c r="M577" s="117">
        <v>46270</v>
      </c>
      <c r="N577" s="117">
        <v>46284</v>
      </c>
      <c r="O577" s="39"/>
      <c r="P577" s="39"/>
      <c r="Q577" s="39"/>
      <c r="R577" s="39">
        <f t="shared" si="392"/>
        <v>0</v>
      </c>
      <c r="S577" s="39" t="s">
        <v>130</v>
      </c>
      <c r="T577" s="39"/>
      <c r="U577" s="39"/>
      <c r="V577" s="39"/>
      <c r="W577" s="39"/>
      <c r="X577" s="39"/>
      <c r="Y577" s="39"/>
      <c r="Z577" s="39"/>
      <c r="AA577" s="39"/>
      <c r="AB577" s="118">
        <f t="shared" si="393"/>
        <v>0</v>
      </c>
      <c r="AC577" s="39"/>
      <c r="AD577" s="39"/>
      <c r="AE577" s="39"/>
      <c r="AF577" s="39"/>
      <c r="AG577" s="39"/>
      <c r="AH577" s="39">
        <f t="shared" si="366"/>
        <v>0</v>
      </c>
      <c r="AI577" s="39"/>
      <c r="AJ577" s="39"/>
      <c r="AK577" s="39"/>
      <c r="AL577" s="39"/>
      <c r="AM577" s="39"/>
      <c r="AN577" s="39">
        <f t="shared" si="394"/>
        <v>0</v>
      </c>
      <c r="AO577" s="39"/>
      <c r="AP577" s="39"/>
      <c r="AQ577" s="39"/>
      <c r="AR577" s="39"/>
      <c r="AS577" s="39"/>
      <c r="AT577" s="39">
        <f t="shared" si="367"/>
        <v>0</v>
      </c>
      <c r="AU577" s="39"/>
      <c r="AV577" s="39"/>
      <c r="AW577" s="39"/>
      <c r="AX577" s="39"/>
      <c r="AY577" s="39"/>
      <c r="AZ577" s="39">
        <f t="shared" si="368"/>
        <v>0</v>
      </c>
      <c r="BA577" s="39"/>
      <c r="BB577" s="39"/>
      <c r="BC577" s="39"/>
      <c r="BD577" s="39"/>
      <c r="BE577" s="39"/>
      <c r="BF577" s="39">
        <f t="shared" si="369"/>
        <v>0</v>
      </c>
      <c r="BG577" s="39"/>
      <c r="BH577" s="39"/>
      <c r="BI577" s="39"/>
      <c r="BJ577" s="39"/>
      <c r="BK577" s="39"/>
      <c r="BL577" s="39">
        <f t="shared" si="370"/>
        <v>0</v>
      </c>
      <c r="BM577" s="54">
        <f t="shared" ca="1" si="371"/>
        <v>46283</v>
      </c>
      <c r="BN577" s="66">
        <v>46283</v>
      </c>
      <c r="BO577" s="117">
        <v>46291</v>
      </c>
      <c r="BP577" s="39"/>
      <c r="BQ577" s="39"/>
      <c r="BR577" s="39"/>
      <c r="BS577" s="39"/>
      <c r="BT577" s="39"/>
      <c r="BU577" s="39"/>
      <c r="BV577" s="39"/>
      <c r="BW577" s="39"/>
      <c r="BX577" s="39"/>
      <c r="BY577" s="39"/>
      <c r="BZ577" s="39">
        <f t="shared" si="372"/>
        <v>0</v>
      </c>
      <c r="CA577" s="39">
        <f t="shared" si="373"/>
        <v>-252</v>
      </c>
      <c r="CB577" s="39">
        <f t="shared" si="374"/>
        <v>-14</v>
      </c>
      <c r="CC577" s="39">
        <f t="shared" si="375"/>
        <v>0</v>
      </c>
      <c r="CD577" s="39">
        <f t="shared" si="376"/>
        <v>-266</v>
      </c>
      <c r="CE577" s="102">
        <f t="shared" si="377"/>
        <v>-1</v>
      </c>
      <c r="CF577" s="36" t="s">
        <v>249</v>
      </c>
      <c r="CG577" s="39" t="s">
        <v>222</v>
      </c>
      <c r="CH577" s="39"/>
      <c r="CI577" s="25">
        <v>2</v>
      </c>
    </row>
    <row r="578" spans="1:87" ht="24.75" customHeight="1">
      <c r="A578" s="36" t="s">
        <v>387</v>
      </c>
      <c r="B578" s="27">
        <v>48657</v>
      </c>
      <c r="C578" s="228"/>
      <c r="D578" s="36" t="s">
        <v>24</v>
      </c>
      <c r="E578" s="39">
        <v>220</v>
      </c>
      <c r="F578" s="39" t="s">
        <v>55</v>
      </c>
      <c r="G578" s="36" t="s">
        <v>2522</v>
      </c>
      <c r="H578" s="36" t="s">
        <v>212</v>
      </c>
      <c r="I578" s="39">
        <v>500</v>
      </c>
      <c r="J578" s="39">
        <v>27</v>
      </c>
      <c r="K578" s="39"/>
      <c r="L578" s="39">
        <f t="shared" si="395"/>
        <v>527</v>
      </c>
      <c r="M578" s="117">
        <v>46270</v>
      </c>
      <c r="N578" s="117">
        <v>46284</v>
      </c>
      <c r="O578" s="39"/>
      <c r="P578" s="39"/>
      <c r="Q578" s="39"/>
      <c r="R578" s="39">
        <f t="shared" si="392"/>
        <v>0</v>
      </c>
      <c r="S578" s="39" t="s">
        <v>130</v>
      </c>
      <c r="T578" s="39"/>
      <c r="U578" s="39"/>
      <c r="V578" s="39"/>
      <c r="W578" s="39"/>
      <c r="X578" s="39"/>
      <c r="Y578" s="39"/>
      <c r="Z578" s="39"/>
      <c r="AA578" s="39"/>
      <c r="AB578" s="118">
        <f t="shared" si="393"/>
        <v>0</v>
      </c>
      <c r="AC578" s="39"/>
      <c r="AD578" s="39"/>
      <c r="AE578" s="39"/>
      <c r="AF578" s="39"/>
      <c r="AG578" s="39"/>
      <c r="AH578" s="39">
        <f t="shared" si="366"/>
        <v>0</v>
      </c>
      <c r="AI578" s="39"/>
      <c r="AJ578" s="39"/>
      <c r="AK578" s="39"/>
      <c r="AL578" s="39"/>
      <c r="AM578" s="39"/>
      <c r="AN578" s="39">
        <f t="shared" si="394"/>
        <v>0</v>
      </c>
      <c r="AO578" s="39"/>
      <c r="AP578" s="39"/>
      <c r="AQ578" s="39"/>
      <c r="AR578" s="39"/>
      <c r="AS578" s="39"/>
      <c r="AT578" s="39">
        <f t="shared" si="367"/>
        <v>0</v>
      </c>
      <c r="AU578" s="39"/>
      <c r="AV578" s="39"/>
      <c r="AW578" s="39"/>
      <c r="AX578" s="39"/>
      <c r="AY578" s="39"/>
      <c r="AZ578" s="39">
        <f t="shared" si="368"/>
        <v>0</v>
      </c>
      <c r="BA578" s="39"/>
      <c r="BB578" s="39"/>
      <c r="BC578" s="39"/>
      <c r="BD578" s="39"/>
      <c r="BE578" s="39"/>
      <c r="BF578" s="39">
        <f t="shared" si="369"/>
        <v>0</v>
      </c>
      <c r="BG578" s="39"/>
      <c r="BH578" s="39"/>
      <c r="BI578" s="39"/>
      <c r="BJ578" s="39"/>
      <c r="BK578" s="39"/>
      <c r="BL578" s="39">
        <f t="shared" si="370"/>
        <v>0</v>
      </c>
      <c r="BM578" s="54">
        <f t="shared" ca="1" si="371"/>
        <v>46283</v>
      </c>
      <c r="BN578" s="66">
        <v>46283</v>
      </c>
      <c r="BO578" s="117">
        <v>46291</v>
      </c>
      <c r="BP578" s="39"/>
      <c r="BQ578" s="39"/>
      <c r="BR578" s="39"/>
      <c r="BS578" s="39"/>
      <c r="BT578" s="39"/>
      <c r="BU578" s="39"/>
      <c r="BV578" s="39"/>
      <c r="BW578" s="39"/>
      <c r="BX578" s="39"/>
      <c r="BY578" s="39"/>
      <c r="BZ578" s="39">
        <f t="shared" si="372"/>
        <v>0</v>
      </c>
      <c r="CA578" s="39">
        <f t="shared" si="373"/>
        <v>-500</v>
      </c>
      <c r="CB578" s="39">
        <f t="shared" si="374"/>
        <v>-27</v>
      </c>
      <c r="CC578" s="39">
        <f t="shared" si="375"/>
        <v>0</v>
      </c>
      <c r="CD578" s="39">
        <f t="shared" si="376"/>
        <v>-527</v>
      </c>
      <c r="CE578" s="102">
        <f t="shared" si="377"/>
        <v>-1</v>
      </c>
      <c r="CF578" s="36" t="s">
        <v>249</v>
      </c>
      <c r="CG578" s="39" t="s">
        <v>222</v>
      </c>
      <c r="CH578" s="39"/>
      <c r="CI578" s="25">
        <v>2</v>
      </c>
    </row>
    <row r="579" spans="1:87" ht="24.75" customHeight="1">
      <c r="A579" s="36" t="s">
        <v>387</v>
      </c>
      <c r="B579" s="27">
        <v>48668</v>
      </c>
      <c r="C579" s="227">
        <v>15288478</v>
      </c>
      <c r="D579" s="36"/>
      <c r="E579" s="39">
        <v>160</v>
      </c>
      <c r="F579" s="39" t="s">
        <v>57</v>
      </c>
      <c r="G579" s="36" t="s">
        <v>47</v>
      </c>
      <c r="H579" s="36" t="s">
        <v>22</v>
      </c>
      <c r="I579" s="39">
        <v>504</v>
      </c>
      <c r="J579" s="39"/>
      <c r="K579" s="39"/>
      <c r="L579" s="39">
        <f t="shared" si="395"/>
        <v>504</v>
      </c>
      <c r="M579" s="117">
        <v>46269</v>
      </c>
      <c r="N579" s="117">
        <v>46277</v>
      </c>
      <c r="O579" s="39"/>
      <c r="P579" s="39"/>
      <c r="Q579" s="39"/>
      <c r="R579" s="39">
        <f t="shared" si="392"/>
        <v>0</v>
      </c>
      <c r="S579" s="39" t="s">
        <v>130</v>
      </c>
      <c r="T579" s="39"/>
      <c r="U579" s="39"/>
      <c r="V579" s="39"/>
      <c r="W579" s="39"/>
      <c r="X579" s="39"/>
      <c r="Y579" s="39"/>
      <c r="Z579" s="39"/>
      <c r="AA579" s="39"/>
      <c r="AB579" s="118">
        <f t="shared" si="393"/>
        <v>0</v>
      </c>
      <c r="AC579" s="39"/>
      <c r="AD579" s="39"/>
      <c r="AE579" s="39"/>
      <c r="AF579" s="39"/>
      <c r="AG579" s="39"/>
      <c r="AH579" s="39">
        <f t="shared" si="366"/>
        <v>0</v>
      </c>
      <c r="AI579" s="39"/>
      <c r="AJ579" s="39"/>
      <c r="AK579" s="39"/>
      <c r="AL579" s="39"/>
      <c r="AM579" s="39"/>
      <c r="AN579" s="39">
        <f t="shared" si="394"/>
        <v>0</v>
      </c>
      <c r="AO579" s="39"/>
      <c r="AP579" s="39"/>
      <c r="AQ579" s="39"/>
      <c r="AR579" s="39"/>
      <c r="AS579" s="39"/>
      <c r="AT579" s="39">
        <f t="shared" si="367"/>
        <v>0</v>
      </c>
      <c r="AU579" s="39"/>
      <c r="AV579" s="39"/>
      <c r="AW579" s="39"/>
      <c r="AX579" s="39"/>
      <c r="AY579" s="39"/>
      <c r="AZ579" s="39">
        <f t="shared" si="368"/>
        <v>0</v>
      </c>
      <c r="BA579" s="39"/>
      <c r="BB579" s="39"/>
      <c r="BC579" s="39"/>
      <c r="BD579" s="39"/>
      <c r="BE579" s="39"/>
      <c r="BF579" s="39">
        <f t="shared" si="369"/>
        <v>0</v>
      </c>
      <c r="BG579" s="39"/>
      <c r="BH579" s="39"/>
      <c r="BI579" s="39"/>
      <c r="BJ579" s="39"/>
      <c r="BK579" s="39"/>
      <c r="BL579" s="39">
        <f t="shared" si="370"/>
        <v>0</v>
      </c>
      <c r="BM579" s="54">
        <f t="shared" ca="1" si="371"/>
        <v>46283</v>
      </c>
      <c r="BN579" s="66">
        <v>46280</v>
      </c>
      <c r="BO579" s="117">
        <v>46295</v>
      </c>
      <c r="BP579" s="39"/>
      <c r="BQ579" s="39"/>
      <c r="BR579" s="39"/>
      <c r="BS579" s="39"/>
      <c r="BT579" s="39"/>
      <c r="BU579" s="39"/>
      <c r="BV579" s="39"/>
      <c r="BW579" s="39"/>
      <c r="BX579" s="39"/>
      <c r="BY579" s="39"/>
      <c r="BZ579" s="39">
        <f t="shared" si="372"/>
        <v>0</v>
      </c>
      <c r="CA579" s="39">
        <f t="shared" si="373"/>
        <v>-504</v>
      </c>
      <c r="CB579" s="39">
        <f t="shared" si="374"/>
        <v>0</v>
      </c>
      <c r="CC579" s="39">
        <f t="shared" si="375"/>
        <v>0</v>
      </c>
      <c r="CD579" s="39">
        <f t="shared" si="376"/>
        <v>-504</v>
      </c>
      <c r="CE579" s="102">
        <f t="shared" si="377"/>
        <v>-1</v>
      </c>
      <c r="CF579" s="36" t="s">
        <v>249</v>
      </c>
      <c r="CG579" s="39" t="s">
        <v>222</v>
      </c>
      <c r="CH579" s="39"/>
      <c r="CI579" s="25">
        <v>2</v>
      </c>
    </row>
    <row r="580" spans="1:87" ht="24.75" customHeight="1">
      <c r="A580" s="36" t="s">
        <v>387</v>
      </c>
      <c r="B580" s="27">
        <v>48668</v>
      </c>
      <c r="C580" s="228"/>
      <c r="D580" s="36"/>
      <c r="E580" s="39">
        <v>160</v>
      </c>
      <c r="F580" s="39" t="s">
        <v>57</v>
      </c>
      <c r="G580" s="36" t="s">
        <v>479</v>
      </c>
      <c r="H580" s="36" t="s">
        <v>22</v>
      </c>
      <c r="I580" s="39">
        <v>504</v>
      </c>
      <c r="J580" s="39"/>
      <c r="K580" s="39"/>
      <c r="L580" s="39">
        <f t="shared" si="395"/>
        <v>504</v>
      </c>
      <c r="M580" s="117">
        <v>46269</v>
      </c>
      <c r="N580" s="117">
        <v>46277</v>
      </c>
      <c r="O580" s="39"/>
      <c r="P580" s="39"/>
      <c r="Q580" s="39"/>
      <c r="R580" s="39">
        <f t="shared" si="392"/>
        <v>0</v>
      </c>
      <c r="S580" s="39" t="s">
        <v>31</v>
      </c>
      <c r="T580" s="39"/>
      <c r="U580" s="39"/>
      <c r="V580" s="117">
        <v>46279</v>
      </c>
      <c r="W580" s="39">
        <v>566</v>
      </c>
      <c r="X580" s="39"/>
      <c r="Y580" s="39"/>
      <c r="Z580" s="39"/>
      <c r="AA580" s="39"/>
      <c r="AB580" s="118">
        <f t="shared" si="393"/>
        <v>0</v>
      </c>
      <c r="AC580" s="39"/>
      <c r="AD580" s="39"/>
      <c r="AE580" s="39"/>
      <c r="AF580" s="39"/>
      <c r="AG580" s="39"/>
      <c r="AH580" s="39">
        <f t="shared" si="366"/>
        <v>0</v>
      </c>
      <c r="AI580" s="39"/>
      <c r="AJ580" s="39"/>
      <c r="AK580" s="39"/>
      <c r="AL580" s="39"/>
      <c r="AM580" s="39"/>
      <c r="AN580" s="39">
        <f t="shared" si="394"/>
        <v>0</v>
      </c>
      <c r="AO580" s="39"/>
      <c r="AP580" s="39"/>
      <c r="AQ580" s="39"/>
      <c r="AR580" s="39"/>
      <c r="AS580" s="39"/>
      <c r="AT580" s="39">
        <f t="shared" si="367"/>
        <v>0</v>
      </c>
      <c r="AU580" s="39"/>
      <c r="AV580" s="39"/>
      <c r="AW580" s="39"/>
      <c r="AX580" s="39"/>
      <c r="AY580" s="39"/>
      <c r="AZ580" s="39">
        <f t="shared" si="368"/>
        <v>0</v>
      </c>
      <c r="BA580" s="39"/>
      <c r="BB580" s="39"/>
      <c r="BC580" s="39"/>
      <c r="BD580" s="39"/>
      <c r="BE580" s="39"/>
      <c r="BF580" s="39">
        <f t="shared" si="369"/>
        <v>0</v>
      </c>
      <c r="BG580" s="39"/>
      <c r="BH580" s="39"/>
      <c r="BI580" s="39"/>
      <c r="BJ580" s="39"/>
      <c r="BK580" s="39"/>
      <c r="BL580" s="39">
        <f t="shared" si="370"/>
        <v>0</v>
      </c>
      <c r="BM580" s="54">
        <f t="shared" ca="1" si="371"/>
        <v>46283</v>
      </c>
      <c r="BN580" s="66">
        <v>46280</v>
      </c>
      <c r="BO580" s="117">
        <v>46295</v>
      </c>
      <c r="BP580" s="39"/>
      <c r="BQ580" s="39"/>
      <c r="BR580" s="39"/>
      <c r="BS580" s="39"/>
      <c r="BT580" s="39"/>
      <c r="BU580" s="39"/>
      <c r="BV580" s="39"/>
      <c r="BW580" s="39"/>
      <c r="BX580" s="39"/>
      <c r="BY580" s="39"/>
      <c r="BZ580" s="39">
        <f t="shared" si="372"/>
        <v>0</v>
      </c>
      <c r="CA580" s="39">
        <f t="shared" si="373"/>
        <v>-504</v>
      </c>
      <c r="CB580" s="39">
        <f t="shared" si="374"/>
        <v>0</v>
      </c>
      <c r="CC580" s="39">
        <f t="shared" si="375"/>
        <v>0</v>
      </c>
      <c r="CD580" s="39">
        <f t="shared" si="376"/>
        <v>-504</v>
      </c>
      <c r="CE580" s="102">
        <f t="shared" si="377"/>
        <v>-1</v>
      </c>
      <c r="CF580" s="36" t="s">
        <v>249</v>
      </c>
      <c r="CG580" s="39" t="s">
        <v>222</v>
      </c>
      <c r="CH580" s="39"/>
      <c r="CI580" s="25">
        <v>2</v>
      </c>
    </row>
    <row r="581" spans="1:87" ht="24.75" customHeight="1">
      <c r="A581" s="36" t="s">
        <v>387</v>
      </c>
      <c r="B581" s="27">
        <v>48606</v>
      </c>
      <c r="C581" s="227">
        <v>15391993</v>
      </c>
      <c r="D581" s="36"/>
      <c r="E581" s="39">
        <v>140</v>
      </c>
      <c r="F581" s="39" t="s">
        <v>55</v>
      </c>
      <c r="G581" s="36" t="s">
        <v>38</v>
      </c>
      <c r="H581" s="36" t="s">
        <v>22</v>
      </c>
      <c r="I581" s="39">
        <v>385</v>
      </c>
      <c r="J581" s="39">
        <v>24</v>
      </c>
      <c r="K581" s="39"/>
      <c r="L581" s="39">
        <f t="shared" si="395"/>
        <v>409</v>
      </c>
      <c r="M581" s="117">
        <v>46271</v>
      </c>
      <c r="N581" s="117">
        <v>46277</v>
      </c>
      <c r="O581" s="39"/>
      <c r="P581" s="39"/>
      <c r="Q581" s="39"/>
      <c r="R581" s="39">
        <f t="shared" si="392"/>
        <v>0</v>
      </c>
      <c r="S581" s="39" t="s">
        <v>130</v>
      </c>
      <c r="T581" s="39">
        <v>109347</v>
      </c>
      <c r="U581" s="117">
        <v>46277</v>
      </c>
      <c r="V581" s="39"/>
      <c r="W581" s="39"/>
      <c r="X581" s="39"/>
      <c r="Y581" s="39">
        <v>439</v>
      </c>
      <c r="Z581" s="39">
        <v>29</v>
      </c>
      <c r="AA581" s="39"/>
      <c r="AB581" s="119">
        <f t="shared" si="393"/>
        <v>468</v>
      </c>
      <c r="AC581" s="39"/>
      <c r="AD581" s="39"/>
      <c r="AE581" s="39"/>
      <c r="AF581" s="39"/>
      <c r="AG581" s="39"/>
      <c r="AH581" s="39">
        <f t="shared" si="366"/>
        <v>0</v>
      </c>
      <c r="AI581" s="39"/>
      <c r="AJ581" s="39"/>
      <c r="AK581" s="39"/>
      <c r="AL581" s="39"/>
      <c r="AM581" s="39"/>
      <c r="AN581" s="39">
        <f t="shared" si="394"/>
        <v>0</v>
      </c>
      <c r="AO581" s="39"/>
      <c r="AP581" s="39"/>
      <c r="AQ581" s="39"/>
      <c r="AR581" s="39"/>
      <c r="AS581" s="39"/>
      <c r="AT581" s="39">
        <f t="shared" si="367"/>
        <v>0</v>
      </c>
      <c r="AU581" s="39"/>
      <c r="AV581" s="39"/>
      <c r="AW581" s="39"/>
      <c r="AX581" s="39"/>
      <c r="AY581" s="39"/>
      <c r="AZ581" s="39">
        <f t="shared" si="368"/>
        <v>0</v>
      </c>
      <c r="BA581" s="39"/>
      <c r="BB581" s="39"/>
      <c r="BC581" s="39"/>
      <c r="BD581" s="39"/>
      <c r="BE581" s="39"/>
      <c r="BF581" s="39">
        <f t="shared" si="369"/>
        <v>0</v>
      </c>
      <c r="BG581" s="39"/>
      <c r="BH581" s="39"/>
      <c r="BI581" s="39"/>
      <c r="BJ581" s="39"/>
      <c r="BK581" s="39"/>
      <c r="BL581" s="39">
        <f t="shared" si="370"/>
        <v>0</v>
      </c>
      <c r="BM581" s="54" t="str">
        <f t="shared" si="371"/>
        <v/>
      </c>
      <c r="BN581" s="66">
        <v>46285</v>
      </c>
      <c r="BO581" s="117">
        <v>46299</v>
      </c>
      <c r="BP581" s="39"/>
      <c r="BQ581" s="39"/>
      <c r="BR581" s="117">
        <v>46280</v>
      </c>
      <c r="BS581" s="117">
        <v>46280</v>
      </c>
      <c r="BT581" s="39" t="s">
        <v>3045</v>
      </c>
      <c r="BU581" s="39">
        <f>384+13</f>
        <v>397</v>
      </c>
      <c r="BV581" s="39">
        <v>902</v>
      </c>
      <c r="BW581" s="39">
        <v>26</v>
      </c>
      <c r="BX581" s="39"/>
      <c r="BY581" s="39"/>
      <c r="BZ581" s="39">
        <f t="shared" si="372"/>
        <v>423</v>
      </c>
      <c r="CA581" s="39">
        <f t="shared" si="373"/>
        <v>12</v>
      </c>
      <c r="CB581" s="39">
        <f t="shared" si="374"/>
        <v>2</v>
      </c>
      <c r="CC581" s="39">
        <f t="shared" si="375"/>
        <v>0</v>
      </c>
      <c r="CD581" s="39">
        <f t="shared" si="376"/>
        <v>0</v>
      </c>
      <c r="CE581" s="102">
        <f t="shared" si="377"/>
        <v>0</v>
      </c>
      <c r="CF581" s="36" t="s">
        <v>292</v>
      </c>
      <c r="CG581" s="39" t="s">
        <v>220</v>
      </c>
      <c r="CH581" s="39"/>
      <c r="CI581" s="25">
        <v>2</v>
      </c>
    </row>
    <row r="582" spans="1:87" ht="24.75" customHeight="1">
      <c r="A582" s="36" t="s">
        <v>387</v>
      </c>
      <c r="B582" s="27">
        <v>48606</v>
      </c>
      <c r="C582" s="231"/>
      <c r="D582" s="36"/>
      <c r="E582" s="39">
        <v>140</v>
      </c>
      <c r="F582" s="39" t="s">
        <v>55</v>
      </c>
      <c r="G582" s="36" t="s">
        <v>308</v>
      </c>
      <c r="H582" s="36" t="s">
        <v>22</v>
      </c>
      <c r="I582" s="39">
        <v>407</v>
      </c>
      <c r="J582" s="39">
        <v>25</v>
      </c>
      <c r="K582" s="39"/>
      <c r="L582" s="39">
        <f t="shared" si="395"/>
        <v>432</v>
      </c>
      <c r="M582" s="117">
        <v>46271</v>
      </c>
      <c r="N582" s="117">
        <v>46277</v>
      </c>
      <c r="O582" s="39"/>
      <c r="P582" s="39"/>
      <c r="Q582" s="39"/>
      <c r="R582" s="39">
        <f t="shared" si="392"/>
        <v>0</v>
      </c>
      <c r="S582" s="39" t="s">
        <v>31</v>
      </c>
      <c r="T582" s="39"/>
      <c r="U582" s="39"/>
      <c r="V582" s="117">
        <v>46263</v>
      </c>
      <c r="W582" s="39">
        <f>465+29</f>
        <v>494</v>
      </c>
      <c r="X582" s="39"/>
      <c r="Y582" s="39"/>
      <c r="Z582" s="39"/>
      <c r="AA582" s="39"/>
      <c r="AB582" s="118">
        <f t="shared" si="393"/>
        <v>0</v>
      </c>
      <c r="AC582" s="39"/>
      <c r="AD582" s="39"/>
      <c r="AE582" s="39"/>
      <c r="AF582" s="39"/>
      <c r="AG582" s="39"/>
      <c r="AH582" s="39">
        <f t="shared" si="366"/>
        <v>0</v>
      </c>
      <c r="AI582" s="39"/>
      <c r="AJ582" s="39"/>
      <c r="AK582" s="39"/>
      <c r="AL582" s="39"/>
      <c r="AM582" s="39"/>
      <c r="AN582" s="39">
        <f t="shared" si="394"/>
        <v>0</v>
      </c>
      <c r="AO582" s="39"/>
      <c r="AP582" s="39"/>
      <c r="AQ582" s="39"/>
      <c r="AR582" s="39"/>
      <c r="AS582" s="39"/>
      <c r="AT582" s="39">
        <f t="shared" si="367"/>
        <v>0</v>
      </c>
      <c r="AU582" s="39"/>
      <c r="AV582" s="39"/>
      <c r="AW582" s="39"/>
      <c r="AX582" s="39"/>
      <c r="AY582" s="39"/>
      <c r="AZ582" s="39">
        <f t="shared" si="368"/>
        <v>0</v>
      </c>
      <c r="BA582" s="39"/>
      <c r="BB582" s="39"/>
      <c r="BC582" s="39"/>
      <c r="BD582" s="39"/>
      <c r="BE582" s="39"/>
      <c r="BF582" s="39">
        <f t="shared" si="369"/>
        <v>0</v>
      </c>
      <c r="BG582" s="39"/>
      <c r="BH582" s="39"/>
      <c r="BI582" s="39"/>
      <c r="BJ582" s="39"/>
      <c r="BK582" s="39"/>
      <c r="BL582" s="39">
        <f t="shared" si="370"/>
        <v>0</v>
      </c>
      <c r="BM582" s="54">
        <f t="shared" ca="1" si="371"/>
        <v>46283</v>
      </c>
      <c r="BN582" s="66">
        <v>46285</v>
      </c>
      <c r="BO582" s="117">
        <v>46299</v>
      </c>
      <c r="BP582" s="39"/>
      <c r="BQ582" s="39"/>
      <c r="BR582" s="39"/>
      <c r="BS582" s="39"/>
      <c r="BT582" s="39"/>
      <c r="BU582" s="39"/>
      <c r="BV582" s="39"/>
      <c r="BW582" s="39"/>
      <c r="BX582" s="39"/>
      <c r="BY582" s="39"/>
      <c r="BZ582" s="39">
        <f t="shared" si="372"/>
        <v>0</v>
      </c>
      <c r="CA582" s="39">
        <f t="shared" si="373"/>
        <v>-407</v>
      </c>
      <c r="CB582" s="39">
        <f t="shared" si="374"/>
        <v>-25</v>
      </c>
      <c r="CC582" s="39">
        <f t="shared" si="375"/>
        <v>0</v>
      </c>
      <c r="CD582" s="39">
        <f t="shared" si="376"/>
        <v>-432</v>
      </c>
      <c r="CE582" s="102">
        <f t="shared" si="377"/>
        <v>-1</v>
      </c>
      <c r="CF582" s="36" t="s">
        <v>292</v>
      </c>
      <c r="CG582" s="39" t="s">
        <v>220</v>
      </c>
      <c r="CH582" s="39"/>
      <c r="CI582" s="25">
        <v>2</v>
      </c>
    </row>
    <row r="583" spans="1:87" ht="24.75" customHeight="1">
      <c r="A583" s="36" t="s">
        <v>387</v>
      </c>
      <c r="B583" s="27">
        <v>48606</v>
      </c>
      <c r="C583" s="228"/>
      <c r="D583" s="36"/>
      <c r="E583" s="39">
        <v>140</v>
      </c>
      <c r="F583" s="39" t="s">
        <v>55</v>
      </c>
      <c r="G583" s="36" t="s">
        <v>1222</v>
      </c>
      <c r="H583" s="36" t="s">
        <v>22</v>
      </c>
      <c r="I583" s="39">
        <v>147</v>
      </c>
      <c r="J583" s="39">
        <v>9</v>
      </c>
      <c r="K583" s="39"/>
      <c r="L583" s="39">
        <f t="shared" ref="L583" si="396">SUM(I583:K583)</f>
        <v>156</v>
      </c>
      <c r="M583" s="117">
        <v>46271</v>
      </c>
      <c r="N583" s="117">
        <v>46277</v>
      </c>
      <c r="O583" s="39"/>
      <c r="P583" s="39"/>
      <c r="Q583" s="39"/>
      <c r="R583" s="39">
        <f t="shared" si="392"/>
        <v>0</v>
      </c>
      <c r="S583" s="39" t="s">
        <v>100</v>
      </c>
      <c r="T583" s="39"/>
      <c r="U583" s="39"/>
      <c r="V583" s="117">
        <v>46266</v>
      </c>
      <c r="W583" s="39">
        <f>184+12</f>
        <v>196</v>
      </c>
      <c r="X583" s="117" t="s">
        <v>3076</v>
      </c>
      <c r="Y583" s="39">
        <v>146</v>
      </c>
      <c r="Z583" s="39">
        <v>11</v>
      </c>
      <c r="AA583" s="39"/>
      <c r="AB583" s="119">
        <f t="shared" si="393"/>
        <v>157</v>
      </c>
      <c r="AC583" s="39"/>
      <c r="AD583" s="39"/>
      <c r="AE583" s="39"/>
      <c r="AF583" s="39"/>
      <c r="AG583" s="39"/>
      <c r="AH583" s="39">
        <f t="shared" si="366"/>
        <v>0</v>
      </c>
      <c r="AI583" s="39"/>
      <c r="AJ583" s="39"/>
      <c r="AK583" s="39"/>
      <c r="AL583" s="39"/>
      <c r="AM583" s="39"/>
      <c r="AN583" s="39">
        <f t="shared" si="394"/>
        <v>0</v>
      </c>
      <c r="AO583" s="39"/>
      <c r="AP583" s="39"/>
      <c r="AQ583" s="39"/>
      <c r="AR583" s="39"/>
      <c r="AS583" s="39"/>
      <c r="AT583" s="39">
        <f t="shared" si="367"/>
        <v>0</v>
      </c>
      <c r="AU583" s="39"/>
      <c r="AV583" s="39"/>
      <c r="AW583" s="39"/>
      <c r="AX583" s="39"/>
      <c r="AY583" s="39"/>
      <c r="AZ583" s="39">
        <f t="shared" si="368"/>
        <v>0</v>
      </c>
      <c r="BA583" s="39"/>
      <c r="BB583" s="39"/>
      <c r="BC583" s="39"/>
      <c r="BD583" s="39"/>
      <c r="BE583" s="39"/>
      <c r="BF583" s="39">
        <f t="shared" si="369"/>
        <v>0</v>
      </c>
      <c r="BG583" s="39"/>
      <c r="BH583" s="39"/>
      <c r="BI583" s="39"/>
      <c r="BJ583" s="39"/>
      <c r="BK583" s="39"/>
      <c r="BL583" s="39">
        <f t="shared" si="370"/>
        <v>0</v>
      </c>
      <c r="BM583" s="54" t="str">
        <f t="shared" si="371"/>
        <v/>
      </c>
      <c r="BN583" s="66">
        <v>46285</v>
      </c>
      <c r="BO583" s="117">
        <v>46299</v>
      </c>
      <c r="BP583" s="39"/>
      <c r="BQ583" s="39"/>
      <c r="BR583" s="117">
        <v>46279</v>
      </c>
      <c r="BS583" s="117">
        <v>46282</v>
      </c>
      <c r="BT583" s="39">
        <v>861</v>
      </c>
      <c r="BU583" s="39">
        <v>146</v>
      </c>
      <c r="BV583" s="39">
        <v>974</v>
      </c>
      <c r="BW583" s="39">
        <v>11</v>
      </c>
      <c r="BX583" s="39"/>
      <c r="BY583" s="39"/>
      <c r="BZ583" s="39">
        <f t="shared" si="372"/>
        <v>157</v>
      </c>
      <c r="CA583" s="39">
        <f t="shared" si="373"/>
        <v>-1</v>
      </c>
      <c r="CB583" s="39">
        <f t="shared" si="374"/>
        <v>2</v>
      </c>
      <c r="CC583" s="39">
        <f t="shared" si="375"/>
        <v>0</v>
      </c>
      <c r="CD583" s="39">
        <v>0</v>
      </c>
      <c r="CE583" s="102">
        <f t="shared" si="377"/>
        <v>0</v>
      </c>
      <c r="CF583" s="36" t="s">
        <v>292</v>
      </c>
      <c r="CG583" s="39" t="s">
        <v>220</v>
      </c>
      <c r="CH583" s="39"/>
      <c r="CI583" s="25">
        <v>2</v>
      </c>
    </row>
    <row r="584" spans="1:87" ht="24.75" customHeight="1">
      <c r="A584" s="36" t="s">
        <v>387</v>
      </c>
      <c r="B584" s="27">
        <v>48658</v>
      </c>
      <c r="C584" s="36">
        <v>15367075</v>
      </c>
      <c r="D584" s="36"/>
      <c r="E584" s="39">
        <v>180</v>
      </c>
      <c r="F584" s="39" t="s">
        <v>55</v>
      </c>
      <c r="G584" s="36" t="s">
        <v>47</v>
      </c>
      <c r="H584" s="36" t="s">
        <v>22</v>
      </c>
      <c r="I584" s="39">
        <v>240</v>
      </c>
      <c r="J584" s="39">
        <v>12</v>
      </c>
      <c r="K584" s="39"/>
      <c r="L584" s="39">
        <f t="shared" ref="L584:L589" si="397">SUM(I584:K584)</f>
        <v>252</v>
      </c>
      <c r="M584" s="117">
        <v>46266</v>
      </c>
      <c r="N584" s="117">
        <v>46270</v>
      </c>
      <c r="O584" s="39"/>
      <c r="P584" s="39"/>
      <c r="Q584" s="39"/>
      <c r="R584" s="39">
        <f t="shared" ref="R584:R590" si="398">SUM(O584:Q584)</f>
        <v>0</v>
      </c>
      <c r="S584" s="39" t="s">
        <v>130</v>
      </c>
      <c r="T584" s="39"/>
      <c r="U584" s="39"/>
      <c r="V584" s="39"/>
      <c r="W584" s="39"/>
      <c r="X584" s="39"/>
      <c r="Y584" s="39"/>
      <c r="Z584" s="39"/>
      <c r="AA584" s="39"/>
      <c r="AB584" s="118">
        <f t="shared" ref="AB584:AB590" si="399">SUM(Y584:AA584)</f>
        <v>0</v>
      </c>
      <c r="AC584" s="39"/>
      <c r="AD584" s="39"/>
      <c r="AE584" s="39"/>
      <c r="AF584" s="39"/>
      <c r="AG584" s="39"/>
      <c r="AH584" s="39">
        <f t="shared" si="366"/>
        <v>0</v>
      </c>
      <c r="AI584" s="39"/>
      <c r="AJ584" s="39"/>
      <c r="AK584" s="39"/>
      <c r="AL584" s="39"/>
      <c r="AM584" s="39"/>
      <c r="AN584" s="39">
        <f t="shared" si="394"/>
        <v>0</v>
      </c>
      <c r="AO584" s="39"/>
      <c r="AP584" s="39"/>
      <c r="AQ584" s="39"/>
      <c r="AR584" s="39"/>
      <c r="AS584" s="39"/>
      <c r="AT584" s="39">
        <f t="shared" si="367"/>
        <v>0</v>
      </c>
      <c r="AU584" s="39"/>
      <c r="AV584" s="39"/>
      <c r="AW584" s="39"/>
      <c r="AX584" s="39"/>
      <c r="AY584" s="39"/>
      <c r="AZ584" s="39">
        <f t="shared" si="368"/>
        <v>0</v>
      </c>
      <c r="BA584" s="39"/>
      <c r="BB584" s="39"/>
      <c r="BC584" s="39"/>
      <c r="BD584" s="39"/>
      <c r="BE584" s="39"/>
      <c r="BF584" s="39">
        <f t="shared" si="369"/>
        <v>0</v>
      </c>
      <c r="BG584" s="39"/>
      <c r="BH584" s="39"/>
      <c r="BI584" s="39"/>
      <c r="BJ584" s="39"/>
      <c r="BK584" s="39"/>
      <c r="BL584" s="39">
        <f t="shared" si="370"/>
        <v>0</v>
      </c>
      <c r="BM584" s="54">
        <f t="shared" ca="1" si="371"/>
        <v>46283</v>
      </c>
      <c r="BN584" s="66">
        <v>46278</v>
      </c>
      <c r="BO584" s="117">
        <v>46287</v>
      </c>
      <c r="BP584" s="39"/>
      <c r="BQ584" s="39"/>
      <c r="BR584" s="39"/>
      <c r="BS584" s="39"/>
      <c r="BT584" s="39"/>
      <c r="BU584" s="39"/>
      <c r="BV584" s="39"/>
      <c r="BW584" s="39"/>
      <c r="BX584" s="39"/>
      <c r="BY584" s="39"/>
      <c r="BZ584" s="39">
        <f t="shared" si="372"/>
        <v>0</v>
      </c>
      <c r="CA584" s="39">
        <f t="shared" si="373"/>
        <v>-240</v>
      </c>
      <c r="CB584" s="39">
        <f t="shared" si="374"/>
        <v>-12</v>
      </c>
      <c r="CC584" s="39">
        <f t="shared" si="375"/>
        <v>0</v>
      </c>
      <c r="CD584" s="39">
        <f t="shared" si="376"/>
        <v>-252</v>
      </c>
      <c r="CE584" s="102">
        <f t="shared" si="377"/>
        <v>-1</v>
      </c>
      <c r="CF584" s="36" t="s">
        <v>249</v>
      </c>
      <c r="CG584" s="39" t="s">
        <v>222</v>
      </c>
      <c r="CH584" s="39"/>
      <c r="CI584" s="25">
        <v>2</v>
      </c>
    </row>
    <row r="585" spans="1:87" ht="24.75" customHeight="1">
      <c r="A585" s="36" t="s">
        <v>387</v>
      </c>
      <c r="B585" s="27">
        <v>48665</v>
      </c>
      <c r="C585" s="36">
        <v>15393971</v>
      </c>
      <c r="D585" s="36"/>
      <c r="E585" s="39">
        <v>130</v>
      </c>
      <c r="F585" s="39" t="s">
        <v>59</v>
      </c>
      <c r="G585" s="36" t="s">
        <v>47</v>
      </c>
      <c r="H585" s="36" t="s">
        <v>22</v>
      </c>
      <c r="I585" s="39">
        <v>446</v>
      </c>
      <c r="J585" s="39">
        <v>30</v>
      </c>
      <c r="K585" s="39"/>
      <c r="L585" s="39">
        <f t="shared" si="397"/>
        <v>476</v>
      </c>
      <c r="M585" s="117">
        <v>46268</v>
      </c>
      <c r="N585" s="117">
        <v>46273</v>
      </c>
      <c r="O585" s="39"/>
      <c r="P585" s="39"/>
      <c r="Q585" s="39"/>
      <c r="R585" s="39">
        <f t="shared" si="398"/>
        <v>0</v>
      </c>
      <c r="S585" s="39" t="s">
        <v>130</v>
      </c>
      <c r="T585" s="39">
        <v>109404</v>
      </c>
      <c r="U585" s="117">
        <v>46280</v>
      </c>
      <c r="V585" s="39"/>
      <c r="W585" s="39"/>
      <c r="X585" s="39"/>
      <c r="Y585" s="39">
        <v>501</v>
      </c>
      <c r="Z585" s="39">
        <v>36</v>
      </c>
      <c r="AA585" s="39"/>
      <c r="AB585" s="119">
        <f t="shared" si="399"/>
        <v>537</v>
      </c>
      <c r="AC585" s="39"/>
      <c r="AD585" s="39"/>
      <c r="AE585" s="39"/>
      <c r="AF585" s="39"/>
      <c r="AG585" s="39"/>
      <c r="AH585" s="39">
        <f t="shared" si="366"/>
        <v>0</v>
      </c>
      <c r="AI585" s="39"/>
      <c r="AJ585" s="39"/>
      <c r="AK585" s="39"/>
      <c r="AL585" s="39"/>
      <c r="AM585" s="39"/>
      <c r="AN585" s="39">
        <f t="shared" si="394"/>
        <v>0</v>
      </c>
      <c r="AO585" s="39"/>
      <c r="AP585" s="39"/>
      <c r="AQ585" s="39"/>
      <c r="AR585" s="39"/>
      <c r="AS585" s="39"/>
      <c r="AT585" s="39">
        <f t="shared" si="367"/>
        <v>0</v>
      </c>
      <c r="AU585" s="39"/>
      <c r="AV585" s="39"/>
      <c r="AW585" s="39"/>
      <c r="AX585" s="39"/>
      <c r="AY585" s="39"/>
      <c r="AZ585" s="39">
        <f t="shared" si="368"/>
        <v>0</v>
      </c>
      <c r="BA585" s="39"/>
      <c r="BB585" s="39"/>
      <c r="BC585" s="39"/>
      <c r="BD585" s="39"/>
      <c r="BE585" s="39"/>
      <c r="BF585" s="39">
        <f t="shared" si="369"/>
        <v>0</v>
      </c>
      <c r="BG585" s="39"/>
      <c r="BH585" s="39"/>
      <c r="BI585" s="39"/>
      <c r="BJ585" s="39"/>
      <c r="BK585" s="39"/>
      <c r="BL585" s="39">
        <f t="shared" si="370"/>
        <v>0</v>
      </c>
      <c r="BM585" s="54">
        <f t="shared" ca="1" si="371"/>
        <v>3</v>
      </c>
      <c r="BN585" s="66">
        <v>46277</v>
      </c>
      <c r="BO585" s="117">
        <v>46287</v>
      </c>
      <c r="BP585" s="39"/>
      <c r="BQ585" s="39"/>
      <c r="BR585" s="39"/>
      <c r="BS585" s="39"/>
      <c r="BT585" s="39"/>
      <c r="BU585" s="39"/>
      <c r="BV585" s="39"/>
      <c r="BW585" s="39"/>
      <c r="BX585" s="39"/>
      <c r="BY585" s="39"/>
      <c r="BZ585" s="39">
        <f t="shared" si="372"/>
        <v>0</v>
      </c>
      <c r="CA585" s="39">
        <f t="shared" si="373"/>
        <v>-446</v>
      </c>
      <c r="CB585" s="39">
        <f t="shared" si="374"/>
        <v>-30</v>
      </c>
      <c r="CC585" s="39">
        <f t="shared" si="375"/>
        <v>0</v>
      </c>
      <c r="CD585" s="39">
        <f t="shared" si="376"/>
        <v>-476</v>
      </c>
      <c r="CE585" s="102">
        <f t="shared" si="377"/>
        <v>-1</v>
      </c>
      <c r="CF585" s="36" t="s">
        <v>249</v>
      </c>
      <c r="CG585" s="39" t="s">
        <v>222</v>
      </c>
      <c r="CH585" s="39"/>
      <c r="CI585" s="25">
        <v>2</v>
      </c>
    </row>
    <row r="586" spans="1:87" ht="24.75" customHeight="1">
      <c r="A586" s="36" t="s">
        <v>387</v>
      </c>
      <c r="B586" s="27">
        <v>48671</v>
      </c>
      <c r="C586" s="227" t="s">
        <v>2529</v>
      </c>
      <c r="D586" s="36"/>
      <c r="E586" s="39">
        <v>180</v>
      </c>
      <c r="F586" s="39" t="s">
        <v>62</v>
      </c>
      <c r="G586" s="36" t="s">
        <v>23</v>
      </c>
      <c r="H586" s="36" t="s">
        <v>87</v>
      </c>
      <c r="I586" s="39">
        <v>134</v>
      </c>
      <c r="J586" s="39"/>
      <c r="K586" s="39"/>
      <c r="L586" s="39">
        <f t="shared" si="397"/>
        <v>134</v>
      </c>
      <c r="M586" s="117">
        <v>46270</v>
      </c>
      <c r="N586" s="117">
        <v>46275</v>
      </c>
      <c r="O586" s="39"/>
      <c r="P586" s="39"/>
      <c r="Q586" s="39"/>
      <c r="R586" s="39">
        <f t="shared" si="398"/>
        <v>0</v>
      </c>
      <c r="S586" s="39" t="s">
        <v>100</v>
      </c>
      <c r="T586" s="39"/>
      <c r="U586" s="39"/>
      <c r="V586" s="117">
        <v>46281</v>
      </c>
      <c r="W586" s="39">
        <v>158</v>
      </c>
      <c r="X586" s="39"/>
      <c r="Y586" s="39"/>
      <c r="Z586" s="39"/>
      <c r="AA586" s="39"/>
      <c r="AB586" s="118">
        <f t="shared" si="399"/>
        <v>0</v>
      </c>
      <c r="AC586" s="39"/>
      <c r="AD586" s="39"/>
      <c r="AE586" s="39"/>
      <c r="AF586" s="39"/>
      <c r="AG586" s="39"/>
      <c r="AH586" s="39">
        <f t="shared" si="366"/>
        <v>0</v>
      </c>
      <c r="AI586" s="39"/>
      <c r="AJ586" s="39"/>
      <c r="AK586" s="39"/>
      <c r="AL586" s="39"/>
      <c r="AM586" s="39"/>
      <c r="AN586" s="39">
        <f t="shared" si="394"/>
        <v>0</v>
      </c>
      <c r="AO586" s="39"/>
      <c r="AP586" s="39"/>
      <c r="AQ586" s="39"/>
      <c r="AR586" s="39"/>
      <c r="AS586" s="39"/>
      <c r="AT586" s="39">
        <f t="shared" si="367"/>
        <v>0</v>
      </c>
      <c r="AU586" s="39"/>
      <c r="AV586" s="39"/>
      <c r="AW586" s="39"/>
      <c r="AX586" s="39"/>
      <c r="AY586" s="39"/>
      <c r="AZ586" s="39">
        <f t="shared" si="368"/>
        <v>0</v>
      </c>
      <c r="BA586" s="39"/>
      <c r="BB586" s="39"/>
      <c r="BC586" s="39"/>
      <c r="BD586" s="39"/>
      <c r="BE586" s="39"/>
      <c r="BF586" s="39">
        <f t="shared" si="369"/>
        <v>0</v>
      </c>
      <c r="BG586" s="39"/>
      <c r="BH586" s="39"/>
      <c r="BI586" s="39"/>
      <c r="BJ586" s="39"/>
      <c r="BK586" s="39"/>
      <c r="BL586" s="39">
        <f t="shared" si="370"/>
        <v>0</v>
      </c>
      <c r="BM586" s="54">
        <f t="shared" ca="1" si="371"/>
        <v>46283</v>
      </c>
      <c r="BN586" s="66">
        <v>46283</v>
      </c>
      <c r="BO586" s="117">
        <v>46295</v>
      </c>
      <c r="BP586" s="39"/>
      <c r="BQ586" s="39"/>
      <c r="BR586" s="39"/>
      <c r="BS586" s="39"/>
      <c r="BT586" s="39"/>
      <c r="BU586" s="39"/>
      <c r="BV586" s="39"/>
      <c r="BW586" s="39"/>
      <c r="BX586" s="39"/>
      <c r="BY586" s="39"/>
      <c r="BZ586" s="39">
        <f t="shared" si="372"/>
        <v>0</v>
      </c>
      <c r="CA586" s="39">
        <f t="shared" si="373"/>
        <v>-134</v>
      </c>
      <c r="CB586" s="39">
        <f t="shared" si="374"/>
        <v>0</v>
      </c>
      <c r="CC586" s="39">
        <f t="shared" si="375"/>
        <v>0</v>
      </c>
      <c r="CD586" s="39">
        <f t="shared" si="376"/>
        <v>-134</v>
      </c>
      <c r="CE586" s="102">
        <f t="shared" si="377"/>
        <v>-1</v>
      </c>
      <c r="CF586" s="36" t="s">
        <v>249</v>
      </c>
      <c r="CG586" s="39" t="s">
        <v>222</v>
      </c>
      <c r="CH586" s="39"/>
      <c r="CI586" s="25">
        <v>2</v>
      </c>
    </row>
    <row r="587" spans="1:87" ht="24.75" customHeight="1">
      <c r="A587" s="36" t="s">
        <v>387</v>
      </c>
      <c r="B587" s="27">
        <v>48671</v>
      </c>
      <c r="C587" s="228"/>
      <c r="D587" s="36"/>
      <c r="E587" s="39">
        <v>180</v>
      </c>
      <c r="F587" s="39" t="s">
        <v>62</v>
      </c>
      <c r="G587" s="36" t="s">
        <v>93</v>
      </c>
      <c r="H587" s="36" t="s">
        <v>87</v>
      </c>
      <c r="I587" s="39">
        <v>134</v>
      </c>
      <c r="J587" s="39"/>
      <c r="K587" s="39"/>
      <c r="L587" s="39">
        <f t="shared" si="397"/>
        <v>134</v>
      </c>
      <c r="M587" s="117">
        <v>46270</v>
      </c>
      <c r="N587" s="117">
        <v>46275</v>
      </c>
      <c r="O587" s="39"/>
      <c r="P587" s="39"/>
      <c r="Q587" s="39"/>
      <c r="R587" s="39">
        <f t="shared" si="398"/>
        <v>0</v>
      </c>
      <c r="S587" s="39" t="s">
        <v>326</v>
      </c>
      <c r="T587" s="39"/>
      <c r="U587" s="39"/>
      <c r="V587" s="117">
        <v>46281</v>
      </c>
      <c r="W587" s="39">
        <v>164</v>
      </c>
      <c r="X587" s="39"/>
      <c r="Y587" s="39"/>
      <c r="Z587" s="39"/>
      <c r="AA587" s="39"/>
      <c r="AB587" s="118">
        <f t="shared" si="399"/>
        <v>0</v>
      </c>
      <c r="AC587" s="39"/>
      <c r="AD587" s="39"/>
      <c r="AE587" s="39"/>
      <c r="AF587" s="39"/>
      <c r="AG587" s="39"/>
      <c r="AH587" s="39">
        <f t="shared" si="366"/>
        <v>0</v>
      </c>
      <c r="AI587" s="39"/>
      <c r="AJ587" s="39"/>
      <c r="AK587" s="39"/>
      <c r="AL587" s="39"/>
      <c r="AM587" s="39"/>
      <c r="AN587" s="39">
        <f t="shared" si="394"/>
        <v>0</v>
      </c>
      <c r="AO587" s="39"/>
      <c r="AP587" s="39"/>
      <c r="AQ587" s="39"/>
      <c r="AR587" s="39"/>
      <c r="AS587" s="39"/>
      <c r="AT587" s="39">
        <f t="shared" si="367"/>
        <v>0</v>
      </c>
      <c r="AU587" s="39"/>
      <c r="AV587" s="39"/>
      <c r="AW587" s="39"/>
      <c r="AX587" s="39"/>
      <c r="AY587" s="39"/>
      <c r="AZ587" s="39">
        <f t="shared" si="368"/>
        <v>0</v>
      </c>
      <c r="BA587" s="39"/>
      <c r="BB587" s="39"/>
      <c r="BC587" s="39"/>
      <c r="BD587" s="39"/>
      <c r="BE587" s="39"/>
      <c r="BF587" s="39">
        <f t="shared" si="369"/>
        <v>0</v>
      </c>
      <c r="BG587" s="39"/>
      <c r="BH587" s="39"/>
      <c r="BI587" s="39"/>
      <c r="BJ587" s="39"/>
      <c r="BK587" s="39"/>
      <c r="BL587" s="39">
        <f t="shared" si="370"/>
        <v>0</v>
      </c>
      <c r="BM587" s="54">
        <f t="shared" ca="1" si="371"/>
        <v>46283</v>
      </c>
      <c r="BN587" s="66">
        <v>46283</v>
      </c>
      <c r="BO587" s="117">
        <v>46295</v>
      </c>
      <c r="BP587" s="39"/>
      <c r="BQ587" s="39"/>
      <c r="BR587" s="39"/>
      <c r="BS587" s="39"/>
      <c r="BT587" s="39"/>
      <c r="BU587" s="39"/>
      <c r="BV587" s="39"/>
      <c r="BW587" s="39"/>
      <c r="BX587" s="39"/>
      <c r="BY587" s="39"/>
      <c r="BZ587" s="39">
        <f t="shared" si="372"/>
        <v>0</v>
      </c>
      <c r="CA587" s="39">
        <f t="shared" si="373"/>
        <v>-134</v>
      </c>
      <c r="CB587" s="39">
        <f t="shared" si="374"/>
        <v>0</v>
      </c>
      <c r="CC587" s="39">
        <f t="shared" si="375"/>
        <v>0</v>
      </c>
      <c r="CD587" s="39">
        <f t="shared" si="376"/>
        <v>-134</v>
      </c>
      <c r="CE587" s="102">
        <f t="shared" si="377"/>
        <v>-1</v>
      </c>
      <c r="CF587" s="36" t="s">
        <v>249</v>
      </c>
      <c r="CG587" s="39" t="s">
        <v>222</v>
      </c>
      <c r="CH587" s="39"/>
      <c r="CI587" s="25">
        <v>2</v>
      </c>
    </row>
    <row r="588" spans="1:87" ht="24.75" customHeight="1">
      <c r="A588" s="36" t="s">
        <v>387</v>
      </c>
      <c r="B588" s="27">
        <v>48672</v>
      </c>
      <c r="C588" s="227" t="s">
        <v>2530</v>
      </c>
      <c r="D588" s="36"/>
      <c r="E588" s="39">
        <v>180</v>
      </c>
      <c r="F588" s="39" t="s">
        <v>55</v>
      </c>
      <c r="G588" s="36" t="s">
        <v>23</v>
      </c>
      <c r="H588" s="36" t="s">
        <v>87</v>
      </c>
      <c r="I588" s="39">
        <v>512</v>
      </c>
      <c r="J588" s="39"/>
      <c r="K588" s="39"/>
      <c r="L588" s="39">
        <f t="shared" si="397"/>
        <v>512</v>
      </c>
      <c r="M588" s="117">
        <v>46271</v>
      </c>
      <c r="N588" s="117">
        <v>46278</v>
      </c>
      <c r="O588" s="39"/>
      <c r="P588" s="39"/>
      <c r="Q588" s="39"/>
      <c r="R588" s="39">
        <f t="shared" si="398"/>
        <v>0</v>
      </c>
      <c r="S588" s="39" t="s">
        <v>100</v>
      </c>
      <c r="T588" s="39"/>
      <c r="U588" s="39"/>
      <c r="V588" s="117">
        <v>46268</v>
      </c>
      <c r="W588" s="39">
        <v>561</v>
      </c>
      <c r="X588" s="39"/>
      <c r="Y588" s="39"/>
      <c r="Z588" s="39"/>
      <c r="AA588" s="39"/>
      <c r="AB588" s="118">
        <f t="shared" si="399"/>
        <v>0</v>
      </c>
      <c r="AC588" s="39"/>
      <c r="AD588" s="39"/>
      <c r="AE588" s="39"/>
      <c r="AF588" s="39"/>
      <c r="AG588" s="39"/>
      <c r="AH588" s="39">
        <f t="shared" si="366"/>
        <v>0</v>
      </c>
      <c r="AI588" s="39"/>
      <c r="AJ588" s="39"/>
      <c r="AK588" s="39"/>
      <c r="AL588" s="39"/>
      <c r="AM588" s="39"/>
      <c r="AN588" s="39">
        <f t="shared" si="394"/>
        <v>0</v>
      </c>
      <c r="AO588" s="39"/>
      <c r="AP588" s="39"/>
      <c r="AQ588" s="39"/>
      <c r="AR588" s="39"/>
      <c r="AS588" s="39"/>
      <c r="AT588" s="39">
        <f t="shared" si="367"/>
        <v>0</v>
      </c>
      <c r="AU588" s="39"/>
      <c r="AV588" s="39"/>
      <c r="AW588" s="39"/>
      <c r="AX588" s="39"/>
      <c r="AY588" s="39"/>
      <c r="AZ588" s="39">
        <f t="shared" si="368"/>
        <v>0</v>
      </c>
      <c r="BA588" s="39"/>
      <c r="BB588" s="39"/>
      <c r="BC588" s="39"/>
      <c r="BD588" s="39"/>
      <c r="BE588" s="39"/>
      <c r="BF588" s="39">
        <f t="shared" si="369"/>
        <v>0</v>
      </c>
      <c r="BG588" s="39"/>
      <c r="BH588" s="39"/>
      <c r="BI588" s="39"/>
      <c r="BJ588" s="39"/>
      <c r="BK588" s="39"/>
      <c r="BL588" s="39">
        <f t="shared" si="370"/>
        <v>0</v>
      </c>
      <c r="BM588" s="54">
        <f t="shared" ca="1" si="371"/>
        <v>46283</v>
      </c>
      <c r="BN588" s="66">
        <v>46285</v>
      </c>
      <c r="BO588" s="117">
        <v>46298</v>
      </c>
      <c r="BP588" s="39"/>
      <c r="BQ588" s="39"/>
      <c r="BR588" s="39"/>
      <c r="BS588" s="39"/>
      <c r="BT588" s="39"/>
      <c r="BU588" s="39"/>
      <c r="BV588" s="39"/>
      <c r="BW588" s="39"/>
      <c r="BX588" s="39"/>
      <c r="BY588" s="39"/>
      <c r="BZ588" s="39">
        <f t="shared" si="372"/>
        <v>0</v>
      </c>
      <c r="CA588" s="39">
        <f t="shared" si="373"/>
        <v>-512</v>
      </c>
      <c r="CB588" s="39">
        <f t="shared" si="374"/>
        <v>0</v>
      </c>
      <c r="CC588" s="39">
        <f t="shared" si="375"/>
        <v>0</v>
      </c>
      <c r="CD588" s="39">
        <f t="shared" si="376"/>
        <v>-512</v>
      </c>
      <c r="CE588" s="102">
        <f t="shared" si="377"/>
        <v>-1</v>
      </c>
      <c r="CF588" s="36" t="s">
        <v>249</v>
      </c>
      <c r="CG588" s="39" t="s">
        <v>222</v>
      </c>
      <c r="CH588" s="39"/>
      <c r="CI588" s="25">
        <v>2</v>
      </c>
    </row>
    <row r="589" spans="1:87" ht="24.75" customHeight="1">
      <c r="A589" s="36" t="s">
        <v>387</v>
      </c>
      <c r="B589" s="27">
        <v>48672</v>
      </c>
      <c r="C589" s="231"/>
      <c r="D589" s="36"/>
      <c r="E589" s="39">
        <v>180</v>
      </c>
      <c r="F589" s="39" t="s">
        <v>55</v>
      </c>
      <c r="G589" s="36" t="s">
        <v>47</v>
      </c>
      <c r="H589" s="36" t="s">
        <v>87</v>
      </c>
      <c r="I589" s="39">
        <v>612</v>
      </c>
      <c r="J589" s="39"/>
      <c r="K589" s="39"/>
      <c r="L589" s="39">
        <f t="shared" si="397"/>
        <v>612</v>
      </c>
      <c r="M589" s="117">
        <v>46271</v>
      </c>
      <c r="N589" s="117">
        <v>46278</v>
      </c>
      <c r="O589" s="39"/>
      <c r="P589" s="39"/>
      <c r="Q589" s="39"/>
      <c r="R589" s="39">
        <f t="shared" si="398"/>
        <v>0</v>
      </c>
      <c r="S589" s="39" t="s">
        <v>130</v>
      </c>
      <c r="T589" s="39"/>
      <c r="U589" s="39"/>
      <c r="V589" s="39"/>
      <c r="W589" s="39"/>
      <c r="X589" s="39"/>
      <c r="Y589" s="39"/>
      <c r="Z589" s="39"/>
      <c r="AA589" s="39"/>
      <c r="AB589" s="118">
        <f t="shared" si="399"/>
        <v>0</v>
      </c>
      <c r="AC589" s="39"/>
      <c r="AD589" s="39"/>
      <c r="AE589" s="39"/>
      <c r="AF589" s="39"/>
      <c r="AG589" s="39"/>
      <c r="AH589" s="39">
        <f t="shared" si="366"/>
        <v>0</v>
      </c>
      <c r="AI589" s="39"/>
      <c r="AJ589" s="39"/>
      <c r="AK589" s="39"/>
      <c r="AL589" s="39"/>
      <c r="AM589" s="39"/>
      <c r="AN589" s="39">
        <f t="shared" si="394"/>
        <v>0</v>
      </c>
      <c r="AO589" s="39"/>
      <c r="AP589" s="39"/>
      <c r="AQ589" s="39"/>
      <c r="AR589" s="39"/>
      <c r="AS589" s="39"/>
      <c r="AT589" s="39">
        <f t="shared" si="367"/>
        <v>0</v>
      </c>
      <c r="AU589" s="39"/>
      <c r="AV589" s="39"/>
      <c r="AW589" s="39"/>
      <c r="AX589" s="39"/>
      <c r="AY589" s="39"/>
      <c r="AZ589" s="39">
        <f t="shared" si="368"/>
        <v>0</v>
      </c>
      <c r="BA589" s="39"/>
      <c r="BB589" s="39"/>
      <c r="BC589" s="39"/>
      <c r="BD589" s="39"/>
      <c r="BE589" s="39"/>
      <c r="BF589" s="39">
        <f t="shared" si="369"/>
        <v>0</v>
      </c>
      <c r="BG589" s="39"/>
      <c r="BH589" s="39"/>
      <c r="BI589" s="39"/>
      <c r="BJ589" s="39"/>
      <c r="BK589" s="39"/>
      <c r="BL589" s="39">
        <f t="shared" si="370"/>
        <v>0</v>
      </c>
      <c r="BM589" s="54">
        <f t="shared" ca="1" si="371"/>
        <v>46283</v>
      </c>
      <c r="BN589" s="66">
        <v>46285</v>
      </c>
      <c r="BO589" s="117">
        <v>46298</v>
      </c>
      <c r="BP589" s="39"/>
      <c r="BQ589" s="39"/>
      <c r="BR589" s="39"/>
      <c r="BS589" s="39"/>
      <c r="BT589" s="39"/>
      <c r="BU589" s="39"/>
      <c r="BV589" s="39"/>
      <c r="BW589" s="39"/>
      <c r="BX589" s="39"/>
      <c r="BY589" s="39"/>
      <c r="BZ589" s="39">
        <f t="shared" si="372"/>
        <v>0</v>
      </c>
      <c r="CA589" s="39">
        <f t="shared" si="373"/>
        <v>-612</v>
      </c>
      <c r="CB589" s="39">
        <f t="shared" si="374"/>
        <v>0</v>
      </c>
      <c r="CC589" s="39">
        <f t="shared" si="375"/>
        <v>0</v>
      </c>
      <c r="CD589" s="39">
        <f t="shared" si="376"/>
        <v>-612</v>
      </c>
      <c r="CE589" s="102">
        <f t="shared" si="377"/>
        <v>-1</v>
      </c>
      <c r="CF589" s="36" t="s">
        <v>249</v>
      </c>
      <c r="CG589" s="39" t="s">
        <v>222</v>
      </c>
      <c r="CH589" s="39"/>
      <c r="CI589" s="25">
        <v>2</v>
      </c>
    </row>
    <row r="590" spans="1:87" ht="24.75" customHeight="1">
      <c r="A590" s="36" t="s">
        <v>387</v>
      </c>
      <c r="B590" s="27">
        <v>48672</v>
      </c>
      <c r="C590" s="228"/>
      <c r="D590" s="36"/>
      <c r="E590" s="39">
        <v>180</v>
      </c>
      <c r="F590" s="39" t="s">
        <v>55</v>
      </c>
      <c r="G590" s="36" t="s">
        <v>1215</v>
      </c>
      <c r="H590" s="36" t="s">
        <v>87</v>
      </c>
      <c r="I590" s="39">
        <v>385</v>
      </c>
      <c r="J590" s="39"/>
      <c r="K590" s="39"/>
      <c r="L590" s="39">
        <f t="shared" ref="L590" si="400">SUM(I590:K590)</f>
        <v>385</v>
      </c>
      <c r="M590" s="117">
        <v>46271</v>
      </c>
      <c r="N590" s="117">
        <v>46278</v>
      </c>
      <c r="O590" s="39"/>
      <c r="P590" s="39"/>
      <c r="Q590" s="39"/>
      <c r="R590" s="39">
        <f t="shared" si="398"/>
        <v>0</v>
      </c>
      <c r="S590" s="39" t="s">
        <v>100</v>
      </c>
      <c r="T590" s="39"/>
      <c r="U590" s="39"/>
      <c r="V590" s="117">
        <v>46273</v>
      </c>
      <c r="W590" s="39">
        <v>432</v>
      </c>
      <c r="X590" s="39"/>
      <c r="Y590" s="39"/>
      <c r="Z590" s="39"/>
      <c r="AA590" s="39"/>
      <c r="AB590" s="118">
        <f t="shared" si="399"/>
        <v>0</v>
      </c>
      <c r="AC590" s="39"/>
      <c r="AD590" s="39"/>
      <c r="AE590" s="39"/>
      <c r="AF590" s="39"/>
      <c r="AG590" s="39"/>
      <c r="AH590" s="39">
        <f t="shared" si="366"/>
        <v>0</v>
      </c>
      <c r="AI590" s="39"/>
      <c r="AJ590" s="39"/>
      <c r="AK590" s="39"/>
      <c r="AL590" s="39"/>
      <c r="AM590" s="39"/>
      <c r="AN590" s="39">
        <f t="shared" si="394"/>
        <v>0</v>
      </c>
      <c r="AO590" s="39"/>
      <c r="AP590" s="39"/>
      <c r="AQ590" s="39"/>
      <c r="AR590" s="39"/>
      <c r="AS590" s="39"/>
      <c r="AT590" s="39">
        <f t="shared" si="367"/>
        <v>0</v>
      </c>
      <c r="AU590" s="39"/>
      <c r="AV590" s="39"/>
      <c r="AW590" s="39"/>
      <c r="AX590" s="39"/>
      <c r="AY590" s="39"/>
      <c r="AZ590" s="39">
        <f t="shared" si="368"/>
        <v>0</v>
      </c>
      <c r="BA590" s="39"/>
      <c r="BB590" s="39"/>
      <c r="BC590" s="39"/>
      <c r="BD590" s="39"/>
      <c r="BE590" s="39"/>
      <c r="BF590" s="39">
        <f t="shared" si="369"/>
        <v>0</v>
      </c>
      <c r="BG590" s="39"/>
      <c r="BH590" s="39"/>
      <c r="BI590" s="39"/>
      <c r="BJ590" s="39"/>
      <c r="BK590" s="39"/>
      <c r="BL590" s="39">
        <f t="shared" si="370"/>
        <v>0</v>
      </c>
      <c r="BM590" s="54">
        <f t="shared" ca="1" si="371"/>
        <v>46283</v>
      </c>
      <c r="BN590" s="66">
        <v>46285</v>
      </c>
      <c r="BO590" s="117">
        <v>46298</v>
      </c>
      <c r="BP590" s="39"/>
      <c r="BQ590" s="39"/>
      <c r="BR590" s="39"/>
      <c r="BS590" s="39"/>
      <c r="BT590" s="39"/>
      <c r="BU590" s="39"/>
      <c r="BV590" s="39"/>
      <c r="BW590" s="39"/>
      <c r="BX590" s="39"/>
      <c r="BY590" s="39"/>
      <c r="BZ590" s="39">
        <f t="shared" si="372"/>
        <v>0</v>
      </c>
      <c r="CA590" s="39">
        <f t="shared" si="373"/>
        <v>-385</v>
      </c>
      <c r="CB590" s="39">
        <f t="shared" si="374"/>
        <v>0</v>
      </c>
      <c r="CC590" s="39">
        <f t="shared" si="375"/>
        <v>0</v>
      </c>
      <c r="CD590" s="39">
        <f t="shared" si="376"/>
        <v>-385</v>
      </c>
      <c r="CE590" s="102">
        <f t="shared" si="377"/>
        <v>-1</v>
      </c>
      <c r="CF590" s="36" t="s">
        <v>249</v>
      </c>
      <c r="CG590" s="39" t="s">
        <v>222</v>
      </c>
      <c r="CH590" s="39"/>
      <c r="CI590" s="25">
        <v>2</v>
      </c>
    </row>
    <row r="591" spans="1:87" ht="24.75" customHeight="1">
      <c r="A591" s="36" t="s">
        <v>387</v>
      </c>
      <c r="B591" s="27">
        <v>48674</v>
      </c>
      <c r="C591" s="227">
        <v>15393981</v>
      </c>
      <c r="D591" s="36" t="s">
        <v>45</v>
      </c>
      <c r="E591" s="39">
        <v>200</v>
      </c>
      <c r="F591" s="39" t="s">
        <v>53</v>
      </c>
      <c r="G591" s="36" t="s">
        <v>47</v>
      </c>
      <c r="H591" s="36" t="s">
        <v>33</v>
      </c>
      <c r="I591" s="39">
        <v>174</v>
      </c>
      <c r="J591" s="39">
        <v>35</v>
      </c>
      <c r="K591" s="39">
        <v>4</v>
      </c>
      <c r="L591" s="39">
        <f t="shared" ref="L591:L597" si="401">SUM(I591:K591)</f>
        <v>213</v>
      </c>
      <c r="M591" s="117">
        <v>46272</v>
      </c>
      <c r="N591" s="117">
        <v>46277</v>
      </c>
      <c r="O591" s="39"/>
      <c r="P591" s="39"/>
      <c r="Q591" s="39"/>
      <c r="R591" s="39">
        <f t="shared" ref="R591:R598" si="402">SUM(O591:Q591)</f>
        <v>0</v>
      </c>
      <c r="S591" s="39" t="s">
        <v>130</v>
      </c>
      <c r="T591" s="39"/>
      <c r="U591" s="39"/>
      <c r="V591" s="39"/>
      <c r="W591" s="39"/>
      <c r="X591" s="39"/>
      <c r="Y591" s="39"/>
      <c r="Z591" s="39"/>
      <c r="AA591" s="39"/>
      <c r="AB591" s="118">
        <f t="shared" ref="AB591:AB598" si="403">SUM(Y591:AA591)</f>
        <v>0</v>
      </c>
      <c r="AC591" s="39"/>
      <c r="AD591" s="39"/>
      <c r="AE591" s="39"/>
      <c r="AF591" s="39"/>
      <c r="AG591" s="39"/>
      <c r="AH591" s="39">
        <f t="shared" si="366"/>
        <v>0</v>
      </c>
      <c r="AI591" s="39"/>
      <c r="AJ591" s="39"/>
      <c r="AK591" s="39"/>
      <c r="AL591" s="39"/>
      <c r="AM591" s="39"/>
      <c r="AN591" s="39">
        <f t="shared" si="394"/>
        <v>0</v>
      </c>
      <c r="AO591" s="39"/>
      <c r="AP591" s="39"/>
      <c r="AQ591" s="39"/>
      <c r="AR591" s="39"/>
      <c r="AS591" s="39"/>
      <c r="AT591" s="39">
        <f t="shared" si="367"/>
        <v>0</v>
      </c>
      <c r="AU591" s="39"/>
      <c r="AV591" s="39"/>
      <c r="AW591" s="39"/>
      <c r="AX591" s="39"/>
      <c r="AY591" s="39"/>
      <c r="AZ591" s="39">
        <f t="shared" si="368"/>
        <v>0</v>
      </c>
      <c r="BA591" s="39"/>
      <c r="BB591" s="39"/>
      <c r="BC591" s="39"/>
      <c r="BD591" s="39"/>
      <c r="BE591" s="39"/>
      <c r="BF591" s="39">
        <f t="shared" si="369"/>
        <v>0</v>
      </c>
      <c r="BG591" s="39"/>
      <c r="BH591" s="39"/>
      <c r="BI591" s="39"/>
      <c r="BJ591" s="39"/>
      <c r="BK591" s="39"/>
      <c r="BL591" s="39">
        <f t="shared" si="370"/>
        <v>0</v>
      </c>
      <c r="BM591" s="54">
        <f t="shared" ca="1" si="371"/>
        <v>46283</v>
      </c>
      <c r="BN591" s="66">
        <v>46281</v>
      </c>
      <c r="BO591" s="117">
        <v>46301</v>
      </c>
      <c r="BP591" s="39"/>
      <c r="BQ591" s="39"/>
      <c r="BR591" s="39"/>
      <c r="BS591" s="39"/>
      <c r="BT591" s="39"/>
      <c r="BU591" s="39"/>
      <c r="BV591" s="39"/>
      <c r="BW591" s="39"/>
      <c r="BX591" s="39"/>
      <c r="BY591" s="39"/>
      <c r="BZ591" s="39">
        <f t="shared" si="372"/>
        <v>0</v>
      </c>
      <c r="CA591" s="39">
        <f t="shared" si="373"/>
        <v>-174</v>
      </c>
      <c r="CB591" s="39">
        <f t="shared" si="374"/>
        <v>-35</v>
      </c>
      <c r="CC591" s="39">
        <f t="shared" si="375"/>
        <v>-4</v>
      </c>
      <c r="CD591" s="39">
        <f t="shared" si="376"/>
        <v>-213</v>
      </c>
      <c r="CE591" s="102">
        <f t="shared" si="377"/>
        <v>-1</v>
      </c>
      <c r="CF591" s="36" t="s">
        <v>249</v>
      </c>
      <c r="CG591" s="39" t="s">
        <v>222</v>
      </c>
      <c r="CH591" s="39"/>
      <c r="CI591" s="25">
        <v>2</v>
      </c>
    </row>
    <row r="592" spans="1:87" ht="24.75" customHeight="1">
      <c r="A592" s="36" t="s">
        <v>387</v>
      </c>
      <c r="B592" s="27">
        <v>48674</v>
      </c>
      <c r="C592" s="228"/>
      <c r="D592" s="36" t="s">
        <v>45</v>
      </c>
      <c r="E592" s="39">
        <v>200</v>
      </c>
      <c r="F592" s="39" t="s">
        <v>53</v>
      </c>
      <c r="G592" s="36" t="s">
        <v>2531</v>
      </c>
      <c r="H592" s="36" t="s">
        <v>33</v>
      </c>
      <c r="I592" s="39">
        <v>174</v>
      </c>
      <c r="J592" s="39">
        <v>35</v>
      </c>
      <c r="K592" s="39">
        <v>4</v>
      </c>
      <c r="L592" s="39">
        <f t="shared" si="401"/>
        <v>213</v>
      </c>
      <c r="M592" s="117">
        <v>46272</v>
      </c>
      <c r="N592" s="117">
        <v>46277</v>
      </c>
      <c r="O592" s="39"/>
      <c r="P592" s="39"/>
      <c r="Q592" s="39"/>
      <c r="R592" s="39">
        <f t="shared" si="402"/>
        <v>0</v>
      </c>
      <c r="S592" s="39" t="s">
        <v>31</v>
      </c>
      <c r="T592" s="39"/>
      <c r="U592" s="39"/>
      <c r="V592" s="39"/>
      <c r="W592" s="39"/>
      <c r="X592" s="39"/>
      <c r="Y592" s="39"/>
      <c r="Z592" s="39"/>
      <c r="AA592" s="39"/>
      <c r="AB592" s="118">
        <f t="shared" si="403"/>
        <v>0</v>
      </c>
      <c r="AC592" s="39"/>
      <c r="AD592" s="39"/>
      <c r="AE592" s="39"/>
      <c r="AF592" s="39"/>
      <c r="AG592" s="39"/>
      <c r="AH592" s="39">
        <f t="shared" si="366"/>
        <v>0</v>
      </c>
      <c r="AI592" s="39"/>
      <c r="AJ592" s="39"/>
      <c r="AK592" s="39"/>
      <c r="AL592" s="39"/>
      <c r="AM592" s="39"/>
      <c r="AN592" s="39">
        <f t="shared" si="394"/>
        <v>0</v>
      </c>
      <c r="AO592" s="39"/>
      <c r="AP592" s="39"/>
      <c r="AQ592" s="39"/>
      <c r="AR592" s="39"/>
      <c r="AS592" s="39"/>
      <c r="AT592" s="39">
        <f t="shared" si="367"/>
        <v>0</v>
      </c>
      <c r="AU592" s="39"/>
      <c r="AV592" s="39"/>
      <c r="AW592" s="39"/>
      <c r="AX592" s="39"/>
      <c r="AY592" s="39"/>
      <c r="AZ592" s="39">
        <f t="shared" si="368"/>
        <v>0</v>
      </c>
      <c r="BA592" s="39"/>
      <c r="BB592" s="39"/>
      <c r="BC592" s="39"/>
      <c r="BD592" s="39"/>
      <c r="BE592" s="39"/>
      <c r="BF592" s="39">
        <f t="shared" si="369"/>
        <v>0</v>
      </c>
      <c r="BG592" s="39"/>
      <c r="BH592" s="39"/>
      <c r="BI592" s="39"/>
      <c r="BJ592" s="39"/>
      <c r="BK592" s="39"/>
      <c r="BL592" s="39">
        <f t="shared" si="370"/>
        <v>0</v>
      </c>
      <c r="BM592" s="54">
        <f t="shared" ca="1" si="371"/>
        <v>46283</v>
      </c>
      <c r="BN592" s="66">
        <v>46281</v>
      </c>
      <c r="BO592" s="117">
        <v>46301</v>
      </c>
      <c r="BP592" s="39"/>
      <c r="BQ592" s="39"/>
      <c r="BR592" s="39"/>
      <c r="BS592" s="39"/>
      <c r="BT592" s="39"/>
      <c r="BU592" s="39"/>
      <c r="BV592" s="39"/>
      <c r="BW592" s="39"/>
      <c r="BX592" s="39"/>
      <c r="BY592" s="39"/>
      <c r="BZ592" s="39">
        <f t="shared" si="372"/>
        <v>0</v>
      </c>
      <c r="CA592" s="39">
        <f t="shared" si="373"/>
        <v>-174</v>
      </c>
      <c r="CB592" s="39">
        <f t="shared" si="374"/>
        <v>-35</v>
      </c>
      <c r="CC592" s="39">
        <f t="shared" si="375"/>
        <v>-4</v>
      </c>
      <c r="CD592" s="39">
        <f t="shared" si="376"/>
        <v>-213</v>
      </c>
      <c r="CE592" s="102">
        <f t="shared" si="377"/>
        <v>-1</v>
      </c>
      <c r="CF592" s="36" t="s">
        <v>249</v>
      </c>
      <c r="CG592" s="39" t="s">
        <v>222</v>
      </c>
      <c r="CH592" s="39"/>
      <c r="CI592" s="25">
        <v>2</v>
      </c>
    </row>
    <row r="593" spans="1:87" ht="24.75" customHeight="1">
      <c r="A593" s="36" t="s">
        <v>387</v>
      </c>
      <c r="B593" s="27">
        <v>48676</v>
      </c>
      <c r="C593" s="227" t="s">
        <v>2676</v>
      </c>
      <c r="D593" s="36"/>
      <c r="E593" s="39">
        <v>140</v>
      </c>
      <c r="F593" s="39" t="s">
        <v>57</v>
      </c>
      <c r="G593" s="36" t="s">
        <v>23</v>
      </c>
      <c r="H593" s="36" t="s">
        <v>22</v>
      </c>
      <c r="I593" s="39">
        <v>600</v>
      </c>
      <c r="J593" s="39"/>
      <c r="K593" s="39"/>
      <c r="L593" s="39">
        <f t="shared" si="401"/>
        <v>600</v>
      </c>
      <c r="M593" s="117">
        <v>46271</v>
      </c>
      <c r="N593" s="117">
        <v>46278</v>
      </c>
      <c r="O593" s="39"/>
      <c r="P593" s="39"/>
      <c r="Q593" s="39"/>
      <c r="R593" s="39">
        <f t="shared" si="402"/>
        <v>0</v>
      </c>
      <c r="S593" s="39" t="s">
        <v>100</v>
      </c>
      <c r="T593" s="39"/>
      <c r="U593" s="39"/>
      <c r="V593" s="39"/>
      <c r="W593" s="39"/>
      <c r="X593" s="39"/>
      <c r="Y593" s="39"/>
      <c r="Z593" s="39"/>
      <c r="AA593" s="39"/>
      <c r="AB593" s="118">
        <f t="shared" si="403"/>
        <v>0</v>
      </c>
      <c r="AC593" s="39"/>
      <c r="AD593" s="39"/>
      <c r="AE593" s="39"/>
      <c r="AF593" s="39"/>
      <c r="AG593" s="39"/>
      <c r="AH593" s="39">
        <f t="shared" si="366"/>
        <v>0</v>
      </c>
      <c r="AI593" s="39"/>
      <c r="AJ593" s="39"/>
      <c r="AK593" s="39"/>
      <c r="AL593" s="39"/>
      <c r="AM593" s="39"/>
      <c r="AN593" s="39">
        <f t="shared" si="394"/>
        <v>0</v>
      </c>
      <c r="AO593" s="39"/>
      <c r="AP593" s="39"/>
      <c r="AQ593" s="39"/>
      <c r="AR593" s="39"/>
      <c r="AS593" s="39"/>
      <c r="AT593" s="39">
        <f t="shared" si="367"/>
        <v>0</v>
      </c>
      <c r="AU593" s="39"/>
      <c r="AV593" s="39"/>
      <c r="AW593" s="39"/>
      <c r="AX593" s="39"/>
      <c r="AY593" s="39"/>
      <c r="AZ593" s="39">
        <f t="shared" si="368"/>
        <v>0</v>
      </c>
      <c r="BA593" s="39"/>
      <c r="BB593" s="39"/>
      <c r="BC593" s="39"/>
      <c r="BD593" s="39"/>
      <c r="BE593" s="39"/>
      <c r="BF593" s="39">
        <f t="shared" si="369"/>
        <v>0</v>
      </c>
      <c r="BG593" s="39"/>
      <c r="BH593" s="39"/>
      <c r="BI593" s="39"/>
      <c r="BJ593" s="39"/>
      <c r="BK593" s="39"/>
      <c r="BL593" s="39">
        <f t="shared" si="370"/>
        <v>0</v>
      </c>
      <c r="BM593" s="54">
        <f t="shared" ca="1" si="371"/>
        <v>46283</v>
      </c>
      <c r="BN593" s="66">
        <v>46285</v>
      </c>
      <c r="BO593" s="117">
        <v>46298</v>
      </c>
      <c r="BP593" s="117"/>
      <c r="BQ593" s="117"/>
      <c r="BR593" s="39"/>
      <c r="BS593" s="39"/>
      <c r="BT593" s="39"/>
      <c r="BU593" s="39"/>
      <c r="BV593" s="39"/>
      <c r="BW593" s="39"/>
      <c r="BX593" s="39"/>
      <c r="BY593" s="39"/>
      <c r="BZ593" s="39">
        <f t="shared" si="372"/>
        <v>0</v>
      </c>
      <c r="CA593" s="39">
        <f t="shared" si="373"/>
        <v>-600</v>
      </c>
      <c r="CB593" s="39">
        <f t="shared" si="374"/>
        <v>0</v>
      </c>
      <c r="CC593" s="39">
        <f t="shared" si="375"/>
        <v>0</v>
      </c>
      <c r="CD593" s="39">
        <f t="shared" si="376"/>
        <v>-600</v>
      </c>
      <c r="CE593" s="102">
        <f t="shared" si="377"/>
        <v>-1</v>
      </c>
      <c r="CF593" s="36" t="s">
        <v>249</v>
      </c>
      <c r="CG593" s="39" t="s">
        <v>222</v>
      </c>
      <c r="CH593" s="39"/>
      <c r="CI593" s="25">
        <v>2</v>
      </c>
    </row>
    <row r="594" spans="1:87" ht="24.75" customHeight="1">
      <c r="A594" s="36" t="s">
        <v>387</v>
      </c>
      <c r="B594" s="27">
        <v>48676</v>
      </c>
      <c r="C594" s="231"/>
      <c r="D594" s="36"/>
      <c r="E594" s="39">
        <v>140</v>
      </c>
      <c r="F594" s="39" t="s">
        <v>57</v>
      </c>
      <c r="G594" s="36" t="s">
        <v>316</v>
      </c>
      <c r="H594" s="36" t="s">
        <v>22</v>
      </c>
      <c r="I594" s="39">
        <v>119</v>
      </c>
      <c r="J594" s="39"/>
      <c r="K594" s="39"/>
      <c r="L594" s="39">
        <f t="shared" si="401"/>
        <v>119</v>
      </c>
      <c r="M594" s="117">
        <v>46271</v>
      </c>
      <c r="N594" s="117">
        <v>46278</v>
      </c>
      <c r="O594" s="39"/>
      <c r="P594" s="39"/>
      <c r="Q594" s="39"/>
      <c r="R594" s="39">
        <f t="shared" si="402"/>
        <v>0</v>
      </c>
      <c r="S594" s="39" t="s">
        <v>28</v>
      </c>
      <c r="T594" s="39"/>
      <c r="U594" s="39"/>
      <c r="V594" s="117">
        <v>46267</v>
      </c>
      <c r="W594" s="39">
        <v>147</v>
      </c>
      <c r="X594" s="117">
        <v>46277</v>
      </c>
      <c r="Y594" s="39">
        <v>129</v>
      </c>
      <c r="Z594" s="39"/>
      <c r="AA594" s="39"/>
      <c r="AB594" s="119">
        <f t="shared" si="403"/>
        <v>129</v>
      </c>
      <c r="AC594" s="39"/>
      <c r="AD594" s="39"/>
      <c r="AE594" s="39"/>
      <c r="AF594" s="39"/>
      <c r="AG594" s="39"/>
      <c r="AH594" s="39">
        <f t="shared" si="366"/>
        <v>0</v>
      </c>
      <c r="AI594" s="39"/>
      <c r="AJ594" s="39"/>
      <c r="AK594" s="39"/>
      <c r="AL594" s="39"/>
      <c r="AM594" s="39"/>
      <c r="AN594" s="39">
        <f t="shared" si="394"/>
        <v>0</v>
      </c>
      <c r="AO594" s="39"/>
      <c r="AP594" s="39"/>
      <c r="AQ594" s="39"/>
      <c r="AR594" s="39"/>
      <c r="AS594" s="39"/>
      <c r="AT594" s="39">
        <f t="shared" si="367"/>
        <v>0</v>
      </c>
      <c r="AU594" s="39"/>
      <c r="AV594" s="39"/>
      <c r="AW594" s="39"/>
      <c r="AX594" s="39"/>
      <c r="AY594" s="39"/>
      <c r="AZ594" s="39">
        <f t="shared" si="368"/>
        <v>0</v>
      </c>
      <c r="BA594" s="39"/>
      <c r="BB594" s="39"/>
      <c r="BC594" s="39"/>
      <c r="BD594" s="39"/>
      <c r="BE594" s="39"/>
      <c r="BF594" s="39">
        <f t="shared" si="369"/>
        <v>0</v>
      </c>
      <c r="BG594" s="39"/>
      <c r="BH594" s="39"/>
      <c r="BI594" s="39"/>
      <c r="BJ594" s="39"/>
      <c r="BK594" s="39"/>
      <c r="BL594" s="39">
        <f t="shared" si="370"/>
        <v>0</v>
      </c>
      <c r="BM594" s="54" t="str">
        <f t="shared" si="371"/>
        <v/>
      </c>
      <c r="BN594" s="66">
        <v>46285</v>
      </c>
      <c r="BO594" s="117">
        <v>46298</v>
      </c>
      <c r="BP594" s="117"/>
      <c r="BQ594" s="117"/>
      <c r="BR594" s="117">
        <v>46279</v>
      </c>
      <c r="BS594" s="117">
        <v>46279</v>
      </c>
      <c r="BT594" s="39">
        <v>860</v>
      </c>
      <c r="BU594" s="39">
        <v>129</v>
      </c>
      <c r="BV594" s="39"/>
      <c r="BW594" s="39"/>
      <c r="BX594" s="39"/>
      <c r="BY594" s="39"/>
      <c r="BZ594" s="39">
        <f t="shared" si="372"/>
        <v>129</v>
      </c>
      <c r="CA594" s="39">
        <f t="shared" si="373"/>
        <v>10</v>
      </c>
      <c r="CB594" s="39">
        <f t="shared" si="374"/>
        <v>0</v>
      </c>
      <c r="CC594" s="39">
        <f t="shared" si="375"/>
        <v>0</v>
      </c>
      <c r="CD594" s="39">
        <f t="shared" si="376"/>
        <v>0</v>
      </c>
      <c r="CE594" s="102">
        <f t="shared" si="377"/>
        <v>0</v>
      </c>
      <c r="CF594" s="36" t="s">
        <v>249</v>
      </c>
      <c r="CG594" s="39" t="s">
        <v>222</v>
      </c>
      <c r="CH594" s="39"/>
      <c r="CI594" s="25">
        <v>2</v>
      </c>
    </row>
    <row r="595" spans="1:87" ht="24.75" customHeight="1">
      <c r="A595" s="36" t="s">
        <v>387</v>
      </c>
      <c r="B595" s="27">
        <v>48676</v>
      </c>
      <c r="C595" s="231"/>
      <c r="D595" s="36"/>
      <c r="E595" s="39">
        <v>140</v>
      </c>
      <c r="F595" s="39" t="s">
        <v>57</v>
      </c>
      <c r="G595" s="36" t="s">
        <v>38</v>
      </c>
      <c r="H595" s="36" t="s">
        <v>22</v>
      </c>
      <c r="I595" s="39">
        <v>119</v>
      </c>
      <c r="J595" s="39"/>
      <c r="K595" s="39"/>
      <c r="L595" s="39">
        <f t="shared" si="401"/>
        <v>119</v>
      </c>
      <c r="M595" s="117">
        <v>46271</v>
      </c>
      <c r="N595" s="117">
        <v>46278</v>
      </c>
      <c r="O595" s="39"/>
      <c r="P595" s="39"/>
      <c r="Q595" s="39"/>
      <c r="R595" s="39">
        <f t="shared" si="402"/>
        <v>0</v>
      </c>
      <c r="S595" s="39" t="s">
        <v>130</v>
      </c>
      <c r="T595" s="39">
        <v>109348</v>
      </c>
      <c r="U595" s="117">
        <v>46277</v>
      </c>
      <c r="V595" s="39"/>
      <c r="W595" s="39"/>
      <c r="X595" s="39"/>
      <c r="Y595" s="39">
        <v>147</v>
      </c>
      <c r="Z595" s="39"/>
      <c r="AA595" s="39"/>
      <c r="AB595" s="119">
        <f t="shared" si="403"/>
        <v>147</v>
      </c>
      <c r="AC595" s="39"/>
      <c r="AD595" s="39"/>
      <c r="AE595" s="39"/>
      <c r="AF595" s="39"/>
      <c r="AG595" s="39"/>
      <c r="AH595" s="39">
        <f t="shared" si="366"/>
        <v>0</v>
      </c>
      <c r="AI595" s="39"/>
      <c r="AJ595" s="39"/>
      <c r="AK595" s="39"/>
      <c r="AL595" s="39"/>
      <c r="AM595" s="39"/>
      <c r="AN595" s="39">
        <f t="shared" si="394"/>
        <v>0</v>
      </c>
      <c r="AO595" s="39"/>
      <c r="AP595" s="39"/>
      <c r="AQ595" s="39"/>
      <c r="AR595" s="39"/>
      <c r="AS595" s="39"/>
      <c r="AT595" s="39">
        <f t="shared" si="367"/>
        <v>0</v>
      </c>
      <c r="AU595" s="39"/>
      <c r="AV595" s="39"/>
      <c r="AW595" s="39"/>
      <c r="AX595" s="39"/>
      <c r="AY595" s="39"/>
      <c r="AZ595" s="39">
        <f t="shared" si="368"/>
        <v>0</v>
      </c>
      <c r="BA595" s="39"/>
      <c r="BB595" s="39"/>
      <c r="BC595" s="39"/>
      <c r="BD595" s="39"/>
      <c r="BE595" s="39"/>
      <c r="BF595" s="39">
        <f t="shared" si="369"/>
        <v>0</v>
      </c>
      <c r="BG595" s="39"/>
      <c r="BH595" s="39"/>
      <c r="BI595" s="39"/>
      <c r="BJ595" s="39"/>
      <c r="BK595" s="39"/>
      <c r="BL595" s="39">
        <f t="shared" si="370"/>
        <v>0</v>
      </c>
      <c r="BM595" s="54" t="str">
        <f t="shared" si="371"/>
        <v/>
      </c>
      <c r="BN595" s="66">
        <v>46285</v>
      </c>
      <c r="BO595" s="117">
        <v>46298</v>
      </c>
      <c r="BP595" s="117"/>
      <c r="BQ595" s="117"/>
      <c r="BR595" s="117">
        <v>46280</v>
      </c>
      <c r="BS595" s="39"/>
      <c r="BT595" s="39">
        <v>903</v>
      </c>
      <c r="BU595" s="39">
        <v>132</v>
      </c>
      <c r="BV595" s="39"/>
      <c r="BW595" s="39"/>
      <c r="BX595" s="39"/>
      <c r="BY595" s="39"/>
      <c r="BZ595" s="39">
        <f t="shared" si="372"/>
        <v>132</v>
      </c>
      <c r="CA595" s="39">
        <f t="shared" si="373"/>
        <v>13</v>
      </c>
      <c r="CB595" s="39">
        <f t="shared" si="374"/>
        <v>0</v>
      </c>
      <c r="CC595" s="39">
        <f t="shared" si="375"/>
        <v>0</v>
      </c>
      <c r="CD595" s="39">
        <f t="shared" si="376"/>
        <v>0</v>
      </c>
      <c r="CE595" s="102">
        <f t="shared" si="377"/>
        <v>0</v>
      </c>
      <c r="CF595" s="36" t="s">
        <v>249</v>
      </c>
      <c r="CG595" s="39" t="s">
        <v>222</v>
      </c>
      <c r="CH595" s="39"/>
      <c r="CI595" s="25">
        <v>2</v>
      </c>
    </row>
    <row r="596" spans="1:87" ht="24.75" customHeight="1">
      <c r="A596" s="36" t="s">
        <v>387</v>
      </c>
      <c r="B596" s="27">
        <v>48676</v>
      </c>
      <c r="C596" s="231"/>
      <c r="D596" s="36"/>
      <c r="E596" s="39">
        <v>140</v>
      </c>
      <c r="F596" s="39" t="s">
        <v>57</v>
      </c>
      <c r="G596" s="36" t="s">
        <v>484</v>
      </c>
      <c r="H596" s="36" t="s">
        <v>22</v>
      </c>
      <c r="I596" s="39">
        <v>119</v>
      </c>
      <c r="J596" s="39"/>
      <c r="K596" s="39"/>
      <c r="L596" s="39">
        <f t="shared" si="401"/>
        <v>119</v>
      </c>
      <c r="M596" s="117">
        <v>46271</v>
      </c>
      <c r="N596" s="117">
        <v>46278</v>
      </c>
      <c r="O596" s="39"/>
      <c r="P596" s="39"/>
      <c r="Q596" s="39"/>
      <c r="R596" s="39">
        <f t="shared" si="402"/>
        <v>0</v>
      </c>
      <c r="S596" s="39" t="s">
        <v>28</v>
      </c>
      <c r="T596" s="39"/>
      <c r="U596" s="39"/>
      <c r="V596" s="117">
        <v>46267</v>
      </c>
      <c r="W596" s="39">
        <v>147</v>
      </c>
      <c r="X596" s="39"/>
      <c r="Y596" s="39"/>
      <c r="Z596" s="39"/>
      <c r="AA596" s="39"/>
      <c r="AB596" s="118">
        <f t="shared" si="403"/>
        <v>0</v>
      </c>
      <c r="AC596" s="39"/>
      <c r="AD596" s="39"/>
      <c r="AE596" s="39"/>
      <c r="AF596" s="39"/>
      <c r="AG596" s="39"/>
      <c r="AH596" s="39">
        <f t="shared" si="366"/>
        <v>0</v>
      </c>
      <c r="AI596" s="39"/>
      <c r="AJ596" s="39"/>
      <c r="AK596" s="39"/>
      <c r="AL596" s="39"/>
      <c r="AM596" s="39"/>
      <c r="AN596" s="39">
        <f t="shared" si="394"/>
        <v>0</v>
      </c>
      <c r="AO596" s="39"/>
      <c r="AP596" s="39"/>
      <c r="AQ596" s="39"/>
      <c r="AR596" s="39"/>
      <c r="AS596" s="39"/>
      <c r="AT596" s="39">
        <f t="shared" si="367"/>
        <v>0</v>
      </c>
      <c r="AU596" s="39"/>
      <c r="AV596" s="39"/>
      <c r="AW596" s="39"/>
      <c r="AX596" s="39"/>
      <c r="AY596" s="39"/>
      <c r="AZ596" s="39">
        <f t="shared" si="368"/>
        <v>0</v>
      </c>
      <c r="BA596" s="39"/>
      <c r="BB596" s="39"/>
      <c r="BC596" s="39"/>
      <c r="BD596" s="39"/>
      <c r="BE596" s="39"/>
      <c r="BF596" s="39">
        <f t="shared" si="369"/>
        <v>0</v>
      </c>
      <c r="BG596" s="39"/>
      <c r="BH596" s="39"/>
      <c r="BI596" s="39"/>
      <c r="BJ596" s="39"/>
      <c r="BK596" s="39"/>
      <c r="BL596" s="39">
        <f t="shared" si="370"/>
        <v>0</v>
      </c>
      <c r="BM596" s="54">
        <f t="shared" ca="1" si="371"/>
        <v>46283</v>
      </c>
      <c r="BN596" s="66">
        <v>46285</v>
      </c>
      <c r="BO596" s="117">
        <v>46298</v>
      </c>
      <c r="BP596" s="117"/>
      <c r="BQ596" s="117"/>
      <c r="BR596" s="39"/>
      <c r="BS596" s="39"/>
      <c r="BT596" s="39"/>
      <c r="BU596" s="39"/>
      <c r="BV596" s="39"/>
      <c r="BW596" s="39"/>
      <c r="BX596" s="39"/>
      <c r="BY596" s="39"/>
      <c r="BZ596" s="39">
        <f t="shared" si="372"/>
        <v>0</v>
      </c>
      <c r="CA596" s="39">
        <f t="shared" si="373"/>
        <v>-119</v>
      </c>
      <c r="CB596" s="39">
        <f t="shared" si="374"/>
        <v>0</v>
      </c>
      <c r="CC596" s="39">
        <f t="shared" si="375"/>
        <v>0</v>
      </c>
      <c r="CD596" s="39">
        <f t="shared" si="376"/>
        <v>-119</v>
      </c>
      <c r="CE596" s="102">
        <f t="shared" si="377"/>
        <v>-1</v>
      </c>
      <c r="CF596" s="36" t="s">
        <v>249</v>
      </c>
      <c r="CG596" s="39" t="s">
        <v>222</v>
      </c>
      <c r="CH596" s="39"/>
      <c r="CI596" s="25">
        <v>2</v>
      </c>
    </row>
    <row r="597" spans="1:87" ht="24.75" customHeight="1">
      <c r="A597" s="36" t="s">
        <v>387</v>
      </c>
      <c r="B597" s="27">
        <v>48676</v>
      </c>
      <c r="C597" s="231"/>
      <c r="D597" s="36" t="s">
        <v>37</v>
      </c>
      <c r="E597" s="39">
        <v>140</v>
      </c>
      <c r="F597" s="39" t="s">
        <v>57</v>
      </c>
      <c r="G597" s="36" t="s">
        <v>105</v>
      </c>
      <c r="H597" s="36" t="s">
        <v>22</v>
      </c>
      <c r="I597" s="39">
        <v>122</v>
      </c>
      <c r="J597" s="39"/>
      <c r="K597" s="39"/>
      <c r="L597" s="39">
        <f t="shared" si="401"/>
        <v>122</v>
      </c>
      <c r="M597" s="117">
        <v>46271</v>
      </c>
      <c r="N597" s="117">
        <v>46278</v>
      </c>
      <c r="O597" s="39"/>
      <c r="P597" s="39"/>
      <c r="Q597" s="39"/>
      <c r="R597" s="39">
        <f t="shared" ref="R597" si="404">SUM(O597:Q597)</f>
        <v>0</v>
      </c>
      <c r="S597" s="39" t="s">
        <v>130</v>
      </c>
      <c r="T597" s="39">
        <v>109301</v>
      </c>
      <c r="U597" s="117">
        <v>46273</v>
      </c>
      <c r="V597" s="39"/>
      <c r="W597" s="39"/>
      <c r="X597" s="39"/>
      <c r="Y597" s="39">
        <v>153</v>
      </c>
      <c r="Z597" s="39"/>
      <c r="AA597" s="39"/>
      <c r="AB597" s="119">
        <f t="shared" ref="AB597" si="405">SUM(Y597:AA597)</f>
        <v>153</v>
      </c>
      <c r="AC597" s="39" t="s">
        <v>268</v>
      </c>
      <c r="AD597" s="117">
        <v>46272</v>
      </c>
      <c r="AE597" s="39">
        <v>132</v>
      </c>
      <c r="AF597" s="39"/>
      <c r="AG597" s="39"/>
      <c r="AH597" s="39">
        <f t="shared" ref="AH597" si="406">AG597-AE597</f>
        <v>-132</v>
      </c>
      <c r="AI597" s="39"/>
      <c r="AJ597" s="39"/>
      <c r="AK597" s="39"/>
      <c r="AL597" s="39"/>
      <c r="AM597" s="39"/>
      <c r="AN597" s="39">
        <f t="shared" ref="AN597" si="407">AM597-AK597</f>
        <v>0</v>
      </c>
      <c r="AO597" s="39"/>
      <c r="AP597" s="39"/>
      <c r="AQ597" s="39"/>
      <c r="AR597" s="39"/>
      <c r="AS597" s="39"/>
      <c r="AT597" s="39">
        <f t="shared" ref="AT597" si="408">AS597-AQ597</f>
        <v>0</v>
      </c>
      <c r="AU597" s="39"/>
      <c r="AV597" s="39"/>
      <c r="AW597" s="39"/>
      <c r="AX597" s="39"/>
      <c r="AY597" s="39"/>
      <c r="AZ597" s="39">
        <f t="shared" ref="AZ597" si="409">AY597-AW597</f>
        <v>0</v>
      </c>
      <c r="BA597" s="39"/>
      <c r="BB597" s="39"/>
      <c r="BC597" s="39"/>
      <c r="BD597" s="39"/>
      <c r="BE597" s="39"/>
      <c r="BF597" s="39">
        <f t="shared" ref="BF597" si="410">BE597-BC597</f>
        <v>0</v>
      </c>
      <c r="BG597" s="39"/>
      <c r="BH597" s="39"/>
      <c r="BI597" s="39"/>
      <c r="BJ597" s="39"/>
      <c r="BK597" s="39"/>
      <c r="BL597" s="39">
        <f t="shared" ref="BL597" si="411">BK597-BI597</f>
        <v>0</v>
      </c>
      <c r="BM597" s="54">
        <f t="shared" ref="BM597" ca="1" si="412">IF((BZ597/L597)&lt;0.9,$CO$1-U597,"")</f>
        <v>10</v>
      </c>
      <c r="BN597" s="66">
        <v>46285</v>
      </c>
      <c r="BO597" s="117">
        <v>46298</v>
      </c>
      <c r="BP597" s="117">
        <v>46301</v>
      </c>
      <c r="BQ597" s="117">
        <v>46307</v>
      </c>
      <c r="BR597" s="39"/>
      <c r="BS597" s="39"/>
      <c r="BT597" s="39"/>
      <c r="BU597" s="39"/>
      <c r="BV597" s="39"/>
      <c r="BW597" s="39"/>
      <c r="BX597" s="39"/>
      <c r="BY597" s="39"/>
      <c r="BZ597" s="39">
        <f t="shared" ref="BZ597" si="413">BU597+BW597+BY597</f>
        <v>0</v>
      </c>
      <c r="CA597" s="39">
        <f t="shared" ref="CA597" si="414">BU597-I597</f>
        <v>-122</v>
      </c>
      <c r="CB597" s="39">
        <f t="shared" ref="CB597" si="415">BW597-J597</f>
        <v>0</v>
      </c>
      <c r="CC597" s="39">
        <f t="shared" ref="CC597" si="416">BY597-K597</f>
        <v>0</v>
      </c>
      <c r="CD597" s="39">
        <f t="shared" ref="CD597" si="417">SUMIF(CA597:CC597,"&lt;0")</f>
        <v>-122</v>
      </c>
      <c r="CE597" s="102">
        <f t="shared" ref="CE597" si="418">CD597/L597</f>
        <v>-1</v>
      </c>
      <c r="CF597" s="36" t="s">
        <v>249</v>
      </c>
      <c r="CG597" s="39" t="s">
        <v>222</v>
      </c>
      <c r="CH597" s="39"/>
      <c r="CI597" s="25">
        <v>2</v>
      </c>
    </row>
    <row r="598" spans="1:87" ht="24.75" customHeight="1">
      <c r="A598" s="36" t="s">
        <v>387</v>
      </c>
      <c r="B598" s="27">
        <v>48676</v>
      </c>
      <c r="C598" s="231"/>
      <c r="D598" s="36"/>
      <c r="E598" s="39">
        <v>140</v>
      </c>
      <c r="F598" s="39" t="s">
        <v>57</v>
      </c>
      <c r="G598" s="36" t="s">
        <v>2675</v>
      </c>
      <c r="H598" s="36" t="s">
        <v>22</v>
      </c>
      <c r="I598" s="39">
        <v>8</v>
      </c>
      <c r="J598" s="39"/>
      <c r="K598" s="39"/>
      <c r="L598" s="39">
        <f t="shared" ref="L598" si="419">SUM(I598:K598)</f>
        <v>8</v>
      </c>
      <c r="M598" s="117">
        <v>46271</v>
      </c>
      <c r="N598" s="117">
        <v>46278</v>
      </c>
      <c r="O598" s="39"/>
      <c r="P598" s="39"/>
      <c r="Q598" s="39"/>
      <c r="R598" s="39">
        <f t="shared" si="402"/>
        <v>0</v>
      </c>
      <c r="S598" s="39" t="s">
        <v>130</v>
      </c>
      <c r="T598" s="39"/>
      <c r="U598" s="39"/>
      <c r="V598" s="39"/>
      <c r="W598" s="39"/>
      <c r="X598" s="39"/>
      <c r="Y598" s="39"/>
      <c r="Z598" s="39"/>
      <c r="AA598" s="39"/>
      <c r="AB598" s="118">
        <f t="shared" si="403"/>
        <v>0</v>
      </c>
      <c r="AC598" s="39"/>
      <c r="AD598" s="39"/>
      <c r="AE598" s="39"/>
      <c r="AF598" s="39"/>
      <c r="AG598" s="39"/>
      <c r="AH598" s="39">
        <f t="shared" si="366"/>
        <v>0</v>
      </c>
      <c r="AI598" s="39"/>
      <c r="AJ598" s="39"/>
      <c r="AK598" s="39"/>
      <c r="AL598" s="39"/>
      <c r="AM598" s="39"/>
      <c r="AN598" s="39">
        <f t="shared" si="394"/>
        <v>0</v>
      </c>
      <c r="AO598" s="39"/>
      <c r="AP598" s="39"/>
      <c r="AQ598" s="39"/>
      <c r="AR598" s="39"/>
      <c r="AS598" s="39"/>
      <c r="AT598" s="39">
        <f t="shared" si="367"/>
        <v>0</v>
      </c>
      <c r="AU598" s="39"/>
      <c r="AV598" s="39"/>
      <c r="AW598" s="39"/>
      <c r="AX598" s="39"/>
      <c r="AY598" s="39"/>
      <c r="AZ598" s="39">
        <f t="shared" si="368"/>
        <v>0</v>
      </c>
      <c r="BA598" s="39"/>
      <c r="BB598" s="39"/>
      <c r="BC598" s="39"/>
      <c r="BD598" s="39"/>
      <c r="BE598" s="39"/>
      <c r="BF598" s="39">
        <f t="shared" si="369"/>
        <v>0</v>
      </c>
      <c r="BG598" s="39"/>
      <c r="BH598" s="39"/>
      <c r="BI598" s="39"/>
      <c r="BJ598" s="39"/>
      <c r="BK598" s="39"/>
      <c r="BL598" s="39">
        <f t="shared" si="370"/>
        <v>0</v>
      </c>
      <c r="BM598" s="54">
        <f t="shared" ca="1" si="371"/>
        <v>46283</v>
      </c>
      <c r="BN598" s="66">
        <v>46285</v>
      </c>
      <c r="BO598" s="117">
        <v>46298</v>
      </c>
      <c r="BP598" s="117"/>
      <c r="BQ598" s="117"/>
      <c r="BR598" s="39"/>
      <c r="BS598" s="39"/>
      <c r="BT598" s="39"/>
      <c r="BU598" s="39"/>
      <c r="BV598" s="39"/>
      <c r="BW598" s="39"/>
      <c r="BX598" s="39"/>
      <c r="BY598" s="39"/>
      <c r="BZ598" s="39">
        <f t="shared" si="372"/>
        <v>0</v>
      </c>
      <c r="CA598" s="39">
        <f t="shared" si="373"/>
        <v>-8</v>
      </c>
      <c r="CB598" s="39">
        <f t="shared" si="374"/>
        <v>0</v>
      </c>
      <c r="CC598" s="39">
        <f t="shared" si="375"/>
        <v>0</v>
      </c>
      <c r="CD598" s="39">
        <f t="shared" si="376"/>
        <v>-8</v>
      </c>
      <c r="CE598" s="102">
        <f t="shared" si="377"/>
        <v>-1</v>
      </c>
      <c r="CF598" s="36" t="s">
        <v>249</v>
      </c>
      <c r="CG598" s="39" t="s">
        <v>222</v>
      </c>
      <c r="CH598" s="39"/>
      <c r="CI598" s="25">
        <v>2</v>
      </c>
    </row>
    <row r="599" spans="1:87" ht="24.75" customHeight="1">
      <c r="A599" s="36" t="s">
        <v>387</v>
      </c>
      <c r="B599" s="27">
        <v>48953</v>
      </c>
      <c r="C599" s="227" t="s">
        <v>2890</v>
      </c>
      <c r="D599" s="36"/>
      <c r="E599" s="39">
        <v>230</v>
      </c>
      <c r="F599" s="39" t="s">
        <v>59</v>
      </c>
      <c r="G599" s="36" t="s">
        <v>47</v>
      </c>
      <c r="H599" s="36" t="s">
        <v>96</v>
      </c>
      <c r="I599" s="39">
        <f>204+12</f>
        <v>216</v>
      </c>
      <c r="J599" s="39"/>
      <c r="K599" s="39"/>
      <c r="L599" s="39">
        <f t="shared" ref="L599:L608" si="420">SUM(I599:K599)</f>
        <v>216</v>
      </c>
      <c r="M599" s="117">
        <v>46270</v>
      </c>
      <c r="N599" s="117">
        <v>46275</v>
      </c>
      <c r="O599" s="39"/>
      <c r="P599" s="39"/>
      <c r="Q599" s="39"/>
      <c r="R599" s="39">
        <f t="shared" ref="R599:R627" si="421">SUM(O599:Q599)</f>
        <v>0</v>
      </c>
      <c r="S599" s="39" t="s">
        <v>130</v>
      </c>
      <c r="T599" s="39"/>
      <c r="U599" s="39"/>
      <c r="V599" s="39"/>
      <c r="W599" s="39"/>
      <c r="X599" s="39"/>
      <c r="Y599" s="39"/>
      <c r="Z599" s="39"/>
      <c r="AA599" s="39"/>
      <c r="AB599" s="118">
        <f t="shared" ref="AB599:AB627" si="422">SUM(Y599:AA599)</f>
        <v>0</v>
      </c>
      <c r="AC599" s="39"/>
      <c r="AD599" s="39"/>
      <c r="AE599" s="39"/>
      <c r="AF599" s="39"/>
      <c r="AG599" s="39"/>
      <c r="AH599" s="39">
        <f t="shared" si="366"/>
        <v>0</v>
      </c>
      <c r="AI599" s="39"/>
      <c r="AJ599" s="39"/>
      <c r="AK599" s="39"/>
      <c r="AL599" s="39"/>
      <c r="AM599" s="39"/>
      <c r="AN599" s="39">
        <f t="shared" si="394"/>
        <v>0</v>
      </c>
      <c r="AO599" s="39"/>
      <c r="AP599" s="39"/>
      <c r="AQ599" s="39"/>
      <c r="AR599" s="39"/>
      <c r="AS599" s="39"/>
      <c r="AT599" s="39">
        <f t="shared" ref="AT599:AT630" si="423">AS599-AQ599</f>
        <v>0</v>
      </c>
      <c r="AU599" s="39"/>
      <c r="AV599" s="39"/>
      <c r="AW599" s="39"/>
      <c r="AX599" s="39"/>
      <c r="AY599" s="39"/>
      <c r="AZ599" s="39">
        <f t="shared" ref="AZ599:AZ630" si="424">AY599-AW599</f>
        <v>0</v>
      </c>
      <c r="BA599" s="39"/>
      <c r="BB599" s="39"/>
      <c r="BC599" s="39"/>
      <c r="BD599" s="39"/>
      <c r="BE599" s="39"/>
      <c r="BF599" s="39">
        <f t="shared" ref="BF599:BF630" si="425">BE599-BC599</f>
        <v>0</v>
      </c>
      <c r="BG599" s="39"/>
      <c r="BH599" s="39"/>
      <c r="BI599" s="39"/>
      <c r="BJ599" s="39"/>
      <c r="BK599" s="39"/>
      <c r="BL599" s="39">
        <f t="shared" si="370"/>
        <v>0</v>
      </c>
      <c r="BM599" s="54">
        <f t="shared" ref="BM599:BM630" ca="1" si="426">IF((BZ599/L599)&lt;0.9,$CO$1-U599,"")</f>
        <v>46283</v>
      </c>
      <c r="BN599" s="66">
        <v>46277</v>
      </c>
      <c r="BO599" s="117">
        <v>46289</v>
      </c>
      <c r="BP599" s="39"/>
      <c r="BQ599" s="39"/>
      <c r="BR599" s="39"/>
      <c r="BS599" s="39"/>
      <c r="BT599" s="39"/>
      <c r="BU599" s="39"/>
      <c r="BV599" s="39"/>
      <c r="BW599" s="39"/>
      <c r="BX599" s="39"/>
      <c r="BY599" s="39"/>
      <c r="BZ599" s="39">
        <f t="shared" si="372"/>
        <v>0</v>
      </c>
      <c r="CA599" s="39">
        <f t="shared" ref="CA599:CA618" si="427">BU599-I599</f>
        <v>-216</v>
      </c>
      <c r="CB599" s="39">
        <f t="shared" ref="CB599:CB630" si="428">BW599-J599</f>
        <v>0</v>
      </c>
      <c r="CC599" s="39">
        <f t="shared" ref="CC599:CC630" si="429">BY599-K599</f>
        <v>0</v>
      </c>
      <c r="CD599" s="39">
        <f t="shared" ref="CD599:CD630" si="430">SUMIF(CA599:CC599,"&lt;0")</f>
        <v>-216</v>
      </c>
      <c r="CE599" s="102">
        <f t="shared" ref="CE599:CE630" si="431">CD599/L599</f>
        <v>-1</v>
      </c>
      <c r="CF599" s="36" t="s">
        <v>249</v>
      </c>
      <c r="CG599" s="39" t="s">
        <v>222</v>
      </c>
      <c r="CH599" s="39"/>
      <c r="CI599" s="25">
        <v>2</v>
      </c>
    </row>
    <row r="600" spans="1:87" ht="24.75" customHeight="1">
      <c r="A600" s="36" t="s">
        <v>387</v>
      </c>
      <c r="B600" s="27">
        <v>48953</v>
      </c>
      <c r="C600" s="266"/>
      <c r="D600" s="36"/>
      <c r="E600" s="39">
        <v>230</v>
      </c>
      <c r="F600" s="39" t="s">
        <v>59</v>
      </c>
      <c r="G600" s="36" t="s">
        <v>354</v>
      </c>
      <c r="H600" s="36" t="s">
        <v>96</v>
      </c>
      <c r="I600" s="39">
        <f>204+12</f>
        <v>216</v>
      </c>
      <c r="J600" s="39"/>
      <c r="K600" s="39"/>
      <c r="L600" s="39">
        <f t="shared" si="420"/>
        <v>216</v>
      </c>
      <c r="M600" s="117">
        <v>46270</v>
      </c>
      <c r="N600" s="117">
        <v>46275</v>
      </c>
      <c r="O600" s="39"/>
      <c r="P600" s="39"/>
      <c r="Q600" s="39"/>
      <c r="R600" s="39">
        <f t="shared" si="421"/>
        <v>0</v>
      </c>
      <c r="S600" s="39" t="s">
        <v>31</v>
      </c>
      <c r="T600" s="39"/>
      <c r="U600" s="39"/>
      <c r="V600" s="117" t="s">
        <v>2958</v>
      </c>
      <c r="W600" s="39">
        <f>230+15</f>
        <v>245</v>
      </c>
      <c r="X600" s="39"/>
      <c r="Y600" s="39"/>
      <c r="Z600" s="39"/>
      <c r="AA600" s="39"/>
      <c r="AB600" s="118">
        <f t="shared" si="422"/>
        <v>0</v>
      </c>
      <c r="AC600" s="39"/>
      <c r="AD600" s="39"/>
      <c r="AE600" s="39"/>
      <c r="AF600" s="39"/>
      <c r="AG600" s="39"/>
      <c r="AH600" s="39">
        <f t="shared" si="366"/>
        <v>0</v>
      </c>
      <c r="AI600" s="39"/>
      <c r="AJ600" s="39"/>
      <c r="AK600" s="39"/>
      <c r="AL600" s="39"/>
      <c r="AM600" s="39"/>
      <c r="AN600" s="39">
        <f t="shared" si="394"/>
        <v>0</v>
      </c>
      <c r="AO600" s="39"/>
      <c r="AP600" s="39"/>
      <c r="AQ600" s="39"/>
      <c r="AR600" s="39"/>
      <c r="AS600" s="39"/>
      <c r="AT600" s="39">
        <f t="shared" si="423"/>
        <v>0</v>
      </c>
      <c r="AU600" s="39"/>
      <c r="AV600" s="39"/>
      <c r="AW600" s="39"/>
      <c r="AX600" s="39"/>
      <c r="AY600" s="39"/>
      <c r="AZ600" s="39">
        <f t="shared" si="424"/>
        <v>0</v>
      </c>
      <c r="BA600" s="39"/>
      <c r="BB600" s="39"/>
      <c r="BC600" s="39"/>
      <c r="BD600" s="39"/>
      <c r="BE600" s="39"/>
      <c r="BF600" s="39">
        <f t="shared" si="425"/>
        <v>0</v>
      </c>
      <c r="BG600" s="39"/>
      <c r="BH600" s="39"/>
      <c r="BI600" s="39"/>
      <c r="BJ600" s="39"/>
      <c r="BK600" s="39"/>
      <c r="BL600" s="39">
        <f t="shared" si="370"/>
        <v>0</v>
      </c>
      <c r="BM600" s="54">
        <f t="shared" ca="1" si="426"/>
        <v>46283</v>
      </c>
      <c r="BN600" s="66">
        <v>46277</v>
      </c>
      <c r="BO600" s="117">
        <v>46289</v>
      </c>
      <c r="BP600" s="39"/>
      <c r="BQ600" s="39"/>
      <c r="BR600" s="39"/>
      <c r="BS600" s="39"/>
      <c r="BT600" s="39"/>
      <c r="BU600" s="39"/>
      <c r="BV600" s="39"/>
      <c r="BW600" s="39"/>
      <c r="BX600" s="39"/>
      <c r="BY600" s="39"/>
      <c r="BZ600" s="39">
        <f t="shared" si="372"/>
        <v>0</v>
      </c>
      <c r="CA600" s="39">
        <f t="shared" si="427"/>
        <v>-216</v>
      </c>
      <c r="CB600" s="39">
        <f t="shared" si="428"/>
        <v>0</v>
      </c>
      <c r="CC600" s="39">
        <f t="shared" si="429"/>
        <v>0</v>
      </c>
      <c r="CD600" s="39">
        <f t="shared" si="430"/>
        <v>-216</v>
      </c>
      <c r="CE600" s="102">
        <f t="shared" si="431"/>
        <v>-1</v>
      </c>
      <c r="CF600" s="36" t="s">
        <v>249</v>
      </c>
      <c r="CG600" s="39" t="s">
        <v>222</v>
      </c>
      <c r="CH600" s="39"/>
      <c r="CI600" s="25">
        <v>2</v>
      </c>
    </row>
    <row r="601" spans="1:87" ht="24.75" customHeight="1">
      <c r="A601" s="36" t="s">
        <v>387</v>
      </c>
      <c r="B601" s="27">
        <v>48953</v>
      </c>
      <c r="C601" s="254"/>
      <c r="D601" s="36"/>
      <c r="E601" s="39">
        <v>230</v>
      </c>
      <c r="F601" s="39" t="s">
        <v>59</v>
      </c>
      <c r="G601" s="36" t="s">
        <v>2687</v>
      </c>
      <c r="H601" s="36" t="s">
        <v>96</v>
      </c>
      <c r="I601" s="39">
        <f>136+8</f>
        <v>144</v>
      </c>
      <c r="J601" s="39"/>
      <c r="K601" s="39"/>
      <c r="L601" s="39">
        <f t="shared" si="420"/>
        <v>144</v>
      </c>
      <c r="M601" s="117">
        <v>46270</v>
      </c>
      <c r="N601" s="117">
        <v>46275</v>
      </c>
      <c r="O601" s="39"/>
      <c r="P601" s="39"/>
      <c r="Q601" s="39"/>
      <c r="R601" s="39">
        <f t="shared" si="421"/>
        <v>0</v>
      </c>
      <c r="S601" s="39" t="s">
        <v>28</v>
      </c>
      <c r="T601" s="39"/>
      <c r="U601" s="39"/>
      <c r="V601" s="117">
        <v>46274</v>
      </c>
      <c r="W601" s="39">
        <v>174</v>
      </c>
      <c r="X601" s="39"/>
      <c r="Y601" s="39"/>
      <c r="Z601" s="39"/>
      <c r="AA601" s="39"/>
      <c r="AB601" s="118">
        <f t="shared" si="422"/>
        <v>0</v>
      </c>
      <c r="AC601" s="39"/>
      <c r="AD601" s="39"/>
      <c r="AE601" s="39"/>
      <c r="AF601" s="39"/>
      <c r="AG601" s="39"/>
      <c r="AH601" s="39">
        <f t="shared" si="366"/>
        <v>0</v>
      </c>
      <c r="AI601" s="39"/>
      <c r="AJ601" s="39"/>
      <c r="AK601" s="39"/>
      <c r="AL601" s="39"/>
      <c r="AM601" s="39"/>
      <c r="AN601" s="39">
        <f t="shared" si="394"/>
        <v>0</v>
      </c>
      <c r="AO601" s="39"/>
      <c r="AP601" s="39"/>
      <c r="AQ601" s="39"/>
      <c r="AR601" s="39"/>
      <c r="AS601" s="39"/>
      <c r="AT601" s="39">
        <f t="shared" si="423"/>
        <v>0</v>
      </c>
      <c r="AU601" s="39"/>
      <c r="AV601" s="39"/>
      <c r="AW601" s="39"/>
      <c r="AX601" s="39"/>
      <c r="AY601" s="39"/>
      <c r="AZ601" s="39">
        <f t="shared" si="424"/>
        <v>0</v>
      </c>
      <c r="BA601" s="39"/>
      <c r="BB601" s="39"/>
      <c r="BC601" s="39"/>
      <c r="BD601" s="39"/>
      <c r="BE601" s="39"/>
      <c r="BF601" s="39">
        <f t="shared" si="425"/>
        <v>0</v>
      </c>
      <c r="BG601" s="39"/>
      <c r="BH601" s="39"/>
      <c r="BI601" s="39"/>
      <c r="BJ601" s="39"/>
      <c r="BK601" s="39"/>
      <c r="BL601" s="39">
        <f t="shared" si="370"/>
        <v>0</v>
      </c>
      <c r="BM601" s="54">
        <f t="shared" ca="1" si="426"/>
        <v>46283</v>
      </c>
      <c r="BN601" s="66">
        <v>46277</v>
      </c>
      <c r="BO601" s="117">
        <v>46289</v>
      </c>
      <c r="BP601" s="39"/>
      <c r="BQ601" s="39"/>
      <c r="BR601" s="39"/>
      <c r="BS601" s="39"/>
      <c r="BT601" s="39"/>
      <c r="BU601" s="39"/>
      <c r="BV601" s="39"/>
      <c r="BW601" s="39"/>
      <c r="BX601" s="39"/>
      <c r="BY601" s="39"/>
      <c r="BZ601" s="39">
        <f t="shared" si="372"/>
        <v>0</v>
      </c>
      <c r="CA601" s="39">
        <f t="shared" si="427"/>
        <v>-144</v>
      </c>
      <c r="CB601" s="39">
        <f t="shared" si="428"/>
        <v>0</v>
      </c>
      <c r="CC601" s="39">
        <f t="shared" si="429"/>
        <v>0</v>
      </c>
      <c r="CD601" s="39">
        <f t="shared" si="430"/>
        <v>-144</v>
      </c>
      <c r="CE601" s="102">
        <f t="shared" si="431"/>
        <v>-1</v>
      </c>
      <c r="CF601" s="36" t="s">
        <v>249</v>
      </c>
      <c r="CG601" s="39" t="s">
        <v>222</v>
      </c>
      <c r="CH601" s="39"/>
      <c r="CI601" s="25">
        <v>2</v>
      </c>
    </row>
    <row r="602" spans="1:87" ht="24.75" customHeight="1">
      <c r="A602" s="36" t="s">
        <v>387</v>
      </c>
      <c r="B602" s="27">
        <v>48952</v>
      </c>
      <c r="C602" s="227">
        <v>15400304</v>
      </c>
      <c r="D602" s="36"/>
      <c r="E602" s="39">
        <v>250</v>
      </c>
      <c r="F602" s="39" t="s">
        <v>59</v>
      </c>
      <c r="G602" s="36" t="s">
        <v>23</v>
      </c>
      <c r="H602" s="36" t="s">
        <v>212</v>
      </c>
      <c r="I602" s="39">
        <v>397</v>
      </c>
      <c r="J602" s="39">
        <v>13</v>
      </c>
      <c r="K602" s="39">
        <v>4</v>
      </c>
      <c r="L602" s="39">
        <f t="shared" si="420"/>
        <v>414</v>
      </c>
      <c r="M602" s="117">
        <v>46268</v>
      </c>
      <c r="N602" s="117">
        <v>46277</v>
      </c>
      <c r="O602" s="39"/>
      <c r="P602" s="39"/>
      <c r="Q602" s="39"/>
      <c r="R602" s="39">
        <f t="shared" si="421"/>
        <v>0</v>
      </c>
      <c r="S602" s="39" t="s">
        <v>31</v>
      </c>
      <c r="T602" s="39"/>
      <c r="U602" s="39"/>
      <c r="V602" s="39"/>
      <c r="W602" s="39"/>
      <c r="X602" s="39"/>
      <c r="Y602" s="39"/>
      <c r="Z602" s="39"/>
      <c r="AA602" s="39"/>
      <c r="AB602" s="118">
        <f t="shared" si="422"/>
        <v>0</v>
      </c>
      <c r="AC602" s="39"/>
      <c r="AD602" s="39"/>
      <c r="AE602" s="39"/>
      <c r="AF602" s="39"/>
      <c r="AG602" s="39"/>
      <c r="AH602" s="39">
        <f t="shared" si="366"/>
        <v>0</v>
      </c>
      <c r="AI602" s="39"/>
      <c r="AJ602" s="39"/>
      <c r="AK602" s="39"/>
      <c r="AL602" s="39"/>
      <c r="AM602" s="39"/>
      <c r="AN602" s="39">
        <f t="shared" si="394"/>
        <v>0</v>
      </c>
      <c r="AO602" s="39"/>
      <c r="AP602" s="39"/>
      <c r="AQ602" s="39"/>
      <c r="AR602" s="39"/>
      <c r="AS602" s="39"/>
      <c r="AT602" s="39">
        <f t="shared" si="423"/>
        <v>0</v>
      </c>
      <c r="AU602" s="39"/>
      <c r="AV602" s="39"/>
      <c r="AW602" s="39"/>
      <c r="AX602" s="39"/>
      <c r="AY602" s="39"/>
      <c r="AZ602" s="39">
        <f t="shared" si="424"/>
        <v>0</v>
      </c>
      <c r="BA602" s="39"/>
      <c r="BB602" s="39"/>
      <c r="BC602" s="39"/>
      <c r="BD602" s="39"/>
      <c r="BE602" s="39"/>
      <c r="BF602" s="39">
        <f t="shared" si="425"/>
        <v>0</v>
      </c>
      <c r="BG602" s="39"/>
      <c r="BH602" s="39"/>
      <c r="BI602" s="39"/>
      <c r="BJ602" s="39"/>
      <c r="BK602" s="39"/>
      <c r="BL602" s="39">
        <f t="shared" si="370"/>
        <v>0</v>
      </c>
      <c r="BM602" s="54">
        <f t="shared" ca="1" si="426"/>
        <v>46283</v>
      </c>
      <c r="BN602" s="66">
        <v>46277</v>
      </c>
      <c r="BO602" s="117">
        <v>46290</v>
      </c>
      <c r="BP602" s="39"/>
      <c r="BQ602" s="39"/>
      <c r="BR602" s="39"/>
      <c r="BS602" s="39"/>
      <c r="BT602" s="39"/>
      <c r="BU602" s="39"/>
      <c r="BV602" s="39"/>
      <c r="BW602" s="39"/>
      <c r="BX602" s="39"/>
      <c r="BY602" s="39"/>
      <c r="BZ602" s="39">
        <f t="shared" si="372"/>
        <v>0</v>
      </c>
      <c r="CA602" s="39">
        <f t="shared" si="427"/>
        <v>-397</v>
      </c>
      <c r="CB602" s="39">
        <f t="shared" si="428"/>
        <v>-13</v>
      </c>
      <c r="CC602" s="39">
        <f t="shared" si="429"/>
        <v>-4</v>
      </c>
      <c r="CD602" s="39">
        <f t="shared" si="430"/>
        <v>-414</v>
      </c>
      <c r="CE602" s="102">
        <f t="shared" si="431"/>
        <v>-1</v>
      </c>
      <c r="CF602" s="36" t="s">
        <v>249</v>
      </c>
      <c r="CG602" s="39" t="s">
        <v>222</v>
      </c>
      <c r="CH602" s="39"/>
      <c r="CI602" s="25">
        <v>2</v>
      </c>
    </row>
    <row r="603" spans="1:87" ht="24.75" customHeight="1">
      <c r="A603" s="36" t="s">
        <v>387</v>
      </c>
      <c r="B603" s="27">
        <v>48952</v>
      </c>
      <c r="C603" s="231"/>
      <c r="D603" s="36"/>
      <c r="E603" s="39">
        <v>260</v>
      </c>
      <c r="F603" s="39" t="s">
        <v>56</v>
      </c>
      <c r="G603" s="36" t="s">
        <v>23</v>
      </c>
      <c r="H603" s="36" t="s">
        <v>96</v>
      </c>
      <c r="I603" s="39">
        <v>26</v>
      </c>
      <c r="J603" s="39"/>
      <c r="K603" s="39"/>
      <c r="L603" s="39">
        <f t="shared" si="420"/>
        <v>26</v>
      </c>
      <c r="M603" s="117">
        <v>46268</v>
      </c>
      <c r="N603" s="117">
        <v>46277</v>
      </c>
      <c r="O603" s="39"/>
      <c r="P603" s="39"/>
      <c r="Q603" s="39"/>
      <c r="R603" s="39">
        <f t="shared" si="421"/>
        <v>0</v>
      </c>
      <c r="S603" s="39" t="s">
        <v>31</v>
      </c>
      <c r="T603" s="39"/>
      <c r="U603" s="39"/>
      <c r="V603" s="39"/>
      <c r="W603" s="39"/>
      <c r="X603" s="39"/>
      <c r="Y603" s="39"/>
      <c r="Z603" s="39"/>
      <c r="AA603" s="39"/>
      <c r="AB603" s="118">
        <f t="shared" si="422"/>
        <v>0</v>
      </c>
      <c r="AC603" s="39"/>
      <c r="AD603" s="39"/>
      <c r="AE603" s="39"/>
      <c r="AF603" s="39"/>
      <c r="AG603" s="39"/>
      <c r="AH603" s="39">
        <f t="shared" si="366"/>
        <v>0</v>
      </c>
      <c r="AI603" s="39"/>
      <c r="AJ603" s="39"/>
      <c r="AK603" s="39"/>
      <c r="AL603" s="39"/>
      <c r="AM603" s="39"/>
      <c r="AN603" s="39">
        <f t="shared" si="394"/>
        <v>0</v>
      </c>
      <c r="AO603" s="39"/>
      <c r="AP603" s="39"/>
      <c r="AQ603" s="39"/>
      <c r="AR603" s="39"/>
      <c r="AS603" s="39"/>
      <c r="AT603" s="39">
        <f t="shared" si="423"/>
        <v>0</v>
      </c>
      <c r="AU603" s="39"/>
      <c r="AV603" s="39"/>
      <c r="AW603" s="39"/>
      <c r="AX603" s="39"/>
      <c r="AY603" s="39"/>
      <c r="AZ603" s="39">
        <f t="shared" si="424"/>
        <v>0</v>
      </c>
      <c r="BA603" s="39"/>
      <c r="BB603" s="39"/>
      <c r="BC603" s="39"/>
      <c r="BD603" s="39"/>
      <c r="BE603" s="39"/>
      <c r="BF603" s="39">
        <f t="shared" si="425"/>
        <v>0</v>
      </c>
      <c r="BG603" s="39"/>
      <c r="BH603" s="39"/>
      <c r="BI603" s="39"/>
      <c r="BJ603" s="39"/>
      <c r="BK603" s="39"/>
      <c r="BL603" s="39">
        <f t="shared" si="370"/>
        <v>0</v>
      </c>
      <c r="BM603" s="54">
        <f t="shared" ca="1" si="426"/>
        <v>46283</v>
      </c>
      <c r="BN603" s="66">
        <v>46277</v>
      </c>
      <c r="BO603" s="117">
        <v>46290</v>
      </c>
      <c r="BP603" s="39"/>
      <c r="BQ603" s="39"/>
      <c r="BR603" s="39"/>
      <c r="BS603" s="39"/>
      <c r="BT603" s="39"/>
      <c r="BU603" s="39"/>
      <c r="BV603" s="39"/>
      <c r="BW603" s="39"/>
      <c r="BX603" s="39"/>
      <c r="BY603" s="39"/>
      <c r="BZ603" s="39">
        <f t="shared" si="372"/>
        <v>0</v>
      </c>
      <c r="CA603" s="39">
        <f t="shared" si="427"/>
        <v>-26</v>
      </c>
      <c r="CB603" s="39">
        <f t="shared" si="428"/>
        <v>0</v>
      </c>
      <c r="CC603" s="39">
        <f t="shared" si="429"/>
        <v>0</v>
      </c>
      <c r="CD603" s="39">
        <f t="shared" si="430"/>
        <v>-26</v>
      </c>
      <c r="CE603" s="102">
        <f t="shared" si="431"/>
        <v>-1</v>
      </c>
      <c r="CF603" s="36" t="s">
        <v>249</v>
      </c>
      <c r="CG603" s="39" t="s">
        <v>222</v>
      </c>
      <c r="CH603" s="39"/>
      <c r="CI603" s="25">
        <v>2</v>
      </c>
    </row>
    <row r="604" spans="1:87" ht="24.75" customHeight="1">
      <c r="A604" s="36" t="s">
        <v>387</v>
      </c>
      <c r="B604" s="27">
        <v>48952</v>
      </c>
      <c r="C604" s="231"/>
      <c r="D604" s="36"/>
      <c r="E604" s="39">
        <v>250</v>
      </c>
      <c r="F604" s="39" t="s">
        <v>59</v>
      </c>
      <c r="G604" s="36" t="s">
        <v>47</v>
      </c>
      <c r="H604" s="36" t="s">
        <v>212</v>
      </c>
      <c r="I604" s="39">
        <v>836</v>
      </c>
      <c r="J604" s="39">
        <v>27</v>
      </c>
      <c r="K604" s="39">
        <v>7</v>
      </c>
      <c r="L604" s="39">
        <f t="shared" si="420"/>
        <v>870</v>
      </c>
      <c r="M604" s="117">
        <v>46268</v>
      </c>
      <c r="N604" s="117">
        <v>46277</v>
      </c>
      <c r="O604" s="39"/>
      <c r="P604" s="39"/>
      <c r="Q604" s="39"/>
      <c r="R604" s="39">
        <f t="shared" si="421"/>
        <v>0</v>
      </c>
      <c r="S604" s="39" t="s">
        <v>130</v>
      </c>
      <c r="T604" s="39"/>
      <c r="U604" s="39"/>
      <c r="V604" s="39"/>
      <c r="W604" s="39"/>
      <c r="X604" s="39"/>
      <c r="Y604" s="39"/>
      <c r="Z604" s="39"/>
      <c r="AA604" s="39"/>
      <c r="AB604" s="118">
        <f t="shared" si="422"/>
        <v>0</v>
      </c>
      <c r="AC604" s="39"/>
      <c r="AD604" s="39"/>
      <c r="AE604" s="39"/>
      <c r="AF604" s="39"/>
      <c r="AG604" s="39"/>
      <c r="AH604" s="39">
        <f t="shared" si="366"/>
        <v>0</v>
      </c>
      <c r="AI604" s="39"/>
      <c r="AJ604" s="39"/>
      <c r="AK604" s="39"/>
      <c r="AL604" s="39"/>
      <c r="AM604" s="39"/>
      <c r="AN604" s="39">
        <f t="shared" si="394"/>
        <v>0</v>
      </c>
      <c r="AO604" s="39"/>
      <c r="AP604" s="39"/>
      <c r="AQ604" s="39"/>
      <c r="AR604" s="39"/>
      <c r="AS604" s="39"/>
      <c r="AT604" s="39">
        <f t="shared" si="423"/>
        <v>0</v>
      </c>
      <c r="AU604" s="39"/>
      <c r="AV604" s="39"/>
      <c r="AW604" s="39"/>
      <c r="AX604" s="39"/>
      <c r="AY604" s="39"/>
      <c r="AZ604" s="39">
        <f t="shared" si="424"/>
        <v>0</v>
      </c>
      <c r="BA604" s="39"/>
      <c r="BB604" s="39"/>
      <c r="BC604" s="39"/>
      <c r="BD604" s="39"/>
      <c r="BE604" s="39"/>
      <c r="BF604" s="39">
        <f t="shared" si="425"/>
        <v>0</v>
      </c>
      <c r="BG604" s="39"/>
      <c r="BH604" s="39"/>
      <c r="BI604" s="39"/>
      <c r="BJ604" s="39"/>
      <c r="BK604" s="39"/>
      <c r="BL604" s="39">
        <f t="shared" si="370"/>
        <v>0</v>
      </c>
      <c r="BM604" s="54">
        <f t="shared" ca="1" si="426"/>
        <v>46283</v>
      </c>
      <c r="BN604" s="66">
        <v>46277</v>
      </c>
      <c r="BO604" s="117">
        <v>46290</v>
      </c>
      <c r="BP604" s="39"/>
      <c r="BQ604" s="39"/>
      <c r="BR604" s="39"/>
      <c r="BS604" s="39"/>
      <c r="BT604" s="39"/>
      <c r="BU604" s="39"/>
      <c r="BV604" s="39"/>
      <c r="BW604" s="39"/>
      <c r="BX604" s="39"/>
      <c r="BY604" s="39"/>
      <c r="BZ604" s="39">
        <f t="shared" si="372"/>
        <v>0</v>
      </c>
      <c r="CA604" s="39">
        <f t="shared" si="427"/>
        <v>-836</v>
      </c>
      <c r="CB604" s="39">
        <f t="shared" si="428"/>
        <v>-27</v>
      </c>
      <c r="CC604" s="39">
        <f t="shared" si="429"/>
        <v>-7</v>
      </c>
      <c r="CD604" s="39">
        <f t="shared" si="430"/>
        <v>-870</v>
      </c>
      <c r="CE604" s="102">
        <f t="shared" si="431"/>
        <v>-1</v>
      </c>
      <c r="CF604" s="36" t="s">
        <v>249</v>
      </c>
      <c r="CG604" s="39" t="s">
        <v>222</v>
      </c>
      <c r="CH604" s="39"/>
      <c r="CI604" s="25">
        <v>2</v>
      </c>
    </row>
    <row r="605" spans="1:87" ht="24.75" customHeight="1">
      <c r="A605" s="36" t="s">
        <v>387</v>
      </c>
      <c r="B605" s="27">
        <v>48952</v>
      </c>
      <c r="C605" s="231"/>
      <c r="D605" s="36"/>
      <c r="E605" s="39">
        <v>260</v>
      </c>
      <c r="F605" s="39" t="s">
        <v>56</v>
      </c>
      <c r="G605" s="36" t="s">
        <v>47</v>
      </c>
      <c r="H605" s="36" t="s">
        <v>96</v>
      </c>
      <c r="I605" s="39">
        <v>55</v>
      </c>
      <c r="J605" s="39"/>
      <c r="K605" s="39"/>
      <c r="L605" s="39">
        <f t="shared" si="420"/>
        <v>55</v>
      </c>
      <c r="M605" s="117">
        <v>46268</v>
      </c>
      <c r="N605" s="117">
        <v>46277</v>
      </c>
      <c r="O605" s="39"/>
      <c r="P605" s="39"/>
      <c r="Q605" s="39"/>
      <c r="R605" s="39">
        <f t="shared" si="421"/>
        <v>0</v>
      </c>
      <c r="S605" s="39" t="s">
        <v>130</v>
      </c>
      <c r="T605" s="39"/>
      <c r="U605" s="39"/>
      <c r="V605" s="39"/>
      <c r="W605" s="39"/>
      <c r="X605" s="39"/>
      <c r="Y605" s="39"/>
      <c r="Z605" s="39"/>
      <c r="AA605" s="39"/>
      <c r="AB605" s="118">
        <f t="shared" si="422"/>
        <v>0</v>
      </c>
      <c r="AC605" s="39"/>
      <c r="AD605" s="39"/>
      <c r="AE605" s="39"/>
      <c r="AF605" s="39"/>
      <c r="AG605" s="39"/>
      <c r="AH605" s="39">
        <f t="shared" si="366"/>
        <v>0</v>
      </c>
      <c r="AI605" s="39"/>
      <c r="AJ605" s="39"/>
      <c r="AK605" s="39"/>
      <c r="AL605" s="39"/>
      <c r="AM605" s="39"/>
      <c r="AN605" s="39">
        <f t="shared" si="394"/>
        <v>0</v>
      </c>
      <c r="AO605" s="39"/>
      <c r="AP605" s="39"/>
      <c r="AQ605" s="39"/>
      <c r="AR605" s="39"/>
      <c r="AS605" s="39"/>
      <c r="AT605" s="39">
        <f t="shared" si="423"/>
        <v>0</v>
      </c>
      <c r="AU605" s="39"/>
      <c r="AV605" s="39"/>
      <c r="AW605" s="39"/>
      <c r="AX605" s="39"/>
      <c r="AY605" s="39"/>
      <c r="AZ605" s="39">
        <f t="shared" si="424"/>
        <v>0</v>
      </c>
      <c r="BA605" s="39"/>
      <c r="BB605" s="39"/>
      <c r="BC605" s="39"/>
      <c r="BD605" s="39"/>
      <c r="BE605" s="39"/>
      <c r="BF605" s="39">
        <f t="shared" si="425"/>
        <v>0</v>
      </c>
      <c r="BG605" s="39"/>
      <c r="BH605" s="39"/>
      <c r="BI605" s="39"/>
      <c r="BJ605" s="39"/>
      <c r="BK605" s="39"/>
      <c r="BL605" s="39">
        <f t="shared" si="370"/>
        <v>0</v>
      </c>
      <c r="BM605" s="54">
        <f t="shared" ca="1" si="426"/>
        <v>46283</v>
      </c>
      <c r="BN605" s="66">
        <v>46277</v>
      </c>
      <c r="BO605" s="117">
        <v>46290</v>
      </c>
      <c r="BP605" s="39"/>
      <c r="BQ605" s="39"/>
      <c r="BR605" s="39"/>
      <c r="BS605" s="39"/>
      <c r="BT605" s="39"/>
      <c r="BU605" s="39"/>
      <c r="BV605" s="39"/>
      <c r="BW605" s="39"/>
      <c r="BX605" s="39"/>
      <c r="BY605" s="39"/>
      <c r="BZ605" s="39">
        <f t="shared" si="372"/>
        <v>0</v>
      </c>
      <c r="CA605" s="39">
        <f t="shared" si="427"/>
        <v>-55</v>
      </c>
      <c r="CB605" s="39">
        <f t="shared" si="428"/>
        <v>0</v>
      </c>
      <c r="CC605" s="39">
        <f t="shared" si="429"/>
        <v>0</v>
      </c>
      <c r="CD605" s="39">
        <f t="shared" si="430"/>
        <v>-55</v>
      </c>
      <c r="CE605" s="102">
        <f t="shared" si="431"/>
        <v>-1</v>
      </c>
      <c r="CF605" s="36" t="s">
        <v>249</v>
      </c>
      <c r="CG605" s="39" t="s">
        <v>222</v>
      </c>
      <c r="CH605" s="39"/>
      <c r="CI605" s="25">
        <v>2</v>
      </c>
    </row>
    <row r="606" spans="1:87" ht="24.75" customHeight="1">
      <c r="A606" s="36" t="s">
        <v>387</v>
      </c>
      <c r="B606" s="27">
        <v>48952</v>
      </c>
      <c r="C606" s="231"/>
      <c r="D606" s="36"/>
      <c r="E606" s="39">
        <v>250</v>
      </c>
      <c r="F606" s="39" t="s">
        <v>59</v>
      </c>
      <c r="G606" s="36" t="s">
        <v>2263</v>
      </c>
      <c r="H606" s="36" t="s">
        <v>212</v>
      </c>
      <c r="I606" s="39">
        <v>392</v>
      </c>
      <c r="J606" s="39">
        <v>12</v>
      </c>
      <c r="K606" s="39">
        <v>4</v>
      </c>
      <c r="L606" s="39">
        <f t="shared" si="420"/>
        <v>408</v>
      </c>
      <c r="M606" s="117">
        <v>46268</v>
      </c>
      <c r="N606" s="117">
        <v>46277</v>
      </c>
      <c r="O606" s="39"/>
      <c r="P606" s="39"/>
      <c r="Q606" s="39"/>
      <c r="R606" s="39">
        <f t="shared" si="421"/>
        <v>0</v>
      </c>
      <c r="S606" s="39" t="s">
        <v>2997</v>
      </c>
      <c r="T606" s="39"/>
      <c r="U606" s="39"/>
      <c r="V606" s="39"/>
      <c r="W606" s="39"/>
      <c r="X606" s="39"/>
      <c r="Y606" s="39"/>
      <c r="Z606" s="39"/>
      <c r="AA606" s="39"/>
      <c r="AB606" s="118">
        <f t="shared" si="422"/>
        <v>0</v>
      </c>
      <c r="AC606" s="39"/>
      <c r="AD606" s="39"/>
      <c r="AE606" s="39"/>
      <c r="AF606" s="39"/>
      <c r="AG606" s="39"/>
      <c r="AH606" s="39">
        <f t="shared" si="366"/>
        <v>0</v>
      </c>
      <c r="AI606" s="39"/>
      <c r="AJ606" s="39"/>
      <c r="AK606" s="39"/>
      <c r="AL606" s="39"/>
      <c r="AM606" s="39"/>
      <c r="AN606" s="39">
        <f t="shared" si="394"/>
        <v>0</v>
      </c>
      <c r="AO606" s="39"/>
      <c r="AP606" s="39"/>
      <c r="AQ606" s="39"/>
      <c r="AR606" s="39"/>
      <c r="AS606" s="39"/>
      <c r="AT606" s="39">
        <f t="shared" si="423"/>
        <v>0</v>
      </c>
      <c r="AU606" s="39"/>
      <c r="AV606" s="39"/>
      <c r="AW606" s="39"/>
      <c r="AX606" s="39"/>
      <c r="AY606" s="39"/>
      <c r="AZ606" s="39">
        <f t="shared" si="424"/>
        <v>0</v>
      </c>
      <c r="BA606" s="39"/>
      <c r="BB606" s="39"/>
      <c r="BC606" s="39"/>
      <c r="BD606" s="39"/>
      <c r="BE606" s="39"/>
      <c r="BF606" s="39">
        <f t="shared" si="425"/>
        <v>0</v>
      </c>
      <c r="BG606" s="39"/>
      <c r="BH606" s="39"/>
      <c r="BI606" s="39"/>
      <c r="BJ606" s="39"/>
      <c r="BK606" s="39"/>
      <c r="BL606" s="39">
        <f t="shared" si="370"/>
        <v>0</v>
      </c>
      <c r="BM606" s="54">
        <f t="shared" ca="1" si="426"/>
        <v>46283</v>
      </c>
      <c r="BN606" s="66">
        <v>46277</v>
      </c>
      <c r="BO606" s="117">
        <v>46290</v>
      </c>
      <c r="BP606" s="39"/>
      <c r="BQ606" s="39"/>
      <c r="BR606" s="39"/>
      <c r="BS606" s="39"/>
      <c r="BT606" s="39"/>
      <c r="BU606" s="39"/>
      <c r="BV606" s="39"/>
      <c r="BW606" s="39"/>
      <c r="BX606" s="39"/>
      <c r="BY606" s="39"/>
      <c r="BZ606" s="39">
        <f t="shared" si="372"/>
        <v>0</v>
      </c>
      <c r="CA606" s="39">
        <f t="shared" si="427"/>
        <v>-392</v>
      </c>
      <c r="CB606" s="39">
        <f t="shared" si="428"/>
        <v>-12</v>
      </c>
      <c r="CC606" s="39">
        <f t="shared" si="429"/>
        <v>-4</v>
      </c>
      <c r="CD606" s="39">
        <f t="shared" si="430"/>
        <v>-408</v>
      </c>
      <c r="CE606" s="102">
        <f t="shared" si="431"/>
        <v>-1</v>
      </c>
      <c r="CF606" s="36" t="s">
        <v>249</v>
      </c>
      <c r="CG606" s="39" t="s">
        <v>222</v>
      </c>
      <c r="CH606" s="39"/>
      <c r="CI606" s="25">
        <v>2</v>
      </c>
    </row>
    <row r="607" spans="1:87" ht="24.75" customHeight="1">
      <c r="A607" s="36" t="s">
        <v>387</v>
      </c>
      <c r="B607" s="27">
        <v>48952</v>
      </c>
      <c r="C607" s="231"/>
      <c r="D607" s="36"/>
      <c r="E607" s="39">
        <v>260</v>
      </c>
      <c r="F607" s="39" t="s">
        <v>56</v>
      </c>
      <c r="G607" s="36" t="s">
        <v>2263</v>
      </c>
      <c r="H607" s="36" t="s">
        <v>96</v>
      </c>
      <c r="I607" s="39">
        <v>25</v>
      </c>
      <c r="J607" s="39"/>
      <c r="K607" s="39"/>
      <c r="L607" s="39">
        <f t="shared" si="420"/>
        <v>25</v>
      </c>
      <c r="M607" s="117">
        <v>46268</v>
      </c>
      <c r="N607" s="117">
        <v>46277</v>
      </c>
      <c r="O607" s="39"/>
      <c r="P607" s="39"/>
      <c r="Q607" s="39"/>
      <c r="R607" s="39">
        <f t="shared" si="421"/>
        <v>0</v>
      </c>
      <c r="S607" s="39" t="s">
        <v>2997</v>
      </c>
      <c r="T607" s="39"/>
      <c r="U607" s="39"/>
      <c r="V607" s="39"/>
      <c r="W607" s="39"/>
      <c r="X607" s="39"/>
      <c r="Y607" s="39"/>
      <c r="Z607" s="39"/>
      <c r="AA607" s="39"/>
      <c r="AB607" s="118">
        <f t="shared" si="422"/>
        <v>0</v>
      </c>
      <c r="AC607" s="39"/>
      <c r="AD607" s="39"/>
      <c r="AE607" s="39"/>
      <c r="AF607" s="39"/>
      <c r="AG607" s="39"/>
      <c r="AH607" s="39">
        <f t="shared" si="366"/>
        <v>0</v>
      </c>
      <c r="AI607" s="39"/>
      <c r="AJ607" s="39"/>
      <c r="AK607" s="39"/>
      <c r="AL607" s="39"/>
      <c r="AM607" s="39"/>
      <c r="AN607" s="39">
        <f t="shared" si="394"/>
        <v>0</v>
      </c>
      <c r="AO607" s="39"/>
      <c r="AP607" s="39"/>
      <c r="AQ607" s="39"/>
      <c r="AR607" s="39"/>
      <c r="AS607" s="39"/>
      <c r="AT607" s="39">
        <f t="shared" si="423"/>
        <v>0</v>
      </c>
      <c r="AU607" s="39"/>
      <c r="AV607" s="39"/>
      <c r="AW607" s="39"/>
      <c r="AX607" s="39"/>
      <c r="AY607" s="39"/>
      <c r="AZ607" s="39">
        <f t="shared" si="424"/>
        <v>0</v>
      </c>
      <c r="BA607" s="39"/>
      <c r="BB607" s="39"/>
      <c r="BC607" s="39"/>
      <c r="BD607" s="39"/>
      <c r="BE607" s="39"/>
      <c r="BF607" s="39">
        <f t="shared" si="425"/>
        <v>0</v>
      </c>
      <c r="BG607" s="39"/>
      <c r="BH607" s="39"/>
      <c r="BI607" s="39"/>
      <c r="BJ607" s="39"/>
      <c r="BK607" s="39"/>
      <c r="BL607" s="39">
        <f t="shared" si="370"/>
        <v>0</v>
      </c>
      <c r="BM607" s="54">
        <f t="shared" ca="1" si="426"/>
        <v>46283</v>
      </c>
      <c r="BN607" s="66">
        <v>46277</v>
      </c>
      <c r="BO607" s="117">
        <v>46290</v>
      </c>
      <c r="BP607" s="39"/>
      <c r="BQ607" s="39"/>
      <c r="BR607" s="39"/>
      <c r="BS607" s="39"/>
      <c r="BT607" s="39"/>
      <c r="BU607" s="39"/>
      <c r="BV607" s="39"/>
      <c r="BW607" s="39"/>
      <c r="BX607" s="39"/>
      <c r="BY607" s="39"/>
      <c r="BZ607" s="39">
        <f t="shared" si="372"/>
        <v>0</v>
      </c>
      <c r="CA607" s="39">
        <f t="shared" si="427"/>
        <v>-25</v>
      </c>
      <c r="CB607" s="39">
        <f t="shared" si="428"/>
        <v>0</v>
      </c>
      <c r="CC607" s="39">
        <f t="shared" si="429"/>
        <v>0</v>
      </c>
      <c r="CD607" s="39">
        <f t="shared" si="430"/>
        <v>-25</v>
      </c>
      <c r="CE607" s="102">
        <f t="shared" si="431"/>
        <v>-1</v>
      </c>
      <c r="CF607" s="36" t="s">
        <v>249</v>
      </c>
      <c r="CG607" s="39" t="s">
        <v>222</v>
      </c>
      <c r="CH607" s="39"/>
      <c r="CI607" s="25">
        <v>2</v>
      </c>
    </row>
    <row r="608" spans="1:87" ht="24.75" customHeight="1">
      <c r="A608" s="36" t="s">
        <v>387</v>
      </c>
      <c r="B608" s="27">
        <v>48952</v>
      </c>
      <c r="C608" s="231"/>
      <c r="D608" s="36"/>
      <c r="E608" s="39">
        <v>250</v>
      </c>
      <c r="F608" s="39" t="s">
        <v>59</v>
      </c>
      <c r="G608" s="36" t="s">
        <v>354</v>
      </c>
      <c r="H608" s="36" t="s">
        <v>212</v>
      </c>
      <c r="I608" s="39">
        <v>392</v>
      </c>
      <c r="J608" s="39">
        <v>12</v>
      </c>
      <c r="K608" s="39">
        <v>4</v>
      </c>
      <c r="L608" s="39">
        <f t="shared" si="420"/>
        <v>408</v>
      </c>
      <c r="M608" s="117">
        <v>46268</v>
      </c>
      <c r="N608" s="117">
        <v>46277</v>
      </c>
      <c r="O608" s="39"/>
      <c r="P608" s="39"/>
      <c r="Q608" s="39"/>
      <c r="R608" s="39">
        <f t="shared" si="421"/>
        <v>0</v>
      </c>
      <c r="S608" s="39" t="s">
        <v>31</v>
      </c>
      <c r="T608" s="39"/>
      <c r="U608" s="39"/>
      <c r="V608" s="39"/>
      <c r="W608" s="39"/>
      <c r="X608" s="39"/>
      <c r="Y608" s="39"/>
      <c r="Z608" s="39"/>
      <c r="AA608" s="39"/>
      <c r="AB608" s="118">
        <f t="shared" si="422"/>
        <v>0</v>
      </c>
      <c r="AC608" s="39"/>
      <c r="AD608" s="39"/>
      <c r="AE608" s="39"/>
      <c r="AF608" s="39"/>
      <c r="AG608" s="39"/>
      <c r="AH608" s="39">
        <f t="shared" si="366"/>
        <v>0</v>
      </c>
      <c r="AI608" s="39"/>
      <c r="AJ608" s="39"/>
      <c r="AK608" s="39"/>
      <c r="AL608" s="39"/>
      <c r="AM608" s="39"/>
      <c r="AN608" s="39">
        <f t="shared" si="394"/>
        <v>0</v>
      </c>
      <c r="AO608" s="39"/>
      <c r="AP608" s="39"/>
      <c r="AQ608" s="39"/>
      <c r="AR608" s="39"/>
      <c r="AS608" s="39"/>
      <c r="AT608" s="39">
        <f t="shared" si="423"/>
        <v>0</v>
      </c>
      <c r="AU608" s="39"/>
      <c r="AV608" s="39"/>
      <c r="AW608" s="39"/>
      <c r="AX608" s="39"/>
      <c r="AY608" s="39"/>
      <c r="AZ608" s="39">
        <f t="shared" si="424"/>
        <v>0</v>
      </c>
      <c r="BA608" s="39"/>
      <c r="BB608" s="39"/>
      <c r="BC608" s="39"/>
      <c r="BD608" s="39"/>
      <c r="BE608" s="39"/>
      <c r="BF608" s="39">
        <f t="shared" si="425"/>
        <v>0</v>
      </c>
      <c r="BG608" s="39"/>
      <c r="BH608" s="39"/>
      <c r="BI608" s="39"/>
      <c r="BJ608" s="39"/>
      <c r="BK608" s="39"/>
      <c r="BL608" s="39">
        <f t="shared" si="370"/>
        <v>0</v>
      </c>
      <c r="BM608" s="54">
        <f t="shared" ca="1" si="426"/>
        <v>46283</v>
      </c>
      <c r="BN608" s="66">
        <v>46277</v>
      </c>
      <c r="BO608" s="117">
        <v>46290</v>
      </c>
      <c r="BP608" s="39"/>
      <c r="BQ608" s="39"/>
      <c r="BR608" s="39"/>
      <c r="BS608" s="39"/>
      <c r="BT608" s="39"/>
      <c r="BU608" s="39"/>
      <c r="BV608" s="39"/>
      <c r="BW608" s="39"/>
      <c r="BX608" s="39"/>
      <c r="BY608" s="39"/>
      <c r="BZ608" s="39">
        <f t="shared" si="372"/>
        <v>0</v>
      </c>
      <c r="CA608" s="39">
        <f t="shared" si="427"/>
        <v>-392</v>
      </c>
      <c r="CB608" s="39">
        <f t="shared" si="428"/>
        <v>-12</v>
      </c>
      <c r="CC608" s="39">
        <f t="shared" si="429"/>
        <v>-4</v>
      </c>
      <c r="CD608" s="39">
        <f t="shared" si="430"/>
        <v>-408</v>
      </c>
      <c r="CE608" s="102">
        <f t="shared" si="431"/>
        <v>-1</v>
      </c>
      <c r="CF608" s="36" t="s">
        <v>249</v>
      </c>
      <c r="CG608" s="39" t="s">
        <v>222</v>
      </c>
      <c r="CH608" s="39"/>
      <c r="CI608" s="25">
        <v>2</v>
      </c>
    </row>
    <row r="609" spans="1:87" ht="24.75" customHeight="1">
      <c r="A609" s="36" t="s">
        <v>387</v>
      </c>
      <c r="B609" s="27">
        <v>48952</v>
      </c>
      <c r="C609" s="231"/>
      <c r="D609" s="36"/>
      <c r="E609" s="39">
        <v>260</v>
      </c>
      <c r="F609" s="39" t="s">
        <v>56</v>
      </c>
      <c r="G609" s="36" t="s">
        <v>354</v>
      </c>
      <c r="H609" s="36" t="s">
        <v>96</v>
      </c>
      <c r="I609" s="39">
        <v>25</v>
      </c>
      <c r="J609" s="39"/>
      <c r="K609" s="39"/>
      <c r="L609" s="39">
        <f t="shared" ref="L609:L613" si="432">SUM(I609:K609)</f>
        <v>25</v>
      </c>
      <c r="M609" s="117">
        <v>46268</v>
      </c>
      <c r="N609" s="117">
        <v>46277</v>
      </c>
      <c r="O609" s="39"/>
      <c r="P609" s="39"/>
      <c r="Q609" s="39"/>
      <c r="R609" s="39">
        <f t="shared" si="421"/>
        <v>0</v>
      </c>
      <c r="S609" s="39" t="s">
        <v>31</v>
      </c>
      <c r="T609" s="39"/>
      <c r="U609" s="39"/>
      <c r="V609" s="39"/>
      <c r="W609" s="39"/>
      <c r="X609" s="39"/>
      <c r="Y609" s="39"/>
      <c r="Z609" s="39"/>
      <c r="AA609" s="39"/>
      <c r="AB609" s="118">
        <f t="shared" si="422"/>
        <v>0</v>
      </c>
      <c r="AC609" s="39"/>
      <c r="AD609" s="39"/>
      <c r="AE609" s="39"/>
      <c r="AF609" s="39"/>
      <c r="AG609" s="39"/>
      <c r="AH609" s="39">
        <f t="shared" si="366"/>
        <v>0</v>
      </c>
      <c r="AI609" s="39"/>
      <c r="AJ609" s="39"/>
      <c r="AK609" s="39"/>
      <c r="AL609" s="39"/>
      <c r="AM609" s="39"/>
      <c r="AN609" s="39">
        <f t="shared" si="394"/>
        <v>0</v>
      </c>
      <c r="AO609" s="39"/>
      <c r="AP609" s="39"/>
      <c r="AQ609" s="39"/>
      <c r="AR609" s="39"/>
      <c r="AS609" s="39"/>
      <c r="AT609" s="39">
        <f t="shared" si="423"/>
        <v>0</v>
      </c>
      <c r="AU609" s="39"/>
      <c r="AV609" s="39"/>
      <c r="AW609" s="39"/>
      <c r="AX609" s="39"/>
      <c r="AY609" s="39"/>
      <c r="AZ609" s="39">
        <f t="shared" si="424"/>
        <v>0</v>
      </c>
      <c r="BA609" s="39"/>
      <c r="BB609" s="39"/>
      <c r="BC609" s="39"/>
      <c r="BD609" s="39"/>
      <c r="BE609" s="39"/>
      <c r="BF609" s="39">
        <f t="shared" si="425"/>
        <v>0</v>
      </c>
      <c r="BG609" s="39"/>
      <c r="BH609" s="39"/>
      <c r="BI609" s="39"/>
      <c r="BJ609" s="39"/>
      <c r="BK609" s="39"/>
      <c r="BL609" s="39">
        <f t="shared" si="370"/>
        <v>0</v>
      </c>
      <c r="BM609" s="54">
        <f t="shared" ca="1" si="426"/>
        <v>46283</v>
      </c>
      <c r="BN609" s="66">
        <v>46277</v>
      </c>
      <c r="BO609" s="117">
        <v>46290</v>
      </c>
      <c r="BP609" s="39"/>
      <c r="BQ609" s="39"/>
      <c r="BR609" s="39"/>
      <c r="BS609" s="39"/>
      <c r="BT609" s="39"/>
      <c r="BU609" s="39"/>
      <c r="BV609" s="39"/>
      <c r="BW609" s="39"/>
      <c r="BX609" s="39"/>
      <c r="BY609" s="39"/>
      <c r="BZ609" s="39">
        <f t="shared" si="372"/>
        <v>0</v>
      </c>
      <c r="CA609" s="39">
        <f t="shared" si="427"/>
        <v>-25</v>
      </c>
      <c r="CB609" s="39">
        <f t="shared" si="428"/>
        <v>0</v>
      </c>
      <c r="CC609" s="39">
        <f t="shared" si="429"/>
        <v>0</v>
      </c>
      <c r="CD609" s="39">
        <f t="shared" si="430"/>
        <v>-25</v>
      </c>
      <c r="CE609" s="102">
        <f t="shared" si="431"/>
        <v>-1</v>
      </c>
      <c r="CF609" s="36" t="s">
        <v>249</v>
      </c>
      <c r="CG609" s="39" t="s">
        <v>222</v>
      </c>
      <c r="CH609" s="39"/>
      <c r="CI609" s="25">
        <v>2</v>
      </c>
    </row>
    <row r="610" spans="1:87" ht="24.75" customHeight="1">
      <c r="A610" s="36" t="s">
        <v>387</v>
      </c>
      <c r="B610" s="27">
        <v>48952</v>
      </c>
      <c r="C610" s="231"/>
      <c r="D610" s="36"/>
      <c r="E610" s="39">
        <v>250</v>
      </c>
      <c r="F610" s="39" t="s">
        <v>59</v>
      </c>
      <c r="G610" s="36" t="s">
        <v>2688</v>
      </c>
      <c r="H610" s="36" t="s">
        <v>212</v>
      </c>
      <c r="I610" s="39">
        <v>392</v>
      </c>
      <c r="J610" s="39">
        <v>12</v>
      </c>
      <c r="K610" s="39">
        <v>4</v>
      </c>
      <c r="L610" s="39">
        <f t="shared" si="432"/>
        <v>408</v>
      </c>
      <c r="M610" s="117">
        <v>46268</v>
      </c>
      <c r="N610" s="117">
        <v>46277</v>
      </c>
      <c r="O610" s="39"/>
      <c r="P610" s="39"/>
      <c r="Q610" s="39"/>
      <c r="R610" s="39">
        <f t="shared" si="421"/>
        <v>0</v>
      </c>
      <c r="S610" s="39" t="s">
        <v>2997</v>
      </c>
      <c r="T610" s="39"/>
      <c r="U610" s="39"/>
      <c r="V610" s="39"/>
      <c r="W610" s="39"/>
      <c r="X610" s="39"/>
      <c r="Y610" s="39"/>
      <c r="Z610" s="39"/>
      <c r="AA610" s="39"/>
      <c r="AB610" s="118">
        <f t="shared" si="422"/>
        <v>0</v>
      </c>
      <c r="AC610" s="39"/>
      <c r="AD610" s="39"/>
      <c r="AE610" s="39"/>
      <c r="AF610" s="39"/>
      <c r="AG610" s="39"/>
      <c r="AH610" s="39">
        <f t="shared" si="366"/>
        <v>0</v>
      </c>
      <c r="AI610" s="39"/>
      <c r="AJ610" s="39"/>
      <c r="AK610" s="39"/>
      <c r="AL610" s="39"/>
      <c r="AM610" s="39"/>
      <c r="AN610" s="39">
        <f t="shared" si="394"/>
        <v>0</v>
      </c>
      <c r="AO610" s="39"/>
      <c r="AP610" s="39"/>
      <c r="AQ610" s="39"/>
      <c r="AR610" s="39"/>
      <c r="AS610" s="39"/>
      <c r="AT610" s="39">
        <f t="shared" si="423"/>
        <v>0</v>
      </c>
      <c r="AU610" s="39"/>
      <c r="AV610" s="39"/>
      <c r="AW610" s="39"/>
      <c r="AX610" s="39"/>
      <c r="AY610" s="39"/>
      <c r="AZ610" s="39">
        <f t="shared" si="424"/>
        <v>0</v>
      </c>
      <c r="BA610" s="39"/>
      <c r="BB610" s="39"/>
      <c r="BC610" s="39"/>
      <c r="BD610" s="39"/>
      <c r="BE610" s="39"/>
      <c r="BF610" s="39">
        <f t="shared" si="425"/>
        <v>0</v>
      </c>
      <c r="BG610" s="39"/>
      <c r="BH610" s="39"/>
      <c r="BI610" s="39"/>
      <c r="BJ610" s="39"/>
      <c r="BK610" s="39"/>
      <c r="BL610" s="39">
        <f t="shared" si="370"/>
        <v>0</v>
      </c>
      <c r="BM610" s="54">
        <f t="shared" ca="1" si="426"/>
        <v>46283</v>
      </c>
      <c r="BN610" s="66">
        <v>46277</v>
      </c>
      <c r="BO610" s="117">
        <v>46290</v>
      </c>
      <c r="BP610" s="39"/>
      <c r="BQ610" s="39"/>
      <c r="BR610" s="39"/>
      <c r="BS610" s="39"/>
      <c r="BT610" s="39"/>
      <c r="BU610" s="39"/>
      <c r="BV610" s="39"/>
      <c r="BW610" s="39"/>
      <c r="BX610" s="39"/>
      <c r="BY610" s="39"/>
      <c r="BZ610" s="39">
        <f t="shared" si="372"/>
        <v>0</v>
      </c>
      <c r="CA610" s="39">
        <f t="shared" si="427"/>
        <v>-392</v>
      </c>
      <c r="CB610" s="39">
        <f t="shared" si="428"/>
        <v>-12</v>
      </c>
      <c r="CC610" s="39">
        <f t="shared" si="429"/>
        <v>-4</v>
      </c>
      <c r="CD610" s="39">
        <f t="shared" si="430"/>
        <v>-408</v>
      </c>
      <c r="CE610" s="102">
        <f t="shared" si="431"/>
        <v>-1</v>
      </c>
      <c r="CF610" s="36" t="s">
        <v>249</v>
      </c>
      <c r="CG610" s="39" t="s">
        <v>222</v>
      </c>
      <c r="CH610" s="39"/>
      <c r="CI610" s="25">
        <v>2</v>
      </c>
    </row>
    <row r="611" spans="1:87" ht="24.75" customHeight="1">
      <c r="A611" s="36" t="s">
        <v>387</v>
      </c>
      <c r="B611" s="27">
        <v>48952</v>
      </c>
      <c r="C611" s="228"/>
      <c r="D611" s="36"/>
      <c r="E611" s="39">
        <v>260</v>
      </c>
      <c r="F611" s="39" t="s">
        <v>56</v>
      </c>
      <c r="G611" s="36" t="s">
        <v>2688</v>
      </c>
      <c r="H611" s="36" t="s">
        <v>96</v>
      </c>
      <c r="I611" s="39">
        <v>25</v>
      </c>
      <c r="J611" s="39"/>
      <c r="K611" s="39"/>
      <c r="L611" s="39">
        <f t="shared" si="432"/>
        <v>25</v>
      </c>
      <c r="M611" s="117">
        <v>46268</v>
      </c>
      <c r="N611" s="117">
        <v>46277</v>
      </c>
      <c r="O611" s="39"/>
      <c r="P611" s="39"/>
      <c r="Q611" s="39"/>
      <c r="R611" s="39">
        <f t="shared" si="421"/>
        <v>0</v>
      </c>
      <c r="S611" s="39" t="s">
        <v>2997</v>
      </c>
      <c r="T611" s="39"/>
      <c r="U611" s="39"/>
      <c r="V611" s="39"/>
      <c r="W611" s="39"/>
      <c r="X611" s="39"/>
      <c r="Y611" s="39"/>
      <c r="Z611" s="39"/>
      <c r="AA611" s="39"/>
      <c r="AB611" s="118">
        <f t="shared" si="422"/>
        <v>0</v>
      </c>
      <c r="AC611" s="39"/>
      <c r="AD611" s="39"/>
      <c r="AE611" s="39"/>
      <c r="AF611" s="39"/>
      <c r="AG611" s="39"/>
      <c r="AH611" s="39">
        <f t="shared" si="366"/>
        <v>0</v>
      </c>
      <c r="AI611" s="39"/>
      <c r="AJ611" s="39"/>
      <c r="AK611" s="39"/>
      <c r="AL611" s="39"/>
      <c r="AM611" s="39"/>
      <c r="AN611" s="39">
        <f t="shared" si="394"/>
        <v>0</v>
      </c>
      <c r="AO611" s="39"/>
      <c r="AP611" s="39"/>
      <c r="AQ611" s="39"/>
      <c r="AR611" s="39"/>
      <c r="AS611" s="39"/>
      <c r="AT611" s="39">
        <f t="shared" si="423"/>
        <v>0</v>
      </c>
      <c r="AU611" s="39"/>
      <c r="AV611" s="39"/>
      <c r="AW611" s="39"/>
      <c r="AX611" s="39"/>
      <c r="AY611" s="39"/>
      <c r="AZ611" s="39">
        <f t="shared" si="424"/>
        <v>0</v>
      </c>
      <c r="BA611" s="39"/>
      <c r="BB611" s="39"/>
      <c r="BC611" s="39"/>
      <c r="BD611" s="39"/>
      <c r="BE611" s="39"/>
      <c r="BF611" s="39">
        <f t="shared" si="425"/>
        <v>0</v>
      </c>
      <c r="BG611" s="39"/>
      <c r="BH611" s="39"/>
      <c r="BI611" s="39"/>
      <c r="BJ611" s="39"/>
      <c r="BK611" s="39"/>
      <c r="BL611" s="39">
        <f t="shared" si="370"/>
        <v>0</v>
      </c>
      <c r="BM611" s="54">
        <f t="shared" ca="1" si="426"/>
        <v>46283</v>
      </c>
      <c r="BN611" s="66">
        <v>46277</v>
      </c>
      <c r="BO611" s="117">
        <v>46290</v>
      </c>
      <c r="BP611" s="39"/>
      <c r="BQ611" s="39"/>
      <c r="BR611" s="39"/>
      <c r="BS611" s="39"/>
      <c r="BT611" s="39"/>
      <c r="BU611" s="39"/>
      <c r="BV611" s="39"/>
      <c r="BW611" s="39"/>
      <c r="BX611" s="39"/>
      <c r="BY611" s="39"/>
      <c r="BZ611" s="39">
        <f t="shared" si="372"/>
        <v>0</v>
      </c>
      <c r="CA611" s="39">
        <f t="shared" si="427"/>
        <v>-25</v>
      </c>
      <c r="CB611" s="39">
        <f t="shared" si="428"/>
        <v>0</v>
      </c>
      <c r="CC611" s="39">
        <f t="shared" si="429"/>
        <v>0</v>
      </c>
      <c r="CD611" s="39">
        <f t="shared" si="430"/>
        <v>-25</v>
      </c>
      <c r="CE611" s="102">
        <f t="shared" si="431"/>
        <v>-1</v>
      </c>
      <c r="CF611" s="36" t="s">
        <v>249</v>
      </c>
      <c r="CG611" s="39" t="s">
        <v>222</v>
      </c>
      <c r="CH611" s="39"/>
      <c r="CI611" s="25">
        <v>2</v>
      </c>
    </row>
    <row r="612" spans="1:87" ht="24.75" customHeight="1">
      <c r="A612" s="36" t="s">
        <v>387</v>
      </c>
      <c r="B612" s="27">
        <v>48690</v>
      </c>
      <c r="C612" s="227">
        <v>15393464</v>
      </c>
      <c r="D612" s="36"/>
      <c r="E612" s="39">
        <v>140</v>
      </c>
      <c r="F612" s="39" t="s">
        <v>57</v>
      </c>
      <c r="G612" s="36" t="s">
        <v>47</v>
      </c>
      <c r="H612" s="36" t="s">
        <v>22</v>
      </c>
      <c r="I612" s="39">
        <v>70</v>
      </c>
      <c r="J612" s="39">
        <v>5</v>
      </c>
      <c r="K612" s="39"/>
      <c r="L612" s="39">
        <f t="shared" si="432"/>
        <v>75</v>
      </c>
      <c r="M612" s="117">
        <v>46270</v>
      </c>
      <c r="N612" s="117">
        <v>46275</v>
      </c>
      <c r="O612" s="39"/>
      <c r="P612" s="39"/>
      <c r="Q612" s="39"/>
      <c r="R612" s="39">
        <f t="shared" si="421"/>
        <v>0</v>
      </c>
      <c r="S612" s="39" t="s">
        <v>28</v>
      </c>
      <c r="T612" s="39"/>
      <c r="U612" s="39"/>
      <c r="V612" s="117">
        <v>46281</v>
      </c>
      <c r="W612" s="39">
        <f>88+7</f>
        <v>95</v>
      </c>
      <c r="X612" s="39"/>
      <c r="Y612" s="39"/>
      <c r="Z612" s="39"/>
      <c r="AA612" s="39"/>
      <c r="AB612" s="118">
        <f t="shared" si="422"/>
        <v>0</v>
      </c>
      <c r="AC612" s="39"/>
      <c r="AD612" s="39"/>
      <c r="AE612" s="39"/>
      <c r="AF612" s="39"/>
      <c r="AG612" s="39"/>
      <c r="AH612" s="39">
        <f t="shared" si="366"/>
        <v>0</v>
      </c>
      <c r="AI612" s="39"/>
      <c r="AJ612" s="39"/>
      <c r="AK612" s="39"/>
      <c r="AL612" s="39"/>
      <c r="AM612" s="39"/>
      <c r="AN612" s="39">
        <f t="shared" si="394"/>
        <v>0</v>
      </c>
      <c r="AO612" s="39"/>
      <c r="AP612" s="39"/>
      <c r="AQ612" s="39"/>
      <c r="AR612" s="39"/>
      <c r="AS612" s="39"/>
      <c r="AT612" s="39">
        <f t="shared" si="423"/>
        <v>0</v>
      </c>
      <c r="AU612" s="39"/>
      <c r="AV612" s="39"/>
      <c r="AW612" s="39"/>
      <c r="AX612" s="39"/>
      <c r="AY612" s="39"/>
      <c r="AZ612" s="39">
        <f t="shared" si="424"/>
        <v>0</v>
      </c>
      <c r="BA612" s="39"/>
      <c r="BB612" s="39"/>
      <c r="BC612" s="39"/>
      <c r="BD612" s="39"/>
      <c r="BE612" s="39"/>
      <c r="BF612" s="39">
        <f t="shared" si="425"/>
        <v>0</v>
      </c>
      <c r="BG612" s="39"/>
      <c r="BH612" s="39"/>
      <c r="BI612" s="39"/>
      <c r="BJ612" s="39"/>
      <c r="BK612" s="39"/>
      <c r="BL612" s="39">
        <f t="shared" si="370"/>
        <v>0</v>
      </c>
      <c r="BM612" s="54">
        <f t="shared" ca="1" si="426"/>
        <v>46283</v>
      </c>
      <c r="BN612" s="66">
        <v>46277</v>
      </c>
      <c r="BO612" s="117">
        <v>46291</v>
      </c>
      <c r="BP612" s="39"/>
      <c r="BQ612" s="39"/>
      <c r="BR612" s="39"/>
      <c r="BS612" s="39"/>
      <c r="BT612" s="39"/>
      <c r="BU612" s="39"/>
      <c r="BV612" s="39"/>
      <c r="BW612" s="39"/>
      <c r="BX612" s="39"/>
      <c r="BY612" s="39"/>
      <c r="BZ612" s="39">
        <f t="shared" si="372"/>
        <v>0</v>
      </c>
      <c r="CA612" s="39">
        <f t="shared" si="427"/>
        <v>-70</v>
      </c>
      <c r="CB612" s="39">
        <f t="shared" si="428"/>
        <v>-5</v>
      </c>
      <c r="CC612" s="39">
        <f t="shared" si="429"/>
        <v>0</v>
      </c>
      <c r="CD612" s="39">
        <f t="shared" si="430"/>
        <v>-75</v>
      </c>
      <c r="CE612" s="102">
        <f t="shared" si="431"/>
        <v>-1</v>
      </c>
      <c r="CF612" s="36" t="s">
        <v>249</v>
      </c>
      <c r="CG612" s="39" t="s">
        <v>222</v>
      </c>
      <c r="CH612" s="39"/>
      <c r="CI612" s="25">
        <v>2</v>
      </c>
    </row>
    <row r="613" spans="1:87" ht="24.75" customHeight="1">
      <c r="A613" s="36" t="s">
        <v>387</v>
      </c>
      <c r="B613" s="27">
        <v>48690</v>
      </c>
      <c r="C613" s="228"/>
      <c r="D613" s="36"/>
      <c r="E613" s="39">
        <v>140</v>
      </c>
      <c r="F613" s="39" t="s">
        <v>57</v>
      </c>
      <c r="G613" s="36" t="s">
        <v>1289</v>
      </c>
      <c r="H613" s="36" t="s">
        <v>22</v>
      </c>
      <c r="I613" s="39">
        <v>70</v>
      </c>
      <c r="J613" s="39">
        <v>5</v>
      </c>
      <c r="K613" s="39"/>
      <c r="L613" s="39">
        <f t="shared" si="432"/>
        <v>75</v>
      </c>
      <c r="M613" s="117">
        <v>46270</v>
      </c>
      <c r="N613" s="117">
        <v>46275</v>
      </c>
      <c r="O613" s="39"/>
      <c r="P613" s="39"/>
      <c r="Q613" s="39"/>
      <c r="R613" s="39">
        <f t="shared" si="421"/>
        <v>0</v>
      </c>
      <c r="S613" s="39" t="s">
        <v>28</v>
      </c>
      <c r="T613" s="39"/>
      <c r="U613" s="39"/>
      <c r="V613" s="117">
        <v>46276</v>
      </c>
      <c r="W613" s="39">
        <f>87+8</f>
        <v>95</v>
      </c>
      <c r="X613" s="39"/>
      <c r="Y613" s="39"/>
      <c r="Z613" s="39"/>
      <c r="AA613" s="39"/>
      <c r="AB613" s="118">
        <f t="shared" si="422"/>
        <v>0</v>
      </c>
      <c r="AC613" s="39"/>
      <c r="AD613" s="39"/>
      <c r="AE613" s="39"/>
      <c r="AF613" s="39"/>
      <c r="AG613" s="39"/>
      <c r="AH613" s="39">
        <f t="shared" si="366"/>
        <v>0</v>
      </c>
      <c r="AI613" s="39"/>
      <c r="AJ613" s="39"/>
      <c r="AK613" s="39"/>
      <c r="AL613" s="39"/>
      <c r="AM613" s="39"/>
      <c r="AN613" s="39">
        <f t="shared" si="394"/>
        <v>0</v>
      </c>
      <c r="AO613" s="39"/>
      <c r="AP613" s="39"/>
      <c r="AQ613" s="39"/>
      <c r="AR613" s="39"/>
      <c r="AS613" s="39"/>
      <c r="AT613" s="39">
        <f t="shared" si="423"/>
        <v>0</v>
      </c>
      <c r="AU613" s="39"/>
      <c r="AV613" s="39"/>
      <c r="AW613" s="39"/>
      <c r="AX613" s="39"/>
      <c r="AY613" s="39"/>
      <c r="AZ613" s="39">
        <f t="shared" si="424"/>
        <v>0</v>
      </c>
      <c r="BA613" s="39"/>
      <c r="BB613" s="39"/>
      <c r="BC613" s="39"/>
      <c r="BD613" s="39"/>
      <c r="BE613" s="39"/>
      <c r="BF613" s="39">
        <f t="shared" si="425"/>
        <v>0</v>
      </c>
      <c r="BG613" s="39"/>
      <c r="BH613" s="39"/>
      <c r="BI613" s="39"/>
      <c r="BJ613" s="39"/>
      <c r="BK613" s="39"/>
      <c r="BL613" s="39">
        <f t="shared" si="370"/>
        <v>0</v>
      </c>
      <c r="BM613" s="54">
        <f t="shared" ca="1" si="426"/>
        <v>46283</v>
      </c>
      <c r="BN613" s="66">
        <v>46277</v>
      </c>
      <c r="BO613" s="117">
        <v>46291</v>
      </c>
      <c r="BP613" s="39"/>
      <c r="BQ613" s="39"/>
      <c r="BR613" s="39"/>
      <c r="BS613" s="39"/>
      <c r="BT613" s="39"/>
      <c r="BU613" s="39"/>
      <c r="BV613" s="39"/>
      <c r="BW613" s="39"/>
      <c r="BX613" s="39"/>
      <c r="BY613" s="39"/>
      <c r="BZ613" s="39">
        <f t="shared" si="372"/>
        <v>0</v>
      </c>
      <c r="CA613" s="39">
        <f t="shared" si="427"/>
        <v>-70</v>
      </c>
      <c r="CB613" s="39">
        <f t="shared" si="428"/>
        <v>-5</v>
      </c>
      <c r="CC613" s="39">
        <f t="shared" si="429"/>
        <v>0</v>
      </c>
      <c r="CD613" s="39">
        <f t="shared" si="430"/>
        <v>-75</v>
      </c>
      <c r="CE613" s="102">
        <f t="shared" si="431"/>
        <v>-1</v>
      </c>
      <c r="CF613" s="36" t="s">
        <v>249</v>
      </c>
      <c r="CG613" s="39" t="s">
        <v>222</v>
      </c>
      <c r="CH613" s="39"/>
      <c r="CI613" s="25">
        <v>2</v>
      </c>
    </row>
    <row r="614" spans="1:87" ht="24.75" customHeight="1">
      <c r="A614" s="36" t="s">
        <v>387</v>
      </c>
      <c r="B614" s="27" t="s">
        <v>2769</v>
      </c>
      <c r="C614" s="36" t="s">
        <v>2829</v>
      </c>
      <c r="D614" s="36"/>
      <c r="E614" s="39">
        <v>140</v>
      </c>
      <c r="F614" s="39" t="s">
        <v>57</v>
      </c>
      <c r="G614" s="36" t="s">
        <v>23</v>
      </c>
      <c r="H614" s="36" t="s">
        <v>22</v>
      </c>
      <c r="I614" s="39">
        <v>429</v>
      </c>
      <c r="J614" s="39">
        <v>38</v>
      </c>
      <c r="K614" s="39"/>
      <c r="L614" s="39">
        <f t="shared" ref="L614:L616" si="433">SUM(I614:K614)</f>
        <v>467</v>
      </c>
      <c r="M614" s="117">
        <v>46275</v>
      </c>
      <c r="N614" s="117">
        <v>46278</v>
      </c>
      <c r="O614" s="39"/>
      <c r="P614" s="39"/>
      <c r="Q614" s="39"/>
      <c r="R614" s="39">
        <f t="shared" si="421"/>
        <v>0</v>
      </c>
      <c r="S614" s="39" t="s">
        <v>130</v>
      </c>
      <c r="T614" s="39" t="s">
        <v>2698</v>
      </c>
      <c r="U614" s="39"/>
      <c r="V614" s="39"/>
      <c r="W614" s="39"/>
      <c r="X614" s="39"/>
      <c r="Y614" s="39"/>
      <c r="Z614" s="39"/>
      <c r="AA614" s="39"/>
      <c r="AB614" s="39">
        <f t="shared" si="422"/>
        <v>0</v>
      </c>
      <c r="AC614" s="39"/>
      <c r="AD614" s="39"/>
      <c r="AE614" s="39"/>
      <c r="AF614" s="39"/>
      <c r="AG614" s="39"/>
      <c r="AH614" s="39">
        <f t="shared" si="366"/>
        <v>0</v>
      </c>
      <c r="AI614" s="39"/>
      <c r="AJ614" s="39"/>
      <c r="AK614" s="39"/>
      <c r="AL614" s="39"/>
      <c r="AM614" s="39"/>
      <c r="AN614" s="39">
        <f t="shared" si="394"/>
        <v>0</v>
      </c>
      <c r="AO614" s="39"/>
      <c r="AP614" s="39"/>
      <c r="AQ614" s="39"/>
      <c r="AR614" s="39"/>
      <c r="AS614" s="39"/>
      <c r="AT614" s="39">
        <f t="shared" si="423"/>
        <v>0</v>
      </c>
      <c r="AU614" s="39"/>
      <c r="AV614" s="39"/>
      <c r="AW614" s="39"/>
      <c r="AX614" s="39"/>
      <c r="AY614" s="39"/>
      <c r="AZ614" s="39">
        <f t="shared" si="424"/>
        <v>0</v>
      </c>
      <c r="BA614" s="39"/>
      <c r="BB614" s="39"/>
      <c r="BC614" s="39"/>
      <c r="BD614" s="39"/>
      <c r="BE614" s="39"/>
      <c r="BF614" s="39">
        <f t="shared" si="425"/>
        <v>0</v>
      </c>
      <c r="BG614" s="39"/>
      <c r="BH614" s="39"/>
      <c r="BI614" s="39"/>
      <c r="BJ614" s="39"/>
      <c r="BK614" s="39"/>
      <c r="BL614" s="39">
        <f t="shared" si="370"/>
        <v>0</v>
      </c>
      <c r="BM614" s="54" t="str">
        <f t="shared" si="426"/>
        <v/>
      </c>
      <c r="BN614" s="66">
        <v>46283</v>
      </c>
      <c r="BO614" s="57">
        <v>46293</v>
      </c>
      <c r="BP614" s="36"/>
      <c r="BQ614" s="36"/>
      <c r="BR614" s="117">
        <v>46269</v>
      </c>
      <c r="BS614" s="39"/>
      <c r="BT614" s="39" t="s">
        <v>2699</v>
      </c>
      <c r="BU614" s="39">
        <v>429</v>
      </c>
      <c r="BV614" s="39"/>
      <c r="BW614" s="39"/>
      <c r="BX614" s="39"/>
      <c r="BY614" s="39"/>
      <c r="BZ614" s="39">
        <f t="shared" si="372"/>
        <v>429</v>
      </c>
      <c r="CA614" s="39">
        <f t="shared" si="427"/>
        <v>0</v>
      </c>
      <c r="CB614" s="39">
        <f t="shared" si="428"/>
        <v>-38</v>
      </c>
      <c r="CC614" s="39">
        <f t="shared" si="429"/>
        <v>0</v>
      </c>
      <c r="CD614" s="39">
        <f t="shared" si="430"/>
        <v>-38</v>
      </c>
      <c r="CE614" s="102">
        <f t="shared" si="431"/>
        <v>-8.137044967880086E-2</v>
      </c>
      <c r="CF614" s="36" t="s">
        <v>292</v>
      </c>
      <c r="CG614" s="39" t="s">
        <v>220</v>
      </c>
      <c r="CH614" s="39"/>
      <c r="CI614" s="25">
        <v>2</v>
      </c>
    </row>
    <row r="615" spans="1:87" ht="24.75" customHeight="1">
      <c r="A615" s="36" t="s">
        <v>387</v>
      </c>
      <c r="B615" s="27" t="s">
        <v>2855</v>
      </c>
      <c r="C615" s="227" t="s">
        <v>2856</v>
      </c>
      <c r="D615" s="36"/>
      <c r="E615" s="39">
        <v>190</v>
      </c>
      <c r="F615" s="39" t="s">
        <v>59</v>
      </c>
      <c r="G615" s="36" t="s">
        <v>187</v>
      </c>
      <c r="H615" s="36" t="s">
        <v>96</v>
      </c>
      <c r="I615" s="39">
        <v>41</v>
      </c>
      <c r="J615" s="39"/>
      <c r="K615" s="39"/>
      <c r="L615" s="39">
        <f t="shared" si="433"/>
        <v>41</v>
      </c>
      <c r="M615" s="117">
        <v>46275</v>
      </c>
      <c r="N615" s="117">
        <v>46280</v>
      </c>
      <c r="O615" s="39"/>
      <c r="P615" s="39"/>
      <c r="Q615" s="39"/>
      <c r="R615" s="39">
        <f t="shared" si="421"/>
        <v>0</v>
      </c>
      <c r="S615" s="39" t="s">
        <v>130</v>
      </c>
      <c r="T615" s="39"/>
      <c r="U615" s="39"/>
      <c r="V615" s="39"/>
      <c r="W615" s="39"/>
      <c r="X615" s="39"/>
      <c r="Y615" s="39"/>
      <c r="Z615" s="39"/>
      <c r="AA615" s="39"/>
      <c r="AB615" s="118">
        <f t="shared" si="422"/>
        <v>0</v>
      </c>
      <c r="AC615" s="39"/>
      <c r="AD615" s="39"/>
      <c r="AE615" s="39"/>
      <c r="AF615" s="39"/>
      <c r="AG615" s="39"/>
      <c r="AH615" s="39">
        <f t="shared" si="366"/>
        <v>0</v>
      </c>
      <c r="AI615" s="39"/>
      <c r="AJ615" s="39"/>
      <c r="AK615" s="39"/>
      <c r="AL615" s="39"/>
      <c r="AM615" s="39"/>
      <c r="AN615" s="39">
        <f t="shared" si="394"/>
        <v>0</v>
      </c>
      <c r="AO615" s="39"/>
      <c r="AP615" s="39"/>
      <c r="AQ615" s="39"/>
      <c r="AR615" s="39"/>
      <c r="AS615" s="39"/>
      <c r="AT615" s="39">
        <f t="shared" si="423"/>
        <v>0</v>
      </c>
      <c r="AU615" s="39"/>
      <c r="AV615" s="39"/>
      <c r="AW615" s="39"/>
      <c r="AX615" s="39"/>
      <c r="AY615" s="39"/>
      <c r="AZ615" s="39">
        <f t="shared" si="424"/>
        <v>0</v>
      </c>
      <c r="BA615" s="39"/>
      <c r="BB615" s="39"/>
      <c r="BC615" s="39"/>
      <c r="BD615" s="39"/>
      <c r="BE615" s="39"/>
      <c r="BF615" s="39">
        <f t="shared" si="425"/>
        <v>0</v>
      </c>
      <c r="BG615" s="39"/>
      <c r="BH615" s="39"/>
      <c r="BI615" s="39"/>
      <c r="BJ615" s="39"/>
      <c r="BK615" s="39"/>
      <c r="BL615" s="39">
        <f t="shared" si="370"/>
        <v>0</v>
      </c>
      <c r="BM615" s="54">
        <f t="shared" ca="1" si="426"/>
        <v>46283</v>
      </c>
      <c r="BN615" s="66">
        <v>46280</v>
      </c>
      <c r="BO615" s="117">
        <v>46288</v>
      </c>
      <c r="BP615" s="117">
        <v>46287</v>
      </c>
      <c r="BQ615" s="117">
        <v>46292</v>
      </c>
      <c r="BR615" s="39"/>
      <c r="BS615" s="39"/>
      <c r="BT615" s="39"/>
      <c r="BU615" s="39"/>
      <c r="BV615" s="39"/>
      <c r="BW615" s="39"/>
      <c r="BX615" s="39"/>
      <c r="BY615" s="39"/>
      <c r="BZ615" s="39">
        <f t="shared" si="372"/>
        <v>0</v>
      </c>
      <c r="CA615" s="39">
        <f t="shared" si="427"/>
        <v>-41</v>
      </c>
      <c r="CB615" s="39">
        <f t="shared" si="428"/>
        <v>0</v>
      </c>
      <c r="CC615" s="39">
        <f t="shared" si="429"/>
        <v>0</v>
      </c>
      <c r="CD615" s="39">
        <f t="shared" si="430"/>
        <v>-41</v>
      </c>
      <c r="CE615" s="102">
        <f t="shared" si="431"/>
        <v>-1</v>
      </c>
      <c r="CF615" s="36" t="s">
        <v>384</v>
      </c>
      <c r="CG615" s="39" t="s">
        <v>415</v>
      </c>
      <c r="CH615" s="39"/>
      <c r="CI615" s="25">
        <v>2</v>
      </c>
    </row>
    <row r="616" spans="1:87" ht="24.75" customHeight="1">
      <c r="A616" s="36" t="s">
        <v>387</v>
      </c>
      <c r="B616" s="27" t="s">
        <v>2855</v>
      </c>
      <c r="C616" s="231"/>
      <c r="D616" s="36"/>
      <c r="E616" s="39">
        <v>190</v>
      </c>
      <c r="F616" s="39" t="s">
        <v>59</v>
      </c>
      <c r="G616" s="36" t="s">
        <v>2357</v>
      </c>
      <c r="H616" s="36" t="s">
        <v>96</v>
      </c>
      <c r="I616" s="39">
        <v>41</v>
      </c>
      <c r="J616" s="39"/>
      <c r="K616" s="39"/>
      <c r="L616" s="39">
        <f t="shared" si="433"/>
        <v>41</v>
      </c>
      <c r="M616" s="117">
        <v>46275</v>
      </c>
      <c r="N616" s="117">
        <v>46280</v>
      </c>
      <c r="O616" s="39"/>
      <c r="P616" s="39"/>
      <c r="Q616" s="39"/>
      <c r="R616" s="39">
        <f t="shared" si="421"/>
        <v>0</v>
      </c>
      <c r="S616" s="39" t="s">
        <v>28</v>
      </c>
      <c r="T616" s="39"/>
      <c r="U616" s="39"/>
      <c r="V616" s="39"/>
      <c r="W616" s="39"/>
      <c r="X616" s="39"/>
      <c r="Y616" s="39"/>
      <c r="Z616" s="39"/>
      <c r="AA616" s="39"/>
      <c r="AB616" s="118">
        <f t="shared" si="422"/>
        <v>0</v>
      </c>
      <c r="AC616" s="39"/>
      <c r="AD616" s="39"/>
      <c r="AE616" s="39"/>
      <c r="AF616" s="39"/>
      <c r="AG616" s="39"/>
      <c r="AH616" s="39">
        <f t="shared" si="366"/>
        <v>0</v>
      </c>
      <c r="AI616" s="39"/>
      <c r="AJ616" s="39"/>
      <c r="AK616" s="39"/>
      <c r="AL616" s="39"/>
      <c r="AM616" s="39"/>
      <c r="AN616" s="39">
        <f t="shared" si="394"/>
        <v>0</v>
      </c>
      <c r="AO616" s="39"/>
      <c r="AP616" s="39"/>
      <c r="AQ616" s="39"/>
      <c r="AR616" s="39"/>
      <c r="AS616" s="39"/>
      <c r="AT616" s="39">
        <f t="shared" si="423"/>
        <v>0</v>
      </c>
      <c r="AU616" s="39"/>
      <c r="AV616" s="39"/>
      <c r="AW616" s="39"/>
      <c r="AX616" s="39"/>
      <c r="AY616" s="39"/>
      <c r="AZ616" s="39">
        <f t="shared" si="424"/>
        <v>0</v>
      </c>
      <c r="BA616" s="39"/>
      <c r="BB616" s="39"/>
      <c r="BC616" s="39"/>
      <c r="BD616" s="39"/>
      <c r="BE616" s="39"/>
      <c r="BF616" s="39">
        <f t="shared" si="425"/>
        <v>0</v>
      </c>
      <c r="BG616" s="39"/>
      <c r="BH616" s="39"/>
      <c r="BI616" s="39"/>
      <c r="BJ616" s="39"/>
      <c r="BK616" s="39"/>
      <c r="BL616" s="39">
        <f t="shared" si="370"/>
        <v>0</v>
      </c>
      <c r="BM616" s="54">
        <f t="shared" ca="1" si="426"/>
        <v>46283</v>
      </c>
      <c r="BN616" s="66">
        <v>46280</v>
      </c>
      <c r="BO616" s="117">
        <v>46288</v>
      </c>
      <c r="BP616" s="117">
        <v>46287</v>
      </c>
      <c r="BQ616" s="117">
        <v>46292</v>
      </c>
      <c r="BR616" s="39"/>
      <c r="BS616" s="39"/>
      <c r="BT616" s="39"/>
      <c r="BU616" s="39"/>
      <c r="BV616" s="39"/>
      <c r="BW616" s="39"/>
      <c r="BX616" s="39"/>
      <c r="BY616" s="39"/>
      <c r="BZ616" s="39">
        <f t="shared" si="372"/>
        <v>0</v>
      </c>
      <c r="CA616" s="39">
        <f t="shared" si="427"/>
        <v>-41</v>
      </c>
      <c r="CB616" s="39">
        <f t="shared" si="428"/>
        <v>0</v>
      </c>
      <c r="CC616" s="39">
        <f t="shared" si="429"/>
        <v>0</v>
      </c>
      <c r="CD616" s="39">
        <f t="shared" si="430"/>
        <v>-41</v>
      </c>
      <c r="CE616" s="102">
        <f t="shared" si="431"/>
        <v>-1</v>
      </c>
      <c r="CF616" s="36" t="s">
        <v>384</v>
      </c>
      <c r="CG616" s="39" t="s">
        <v>415</v>
      </c>
      <c r="CH616" s="39"/>
      <c r="CI616" s="25">
        <v>2</v>
      </c>
    </row>
    <row r="617" spans="1:87" ht="24.75" customHeight="1">
      <c r="A617" s="36" t="s">
        <v>387</v>
      </c>
      <c r="B617" s="27" t="s">
        <v>2855</v>
      </c>
      <c r="C617" s="231"/>
      <c r="D617" s="36" t="s">
        <v>37</v>
      </c>
      <c r="E617" s="39">
        <v>190</v>
      </c>
      <c r="F617" s="39" t="s">
        <v>59</v>
      </c>
      <c r="G617" s="36" t="s">
        <v>2417</v>
      </c>
      <c r="H617" s="36" t="s">
        <v>96</v>
      </c>
      <c r="I617" s="39">
        <v>30</v>
      </c>
      <c r="J617" s="39"/>
      <c r="K617" s="39"/>
      <c r="L617" s="39">
        <f t="shared" ref="L617:L618" si="434">SUM(I617:K617)</f>
        <v>30</v>
      </c>
      <c r="M617" s="117">
        <v>46275</v>
      </c>
      <c r="N617" s="117">
        <v>46280</v>
      </c>
      <c r="O617" s="39"/>
      <c r="P617" s="39"/>
      <c r="Q617" s="39"/>
      <c r="R617" s="39">
        <f t="shared" si="421"/>
        <v>0</v>
      </c>
      <c r="S617" s="39" t="s">
        <v>28</v>
      </c>
      <c r="T617" s="39"/>
      <c r="U617" s="39"/>
      <c r="V617" s="39"/>
      <c r="W617" s="39"/>
      <c r="X617" s="39"/>
      <c r="Y617" s="39"/>
      <c r="Z617" s="39"/>
      <c r="AA617" s="39"/>
      <c r="AB617" s="118">
        <f t="shared" si="422"/>
        <v>0</v>
      </c>
      <c r="AC617" s="39"/>
      <c r="AD617" s="39"/>
      <c r="AE617" s="39"/>
      <c r="AF617" s="39"/>
      <c r="AG617" s="39"/>
      <c r="AH617" s="39">
        <f t="shared" si="366"/>
        <v>0</v>
      </c>
      <c r="AI617" s="39"/>
      <c r="AJ617" s="39"/>
      <c r="AK617" s="39"/>
      <c r="AL617" s="39"/>
      <c r="AM617" s="39"/>
      <c r="AN617" s="39">
        <f t="shared" si="394"/>
        <v>0</v>
      </c>
      <c r="AO617" s="39"/>
      <c r="AP617" s="39"/>
      <c r="AQ617" s="39"/>
      <c r="AR617" s="39"/>
      <c r="AS617" s="39"/>
      <c r="AT617" s="39">
        <f t="shared" si="423"/>
        <v>0</v>
      </c>
      <c r="AU617" s="39"/>
      <c r="AV617" s="39"/>
      <c r="AW617" s="39"/>
      <c r="AX617" s="39"/>
      <c r="AY617" s="39"/>
      <c r="AZ617" s="39">
        <f t="shared" si="424"/>
        <v>0</v>
      </c>
      <c r="BA617" s="39"/>
      <c r="BB617" s="39"/>
      <c r="BC617" s="39"/>
      <c r="BD617" s="39"/>
      <c r="BE617" s="39"/>
      <c r="BF617" s="39">
        <f t="shared" si="425"/>
        <v>0</v>
      </c>
      <c r="BG617" s="39"/>
      <c r="BH617" s="39"/>
      <c r="BI617" s="39"/>
      <c r="BJ617" s="39"/>
      <c r="BK617" s="39"/>
      <c r="BL617" s="39">
        <f t="shared" si="370"/>
        <v>0</v>
      </c>
      <c r="BM617" s="54">
        <f t="shared" ca="1" si="426"/>
        <v>46283</v>
      </c>
      <c r="BN617" s="66">
        <v>46280</v>
      </c>
      <c r="BO617" s="117">
        <v>46288</v>
      </c>
      <c r="BP617" s="117">
        <v>46287</v>
      </c>
      <c r="BQ617" s="117">
        <v>46292</v>
      </c>
      <c r="BR617" s="39"/>
      <c r="BS617" s="39"/>
      <c r="BT617" s="39"/>
      <c r="BU617" s="39"/>
      <c r="BV617" s="39"/>
      <c r="BW617" s="39"/>
      <c r="BX617" s="39"/>
      <c r="BY617" s="39"/>
      <c r="BZ617" s="39">
        <f t="shared" si="372"/>
        <v>0</v>
      </c>
      <c r="CA617" s="39">
        <f t="shared" si="427"/>
        <v>-30</v>
      </c>
      <c r="CB617" s="39">
        <f t="shared" si="428"/>
        <v>0</v>
      </c>
      <c r="CC617" s="39">
        <f t="shared" si="429"/>
        <v>0</v>
      </c>
      <c r="CD617" s="39">
        <f t="shared" si="430"/>
        <v>-30</v>
      </c>
      <c r="CE617" s="102">
        <f t="shared" si="431"/>
        <v>-1</v>
      </c>
      <c r="CF617" s="36" t="s">
        <v>384</v>
      </c>
      <c r="CG617" s="39" t="s">
        <v>415</v>
      </c>
      <c r="CH617" s="39"/>
      <c r="CI617" s="25">
        <v>2</v>
      </c>
    </row>
    <row r="618" spans="1:87" ht="24.75" customHeight="1">
      <c r="A618" s="36" t="s">
        <v>387</v>
      </c>
      <c r="B618" s="27" t="s">
        <v>2855</v>
      </c>
      <c r="C618" s="228"/>
      <c r="D618" s="36" t="s">
        <v>24</v>
      </c>
      <c r="E618" s="39">
        <v>190</v>
      </c>
      <c r="F618" s="39" t="s">
        <v>58</v>
      </c>
      <c r="G618" s="36" t="s">
        <v>2358</v>
      </c>
      <c r="H618" s="36" t="s">
        <v>96</v>
      </c>
      <c r="I618" s="39">
        <v>30</v>
      </c>
      <c r="J618" s="39"/>
      <c r="K618" s="39"/>
      <c r="L618" s="39">
        <f t="shared" si="434"/>
        <v>30</v>
      </c>
      <c r="M618" s="117">
        <v>46275</v>
      </c>
      <c r="N618" s="117">
        <v>46280</v>
      </c>
      <c r="O618" s="39"/>
      <c r="P618" s="39"/>
      <c r="Q618" s="39"/>
      <c r="R618" s="39">
        <f t="shared" si="421"/>
        <v>0</v>
      </c>
      <c r="S618" s="39" t="s">
        <v>130</v>
      </c>
      <c r="T618" s="39"/>
      <c r="U618" s="39"/>
      <c r="V618" s="39"/>
      <c r="W618" s="39"/>
      <c r="X618" s="39"/>
      <c r="Y618" s="39"/>
      <c r="Z618" s="39"/>
      <c r="AA618" s="39"/>
      <c r="AB618" s="118">
        <f t="shared" si="422"/>
        <v>0</v>
      </c>
      <c r="AC618" s="39"/>
      <c r="AD618" s="39"/>
      <c r="AE618" s="39"/>
      <c r="AF618" s="39"/>
      <c r="AG618" s="39"/>
      <c r="AH618" s="39">
        <f t="shared" si="366"/>
        <v>0</v>
      </c>
      <c r="AI618" s="39"/>
      <c r="AJ618" s="39"/>
      <c r="AK618" s="39"/>
      <c r="AL618" s="39"/>
      <c r="AM618" s="39"/>
      <c r="AN618" s="39">
        <f t="shared" si="394"/>
        <v>0</v>
      </c>
      <c r="AO618" s="39"/>
      <c r="AP618" s="39"/>
      <c r="AQ618" s="39"/>
      <c r="AR618" s="39"/>
      <c r="AS618" s="39"/>
      <c r="AT618" s="39">
        <f t="shared" si="423"/>
        <v>0</v>
      </c>
      <c r="AU618" s="39"/>
      <c r="AV618" s="39"/>
      <c r="AW618" s="39"/>
      <c r="AX618" s="39"/>
      <c r="AY618" s="39"/>
      <c r="AZ618" s="39">
        <f t="shared" si="424"/>
        <v>0</v>
      </c>
      <c r="BA618" s="39"/>
      <c r="BB618" s="39"/>
      <c r="BC618" s="39"/>
      <c r="BD618" s="39"/>
      <c r="BE618" s="39"/>
      <c r="BF618" s="39">
        <f t="shared" si="425"/>
        <v>0</v>
      </c>
      <c r="BG618" s="39"/>
      <c r="BH618" s="39"/>
      <c r="BI618" s="39"/>
      <c r="BJ618" s="39"/>
      <c r="BK618" s="39"/>
      <c r="BL618" s="39">
        <f t="shared" si="370"/>
        <v>0</v>
      </c>
      <c r="BM618" s="54">
        <f t="shared" ca="1" si="426"/>
        <v>46283</v>
      </c>
      <c r="BN618" s="66">
        <v>46280</v>
      </c>
      <c r="BO618" s="117">
        <v>46288</v>
      </c>
      <c r="BP618" s="117">
        <v>46287</v>
      </c>
      <c r="BQ618" s="117">
        <v>46292</v>
      </c>
      <c r="BR618" s="39"/>
      <c r="BS618" s="39"/>
      <c r="BT618" s="39"/>
      <c r="BU618" s="39"/>
      <c r="BV618" s="39"/>
      <c r="BW618" s="39"/>
      <c r="BX618" s="39"/>
      <c r="BY618" s="39"/>
      <c r="BZ618" s="39">
        <f t="shared" si="372"/>
        <v>0</v>
      </c>
      <c r="CA618" s="39">
        <f t="shared" si="427"/>
        <v>-30</v>
      </c>
      <c r="CB618" s="39">
        <f t="shared" si="428"/>
        <v>0</v>
      </c>
      <c r="CC618" s="39">
        <f t="shared" si="429"/>
        <v>0</v>
      </c>
      <c r="CD618" s="39">
        <f t="shared" si="430"/>
        <v>-30</v>
      </c>
      <c r="CE618" s="102">
        <f t="shared" si="431"/>
        <v>-1</v>
      </c>
      <c r="CF618" s="36" t="s">
        <v>384</v>
      </c>
      <c r="CG618" s="39" t="s">
        <v>415</v>
      </c>
      <c r="CH618" s="39"/>
      <c r="CI618" s="25">
        <v>2</v>
      </c>
    </row>
    <row r="619" spans="1:87" ht="24.75" customHeight="1">
      <c r="A619" s="36" t="s">
        <v>387</v>
      </c>
      <c r="B619" s="27">
        <v>48838</v>
      </c>
      <c r="C619" s="227" t="s">
        <v>2864</v>
      </c>
      <c r="D619" s="36"/>
      <c r="E619" s="39">
        <v>200</v>
      </c>
      <c r="F619" s="39" t="s">
        <v>63</v>
      </c>
      <c r="G619" s="36" t="s">
        <v>1367</v>
      </c>
      <c r="H619" s="143" t="s">
        <v>555</v>
      </c>
      <c r="I619" s="39">
        <v>70</v>
      </c>
      <c r="J619" s="39"/>
      <c r="K619" s="39"/>
      <c r="L619" s="39">
        <v>0</v>
      </c>
      <c r="M619" s="39"/>
      <c r="N619" s="39"/>
      <c r="O619" s="39"/>
      <c r="P619" s="39"/>
      <c r="Q619" s="39"/>
      <c r="R619" s="39">
        <f t="shared" si="421"/>
        <v>0</v>
      </c>
      <c r="S619" s="39" t="s">
        <v>130</v>
      </c>
      <c r="T619" s="39"/>
      <c r="U619" s="39"/>
      <c r="V619" s="39"/>
      <c r="W619" s="39"/>
      <c r="X619" s="39"/>
      <c r="Y619" s="39"/>
      <c r="Z619" s="39"/>
      <c r="AA619" s="39"/>
      <c r="AB619" s="39">
        <f t="shared" si="422"/>
        <v>0</v>
      </c>
      <c r="AC619" s="39"/>
      <c r="AD619" s="39"/>
      <c r="AE619" s="39"/>
      <c r="AF619" s="39"/>
      <c r="AG619" s="39"/>
      <c r="AH619" s="39">
        <f t="shared" si="366"/>
        <v>0</v>
      </c>
      <c r="AI619" s="39"/>
      <c r="AJ619" s="39"/>
      <c r="AK619" s="39"/>
      <c r="AL619" s="39"/>
      <c r="AM619" s="39"/>
      <c r="AN619" s="39">
        <f t="shared" si="394"/>
        <v>0</v>
      </c>
      <c r="AO619" s="39"/>
      <c r="AP619" s="39"/>
      <c r="AQ619" s="39"/>
      <c r="AR619" s="39"/>
      <c r="AS619" s="39"/>
      <c r="AT619" s="39">
        <f t="shared" si="423"/>
        <v>0</v>
      </c>
      <c r="AU619" s="39"/>
      <c r="AV619" s="39"/>
      <c r="AW619" s="39"/>
      <c r="AX619" s="39"/>
      <c r="AY619" s="39"/>
      <c r="AZ619" s="39">
        <f t="shared" si="424"/>
        <v>0</v>
      </c>
      <c r="BA619" s="39"/>
      <c r="BB619" s="39"/>
      <c r="BC619" s="39"/>
      <c r="BD619" s="39"/>
      <c r="BE619" s="39"/>
      <c r="BF619" s="39">
        <f t="shared" si="425"/>
        <v>0</v>
      </c>
      <c r="BG619" s="39"/>
      <c r="BH619" s="39"/>
      <c r="BI619" s="39"/>
      <c r="BJ619" s="39"/>
      <c r="BK619" s="39"/>
      <c r="BL619" s="39">
        <f t="shared" si="370"/>
        <v>0</v>
      </c>
      <c r="BM619" s="54" t="e">
        <f t="shared" si="426"/>
        <v>#DIV/0!</v>
      </c>
      <c r="BN619" s="67"/>
      <c r="BO619" s="39"/>
      <c r="BP619" s="39"/>
      <c r="BQ619" s="39"/>
      <c r="BR619" s="39"/>
      <c r="BS619" s="39"/>
      <c r="BT619" s="39"/>
      <c r="BU619" s="39"/>
      <c r="BV619" s="39"/>
      <c r="BW619" s="39"/>
      <c r="BX619" s="39"/>
      <c r="BY619" s="39"/>
      <c r="BZ619" s="39">
        <f t="shared" si="372"/>
        <v>0</v>
      </c>
      <c r="CA619" s="39">
        <v>0</v>
      </c>
      <c r="CB619" s="39">
        <f t="shared" si="428"/>
        <v>0</v>
      </c>
      <c r="CC619" s="39">
        <f t="shared" si="429"/>
        <v>0</v>
      </c>
      <c r="CD619" s="39">
        <f t="shared" si="430"/>
        <v>0</v>
      </c>
      <c r="CE619" s="102" t="e">
        <f t="shared" si="431"/>
        <v>#DIV/0!</v>
      </c>
      <c r="CF619" s="36" t="s">
        <v>293</v>
      </c>
      <c r="CG619" s="39" t="s">
        <v>1051</v>
      </c>
      <c r="CH619" s="39"/>
      <c r="CI619" s="25">
        <v>2</v>
      </c>
    </row>
    <row r="620" spans="1:87" ht="24.75" customHeight="1">
      <c r="A620" s="36" t="s">
        <v>387</v>
      </c>
      <c r="B620" s="27">
        <v>48838</v>
      </c>
      <c r="C620" s="231"/>
      <c r="D620" s="36"/>
      <c r="E620" s="39">
        <v>200</v>
      </c>
      <c r="F620" s="39" t="s">
        <v>63</v>
      </c>
      <c r="G620" s="36" t="s">
        <v>47</v>
      </c>
      <c r="H620" s="143" t="s">
        <v>555</v>
      </c>
      <c r="I620" s="39">
        <v>118</v>
      </c>
      <c r="J620" s="39"/>
      <c r="K620" s="39"/>
      <c r="L620" s="39">
        <v>0</v>
      </c>
      <c r="M620" s="39"/>
      <c r="N620" s="39"/>
      <c r="O620" s="39"/>
      <c r="P620" s="39"/>
      <c r="Q620" s="39"/>
      <c r="R620" s="39">
        <f t="shared" si="421"/>
        <v>0</v>
      </c>
      <c r="S620" s="39" t="s">
        <v>130</v>
      </c>
      <c r="T620" s="39"/>
      <c r="U620" s="39"/>
      <c r="V620" s="39"/>
      <c r="W620" s="39"/>
      <c r="X620" s="39"/>
      <c r="Y620" s="39"/>
      <c r="Z620" s="39"/>
      <c r="AA620" s="39"/>
      <c r="AB620" s="39">
        <f t="shared" si="422"/>
        <v>0</v>
      </c>
      <c r="AC620" s="39"/>
      <c r="AD620" s="39"/>
      <c r="AE620" s="39"/>
      <c r="AF620" s="39"/>
      <c r="AG620" s="39"/>
      <c r="AH620" s="39">
        <f t="shared" si="366"/>
        <v>0</v>
      </c>
      <c r="AI620" s="39"/>
      <c r="AJ620" s="39"/>
      <c r="AK620" s="39"/>
      <c r="AL620" s="39"/>
      <c r="AM620" s="39"/>
      <c r="AN620" s="39">
        <f t="shared" si="394"/>
        <v>0</v>
      </c>
      <c r="AO620" s="39"/>
      <c r="AP620" s="39"/>
      <c r="AQ620" s="39"/>
      <c r="AR620" s="39"/>
      <c r="AS620" s="39"/>
      <c r="AT620" s="39">
        <f t="shared" si="423"/>
        <v>0</v>
      </c>
      <c r="AU620" s="39"/>
      <c r="AV620" s="39"/>
      <c r="AW620" s="39"/>
      <c r="AX620" s="39"/>
      <c r="AY620" s="39"/>
      <c r="AZ620" s="39">
        <f t="shared" si="424"/>
        <v>0</v>
      </c>
      <c r="BA620" s="39"/>
      <c r="BB620" s="39"/>
      <c r="BC620" s="39"/>
      <c r="BD620" s="39"/>
      <c r="BE620" s="39"/>
      <c r="BF620" s="39">
        <f t="shared" si="425"/>
        <v>0</v>
      </c>
      <c r="BG620" s="39"/>
      <c r="BH620" s="39"/>
      <c r="BI620" s="39"/>
      <c r="BJ620" s="39"/>
      <c r="BK620" s="39"/>
      <c r="BL620" s="39">
        <f t="shared" si="370"/>
        <v>0</v>
      </c>
      <c r="BM620" s="54" t="e">
        <f t="shared" si="426"/>
        <v>#DIV/0!</v>
      </c>
      <c r="BN620" s="67"/>
      <c r="BO620" s="39"/>
      <c r="BP620" s="39"/>
      <c r="BQ620" s="39"/>
      <c r="BR620" s="39"/>
      <c r="BS620" s="39"/>
      <c r="BT620" s="39"/>
      <c r="BU620" s="39"/>
      <c r="BV620" s="39"/>
      <c r="BW620" s="39"/>
      <c r="BX620" s="39"/>
      <c r="BY620" s="39"/>
      <c r="BZ620" s="39">
        <f t="shared" si="372"/>
        <v>0</v>
      </c>
      <c r="CA620" s="39">
        <v>0</v>
      </c>
      <c r="CB620" s="39">
        <f t="shared" si="428"/>
        <v>0</v>
      </c>
      <c r="CC620" s="39">
        <f t="shared" si="429"/>
        <v>0</v>
      </c>
      <c r="CD620" s="39">
        <f t="shared" si="430"/>
        <v>0</v>
      </c>
      <c r="CE620" s="102" t="e">
        <f t="shared" si="431"/>
        <v>#DIV/0!</v>
      </c>
      <c r="CF620" s="36" t="s">
        <v>293</v>
      </c>
      <c r="CG620" s="39" t="s">
        <v>1051</v>
      </c>
      <c r="CH620" s="39"/>
      <c r="CI620" s="25">
        <v>2</v>
      </c>
    </row>
    <row r="621" spans="1:87" ht="24.75" customHeight="1">
      <c r="A621" s="36" t="s">
        <v>387</v>
      </c>
      <c r="B621" s="27">
        <v>48838</v>
      </c>
      <c r="C621" s="231"/>
      <c r="D621" s="36"/>
      <c r="E621" s="39">
        <v>200</v>
      </c>
      <c r="F621" s="39" t="s">
        <v>63</v>
      </c>
      <c r="G621" s="36" t="s">
        <v>878</v>
      </c>
      <c r="H621" s="143" t="s">
        <v>555</v>
      </c>
      <c r="I621" s="39">
        <v>55</v>
      </c>
      <c r="J621" s="39"/>
      <c r="K621" s="39"/>
      <c r="L621" s="39">
        <v>0</v>
      </c>
      <c r="M621" s="39"/>
      <c r="N621" s="39"/>
      <c r="O621" s="39"/>
      <c r="P621" s="39"/>
      <c r="Q621" s="39"/>
      <c r="R621" s="39">
        <f t="shared" si="421"/>
        <v>0</v>
      </c>
      <c r="S621" s="39" t="s">
        <v>130</v>
      </c>
      <c r="T621" s="39"/>
      <c r="U621" s="39"/>
      <c r="V621" s="39"/>
      <c r="W621" s="39"/>
      <c r="X621" s="39"/>
      <c r="Y621" s="39"/>
      <c r="Z621" s="39"/>
      <c r="AA621" s="39"/>
      <c r="AB621" s="39">
        <f t="shared" si="422"/>
        <v>0</v>
      </c>
      <c r="AC621" s="39"/>
      <c r="AD621" s="39"/>
      <c r="AE621" s="39"/>
      <c r="AF621" s="39"/>
      <c r="AG621" s="39"/>
      <c r="AH621" s="39">
        <f t="shared" si="366"/>
        <v>0</v>
      </c>
      <c r="AI621" s="39"/>
      <c r="AJ621" s="39"/>
      <c r="AK621" s="39"/>
      <c r="AL621" s="39"/>
      <c r="AM621" s="39"/>
      <c r="AN621" s="39">
        <f t="shared" si="394"/>
        <v>0</v>
      </c>
      <c r="AO621" s="39"/>
      <c r="AP621" s="39"/>
      <c r="AQ621" s="39"/>
      <c r="AR621" s="39"/>
      <c r="AS621" s="39"/>
      <c r="AT621" s="39">
        <f t="shared" si="423"/>
        <v>0</v>
      </c>
      <c r="AU621" s="39"/>
      <c r="AV621" s="39"/>
      <c r="AW621" s="39"/>
      <c r="AX621" s="39"/>
      <c r="AY621" s="39"/>
      <c r="AZ621" s="39">
        <f t="shared" si="424"/>
        <v>0</v>
      </c>
      <c r="BA621" s="39"/>
      <c r="BB621" s="39"/>
      <c r="BC621" s="39"/>
      <c r="BD621" s="39"/>
      <c r="BE621" s="39"/>
      <c r="BF621" s="39">
        <f t="shared" si="425"/>
        <v>0</v>
      </c>
      <c r="BG621" s="39"/>
      <c r="BH621" s="39"/>
      <c r="BI621" s="39"/>
      <c r="BJ621" s="39"/>
      <c r="BK621" s="39"/>
      <c r="BL621" s="39">
        <f t="shared" si="370"/>
        <v>0</v>
      </c>
      <c r="BM621" s="54" t="e">
        <f t="shared" si="426"/>
        <v>#DIV/0!</v>
      </c>
      <c r="BN621" s="67"/>
      <c r="BO621" s="39"/>
      <c r="BP621" s="39"/>
      <c r="BQ621" s="39"/>
      <c r="BR621" s="39"/>
      <c r="BS621" s="39"/>
      <c r="BT621" s="39"/>
      <c r="BU621" s="39"/>
      <c r="BV621" s="39"/>
      <c r="BW621" s="39"/>
      <c r="BX621" s="39"/>
      <c r="BY621" s="39"/>
      <c r="BZ621" s="39">
        <f t="shared" si="372"/>
        <v>0</v>
      </c>
      <c r="CA621" s="39">
        <v>0</v>
      </c>
      <c r="CB621" s="39">
        <f t="shared" si="428"/>
        <v>0</v>
      </c>
      <c r="CC621" s="39">
        <f t="shared" si="429"/>
        <v>0</v>
      </c>
      <c r="CD621" s="39">
        <f t="shared" si="430"/>
        <v>0</v>
      </c>
      <c r="CE621" s="102" t="e">
        <f t="shared" si="431"/>
        <v>#DIV/0!</v>
      </c>
      <c r="CF621" s="36" t="s">
        <v>293</v>
      </c>
      <c r="CG621" s="39" t="s">
        <v>1051</v>
      </c>
      <c r="CH621" s="39"/>
      <c r="CI621" s="25">
        <v>2</v>
      </c>
    </row>
    <row r="622" spans="1:87" ht="24.75" customHeight="1">
      <c r="A622" s="36" t="s">
        <v>387</v>
      </c>
      <c r="B622" s="27">
        <v>48838</v>
      </c>
      <c r="C622" s="231"/>
      <c r="D622" s="36"/>
      <c r="E622" s="39">
        <v>200</v>
      </c>
      <c r="F622" s="39" t="s">
        <v>63</v>
      </c>
      <c r="G622" s="36" t="s">
        <v>30</v>
      </c>
      <c r="H622" s="143" t="s">
        <v>555</v>
      </c>
      <c r="I622" s="39">
        <v>82</v>
      </c>
      <c r="J622" s="39"/>
      <c r="K622" s="39"/>
      <c r="L622" s="39">
        <v>0</v>
      </c>
      <c r="M622" s="39"/>
      <c r="N622" s="39"/>
      <c r="O622" s="39"/>
      <c r="P622" s="39"/>
      <c r="Q622" s="39"/>
      <c r="R622" s="39">
        <f t="shared" si="421"/>
        <v>0</v>
      </c>
      <c r="S622" s="39" t="s">
        <v>130</v>
      </c>
      <c r="T622" s="39"/>
      <c r="U622" s="39"/>
      <c r="V622" s="39"/>
      <c r="W622" s="39"/>
      <c r="X622" s="39"/>
      <c r="Y622" s="39"/>
      <c r="Z622" s="39"/>
      <c r="AA622" s="39"/>
      <c r="AB622" s="39">
        <f t="shared" si="422"/>
        <v>0</v>
      </c>
      <c r="AC622" s="39"/>
      <c r="AD622" s="39"/>
      <c r="AE622" s="39"/>
      <c r="AF622" s="39"/>
      <c r="AG622" s="39"/>
      <c r="AH622" s="39">
        <f t="shared" si="366"/>
        <v>0</v>
      </c>
      <c r="AI622" s="39"/>
      <c r="AJ622" s="39"/>
      <c r="AK622" s="39"/>
      <c r="AL622" s="39"/>
      <c r="AM622" s="39"/>
      <c r="AN622" s="39">
        <f t="shared" si="394"/>
        <v>0</v>
      </c>
      <c r="AO622" s="39"/>
      <c r="AP622" s="39"/>
      <c r="AQ622" s="39"/>
      <c r="AR622" s="39"/>
      <c r="AS622" s="39"/>
      <c r="AT622" s="39">
        <f t="shared" si="423"/>
        <v>0</v>
      </c>
      <c r="AU622" s="39"/>
      <c r="AV622" s="39"/>
      <c r="AW622" s="39"/>
      <c r="AX622" s="39"/>
      <c r="AY622" s="39"/>
      <c r="AZ622" s="39">
        <f t="shared" si="424"/>
        <v>0</v>
      </c>
      <c r="BA622" s="39"/>
      <c r="BB622" s="39"/>
      <c r="BC622" s="39"/>
      <c r="BD622" s="39"/>
      <c r="BE622" s="39"/>
      <c r="BF622" s="39">
        <f t="shared" si="425"/>
        <v>0</v>
      </c>
      <c r="BG622" s="39"/>
      <c r="BH622" s="39"/>
      <c r="BI622" s="39"/>
      <c r="BJ622" s="39"/>
      <c r="BK622" s="39"/>
      <c r="BL622" s="39">
        <f t="shared" si="370"/>
        <v>0</v>
      </c>
      <c r="BM622" s="54" t="e">
        <f t="shared" si="426"/>
        <v>#DIV/0!</v>
      </c>
      <c r="BN622" s="67"/>
      <c r="BO622" s="39"/>
      <c r="BP622" s="39"/>
      <c r="BQ622" s="39"/>
      <c r="BR622" s="39"/>
      <c r="BS622" s="39"/>
      <c r="BT622" s="39"/>
      <c r="BU622" s="39"/>
      <c r="BV622" s="39"/>
      <c r="BW622" s="39"/>
      <c r="BX622" s="39"/>
      <c r="BY622" s="39"/>
      <c r="BZ622" s="39">
        <f t="shared" si="372"/>
        <v>0</v>
      </c>
      <c r="CA622" s="39">
        <v>0</v>
      </c>
      <c r="CB622" s="39">
        <f t="shared" si="428"/>
        <v>0</v>
      </c>
      <c r="CC622" s="39">
        <f t="shared" si="429"/>
        <v>0</v>
      </c>
      <c r="CD622" s="39">
        <f t="shared" si="430"/>
        <v>0</v>
      </c>
      <c r="CE622" s="102" t="e">
        <f t="shared" si="431"/>
        <v>#DIV/0!</v>
      </c>
      <c r="CF622" s="36" t="s">
        <v>293</v>
      </c>
      <c r="CG622" s="39" t="s">
        <v>1051</v>
      </c>
      <c r="CH622" s="39"/>
      <c r="CI622" s="25">
        <v>2</v>
      </c>
    </row>
    <row r="623" spans="1:87" ht="24.75" customHeight="1">
      <c r="A623" s="36" t="s">
        <v>387</v>
      </c>
      <c r="B623" s="27">
        <v>48838</v>
      </c>
      <c r="C623" s="228"/>
      <c r="D623" s="36"/>
      <c r="E623" s="39">
        <v>200</v>
      </c>
      <c r="F623" s="39" t="s">
        <v>63</v>
      </c>
      <c r="G623" s="36" t="s">
        <v>394</v>
      </c>
      <c r="H623" s="143" t="s">
        <v>555</v>
      </c>
      <c r="I623" s="39">
        <v>103</v>
      </c>
      <c r="J623" s="39"/>
      <c r="K623" s="39"/>
      <c r="L623" s="39">
        <v>0</v>
      </c>
      <c r="M623" s="39"/>
      <c r="N623" s="39"/>
      <c r="O623" s="39"/>
      <c r="P623" s="39"/>
      <c r="Q623" s="39"/>
      <c r="R623" s="39">
        <f t="shared" si="421"/>
        <v>0</v>
      </c>
      <c r="S623" s="39" t="s">
        <v>130</v>
      </c>
      <c r="T623" s="39"/>
      <c r="U623" s="39"/>
      <c r="V623" s="39"/>
      <c r="W623" s="39"/>
      <c r="X623" s="39"/>
      <c r="Y623" s="39"/>
      <c r="Z623" s="39"/>
      <c r="AA623" s="39"/>
      <c r="AB623" s="39">
        <f t="shared" si="422"/>
        <v>0</v>
      </c>
      <c r="AC623" s="39"/>
      <c r="AD623" s="39"/>
      <c r="AE623" s="39"/>
      <c r="AF623" s="39"/>
      <c r="AG623" s="39"/>
      <c r="AH623" s="39">
        <f t="shared" si="366"/>
        <v>0</v>
      </c>
      <c r="AI623" s="39"/>
      <c r="AJ623" s="39"/>
      <c r="AK623" s="39"/>
      <c r="AL623" s="39"/>
      <c r="AM623" s="39"/>
      <c r="AN623" s="39">
        <f t="shared" si="394"/>
        <v>0</v>
      </c>
      <c r="AO623" s="39"/>
      <c r="AP623" s="39"/>
      <c r="AQ623" s="39"/>
      <c r="AR623" s="39"/>
      <c r="AS623" s="39"/>
      <c r="AT623" s="39">
        <f t="shared" si="423"/>
        <v>0</v>
      </c>
      <c r="AU623" s="39"/>
      <c r="AV623" s="39"/>
      <c r="AW623" s="39"/>
      <c r="AX623" s="39"/>
      <c r="AY623" s="39"/>
      <c r="AZ623" s="39">
        <f t="shared" si="424"/>
        <v>0</v>
      </c>
      <c r="BA623" s="39"/>
      <c r="BB623" s="39"/>
      <c r="BC623" s="39"/>
      <c r="BD623" s="39"/>
      <c r="BE623" s="39"/>
      <c r="BF623" s="39">
        <f t="shared" si="425"/>
        <v>0</v>
      </c>
      <c r="BG623" s="39"/>
      <c r="BH623" s="39"/>
      <c r="BI623" s="39"/>
      <c r="BJ623" s="39"/>
      <c r="BK623" s="39"/>
      <c r="BL623" s="39">
        <f t="shared" si="370"/>
        <v>0</v>
      </c>
      <c r="BM623" s="54" t="e">
        <f t="shared" si="426"/>
        <v>#DIV/0!</v>
      </c>
      <c r="BN623" s="67"/>
      <c r="BO623" s="39"/>
      <c r="BP623" s="39"/>
      <c r="BQ623" s="39"/>
      <c r="BR623" s="39"/>
      <c r="BS623" s="39"/>
      <c r="BT623" s="39"/>
      <c r="BU623" s="39"/>
      <c r="BV623" s="39"/>
      <c r="BW623" s="39"/>
      <c r="BX623" s="39"/>
      <c r="BY623" s="39"/>
      <c r="BZ623" s="39">
        <f t="shared" si="372"/>
        <v>0</v>
      </c>
      <c r="CA623" s="39">
        <v>0</v>
      </c>
      <c r="CB623" s="39">
        <f t="shared" si="428"/>
        <v>0</v>
      </c>
      <c r="CC623" s="39">
        <f t="shared" si="429"/>
        <v>0</v>
      </c>
      <c r="CD623" s="39">
        <f t="shared" si="430"/>
        <v>0</v>
      </c>
      <c r="CE623" s="102" t="e">
        <f t="shared" si="431"/>
        <v>#DIV/0!</v>
      </c>
      <c r="CF623" s="36" t="s">
        <v>293</v>
      </c>
      <c r="CG623" s="39" t="s">
        <v>1051</v>
      </c>
      <c r="CH623" s="39"/>
      <c r="CI623" s="25">
        <v>2</v>
      </c>
    </row>
    <row r="624" spans="1:87" ht="24.75" customHeight="1">
      <c r="A624" s="36" t="s">
        <v>387</v>
      </c>
      <c r="B624" s="27" t="s">
        <v>2879</v>
      </c>
      <c r="C624" s="227">
        <v>15373005</v>
      </c>
      <c r="D624" s="36"/>
      <c r="E624" s="39">
        <v>220</v>
      </c>
      <c r="F624" s="39" t="s">
        <v>60</v>
      </c>
      <c r="G624" s="36" t="s">
        <v>47</v>
      </c>
      <c r="H624" s="36" t="s">
        <v>89</v>
      </c>
      <c r="I624" s="39">
        <v>75</v>
      </c>
      <c r="J624" s="39"/>
      <c r="K624" s="39"/>
      <c r="L624" s="39">
        <f t="shared" ref="L624:L630" si="435">SUM(I624:K624)</f>
        <v>75</v>
      </c>
      <c r="M624" s="117">
        <v>46275</v>
      </c>
      <c r="N624" s="117">
        <v>46280</v>
      </c>
      <c r="O624" s="39"/>
      <c r="P624" s="39"/>
      <c r="Q624" s="39"/>
      <c r="R624" s="39">
        <f t="shared" si="421"/>
        <v>0</v>
      </c>
      <c r="S624" s="39" t="s">
        <v>130</v>
      </c>
      <c r="T624" s="39"/>
      <c r="U624" s="39"/>
      <c r="V624" s="39"/>
      <c r="W624" s="39"/>
      <c r="X624" s="39"/>
      <c r="Y624" s="39"/>
      <c r="Z624" s="39"/>
      <c r="AA624" s="39"/>
      <c r="AB624" s="118">
        <f t="shared" si="422"/>
        <v>0</v>
      </c>
      <c r="AC624" s="39"/>
      <c r="AD624" s="39"/>
      <c r="AE624" s="39"/>
      <c r="AF624" s="39"/>
      <c r="AG624" s="39"/>
      <c r="AH624" s="39">
        <f t="shared" si="366"/>
        <v>0</v>
      </c>
      <c r="AI624" s="39"/>
      <c r="AJ624" s="39"/>
      <c r="AK624" s="39"/>
      <c r="AL624" s="39"/>
      <c r="AM624" s="39"/>
      <c r="AN624" s="39">
        <f t="shared" si="394"/>
        <v>0</v>
      </c>
      <c r="AO624" s="39"/>
      <c r="AP624" s="39"/>
      <c r="AQ624" s="39"/>
      <c r="AR624" s="39"/>
      <c r="AS624" s="39"/>
      <c r="AT624" s="39">
        <f t="shared" si="423"/>
        <v>0</v>
      </c>
      <c r="AU624" s="39"/>
      <c r="AV624" s="39"/>
      <c r="AW624" s="39"/>
      <c r="AX624" s="39"/>
      <c r="AY624" s="39"/>
      <c r="AZ624" s="39">
        <f t="shared" si="424"/>
        <v>0</v>
      </c>
      <c r="BA624" s="39"/>
      <c r="BB624" s="39"/>
      <c r="BC624" s="39"/>
      <c r="BD624" s="39"/>
      <c r="BE624" s="39"/>
      <c r="BF624" s="39">
        <f t="shared" si="425"/>
        <v>0</v>
      </c>
      <c r="BG624" s="39"/>
      <c r="BH624" s="39"/>
      <c r="BI624" s="39"/>
      <c r="BJ624" s="39"/>
      <c r="BK624" s="39"/>
      <c r="BL624" s="39">
        <f t="shared" si="370"/>
        <v>0</v>
      </c>
      <c r="BM624" s="54">
        <f t="shared" ca="1" si="426"/>
        <v>46283</v>
      </c>
      <c r="BN624" s="66">
        <v>46283</v>
      </c>
      <c r="BO624" s="117">
        <v>46289</v>
      </c>
      <c r="BP624" s="39"/>
      <c r="BQ624" s="39"/>
      <c r="BR624" s="39"/>
      <c r="BS624" s="39"/>
      <c r="BT624" s="39"/>
      <c r="BU624" s="39"/>
      <c r="BV624" s="39"/>
      <c r="BW624" s="39"/>
      <c r="BX624" s="39"/>
      <c r="BY624" s="39"/>
      <c r="BZ624" s="39">
        <f t="shared" si="372"/>
        <v>0</v>
      </c>
      <c r="CA624" s="39">
        <f t="shared" ref="CA624:CA630" si="436">BU624-I624</f>
        <v>-75</v>
      </c>
      <c r="CB624" s="39">
        <f t="shared" si="428"/>
        <v>0</v>
      </c>
      <c r="CC624" s="39">
        <f t="shared" si="429"/>
        <v>0</v>
      </c>
      <c r="CD624" s="39">
        <f t="shared" si="430"/>
        <v>-75</v>
      </c>
      <c r="CE624" s="102">
        <f t="shared" si="431"/>
        <v>-1</v>
      </c>
      <c r="CF624" s="36" t="s">
        <v>293</v>
      </c>
      <c r="CG624" s="39" t="s">
        <v>1051</v>
      </c>
      <c r="CH624" s="39"/>
      <c r="CI624" s="25">
        <v>2</v>
      </c>
    </row>
    <row r="625" spans="1:87" ht="24.75" customHeight="1">
      <c r="A625" s="36" t="s">
        <v>387</v>
      </c>
      <c r="B625" s="27" t="s">
        <v>2879</v>
      </c>
      <c r="C625" s="228"/>
      <c r="D625" s="36" t="s">
        <v>255</v>
      </c>
      <c r="E625" s="39">
        <v>220</v>
      </c>
      <c r="F625" s="39" t="s">
        <v>60</v>
      </c>
      <c r="G625" s="36" t="s">
        <v>2880</v>
      </c>
      <c r="H625" s="36" t="s">
        <v>89</v>
      </c>
      <c r="I625" s="39">
        <v>28</v>
      </c>
      <c r="J625" s="39"/>
      <c r="K625" s="39"/>
      <c r="L625" s="39">
        <f t="shared" si="435"/>
        <v>28</v>
      </c>
      <c r="M625" s="117">
        <v>46275</v>
      </c>
      <c r="N625" s="117">
        <v>46280</v>
      </c>
      <c r="O625" s="39"/>
      <c r="P625" s="39"/>
      <c r="Q625" s="39"/>
      <c r="R625" s="39">
        <f t="shared" ref="R625" si="437">SUM(O625:Q625)</f>
        <v>0</v>
      </c>
      <c r="S625" s="39" t="s">
        <v>130</v>
      </c>
      <c r="T625" s="39"/>
      <c r="U625" s="39"/>
      <c r="V625" s="39"/>
      <c r="W625" s="39"/>
      <c r="X625" s="39"/>
      <c r="Y625" s="39"/>
      <c r="Z625" s="39"/>
      <c r="AA625" s="39"/>
      <c r="AB625" s="118">
        <f t="shared" si="422"/>
        <v>0</v>
      </c>
      <c r="AC625" s="39"/>
      <c r="AD625" s="39"/>
      <c r="AE625" s="39"/>
      <c r="AF625" s="39"/>
      <c r="AG625" s="39"/>
      <c r="AH625" s="39">
        <f t="shared" si="366"/>
        <v>0</v>
      </c>
      <c r="AI625" s="39"/>
      <c r="AJ625" s="39"/>
      <c r="AK625" s="39"/>
      <c r="AL625" s="39"/>
      <c r="AM625" s="39"/>
      <c r="AN625" s="39">
        <f t="shared" si="394"/>
        <v>0</v>
      </c>
      <c r="AO625" s="39"/>
      <c r="AP625" s="39"/>
      <c r="AQ625" s="39"/>
      <c r="AR625" s="39"/>
      <c r="AS625" s="39"/>
      <c r="AT625" s="39">
        <f t="shared" si="423"/>
        <v>0</v>
      </c>
      <c r="AU625" s="39"/>
      <c r="AV625" s="39"/>
      <c r="AW625" s="39"/>
      <c r="AX625" s="39"/>
      <c r="AY625" s="39"/>
      <c r="AZ625" s="39">
        <f t="shared" si="424"/>
        <v>0</v>
      </c>
      <c r="BA625" s="39"/>
      <c r="BB625" s="39"/>
      <c r="BC625" s="39"/>
      <c r="BD625" s="39"/>
      <c r="BE625" s="39"/>
      <c r="BF625" s="39">
        <f t="shared" si="425"/>
        <v>0</v>
      </c>
      <c r="BG625" s="39"/>
      <c r="BH625" s="39"/>
      <c r="BI625" s="39"/>
      <c r="BJ625" s="39"/>
      <c r="BK625" s="39"/>
      <c r="BL625" s="39">
        <f t="shared" si="370"/>
        <v>0</v>
      </c>
      <c r="BM625" s="54">
        <f t="shared" ca="1" si="426"/>
        <v>46283</v>
      </c>
      <c r="BN625" s="66">
        <v>46283</v>
      </c>
      <c r="BO625" s="117">
        <v>46289</v>
      </c>
      <c r="BP625" s="39"/>
      <c r="BQ625" s="39"/>
      <c r="BR625" s="39"/>
      <c r="BS625" s="39"/>
      <c r="BT625" s="39"/>
      <c r="BU625" s="39"/>
      <c r="BV625" s="39"/>
      <c r="BW625" s="39"/>
      <c r="BX625" s="39"/>
      <c r="BY625" s="39"/>
      <c r="BZ625" s="39">
        <f t="shared" si="372"/>
        <v>0</v>
      </c>
      <c r="CA625" s="39">
        <f t="shared" si="436"/>
        <v>-28</v>
      </c>
      <c r="CB625" s="39">
        <f t="shared" si="428"/>
        <v>0</v>
      </c>
      <c r="CC625" s="39">
        <f t="shared" si="429"/>
        <v>0</v>
      </c>
      <c r="CD625" s="39">
        <f t="shared" si="430"/>
        <v>-28</v>
      </c>
      <c r="CE625" s="102">
        <f t="shared" si="431"/>
        <v>-1</v>
      </c>
      <c r="CF625" s="36" t="s">
        <v>293</v>
      </c>
      <c r="CG625" s="39" t="s">
        <v>1051</v>
      </c>
      <c r="CH625" s="39"/>
      <c r="CI625" s="25">
        <v>2</v>
      </c>
    </row>
    <row r="626" spans="1:87" ht="24.75" customHeight="1">
      <c r="A626" s="36" t="s">
        <v>387</v>
      </c>
      <c r="B626" s="27">
        <v>48832</v>
      </c>
      <c r="C626" s="36">
        <v>15390672</v>
      </c>
      <c r="D626" s="36"/>
      <c r="E626" s="39">
        <v>180</v>
      </c>
      <c r="F626" s="39" t="s">
        <v>54</v>
      </c>
      <c r="G626" s="36" t="s">
        <v>47</v>
      </c>
      <c r="H626" s="36" t="s">
        <v>22</v>
      </c>
      <c r="I626" s="39">
        <v>185</v>
      </c>
      <c r="J626" s="39">
        <v>11</v>
      </c>
      <c r="K626" s="39"/>
      <c r="L626" s="39">
        <f t="shared" si="435"/>
        <v>196</v>
      </c>
      <c r="M626" s="117">
        <v>46275</v>
      </c>
      <c r="N626" s="117">
        <v>46278</v>
      </c>
      <c r="O626" s="39"/>
      <c r="P626" s="39"/>
      <c r="Q626" s="39"/>
      <c r="R626" s="39">
        <f t="shared" si="421"/>
        <v>0</v>
      </c>
      <c r="S626" s="39" t="s">
        <v>130</v>
      </c>
      <c r="T626" s="39"/>
      <c r="U626" s="39"/>
      <c r="V626" s="39"/>
      <c r="W626" s="39"/>
      <c r="X626" s="39"/>
      <c r="Y626" s="39"/>
      <c r="Z626" s="39"/>
      <c r="AA626" s="39"/>
      <c r="AB626" s="118">
        <f t="shared" si="422"/>
        <v>0</v>
      </c>
      <c r="AC626" s="39"/>
      <c r="AD626" s="39"/>
      <c r="AE626" s="39"/>
      <c r="AF626" s="39"/>
      <c r="AG626" s="39"/>
      <c r="AH626" s="39">
        <f t="shared" si="366"/>
        <v>0</v>
      </c>
      <c r="AI626" s="39"/>
      <c r="AJ626" s="39"/>
      <c r="AK626" s="39"/>
      <c r="AL626" s="39"/>
      <c r="AM626" s="39"/>
      <c r="AN626" s="39">
        <f t="shared" si="394"/>
        <v>0</v>
      </c>
      <c r="AO626" s="39"/>
      <c r="AP626" s="39"/>
      <c r="AQ626" s="39"/>
      <c r="AR626" s="39"/>
      <c r="AS626" s="39"/>
      <c r="AT626" s="39">
        <f t="shared" si="423"/>
        <v>0</v>
      </c>
      <c r="AU626" s="39"/>
      <c r="AV626" s="39"/>
      <c r="AW626" s="39"/>
      <c r="AX626" s="39"/>
      <c r="AY626" s="39"/>
      <c r="AZ626" s="39">
        <f t="shared" si="424"/>
        <v>0</v>
      </c>
      <c r="BA626" s="39"/>
      <c r="BB626" s="39"/>
      <c r="BC626" s="39"/>
      <c r="BD626" s="39"/>
      <c r="BE626" s="39"/>
      <c r="BF626" s="39">
        <f t="shared" si="425"/>
        <v>0</v>
      </c>
      <c r="BG626" s="39"/>
      <c r="BH626" s="39"/>
      <c r="BI626" s="39"/>
      <c r="BJ626" s="39"/>
      <c r="BK626" s="39"/>
      <c r="BL626" s="39">
        <f t="shared" si="370"/>
        <v>0</v>
      </c>
      <c r="BM626" s="54">
        <f t="shared" ca="1" si="426"/>
        <v>46283</v>
      </c>
      <c r="BN626" s="66">
        <v>46280</v>
      </c>
      <c r="BO626" s="117">
        <v>46291</v>
      </c>
      <c r="BP626" s="39"/>
      <c r="BQ626" s="39"/>
      <c r="BR626" s="39"/>
      <c r="BS626" s="39"/>
      <c r="BT626" s="39"/>
      <c r="BU626" s="39"/>
      <c r="BV626" s="39"/>
      <c r="BW626" s="39"/>
      <c r="BX626" s="39"/>
      <c r="BY626" s="39"/>
      <c r="BZ626" s="39">
        <f t="shared" si="372"/>
        <v>0</v>
      </c>
      <c r="CA626" s="39">
        <f t="shared" si="436"/>
        <v>-185</v>
      </c>
      <c r="CB626" s="39">
        <f t="shared" si="428"/>
        <v>-11</v>
      </c>
      <c r="CC626" s="39">
        <f t="shared" si="429"/>
        <v>0</v>
      </c>
      <c r="CD626" s="39">
        <f t="shared" si="430"/>
        <v>-196</v>
      </c>
      <c r="CE626" s="102">
        <f t="shared" si="431"/>
        <v>-1</v>
      </c>
      <c r="CF626" s="36" t="s">
        <v>293</v>
      </c>
      <c r="CG626" s="39" t="s">
        <v>1051</v>
      </c>
      <c r="CH626" s="39"/>
      <c r="CI626" s="25">
        <v>2</v>
      </c>
    </row>
    <row r="627" spans="1:87" ht="24.75" customHeight="1">
      <c r="A627" s="36" t="s">
        <v>387</v>
      </c>
      <c r="B627" s="27" t="s">
        <v>2881</v>
      </c>
      <c r="C627" s="253" t="s">
        <v>1254</v>
      </c>
      <c r="D627" s="36"/>
      <c r="E627" s="39">
        <v>180</v>
      </c>
      <c r="F627" s="39" t="s">
        <v>55</v>
      </c>
      <c r="G627" s="36" t="s">
        <v>23</v>
      </c>
      <c r="H627" s="36" t="s">
        <v>87</v>
      </c>
      <c r="I627" s="39">
        <v>435</v>
      </c>
      <c r="J627" s="39"/>
      <c r="K627" s="39"/>
      <c r="L627" s="39">
        <f t="shared" si="435"/>
        <v>435</v>
      </c>
      <c r="M627" s="117">
        <v>46272</v>
      </c>
      <c r="N627" s="117">
        <v>46277</v>
      </c>
      <c r="O627" s="39"/>
      <c r="P627" s="39"/>
      <c r="Q627" s="39"/>
      <c r="R627" s="39">
        <f t="shared" si="421"/>
        <v>0</v>
      </c>
      <c r="S627" s="39" t="s">
        <v>100</v>
      </c>
      <c r="T627" s="39"/>
      <c r="U627" s="39"/>
      <c r="V627" s="117">
        <v>46281</v>
      </c>
      <c r="W627" s="39">
        <v>477</v>
      </c>
      <c r="X627" s="39"/>
      <c r="Y627" s="39"/>
      <c r="Z627" s="39"/>
      <c r="AA627" s="39"/>
      <c r="AB627" s="118">
        <f t="shared" si="422"/>
        <v>0</v>
      </c>
      <c r="AC627" s="39"/>
      <c r="AD627" s="39"/>
      <c r="AE627" s="39"/>
      <c r="AF627" s="39"/>
      <c r="AG627" s="39"/>
      <c r="AH627" s="39">
        <f t="shared" si="366"/>
        <v>0</v>
      </c>
      <c r="AI627" s="39"/>
      <c r="AJ627" s="39"/>
      <c r="AK627" s="39"/>
      <c r="AL627" s="39"/>
      <c r="AM627" s="39"/>
      <c r="AN627" s="39">
        <f t="shared" si="394"/>
        <v>0</v>
      </c>
      <c r="AO627" s="39"/>
      <c r="AP627" s="39"/>
      <c r="AQ627" s="39"/>
      <c r="AR627" s="39"/>
      <c r="AS627" s="39"/>
      <c r="AT627" s="39">
        <f t="shared" si="423"/>
        <v>0</v>
      </c>
      <c r="AU627" s="39"/>
      <c r="AV627" s="39"/>
      <c r="AW627" s="39"/>
      <c r="AX627" s="39"/>
      <c r="AY627" s="39"/>
      <c r="AZ627" s="39">
        <f t="shared" si="424"/>
        <v>0</v>
      </c>
      <c r="BA627" s="39"/>
      <c r="BB627" s="39"/>
      <c r="BC627" s="39"/>
      <c r="BD627" s="39"/>
      <c r="BE627" s="39"/>
      <c r="BF627" s="39">
        <f t="shared" si="425"/>
        <v>0</v>
      </c>
      <c r="BG627" s="39"/>
      <c r="BH627" s="39"/>
      <c r="BI627" s="39"/>
      <c r="BJ627" s="39"/>
      <c r="BK627" s="39"/>
      <c r="BL627" s="39">
        <f t="shared" si="370"/>
        <v>0</v>
      </c>
      <c r="BM627" s="54">
        <f t="shared" ca="1" si="426"/>
        <v>46283</v>
      </c>
      <c r="BN627" s="66">
        <v>46278</v>
      </c>
      <c r="BO627" s="117">
        <v>46290</v>
      </c>
      <c r="BP627" s="39"/>
      <c r="BQ627" s="39"/>
      <c r="BR627" s="39"/>
      <c r="BS627" s="39"/>
      <c r="BT627" s="39"/>
      <c r="BU627" s="39"/>
      <c r="BV627" s="39"/>
      <c r="BW627" s="39"/>
      <c r="BX627" s="39"/>
      <c r="BY627" s="39"/>
      <c r="BZ627" s="39">
        <f t="shared" si="372"/>
        <v>0</v>
      </c>
      <c r="CA627" s="39">
        <f t="shared" si="436"/>
        <v>-435</v>
      </c>
      <c r="CB627" s="39">
        <f t="shared" si="428"/>
        <v>0</v>
      </c>
      <c r="CC627" s="39">
        <f t="shared" si="429"/>
        <v>0</v>
      </c>
      <c r="CD627" s="39">
        <f t="shared" si="430"/>
        <v>-435</v>
      </c>
      <c r="CE627" s="102">
        <f t="shared" si="431"/>
        <v>-1</v>
      </c>
      <c r="CF627" s="36" t="s">
        <v>249</v>
      </c>
      <c r="CG627" s="39" t="s">
        <v>222</v>
      </c>
      <c r="CH627" s="39"/>
      <c r="CI627" s="25">
        <v>2</v>
      </c>
    </row>
    <row r="628" spans="1:87" ht="24.75" customHeight="1">
      <c r="A628" s="36" t="s">
        <v>387</v>
      </c>
      <c r="B628" s="27" t="s">
        <v>2881</v>
      </c>
      <c r="C628" s="254"/>
      <c r="D628" s="36"/>
      <c r="E628" s="39">
        <v>180</v>
      </c>
      <c r="F628" s="39" t="s">
        <v>55</v>
      </c>
      <c r="G628" s="36" t="s">
        <v>21</v>
      </c>
      <c r="H628" s="36" t="s">
        <v>87</v>
      </c>
      <c r="I628" s="39">
        <v>429</v>
      </c>
      <c r="J628" s="39"/>
      <c r="K628" s="39"/>
      <c r="L628" s="39">
        <f t="shared" si="435"/>
        <v>429</v>
      </c>
      <c r="M628" s="117">
        <v>46272</v>
      </c>
      <c r="N628" s="117">
        <v>46277</v>
      </c>
      <c r="O628" s="39"/>
      <c r="P628" s="39"/>
      <c r="Q628" s="39"/>
      <c r="R628" s="39">
        <f t="shared" ref="R628:R630" si="438">SUM(O628:Q628)</f>
        <v>0</v>
      </c>
      <c r="S628" s="39" t="s">
        <v>326</v>
      </c>
      <c r="T628" s="39"/>
      <c r="U628" s="39"/>
      <c r="V628" s="117">
        <v>46281</v>
      </c>
      <c r="W628" s="39">
        <v>488</v>
      </c>
      <c r="X628" s="39"/>
      <c r="Y628" s="39"/>
      <c r="Z628" s="39"/>
      <c r="AA628" s="39"/>
      <c r="AB628" s="118">
        <f t="shared" ref="AB628:AB630" si="439">SUM(Y628:AA628)</f>
        <v>0</v>
      </c>
      <c r="AC628" s="39"/>
      <c r="AD628" s="39"/>
      <c r="AE628" s="39"/>
      <c r="AF628" s="39"/>
      <c r="AG628" s="39"/>
      <c r="AH628" s="39">
        <f t="shared" si="366"/>
        <v>0</v>
      </c>
      <c r="AI628" s="39"/>
      <c r="AJ628" s="39"/>
      <c r="AK628" s="39"/>
      <c r="AL628" s="39"/>
      <c r="AM628" s="39"/>
      <c r="AN628" s="39">
        <f t="shared" si="394"/>
        <v>0</v>
      </c>
      <c r="AO628" s="39"/>
      <c r="AP628" s="39"/>
      <c r="AQ628" s="39"/>
      <c r="AR628" s="39"/>
      <c r="AS628" s="39"/>
      <c r="AT628" s="39">
        <f t="shared" si="423"/>
        <v>0</v>
      </c>
      <c r="AU628" s="39"/>
      <c r="AV628" s="39"/>
      <c r="AW628" s="39"/>
      <c r="AX628" s="39"/>
      <c r="AY628" s="39"/>
      <c r="AZ628" s="39">
        <f t="shared" si="424"/>
        <v>0</v>
      </c>
      <c r="BA628" s="39"/>
      <c r="BB628" s="39"/>
      <c r="BC628" s="39"/>
      <c r="BD628" s="39"/>
      <c r="BE628" s="39"/>
      <c r="BF628" s="39">
        <f t="shared" si="425"/>
        <v>0</v>
      </c>
      <c r="BG628" s="39"/>
      <c r="BH628" s="39"/>
      <c r="BI628" s="39"/>
      <c r="BJ628" s="39"/>
      <c r="BK628" s="39"/>
      <c r="BL628" s="39">
        <f t="shared" si="370"/>
        <v>0</v>
      </c>
      <c r="BM628" s="54">
        <f t="shared" ca="1" si="426"/>
        <v>46283</v>
      </c>
      <c r="BN628" s="66">
        <v>46278</v>
      </c>
      <c r="BO628" s="117">
        <v>46290</v>
      </c>
      <c r="BP628" s="39"/>
      <c r="BQ628" s="39"/>
      <c r="BR628" s="39"/>
      <c r="BS628" s="39"/>
      <c r="BT628" s="39"/>
      <c r="BU628" s="39"/>
      <c r="BV628" s="39"/>
      <c r="BW628" s="39"/>
      <c r="BX628" s="39"/>
      <c r="BY628" s="39"/>
      <c r="BZ628" s="39">
        <f t="shared" si="372"/>
        <v>0</v>
      </c>
      <c r="CA628" s="39">
        <f t="shared" si="436"/>
        <v>-429</v>
      </c>
      <c r="CB628" s="39">
        <f t="shared" si="428"/>
        <v>0</v>
      </c>
      <c r="CC628" s="39">
        <f t="shared" si="429"/>
        <v>0</v>
      </c>
      <c r="CD628" s="39">
        <f t="shared" si="430"/>
        <v>-429</v>
      </c>
      <c r="CE628" s="102">
        <f t="shared" si="431"/>
        <v>-1</v>
      </c>
      <c r="CF628" s="36" t="s">
        <v>249</v>
      </c>
      <c r="CG628" s="39" t="s">
        <v>222</v>
      </c>
      <c r="CH628" s="39"/>
      <c r="CI628" s="25">
        <v>2</v>
      </c>
    </row>
    <row r="629" spans="1:87" ht="24.75" customHeight="1">
      <c r="A629" s="36" t="s">
        <v>387</v>
      </c>
      <c r="B629" s="160">
        <v>48835</v>
      </c>
      <c r="C629" s="253" t="s">
        <v>2941</v>
      </c>
      <c r="D629" s="36"/>
      <c r="E629" s="39">
        <v>240</v>
      </c>
      <c r="F629" s="39" t="s">
        <v>53</v>
      </c>
      <c r="G629" s="36" t="s">
        <v>2942</v>
      </c>
      <c r="H629" s="36" t="s">
        <v>410</v>
      </c>
      <c r="I629" s="39">
        <v>77</v>
      </c>
      <c r="J629" s="39">
        <v>25</v>
      </c>
      <c r="K629" s="39">
        <v>1</v>
      </c>
      <c r="L629" s="39">
        <f t="shared" si="435"/>
        <v>103</v>
      </c>
      <c r="M629" s="117">
        <v>46274</v>
      </c>
      <c r="N629" s="117">
        <v>46278</v>
      </c>
      <c r="O629" s="39"/>
      <c r="P629" s="39"/>
      <c r="Q629" s="39"/>
      <c r="R629" s="39">
        <f t="shared" si="438"/>
        <v>0</v>
      </c>
      <c r="S629" s="39" t="s">
        <v>130</v>
      </c>
      <c r="T629" s="39"/>
      <c r="U629" s="39"/>
      <c r="V629" s="39"/>
      <c r="W629" s="39"/>
      <c r="X629" s="39"/>
      <c r="Y629" s="39"/>
      <c r="Z629" s="39"/>
      <c r="AA629" s="39"/>
      <c r="AB629" s="118">
        <f t="shared" si="439"/>
        <v>0</v>
      </c>
      <c r="AC629" s="39"/>
      <c r="AD629" s="39"/>
      <c r="AE629" s="39"/>
      <c r="AF629" s="39"/>
      <c r="AG629" s="39"/>
      <c r="AH629" s="39">
        <f t="shared" si="366"/>
        <v>0</v>
      </c>
      <c r="AI629" s="39"/>
      <c r="AJ629" s="39"/>
      <c r="AK629" s="39"/>
      <c r="AL629" s="39"/>
      <c r="AM629" s="39"/>
      <c r="AN629" s="39">
        <f t="shared" si="394"/>
        <v>0</v>
      </c>
      <c r="AO629" s="39"/>
      <c r="AP629" s="39"/>
      <c r="AQ629" s="39"/>
      <c r="AR629" s="39"/>
      <c r="AS629" s="39"/>
      <c r="AT629" s="39">
        <f t="shared" si="423"/>
        <v>0</v>
      </c>
      <c r="AU629" s="39"/>
      <c r="AV629" s="39"/>
      <c r="AW629" s="39"/>
      <c r="AX629" s="39"/>
      <c r="AY629" s="39"/>
      <c r="AZ629" s="39">
        <f t="shared" si="424"/>
        <v>0</v>
      </c>
      <c r="BA629" s="39"/>
      <c r="BB629" s="39"/>
      <c r="BC629" s="39"/>
      <c r="BD629" s="39"/>
      <c r="BE629" s="39"/>
      <c r="BF629" s="39">
        <f t="shared" si="425"/>
        <v>0</v>
      </c>
      <c r="BG629" s="39"/>
      <c r="BH629" s="39"/>
      <c r="BI629" s="39"/>
      <c r="BJ629" s="39"/>
      <c r="BK629" s="39"/>
      <c r="BL629" s="39">
        <f t="shared" si="370"/>
        <v>0</v>
      </c>
      <c r="BM629" s="54">
        <f t="shared" ca="1" si="426"/>
        <v>46283</v>
      </c>
      <c r="BN629" s="66">
        <v>46280</v>
      </c>
      <c r="BO629" s="117">
        <v>46292</v>
      </c>
      <c r="BP629" s="39"/>
      <c r="BQ629" s="39"/>
      <c r="BR629" s="39"/>
      <c r="BS629" s="39"/>
      <c r="BT629" s="39"/>
      <c r="BU629" s="39"/>
      <c r="BV629" s="39"/>
      <c r="BW629" s="39"/>
      <c r="BX629" s="39"/>
      <c r="BY629" s="39"/>
      <c r="BZ629" s="39">
        <f t="shared" si="372"/>
        <v>0</v>
      </c>
      <c r="CA629" s="39">
        <f t="shared" si="436"/>
        <v>-77</v>
      </c>
      <c r="CB629" s="39">
        <f t="shared" si="428"/>
        <v>-25</v>
      </c>
      <c r="CC629" s="39">
        <f t="shared" si="429"/>
        <v>-1</v>
      </c>
      <c r="CD629" s="39">
        <f t="shared" si="430"/>
        <v>-103</v>
      </c>
      <c r="CE629" s="102">
        <f t="shared" si="431"/>
        <v>-1</v>
      </c>
      <c r="CF629" s="36"/>
      <c r="CG629" s="39" t="s">
        <v>1051</v>
      </c>
      <c r="CH629" s="39"/>
      <c r="CI629" s="25">
        <v>2</v>
      </c>
    </row>
    <row r="630" spans="1:87" ht="24.75" customHeight="1">
      <c r="A630" s="36" t="s">
        <v>387</v>
      </c>
      <c r="B630" s="160">
        <v>48835</v>
      </c>
      <c r="C630" s="254"/>
      <c r="D630" s="36"/>
      <c r="E630" s="39">
        <v>240</v>
      </c>
      <c r="F630" s="39" t="s">
        <v>53</v>
      </c>
      <c r="G630" s="36" t="s">
        <v>429</v>
      </c>
      <c r="H630" s="36" t="s">
        <v>410</v>
      </c>
      <c r="I630" s="39">
        <v>90</v>
      </c>
      <c r="J630" s="39">
        <v>30</v>
      </c>
      <c r="K630" s="39">
        <v>2</v>
      </c>
      <c r="L630" s="39">
        <f t="shared" si="435"/>
        <v>122</v>
      </c>
      <c r="M630" s="117">
        <v>46274</v>
      </c>
      <c r="N630" s="117">
        <v>46278</v>
      </c>
      <c r="O630" s="39"/>
      <c r="P630" s="39"/>
      <c r="Q630" s="39"/>
      <c r="R630" s="39">
        <f t="shared" si="438"/>
        <v>0</v>
      </c>
      <c r="S630" s="39" t="s">
        <v>130</v>
      </c>
      <c r="T630" s="39"/>
      <c r="U630" s="39"/>
      <c r="V630" s="39"/>
      <c r="W630" s="39"/>
      <c r="X630" s="39"/>
      <c r="Y630" s="39"/>
      <c r="Z630" s="39"/>
      <c r="AA630" s="39"/>
      <c r="AB630" s="118">
        <f t="shared" si="439"/>
        <v>0</v>
      </c>
      <c r="AC630" s="39"/>
      <c r="AD630" s="39"/>
      <c r="AE630" s="39"/>
      <c r="AF630" s="39"/>
      <c r="AG630" s="39"/>
      <c r="AH630" s="39">
        <f t="shared" si="366"/>
        <v>0</v>
      </c>
      <c r="AI630" s="39"/>
      <c r="AJ630" s="39"/>
      <c r="AK630" s="39"/>
      <c r="AL630" s="39"/>
      <c r="AM630" s="39"/>
      <c r="AN630" s="39">
        <f t="shared" si="394"/>
        <v>0</v>
      </c>
      <c r="AO630" s="39"/>
      <c r="AP630" s="39"/>
      <c r="AQ630" s="39"/>
      <c r="AR630" s="39"/>
      <c r="AS630" s="39"/>
      <c r="AT630" s="39">
        <f t="shared" si="423"/>
        <v>0</v>
      </c>
      <c r="AU630" s="39"/>
      <c r="AV630" s="39"/>
      <c r="AW630" s="39"/>
      <c r="AX630" s="39"/>
      <c r="AY630" s="39"/>
      <c r="AZ630" s="39">
        <f t="shared" si="424"/>
        <v>0</v>
      </c>
      <c r="BA630" s="39"/>
      <c r="BB630" s="39"/>
      <c r="BC630" s="39"/>
      <c r="BD630" s="39"/>
      <c r="BE630" s="39"/>
      <c r="BF630" s="39">
        <f t="shared" si="425"/>
        <v>0</v>
      </c>
      <c r="BG630" s="39"/>
      <c r="BH630" s="39"/>
      <c r="BI630" s="39"/>
      <c r="BJ630" s="39"/>
      <c r="BK630" s="39"/>
      <c r="BL630" s="39">
        <f t="shared" si="370"/>
        <v>0</v>
      </c>
      <c r="BM630" s="54">
        <f t="shared" ca="1" si="426"/>
        <v>46283</v>
      </c>
      <c r="BN630" s="66">
        <v>46280</v>
      </c>
      <c r="BO630" s="117">
        <v>46292</v>
      </c>
      <c r="BP630" s="39"/>
      <c r="BQ630" s="39"/>
      <c r="BR630" s="39"/>
      <c r="BS630" s="39"/>
      <c r="BT630" s="39"/>
      <c r="BU630" s="39"/>
      <c r="BV630" s="39"/>
      <c r="BW630" s="39"/>
      <c r="BX630" s="39"/>
      <c r="BY630" s="39"/>
      <c r="BZ630" s="39">
        <f t="shared" si="372"/>
        <v>0</v>
      </c>
      <c r="CA630" s="39">
        <f t="shared" si="436"/>
        <v>-90</v>
      </c>
      <c r="CB630" s="39">
        <f t="shared" si="428"/>
        <v>-30</v>
      </c>
      <c r="CC630" s="39">
        <f t="shared" si="429"/>
        <v>-2</v>
      </c>
      <c r="CD630" s="39">
        <f t="shared" si="430"/>
        <v>-122</v>
      </c>
      <c r="CE630" s="102">
        <f t="shared" si="431"/>
        <v>-1</v>
      </c>
      <c r="CF630" s="36"/>
      <c r="CG630" s="39" t="s">
        <v>1051</v>
      </c>
      <c r="CH630" s="39"/>
      <c r="CI630" s="25">
        <v>2</v>
      </c>
    </row>
    <row r="631" spans="1:87" ht="24.75" customHeight="1">
      <c r="A631" s="36" t="s">
        <v>387</v>
      </c>
      <c r="B631" s="27"/>
      <c r="C631" s="36"/>
      <c r="D631" s="36"/>
      <c r="E631" s="39"/>
      <c r="F631" s="39"/>
      <c r="G631" s="36"/>
      <c r="H631" s="39"/>
      <c r="I631" s="39"/>
      <c r="J631" s="39"/>
      <c r="K631" s="39"/>
      <c r="L631" s="39">
        <f t="shared" ref="L631:L639" si="440">SUM(I631:K631)</f>
        <v>0</v>
      </c>
      <c r="M631" s="39"/>
      <c r="N631" s="39"/>
      <c r="O631" s="39"/>
      <c r="P631" s="39"/>
      <c r="Q631" s="39"/>
      <c r="R631" s="39">
        <f t="shared" ref="R631:R642" si="441">SUM(O631:Q631)</f>
        <v>0</v>
      </c>
      <c r="S631" s="39"/>
      <c r="T631" s="39"/>
      <c r="U631" s="39"/>
      <c r="V631" s="39"/>
      <c r="W631" s="39"/>
      <c r="X631" s="39"/>
      <c r="Y631" s="39"/>
      <c r="Z631" s="39"/>
      <c r="AA631" s="39"/>
      <c r="AB631" s="39">
        <f t="shared" ref="AB631:AB642" si="442">SUM(Y631:AA631)</f>
        <v>0</v>
      </c>
      <c r="AC631" s="39"/>
      <c r="AD631" s="39"/>
      <c r="AE631" s="39"/>
      <c r="AF631" s="39"/>
      <c r="AG631" s="39"/>
      <c r="AH631" s="39">
        <f t="shared" si="366"/>
        <v>0</v>
      </c>
      <c r="AI631" s="39"/>
      <c r="AJ631" s="39"/>
      <c r="AK631" s="39"/>
      <c r="AL631" s="39"/>
      <c r="AM631" s="39"/>
      <c r="AN631" s="39">
        <f t="shared" si="196"/>
        <v>0</v>
      </c>
      <c r="AO631" s="39"/>
      <c r="AP631" s="39"/>
      <c r="AQ631" s="39"/>
      <c r="AR631" s="39"/>
      <c r="AS631" s="39"/>
      <c r="AT631" s="39">
        <f t="shared" si="367"/>
        <v>0</v>
      </c>
      <c r="AU631" s="39"/>
      <c r="AV631" s="39"/>
      <c r="AW631" s="39"/>
      <c r="AX631" s="39"/>
      <c r="AY631" s="39"/>
      <c r="AZ631" s="39">
        <f t="shared" si="368"/>
        <v>0</v>
      </c>
      <c r="BA631" s="39"/>
      <c r="BB631" s="39"/>
      <c r="BC631" s="39"/>
      <c r="BD631" s="39"/>
      <c r="BE631" s="39"/>
      <c r="BF631" s="39">
        <f t="shared" si="369"/>
        <v>0</v>
      </c>
      <c r="BG631" s="39"/>
      <c r="BH631" s="39"/>
      <c r="BI631" s="39"/>
      <c r="BJ631" s="39"/>
      <c r="BK631" s="39"/>
      <c r="BL631" s="39">
        <f t="shared" si="370"/>
        <v>0</v>
      </c>
      <c r="BM631" s="54" t="e">
        <f t="shared" si="371"/>
        <v>#DIV/0!</v>
      </c>
      <c r="BN631" s="67"/>
      <c r="BO631" s="39"/>
      <c r="BP631" s="39"/>
      <c r="BQ631" s="39"/>
      <c r="BR631" s="39"/>
      <c r="BS631" s="39"/>
      <c r="BT631" s="39"/>
      <c r="BU631" s="39"/>
      <c r="BV631" s="39"/>
      <c r="BW631" s="39"/>
      <c r="BX631" s="39"/>
      <c r="BY631" s="39"/>
      <c r="BZ631" s="39">
        <f t="shared" si="372"/>
        <v>0</v>
      </c>
      <c r="CA631" s="39">
        <f t="shared" si="373"/>
        <v>0</v>
      </c>
      <c r="CB631" s="39">
        <f t="shared" si="374"/>
        <v>0</v>
      </c>
      <c r="CC631" s="39">
        <f t="shared" si="375"/>
        <v>0</v>
      </c>
      <c r="CD631" s="39">
        <f t="shared" si="376"/>
        <v>0</v>
      </c>
      <c r="CE631" s="47" t="e">
        <f t="shared" si="377"/>
        <v>#DIV/0!</v>
      </c>
      <c r="CF631" s="36"/>
      <c r="CG631" s="39"/>
      <c r="CH631" s="39"/>
      <c r="CI631" s="25">
        <v>2</v>
      </c>
    </row>
    <row r="632" spans="1:87" ht="24.75" customHeight="1">
      <c r="A632" s="36" t="s">
        <v>387</v>
      </c>
      <c r="B632" s="27"/>
      <c r="C632" s="36"/>
      <c r="D632" s="36"/>
      <c r="E632" s="39"/>
      <c r="F632" s="39"/>
      <c r="G632" s="36"/>
      <c r="H632" s="39"/>
      <c r="I632" s="39"/>
      <c r="J632" s="39"/>
      <c r="K632" s="39"/>
      <c r="L632" s="39">
        <f t="shared" si="440"/>
        <v>0</v>
      </c>
      <c r="M632" s="39"/>
      <c r="N632" s="39"/>
      <c r="O632" s="39"/>
      <c r="P632" s="39"/>
      <c r="Q632" s="39"/>
      <c r="R632" s="39">
        <f t="shared" si="441"/>
        <v>0</v>
      </c>
      <c r="S632" s="39"/>
      <c r="T632" s="39"/>
      <c r="U632" s="39"/>
      <c r="V632" s="39"/>
      <c r="W632" s="39"/>
      <c r="X632" s="39"/>
      <c r="Y632" s="39"/>
      <c r="Z632" s="39"/>
      <c r="AA632" s="39"/>
      <c r="AB632" s="39">
        <f t="shared" si="442"/>
        <v>0</v>
      </c>
      <c r="AC632" s="39"/>
      <c r="AD632" s="39"/>
      <c r="AE632" s="39"/>
      <c r="AF632" s="39"/>
      <c r="AG632" s="39"/>
      <c r="AH632" s="39">
        <f t="shared" si="366"/>
        <v>0</v>
      </c>
      <c r="AI632" s="39"/>
      <c r="AJ632" s="39"/>
      <c r="AK632" s="39"/>
      <c r="AL632" s="39"/>
      <c r="AM632" s="39"/>
      <c r="AN632" s="39">
        <f t="shared" si="196"/>
        <v>0</v>
      </c>
      <c r="AO632" s="39"/>
      <c r="AP632" s="39"/>
      <c r="AQ632" s="39"/>
      <c r="AR632" s="39"/>
      <c r="AS632" s="39"/>
      <c r="AT632" s="39">
        <f t="shared" si="367"/>
        <v>0</v>
      </c>
      <c r="AU632" s="39"/>
      <c r="AV632" s="39"/>
      <c r="AW632" s="39"/>
      <c r="AX632" s="39"/>
      <c r="AY632" s="39"/>
      <c r="AZ632" s="39">
        <f t="shared" si="368"/>
        <v>0</v>
      </c>
      <c r="BA632" s="39"/>
      <c r="BB632" s="39"/>
      <c r="BC632" s="39"/>
      <c r="BD632" s="39"/>
      <c r="BE632" s="39"/>
      <c r="BF632" s="39">
        <f t="shared" si="369"/>
        <v>0</v>
      </c>
      <c r="BG632" s="39"/>
      <c r="BH632" s="39"/>
      <c r="BI632" s="39"/>
      <c r="BJ632" s="39"/>
      <c r="BK632" s="39"/>
      <c r="BL632" s="39">
        <f t="shared" si="370"/>
        <v>0</v>
      </c>
      <c r="BM632" s="54" t="e">
        <f t="shared" si="371"/>
        <v>#DIV/0!</v>
      </c>
      <c r="BN632" s="67"/>
      <c r="BO632" s="39"/>
      <c r="BP632" s="39"/>
      <c r="BQ632" s="39"/>
      <c r="BR632" s="39"/>
      <c r="BS632" s="39"/>
      <c r="BT632" s="39"/>
      <c r="BU632" s="39"/>
      <c r="BV632" s="39"/>
      <c r="BW632" s="39"/>
      <c r="BX632" s="39"/>
      <c r="BY632" s="39"/>
      <c r="BZ632" s="39">
        <f t="shared" si="372"/>
        <v>0</v>
      </c>
      <c r="CA632" s="39">
        <f t="shared" si="373"/>
        <v>0</v>
      </c>
      <c r="CB632" s="39">
        <f t="shared" si="374"/>
        <v>0</v>
      </c>
      <c r="CC632" s="39">
        <f t="shared" si="375"/>
        <v>0</v>
      </c>
      <c r="CD632" s="39">
        <f t="shared" si="376"/>
        <v>0</v>
      </c>
      <c r="CE632" s="47" t="e">
        <f t="shared" si="377"/>
        <v>#DIV/0!</v>
      </c>
      <c r="CF632" s="36"/>
      <c r="CG632" s="39"/>
      <c r="CH632" s="39"/>
      <c r="CI632" s="25">
        <v>2</v>
      </c>
    </row>
    <row r="633" spans="1:87" ht="24.75" customHeight="1">
      <c r="A633" s="36" t="s">
        <v>387</v>
      </c>
      <c r="B633" s="27"/>
      <c r="C633" s="36"/>
      <c r="D633" s="36"/>
      <c r="E633" s="39"/>
      <c r="F633" s="39"/>
      <c r="G633" s="36"/>
      <c r="H633" s="39"/>
      <c r="I633" s="39"/>
      <c r="J633" s="39"/>
      <c r="K633" s="39"/>
      <c r="L633" s="39">
        <f t="shared" si="440"/>
        <v>0</v>
      </c>
      <c r="M633" s="39"/>
      <c r="N633" s="39"/>
      <c r="O633" s="39"/>
      <c r="P633" s="39"/>
      <c r="Q633" s="39"/>
      <c r="R633" s="39">
        <f t="shared" si="441"/>
        <v>0</v>
      </c>
      <c r="S633" s="39"/>
      <c r="T633" s="39"/>
      <c r="U633" s="39"/>
      <c r="V633" s="39"/>
      <c r="W633" s="39"/>
      <c r="X633" s="39"/>
      <c r="Y633" s="39"/>
      <c r="Z633" s="39"/>
      <c r="AA633" s="39"/>
      <c r="AB633" s="39">
        <f t="shared" si="442"/>
        <v>0</v>
      </c>
      <c r="AC633" s="39"/>
      <c r="AD633" s="39"/>
      <c r="AE633" s="39"/>
      <c r="AF633" s="39"/>
      <c r="AG633" s="39"/>
      <c r="AH633" s="39">
        <f t="shared" si="366"/>
        <v>0</v>
      </c>
      <c r="AI633" s="39"/>
      <c r="AJ633" s="39"/>
      <c r="AK633" s="39"/>
      <c r="AL633" s="39"/>
      <c r="AM633" s="39"/>
      <c r="AN633" s="39">
        <f t="shared" si="196"/>
        <v>0</v>
      </c>
      <c r="AO633" s="39"/>
      <c r="AP633" s="39"/>
      <c r="AQ633" s="39"/>
      <c r="AR633" s="39"/>
      <c r="AS633" s="39"/>
      <c r="AT633" s="39">
        <f t="shared" si="367"/>
        <v>0</v>
      </c>
      <c r="AU633" s="39"/>
      <c r="AV633" s="39"/>
      <c r="AW633" s="39"/>
      <c r="AX633" s="39"/>
      <c r="AY633" s="39"/>
      <c r="AZ633" s="39">
        <f t="shared" si="368"/>
        <v>0</v>
      </c>
      <c r="BA633" s="39"/>
      <c r="BB633" s="39"/>
      <c r="BC633" s="39"/>
      <c r="BD633" s="39"/>
      <c r="BE633" s="39"/>
      <c r="BF633" s="39">
        <f t="shared" si="369"/>
        <v>0</v>
      </c>
      <c r="BG633" s="39"/>
      <c r="BH633" s="39"/>
      <c r="BI633" s="39"/>
      <c r="BJ633" s="39"/>
      <c r="BK633" s="39"/>
      <c r="BL633" s="39">
        <f t="shared" si="370"/>
        <v>0</v>
      </c>
      <c r="BM633" s="54" t="e">
        <f t="shared" si="371"/>
        <v>#DIV/0!</v>
      </c>
      <c r="BN633" s="67"/>
      <c r="BO633" s="39"/>
      <c r="BP633" s="39"/>
      <c r="BQ633" s="39"/>
      <c r="BR633" s="39"/>
      <c r="BS633" s="39"/>
      <c r="BT633" s="39"/>
      <c r="BU633" s="39"/>
      <c r="BV633" s="39"/>
      <c r="BW633" s="39"/>
      <c r="BX633" s="39"/>
      <c r="BY633" s="39"/>
      <c r="BZ633" s="39">
        <f t="shared" si="372"/>
        <v>0</v>
      </c>
      <c r="CA633" s="39">
        <f t="shared" si="373"/>
        <v>0</v>
      </c>
      <c r="CB633" s="39">
        <f t="shared" si="374"/>
        <v>0</v>
      </c>
      <c r="CC633" s="39">
        <f t="shared" si="375"/>
        <v>0</v>
      </c>
      <c r="CD633" s="39">
        <f t="shared" si="376"/>
        <v>0</v>
      </c>
      <c r="CE633" s="47" t="e">
        <f t="shared" si="377"/>
        <v>#DIV/0!</v>
      </c>
      <c r="CF633" s="36"/>
      <c r="CG633" s="39"/>
      <c r="CH633" s="39"/>
      <c r="CI633" s="25">
        <v>2</v>
      </c>
    </row>
    <row r="634" spans="1:87" ht="24.75" customHeight="1">
      <c r="A634" s="36" t="s">
        <v>387</v>
      </c>
      <c r="B634" s="27"/>
      <c r="C634" s="36"/>
      <c r="D634" s="36"/>
      <c r="E634" s="39"/>
      <c r="F634" s="39"/>
      <c r="G634" s="36"/>
      <c r="H634" s="39"/>
      <c r="I634" s="39"/>
      <c r="J634" s="39"/>
      <c r="K634" s="39"/>
      <c r="L634" s="39">
        <f t="shared" si="440"/>
        <v>0</v>
      </c>
      <c r="M634" s="39"/>
      <c r="N634" s="39"/>
      <c r="O634" s="39"/>
      <c r="P634" s="39"/>
      <c r="Q634" s="39"/>
      <c r="R634" s="39">
        <f t="shared" si="441"/>
        <v>0</v>
      </c>
      <c r="S634" s="39"/>
      <c r="T634" s="39"/>
      <c r="U634" s="39"/>
      <c r="V634" s="39"/>
      <c r="W634" s="39"/>
      <c r="X634" s="39"/>
      <c r="Y634" s="39"/>
      <c r="Z634" s="39"/>
      <c r="AA634" s="39"/>
      <c r="AB634" s="39">
        <f t="shared" si="442"/>
        <v>0</v>
      </c>
      <c r="AC634" s="39"/>
      <c r="AD634" s="39"/>
      <c r="AE634" s="39"/>
      <c r="AF634" s="39"/>
      <c r="AG634" s="39"/>
      <c r="AH634" s="39">
        <f t="shared" si="366"/>
        <v>0</v>
      </c>
      <c r="AI634" s="39"/>
      <c r="AJ634" s="39"/>
      <c r="AK634" s="39"/>
      <c r="AL634" s="39"/>
      <c r="AM634" s="39"/>
      <c r="AN634" s="39">
        <f t="shared" si="196"/>
        <v>0</v>
      </c>
      <c r="AO634" s="39"/>
      <c r="AP634" s="39"/>
      <c r="AQ634" s="39"/>
      <c r="AR634" s="39"/>
      <c r="AS634" s="39"/>
      <c r="AT634" s="39">
        <f t="shared" si="367"/>
        <v>0</v>
      </c>
      <c r="AU634" s="39"/>
      <c r="AV634" s="39"/>
      <c r="AW634" s="39"/>
      <c r="AX634" s="39"/>
      <c r="AY634" s="39"/>
      <c r="AZ634" s="39">
        <f t="shared" si="368"/>
        <v>0</v>
      </c>
      <c r="BA634" s="39"/>
      <c r="BB634" s="39"/>
      <c r="BC634" s="39"/>
      <c r="BD634" s="39"/>
      <c r="BE634" s="39"/>
      <c r="BF634" s="39">
        <f t="shared" si="369"/>
        <v>0</v>
      </c>
      <c r="BG634" s="39"/>
      <c r="BH634" s="39"/>
      <c r="BI634" s="39"/>
      <c r="BJ634" s="39"/>
      <c r="BK634" s="39"/>
      <c r="BL634" s="39">
        <f t="shared" si="370"/>
        <v>0</v>
      </c>
      <c r="BM634" s="54" t="e">
        <f t="shared" si="371"/>
        <v>#DIV/0!</v>
      </c>
      <c r="BN634" s="67"/>
      <c r="BO634" s="39"/>
      <c r="BP634" s="39"/>
      <c r="BQ634" s="39"/>
      <c r="BR634" s="39"/>
      <c r="BS634" s="39"/>
      <c r="BT634" s="39"/>
      <c r="BU634" s="39"/>
      <c r="BV634" s="39"/>
      <c r="BW634" s="39"/>
      <c r="BX634" s="39"/>
      <c r="BY634" s="39"/>
      <c r="BZ634" s="39">
        <f t="shared" si="372"/>
        <v>0</v>
      </c>
      <c r="CA634" s="39">
        <f t="shared" si="373"/>
        <v>0</v>
      </c>
      <c r="CB634" s="39">
        <f t="shared" si="374"/>
        <v>0</v>
      </c>
      <c r="CC634" s="39">
        <f t="shared" si="375"/>
        <v>0</v>
      </c>
      <c r="CD634" s="39">
        <f t="shared" si="376"/>
        <v>0</v>
      </c>
      <c r="CE634" s="47" t="e">
        <f t="shared" si="377"/>
        <v>#DIV/0!</v>
      </c>
      <c r="CF634" s="36"/>
      <c r="CG634" s="39"/>
      <c r="CH634" s="39"/>
      <c r="CI634" s="25">
        <v>2</v>
      </c>
    </row>
    <row r="635" spans="1:87" ht="24.75" customHeight="1">
      <c r="A635" s="36" t="s">
        <v>387</v>
      </c>
      <c r="B635" s="27"/>
      <c r="C635" s="36"/>
      <c r="D635" s="36"/>
      <c r="E635" s="39"/>
      <c r="F635" s="39"/>
      <c r="G635" s="36"/>
      <c r="H635" s="39"/>
      <c r="I635" s="39"/>
      <c r="J635" s="39"/>
      <c r="K635" s="39"/>
      <c r="L635" s="39">
        <f t="shared" si="440"/>
        <v>0</v>
      </c>
      <c r="M635" s="39"/>
      <c r="N635" s="39"/>
      <c r="O635" s="39"/>
      <c r="P635" s="39"/>
      <c r="Q635" s="39"/>
      <c r="R635" s="39">
        <f t="shared" si="441"/>
        <v>0</v>
      </c>
      <c r="S635" s="39"/>
      <c r="T635" s="39"/>
      <c r="U635" s="39"/>
      <c r="V635" s="39"/>
      <c r="W635" s="39"/>
      <c r="X635" s="39"/>
      <c r="Y635" s="39"/>
      <c r="Z635" s="39"/>
      <c r="AA635" s="39"/>
      <c r="AB635" s="39">
        <f t="shared" si="442"/>
        <v>0</v>
      </c>
      <c r="AC635" s="39"/>
      <c r="AD635" s="39"/>
      <c r="AE635" s="39"/>
      <c r="AF635" s="39"/>
      <c r="AG635" s="39"/>
      <c r="AH635" s="39">
        <f t="shared" si="366"/>
        <v>0</v>
      </c>
      <c r="AI635" s="39"/>
      <c r="AJ635" s="39"/>
      <c r="AK635" s="39"/>
      <c r="AL635" s="39"/>
      <c r="AM635" s="39"/>
      <c r="AN635" s="39">
        <f t="shared" si="196"/>
        <v>0</v>
      </c>
      <c r="AO635" s="39"/>
      <c r="AP635" s="39"/>
      <c r="AQ635" s="39"/>
      <c r="AR635" s="39"/>
      <c r="AS635" s="39"/>
      <c r="AT635" s="39">
        <f t="shared" si="367"/>
        <v>0</v>
      </c>
      <c r="AU635" s="39"/>
      <c r="AV635" s="39"/>
      <c r="AW635" s="39"/>
      <c r="AX635" s="39"/>
      <c r="AY635" s="39"/>
      <c r="AZ635" s="39">
        <f t="shared" si="368"/>
        <v>0</v>
      </c>
      <c r="BA635" s="39"/>
      <c r="BB635" s="39"/>
      <c r="BC635" s="39"/>
      <c r="BD635" s="39"/>
      <c r="BE635" s="39"/>
      <c r="BF635" s="39">
        <f t="shared" si="369"/>
        <v>0</v>
      </c>
      <c r="BG635" s="39"/>
      <c r="BH635" s="39"/>
      <c r="BI635" s="39"/>
      <c r="BJ635" s="39"/>
      <c r="BK635" s="39"/>
      <c r="BL635" s="39">
        <f t="shared" si="370"/>
        <v>0</v>
      </c>
      <c r="BM635" s="54" t="e">
        <f t="shared" si="371"/>
        <v>#DIV/0!</v>
      </c>
      <c r="BN635" s="67"/>
      <c r="BO635" s="39"/>
      <c r="BP635" s="39"/>
      <c r="BQ635" s="39"/>
      <c r="BR635" s="39"/>
      <c r="BS635" s="39"/>
      <c r="BT635" s="39"/>
      <c r="BU635" s="39"/>
      <c r="BV635" s="39"/>
      <c r="BW635" s="39"/>
      <c r="BX635" s="39"/>
      <c r="BY635" s="39"/>
      <c r="BZ635" s="39">
        <f t="shared" si="372"/>
        <v>0</v>
      </c>
      <c r="CA635" s="39">
        <f t="shared" si="373"/>
        <v>0</v>
      </c>
      <c r="CB635" s="39">
        <f t="shared" si="374"/>
        <v>0</v>
      </c>
      <c r="CC635" s="39">
        <f t="shared" si="375"/>
        <v>0</v>
      </c>
      <c r="CD635" s="39">
        <f t="shared" si="376"/>
        <v>0</v>
      </c>
      <c r="CE635" s="47" t="e">
        <f t="shared" si="377"/>
        <v>#DIV/0!</v>
      </c>
      <c r="CF635" s="36"/>
      <c r="CG635" s="39"/>
      <c r="CH635" s="39"/>
      <c r="CI635" s="25">
        <v>2</v>
      </c>
    </row>
    <row r="636" spans="1:87" ht="24.75" customHeight="1">
      <c r="A636" s="36" t="s">
        <v>387</v>
      </c>
      <c r="B636" s="27"/>
      <c r="C636" s="36"/>
      <c r="D636" s="36"/>
      <c r="E636" s="39"/>
      <c r="F636" s="39"/>
      <c r="G636" s="36"/>
      <c r="H636" s="39"/>
      <c r="I636" s="39"/>
      <c r="J636" s="39"/>
      <c r="K636" s="39"/>
      <c r="L636" s="39">
        <f t="shared" si="440"/>
        <v>0</v>
      </c>
      <c r="M636" s="39"/>
      <c r="N636" s="39"/>
      <c r="O636" s="39"/>
      <c r="P636" s="39"/>
      <c r="Q636" s="39"/>
      <c r="R636" s="39">
        <f t="shared" si="441"/>
        <v>0</v>
      </c>
      <c r="S636" s="39"/>
      <c r="T636" s="39"/>
      <c r="U636" s="39"/>
      <c r="V636" s="39"/>
      <c r="W636" s="39"/>
      <c r="X636" s="39"/>
      <c r="Y636" s="39"/>
      <c r="Z636" s="39"/>
      <c r="AA636" s="39"/>
      <c r="AB636" s="39">
        <f t="shared" si="442"/>
        <v>0</v>
      </c>
      <c r="AC636" s="39"/>
      <c r="AD636" s="39"/>
      <c r="AE636" s="39"/>
      <c r="AF636" s="39"/>
      <c r="AG636" s="39"/>
      <c r="AH636" s="39">
        <f t="shared" si="366"/>
        <v>0</v>
      </c>
      <c r="AI636" s="39"/>
      <c r="AJ636" s="39"/>
      <c r="AK636" s="39"/>
      <c r="AL636" s="39"/>
      <c r="AM636" s="39"/>
      <c r="AN636" s="39">
        <f t="shared" si="196"/>
        <v>0</v>
      </c>
      <c r="AO636" s="39"/>
      <c r="AP636" s="39"/>
      <c r="AQ636" s="39"/>
      <c r="AR636" s="39"/>
      <c r="AS636" s="39"/>
      <c r="AT636" s="39">
        <f t="shared" si="367"/>
        <v>0</v>
      </c>
      <c r="AU636" s="39"/>
      <c r="AV636" s="39"/>
      <c r="AW636" s="39"/>
      <c r="AX636" s="39"/>
      <c r="AY636" s="39"/>
      <c r="AZ636" s="39">
        <f t="shared" si="368"/>
        <v>0</v>
      </c>
      <c r="BA636" s="39"/>
      <c r="BB636" s="39"/>
      <c r="BC636" s="39"/>
      <c r="BD636" s="39"/>
      <c r="BE636" s="39"/>
      <c r="BF636" s="39">
        <f t="shared" si="369"/>
        <v>0</v>
      </c>
      <c r="BG636" s="39"/>
      <c r="BH636" s="39"/>
      <c r="BI636" s="39"/>
      <c r="BJ636" s="39"/>
      <c r="BK636" s="39"/>
      <c r="BL636" s="39">
        <f t="shared" si="370"/>
        <v>0</v>
      </c>
      <c r="BM636" s="54" t="e">
        <f t="shared" si="371"/>
        <v>#DIV/0!</v>
      </c>
      <c r="BN636" s="67"/>
      <c r="BO636" s="39"/>
      <c r="BP636" s="39"/>
      <c r="BQ636" s="39"/>
      <c r="BR636" s="39"/>
      <c r="BS636" s="39"/>
      <c r="BT636" s="39"/>
      <c r="BU636" s="39"/>
      <c r="BV636" s="39"/>
      <c r="BW636" s="39"/>
      <c r="BX636" s="39"/>
      <c r="BY636" s="39"/>
      <c r="BZ636" s="39">
        <f t="shared" si="372"/>
        <v>0</v>
      </c>
      <c r="CA636" s="39">
        <f t="shared" si="373"/>
        <v>0</v>
      </c>
      <c r="CB636" s="39">
        <f t="shared" si="374"/>
        <v>0</v>
      </c>
      <c r="CC636" s="39">
        <f t="shared" si="375"/>
        <v>0</v>
      </c>
      <c r="CD636" s="39">
        <f t="shared" si="376"/>
        <v>0</v>
      </c>
      <c r="CE636" s="47" t="e">
        <f t="shared" si="377"/>
        <v>#DIV/0!</v>
      </c>
      <c r="CF636" s="36"/>
      <c r="CG636" s="39"/>
      <c r="CH636" s="39"/>
      <c r="CI636" s="25">
        <v>2</v>
      </c>
    </row>
    <row r="637" spans="1:87" ht="24.75" customHeight="1">
      <c r="A637" s="36" t="s">
        <v>387</v>
      </c>
      <c r="B637" s="27">
        <v>48622</v>
      </c>
      <c r="C637" s="227">
        <v>15391921</v>
      </c>
      <c r="D637" s="36"/>
      <c r="E637" s="39">
        <v>140</v>
      </c>
      <c r="F637" s="39" t="s">
        <v>57</v>
      </c>
      <c r="G637" s="36" t="s">
        <v>47</v>
      </c>
      <c r="H637" s="36" t="s">
        <v>22</v>
      </c>
      <c r="I637" s="39">
        <v>335</v>
      </c>
      <c r="J637" s="39">
        <v>27</v>
      </c>
      <c r="K637" s="39"/>
      <c r="L637" s="39">
        <f t="shared" si="440"/>
        <v>362</v>
      </c>
      <c r="M637" s="117">
        <v>46275</v>
      </c>
      <c r="N637" s="117">
        <v>46281</v>
      </c>
      <c r="O637" s="39"/>
      <c r="P637" s="39"/>
      <c r="Q637" s="39"/>
      <c r="R637" s="39">
        <f t="shared" si="441"/>
        <v>0</v>
      </c>
      <c r="S637" s="39" t="s">
        <v>130</v>
      </c>
      <c r="T637" s="39">
        <v>108912</v>
      </c>
      <c r="U637" s="117">
        <v>46259</v>
      </c>
      <c r="V637" s="39"/>
      <c r="W637" s="39"/>
      <c r="X637" s="39"/>
      <c r="Y637" s="39">
        <v>381</v>
      </c>
      <c r="Z637" s="39">
        <v>31</v>
      </c>
      <c r="AA637" s="39"/>
      <c r="AB637" s="119">
        <f t="shared" si="442"/>
        <v>412</v>
      </c>
      <c r="AC637" s="39"/>
      <c r="AD637" s="39"/>
      <c r="AE637" s="39"/>
      <c r="AF637" s="39"/>
      <c r="AG637" s="39"/>
      <c r="AH637" s="39">
        <f t="shared" si="366"/>
        <v>0</v>
      </c>
      <c r="AI637" s="39"/>
      <c r="AJ637" s="39"/>
      <c r="AK637" s="39"/>
      <c r="AL637" s="39"/>
      <c r="AM637" s="39"/>
      <c r="AN637" s="39">
        <f t="shared" si="196"/>
        <v>0</v>
      </c>
      <c r="AO637" s="39"/>
      <c r="AP637" s="39"/>
      <c r="AQ637" s="39"/>
      <c r="AR637" s="39"/>
      <c r="AS637" s="39"/>
      <c r="AT637" s="39">
        <f t="shared" si="367"/>
        <v>0</v>
      </c>
      <c r="AU637" s="39"/>
      <c r="AV637" s="39"/>
      <c r="AW637" s="39"/>
      <c r="AX637" s="39"/>
      <c r="AY637" s="39"/>
      <c r="AZ637" s="39">
        <f t="shared" si="368"/>
        <v>0</v>
      </c>
      <c r="BA637" s="39"/>
      <c r="BB637" s="39"/>
      <c r="BC637" s="39"/>
      <c r="BD637" s="39"/>
      <c r="BE637" s="39"/>
      <c r="BF637" s="39">
        <f t="shared" si="369"/>
        <v>0</v>
      </c>
      <c r="BG637" s="39"/>
      <c r="BH637" s="39"/>
      <c r="BI637" s="39"/>
      <c r="BJ637" s="39"/>
      <c r="BK637" s="39"/>
      <c r="BL637" s="39">
        <f t="shared" si="370"/>
        <v>0</v>
      </c>
      <c r="BM637" s="54" t="str">
        <f t="shared" si="371"/>
        <v/>
      </c>
      <c r="BN637" s="60">
        <v>46288</v>
      </c>
      <c r="BO637" s="57">
        <v>46305</v>
      </c>
      <c r="BP637" s="36"/>
      <c r="BQ637" s="36"/>
      <c r="BR637" s="117">
        <v>46261</v>
      </c>
      <c r="BS637" s="117">
        <v>46270</v>
      </c>
      <c r="BT637" s="39">
        <v>701</v>
      </c>
      <c r="BU637" s="39">
        <v>340</v>
      </c>
      <c r="BV637" s="39">
        <v>756</v>
      </c>
      <c r="BW637" s="39">
        <f>26</f>
        <v>26</v>
      </c>
      <c r="BX637" s="39"/>
      <c r="BY637" s="39"/>
      <c r="BZ637" s="39">
        <f t="shared" si="372"/>
        <v>366</v>
      </c>
      <c r="CA637" s="39">
        <f t="shared" si="373"/>
        <v>5</v>
      </c>
      <c r="CB637" s="39">
        <f t="shared" si="374"/>
        <v>-1</v>
      </c>
      <c r="CC637" s="39">
        <f t="shared" si="375"/>
        <v>0</v>
      </c>
      <c r="CD637" s="39">
        <v>0</v>
      </c>
      <c r="CE637" s="102">
        <f t="shared" si="377"/>
        <v>0</v>
      </c>
      <c r="CF637" s="36" t="s">
        <v>250</v>
      </c>
      <c r="CG637" s="39" t="s">
        <v>415</v>
      </c>
      <c r="CH637" s="39" t="s">
        <v>114</v>
      </c>
      <c r="CI637" s="25">
        <v>3</v>
      </c>
    </row>
    <row r="638" spans="1:87" ht="24.75" customHeight="1">
      <c r="A638" s="36" t="s">
        <v>387</v>
      </c>
      <c r="B638" s="27">
        <v>48622</v>
      </c>
      <c r="C638" s="231"/>
      <c r="D638" s="36"/>
      <c r="E638" s="39">
        <v>140</v>
      </c>
      <c r="F638" s="39" t="s">
        <v>57</v>
      </c>
      <c r="G638" s="36" t="s">
        <v>187</v>
      </c>
      <c r="H638" s="36" t="s">
        <v>22</v>
      </c>
      <c r="I638" s="39">
        <v>215</v>
      </c>
      <c r="J638" s="39">
        <v>17</v>
      </c>
      <c r="K638" s="39"/>
      <c r="L638" s="39">
        <f t="shared" si="440"/>
        <v>232</v>
      </c>
      <c r="M638" s="117">
        <v>46275</v>
      </c>
      <c r="N638" s="117">
        <v>46281</v>
      </c>
      <c r="O638" s="39"/>
      <c r="P638" s="39"/>
      <c r="Q638" s="39"/>
      <c r="R638" s="39">
        <f t="shared" si="441"/>
        <v>0</v>
      </c>
      <c r="S638" s="39" t="s">
        <v>130</v>
      </c>
      <c r="T638" s="39"/>
      <c r="U638" s="39"/>
      <c r="V638" s="39"/>
      <c r="W638" s="39"/>
      <c r="X638" s="39"/>
      <c r="Y638" s="39"/>
      <c r="Z638" s="39"/>
      <c r="AA638" s="39"/>
      <c r="AB638" s="118">
        <f t="shared" si="442"/>
        <v>0</v>
      </c>
      <c r="AC638" s="39"/>
      <c r="AD638" s="39"/>
      <c r="AE638" s="39"/>
      <c r="AF638" s="39"/>
      <c r="AG638" s="39"/>
      <c r="AH638" s="39">
        <f t="shared" si="366"/>
        <v>0</v>
      </c>
      <c r="AI638" s="39"/>
      <c r="AJ638" s="39"/>
      <c r="AK638" s="39"/>
      <c r="AL638" s="39"/>
      <c r="AM638" s="39"/>
      <c r="AN638" s="39">
        <f t="shared" si="196"/>
        <v>0</v>
      </c>
      <c r="AO638" s="39"/>
      <c r="AP638" s="39"/>
      <c r="AQ638" s="39"/>
      <c r="AR638" s="39"/>
      <c r="AS638" s="39"/>
      <c r="AT638" s="39">
        <f t="shared" si="367"/>
        <v>0</v>
      </c>
      <c r="AU638" s="39"/>
      <c r="AV638" s="39"/>
      <c r="AW638" s="39"/>
      <c r="AX638" s="39"/>
      <c r="AY638" s="39"/>
      <c r="AZ638" s="39">
        <f t="shared" si="368"/>
        <v>0</v>
      </c>
      <c r="BA638" s="39"/>
      <c r="BB638" s="39"/>
      <c r="BC638" s="39"/>
      <c r="BD638" s="39"/>
      <c r="BE638" s="39"/>
      <c r="BF638" s="39">
        <f t="shared" si="369"/>
        <v>0</v>
      </c>
      <c r="BG638" s="39"/>
      <c r="BH638" s="39"/>
      <c r="BI638" s="39"/>
      <c r="BJ638" s="39"/>
      <c r="BK638" s="39"/>
      <c r="BL638" s="39">
        <f t="shared" si="370"/>
        <v>0</v>
      </c>
      <c r="BM638" s="54">
        <f t="shared" ca="1" si="371"/>
        <v>46283</v>
      </c>
      <c r="BN638" s="60">
        <v>46288</v>
      </c>
      <c r="BO638" s="57">
        <v>46305</v>
      </c>
      <c r="BP638" s="36"/>
      <c r="BQ638" s="36"/>
      <c r="BR638" s="39"/>
      <c r="BS638" s="39"/>
      <c r="BT638" s="39"/>
      <c r="BU638" s="39"/>
      <c r="BV638" s="39"/>
      <c r="BW638" s="39"/>
      <c r="BX638" s="39"/>
      <c r="BY638" s="39"/>
      <c r="BZ638" s="39">
        <f t="shared" si="372"/>
        <v>0</v>
      </c>
      <c r="CA638" s="39">
        <f t="shared" si="373"/>
        <v>-215</v>
      </c>
      <c r="CB638" s="39">
        <f t="shared" si="374"/>
        <v>-17</v>
      </c>
      <c r="CC638" s="39">
        <f t="shared" si="375"/>
        <v>0</v>
      </c>
      <c r="CD638" s="39">
        <f t="shared" si="376"/>
        <v>-232</v>
      </c>
      <c r="CE638" s="102">
        <f t="shared" si="377"/>
        <v>-1</v>
      </c>
      <c r="CF638" s="36" t="s">
        <v>250</v>
      </c>
      <c r="CG638" s="39" t="s">
        <v>415</v>
      </c>
      <c r="CH638" s="39"/>
      <c r="CI638" s="25">
        <v>3</v>
      </c>
    </row>
    <row r="639" spans="1:87" ht="24.75" customHeight="1">
      <c r="A639" s="36" t="s">
        <v>387</v>
      </c>
      <c r="B639" s="27">
        <v>48622</v>
      </c>
      <c r="C639" s="228"/>
      <c r="D639" s="36"/>
      <c r="E639" s="39">
        <v>140</v>
      </c>
      <c r="F639" s="39" t="s">
        <v>57</v>
      </c>
      <c r="G639" s="36" t="s">
        <v>2349</v>
      </c>
      <c r="H639" s="36" t="s">
        <v>22</v>
      </c>
      <c r="I639" s="39">
        <v>192</v>
      </c>
      <c r="J639" s="39">
        <v>16</v>
      </c>
      <c r="K639" s="39"/>
      <c r="L639" s="39">
        <f t="shared" si="440"/>
        <v>208</v>
      </c>
      <c r="M639" s="117">
        <v>46275</v>
      </c>
      <c r="N639" s="117">
        <v>46281</v>
      </c>
      <c r="O639" s="39"/>
      <c r="P639" s="39"/>
      <c r="Q639" s="39"/>
      <c r="R639" s="39">
        <f t="shared" si="441"/>
        <v>0</v>
      </c>
      <c r="S639" s="39" t="s">
        <v>31</v>
      </c>
      <c r="T639" s="39"/>
      <c r="U639" s="39"/>
      <c r="V639" s="117">
        <v>46256</v>
      </c>
      <c r="W639" s="39">
        <f>233+19</f>
        <v>252</v>
      </c>
      <c r="X639" s="117">
        <v>46270</v>
      </c>
      <c r="Y639" s="39">
        <v>204</v>
      </c>
      <c r="Z639" s="39">
        <v>17</v>
      </c>
      <c r="AA639" s="39"/>
      <c r="AB639" s="119">
        <f t="shared" si="442"/>
        <v>221</v>
      </c>
      <c r="AC639" s="39"/>
      <c r="AD639" s="39"/>
      <c r="AE639" s="39"/>
      <c r="AF639" s="39"/>
      <c r="AG639" s="39"/>
      <c r="AH639" s="39">
        <f t="shared" si="366"/>
        <v>0</v>
      </c>
      <c r="AI639" s="39"/>
      <c r="AJ639" s="39"/>
      <c r="AK639" s="39"/>
      <c r="AL639" s="39"/>
      <c r="AM639" s="39"/>
      <c r="AN639" s="39">
        <f t="shared" si="196"/>
        <v>0</v>
      </c>
      <c r="AO639" s="39"/>
      <c r="AP639" s="39"/>
      <c r="AQ639" s="39"/>
      <c r="AR639" s="39"/>
      <c r="AS639" s="39"/>
      <c r="AT639" s="39">
        <f t="shared" si="367"/>
        <v>0</v>
      </c>
      <c r="AU639" s="39"/>
      <c r="AV639" s="39"/>
      <c r="AW639" s="39"/>
      <c r="AX639" s="39"/>
      <c r="AY639" s="39"/>
      <c r="AZ639" s="39">
        <f t="shared" si="368"/>
        <v>0</v>
      </c>
      <c r="BA639" s="39"/>
      <c r="BB639" s="39"/>
      <c r="BC639" s="39"/>
      <c r="BD639" s="39"/>
      <c r="BE639" s="39"/>
      <c r="BF639" s="39">
        <f t="shared" si="369"/>
        <v>0</v>
      </c>
      <c r="BG639" s="39"/>
      <c r="BH639" s="39"/>
      <c r="BI639" s="39"/>
      <c r="BJ639" s="39"/>
      <c r="BK639" s="39"/>
      <c r="BL639" s="39">
        <f t="shared" si="370"/>
        <v>0</v>
      </c>
      <c r="BM639" s="54" t="str">
        <f t="shared" si="371"/>
        <v/>
      </c>
      <c r="BN639" s="60">
        <v>46288</v>
      </c>
      <c r="BO639" s="57">
        <v>46305</v>
      </c>
      <c r="BP639" s="36"/>
      <c r="BQ639" s="36"/>
      <c r="BR639" s="117">
        <v>46270</v>
      </c>
      <c r="BS639" s="117">
        <v>46270</v>
      </c>
      <c r="BT639" s="39">
        <v>960</v>
      </c>
      <c r="BU639" s="39">
        <v>204</v>
      </c>
      <c r="BV639" s="39">
        <v>960</v>
      </c>
      <c r="BW639" s="39">
        <v>17</v>
      </c>
      <c r="BX639" s="39"/>
      <c r="BY639" s="39"/>
      <c r="BZ639" s="39">
        <f t="shared" si="372"/>
        <v>221</v>
      </c>
      <c r="CA639" s="39">
        <f t="shared" si="373"/>
        <v>12</v>
      </c>
      <c r="CB639" s="39">
        <f t="shared" si="374"/>
        <v>1</v>
      </c>
      <c r="CC639" s="39">
        <f t="shared" si="375"/>
        <v>0</v>
      </c>
      <c r="CD639" s="39">
        <f t="shared" si="376"/>
        <v>0</v>
      </c>
      <c r="CE639" s="102">
        <f t="shared" si="377"/>
        <v>0</v>
      </c>
      <c r="CF639" s="36" t="s">
        <v>250</v>
      </c>
      <c r="CG639" s="39" t="s">
        <v>415</v>
      </c>
      <c r="CH639" s="39"/>
      <c r="CI639" s="25">
        <v>3</v>
      </c>
    </row>
    <row r="640" spans="1:87" ht="24.75" customHeight="1">
      <c r="A640" s="36" t="s">
        <v>387</v>
      </c>
      <c r="B640" s="27" t="s">
        <v>2383</v>
      </c>
      <c r="C640" s="227">
        <v>15372414</v>
      </c>
      <c r="D640" s="36"/>
      <c r="E640" s="39">
        <v>260</v>
      </c>
      <c r="F640" s="39" t="s">
        <v>67</v>
      </c>
      <c r="G640" s="36" t="s">
        <v>1310</v>
      </c>
      <c r="H640" s="36" t="s">
        <v>2384</v>
      </c>
      <c r="I640" s="39">
        <v>524</v>
      </c>
      <c r="J640" s="39">
        <v>146</v>
      </c>
      <c r="K640" s="39">
        <v>4</v>
      </c>
      <c r="L640" s="39">
        <f t="shared" ref="L640:L641" si="443">SUM(I640:K640)</f>
        <v>674</v>
      </c>
      <c r="M640" s="117">
        <v>46275</v>
      </c>
      <c r="N640" s="117">
        <v>46282</v>
      </c>
      <c r="O640" s="39"/>
      <c r="P640" s="39"/>
      <c r="Q640" s="39"/>
      <c r="R640" s="39">
        <f t="shared" si="441"/>
        <v>0</v>
      </c>
      <c r="S640" s="39" t="s">
        <v>130</v>
      </c>
      <c r="T640" s="39">
        <v>109204</v>
      </c>
      <c r="U640" s="117">
        <v>46270</v>
      </c>
      <c r="V640" s="39"/>
      <c r="W640" s="39"/>
      <c r="X640" s="39"/>
      <c r="Y640" s="39">
        <v>572</v>
      </c>
      <c r="Z640" s="39"/>
      <c r="AA640" s="39">
        <v>5</v>
      </c>
      <c r="AB640" s="118">
        <f t="shared" si="442"/>
        <v>577</v>
      </c>
      <c r="AC640" s="39"/>
      <c r="AD640" s="39"/>
      <c r="AE640" s="39"/>
      <c r="AF640" s="39"/>
      <c r="AG640" s="39"/>
      <c r="AH640" s="39">
        <f t="shared" si="366"/>
        <v>0</v>
      </c>
      <c r="AI640" s="39"/>
      <c r="AJ640" s="39"/>
      <c r="AK640" s="39"/>
      <c r="AL640" s="39"/>
      <c r="AM640" s="39"/>
      <c r="AN640" s="39">
        <f t="shared" si="196"/>
        <v>0</v>
      </c>
      <c r="AO640" s="39"/>
      <c r="AP640" s="39"/>
      <c r="AQ640" s="39"/>
      <c r="AR640" s="39"/>
      <c r="AS640" s="39"/>
      <c r="AT640" s="39">
        <f t="shared" si="367"/>
        <v>0</v>
      </c>
      <c r="AU640" s="39"/>
      <c r="AV640" s="39"/>
      <c r="AW640" s="39"/>
      <c r="AX640" s="39"/>
      <c r="AY640" s="39"/>
      <c r="AZ640" s="39">
        <f t="shared" si="368"/>
        <v>0</v>
      </c>
      <c r="BA640" s="39"/>
      <c r="BB640" s="39"/>
      <c r="BC640" s="39"/>
      <c r="BD640" s="39"/>
      <c r="BE640" s="39"/>
      <c r="BF640" s="39">
        <f t="shared" si="369"/>
        <v>0</v>
      </c>
      <c r="BG640" s="39"/>
      <c r="BH640" s="39"/>
      <c r="BI640" s="39"/>
      <c r="BJ640" s="39"/>
      <c r="BK640" s="39"/>
      <c r="BL640" s="39">
        <f t="shared" si="370"/>
        <v>0</v>
      </c>
      <c r="BM640" s="54">
        <f t="shared" ca="1" si="371"/>
        <v>13</v>
      </c>
      <c r="BN640" s="60">
        <v>46287</v>
      </c>
      <c r="BO640" s="57">
        <v>46305</v>
      </c>
      <c r="BP640" s="36"/>
      <c r="BQ640" s="36"/>
      <c r="BR640" s="117"/>
      <c r="BS640" s="39"/>
      <c r="BT640" s="39"/>
      <c r="BU640" s="39"/>
      <c r="BV640" s="39"/>
      <c r="BW640" s="39"/>
      <c r="BX640" s="39"/>
      <c r="BY640" s="39"/>
      <c r="BZ640" s="39">
        <f t="shared" si="372"/>
        <v>0</v>
      </c>
      <c r="CA640" s="39">
        <f t="shared" si="373"/>
        <v>-524</v>
      </c>
      <c r="CB640" s="39">
        <f t="shared" si="374"/>
        <v>-146</v>
      </c>
      <c r="CC640" s="39">
        <f t="shared" si="375"/>
        <v>-4</v>
      </c>
      <c r="CD640" s="39">
        <f t="shared" si="376"/>
        <v>-674</v>
      </c>
      <c r="CE640" s="102">
        <f t="shared" si="377"/>
        <v>-1</v>
      </c>
      <c r="CF640" s="36" t="s">
        <v>249</v>
      </c>
      <c r="CG640" s="39" t="s">
        <v>222</v>
      </c>
      <c r="CH640" s="39" t="s">
        <v>2827</v>
      </c>
      <c r="CI640" s="25">
        <v>3</v>
      </c>
    </row>
    <row r="641" spans="1:87" ht="24.75" customHeight="1">
      <c r="A641" s="36" t="s">
        <v>387</v>
      </c>
      <c r="B641" s="27" t="s">
        <v>2383</v>
      </c>
      <c r="C641" s="231"/>
      <c r="D641" s="36"/>
      <c r="E641" s="39">
        <v>260</v>
      </c>
      <c r="F641" s="39" t="s">
        <v>67</v>
      </c>
      <c r="G641" s="36" t="s">
        <v>2411</v>
      </c>
      <c r="H641" s="36" t="s">
        <v>2384</v>
      </c>
      <c r="I641" s="39">
        <v>524</v>
      </c>
      <c r="J641" s="39">
        <v>146</v>
      </c>
      <c r="K641" s="39">
        <v>4</v>
      </c>
      <c r="L641" s="39">
        <f t="shared" si="443"/>
        <v>674</v>
      </c>
      <c r="M641" s="117">
        <v>46275</v>
      </c>
      <c r="N641" s="117">
        <v>46282</v>
      </c>
      <c r="O641" s="39"/>
      <c r="P641" s="39"/>
      <c r="Q641" s="39"/>
      <c r="R641" s="39">
        <f t="shared" si="441"/>
        <v>0</v>
      </c>
      <c r="S641" s="39" t="s">
        <v>31</v>
      </c>
      <c r="T641" s="39"/>
      <c r="U641" s="39"/>
      <c r="V641" s="117">
        <v>46268</v>
      </c>
      <c r="W641" s="39">
        <f>573+170+5</f>
        <v>748</v>
      </c>
      <c r="X641" s="39"/>
      <c r="Y641" s="39"/>
      <c r="Z641" s="39"/>
      <c r="AA641" s="39"/>
      <c r="AB641" s="118">
        <f t="shared" si="442"/>
        <v>0</v>
      </c>
      <c r="AC641" s="39"/>
      <c r="AD641" s="39"/>
      <c r="AE641" s="39"/>
      <c r="AF641" s="39"/>
      <c r="AG641" s="39"/>
      <c r="AH641" s="39">
        <f t="shared" si="366"/>
        <v>0</v>
      </c>
      <c r="AI641" s="39"/>
      <c r="AJ641" s="39"/>
      <c r="AK641" s="39"/>
      <c r="AL641" s="39"/>
      <c r="AM641" s="39"/>
      <c r="AN641" s="39">
        <f t="shared" si="196"/>
        <v>0</v>
      </c>
      <c r="AO641" s="39"/>
      <c r="AP641" s="39"/>
      <c r="AQ641" s="39"/>
      <c r="AR641" s="39"/>
      <c r="AS641" s="39"/>
      <c r="AT641" s="39">
        <f t="shared" si="367"/>
        <v>0</v>
      </c>
      <c r="AU641" s="39"/>
      <c r="AV641" s="39"/>
      <c r="AW641" s="39"/>
      <c r="AX641" s="39"/>
      <c r="AY641" s="39"/>
      <c r="AZ641" s="39">
        <f t="shared" si="368"/>
        <v>0</v>
      </c>
      <c r="BA641" s="39"/>
      <c r="BB641" s="39"/>
      <c r="BC641" s="39"/>
      <c r="BD641" s="39"/>
      <c r="BE641" s="39"/>
      <c r="BF641" s="39">
        <f t="shared" si="369"/>
        <v>0</v>
      </c>
      <c r="BG641" s="39"/>
      <c r="BH641" s="39"/>
      <c r="BI641" s="39"/>
      <c r="BJ641" s="39"/>
      <c r="BK641" s="39"/>
      <c r="BL641" s="39">
        <f t="shared" si="370"/>
        <v>0</v>
      </c>
      <c r="BM641" s="54">
        <f t="shared" ca="1" si="371"/>
        <v>46283</v>
      </c>
      <c r="BN641" s="60">
        <v>46287</v>
      </c>
      <c r="BO641" s="57">
        <v>46305</v>
      </c>
      <c r="BP641" s="36"/>
      <c r="BQ641" s="36"/>
      <c r="BR641" s="39"/>
      <c r="BS641" s="39"/>
      <c r="BT641" s="39"/>
      <c r="BU641" s="39"/>
      <c r="BV641" s="39"/>
      <c r="BW641" s="39"/>
      <c r="BX641" s="39"/>
      <c r="BY641" s="39"/>
      <c r="BZ641" s="39">
        <f t="shared" si="372"/>
        <v>0</v>
      </c>
      <c r="CA641" s="39">
        <f t="shared" si="373"/>
        <v>-524</v>
      </c>
      <c r="CB641" s="39">
        <f t="shared" si="374"/>
        <v>-146</v>
      </c>
      <c r="CC641" s="39">
        <f t="shared" si="375"/>
        <v>-4</v>
      </c>
      <c r="CD641" s="39">
        <f t="shared" si="376"/>
        <v>-674</v>
      </c>
      <c r="CE641" s="102">
        <f t="shared" si="377"/>
        <v>-1</v>
      </c>
      <c r="CF641" s="36" t="s">
        <v>249</v>
      </c>
      <c r="CG641" s="39" t="s">
        <v>222</v>
      </c>
      <c r="CH641" s="39"/>
      <c r="CI641" s="25">
        <v>3</v>
      </c>
    </row>
    <row r="642" spans="1:87" ht="24.75" customHeight="1">
      <c r="A642" s="36" t="s">
        <v>387</v>
      </c>
      <c r="B642" s="27" t="s">
        <v>2383</v>
      </c>
      <c r="C642" s="228"/>
      <c r="D642" s="36"/>
      <c r="E642" s="39">
        <v>260</v>
      </c>
      <c r="F642" s="39" t="s">
        <v>67</v>
      </c>
      <c r="G642" s="36" t="s">
        <v>2412</v>
      </c>
      <c r="H642" s="36" t="s">
        <v>2384</v>
      </c>
      <c r="I642" s="39">
        <v>447</v>
      </c>
      <c r="J642" s="39">
        <v>124</v>
      </c>
      <c r="K642" s="39">
        <v>3</v>
      </c>
      <c r="L642" s="39">
        <f t="shared" ref="L642" si="444">SUM(I642:K642)</f>
        <v>574</v>
      </c>
      <c r="M642" s="117">
        <v>46275</v>
      </c>
      <c r="N642" s="117">
        <v>46282</v>
      </c>
      <c r="O642" s="39"/>
      <c r="P642" s="39"/>
      <c r="Q642" s="39"/>
      <c r="R642" s="39">
        <f t="shared" si="441"/>
        <v>0</v>
      </c>
      <c r="S642" s="39" t="s">
        <v>31</v>
      </c>
      <c r="T642" s="39"/>
      <c r="U642" s="39"/>
      <c r="V642" s="117">
        <v>46268</v>
      </c>
      <c r="W642" s="39">
        <f>489+148+5</f>
        <v>642</v>
      </c>
      <c r="X642" s="39"/>
      <c r="Y642" s="39"/>
      <c r="Z642" s="39"/>
      <c r="AA642" s="39"/>
      <c r="AB642" s="118">
        <f t="shared" si="442"/>
        <v>0</v>
      </c>
      <c r="AC642" s="39"/>
      <c r="AD642" s="39"/>
      <c r="AE642" s="39"/>
      <c r="AF642" s="39"/>
      <c r="AG642" s="39"/>
      <c r="AH642" s="39">
        <f t="shared" si="366"/>
        <v>0</v>
      </c>
      <c r="AI642" s="39"/>
      <c r="AJ642" s="39"/>
      <c r="AK642" s="39"/>
      <c r="AL642" s="39"/>
      <c r="AM642" s="39"/>
      <c r="AN642" s="39">
        <f t="shared" si="196"/>
        <v>0</v>
      </c>
      <c r="AO642" s="39"/>
      <c r="AP642" s="39"/>
      <c r="AQ642" s="39"/>
      <c r="AR642" s="39"/>
      <c r="AS642" s="39"/>
      <c r="AT642" s="39">
        <f t="shared" si="367"/>
        <v>0</v>
      </c>
      <c r="AU642" s="39"/>
      <c r="AV642" s="39"/>
      <c r="AW642" s="39"/>
      <c r="AX642" s="39"/>
      <c r="AY642" s="39"/>
      <c r="AZ642" s="39">
        <f t="shared" si="368"/>
        <v>0</v>
      </c>
      <c r="BA642" s="39"/>
      <c r="BB642" s="39"/>
      <c r="BC642" s="39"/>
      <c r="BD642" s="39"/>
      <c r="BE642" s="39"/>
      <c r="BF642" s="39">
        <f t="shared" si="369"/>
        <v>0</v>
      </c>
      <c r="BG642" s="39"/>
      <c r="BH642" s="39"/>
      <c r="BI642" s="39"/>
      <c r="BJ642" s="39"/>
      <c r="BK642" s="39"/>
      <c r="BL642" s="39">
        <f t="shared" si="370"/>
        <v>0</v>
      </c>
      <c r="BM642" s="54">
        <f t="shared" ca="1" si="371"/>
        <v>46283</v>
      </c>
      <c r="BN642" s="60">
        <v>46287</v>
      </c>
      <c r="BO642" s="57">
        <v>46305</v>
      </c>
      <c r="BP642" s="36"/>
      <c r="BQ642" s="36"/>
      <c r="BR642" s="39"/>
      <c r="BS642" s="39"/>
      <c r="BT642" s="39"/>
      <c r="BU642" s="39"/>
      <c r="BV642" s="39"/>
      <c r="BW642" s="39"/>
      <c r="BX642" s="39"/>
      <c r="BY642" s="39"/>
      <c r="BZ642" s="39">
        <f t="shared" si="372"/>
        <v>0</v>
      </c>
      <c r="CA642" s="39">
        <f t="shared" si="373"/>
        <v>-447</v>
      </c>
      <c r="CB642" s="39">
        <f t="shared" si="374"/>
        <v>-124</v>
      </c>
      <c r="CC642" s="39">
        <f t="shared" si="375"/>
        <v>-3</v>
      </c>
      <c r="CD642" s="39">
        <f t="shared" si="376"/>
        <v>-574</v>
      </c>
      <c r="CE642" s="102">
        <f t="shared" si="377"/>
        <v>-1</v>
      </c>
      <c r="CF642" s="36" t="s">
        <v>249</v>
      </c>
      <c r="CG642" s="39" t="s">
        <v>222</v>
      </c>
      <c r="CH642" s="39"/>
      <c r="CI642" s="25">
        <v>3</v>
      </c>
    </row>
    <row r="643" spans="1:87" ht="24.75" customHeight="1">
      <c r="A643" s="36" t="s">
        <v>387</v>
      </c>
      <c r="B643" s="27" t="s">
        <v>2420</v>
      </c>
      <c r="C643" s="227" t="s">
        <v>2423</v>
      </c>
      <c r="D643" s="36"/>
      <c r="E643" s="39">
        <v>140</v>
      </c>
      <c r="F643" s="39" t="s">
        <v>57</v>
      </c>
      <c r="G643" s="36" t="s">
        <v>340</v>
      </c>
      <c r="H643" s="36" t="s">
        <v>22</v>
      </c>
      <c r="I643" s="39">
        <v>143</v>
      </c>
      <c r="J643" s="39">
        <v>12</v>
      </c>
      <c r="K643" s="39"/>
      <c r="L643" s="39">
        <f t="shared" ref="L643:L645" si="445">SUM(I643:K643)</f>
        <v>155</v>
      </c>
      <c r="M643" s="117">
        <v>46273</v>
      </c>
      <c r="N643" s="117">
        <v>46279</v>
      </c>
      <c r="O643" s="39"/>
      <c r="P643" s="39"/>
      <c r="Q643" s="39"/>
      <c r="R643" s="39">
        <f t="shared" ref="R643:R645" si="446">SUM(O643:Q643)</f>
        <v>0</v>
      </c>
      <c r="S643" s="39" t="s">
        <v>28</v>
      </c>
      <c r="T643" s="39"/>
      <c r="U643" s="39"/>
      <c r="V643" s="117">
        <v>46272</v>
      </c>
      <c r="W643" s="39">
        <f>175+15</f>
        <v>190</v>
      </c>
      <c r="X643" s="39"/>
      <c r="Y643" s="39"/>
      <c r="Z643" s="39"/>
      <c r="AA643" s="39"/>
      <c r="AB643" s="118">
        <f t="shared" ref="AB643:AB645" si="447">SUM(Y643:AA643)</f>
        <v>0</v>
      </c>
      <c r="AC643" s="39"/>
      <c r="AD643" s="39"/>
      <c r="AE643" s="39"/>
      <c r="AF643" s="39"/>
      <c r="AG643" s="39"/>
      <c r="AH643" s="39">
        <f t="shared" si="366"/>
        <v>0</v>
      </c>
      <c r="AI643" s="39"/>
      <c r="AJ643" s="39"/>
      <c r="AK643" s="39"/>
      <c r="AL643" s="39"/>
      <c r="AM643" s="39"/>
      <c r="AN643" s="39">
        <f t="shared" si="196"/>
        <v>0</v>
      </c>
      <c r="AO643" s="39"/>
      <c r="AP643" s="39"/>
      <c r="AQ643" s="39"/>
      <c r="AR643" s="39"/>
      <c r="AS643" s="39"/>
      <c r="AT643" s="39">
        <f t="shared" si="367"/>
        <v>0</v>
      </c>
      <c r="AU643" s="39"/>
      <c r="AV643" s="39"/>
      <c r="AW643" s="39"/>
      <c r="AX643" s="39"/>
      <c r="AY643" s="39"/>
      <c r="AZ643" s="39">
        <f t="shared" si="368"/>
        <v>0</v>
      </c>
      <c r="BA643" s="39"/>
      <c r="BB643" s="39"/>
      <c r="BC643" s="39"/>
      <c r="BD643" s="39"/>
      <c r="BE643" s="39"/>
      <c r="BF643" s="39">
        <f t="shared" si="369"/>
        <v>0</v>
      </c>
      <c r="BG643" s="39"/>
      <c r="BH643" s="39"/>
      <c r="BI643" s="39"/>
      <c r="BJ643" s="39"/>
      <c r="BK643" s="39"/>
      <c r="BL643" s="39">
        <f t="shared" si="370"/>
        <v>0</v>
      </c>
      <c r="BM643" s="54">
        <f t="shared" ca="1" si="371"/>
        <v>46283</v>
      </c>
      <c r="BN643" s="60">
        <v>46286</v>
      </c>
      <c r="BO643" s="57">
        <v>46304</v>
      </c>
      <c r="BP643" s="36"/>
      <c r="BQ643" s="36"/>
      <c r="BR643" s="39"/>
      <c r="BS643" s="39"/>
      <c r="BT643" s="39"/>
      <c r="BU643" s="39"/>
      <c r="BV643" s="39"/>
      <c r="BW643" s="39"/>
      <c r="BX643" s="39"/>
      <c r="BY643" s="39"/>
      <c r="BZ643" s="39">
        <f t="shared" si="372"/>
        <v>0</v>
      </c>
      <c r="CA643" s="39">
        <f t="shared" si="373"/>
        <v>-143</v>
      </c>
      <c r="CB643" s="39">
        <f t="shared" si="374"/>
        <v>-12</v>
      </c>
      <c r="CC643" s="39">
        <f t="shared" si="375"/>
        <v>0</v>
      </c>
      <c r="CD643" s="39">
        <f t="shared" si="376"/>
        <v>-155</v>
      </c>
      <c r="CE643" s="102">
        <f t="shared" si="377"/>
        <v>-1</v>
      </c>
      <c r="CF643" s="36" t="s">
        <v>250</v>
      </c>
      <c r="CG643" s="39" t="s">
        <v>415</v>
      </c>
      <c r="CH643" s="39"/>
      <c r="CI643" s="25">
        <v>3</v>
      </c>
    </row>
    <row r="644" spans="1:87" ht="24.75" customHeight="1">
      <c r="A644" s="36" t="s">
        <v>387</v>
      </c>
      <c r="B644" s="27" t="s">
        <v>2420</v>
      </c>
      <c r="C644" s="231"/>
      <c r="D644" s="36"/>
      <c r="E644" s="39">
        <v>140</v>
      </c>
      <c r="F644" s="39" t="s">
        <v>57</v>
      </c>
      <c r="G644" s="36" t="s">
        <v>93</v>
      </c>
      <c r="H644" s="36" t="s">
        <v>22</v>
      </c>
      <c r="I644" s="39">
        <v>210</v>
      </c>
      <c r="J644" s="39">
        <v>17</v>
      </c>
      <c r="K644" s="39"/>
      <c r="L644" s="39">
        <f t="shared" si="445"/>
        <v>227</v>
      </c>
      <c r="M644" s="117">
        <v>46273</v>
      </c>
      <c r="N644" s="117">
        <v>46279</v>
      </c>
      <c r="O644" s="39"/>
      <c r="P644" s="39"/>
      <c r="Q644" s="39"/>
      <c r="R644" s="39">
        <f t="shared" si="446"/>
        <v>0</v>
      </c>
      <c r="S644" s="39" t="s">
        <v>130</v>
      </c>
      <c r="T644" s="39">
        <v>109063</v>
      </c>
      <c r="U644" s="117">
        <v>46264</v>
      </c>
      <c r="V644" s="39"/>
      <c r="W644" s="39"/>
      <c r="X644" s="39"/>
      <c r="Y644" s="39">
        <v>239</v>
      </c>
      <c r="Z644" s="39">
        <v>21</v>
      </c>
      <c r="AA644" s="39"/>
      <c r="AB644" s="119">
        <f t="shared" si="447"/>
        <v>260</v>
      </c>
      <c r="AC644" s="39"/>
      <c r="AD644" s="39"/>
      <c r="AE644" s="39"/>
      <c r="AF644" s="39"/>
      <c r="AG644" s="39"/>
      <c r="AH644" s="39">
        <f t="shared" si="366"/>
        <v>0</v>
      </c>
      <c r="AI644" s="39"/>
      <c r="AJ644" s="39"/>
      <c r="AK644" s="39"/>
      <c r="AL644" s="39"/>
      <c r="AM644" s="39"/>
      <c r="AN644" s="39">
        <f t="shared" si="196"/>
        <v>0</v>
      </c>
      <c r="AO644" s="39"/>
      <c r="AP644" s="39"/>
      <c r="AQ644" s="39"/>
      <c r="AR644" s="39"/>
      <c r="AS644" s="39"/>
      <c r="AT644" s="39">
        <f t="shared" si="367"/>
        <v>0</v>
      </c>
      <c r="AU644" s="39"/>
      <c r="AV644" s="39"/>
      <c r="AW644" s="39"/>
      <c r="AX644" s="39"/>
      <c r="AY644" s="39"/>
      <c r="AZ644" s="39">
        <f t="shared" si="368"/>
        <v>0</v>
      </c>
      <c r="BA644" s="39"/>
      <c r="BB644" s="39"/>
      <c r="BC644" s="39"/>
      <c r="BD644" s="39"/>
      <c r="BE644" s="39"/>
      <c r="BF644" s="39">
        <f t="shared" si="369"/>
        <v>0</v>
      </c>
      <c r="BG644" s="39"/>
      <c r="BH644" s="39"/>
      <c r="BI644" s="39"/>
      <c r="BJ644" s="39"/>
      <c r="BK644" s="39"/>
      <c r="BL644" s="39">
        <f t="shared" si="370"/>
        <v>0</v>
      </c>
      <c r="BM644" s="54" t="str">
        <f t="shared" si="371"/>
        <v/>
      </c>
      <c r="BN644" s="60">
        <v>46286</v>
      </c>
      <c r="BO644" s="57">
        <v>46304</v>
      </c>
      <c r="BP644" s="36"/>
      <c r="BQ644" s="36"/>
      <c r="BR644" s="117">
        <v>46267</v>
      </c>
      <c r="BS644" s="117">
        <v>46267</v>
      </c>
      <c r="BT644" s="39">
        <v>736</v>
      </c>
      <c r="BU644" s="39">
        <v>211</v>
      </c>
      <c r="BV644" s="39">
        <v>736</v>
      </c>
      <c r="BW644" s="39">
        <v>17</v>
      </c>
      <c r="BX644" s="39"/>
      <c r="BY644" s="39"/>
      <c r="BZ644" s="39">
        <f t="shared" si="372"/>
        <v>228</v>
      </c>
      <c r="CA644" s="39">
        <f t="shared" si="373"/>
        <v>1</v>
      </c>
      <c r="CB644" s="39">
        <f t="shared" si="374"/>
        <v>0</v>
      </c>
      <c r="CC644" s="39">
        <f t="shared" si="375"/>
        <v>0</v>
      </c>
      <c r="CD644" s="39">
        <f t="shared" si="376"/>
        <v>0</v>
      </c>
      <c r="CE644" s="102">
        <f t="shared" si="377"/>
        <v>0</v>
      </c>
      <c r="CF644" s="36" t="s">
        <v>250</v>
      </c>
      <c r="CG644" s="39" t="s">
        <v>415</v>
      </c>
      <c r="CH644" s="39"/>
      <c r="CI644" s="25">
        <v>3</v>
      </c>
    </row>
    <row r="645" spans="1:87" ht="24.75" customHeight="1">
      <c r="A645" s="36" t="s">
        <v>387</v>
      </c>
      <c r="B645" s="27" t="s">
        <v>2420</v>
      </c>
      <c r="C645" s="228"/>
      <c r="D645" s="36"/>
      <c r="E645" s="39"/>
      <c r="F645" s="39"/>
      <c r="G645" s="36" t="s">
        <v>103</v>
      </c>
      <c r="H645" s="36">
        <f>340+500</f>
        <v>840</v>
      </c>
      <c r="I645" s="39" t="s">
        <v>90</v>
      </c>
      <c r="J645" s="39"/>
      <c r="K645" s="39"/>
      <c r="L645" s="39">
        <f t="shared" si="445"/>
        <v>0</v>
      </c>
      <c r="M645" s="117">
        <v>46273</v>
      </c>
      <c r="N645" s="117">
        <v>46279</v>
      </c>
      <c r="O645" s="39"/>
      <c r="P645" s="39"/>
      <c r="Q645" s="39"/>
      <c r="R645" s="39">
        <f t="shared" si="446"/>
        <v>0</v>
      </c>
      <c r="S645" s="39" t="s">
        <v>130</v>
      </c>
      <c r="T645" s="39"/>
      <c r="U645" s="39"/>
      <c r="V645" s="39"/>
      <c r="W645" s="39"/>
      <c r="X645" s="39"/>
      <c r="Y645" s="39"/>
      <c r="Z645" s="39"/>
      <c r="AA645" s="39"/>
      <c r="AB645" s="39">
        <f t="shared" si="447"/>
        <v>0</v>
      </c>
      <c r="AC645" s="39"/>
      <c r="AD645" s="39"/>
      <c r="AE645" s="39"/>
      <c r="AF645" s="39"/>
      <c r="AG645" s="39"/>
      <c r="AH645" s="39">
        <f t="shared" si="366"/>
        <v>0</v>
      </c>
      <c r="AI645" s="39"/>
      <c r="AJ645" s="39"/>
      <c r="AK645" s="39"/>
      <c r="AL645" s="39"/>
      <c r="AM645" s="39"/>
      <c r="AN645" s="39">
        <f t="shared" si="196"/>
        <v>0</v>
      </c>
      <c r="AO645" s="39"/>
      <c r="AP645" s="39"/>
      <c r="AQ645" s="39"/>
      <c r="AR645" s="39"/>
      <c r="AS645" s="39"/>
      <c r="AT645" s="39">
        <f t="shared" si="367"/>
        <v>0</v>
      </c>
      <c r="AU645" s="39"/>
      <c r="AV645" s="39"/>
      <c r="AW645" s="39"/>
      <c r="AX645" s="39"/>
      <c r="AY645" s="39"/>
      <c r="AZ645" s="39">
        <f t="shared" si="368"/>
        <v>0</v>
      </c>
      <c r="BA645" s="39"/>
      <c r="BB645" s="39"/>
      <c r="BC645" s="39"/>
      <c r="BD645" s="39"/>
      <c r="BE645" s="39"/>
      <c r="BF645" s="39">
        <f t="shared" si="369"/>
        <v>0</v>
      </c>
      <c r="BG645" s="39"/>
      <c r="BH645" s="39"/>
      <c r="BI645" s="39"/>
      <c r="BJ645" s="39"/>
      <c r="BK645" s="39"/>
      <c r="BL645" s="39">
        <f t="shared" si="370"/>
        <v>0</v>
      </c>
      <c r="BM645" s="54" t="e">
        <f t="shared" si="371"/>
        <v>#DIV/0!</v>
      </c>
      <c r="BN645" s="60">
        <v>46286</v>
      </c>
      <c r="BO645" s="57">
        <v>46304</v>
      </c>
      <c r="BP645" s="36"/>
      <c r="BQ645" s="36"/>
      <c r="BR645" s="39"/>
      <c r="BS645" s="39"/>
      <c r="BT645" s="39"/>
      <c r="BU645" s="39"/>
      <c r="BV645" s="39"/>
      <c r="BW645" s="39"/>
      <c r="BX645" s="39"/>
      <c r="BY645" s="39"/>
      <c r="BZ645" s="39">
        <f t="shared" si="372"/>
        <v>0</v>
      </c>
      <c r="CA645" s="39" t="e">
        <f t="shared" si="373"/>
        <v>#VALUE!</v>
      </c>
      <c r="CB645" s="39">
        <f t="shared" si="374"/>
        <v>0</v>
      </c>
      <c r="CC645" s="39">
        <f t="shared" si="375"/>
        <v>0</v>
      </c>
      <c r="CD645" s="39">
        <f t="shared" si="376"/>
        <v>0</v>
      </c>
      <c r="CE645" s="102" t="e">
        <f t="shared" si="377"/>
        <v>#DIV/0!</v>
      </c>
      <c r="CF645" s="36" t="s">
        <v>250</v>
      </c>
      <c r="CG645" s="39" t="s">
        <v>415</v>
      </c>
      <c r="CH645" s="39"/>
      <c r="CI645" s="25">
        <v>3</v>
      </c>
    </row>
    <row r="646" spans="1:87" ht="24.75" customHeight="1">
      <c r="A646" s="36" t="s">
        <v>387</v>
      </c>
      <c r="B646" s="27">
        <v>48670</v>
      </c>
      <c r="C646" s="227" t="s">
        <v>2532</v>
      </c>
      <c r="D646" s="36"/>
      <c r="E646" s="39">
        <v>180</v>
      </c>
      <c r="F646" s="39" t="s">
        <v>55</v>
      </c>
      <c r="G646" s="36" t="s">
        <v>23</v>
      </c>
      <c r="H646" s="36" t="s">
        <v>87</v>
      </c>
      <c r="I646" s="39">
        <v>84</v>
      </c>
      <c r="J646" s="39"/>
      <c r="K646" s="39"/>
      <c r="L646" s="39">
        <f t="shared" ref="L646:L648" si="448">SUM(I646:K646)</f>
        <v>84</v>
      </c>
      <c r="M646" s="117">
        <v>46273</v>
      </c>
      <c r="N646" s="117">
        <v>46280</v>
      </c>
      <c r="O646" s="39"/>
      <c r="P646" s="39"/>
      <c r="Q646" s="39"/>
      <c r="R646" s="39">
        <f t="shared" ref="R646:R651" si="449">SUM(O646:Q646)</f>
        <v>0</v>
      </c>
      <c r="S646" s="39" t="s">
        <v>100</v>
      </c>
      <c r="T646" s="39"/>
      <c r="U646" s="39"/>
      <c r="V646" s="117">
        <v>46273</v>
      </c>
      <c r="W646" s="39">
        <v>101</v>
      </c>
      <c r="X646" s="39"/>
      <c r="Y646" s="39"/>
      <c r="Z646" s="39"/>
      <c r="AA646" s="39"/>
      <c r="AB646" s="118">
        <f t="shared" ref="AB646:AB651" si="450">SUM(Y646:AA646)</f>
        <v>0</v>
      </c>
      <c r="AC646" s="39"/>
      <c r="AD646" s="39"/>
      <c r="AE646" s="39"/>
      <c r="AF646" s="39"/>
      <c r="AG646" s="39"/>
      <c r="AH646" s="39">
        <f t="shared" ref="AH646:AH672" si="451">AG646-AE646</f>
        <v>0</v>
      </c>
      <c r="AI646" s="39"/>
      <c r="AJ646" s="39"/>
      <c r="AK646" s="39"/>
      <c r="AL646" s="39"/>
      <c r="AM646" s="39"/>
      <c r="AN646" s="39">
        <f t="shared" ref="AN646:AN672" si="452">AM646-AK646</f>
        <v>0</v>
      </c>
      <c r="AO646" s="39"/>
      <c r="AP646" s="39"/>
      <c r="AQ646" s="39"/>
      <c r="AR646" s="39"/>
      <c r="AS646" s="39"/>
      <c r="AT646" s="39">
        <f t="shared" si="367"/>
        <v>0</v>
      </c>
      <c r="AU646" s="39"/>
      <c r="AV646" s="39"/>
      <c r="AW646" s="39"/>
      <c r="AX646" s="39"/>
      <c r="AY646" s="39"/>
      <c r="AZ646" s="39">
        <f t="shared" si="368"/>
        <v>0</v>
      </c>
      <c r="BA646" s="39"/>
      <c r="BB646" s="39"/>
      <c r="BC646" s="39"/>
      <c r="BD646" s="39"/>
      <c r="BE646" s="39"/>
      <c r="BF646" s="39">
        <f t="shared" si="369"/>
        <v>0</v>
      </c>
      <c r="BG646" s="39"/>
      <c r="BH646" s="39"/>
      <c r="BI646" s="39"/>
      <c r="BJ646" s="39"/>
      <c r="BK646" s="39"/>
      <c r="BL646" s="39">
        <f t="shared" ref="BL646:BL672" si="453">BK646-BI646</f>
        <v>0</v>
      </c>
      <c r="BM646" s="54">
        <f t="shared" ca="1" si="371"/>
        <v>46283</v>
      </c>
      <c r="BN646" s="60">
        <v>46289</v>
      </c>
      <c r="BO646" s="57">
        <v>46302</v>
      </c>
      <c r="BP646" s="36"/>
      <c r="BQ646" s="36"/>
      <c r="BR646" s="39"/>
      <c r="BS646" s="39"/>
      <c r="BT646" s="39"/>
      <c r="BU646" s="39"/>
      <c r="BV646" s="39"/>
      <c r="BW646" s="39"/>
      <c r="BX646" s="39"/>
      <c r="BY646" s="39"/>
      <c r="BZ646" s="39">
        <f t="shared" ref="BZ646:BZ672" si="454">BU646+BW646+BY646</f>
        <v>0</v>
      </c>
      <c r="CA646" s="39">
        <f t="shared" si="373"/>
        <v>-84</v>
      </c>
      <c r="CB646" s="39">
        <f t="shared" si="374"/>
        <v>0</v>
      </c>
      <c r="CC646" s="39">
        <f t="shared" si="375"/>
        <v>0</v>
      </c>
      <c r="CD646" s="39">
        <f t="shared" si="376"/>
        <v>-84</v>
      </c>
      <c r="CE646" s="102">
        <f t="shared" si="377"/>
        <v>-1</v>
      </c>
      <c r="CF646" s="36" t="s">
        <v>249</v>
      </c>
      <c r="CG646" s="39" t="s">
        <v>222</v>
      </c>
      <c r="CH646" s="39"/>
      <c r="CI646" s="25">
        <v>3</v>
      </c>
    </row>
    <row r="647" spans="1:87" ht="24.75" customHeight="1">
      <c r="A647" s="36" t="s">
        <v>387</v>
      </c>
      <c r="B647" s="27">
        <v>48670</v>
      </c>
      <c r="C647" s="231"/>
      <c r="D647" s="36"/>
      <c r="E647" s="39">
        <v>180</v>
      </c>
      <c r="F647" s="39" t="s">
        <v>55</v>
      </c>
      <c r="G647" s="36" t="s">
        <v>93</v>
      </c>
      <c r="H647" s="36" t="s">
        <v>87</v>
      </c>
      <c r="I647" s="39">
        <v>84</v>
      </c>
      <c r="J647" s="39"/>
      <c r="K647" s="39"/>
      <c r="L647" s="39">
        <f t="shared" si="448"/>
        <v>84</v>
      </c>
      <c r="M647" s="117">
        <v>46273</v>
      </c>
      <c r="N647" s="117">
        <v>46280</v>
      </c>
      <c r="O647" s="39"/>
      <c r="P647" s="39"/>
      <c r="Q647" s="39"/>
      <c r="R647" s="39">
        <f t="shared" si="449"/>
        <v>0</v>
      </c>
      <c r="S647" s="39" t="s">
        <v>326</v>
      </c>
      <c r="T647" s="39"/>
      <c r="U647" s="39"/>
      <c r="V647" s="117">
        <v>46281</v>
      </c>
      <c r="W647" s="39">
        <v>105</v>
      </c>
      <c r="X647" s="39"/>
      <c r="Y647" s="39"/>
      <c r="Z647" s="39"/>
      <c r="AA647" s="39"/>
      <c r="AB647" s="118">
        <f t="shared" si="450"/>
        <v>0</v>
      </c>
      <c r="AC647" s="39"/>
      <c r="AD647" s="39"/>
      <c r="AE647" s="39"/>
      <c r="AF647" s="39"/>
      <c r="AG647" s="39"/>
      <c r="AH647" s="39">
        <f t="shared" si="451"/>
        <v>0</v>
      </c>
      <c r="AI647" s="39"/>
      <c r="AJ647" s="39"/>
      <c r="AK647" s="39"/>
      <c r="AL647" s="39"/>
      <c r="AM647" s="39"/>
      <c r="AN647" s="39">
        <f t="shared" si="452"/>
        <v>0</v>
      </c>
      <c r="AO647" s="39"/>
      <c r="AP647" s="39"/>
      <c r="AQ647" s="39"/>
      <c r="AR647" s="39"/>
      <c r="AS647" s="39"/>
      <c r="AT647" s="39">
        <f t="shared" si="367"/>
        <v>0</v>
      </c>
      <c r="AU647" s="39"/>
      <c r="AV647" s="39"/>
      <c r="AW647" s="39"/>
      <c r="AX647" s="39"/>
      <c r="AY647" s="39"/>
      <c r="AZ647" s="39">
        <f t="shared" si="368"/>
        <v>0</v>
      </c>
      <c r="BA647" s="39"/>
      <c r="BB647" s="39"/>
      <c r="BC647" s="39"/>
      <c r="BD647" s="39"/>
      <c r="BE647" s="39"/>
      <c r="BF647" s="39">
        <f t="shared" si="369"/>
        <v>0</v>
      </c>
      <c r="BG647" s="39"/>
      <c r="BH647" s="39"/>
      <c r="BI647" s="39"/>
      <c r="BJ647" s="39"/>
      <c r="BK647" s="39"/>
      <c r="BL647" s="39">
        <f t="shared" si="453"/>
        <v>0</v>
      </c>
      <c r="BM647" s="54">
        <f t="shared" ca="1" si="371"/>
        <v>46283</v>
      </c>
      <c r="BN647" s="60">
        <v>46289</v>
      </c>
      <c r="BO647" s="57">
        <v>46302</v>
      </c>
      <c r="BP647" s="36"/>
      <c r="BQ647" s="36"/>
      <c r="BR647" s="39"/>
      <c r="BS647" s="39"/>
      <c r="BT647" s="39"/>
      <c r="BU647" s="39"/>
      <c r="BV647" s="39"/>
      <c r="BW647" s="39"/>
      <c r="BX647" s="39"/>
      <c r="BY647" s="39"/>
      <c r="BZ647" s="39">
        <f t="shared" si="454"/>
        <v>0</v>
      </c>
      <c r="CA647" s="39">
        <f t="shared" si="373"/>
        <v>-84</v>
      </c>
      <c r="CB647" s="39">
        <f t="shared" si="374"/>
        <v>0</v>
      </c>
      <c r="CC647" s="39">
        <f t="shared" si="375"/>
        <v>0</v>
      </c>
      <c r="CD647" s="39">
        <f t="shared" si="376"/>
        <v>-84</v>
      </c>
      <c r="CE647" s="102">
        <f t="shared" si="377"/>
        <v>-1</v>
      </c>
      <c r="CF647" s="36" t="s">
        <v>249</v>
      </c>
      <c r="CG647" s="39" t="s">
        <v>222</v>
      </c>
      <c r="CH647" s="39"/>
      <c r="CI647" s="25">
        <v>3</v>
      </c>
    </row>
    <row r="648" spans="1:87" ht="24.75" customHeight="1">
      <c r="A648" s="36" t="s">
        <v>387</v>
      </c>
      <c r="B648" s="27">
        <v>48670</v>
      </c>
      <c r="C648" s="231"/>
      <c r="D648" s="36"/>
      <c r="E648" s="39">
        <v>180</v>
      </c>
      <c r="F648" s="39" t="s">
        <v>55</v>
      </c>
      <c r="G648" s="36" t="s">
        <v>39</v>
      </c>
      <c r="H648" s="36" t="s">
        <v>87</v>
      </c>
      <c r="I648" s="39">
        <v>84</v>
      </c>
      <c r="J648" s="39"/>
      <c r="K648" s="39"/>
      <c r="L648" s="39">
        <f t="shared" si="448"/>
        <v>84</v>
      </c>
      <c r="M648" s="117">
        <v>46273</v>
      </c>
      <c r="N648" s="117">
        <v>46280</v>
      </c>
      <c r="O648" s="39"/>
      <c r="P648" s="39"/>
      <c r="Q648" s="39"/>
      <c r="R648" s="39">
        <f t="shared" si="449"/>
        <v>0</v>
      </c>
      <c r="S648" s="39" t="s">
        <v>100</v>
      </c>
      <c r="T648" s="39"/>
      <c r="U648" s="39"/>
      <c r="V648" s="117">
        <v>46273</v>
      </c>
      <c r="W648" s="39">
        <v>109</v>
      </c>
      <c r="X648" s="39"/>
      <c r="Y648" s="39"/>
      <c r="Z648" s="39"/>
      <c r="AA648" s="39"/>
      <c r="AB648" s="118">
        <f t="shared" si="450"/>
        <v>0</v>
      </c>
      <c r="AC648" s="39"/>
      <c r="AD648" s="39"/>
      <c r="AE648" s="39"/>
      <c r="AF648" s="39"/>
      <c r="AG648" s="39"/>
      <c r="AH648" s="39">
        <f t="shared" si="451"/>
        <v>0</v>
      </c>
      <c r="AI648" s="39"/>
      <c r="AJ648" s="39"/>
      <c r="AK648" s="39"/>
      <c r="AL648" s="39"/>
      <c r="AM648" s="39"/>
      <c r="AN648" s="39">
        <f t="shared" si="452"/>
        <v>0</v>
      </c>
      <c r="AO648" s="39"/>
      <c r="AP648" s="39"/>
      <c r="AQ648" s="39"/>
      <c r="AR648" s="39"/>
      <c r="AS648" s="39"/>
      <c r="AT648" s="39">
        <f t="shared" ref="AT648:AT672" si="455">AS648-AQ648</f>
        <v>0</v>
      </c>
      <c r="AU648" s="39"/>
      <c r="AV648" s="39"/>
      <c r="AW648" s="39"/>
      <c r="AX648" s="39"/>
      <c r="AY648" s="39"/>
      <c r="AZ648" s="39">
        <f t="shared" ref="AZ648:AZ672" si="456">AY648-AW648</f>
        <v>0</v>
      </c>
      <c r="BA648" s="39"/>
      <c r="BB648" s="39"/>
      <c r="BC648" s="39"/>
      <c r="BD648" s="39"/>
      <c r="BE648" s="39"/>
      <c r="BF648" s="39">
        <f t="shared" ref="BF648:BF672" si="457">BE648-BC648</f>
        <v>0</v>
      </c>
      <c r="BG648" s="39"/>
      <c r="BH648" s="39"/>
      <c r="BI648" s="39"/>
      <c r="BJ648" s="39"/>
      <c r="BK648" s="39"/>
      <c r="BL648" s="39">
        <f t="shared" si="453"/>
        <v>0</v>
      </c>
      <c r="BM648" s="54">
        <f t="shared" ref="BM648:BM672" ca="1" si="458">IF((BZ648/L648)&lt;0.9,$CO$1-U648,"")</f>
        <v>46283</v>
      </c>
      <c r="BN648" s="60">
        <v>46289</v>
      </c>
      <c r="BO648" s="57">
        <v>46302</v>
      </c>
      <c r="BP648" s="36"/>
      <c r="BQ648" s="36"/>
      <c r="BR648" s="39"/>
      <c r="BS648" s="39"/>
      <c r="BT648" s="39"/>
      <c r="BU648" s="39"/>
      <c r="BV648" s="39"/>
      <c r="BW648" s="39"/>
      <c r="BX648" s="39"/>
      <c r="BY648" s="39"/>
      <c r="BZ648" s="39">
        <f t="shared" si="454"/>
        <v>0</v>
      </c>
      <c r="CA648" s="39">
        <f t="shared" ref="CA648:CA672" si="459">BU648-I648</f>
        <v>-84</v>
      </c>
      <c r="CB648" s="39">
        <f t="shared" ref="CB648:CB672" si="460">BW648-J648</f>
        <v>0</v>
      </c>
      <c r="CC648" s="39">
        <f t="shared" ref="CC648:CC672" si="461">BY648-K648</f>
        <v>0</v>
      </c>
      <c r="CD648" s="39">
        <f t="shared" ref="CD648:CD672" si="462">SUMIF(CA648:CC648,"&lt;0")</f>
        <v>-84</v>
      </c>
      <c r="CE648" s="102">
        <f t="shared" ref="CE648:CE672" si="463">CD648/L648</f>
        <v>-1</v>
      </c>
      <c r="CF648" s="36" t="s">
        <v>249</v>
      </c>
      <c r="CG648" s="39" t="s">
        <v>222</v>
      </c>
      <c r="CH648" s="39"/>
      <c r="CI648" s="25">
        <v>3</v>
      </c>
    </row>
    <row r="649" spans="1:87" ht="24.75" customHeight="1">
      <c r="A649" s="36" t="s">
        <v>387</v>
      </c>
      <c r="B649" s="27">
        <v>48670</v>
      </c>
      <c r="C649" s="228"/>
      <c r="D649" s="36"/>
      <c r="E649" s="39">
        <v>180</v>
      </c>
      <c r="F649" s="39" t="s">
        <v>55</v>
      </c>
      <c r="G649" s="36" t="s">
        <v>460</v>
      </c>
      <c r="H649" s="36" t="s">
        <v>87</v>
      </c>
      <c r="I649" s="39">
        <v>84</v>
      </c>
      <c r="J649" s="39"/>
      <c r="K649" s="39"/>
      <c r="L649" s="39">
        <f t="shared" ref="L649:L651" si="464">SUM(I649:K649)</f>
        <v>84</v>
      </c>
      <c r="M649" s="117">
        <v>46273</v>
      </c>
      <c r="N649" s="117">
        <v>46280</v>
      </c>
      <c r="O649" s="39"/>
      <c r="P649" s="39"/>
      <c r="Q649" s="39"/>
      <c r="R649" s="39">
        <f t="shared" si="449"/>
        <v>0</v>
      </c>
      <c r="S649" s="39" t="s">
        <v>31</v>
      </c>
      <c r="T649" s="39"/>
      <c r="U649" s="39"/>
      <c r="V649" s="117">
        <v>46274</v>
      </c>
      <c r="W649" s="39">
        <v>106</v>
      </c>
      <c r="X649" s="39"/>
      <c r="Y649" s="39"/>
      <c r="Z649" s="39"/>
      <c r="AA649" s="39"/>
      <c r="AB649" s="118">
        <f t="shared" si="450"/>
        <v>0</v>
      </c>
      <c r="AC649" s="39"/>
      <c r="AD649" s="39"/>
      <c r="AE649" s="39"/>
      <c r="AF649" s="39"/>
      <c r="AG649" s="39"/>
      <c r="AH649" s="39">
        <f t="shared" si="451"/>
        <v>0</v>
      </c>
      <c r="AI649" s="39"/>
      <c r="AJ649" s="39"/>
      <c r="AK649" s="39"/>
      <c r="AL649" s="39"/>
      <c r="AM649" s="39"/>
      <c r="AN649" s="39">
        <f t="shared" si="452"/>
        <v>0</v>
      </c>
      <c r="AO649" s="39"/>
      <c r="AP649" s="39"/>
      <c r="AQ649" s="39"/>
      <c r="AR649" s="39"/>
      <c r="AS649" s="39"/>
      <c r="AT649" s="39">
        <f t="shared" si="455"/>
        <v>0</v>
      </c>
      <c r="AU649" s="39"/>
      <c r="AV649" s="39"/>
      <c r="AW649" s="39"/>
      <c r="AX649" s="39"/>
      <c r="AY649" s="39"/>
      <c r="AZ649" s="39">
        <f t="shared" si="456"/>
        <v>0</v>
      </c>
      <c r="BA649" s="39"/>
      <c r="BB649" s="39"/>
      <c r="BC649" s="39"/>
      <c r="BD649" s="39"/>
      <c r="BE649" s="39"/>
      <c r="BF649" s="39">
        <f t="shared" si="457"/>
        <v>0</v>
      </c>
      <c r="BG649" s="39"/>
      <c r="BH649" s="39"/>
      <c r="BI649" s="39"/>
      <c r="BJ649" s="39"/>
      <c r="BK649" s="39"/>
      <c r="BL649" s="39">
        <f t="shared" si="453"/>
        <v>0</v>
      </c>
      <c r="BM649" s="54">
        <f t="shared" ca="1" si="458"/>
        <v>46283</v>
      </c>
      <c r="BN649" s="60">
        <v>46289</v>
      </c>
      <c r="BO649" s="57">
        <v>46302</v>
      </c>
      <c r="BP649" s="36"/>
      <c r="BQ649" s="36"/>
      <c r="BR649" s="39"/>
      <c r="BS649" s="39"/>
      <c r="BT649" s="39"/>
      <c r="BU649" s="39"/>
      <c r="BV649" s="39"/>
      <c r="BW649" s="39"/>
      <c r="BX649" s="39"/>
      <c r="BY649" s="39"/>
      <c r="BZ649" s="39">
        <f t="shared" si="454"/>
        <v>0</v>
      </c>
      <c r="CA649" s="39">
        <f t="shared" si="459"/>
        <v>-84</v>
      </c>
      <c r="CB649" s="39">
        <f t="shared" si="460"/>
        <v>0</v>
      </c>
      <c r="CC649" s="39">
        <f t="shared" si="461"/>
        <v>0</v>
      </c>
      <c r="CD649" s="39">
        <f t="shared" si="462"/>
        <v>-84</v>
      </c>
      <c r="CE649" s="102">
        <f t="shared" si="463"/>
        <v>-1</v>
      </c>
      <c r="CF649" s="36" t="s">
        <v>249</v>
      </c>
      <c r="CG649" s="39" t="s">
        <v>222</v>
      </c>
      <c r="CH649" s="39"/>
      <c r="CI649" s="25">
        <v>3</v>
      </c>
    </row>
    <row r="650" spans="1:87" ht="24.75" customHeight="1">
      <c r="A650" s="36" t="s">
        <v>387</v>
      </c>
      <c r="B650" s="27">
        <v>48673</v>
      </c>
      <c r="C650" s="36">
        <v>15393974</v>
      </c>
      <c r="D650" s="36"/>
      <c r="E650" s="39">
        <v>130</v>
      </c>
      <c r="F650" s="39" t="s">
        <v>58</v>
      </c>
      <c r="G650" s="36" t="s">
        <v>47</v>
      </c>
      <c r="H650" s="36" t="s">
        <v>22</v>
      </c>
      <c r="I650" s="39">
        <v>816</v>
      </c>
      <c r="J650" s="39">
        <v>55</v>
      </c>
      <c r="K650" s="39"/>
      <c r="L650" s="39">
        <f t="shared" si="464"/>
        <v>871</v>
      </c>
      <c r="M650" s="117">
        <v>46275</v>
      </c>
      <c r="N650" s="117">
        <v>46280</v>
      </c>
      <c r="O650" s="39"/>
      <c r="P650" s="39"/>
      <c r="Q650" s="39"/>
      <c r="R650" s="39">
        <f t="shared" si="449"/>
        <v>0</v>
      </c>
      <c r="S650" s="39" t="s">
        <v>130</v>
      </c>
      <c r="T650" s="39" t="s">
        <v>3056</v>
      </c>
      <c r="U650" s="117" t="s">
        <v>3057</v>
      </c>
      <c r="V650" s="39"/>
      <c r="W650" s="39"/>
      <c r="X650" s="39"/>
      <c r="Y650" s="39">
        <f>800+118</f>
        <v>918</v>
      </c>
      <c r="Z650" s="39">
        <f>55+18</f>
        <v>73</v>
      </c>
      <c r="AA650" s="39"/>
      <c r="AB650" s="119">
        <f t="shared" si="450"/>
        <v>991</v>
      </c>
      <c r="AC650" s="39"/>
      <c r="AD650" s="39"/>
      <c r="AE650" s="39"/>
      <c r="AF650" s="39"/>
      <c r="AG650" s="39"/>
      <c r="AH650" s="39">
        <f t="shared" si="451"/>
        <v>0</v>
      </c>
      <c r="AI650" s="39"/>
      <c r="AJ650" s="39"/>
      <c r="AK650" s="39"/>
      <c r="AL650" s="39"/>
      <c r="AM650" s="39"/>
      <c r="AN650" s="39">
        <f t="shared" si="452"/>
        <v>0</v>
      </c>
      <c r="AO650" s="39"/>
      <c r="AP650" s="39"/>
      <c r="AQ650" s="39"/>
      <c r="AR650" s="39"/>
      <c r="AS650" s="39"/>
      <c r="AT650" s="39">
        <f t="shared" si="455"/>
        <v>0</v>
      </c>
      <c r="AU650" s="39"/>
      <c r="AV650" s="39"/>
      <c r="AW650" s="39"/>
      <c r="AX650" s="39"/>
      <c r="AY650" s="39"/>
      <c r="AZ650" s="39">
        <f t="shared" si="456"/>
        <v>0</v>
      </c>
      <c r="BA650" s="39"/>
      <c r="BB650" s="39"/>
      <c r="BC650" s="39"/>
      <c r="BD650" s="39"/>
      <c r="BE650" s="39"/>
      <c r="BF650" s="39">
        <f t="shared" si="457"/>
        <v>0</v>
      </c>
      <c r="BG650" s="39"/>
      <c r="BH650" s="39"/>
      <c r="BI650" s="39"/>
      <c r="BJ650" s="39"/>
      <c r="BK650" s="39"/>
      <c r="BL650" s="39">
        <f t="shared" si="453"/>
        <v>0</v>
      </c>
      <c r="BM650" s="54" t="e">
        <f t="shared" ca="1" si="458"/>
        <v>#VALUE!</v>
      </c>
      <c r="BN650" s="60">
        <v>46287</v>
      </c>
      <c r="BO650" s="57">
        <v>46298</v>
      </c>
      <c r="BP650" s="36"/>
      <c r="BQ650" s="36"/>
      <c r="BR650" s="117">
        <v>46269</v>
      </c>
      <c r="BS650" s="39"/>
      <c r="BT650" s="39">
        <v>748</v>
      </c>
      <c r="BU650" s="39">
        <f>717</f>
        <v>717</v>
      </c>
      <c r="BV650" s="39">
        <v>748</v>
      </c>
      <c r="BW650" s="39">
        <f>49</f>
        <v>49</v>
      </c>
      <c r="BX650" s="39"/>
      <c r="BY650" s="39"/>
      <c r="BZ650" s="39">
        <f t="shared" si="454"/>
        <v>766</v>
      </c>
      <c r="CA650" s="39">
        <f t="shared" si="459"/>
        <v>-99</v>
      </c>
      <c r="CB650" s="39">
        <f t="shared" si="460"/>
        <v>-6</v>
      </c>
      <c r="CC650" s="39">
        <f t="shared" si="461"/>
        <v>0</v>
      </c>
      <c r="CD650" s="39">
        <f t="shared" si="462"/>
        <v>-105</v>
      </c>
      <c r="CE650" s="102">
        <f t="shared" si="463"/>
        <v>-0.12055109070034443</v>
      </c>
      <c r="CF650" s="36" t="s">
        <v>249</v>
      </c>
      <c r="CG650" s="39" t="s">
        <v>222</v>
      </c>
      <c r="CH650" s="39"/>
      <c r="CI650" s="25">
        <v>3</v>
      </c>
    </row>
    <row r="651" spans="1:87" ht="24.75" customHeight="1">
      <c r="A651" s="36" t="s">
        <v>387</v>
      </c>
      <c r="B651" s="27">
        <v>48675</v>
      </c>
      <c r="C651" s="36" t="s">
        <v>2677</v>
      </c>
      <c r="D651" s="36"/>
      <c r="E651" s="39">
        <v>190</v>
      </c>
      <c r="F651" s="39" t="s">
        <v>59</v>
      </c>
      <c r="G651" s="36" t="s">
        <v>1754</v>
      </c>
      <c r="H651" s="36" t="s">
        <v>96</v>
      </c>
      <c r="I651" s="39">
        <f>58+4</f>
        <v>62</v>
      </c>
      <c r="J651" s="39"/>
      <c r="K651" s="39"/>
      <c r="L651" s="39">
        <f t="shared" si="464"/>
        <v>62</v>
      </c>
      <c r="M651" s="117">
        <v>46275</v>
      </c>
      <c r="N651" s="117">
        <v>46279</v>
      </c>
      <c r="O651" s="39"/>
      <c r="P651" s="39"/>
      <c r="Q651" s="39"/>
      <c r="R651" s="39">
        <f t="shared" si="449"/>
        <v>0</v>
      </c>
      <c r="S651" s="39" t="s">
        <v>326</v>
      </c>
      <c r="T651" s="39"/>
      <c r="U651" s="39"/>
      <c r="V651" s="117">
        <v>46275</v>
      </c>
      <c r="W651" s="39">
        <v>80</v>
      </c>
      <c r="X651" s="39"/>
      <c r="Y651" s="39"/>
      <c r="Z651" s="39"/>
      <c r="AA651" s="39"/>
      <c r="AB651" s="118">
        <f t="shared" si="450"/>
        <v>0</v>
      </c>
      <c r="AC651" s="39"/>
      <c r="AD651" s="39"/>
      <c r="AE651" s="39"/>
      <c r="AF651" s="39"/>
      <c r="AG651" s="39"/>
      <c r="AH651" s="39">
        <f t="shared" si="451"/>
        <v>0</v>
      </c>
      <c r="AI651" s="39"/>
      <c r="AJ651" s="39"/>
      <c r="AK651" s="39"/>
      <c r="AL651" s="39"/>
      <c r="AM651" s="39"/>
      <c r="AN651" s="39">
        <f t="shared" si="452"/>
        <v>0</v>
      </c>
      <c r="AO651" s="39"/>
      <c r="AP651" s="39"/>
      <c r="AQ651" s="39"/>
      <c r="AR651" s="39"/>
      <c r="AS651" s="39"/>
      <c r="AT651" s="39">
        <f t="shared" si="455"/>
        <v>0</v>
      </c>
      <c r="AU651" s="39"/>
      <c r="AV651" s="39"/>
      <c r="AW651" s="39"/>
      <c r="AX651" s="39"/>
      <c r="AY651" s="39"/>
      <c r="AZ651" s="39">
        <f t="shared" si="456"/>
        <v>0</v>
      </c>
      <c r="BA651" s="39"/>
      <c r="BB651" s="39"/>
      <c r="BC651" s="39"/>
      <c r="BD651" s="39"/>
      <c r="BE651" s="39"/>
      <c r="BF651" s="39">
        <f t="shared" si="457"/>
        <v>0</v>
      </c>
      <c r="BG651" s="39"/>
      <c r="BH651" s="39"/>
      <c r="BI651" s="39"/>
      <c r="BJ651" s="39"/>
      <c r="BK651" s="39"/>
      <c r="BL651" s="39">
        <f t="shared" si="453"/>
        <v>0</v>
      </c>
      <c r="BM651" s="54">
        <f t="shared" ca="1" si="458"/>
        <v>46283</v>
      </c>
      <c r="BN651" s="60">
        <v>46287</v>
      </c>
      <c r="BO651" s="57">
        <v>46300</v>
      </c>
      <c r="BP651" s="36"/>
      <c r="BQ651" s="36"/>
      <c r="BR651" s="39"/>
      <c r="BS651" s="39"/>
      <c r="BT651" s="39"/>
      <c r="BU651" s="39"/>
      <c r="BV651" s="39"/>
      <c r="BW651" s="39"/>
      <c r="BX651" s="39"/>
      <c r="BY651" s="39"/>
      <c r="BZ651" s="39">
        <f t="shared" si="454"/>
        <v>0</v>
      </c>
      <c r="CA651" s="39">
        <f t="shared" si="459"/>
        <v>-62</v>
      </c>
      <c r="CB651" s="39">
        <f t="shared" si="460"/>
        <v>0</v>
      </c>
      <c r="CC651" s="39">
        <f t="shared" si="461"/>
        <v>0</v>
      </c>
      <c r="CD651" s="39">
        <f t="shared" si="462"/>
        <v>-62</v>
      </c>
      <c r="CE651" s="102">
        <f t="shared" si="463"/>
        <v>-1</v>
      </c>
      <c r="CF651" s="36" t="s">
        <v>249</v>
      </c>
      <c r="CG651" s="39" t="s">
        <v>222</v>
      </c>
      <c r="CH651" s="39"/>
      <c r="CI651" s="25">
        <v>3</v>
      </c>
    </row>
    <row r="652" spans="1:87" ht="24.75" customHeight="1">
      <c r="A652" s="36" t="s">
        <v>387</v>
      </c>
      <c r="B652" s="27">
        <v>48689</v>
      </c>
      <c r="C652" s="227">
        <v>15399655</v>
      </c>
      <c r="D652" s="36" t="s">
        <v>45</v>
      </c>
      <c r="E652" s="39">
        <v>260</v>
      </c>
      <c r="F652" s="39" t="s">
        <v>58</v>
      </c>
      <c r="G652" s="36" t="s">
        <v>2554</v>
      </c>
      <c r="H652" s="36" t="s">
        <v>410</v>
      </c>
      <c r="I652" s="39">
        <v>417</v>
      </c>
      <c r="J652" s="39">
        <v>92</v>
      </c>
      <c r="K652" s="39">
        <v>44</v>
      </c>
      <c r="L652" s="39">
        <f t="shared" ref="L652:L656" si="465">SUM(I652:K652)</f>
        <v>553</v>
      </c>
      <c r="M652" s="117">
        <v>46275</v>
      </c>
      <c r="N652" s="117">
        <v>46281</v>
      </c>
      <c r="O652" s="39"/>
      <c r="P652" s="39"/>
      <c r="Q652" s="39"/>
      <c r="R652" s="39">
        <f t="shared" ref="R652:R662" si="466">SUM(O652:Q652)</f>
        <v>0</v>
      </c>
      <c r="S652" s="39" t="s">
        <v>31</v>
      </c>
      <c r="T652" s="39"/>
      <c r="U652" s="39"/>
      <c r="V652" s="117">
        <v>46272</v>
      </c>
      <c r="W652" s="39">
        <f>485</f>
        <v>485</v>
      </c>
      <c r="X652" s="39"/>
      <c r="Y652" s="39"/>
      <c r="Z652" s="39"/>
      <c r="AA652" s="39"/>
      <c r="AB652" s="118">
        <f t="shared" ref="AB652:AB663" si="467">SUM(Y652:AA652)</f>
        <v>0</v>
      </c>
      <c r="AC652" s="39"/>
      <c r="AD652" s="39"/>
      <c r="AE652" s="39"/>
      <c r="AF652" s="39"/>
      <c r="AG652" s="39"/>
      <c r="AH652" s="39">
        <f t="shared" si="451"/>
        <v>0</v>
      </c>
      <c r="AI652" s="39"/>
      <c r="AJ652" s="39"/>
      <c r="AK652" s="39"/>
      <c r="AL652" s="39"/>
      <c r="AM652" s="39"/>
      <c r="AN652" s="39">
        <f t="shared" si="452"/>
        <v>0</v>
      </c>
      <c r="AO652" s="39"/>
      <c r="AP652" s="39"/>
      <c r="AQ652" s="39"/>
      <c r="AR652" s="39"/>
      <c r="AS652" s="39"/>
      <c r="AT652" s="39">
        <f t="shared" si="455"/>
        <v>0</v>
      </c>
      <c r="AU652" s="39"/>
      <c r="AV652" s="39"/>
      <c r="AW652" s="39"/>
      <c r="AX652" s="39"/>
      <c r="AY652" s="39"/>
      <c r="AZ652" s="39">
        <f t="shared" si="456"/>
        <v>0</v>
      </c>
      <c r="BA652" s="39"/>
      <c r="BB652" s="39"/>
      <c r="BC652" s="39"/>
      <c r="BD652" s="39"/>
      <c r="BE652" s="39"/>
      <c r="BF652" s="39">
        <f t="shared" si="457"/>
        <v>0</v>
      </c>
      <c r="BG652" s="39"/>
      <c r="BH652" s="39"/>
      <c r="BI652" s="39"/>
      <c r="BJ652" s="39"/>
      <c r="BK652" s="39"/>
      <c r="BL652" s="39">
        <f t="shared" si="453"/>
        <v>0</v>
      </c>
      <c r="BM652" s="54">
        <f t="shared" ca="1" si="458"/>
        <v>46283</v>
      </c>
      <c r="BN652" s="60">
        <v>46287</v>
      </c>
      <c r="BO652" s="57">
        <v>46301</v>
      </c>
      <c r="BP652" s="36"/>
      <c r="BQ652" s="36"/>
      <c r="BR652" s="39"/>
      <c r="BS652" s="39"/>
      <c r="BT652" s="39"/>
      <c r="BU652" s="39"/>
      <c r="BV652" s="39"/>
      <c r="BW652" s="39"/>
      <c r="BX652" s="39"/>
      <c r="BY652" s="39"/>
      <c r="BZ652" s="39">
        <f t="shared" si="454"/>
        <v>0</v>
      </c>
      <c r="CA652" s="39">
        <f t="shared" si="459"/>
        <v>-417</v>
      </c>
      <c r="CB652" s="39">
        <f t="shared" si="460"/>
        <v>-92</v>
      </c>
      <c r="CC652" s="39">
        <f t="shared" si="461"/>
        <v>-44</v>
      </c>
      <c r="CD652" s="39">
        <f t="shared" si="462"/>
        <v>-553</v>
      </c>
      <c r="CE652" s="102">
        <f t="shared" si="463"/>
        <v>-1</v>
      </c>
      <c r="CF652" s="36" t="s">
        <v>249</v>
      </c>
      <c r="CG652" s="39" t="s">
        <v>222</v>
      </c>
      <c r="CH652" s="39"/>
      <c r="CI652" s="25">
        <v>3</v>
      </c>
    </row>
    <row r="653" spans="1:87" ht="24.75" customHeight="1">
      <c r="A653" s="36" t="s">
        <v>387</v>
      </c>
      <c r="B653" s="27">
        <v>48689</v>
      </c>
      <c r="C653" s="228"/>
      <c r="D653" s="36"/>
      <c r="E653" s="39"/>
      <c r="F653" s="39"/>
      <c r="G653" s="36" t="s">
        <v>92</v>
      </c>
      <c r="H653" s="36">
        <v>300</v>
      </c>
      <c r="I653" s="39" t="s">
        <v>90</v>
      </c>
      <c r="J653" s="39"/>
      <c r="K653" s="39"/>
      <c r="L653" s="39">
        <f t="shared" si="465"/>
        <v>0</v>
      </c>
      <c r="M653" s="117">
        <v>46275</v>
      </c>
      <c r="N653" s="117">
        <v>46281</v>
      </c>
      <c r="O653" s="39"/>
      <c r="P653" s="39"/>
      <c r="Q653" s="39"/>
      <c r="R653" s="39">
        <f t="shared" si="466"/>
        <v>0</v>
      </c>
      <c r="S653" s="39" t="s">
        <v>130</v>
      </c>
      <c r="T653" s="39"/>
      <c r="U653" s="39"/>
      <c r="V653" s="39"/>
      <c r="W653" s="39"/>
      <c r="X653" s="39"/>
      <c r="Y653" s="39"/>
      <c r="Z653" s="39"/>
      <c r="AA653" s="39"/>
      <c r="AB653" s="39">
        <f t="shared" si="467"/>
        <v>0</v>
      </c>
      <c r="AC653" s="39"/>
      <c r="AD653" s="39"/>
      <c r="AE653" s="39"/>
      <c r="AF653" s="39"/>
      <c r="AG653" s="39"/>
      <c r="AH653" s="39">
        <f t="shared" si="451"/>
        <v>0</v>
      </c>
      <c r="AI653" s="39"/>
      <c r="AJ653" s="39"/>
      <c r="AK653" s="39"/>
      <c r="AL653" s="39"/>
      <c r="AM653" s="39"/>
      <c r="AN653" s="39">
        <f t="shared" si="452"/>
        <v>0</v>
      </c>
      <c r="AO653" s="39"/>
      <c r="AP653" s="39"/>
      <c r="AQ653" s="39"/>
      <c r="AR653" s="39"/>
      <c r="AS653" s="39"/>
      <c r="AT653" s="39">
        <f t="shared" si="455"/>
        <v>0</v>
      </c>
      <c r="AU653" s="39"/>
      <c r="AV653" s="39"/>
      <c r="AW653" s="39"/>
      <c r="AX653" s="39"/>
      <c r="AY653" s="39"/>
      <c r="AZ653" s="39">
        <f t="shared" si="456"/>
        <v>0</v>
      </c>
      <c r="BA653" s="39"/>
      <c r="BB653" s="39"/>
      <c r="BC653" s="39"/>
      <c r="BD653" s="39"/>
      <c r="BE653" s="39"/>
      <c r="BF653" s="39">
        <f t="shared" si="457"/>
        <v>0</v>
      </c>
      <c r="BG653" s="39"/>
      <c r="BH653" s="39"/>
      <c r="BI653" s="39"/>
      <c r="BJ653" s="39"/>
      <c r="BK653" s="39"/>
      <c r="BL653" s="39">
        <f t="shared" si="453"/>
        <v>0</v>
      </c>
      <c r="BM653" s="54" t="e">
        <f t="shared" si="458"/>
        <v>#DIV/0!</v>
      </c>
      <c r="BN653" s="60">
        <v>46287</v>
      </c>
      <c r="BO653" s="57">
        <v>46301</v>
      </c>
      <c r="BP653" s="36"/>
      <c r="BQ653" s="36"/>
      <c r="BR653" s="39"/>
      <c r="BS653" s="39"/>
      <c r="BT653" s="39"/>
      <c r="BU653" s="39"/>
      <c r="BV653" s="39"/>
      <c r="BW653" s="39"/>
      <c r="BX653" s="39"/>
      <c r="BY653" s="39"/>
      <c r="BZ653" s="39">
        <f t="shared" si="454"/>
        <v>0</v>
      </c>
      <c r="CA653" s="39" t="e">
        <f t="shared" si="459"/>
        <v>#VALUE!</v>
      </c>
      <c r="CB653" s="39">
        <f t="shared" si="460"/>
        <v>0</v>
      </c>
      <c r="CC653" s="39">
        <f t="shared" si="461"/>
        <v>0</v>
      </c>
      <c r="CD653" s="39">
        <f t="shared" si="462"/>
        <v>0</v>
      </c>
      <c r="CE653" s="102" t="e">
        <f t="shared" si="463"/>
        <v>#DIV/0!</v>
      </c>
      <c r="CF653" s="36" t="s">
        <v>249</v>
      </c>
      <c r="CG653" s="39" t="s">
        <v>222</v>
      </c>
      <c r="CH653" s="39"/>
      <c r="CI653" s="25">
        <v>3</v>
      </c>
    </row>
    <row r="654" spans="1:87" ht="24.75" customHeight="1">
      <c r="A654" s="36" t="s">
        <v>387</v>
      </c>
      <c r="B654" s="27" t="s">
        <v>2854</v>
      </c>
      <c r="C654" s="227">
        <v>15390922</v>
      </c>
      <c r="D654" s="36"/>
      <c r="E654" s="39">
        <v>160</v>
      </c>
      <c r="F654" s="39" t="s">
        <v>57</v>
      </c>
      <c r="G654" s="36" t="s">
        <v>93</v>
      </c>
      <c r="H654" s="36" t="s">
        <v>22</v>
      </c>
      <c r="I654" s="39">
        <v>123</v>
      </c>
      <c r="J654" s="39">
        <v>6</v>
      </c>
      <c r="K654" s="39"/>
      <c r="L654" s="39">
        <f t="shared" si="465"/>
        <v>129</v>
      </c>
      <c r="M654" s="117">
        <v>46275</v>
      </c>
      <c r="N654" s="117">
        <v>46280</v>
      </c>
      <c r="O654" s="39"/>
      <c r="P654" s="39"/>
      <c r="Q654" s="39"/>
      <c r="R654" s="39">
        <f t="shared" si="466"/>
        <v>0</v>
      </c>
      <c r="S654" s="39" t="s">
        <v>130</v>
      </c>
      <c r="T654" s="39"/>
      <c r="U654" s="39"/>
      <c r="V654" s="39"/>
      <c r="W654" s="39"/>
      <c r="X654" s="39"/>
      <c r="Y654" s="39"/>
      <c r="Z654" s="39"/>
      <c r="AA654" s="39"/>
      <c r="AB654" s="118">
        <f t="shared" si="467"/>
        <v>0</v>
      </c>
      <c r="AC654" s="39"/>
      <c r="AD654" s="39"/>
      <c r="AE654" s="39"/>
      <c r="AF654" s="39"/>
      <c r="AG654" s="39"/>
      <c r="AH654" s="39">
        <f t="shared" si="451"/>
        <v>0</v>
      </c>
      <c r="AI654" s="39"/>
      <c r="AJ654" s="39"/>
      <c r="AK654" s="39"/>
      <c r="AL654" s="39"/>
      <c r="AM654" s="39"/>
      <c r="AN654" s="39">
        <f t="shared" si="452"/>
        <v>0</v>
      </c>
      <c r="AO654" s="39"/>
      <c r="AP654" s="39"/>
      <c r="AQ654" s="39"/>
      <c r="AR654" s="39"/>
      <c r="AS654" s="39"/>
      <c r="AT654" s="39">
        <f t="shared" si="455"/>
        <v>0</v>
      </c>
      <c r="AU654" s="39"/>
      <c r="AV654" s="39"/>
      <c r="AW654" s="39"/>
      <c r="AX654" s="39"/>
      <c r="AY654" s="39"/>
      <c r="AZ654" s="39">
        <f t="shared" si="456"/>
        <v>0</v>
      </c>
      <c r="BA654" s="39"/>
      <c r="BB654" s="39"/>
      <c r="BC654" s="39"/>
      <c r="BD654" s="39"/>
      <c r="BE654" s="39"/>
      <c r="BF654" s="39">
        <f t="shared" si="457"/>
        <v>0</v>
      </c>
      <c r="BG654" s="39"/>
      <c r="BH654" s="39"/>
      <c r="BI654" s="39"/>
      <c r="BJ654" s="39"/>
      <c r="BK654" s="39"/>
      <c r="BL654" s="39">
        <f t="shared" si="453"/>
        <v>0</v>
      </c>
      <c r="BM654" s="54">
        <f t="shared" ca="1" si="458"/>
        <v>46283</v>
      </c>
      <c r="BN654" s="60">
        <v>46293</v>
      </c>
      <c r="BO654" s="57">
        <v>46304</v>
      </c>
      <c r="BP654" s="36"/>
      <c r="BQ654" s="36"/>
      <c r="BR654" s="39"/>
      <c r="BS654" s="39"/>
      <c r="BT654" s="39"/>
      <c r="BU654" s="39"/>
      <c r="BV654" s="39"/>
      <c r="BW654" s="39"/>
      <c r="BX654" s="39"/>
      <c r="BY654" s="39"/>
      <c r="BZ654" s="39">
        <f t="shared" si="454"/>
        <v>0</v>
      </c>
      <c r="CA654" s="39">
        <f t="shared" si="459"/>
        <v>-123</v>
      </c>
      <c r="CB654" s="39">
        <f t="shared" si="460"/>
        <v>-6</v>
      </c>
      <c r="CC654" s="39">
        <f t="shared" si="461"/>
        <v>0</v>
      </c>
      <c r="CD654" s="39">
        <f t="shared" si="462"/>
        <v>-129</v>
      </c>
      <c r="CE654" s="102">
        <f t="shared" si="463"/>
        <v>-1</v>
      </c>
      <c r="CF654" s="36" t="s">
        <v>384</v>
      </c>
      <c r="CG654" s="39" t="s">
        <v>415</v>
      </c>
      <c r="CH654" s="39"/>
      <c r="CI654" s="25">
        <v>3</v>
      </c>
    </row>
    <row r="655" spans="1:87" ht="24.75" customHeight="1">
      <c r="A655" s="36" t="s">
        <v>387</v>
      </c>
      <c r="B655" s="27" t="s">
        <v>2854</v>
      </c>
      <c r="C655" s="231"/>
      <c r="D655" s="36"/>
      <c r="E655" s="39">
        <v>160</v>
      </c>
      <c r="F655" s="39" t="s">
        <v>57</v>
      </c>
      <c r="G655" s="36" t="s">
        <v>807</v>
      </c>
      <c r="H655" s="36" t="s">
        <v>22</v>
      </c>
      <c r="I655" s="39">
        <v>158</v>
      </c>
      <c r="J655" s="39">
        <v>8</v>
      </c>
      <c r="K655" s="39"/>
      <c r="L655" s="39">
        <f t="shared" si="465"/>
        <v>166</v>
      </c>
      <c r="M655" s="117">
        <v>46275</v>
      </c>
      <c r="N655" s="117">
        <v>46280</v>
      </c>
      <c r="O655" s="39"/>
      <c r="P655" s="39"/>
      <c r="Q655" s="39"/>
      <c r="R655" s="39">
        <f t="shared" si="466"/>
        <v>0</v>
      </c>
      <c r="S655" s="39" t="s">
        <v>100</v>
      </c>
      <c r="T655" s="39"/>
      <c r="U655" s="39"/>
      <c r="V655" s="39"/>
      <c r="W655" s="39"/>
      <c r="X655" s="39"/>
      <c r="Y655" s="39"/>
      <c r="Z655" s="39"/>
      <c r="AA655" s="39"/>
      <c r="AB655" s="118">
        <f t="shared" si="467"/>
        <v>0</v>
      </c>
      <c r="AC655" s="39"/>
      <c r="AD655" s="39"/>
      <c r="AE655" s="39"/>
      <c r="AF655" s="39"/>
      <c r="AG655" s="39"/>
      <c r="AH655" s="39">
        <f t="shared" si="451"/>
        <v>0</v>
      </c>
      <c r="AI655" s="39"/>
      <c r="AJ655" s="39"/>
      <c r="AK655" s="39"/>
      <c r="AL655" s="39"/>
      <c r="AM655" s="39"/>
      <c r="AN655" s="39">
        <f t="shared" si="452"/>
        <v>0</v>
      </c>
      <c r="AO655" s="39"/>
      <c r="AP655" s="39"/>
      <c r="AQ655" s="39"/>
      <c r="AR655" s="39"/>
      <c r="AS655" s="39"/>
      <c r="AT655" s="39">
        <f t="shared" si="455"/>
        <v>0</v>
      </c>
      <c r="AU655" s="39"/>
      <c r="AV655" s="39"/>
      <c r="AW655" s="39"/>
      <c r="AX655" s="39"/>
      <c r="AY655" s="39"/>
      <c r="AZ655" s="39">
        <f t="shared" si="456"/>
        <v>0</v>
      </c>
      <c r="BA655" s="39"/>
      <c r="BB655" s="39"/>
      <c r="BC655" s="39"/>
      <c r="BD655" s="39"/>
      <c r="BE655" s="39"/>
      <c r="BF655" s="39">
        <f t="shared" si="457"/>
        <v>0</v>
      </c>
      <c r="BG655" s="39"/>
      <c r="BH655" s="39"/>
      <c r="BI655" s="39"/>
      <c r="BJ655" s="39"/>
      <c r="BK655" s="39"/>
      <c r="BL655" s="39">
        <f t="shared" si="453"/>
        <v>0</v>
      </c>
      <c r="BM655" s="54">
        <f t="shared" ca="1" si="458"/>
        <v>46283</v>
      </c>
      <c r="BN655" s="60">
        <v>46293</v>
      </c>
      <c r="BO655" s="57">
        <v>46304</v>
      </c>
      <c r="BP655" s="36"/>
      <c r="BQ655" s="36"/>
      <c r="BR655" s="39"/>
      <c r="BS655" s="39"/>
      <c r="BT655" s="39"/>
      <c r="BU655" s="39"/>
      <c r="BV655" s="39"/>
      <c r="BW655" s="39"/>
      <c r="BX655" s="39"/>
      <c r="BY655" s="39"/>
      <c r="BZ655" s="39">
        <f t="shared" si="454"/>
        <v>0</v>
      </c>
      <c r="CA655" s="39">
        <f t="shared" si="459"/>
        <v>-158</v>
      </c>
      <c r="CB655" s="39">
        <f t="shared" si="460"/>
        <v>-8</v>
      </c>
      <c r="CC655" s="39">
        <f t="shared" si="461"/>
        <v>0</v>
      </c>
      <c r="CD655" s="39">
        <f t="shared" si="462"/>
        <v>-166</v>
      </c>
      <c r="CE655" s="102">
        <f t="shared" si="463"/>
        <v>-1</v>
      </c>
      <c r="CF655" s="36" t="s">
        <v>384</v>
      </c>
      <c r="CG655" s="39" t="s">
        <v>415</v>
      </c>
      <c r="CH655" s="39"/>
      <c r="CI655" s="25">
        <v>3</v>
      </c>
    </row>
    <row r="656" spans="1:87" ht="24.75" customHeight="1">
      <c r="A656" s="36" t="s">
        <v>387</v>
      </c>
      <c r="B656" s="27" t="s">
        <v>2854</v>
      </c>
      <c r="C656" s="231"/>
      <c r="D656" s="36"/>
      <c r="E656" s="39">
        <v>160</v>
      </c>
      <c r="F656" s="39" t="s">
        <v>57</v>
      </c>
      <c r="G656" s="36" t="s">
        <v>847</v>
      </c>
      <c r="H656" s="36" t="s">
        <v>22</v>
      </c>
      <c r="I656" s="39">
        <v>250</v>
      </c>
      <c r="J656" s="39">
        <v>12</v>
      </c>
      <c r="K656" s="39"/>
      <c r="L656" s="39">
        <f t="shared" si="465"/>
        <v>262</v>
      </c>
      <c r="M656" s="117">
        <v>46275</v>
      </c>
      <c r="N656" s="117">
        <v>46280</v>
      </c>
      <c r="O656" s="39"/>
      <c r="P656" s="39"/>
      <c r="Q656" s="39"/>
      <c r="R656" s="39">
        <f t="shared" si="466"/>
        <v>0</v>
      </c>
      <c r="S656" s="39" t="s">
        <v>100</v>
      </c>
      <c r="T656" s="39"/>
      <c r="U656" s="39"/>
      <c r="V656" s="39"/>
      <c r="W656" s="39"/>
      <c r="X656" s="39"/>
      <c r="Y656" s="39"/>
      <c r="Z656" s="39"/>
      <c r="AA656" s="39"/>
      <c r="AB656" s="118">
        <f t="shared" si="467"/>
        <v>0</v>
      </c>
      <c r="AC656" s="39"/>
      <c r="AD656" s="39"/>
      <c r="AE656" s="39"/>
      <c r="AF656" s="39"/>
      <c r="AG656" s="39"/>
      <c r="AH656" s="39">
        <f t="shared" si="451"/>
        <v>0</v>
      </c>
      <c r="AI656" s="39"/>
      <c r="AJ656" s="39"/>
      <c r="AK656" s="39"/>
      <c r="AL656" s="39"/>
      <c r="AM656" s="39"/>
      <c r="AN656" s="39">
        <f t="shared" si="452"/>
        <v>0</v>
      </c>
      <c r="AO656" s="39"/>
      <c r="AP656" s="39"/>
      <c r="AQ656" s="39"/>
      <c r="AR656" s="39"/>
      <c r="AS656" s="39"/>
      <c r="AT656" s="39">
        <f t="shared" si="455"/>
        <v>0</v>
      </c>
      <c r="AU656" s="39"/>
      <c r="AV656" s="39"/>
      <c r="AW656" s="39"/>
      <c r="AX656" s="39"/>
      <c r="AY656" s="39"/>
      <c r="AZ656" s="39">
        <f t="shared" si="456"/>
        <v>0</v>
      </c>
      <c r="BA656" s="39"/>
      <c r="BB656" s="39"/>
      <c r="BC656" s="39"/>
      <c r="BD656" s="39"/>
      <c r="BE656" s="39"/>
      <c r="BF656" s="39">
        <f t="shared" si="457"/>
        <v>0</v>
      </c>
      <c r="BG656" s="39"/>
      <c r="BH656" s="39"/>
      <c r="BI656" s="39"/>
      <c r="BJ656" s="39"/>
      <c r="BK656" s="39"/>
      <c r="BL656" s="39">
        <f t="shared" si="453"/>
        <v>0</v>
      </c>
      <c r="BM656" s="54">
        <f t="shared" ca="1" si="458"/>
        <v>46283</v>
      </c>
      <c r="BN656" s="60">
        <v>46293</v>
      </c>
      <c r="BO656" s="57">
        <v>46304</v>
      </c>
      <c r="BP656" s="36"/>
      <c r="BQ656" s="36"/>
      <c r="BR656" s="39"/>
      <c r="BS656" s="39"/>
      <c r="BT656" s="39"/>
      <c r="BU656" s="39"/>
      <c r="BV656" s="39"/>
      <c r="BW656" s="39"/>
      <c r="BX656" s="39"/>
      <c r="BY656" s="39"/>
      <c r="BZ656" s="39">
        <f t="shared" si="454"/>
        <v>0</v>
      </c>
      <c r="CA656" s="39">
        <f t="shared" si="459"/>
        <v>-250</v>
      </c>
      <c r="CB656" s="39">
        <f t="shared" si="460"/>
        <v>-12</v>
      </c>
      <c r="CC656" s="39">
        <f t="shared" si="461"/>
        <v>0</v>
      </c>
      <c r="CD656" s="39">
        <f t="shared" si="462"/>
        <v>-262</v>
      </c>
      <c r="CE656" s="102">
        <f t="shared" si="463"/>
        <v>-1</v>
      </c>
      <c r="CF656" s="36" t="s">
        <v>384</v>
      </c>
      <c r="CG656" s="39" t="s">
        <v>415</v>
      </c>
      <c r="CH656" s="39"/>
      <c r="CI656" s="25">
        <v>3</v>
      </c>
    </row>
    <row r="657" spans="1:87" ht="24.75" customHeight="1">
      <c r="A657" s="36" t="s">
        <v>387</v>
      </c>
      <c r="B657" s="27" t="s">
        <v>2854</v>
      </c>
      <c r="C657" s="228"/>
      <c r="D657" s="36"/>
      <c r="E657" s="39">
        <v>160</v>
      </c>
      <c r="F657" s="39" t="s">
        <v>57</v>
      </c>
      <c r="G657" s="36" t="s">
        <v>1222</v>
      </c>
      <c r="H657" s="36" t="s">
        <v>22</v>
      </c>
      <c r="I657" s="39">
        <v>67</v>
      </c>
      <c r="J657" s="39">
        <v>3</v>
      </c>
      <c r="K657" s="39"/>
      <c r="L657" s="39">
        <f t="shared" ref="L657" si="468">SUM(I657:K657)</f>
        <v>70</v>
      </c>
      <c r="M657" s="117">
        <v>46275</v>
      </c>
      <c r="N657" s="117">
        <v>46280</v>
      </c>
      <c r="O657" s="39"/>
      <c r="P657" s="39"/>
      <c r="Q657" s="39"/>
      <c r="R657" s="39">
        <f t="shared" si="466"/>
        <v>0</v>
      </c>
      <c r="S657" s="39" t="s">
        <v>100</v>
      </c>
      <c r="T657" s="39"/>
      <c r="U657" s="39"/>
      <c r="V657" s="39"/>
      <c r="W657" s="39"/>
      <c r="X657" s="39"/>
      <c r="Y657" s="39"/>
      <c r="Z657" s="39"/>
      <c r="AA657" s="39"/>
      <c r="AB657" s="118">
        <f t="shared" si="467"/>
        <v>0</v>
      </c>
      <c r="AC657" s="39"/>
      <c r="AD657" s="39"/>
      <c r="AE657" s="39"/>
      <c r="AF657" s="39"/>
      <c r="AG657" s="39"/>
      <c r="AH657" s="39">
        <f t="shared" si="451"/>
        <v>0</v>
      </c>
      <c r="AI657" s="39"/>
      <c r="AJ657" s="39"/>
      <c r="AK657" s="39"/>
      <c r="AL657" s="39"/>
      <c r="AM657" s="39"/>
      <c r="AN657" s="39">
        <f t="shared" si="452"/>
        <v>0</v>
      </c>
      <c r="AO657" s="39"/>
      <c r="AP657" s="39"/>
      <c r="AQ657" s="39"/>
      <c r="AR657" s="39"/>
      <c r="AS657" s="39"/>
      <c r="AT657" s="39">
        <f t="shared" si="455"/>
        <v>0</v>
      </c>
      <c r="AU657" s="39"/>
      <c r="AV657" s="39"/>
      <c r="AW657" s="39"/>
      <c r="AX657" s="39"/>
      <c r="AY657" s="39"/>
      <c r="AZ657" s="39">
        <f t="shared" si="456"/>
        <v>0</v>
      </c>
      <c r="BA657" s="39"/>
      <c r="BB657" s="39"/>
      <c r="BC657" s="39"/>
      <c r="BD657" s="39"/>
      <c r="BE657" s="39"/>
      <c r="BF657" s="39">
        <f t="shared" si="457"/>
        <v>0</v>
      </c>
      <c r="BG657" s="39"/>
      <c r="BH657" s="39"/>
      <c r="BI657" s="39"/>
      <c r="BJ657" s="39"/>
      <c r="BK657" s="39"/>
      <c r="BL657" s="39">
        <f t="shared" si="453"/>
        <v>0</v>
      </c>
      <c r="BM657" s="54">
        <f t="shared" ca="1" si="458"/>
        <v>46283</v>
      </c>
      <c r="BN657" s="60">
        <v>46293</v>
      </c>
      <c r="BO657" s="57">
        <v>46304</v>
      </c>
      <c r="BP657" s="36"/>
      <c r="BQ657" s="36"/>
      <c r="BR657" s="39"/>
      <c r="BS657" s="39"/>
      <c r="BT657" s="39"/>
      <c r="BU657" s="39"/>
      <c r="BV657" s="39"/>
      <c r="BW657" s="39"/>
      <c r="BX657" s="39"/>
      <c r="BY657" s="39"/>
      <c r="BZ657" s="39">
        <f t="shared" si="454"/>
        <v>0</v>
      </c>
      <c r="CA657" s="39">
        <f t="shared" si="459"/>
        <v>-67</v>
      </c>
      <c r="CB657" s="39">
        <f t="shared" si="460"/>
        <v>-3</v>
      </c>
      <c r="CC657" s="39">
        <f t="shared" si="461"/>
        <v>0</v>
      </c>
      <c r="CD657" s="39">
        <f t="shared" si="462"/>
        <v>-70</v>
      </c>
      <c r="CE657" s="102">
        <f t="shared" si="463"/>
        <v>-1</v>
      </c>
      <c r="CF657" s="36" t="s">
        <v>384</v>
      </c>
      <c r="CG657" s="39" t="s">
        <v>415</v>
      </c>
      <c r="CH657" s="39"/>
      <c r="CI657" s="25">
        <v>3</v>
      </c>
    </row>
    <row r="658" spans="1:87" ht="24.75" customHeight="1">
      <c r="A658" s="36" t="s">
        <v>387</v>
      </c>
      <c r="B658" s="27">
        <v>48836</v>
      </c>
      <c r="C658" s="36">
        <v>15390711</v>
      </c>
      <c r="D658" s="36" t="s">
        <v>334</v>
      </c>
      <c r="E658" s="39">
        <v>150</v>
      </c>
      <c r="F658" s="39" t="s">
        <v>69</v>
      </c>
      <c r="G658" s="36" t="s">
        <v>2872</v>
      </c>
      <c r="H658" s="36" t="s">
        <v>22</v>
      </c>
      <c r="I658" s="39">
        <v>102</v>
      </c>
      <c r="J658" s="39">
        <v>8</v>
      </c>
      <c r="K658" s="39"/>
      <c r="L658" s="39">
        <f t="shared" ref="L658:L662" si="469">SUM(I658:K658)</f>
        <v>110</v>
      </c>
      <c r="M658" s="117">
        <v>46277</v>
      </c>
      <c r="N658" s="117">
        <v>46280</v>
      </c>
      <c r="O658" s="39"/>
      <c r="P658" s="39"/>
      <c r="Q658" s="39"/>
      <c r="R658" s="39">
        <f t="shared" si="466"/>
        <v>0</v>
      </c>
      <c r="S658" s="39" t="s">
        <v>130</v>
      </c>
      <c r="T658" s="39"/>
      <c r="U658" s="39"/>
      <c r="V658" s="39"/>
      <c r="W658" s="39"/>
      <c r="X658" s="39"/>
      <c r="Y658" s="39"/>
      <c r="Z658" s="39"/>
      <c r="AA658" s="39"/>
      <c r="AB658" s="118">
        <f t="shared" si="467"/>
        <v>0</v>
      </c>
      <c r="AC658" s="39"/>
      <c r="AD658" s="39"/>
      <c r="AE658" s="39"/>
      <c r="AF658" s="39"/>
      <c r="AG658" s="39"/>
      <c r="AH658" s="39">
        <f t="shared" si="451"/>
        <v>0</v>
      </c>
      <c r="AI658" s="39"/>
      <c r="AJ658" s="39"/>
      <c r="AK658" s="39"/>
      <c r="AL658" s="39"/>
      <c r="AM658" s="39"/>
      <c r="AN658" s="39">
        <f t="shared" si="452"/>
        <v>0</v>
      </c>
      <c r="AO658" s="39"/>
      <c r="AP658" s="39"/>
      <c r="AQ658" s="39"/>
      <c r="AR658" s="39"/>
      <c r="AS658" s="39"/>
      <c r="AT658" s="39">
        <f t="shared" si="455"/>
        <v>0</v>
      </c>
      <c r="AU658" s="39"/>
      <c r="AV658" s="39"/>
      <c r="AW658" s="39"/>
      <c r="AX658" s="39"/>
      <c r="AY658" s="39"/>
      <c r="AZ658" s="39">
        <f t="shared" si="456"/>
        <v>0</v>
      </c>
      <c r="BA658" s="39"/>
      <c r="BB658" s="39"/>
      <c r="BC658" s="39"/>
      <c r="BD658" s="39"/>
      <c r="BE658" s="39"/>
      <c r="BF658" s="39">
        <f t="shared" si="457"/>
        <v>0</v>
      </c>
      <c r="BG658" s="39"/>
      <c r="BH658" s="39"/>
      <c r="BI658" s="39"/>
      <c r="BJ658" s="39"/>
      <c r="BK658" s="39"/>
      <c r="BL658" s="39">
        <f t="shared" si="453"/>
        <v>0</v>
      </c>
      <c r="BM658" s="54">
        <f t="shared" ca="1" si="458"/>
        <v>46283</v>
      </c>
      <c r="BN658" s="60">
        <v>46286</v>
      </c>
      <c r="BO658" s="57">
        <v>46291</v>
      </c>
      <c r="BP658" s="36"/>
      <c r="BQ658" s="36"/>
      <c r="BR658" s="39"/>
      <c r="BS658" s="39"/>
      <c r="BT658" s="39"/>
      <c r="BU658" s="39"/>
      <c r="BV658" s="39"/>
      <c r="BW658" s="39"/>
      <c r="BX658" s="39"/>
      <c r="BY658" s="39"/>
      <c r="BZ658" s="39">
        <f t="shared" si="454"/>
        <v>0</v>
      </c>
      <c r="CA658" s="39">
        <f t="shared" si="459"/>
        <v>-102</v>
      </c>
      <c r="CB658" s="39">
        <f t="shared" si="460"/>
        <v>-8</v>
      </c>
      <c r="CC658" s="39">
        <f t="shared" si="461"/>
        <v>0</v>
      </c>
      <c r="CD658" s="39">
        <f t="shared" si="462"/>
        <v>-110</v>
      </c>
      <c r="CE658" s="102">
        <f t="shared" si="463"/>
        <v>-1</v>
      </c>
      <c r="CF658" s="36" t="s">
        <v>293</v>
      </c>
      <c r="CG658" s="39" t="s">
        <v>1051</v>
      </c>
      <c r="CH658" s="39"/>
      <c r="CI658" s="25">
        <v>3</v>
      </c>
    </row>
    <row r="659" spans="1:87" ht="24.75" customHeight="1">
      <c r="A659" s="36" t="s">
        <v>387</v>
      </c>
      <c r="B659" s="27">
        <v>48837</v>
      </c>
      <c r="C659" s="144" t="s">
        <v>2891</v>
      </c>
      <c r="D659" s="36"/>
      <c r="E659" s="39">
        <v>260</v>
      </c>
      <c r="F659" s="39" t="s">
        <v>58</v>
      </c>
      <c r="G659" s="36" t="s">
        <v>429</v>
      </c>
      <c r="H659" s="36" t="s">
        <v>2873</v>
      </c>
      <c r="I659" s="39">
        <v>170</v>
      </c>
      <c r="J659" s="39">
        <v>48</v>
      </c>
      <c r="K659" s="39">
        <v>2</v>
      </c>
      <c r="L659" s="39">
        <f t="shared" si="469"/>
        <v>220</v>
      </c>
      <c r="M659" s="117">
        <v>46275</v>
      </c>
      <c r="N659" s="117">
        <v>46278</v>
      </c>
      <c r="O659" s="39"/>
      <c r="P659" s="39"/>
      <c r="Q659" s="39"/>
      <c r="R659" s="39">
        <f t="shared" si="466"/>
        <v>0</v>
      </c>
      <c r="S659" s="39" t="s">
        <v>130</v>
      </c>
      <c r="T659" s="39"/>
      <c r="U659" s="39"/>
      <c r="V659" s="39"/>
      <c r="W659" s="39"/>
      <c r="X659" s="39"/>
      <c r="Y659" s="39"/>
      <c r="Z659" s="39"/>
      <c r="AA659" s="39"/>
      <c r="AB659" s="118">
        <f t="shared" si="467"/>
        <v>0</v>
      </c>
      <c r="AC659" s="39"/>
      <c r="AD659" s="39"/>
      <c r="AE659" s="39"/>
      <c r="AF659" s="39"/>
      <c r="AG659" s="39"/>
      <c r="AH659" s="39">
        <f t="shared" si="451"/>
        <v>0</v>
      </c>
      <c r="AI659" s="39"/>
      <c r="AJ659" s="39"/>
      <c r="AK659" s="39"/>
      <c r="AL659" s="39"/>
      <c r="AM659" s="39"/>
      <c r="AN659" s="39">
        <f t="shared" si="452"/>
        <v>0</v>
      </c>
      <c r="AO659" s="39"/>
      <c r="AP659" s="39"/>
      <c r="AQ659" s="39"/>
      <c r="AR659" s="39"/>
      <c r="AS659" s="39"/>
      <c r="AT659" s="39">
        <f t="shared" si="455"/>
        <v>0</v>
      </c>
      <c r="AU659" s="39"/>
      <c r="AV659" s="39"/>
      <c r="AW659" s="39"/>
      <c r="AX659" s="39"/>
      <c r="AY659" s="39"/>
      <c r="AZ659" s="39">
        <f t="shared" si="456"/>
        <v>0</v>
      </c>
      <c r="BA659" s="39"/>
      <c r="BB659" s="39"/>
      <c r="BC659" s="39"/>
      <c r="BD659" s="39"/>
      <c r="BE659" s="39"/>
      <c r="BF659" s="39">
        <f t="shared" si="457"/>
        <v>0</v>
      </c>
      <c r="BG659" s="39"/>
      <c r="BH659" s="39"/>
      <c r="BI659" s="39"/>
      <c r="BJ659" s="39"/>
      <c r="BK659" s="39"/>
      <c r="BL659" s="39">
        <f t="shared" si="453"/>
        <v>0</v>
      </c>
      <c r="BM659" s="54">
        <f t="shared" ca="1" si="458"/>
        <v>46283</v>
      </c>
      <c r="BN659" s="60">
        <v>46286</v>
      </c>
      <c r="BO659" s="57">
        <v>46297</v>
      </c>
      <c r="BP659" s="36"/>
      <c r="BQ659" s="36"/>
      <c r="BR659" s="39"/>
      <c r="BS659" s="39"/>
      <c r="BT659" s="39"/>
      <c r="BU659" s="39"/>
      <c r="BV659" s="39"/>
      <c r="BW659" s="39"/>
      <c r="BX659" s="39"/>
      <c r="BY659" s="39"/>
      <c r="BZ659" s="39">
        <f t="shared" si="454"/>
        <v>0</v>
      </c>
      <c r="CA659" s="39">
        <f t="shared" si="459"/>
        <v>-170</v>
      </c>
      <c r="CB659" s="39">
        <f t="shared" si="460"/>
        <v>-48</v>
      </c>
      <c r="CC659" s="39">
        <f t="shared" si="461"/>
        <v>-2</v>
      </c>
      <c r="CD659" s="39">
        <f t="shared" si="462"/>
        <v>-220</v>
      </c>
      <c r="CE659" s="102">
        <f t="shared" si="463"/>
        <v>-1</v>
      </c>
      <c r="CF659" s="36" t="s">
        <v>293</v>
      </c>
      <c r="CG659" s="39" t="s">
        <v>1051</v>
      </c>
      <c r="CH659" s="39"/>
      <c r="CI659" s="25">
        <v>3</v>
      </c>
    </row>
    <row r="660" spans="1:87" ht="24.75" customHeight="1">
      <c r="A660" s="36" t="s">
        <v>387</v>
      </c>
      <c r="B660" s="27" t="s">
        <v>2874</v>
      </c>
      <c r="C660" s="227">
        <v>15299770</v>
      </c>
      <c r="D660" s="36"/>
      <c r="E660" s="39">
        <v>140</v>
      </c>
      <c r="F660" s="39" t="s">
        <v>55</v>
      </c>
      <c r="G660" s="36" t="s">
        <v>23</v>
      </c>
      <c r="H660" s="36" t="s">
        <v>22</v>
      </c>
      <c r="I660" s="39">
        <v>396</v>
      </c>
      <c r="J660" s="39">
        <v>36</v>
      </c>
      <c r="K660" s="39"/>
      <c r="L660" s="39">
        <f t="shared" si="469"/>
        <v>432</v>
      </c>
      <c r="M660" s="117">
        <v>46273</v>
      </c>
      <c r="N660" s="117">
        <v>46279</v>
      </c>
      <c r="O660" s="39"/>
      <c r="P660" s="39"/>
      <c r="Q660" s="39"/>
      <c r="R660" s="39">
        <f t="shared" si="466"/>
        <v>0</v>
      </c>
      <c r="S660" s="39" t="s">
        <v>100</v>
      </c>
      <c r="T660" s="39"/>
      <c r="U660" s="39"/>
      <c r="V660" s="39"/>
      <c r="W660" s="39"/>
      <c r="X660" s="39"/>
      <c r="Y660" s="39"/>
      <c r="Z660" s="39"/>
      <c r="AA660" s="39"/>
      <c r="AB660" s="118">
        <f t="shared" si="467"/>
        <v>0</v>
      </c>
      <c r="AC660" s="39"/>
      <c r="AD660" s="39"/>
      <c r="AE660" s="39"/>
      <c r="AF660" s="39"/>
      <c r="AG660" s="39"/>
      <c r="AH660" s="39">
        <f t="shared" si="451"/>
        <v>0</v>
      </c>
      <c r="AI660" s="39"/>
      <c r="AJ660" s="39"/>
      <c r="AK660" s="39"/>
      <c r="AL660" s="39"/>
      <c r="AM660" s="39"/>
      <c r="AN660" s="39">
        <f t="shared" si="452"/>
        <v>0</v>
      </c>
      <c r="AO660" s="39"/>
      <c r="AP660" s="39"/>
      <c r="AQ660" s="39"/>
      <c r="AR660" s="39"/>
      <c r="AS660" s="39"/>
      <c r="AT660" s="39">
        <f t="shared" si="455"/>
        <v>0</v>
      </c>
      <c r="AU660" s="39"/>
      <c r="AV660" s="39"/>
      <c r="AW660" s="39"/>
      <c r="AX660" s="39"/>
      <c r="AY660" s="39"/>
      <c r="AZ660" s="39">
        <f t="shared" si="456"/>
        <v>0</v>
      </c>
      <c r="BA660" s="39"/>
      <c r="BB660" s="39"/>
      <c r="BC660" s="39"/>
      <c r="BD660" s="39"/>
      <c r="BE660" s="39"/>
      <c r="BF660" s="39">
        <f t="shared" si="457"/>
        <v>0</v>
      </c>
      <c r="BG660" s="39"/>
      <c r="BH660" s="39"/>
      <c r="BI660" s="39"/>
      <c r="BJ660" s="39"/>
      <c r="BK660" s="39"/>
      <c r="BL660" s="39">
        <f t="shared" si="453"/>
        <v>0</v>
      </c>
      <c r="BM660" s="54">
        <f t="shared" ca="1" si="458"/>
        <v>46283</v>
      </c>
      <c r="BN660" s="60">
        <v>46286</v>
      </c>
      <c r="BO660" s="57">
        <v>46298</v>
      </c>
      <c r="BP660" s="36"/>
      <c r="BQ660" s="36"/>
      <c r="BR660" s="39"/>
      <c r="BS660" s="39"/>
      <c r="BT660" s="39"/>
      <c r="BU660" s="39"/>
      <c r="BV660" s="39"/>
      <c r="BW660" s="39"/>
      <c r="BX660" s="39"/>
      <c r="BY660" s="39"/>
      <c r="BZ660" s="39">
        <f t="shared" si="454"/>
        <v>0</v>
      </c>
      <c r="CA660" s="39">
        <f t="shared" si="459"/>
        <v>-396</v>
      </c>
      <c r="CB660" s="39">
        <f t="shared" si="460"/>
        <v>-36</v>
      </c>
      <c r="CC660" s="39">
        <f t="shared" si="461"/>
        <v>0</v>
      </c>
      <c r="CD660" s="39">
        <f t="shared" si="462"/>
        <v>-432</v>
      </c>
      <c r="CE660" s="102">
        <f t="shared" si="463"/>
        <v>-1</v>
      </c>
      <c r="CF660" s="36" t="s">
        <v>293</v>
      </c>
      <c r="CG660" s="39" t="s">
        <v>1051</v>
      </c>
      <c r="CH660" s="39"/>
      <c r="CI660" s="25">
        <v>3</v>
      </c>
    </row>
    <row r="661" spans="1:87" ht="24.75" customHeight="1">
      <c r="A661" s="36" t="s">
        <v>387</v>
      </c>
      <c r="B661" s="27" t="s">
        <v>2874</v>
      </c>
      <c r="C661" s="228"/>
      <c r="D661" s="36"/>
      <c r="E661" s="39">
        <v>140</v>
      </c>
      <c r="F661" s="39" t="s">
        <v>55</v>
      </c>
      <c r="G661" s="36" t="s">
        <v>47</v>
      </c>
      <c r="H661" s="36" t="s">
        <v>22</v>
      </c>
      <c r="I661" s="39">
        <v>373</v>
      </c>
      <c r="J661" s="39">
        <v>36</v>
      </c>
      <c r="K661" s="39"/>
      <c r="L661" s="39">
        <f t="shared" si="469"/>
        <v>409</v>
      </c>
      <c r="M661" s="117">
        <v>46273</v>
      </c>
      <c r="N661" s="117">
        <v>46279</v>
      </c>
      <c r="O661" s="39"/>
      <c r="P661" s="39"/>
      <c r="Q661" s="39"/>
      <c r="R661" s="39">
        <f t="shared" si="466"/>
        <v>0</v>
      </c>
      <c r="S661" s="39" t="s">
        <v>130</v>
      </c>
      <c r="T661" s="39"/>
      <c r="U661" s="39"/>
      <c r="V661" s="39"/>
      <c r="W661" s="39"/>
      <c r="X661" s="39"/>
      <c r="Y661" s="39"/>
      <c r="Z661" s="39"/>
      <c r="AA661" s="39"/>
      <c r="AB661" s="118">
        <f t="shared" si="467"/>
        <v>0</v>
      </c>
      <c r="AC661" s="39"/>
      <c r="AD661" s="39"/>
      <c r="AE661" s="39"/>
      <c r="AF661" s="39"/>
      <c r="AG661" s="39"/>
      <c r="AH661" s="39">
        <f t="shared" si="451"/>
        <v>0</v>
      </c>
      <c r="AI661" s="39"/>
      <c r="AJ661" s="39"/>
      <c r="AK661" s="39"/>
      <c r="AL661" s="39"/>
      <c r="AM661" s="39"/>
      <c r="AN661" s="39">
        <f t="shared" si="452"/>
        <v>0</v>
      </c>
      <c r="AO661" s="39"/>
      <c r="AP661" s="39"/>
      <c r="AQ661" s="39"/>
      <c r="AR661" s="39"/>
      <c r="AS661" s="39"/>
      <c r="AT661" s="39">
        <f t="shared" si="455"/>
        <v>0</v>
      </c>
      <c r="AU661" s="39"/>
      <c r="AV661" s="39"/>
      <c r="AW661" s="39"/>
      <c r="AX661" s="39"/>
      <c r="AY661" s="39"/>
      <c r="AZ661" s="39">
        <f t="shared" si="456"/>
        <v>0</v>
      </c>
      <c r="BA661" s="39"/>
      <c r="BB661" s="39"/>
      <c r="BC661" s="39"/>
      <c r="BD661" s="39"/>
      <c r="BE661" s="39"/>
      <c r="BF661" s="39">
        <f t="shared" si="457"/>
        <v>0</v>
      </c>
      <c r="BG661" s="39"/>
      <c r="BH661" s="39"/>
      <c r="BI661" s="39"/>
      <c r="BJ661" s="39"/>
      <c r="BK661" s="39"/>
      <c r="BL661" s="39">
        <f t="shared" si="453"/>
        <v>0</v>
      </c>
      <c r="BM661" s="54">
        <f t="shared" ca="1" si="458"/>
        <v>46283</v>
      </c>
      <c r="BN661" s="60">
        <v>46286</v>
      </c>
      <c r="BO661" s="57">
        <v>46298</v>
      </c>
      <c r="BP661" s="36"/>
      <c r="BQ661" s="36"/>
      <c r="BR661" s="39"/>
      <c r="BS661" s="39"/>
      <c r="BT661" s="39"/>
      <c r="BU661" s="39"/>
      <c r="BV661" s="39"/>
      <c r="BW661" s="39"/>
      <c r="BX661" s="39"/>
      <c r="BY661" s="39"/>
      <c r="BZ661" s="39">
        <f t="shared" si="454"/>
        <v>0</v>
      </c>
      <c r="CA661" s="39">
        <f t="shared" si="459"/>
        <v>-373</v>
      </c>
      <c r="CB661" s="39">
        <f t="shared" si="460"/>
        <v>-36</v>
      </c>
      <c r="CC661" s="39">
        <f t="shared" si="461"/>
        <v>0</v>
      </c>
      <c r="CD661" s="39">
        <f t="shared" si="462"/>
        <v>-409</v>
      </c>
      <c r="CE661" s="102">
        <f t="shared" si="463"/>
        <v>-1</v>
      </c>
      <c r="CF661" s="36" t="s">
        <v>293</v>
      </c>
      <c r="CG661" s="39" t="s">
        <v>1051</v>
      </c>
      <c r="CH661" s="39"/>
      <c r="CI661" s="25">
        <v>3</v>
      </c>
    </row>
    <row r="662" spans="1:87" ht="24.75" customHeight="1">
      <c r="A662" s="36" t="s">
        <v>387</v>
      </c>
      <c r="B662" s="27" t="s">
        <v>2875</v>
      </c>
      <c r="C662" s="36" t="s">
        <v>2939</v>
      </c>
      <c r="D662" s="36"/>
      <c r="E662" s="39">
        <v>320</v>
      </c>
      <c r="F662" s="39" t="s">
        <v>58</v>
      </c>
      <c r="G662" s="36" t="s">
        <v>23</v>
      </c>
      <c r="H662" s="36" t="s">
        <v>2940</v>
      </c>
      <c r="I662" s="39">
        <v>253</v>
      </c>
      <c r="J662" s="39"/>
      <c r="K662" s="39"/>
      <c r="L662" s="39">
        <f t="shared" si="469"/>
        <v>253</v>
      </c>
      <c r="M662" s="117">
        <v>46277</v>
      </c>
      <c r="N662" s="117">
        <v>46285</v>
      </c>
      <c r="O662" s="39"/>
      <c r="P662" s="39"/>
      <c r="Q662" s="39"/>
      <c r="R662" s="39">
        <f t="shared" si="466"/>
        <v>0</v>
      </c>
      <c r="S662" s="39" t="s">
        <v>130</v>
      </c>
      <c r="T662" s="39"/>
      <c r="U662" s="39"/>
      <c r="V662" s="39"/>
      <c r="W662" s="39"/>
      <c r="X662" s="39"/>
      <c r="Y662" s="39"/>
      <c r="Z662" s="39"/>
      <c r="AA662" s="39"/>
      <c r="AB662" s="118">
        <f t="shared" si="467"/>
        <v>0</v>
      </c>
      <c r="AC662" s="39"/>
      <c r="AD662" s="39"/>
      <c r="AE662" s="39"/>
      <c r="AF662" s="39"/>
      <c r="AG662" s="39"/>
      <c r="AH662" s="39">
        <f t="shared" si="451"/>
        <v>0</v>
      </c>
      <c r="AI662" s="39"/>
      <c r="AJ662" s="39"/>
      <c r="AK662" s="39"/>
      <c r="AL662" s="39"/>
      <c r="AM662" s="39"/>
      <c r="AN662" s="39">
        <f t="shared" si="452"/>
        <v>0</v>
      </c>
      <c r="AO662" s="39"/>
      <c r="AP662" s="39"/>
      <c r="AQ662" s="39"/>
      <c r="AR662" s="39"/>
      <c r="AS662" s="39"/>
      <c r="AT662" s="39">
        <f t="shared" si="455"/>
        <v>0</v>
      </c>
      <c r="AU662" s="39"/>
      <c r="AV662" s="39"/>
      <c r="AW662" s="39"/>
      <c r="AX662" s="39"/>
      <c r="AY662" s="39"/>
      <c r="AZ662" s="39">
        <f t="shared" si="456"/>
        <v>0</v>
      </c>
      <c r="BA662" s="39"/>
      <c r="BB662" s="39"/>
      <c r="BC662" s="39"/>
      <c r="BD662" s="39"/>
      <c r="BE662" s="39"/>
      <c r="BF662" s="39">
        <f t="shared" si="457"/>
        <v>0</v>
      </c>
      <c r="BG662" s="39"/>
      <c r="BH662" s="39"/>
      <c r="BI662" s="39"/>
      <c r="BJ662" s="39"/>
      <c r="BK662" s="39"/>
      <c r="BL662" s="39">
        <f t="shared" si="453"/>
        <v>0</v>
      </c>
      <c r="BM662" s="54">
        <f t="shared" ca="1" si="458"/>
        <v>46283</v>
      </c>
      <c r="BN662" s="60">
        <v>46289</v>
      </c>
      <c r="BO662" s="57">
        <v>46298</v>
      </c>
      <c r="BP662" s="36"/>
      <c r="BQ662" s="36"/>
      <c r="BR662" s="39"/>
      <c r="BS662" s="39"/>
      <c r="BT662" s="39"/>
      <c r="BU662" s="39"/>
      <c r="BV662" s="39"/>
      <c r="BW662" s="39"/>
      <c r="BX662" s="39"/>
      <c r="BY662" s="39"/>
      <c r="BZ662" s="39">
        <f t="shared" si="454"/>
        <v>0</v>
      </c>
      <c r="CA662" s="39">
        <f t="shared" si="459"/>
        <v>-253</v>
      </c>
      <c r="CB662" s="39">
        <f t="shared" si="460"/>
        <v>0</v>
      </c>
      <c r="CC662" s="39">
        <f t="shared" si="461"/>
        <v>0</v>
      </c>
      <c r="CD662" s="39">
        <f t="shared" si="462"/>
        <v>-253</v>
      </c>
      <c r="CE662" s="102">
        <f t="shared" si="463"/>
        <v>-1</v>
      </c>
      <c r="CF662" s="36" t="s">
        <v>293</v>
      </c>
      <c r="CG662" s="39" t="s">
        <v>1051</v>
      </c>
      <c r="CH662" s="39"/>
      <c r="CI662" s="25">
        <v>3</v>
      </c>
    </row>
    <row r="663" spans="1:87" ht="24.75" customHeight="1">
      <c r="A663" s="36" t="s">
        <v>387</v>
      </c>
      <c r="B663" s="27" t="s">
        <v>2876</v>
      </c>
      <c r="C663" s="227" t="s">
        <v>2877</v>
      </c>
      <c r="D663" s="36"/>
      <c r="E663" s="39">
        <v>180</v>
      </c>
      <c r="F663" s="39" t="s">
        <v>55</v>
      </c>
      <c r="G663" s="36" t="s">
        <v>23</v>
      </c>
      <c r="H663" s="36" t="s">
        <v>87</v>
      </c>
      <c r="I663" s="39">
        <v>416</v>
      </c>
      <c r="J663" s="39"/>
      <c r="K663" s="39"/>
      <c r="L663" s="39">
        <f t="shared" ref="L663" si="470">SUM(I663:K663)</f>
        <v>416</v>
      </c>
      <c r="M663" s="117">
        <v>46275</v>
      </c>
      <c r="N663" s="117">
        <v>46280</v>
      </c>
      <c r="O663" s="39"/>
      <c r="P663" s="39"/>
      <c r="Q663" s="39"/>
      <c r="R663" s="39">
        <f t="shared" ref="R663:R665" si="471">SUM(O663:Q663)</f>
        <v>0</v>
      </c>
      <c r="S663" s="39" t="s">
        <v>100</v>
      </c>
      <c r="T663" s="39"/>
      <c r="U663" s="39"/>
      <c r="V663" s="117">
        <v>46281</v>
      </c>
      <c r="W663" s="39">
        <v>457</v>
      </c>
      <c r="X663" s="39"/>
      <c r="Y663" s="39"/>
      <c r="Z663" s="39"/>
      <c r="AA663" s="39"/>
      <c r="AB663" s="118">
        <f t="shared" si="467"/>
        <v>0</v>
      </c>
      <c r="AC663" s="39"/>
      <c r="AD663" s="39"/>
      <c r="AE663" s="39"/>
      <c r="AF663" s="39"/>
      <c r="AG663" s="39"/>
      <c r="AH663" s="39">
        <f t="shared" si="451"/>
        <v>0</v>
      </c>
      <c r="AI663" s="39"/>
      <c r="AJ663" s="39"/>
      <c r="AK663" s="39"/>
      <c r="AL663" s="39"/>
      <c r="AM663" s="39"/>
      <c r="AN663" s="39">
        <f t="shared" si="452"/>
        <v>0</v>
      </c>
      <c r="AO663" s="39"/>
      <c r="AP663" s="39"/>
      <c r="AQ663" s="39"/>
      <c r="AR663" s="39"/>
      <c r="AS663" s="39"/>
      <c r="AT663" s="39">
        <f t="shared" si="455"/>
        <v>0</v>
      </c>
      <c r="AU663" s="39"/>
      <c r="AV663" s="39"/>
      <c r="AW663" s="39"/>
      <c r="AX663" s="39"/>
      <c r="AY663" s="39"/>
      <c r="AZ663" s="39">
        <f t="shared" si="456"/>
        <v>0</v>
      </c>
      <c r="BA663" s="39"/>
      <c r="BB663" s="39"/>
      <c r="BC663" s="39"/>
      <c r="BD663" s="39"/>
      <c r="BE663" s="39"/>
      <c r="BF663" s="39">
        <f t="shared" si="457"/>
        <v>0</v>
      </c>
      <c r="BG663" s="39"/>
      <c r="BH663" s="39"/>
      <c r="BI663" s="39"/>
      <c r="BJ663" s="39"/>
      <c r="BK663" s="39"/>
      <c r="BL663" s="39">
        <f t="shared" si="453"/>
        <v>0</v>
      </c>
      <c r="BM663" s="54">
        <f t="shared" ca="1" si="458"/>
        <v>46283</v>
      </c>
      <c r="BN663" s="60">
        <v>46286</v>
      </c>
      <c r="BO663" s="57">
        <v>46300</v>
      </c>
      <c r="BP663" s="36"/>
      <c r="BQ663" s="36"/>
      <c r="BR663" s="39"/>
      <c r="BS663" s="39"/>
      <c r="BT663" s="39"/>
      <c r="BU663" s="39"/>
      <c r="BV663" s="39"/>
      <c r="BW663" s="39"/>
      <c r="BX663" s="39"/>
      <c r="BY663" s="39"/>
      <c r="BZ663" s="39">
        <f t="shared" si="454"/>
        <v>0</v>
      </c>
      <c r="CA663" s="39">
        <f t="shared" si="459"/>
        <v>-416</v>
      </c>
      <c r="CB663" s="39">
        <f t="shared" si="460"/>
        <v>0</v>
      </c>
      <c r="CC663" s="39">
        <f t="shared" si="461"/>
        <v>0</v>
      </c>
      <c r="CD663" s="39">
        <f t="shared" si="462"/>
        <v>-416</v>
      </c>
      <c r="CE663" s="102">
        <f t="shared" si="463"/>
        <v>-1</v>
      </c>
      <c r="CF663" s="36" t="s">
        <v>249</v>
      </c>
      <c r="CG663" s="39" t="s">
        <v>222</v>
      </c>
      <c r="CH663" s="39"/>
      <c r="CI663" s="25">
        <v>3</v>
      </c>
    </row>
    <row r="664" spans="1:87" ht="24.75" customHeight="1">
      <c r="A664" s="36" t="s">
        <v>387</v>
      </c>
      <c r="B664" s="27" t="s">
        <v>2876</v>
      </c>
      <c r="C664" s="228"/>
      <c r="D664" s="36"/>
      <c r="E664" s="39">
        <v>180</v>
      </c>
      <c r="F664" s="39" t="s">
        <v>55</v>
      </c>
      <c r="G664" s="36" t="s">
        <v>21</v>
      </c>
      <c r="H664" s="36" t="s">
        <v>87</v>
      </c>
      <c r="I664" s="39">
        <v>312</v>
      </c>
      <c r="J664" s="39"/>
      <c r="K664" s="39"/>
      <c r="L664" s="39">
        <f t="shared" ref="L664" si="472">SUM(I664:K664)</f>
        <v>312</v>
      </c>
      <c r="M664" s="117">
        <v>46275</v>
      </c>
      <c r="N664" s="117">
        <v>46280</v>
      </c>
      <c r="O664" s="39"/>
      <c r="P664" s="39"/>
      <c r="Q664" s="39"/>
      <c r="R664" s="39">
        <f t="shared" si="471"/>
        <v>0</v>
      </c>
      <c r="S664" s="39" t="s">
        <v>326</v>
      </c>
      <c r="T664" s="39"/>
      <c r="U664" s="39"/>
      <c r="V664" s="117">
        <v>46281</v>
      </c>
      <c r="W664" s="39">
        <v>356</v>
      </c>
      <c r="X664" s="39"/>
      <c r="Y664" s="39"/>
      <c r="Z664" s="39"/>
      <c r="AA664" s="39"/>
      <c r="AB664" s="118">
        <f t="shared" ref="AB664:AB665" si="473">SUM(Y664:AA664)</f>
        <v>0</v>
      </c>
      <c r="AC664" s="39"/>
      <c r="AD664" s="39"/>
      <c r="AE664" s="39"/>
      <c r="AF664" s="39"/>
      <c r="AG664" s="39"/>
      <c r="AH664" s="39">
        <f t="shared" si="451"/>
        <v>0</v>
      </c>
      <c r="AI664" s="39"/>
      <c r="AJ664" s="39"/>
      <c r="AK664" s="39"/>
      <c r="AL664" s="39"/>
      <c r="AM664" s="39"/>
      <c r="AN664" s="39">
        <f t="shared" si="452"/>
        <v>0</v>
      </c>
      <c r="AO664" s="39"/>
      <c r="AP664" s="39"/>
      <c r="AQ664" s="39"/>
      <c r="AR664" s="39"/>
      <c r="AS664" s="39"/>
      <c r="AT664" s="39">
        <f t="shared" si="455"/>
        <v>0</v>
      </c>
      <c r="AU664" s="39"/>
      <c r="AV664" s="39"/>
      <c r="AW664" s="39"/>
      <c r="AX664" s="39"/>
      <c r="AY664" s="39"/>
      <c r="AZ664" s="39">
        <f t="shared" si="456"/>
        <v>0</v>
      </c>
      <c r="BA664" s="39"/>
      <c r="BB664" s="39"/>
      <c r="BC664" s="39"/>
      <c r="BD664" s="39"/>
      <c r="BE664" s="39"/>
      <c r="BF664" s="39">
        <f t="shared" si="457"/>
        <v>0</v>
      </c>
      <c r="BG664" s="39"/>
      <c r="BH664" s="39"/>
      <c r="BI664" s="39"/>
      <c r="BJ664" s="39"/>
      <c r="BK664" s="39"/>
      <c r="BL664" s="39">
        <f t="shared" si="453"/>
        <v>0</v>
      </c>
      <c r="BM664" s="54">
        <f t="shared" ca="1" si="458"/>
        <v>46283</v>
      </c>
      <c r="BN664" s="60">
        <v>46286</v>
      </c>
      <c r="BO664" s="57">
        <v>46300</v>
      </c>
      <c r="BP664" s="36"/>
      <c r="BQ664" s="36"/>
      <c r="BR664" s="39"/>
      <c r="BS664" s="39"/>
      <c r="BT664" s="39"/>
      <c r="BU664" s="39"/>
      <c r="BV664" s="39"/>
      <c r="BW664" s="39"/>
      <c r="BX664" s="39"/>
      <c r="BY664" s="39"/>
      <c r="BZ664" s="39">
        <f t="shared" si="454"/>
        <v>0</v>
      </c>
      <c r="CA664" s="39">
        <f t="shared" si="459"/>
        <v>-312</v>
      </c>
      <c r="CB664" s="39">
        <f t="shared" si="460"/>
        <v>0</v>
      </c>
      <c r="CC664" s="39">
        <f t="shared" si="461"/>
        <v>0</v>
      </c>
      <c r="CD664" s="39">
        <f t="shared" si="462"/>
        <v>-312</v>
      </c>
      <c r="CE664" s="102">
        <f t="shared" si="463"/>
        <v>-1</v>
      </c>
      <c r="CF664" s="36" t="s">
        <v>249</v>
      </c>
      <c r="CG664" s="39" t="s">
        <v>222</v>
      </c>
      <c r="CH664" s="39"/>
      <c r="CI664" s="25">
        <v>3</v>
      </c>
    </row>
    <row r="665" spans="1:87" ht="24.75" customHeight="1">
      <c r="A665" s="36" t="s">
        <v>387</v>
      </c>
      <c r="B665" s="27" t="s">
        <v>2878</v>
      </c>
      <c r="C665" s="227">
        <v>15369134</v>
      </c>
      <c r="D665" s="36"/>
      <c r="E665" s="39">
        <v>190</v>
      </c>
      <c r="F665" s="39" t="s">
        <v>59</v>
      </c>
      <c r="G665" s="36" t="s">
        <v>23</v>
      </c>
      <c r="H665" s="36" t="s">
        <v>96</v>
      </c>
      <c r="I665" s="39">
        <v>185</v>
      </c>
      <c r="J665" s="39"/>
      <c r="K665" s="39"/>
      <c r="L665" s="39">
        <f t="shared" ref="L665" si="474">SUM(I665:K665)</f>
        <v>185</v>
      </c>
      <c r="M665" s="117">
        <v>46280</v>
      </c>
      <c r="N665" s="117">
        <v>46285</v>
      </c>
      <c r="O665" s="39"/>
      <c r="P665" s="39"/>
      <c r="Q665" s="39"/>
      <c r="R665" s="39">
        <f t="shared" si="471"/>
        <v>0</v>
      </c>
      <c r="S665" s="39" t="s">
        <v>31</v>
      </c>
      <c r="T665" s="39"/>
      <c r="U665" s="39"/>
      <c r="V665" s="39"/>
      <c r="W665" s="39"/>
      <c r="X665" s="39"/>
      <c r="Y665" s="39"/>
      <c r="Z665" s="39"/>
      <c r="AA665" s="39"/>
      <c r="AB665" s="118">
        <f t="shared" si="473"/>
        <v>0</v>
      </c>
      <c r="AC665" s="39"/>
      <c r="AD665" s="39"/>
      <c r="AE665" s="39"/>
      <c r="AF665" s="39"/>
      <c r="AG665" s="39"/>
      <c r="AH665" s="39">
        <f t="shared" si="451"/>
        <v>0</v>
      </c>
      <c r="AI665" s="39"/>
      <c r="AJ665" s="39"/>
      <c r="AK665" s="39"/>
      <c r="AL665" s="39"/>
      <c r="AM665" s="39"/>
      <c r="AN665" s="39">
        <f t="shared" si="452"/>
        <v>0</v>
      </c>
      <c r="AO665" s="39"/>
      <c r="AP665" s="39"/>
      <c r="AQ665" s="39"/>
      <c r="AR665" s="39"/>
      <c r="AS665" s="39"/>
      <c r="AT665" s="39">
        <f t="shared" si="455"/>
        <v>0</v>
      </c>
      <c r="AU665" s="39"/>
      <c r="AV665" s="39"/>
      <c r="AW665" s="39"/>
      <c r="AX665" s="39"/>
      <c r="AY665" s="39"/>
      <c r="AZ665" s="39">
        <f t="shared" si="456"/>
        <v>0</v>
      </c>
      <c r="BA665" s="39"/>
      <c r="BB665" s="39"/>
      <c r="BC665" s="39"/>
      <c r="BD665" s="39"/>
      <c r="BE665" s="39"/>
      <c r="BF665" s="39">
        <f t="shared" si="457"/>
        <v>0</v>
      </c>
      <c r="BG665" s="39"/>
      <c r="BH665" s="39"/>
      <c r="BI665" s="39"/>
      <c r="BJ665" s="39"/>
      <c r="BK665" s="39"/>
      <c r="BL665" s="39">
        <f t="shared" si="453"/>
        <v>0</v>
      </c>
      <c r="BM665" s="54">
        <f t="shared" ca="1" si="458"/>
        <v>46283</v>
      </c>
      <c r="BN665" s="60">
        <v>46290</v>
      </c>
      <c r="BO665" s="57">
        <v>46300</v>
      </c>
      <c r="BP665" s="36"/>
      <c r="BQ665" s="36"/>
      <c r="BR665" s="39"/>
      <c r="BS665" s="39"/>
      <c r="BT665" s="39"/>
      <c r="BU665" s="39"/>
      <c r="BV665" s="39"/>
      <c r="BW665" s="39"/>
      <c r="BX665" s="39"/>
      <c r="BY665" s="39"/>
      <c r="BZ665" s="39">
        <f t="shared" si="454"/>
        <v>0</v>
      </c>
      <c r="CA665" s="39">
        <f t="shared" si="459"/>
        <v>-185</v>
      </c>
      <c r="CB665" s="39">
        <f t="shared" si="460"/>
        <v>0</v>
      </c>
      <c r="CC665" s="39">
        <f t="shared" si="461"/>
        <v>0</v>
      </c>
      <c r="CD665" s="39">
        <f t="shared" si="462"/>
        <v>-185</v>
      </c>
      <c r="CE665" s="102">
        <f t="shared" si="463"/>
        <v>-1</v>
      </c>
      <c r="CF665" s="36" t="s">
        <v>249</v>
      </c>
      <c r="CG665" s="39" t="s">
        <v>222</v>
      </c>
      <c r="CH665" s="39"/>
      <c r="CI665" s="25">
        <v>3</v>
      </c>
    </row>
    <row r="666" spans="1:87" ht="24.75" customHeight="1">
      <c r="A666" s="36" t="s">
        <v>387</v>
      </c>
      <c r="B666" s="27" t="s">
        <v>2878</v>
      </c>
      <c r="C666" s="228"/>
      <c r="D666" s="36"/>
      <c r="E666" s="39">
        <v>190</v>
      </c>
      <c r="F666" s="39" t="s">
        <v>59</v>
      </c>
      <c r="G666" s="36" t="s">
        <v>47</v>
      </c>
      <c r="H666" s="36" t="s">
        <v>96</v>
      </c>
      <c r="I666" s="39">
        <v>164</v>
      </c>
      <c r="J666" s="39"/>
      <c r="K666" s="39"/>
      <c r="L666" s="39">
        <f t="shared" ref="L666" si="475">SUM(I666:K666)</f>
        <v>164</v>
      </c>
      <c r="M666" s="117">
        <v>46280</v>
      </c>
      <c r="N666" s="117">
        <v>46285</v>
      </c>
      <c r="O666" s="39"/>
      <c r="P666" s="39"/>
      <c r="Q666" s="39"/>
      <c r="R666" s="39">
        <f t="shared" ref="R666:R672" si="476">SUM(O666:Q666)</f>
        <v>0</v>
      </c>
      <c r="S666" s="39" t="s">
        <v>130</v>
      </c>
      <c r="T666" s="39"/>
      <c r="U666" s="39"/>
      <c r="V666" s="39"/>
      <c r="W666" s="39"/>
      <c r="X666" s="39"/>
      <c r="Y666" s="39"/>
      <c r="Z666" s="39"/>
      <c r="AA666" s="39"/>
      <c r="AB666" s="118">
        <f t="shared" ref="AB666:AB672" si="477">SUM(Y666:AA666)</f>
        <v>0</v>
      </c>
      <c r="AC666" s="39"/>
      <c r="AD666" s="39"/>
      <c r="AE666" s="39"/>
      <c r="AF666" s="39"/>
      <c r="AG666" s="39"/>
      <c r="AH666" s="39">
        <f t="shared" si="451"/>
        <v>0</v>
      </c>
      <c r="AI666" s="39"/>
      <c r="AJ666" s="39"/>
      <c r="AK666" s="39"/>
      <c r="AL666" s="39"/>
      <c r="AM666" s="39"/>
      <c r="AN666" s="39">
        <f t="shared" si="452"/>
        <v>0</v>
      </c>
      <c r="AO666" s="39"/>
      <c r="AP666" s="39"/>
      <c r="AQ666" s="39"/>
      <c r="AR666" s="39"/>
      <c r="AS666" s="39"/>
      <c r="AT666" s="39">
        <f t="shared" si="455"/>
        <v>0</v>
      </c>
      <c r="AU666" s="39"/>
      <c r="AV666" s="39"/>
      <c r="AW666" s="39"/>
      <c r="AX666" s="39"/>
      <c r="AY666" s="39"/>
      <c r="AZ666" s="39">
        <f t="shared" si="456"/>
        <v>0</v>
      </c>
      <c r="BA666" s="39"/>
      <c r="BB666" s="39"/>
      <c r="BC666" s="39"/>
      <c r="BD666" s="39"/>
      <c r="BE666" s="39"/>
      <c r="BF666" s="39">
        <f t="shared" si="457"/>
        <v>0</v>
      </c>
      <c r="BG666" s="39"/>
      <c r="BH666" s="39"/>
      <c r="BI666" s="39"/>
      <c r="BJ666" s="39"/>
      <c r="BK666" s="39"/>
      <c r="BL666" s="39">
        <f t="shared" si="453"/>
        <v>0</v>
      </c>
      <c r="BM666" s="54">
        <f t="shared" ca="1" si="458"/>
        <v>46283</v>
      </c>
      <c r="BN666" s="60">
        <v>46290</v>
      </c>
      <c r="BO666" s="57">
        <v>46300</v>
      </c>
      <c r="BP666" s="36"/>
      <c r="BQ666" s="36"/>
      <c r="BR666" s="39"/>
      <c r="BS666" s="39"/>
      <c r="BT666" s="39"/>
      <c r="BU666" s="39"/>
      <c r="BV666" s="39"/>
      <c r="BW666" s="39"/>
      <c r="BX666" s="39"/>
      <c r="BY666" s="39"/>
      <c r="BZ666" s="39">
        <f t="shared" si="454"/>
        <v>0</v>
      </c>
      <c r="CA666" s="39">
        <f t="shared" si="459"/>
        <v>-164</v>
      </c>
      <c r="CB666" s="39">
        <f t="shared" si="460"/>
        <v>0</v>
      </c>
      <c r="CC666" s="39">
        <f t="shared" si="461"/>
        <v>0</v>
      </c>
      <c r="CD666" s="39">
        <f t="shared" si="462"/>
        <v>-164</v>
      </c>
      <c r="CE666" s="102">
        <f t="shared" si="463"/>
        <v>-1</v>
      </c>
      <c r="CF666" s="36" t="s">
        <v>249</v>
      </c>
      <c r="CG666" s="39" t="s">
        <v>222</v>
      </c>
      <c r="CH666" s="39"/>
      <c r="CI666" s="25">
        <v>3</v>
      </c>
    </row>
    <row r="667" spans="1:87" ht="24.75" customHeight="1">
      <c r="A667" s="36" t="s">
        <v>387</v>
      </c>
      <c r="B667" s="160">
        <v>48834</v>
      </c>
      <c r="C667" s="227" t="s">
        <v>3038</v>
      </c>
      <c r="D667" s="36" t="s">
        <v>24</v>
      </c>
      <c r="E667" s="39">
        <v>140</v>
      </c>
      <c r="F667" s="39" t="s">
        <v>53</v>
      </c>
      <c r="G667" s="36" t="s">
        <v>2943</v>
      </c>
      <c r="H667" s="36" t="s">
        <v>22</v>
      </c>
      <c r="I667" s="39">
        <v>252</v>
      </c>
      <c r="J667" s="39"/>
      <c r="K667" s="39"/>
      <c r="L667" s="39">
        <f t="shared" ref="L667:L671" si="478">SUM(I667:K667)</f>
        <v>252</v>
      </c>
      <c r="M667" s="117">
        <v>46286</v>
      </c>
      <c r="N667" s="117">
        <v>46293</v>
      </c>
      <c r="O667" s="39"/>
      <c r="P667" s="39"/>
      <c r="Q667" s="39"/>
      <c r="R667" s="39">
        <f t="shared" si="476"/>
        <v>0</v>
      </c>
      <c r="S667" s="39" t="s">
        <v>130</v>
      </c>
      <c r="T667" s="39"/>
      <c r="U667" s="39"/>
      <c r="V667" s="39"/>
      <c r="W667" s="39"/>
      <c r="X667" s="39"/>
      <c r="Y667" s="39"/>
      <c r="Z667" s="39"/>
      <c r="AA667" s="39"/>
      <c r="AB667" s="118">
        <f t="shared" si="477"/>
        <v>0</v>
      </c>
      <c r="AC667" s="39"/>
      <c r="AD667" s="39"/>
      <c r="AE667" s="39"/>
      <c r="AF667" s="39"/>
      <c r="AG667" s="39"/>
      <c r="AH667" s="39">
        <f t="shared" si="451"/>
        <v>0</v>
      </c>
      <c r="AI667" s="39"/>
      <c r="AJ667" s="39"/>
      <c r="AK667" s="39"/>
      <c r="AL667" s="39"/>
      <c r="AM667" s="39"/>
      <c r="AN667" s="39">
        <f t="shared" si="452"/>
        <v>0</v>
      </c>
      <c r="AO667" s="39"/>
      <c r="AP667" s="39"/>
      <c r="AQ667" s="39"/>
      <c r="AR667" s="39"/>
      <c r="AS667" s="39"/>
      <c r="AT667" s="39">
        <f t="shared" si="455"/>
        <v>0</v>
      </c>
      <c r="AU667" s="39"/>
      <c r="AV667" s="39"/>
      <c r="AW667" s="39"/>
      <c r="AX667" s="39"/>
      <c r="AY667" s="39"/>
      <c r="AZ667" s="39">
        <f t="shared" si="456"/>
        <v>0</v>
      </c>
      <c r="BA667" s="39"/>
      <c r="BB667" s="39"/>
      <c r="BC667" s="39"/>
      <c r="BD667" s="39"/>
      <c r="BE667" s="39"/>
      <c r="BF667" s="39">
        <f t="shared" si="457"/>
        <v>0</v>
      </c>
      <c r="BG667" s="39"/>
      <c r="BH667" s="39"/>
      <c r="BI667" s="39"/>
      <c r="BJ667" s="39"/>
      <c r="BK667" s="39"/>
      <c r="BL667" s="39">
        <f t="shared" si="453"/>
        <v>0</v>
      </c>
      <c r="BM667" s="54">
        <f t="shared" ca="1" si="458"/>
        <v>46283</v>
      </c>
      <c r="BN667" s="60">
        <v>46291</v>
      </c>
      <c r="BO667" s="57">
        <v>46300</v>
      </c>
      <c r="BP667" s="36"/>
      <c r="BQ667" s="36"/>
      <c r="BR667" s="39"/>
      <c r="BS667" s="39"/>
      <c r="BT667" s="39"/>
      <c r="BU667" s="39"/>
      <c r="BV667" s="39"/>
      <c r="BW667" s="39"/>
      <c r="BX667" s="39"/>
      <c r="BY667" s="39"/>
      <c r="BZ667" s="39">
        <f t="shared" si="454"/>
        <v>0</v>
      </c>
      <c r="CA667" s="39">
        <f t="shared" si="459"/>
        <v>-252</v>
      </c>
      <c r="CB667" s="39">
        <f t="shared" si="460"/>
        <v>0</v>
      </c>
      <c r="CC667" s="39">
        <f t="shared" si="461"/>
        <v>0</v>
      </c>
      <c r="CD667" s="39">
        <f t="shared" si="462"/>
        <v>-252</v>
      </c>
      <c r="CE667" s="102">
        <f t="shared" si="463"/>
        <v>-1</v>
      </c>
      <c r="CF667" s="36"/>
      <c r="CG667" s="39" t="s">
        <v>1051</v>
      </c>
      <c r="CH667" s="39"/>
      <c r="CI667" s="25">
        <v>3</v>
      </c>
    </row>
    <row r="668" spans="1:87" ht="24.75" customHeight="1">
      <c r="A668" s="36" t="s">
        <v>387</v>
      </c>
      <c r="B668" s="160">
        <v>48834</v>
      </c>
      <c r="C668" s="231"/>
      <c r="D668" s="36" t="s">
        <v>24</v>
      </c>
      <c r="E668" s="39">
        <v>140</v>
      </c>
      <c r="F668" s="39" t="s">
        <v>53</v>
      </c>
      <c r="G668" s="36" t="s">
        <v>2944</v>
      </c>
      <c r="H668" s="36" t="s">
        <v>22</v>
      </c>
      <c r="I668" s="39">
        <v>103</v>
      </c>
      <c r="J668" s="39"/>
      <c r="K668" s="39"/>
      <c r="L668" s="39">
        <f t="shared" si="478"/>
        <v>103</v>
      </c>
      <c r="M668" s="117">
        <v>46286</v>
      </c>
      <c r="N668" s="117">
        <v>46293</v>
      </c>
      <c r="O668" s="39"/>
      <c r="P668" s="39"/>
      <c r="Q668" s="39"/>
      <c r="R668" s="39">
        <f t="shared" si="476"/>
        <v>0</v>
      </c>
      <c r="S668" s="39" t="s">
        <v>130</v>
      </c>
      <c r="T668" s="39"/>
      <c r="U668" s="39"/>
      <c r="V668" s="39"/>
      <c r="W668" s="39"/>
      <c r="X668" s="39"/>
      <c r="Y668" s="39"/>
      <c r="Z668" s="39"/>
      <c r="AA668" s="39"/>
      <c r="AB668" s="118">
        <f t="shared" si="477"/>
        <v>0</v>
      </c>
      <c r="AC668" s="39"/>
      <c r="AD668" s="39"/>
      <c r="AE668" s="39"/>
      <c r="AF668" s="39"/>
      <c r="AG668" s="39"/>
      <c r="AH668" s="39">
        <f t="shared" si="451"/>
        <v>0</v>
      </c>
      <c r="AI668" s="39"/>
      <c r="AJ668" s="39"/>
      <c r="AK668" s="39"/>
      <c r="AL668" s="39"/>
      <c r="AM668" s="39"/>
      <c r="AN668" s="39">
        <f t="shared" si="452"/>
        <v>0</v>
      </c>
      <c r="AO668" s="39"/>
      <c r="AP668" s="39"/>
      <c r="AQ668" s="39"/>
      <c r="AR668" s="39"/>
      <c r="AS668" s="39"/>
      <c r="AT668" s="39">
        <f t="shared" si="455"/>
        <v>0</v>
      </c>
      <c r="AU668" s="39"/>
      <c r="AV668" s="39"/>
      <c r="AW668" s="39"/>
      <c r="AX668" s="39"/>
      <c r="AY668" s="39"/>
      <c r="AZ668" s="39">
        <f t="shared" si="456"/>
        <v>0</v>
      </c>
      <c r="BA668" s="39"/>
      <c r="BB668" s="39"/>
      <c r="BC668" s="39"/>
      <c r="BD668" s="39"/>
      <c r="BE668" s="39"/>
      <c r="BF668" s="39">
        <f t="shared" si="457"/>
        <v>0</v>
      </c>
      <c r="BG668" s="39"/>
      <c r="BH668" s="39"/>
      <c r="BI668" s="39"/>
      <c r="BJ668" s="39"/>
      <c r="BK668" s="39"/>
      <c r="BL668" s="39">
        <f t="shared" si="453"/>
        <v>0</v>
      </c>
      <c r="BM668" s="54">
        <f t="shared" ca="1" si="458"/>
        <v>46283</v>
      </c>
      <c r="BN668" s="60">
        <v>46291</v>
      </c>
      <c r="BO668" s="57">
        <v>46300</v>
      </c>
      <c r="BP668" s="36"/>
      <c r="BQ668" s="36"/>
      <c r="BR668" s="39"/>
      <c r="BS668" s="39"/>
      <c r="BT668" s="39"/>
      <c r="BU668" s="39"/>
      <c r="BV668" s="39"/>
      <c r="BW668" s="39"/>
      <c r="BX668" s="39"/>
      <c r="BY668" s="39"/>
      <c r="BZ668" s="39">
        <f t="shared" si="454"/>
        <v>0</v>
      </c>
      <c r="CA668" s="39">
        <f t="shared" si="459"/>
        <v>-103</v>
      </c>
      <c r="CB668" s="39">
        <f t="shared" si="460"/>
        <v>0</v>
      </c>
      <c r="CC668" s="39">
        <f t="shared" si="461"/>
        <v>0</v>
      </c>
      <c r="CD668" s="39">
        <f t="shared" si="462"/>
        <v>-103</v>
      </c>
      <c r="CE668" s="102">
        <f t="shared" si="463"/>
        <v>-1</v>
      </c>
      <c r="CF668" s="36"/>
      <c r="CG668" s="39" t="s">
        <v>1051</v>
      </c>
      <c r="CH668" s="39"/>
      <c r="CI668" s="25">
        <v>3</v>
      </c>
    </row>
    <row r="669" spans="1:87" ht="24.75" customHeight="1">
      <c r="A669" s="36" t="s">
        <v>387</v>
      </c>
      <c r="B669" s="160">
        <v>48834</v>
      </c>
      <c r="C669" s="231"/>
      <c r="D669" s="36" t="s">
        <v>24</v>
      </c>
      <c r="E669" s="39">
        <v>140</v>
      </c>
      <c r="F669" s="39" t="s">
        <v>53</v>
      </c>
      <c r="G669" s="36" t="s">
        <v>2945</v>
      </c>
      <c r="H669" s="36" t="s">
        <v>22</v>
      </c>
      <c r="I669" s="39">
        <v>189</v>
      </c>
      <c r="J669" s="39"/>
      <c r="K669" s="39"/>
      <c r="L669" s="39">
        <f t="shared" si="478"/>
        <v>189</v>
      </c>
      <c r="M669" s="117">
        <v>46286</v>
      </c>
      <c r="N669" s="117">
        <v>46293</v>
      </c>
      <c r="O669" s="39"/>
      <c r="P669" s="39"/>
      <c r="Q669" s="39"/>
      <c r="R669" s="39">
        <f t="shared" si="476"/>
        <v>0</v>
      </c>
      <c r="S669" s="39" t="s">
        <v>130</v>
      </c>
      <c r="T669" s="39"/>
      <c r="U669" s="39"/>
      <c r="V669" s="39"/>
      <c r="W669" s="39"/>
      <c r="X669" s="39"/>
      <c r="Y669" s="39"/>
      <c r="Z669" s="39"/>
      <c r="AA669" s="39"/>
      <c r="AB669" s="118">
        <f t="shared" si="477"/>
        <v>0</v>
      </c>
      <c r="AC669" s="39"/>
      <c r="AD669" s="39"/>
      <c r="AE669" s="39"/>
      <c r="AF669" s="39"/>
      <c r="AG669" s="39"/>
      <c r="AH669" s="39">
        <f t="shared" si="451"/>
        <v>0</v>
      </c>
      <c r="AI669" s="39"/>
      <c r="AJ669" s="39"/>
      <c r="AK669" s="39"/>
      <c r="AL669" s="39"/>
      <c r="AM669" s="39"/>
      <c r="AN669" s="39">
        <f t="shared" si="452"/>
        <v>0</v>
      </c>
      <c r="AO669" s="39"/>
      <c r="AP669" s="39"/>
      <c r="AQ669" s="39"/>
      <c r="AR669" s="39"/>
      <c r="AS669" s="39"/>
      <c r="AT669" s="39">
        <f t="shared" si="455"/>
        <v>0</v>
      </c>
      <c r="AU669" s="39"/>
      <c r="AV669" s="39"/>
      <c r="AW669" s="39"/>
      <c r="AX669" s="39"/>
      <c r="AY669" s="39"/>
      <c r="AZ669" s="39">
        <f t="shared" si="456"/>
        <v>0</v>
      </c>
      <c r="BA669" s="39"/>
      <c r="BB669" s="39"/>
      <c r="BC669" s="39"/>
      <c r="BD669" s="39"/>
      <c r="BE669" s="39"/>
      <c r="BF669" s="39">
        <f t="shared" si="457"/>
        <v>0</v>
      </c>
      <c r="BG669" s="39"/>
      <c r="BH669" s="39"/>
      <c r="BI669" s="39"/>
      <c r="BJ669" s="39"/>
      <c r="BK669" s="39"/>
      <c r="BL669" s="39">
        <f t="shared" si="453"/>
        <v>0</v>
      </c>
      <c r="BM669" s="54">
        <f t="shared" ca="1" si="458"/>
        <v>46283</v>
      </c>
      <c r="BN669" s="60">
        <v>46291</v>
      </c>
      <c r="BO669" s="57">
        <v>46300</v>
      </c>
      <c r="BP669" s="36"/>
      <c r="BQ669" s="36"/>
      <c r="BR669" s="39"/>
      <c r="BS669" s="39"/>
      <c r="BT669" s="39"/>
      <c r="BU669" s="39"/>
      <c r="BV669" s="39"/>
      <c r="BW669" s="39"/>
      <c r="BX669" s="39"/>
      <c r="BY669" s="39"/>
      <c r="BZ669" s="39">
        <f t="shared" si="454"/>
        <v>0</v>
      </c>
      <c r="CA669" s="39">
        <f t="shared" si="459"/>
        <v>-189</v>
      </c>
      <c r="CB669" s="39">
        <f t="shared" si="460"/>
        <v>0</v>
      </c>
      <c r="CC669" s="39">
        <f t="shared" si="461"/>
        <v>0</v>
      </c>
      <c r="CD669" s="39">
        <f t="shared" si="462"/>
        <v>-189</v>
      </c>
      <c r="CE669" s="102">
        <f t="shared" si="463"/>
        <v>-1</v>
      </c>
      <c r="CF669" s="36"/>
      <c r="CG669" s="39" t="s">
        <v>1051</v>
      </c>
      <c r="CH669" s="39"/>
      <c r="CI669" s="25">
        <v>3</v>
      </c>
    </row>
    <row r="670" spans="1:87" ht="24.75" customHeight="1">
      <c r="A670" s="36" t="s">
        <v>387</v>
      </c>
      <c r="B670" s="160">
        <v>48834</v>
      </c>
      <c r="C670" s="231"/>
      <c r="D670" s="36"/>
      <c r="E670" s="39">
        <v>140</v>
      </c>
      <c r="F670" s="39" t="s">
        <v>57</v>
      </c>
      <c r="G670" s="36" t="s">
        <v>30</v>
      </c>
      <c r="H670" s="36" t="s">
        <v>22</v>
      </c>
      <c r="I670" s="39">
        <v>183</v>
      </c>
      <c r="J670" s="39"/>
      <c r="K670" s="39"/>
      <c r="L670" s="39">
        <f t="shared" si="478"/>
        <v>183</v>
      </c>
      <c r="M670" s="117">
        <v>46286</v>
      </c>
      <c r="N670" s="117">
        <v>46293</v>
      </c>
      <c r="O670" s="39"/>
      <c r="P670" s="39"/>
      <c r="Q670" s="39"/>
      <c r="R670" s="39">
        <f t="shared" si="476"/>
        <v>0</v>
      </c>
      <c r="S670" s="39" t="s">
        <v>130</v>
      </c>
      <c r="T670" s="39"/>
      <c r="U670" s="39"/>
      <c r="V670" s="39"/>
      <c r="W670" s="39"/>
      <c r="X670" s="39"/>
      <c r="Y670" s="39"/>
      <c r="Z670" s="39"/>
      <c r="AA670" s="39"/>
      <c r="AB670" s="118">
        <f t="shared" si="477"/>
        <v>0</v>
      </c>
      <c r="AC670" s="39"/>
      <c r="AD670" s="39"/>
      <c r="AE670" s="39"/>
      <c r="AF670" s="39"/>
      <c r="AG670" s="39"/>
      <c r="AH670" s="39">
        <f t="shared" si="451"/>
        <v>0</v>
      </c>
      <c r="AI670" s="39"/>
      <c r="AJ670" s="39"/>
      <c r="AK670" s="39"/>
      <c r="AL670" s="39"/>
      <c r="AM670" s="39"/>
      <c r="AN670" s="39">
        <f t="shared" si="452"/>
        <v>0</v>
      </c>
      <c r="AO670" s="39"/>
      <c r="AP670" s="39"/>
      <c r="AQ670" s="39"/>
      <c r="AR670" s="39"/>
      <c r="AS670" s="39"/>
      <c r="AT670" s="39">
        <f t="shared" si="455"/>
        <v>0</v>
      </c>
      <c r="AU670" s="39"/>
      <c r="AV670" s="39"/>
      <c r="AW670" s="39"/>
      <c r="AX670" s="39"/>
      <c r="AY670" s="39"/>
      <c r="AZ670" s="39">
        <f t="shared" si="456"/>
        <v>0</v>
      </c>
      <c r="BA670" s="39"/>
      <c r="BB670" s="39"/>
      <c r="BC670" s="39"/>
      <c r="BD670" s="39"/>
      <c r="BE670" s="39"/>
      <c r="BF670" s="39">
        <f t="shared" si="457"/>
        <v>0</v>
      </c>
      <c r="BG670" s="39"/>
      <c r="BH670" s="39"/>
      <c r="BI670" s="39"/>
      <c r="BJ670" s="39"/>
      <c r="BK670" s="39"/>
      <c r="BL670" s="39">
        <f t="shared" si="453"/>
        <v>0</v>
      </c>
      <c r="BM670" s="54">
        <f t="shared" ca="1" si="458"/>
        <v>46283</v>
      </c>
      <c r="BN670" s="60">
        <v>46291</v>
      </c>
      <c r="BO670" s="57">
        <v>46300</v>
      </c>
      <c r="BP670" s="36"/>
      <c r="BQ670" s="36"/>
      <c r="BR670" s="39"/>
      <c r="BS670" s="39"/>
      <c r="BT670" s="39"/>
      <c r="BU670" s="39"/>
      <c r="BV670" s="39"/>
      <c r="BW670" s="39"/>
      <c r="BX670" s="39"/>
      <c r="BY670" s="39"/>
      <c r="BZ670" s="39">
        <f t="shared" si="454"/>
        <v>0</v>
      </c>
      <c r="CA670" s="39">
        <f t="shared" si="459"/>
        <v>-183</v>
      </c>
      <c r="CB670" s="39">
        <f t="shared" si="460"/>
        <v>0</v>
      </c>
      <c r="CC670" s="39">
        <f t="shared" si="461"/>
        <v>0</v>
      </c>
      <c r="CD670" s="39">
        <f t="shared" si="462"/>
        <v>-183</v>
      </c>
      <c r="CE670" s="102">
        <f t="shared" si="463"/>
        <v>-1</v>
      </c>
      <c r="CF670" s="36"/>
      <c r="CG670" s="39" t="s">
        <v>1051</v>
      </c>
      <c r="CH670" s="39"/>
      <c r="CI670" s="25">
        <v>3</v>
      </c>
    </row>
    <row r="671" spans="1:87" ht="24.75" customHeight="1">
      <c r="A671" s="36" t="s">
        <v>387</v>
      </c>
      <c r="B671" s="160">
        <v>48834</v>
      </c>
      <c r="C671" s="228"/>
      <c r="D671" s="36"/>
      <c r="E671" s="39">
        <v>140</v>
      </c>
      <c r="F671" s="39" t="s">
        <v>57</v>
      </c>
      <c r="G671" s="36" t="s">
        <v>592</v>
      </c>
      <c r="H671" s="36" t="s">
        <v>22</v>
      </c>
      <c r="I671" s="39">
        <v>144</v>
      </c>
      <c r="J671" s="39"/>
      <c r="K671" s="39"/>
      <c r="L671" s="39">
        <f t="shared" si="478"/>
        <v>144</v>
      </c>
      <c r="M671" s="117">
        <v>46286</v>
      </c>
      <c r="N671" s="117">
        <v>46293</v>
      </c>
      <c r="O671" s="39"/>
      <c r="P671" s="39"/>
      <c r="Q671" s="39"/>
      <c r="R671" s="39">
        <f t="shared" si="476"/>
        <v>0</v>
      </c>
      <c r="S671" s="39" t="s">
        <v>130</v>
      </c>
      <c r="T671" s="39"/>
      <c r="U671" s="39"/>
      <c r="V671" s="39"/>
      <c r="W671" s="39"/>
      <c r="X671" s="39"/>
      <c r="Y671" s="39"/>
      <c r="Z671" s="39"/>
      <c r="AA671" s="39"/>
      <c r="AB671" s="118">
        <f t="shared" si="477"/>
        <v>0</v>
      </c>
      <c r="AC671" s="39"/>
      <c r="AD671" s="39"/>
      <c r="AE671" s="39"/>
      <c r="AF671" s="39"/>
      <c r="AG671" s="39"/>
      <c r="AH671" s="39">
        <f t="shared" si="451"/>
        <v>0</v>
      </c>
      <c r="AI671" s="39"/>
      <c r="AJ671" s="39"/>
      <c r="AK671" s="39"/>
      <c r="AL671" s="39"/>
      <c r="AM671" s="39"/>
      <c r="AN671" s="39">
        <f t="shared" si="452"/>
        <v>0</v>
      </c>
      <c r="AO671" s="39"/>
      <c r="AP671" s="39"/>
      <c r="AQ671" s="39"/>
      <c r="AR671" s="39"/>
      <c r="AS671" s="39"/>
      <c r="AT671" s="39">
        <f t="shared" si="455"/>
        <v>0</v>
      </c>
      <c r="AU671" s="39"/>
      <c r="AV671" s="39"/>
      <c r="AW671" s="39"/>
      <c r="AX671" s="39"/>
      <c r="AY671" s="39"/>
      <c r="AZ671" s="39">
        <f t="shared" si="456"/>
        <v>0</v>
      </c>
      <c r="BA671" s="39"/>
      <c r="BB671" s="39"/>
      <c r="BC671" s="39"/>
      <c r="BD671" s="39"/>
      <c r="BE671" s="39"/>
      <c r="BF671" s="39">
        <f t="shared" si="457"/>
        <v>0</v>
      </c>
      <c r="BG671" s="39"/>
      <c r="BH671" s="39"/>
      <c r="BI671" s="39"/>
      <c r="BJ671" s="39"/>
      <c r="BK671" s="39"/>
      <c r="BL671" s="39">
        <f t="shared" si="453"/>
        <v>0</v>
      </c>
      <c r="BM671" s="54">
        <f t="shared" ca="1" si="458"/>
        <v>46283</v>
      </c>
      <c r="BN671" s="60">
        <v>46291</v>
      </c>
      <c r="BO671" s="57">
        <v>46300</v>
      </c>
      <c r="BP671" s="36"/>
      <c r="BQ671" s="36"/>
      <c r="BR671" s="39"/>
      <c r="BS671" s="39"/>
      <c r="BT671" s="39"/>
      <c r="BU671" s="39"/>
      <c r="BV671" s="39"/>
      <c r="BW671" s="39"/>
      <c r="BX671" s="39"/>
      <c r="BY671" s="39"/>
      <c r="BZ671" s="39">
        <f t="shared" si="454"/>
        <v>0</v>
      </c>
      <c r="CA671" s="39">
        <f t="shared" si="459"/>
        <v>-144</v>
      </c>
      <c r="CB671" s="39">
        <f t="shared" si="460"/>
        <v>0</v>
      </c>
      <c r="CC671" s="39">
        <f t="shared" si="461"/>
        <v>0</v>
      </c>
      <c r="CD671" s="39">
        <f t="shared" si="462"/>
        <v>-144</v>
      </c>
      <c r="CE671" s="102">
        <f t="shared" si="463"/>
        <v>-1</v>
      </c>
      <c r="CF671" s="36"/>
      <c r="CG671" s="39" t="s">
        <v>1051</v>
      </c>
      <c r="CH671" s="39"/>
      <c r="CI671" s="25">
        <v>3</v>
      </c>
    </row>
    <row r="672" spans="1:87" ht="24.75" customHeight="1">
      <c r="A672" s="36" t="s">
        <v>387</v>
      </c>
      <c r="B672" s="27" t="s">
        <v>2974</v>
      </c>
      <c r="C672" s="36">
        <v>15244714</v>
      </c>
      <c r="D672" s="36"/>
      <c r="E672" s="39">
        <v>140</v>
      </c>
      <c r="F672" s="39" t="s">
        <v>57</v>
      </c>
      <c r="G672" s="36" t="s">
        <v>47</v>
      </c>
      <c r="H672" s="36" t="s">
        <v>22</v>
      </c>
      <c r="I672" s="39">
        <v>429</v>
      </c>
      <c r="J672" s="39">
        <v>38</v>
      </c>
      <c r="K672" s="39"/>
      <c r="L672" s="39">
        <f t="shared" ref="L672" si="479">SUM(I672:K672)</f>
        <v>467</v>
      </c>
      <c r="M672" s="117">
        <v>46281</v>
      </c>
      <c r="N672" s="117">
        <v>46286</v>
      </c>
      <c r="O672" s="39"/>
      <c r="P672" s="39"/>
      <c r="Q672" s="39"/>
      <c r="R672" s="39">
        <f t="shared" si="476"/>
        <v>0</v>
      </c>
      <c r="S672" s="39" t="s">
        <v>28</v>
      </c>
      <c r="T672" s="39"/>
      <c r="U672" s="39"/>
      <c r="V672" s="117">
        <v>46281</v>
      </c>
      <c r="W672" s="39">
        <f>489+45</f>
        <v>534</v>
      </c>
      <c r="X672" s="39"/>
      <c r="Y672" s="39"/>
      <c r="Z672" s="39"/>
      <c r="AA672" s="39"/>
      <c r="AB672" s="118">
        <f t="shared" si="477"/>
        <v>0</v>
      </c>
      <c r="AC672" s="39"/>
      <c r="AD672" s="39"/>
      <c r="AE672" s="39"/>
      <c r="AF672" s="39"/>
      <c r="AG672" s="39"/>
      <c r="AH672" s="39">
        <f t="shared" si="451"/>
        <v>0</v>
      </c>
      <c r="AI672" s="39"/>
      <c r="AJ672" s="39"/>
      <c r="AK672" s="39"/>
      <c r="AL672" s="39"/>
      <c r="AM672" s="39"/>
      <c r="AN672" s="39">
        <f t="shared" si="452"/>
        <v>0</v>
      </c>
      <c r="AO672" s="39"/>
      <c r="AP672" s="39"/>
      <c r="AQ672" s="39"/>
      <c r="AR672" s="39"/>
      <c r="AS672" s="39"/>
      <c r="AT672" s="39">
        <f t="shared" si="455"/>
        <v>0</v>
      </c>
      <c r="AU672" s="39"/>
      <c r="AV672" s="39"/>
      <c r="AW672" s="39"/>
      <c r="AX672" s="39"/>
      <c r="AY672" s="39"/>
      <c r="AZ672" s="39">
        <f t="shared" si="456"/>
        <v>0</v>
      </c>
      <c r="BA672" s="39"/>
      <c r="BB672" s="39"/>
      <c r="BC672" s="39"/>
      <c r="BD672" s="39"/>
      <c r="BE672" s="39"/>
      <c r="BF672" s="39">
        <f t="shared" si="457"/>
        <v>0</v>
      </c>
      <c r="BG672" s="39"/>
      <c r="BH672" s="39"/>
      <c r="BI672" s="39"/>
      <c r="BJ672" s="39"/>
      <c r="BK672" s="39"/>
      <c r="BL672" s="39">
        <f t="shared" si="453"/>
        <v>0</v>
      </c>
      <c r="BM672" s="54">
        <f t="shared" ca="1" si="458"/>
        <v>46283</v>
      </c>
      <c r="BN672" s="60">
        <v>46290</v>
      </c>
      <c r="BO672" s="57">
        <v>46300</v>
      </c>
      <c r="BP672" s="36"/>
      <c r="BQ672" s="36"/>
      <c r="BR672" s="39"/>
      <c r="BS672" s="39"/>
      <c r="BT672" s="39"/>
      <c r="BU672" s="39"/>
      <c r="BV672" s="39"/>
      <c r="BW672" s="39"/>
      <c r="BX672" s="39"/>
      <c r="BY672" s="39"/>
      <c r="BZ672" s="39">
        <f t="shared" si="454"/>
        <v>0</v>
      </c>
      <c r="CA672" s="39">
        <f t="shared" si="459"/>
        <v>-429</v>
      </c>
      <c r="CB672" s="39">
        <f t="shared" si="460"/>
        <v>-38</v>
      </c>
      <c r="CC672" s="39">
        <f t="shared" si="461"/>
        <v>0</v>
      </c>
      <c r="CD672" s="39">
        <f t="shared" si="462"/>
        <v>-467</v>
      </c>
      <c r="CE672" s="102">
        <f t="shared" si="463"/>
        <v>-1</v>
      </c>
      <c r="CF672" s="36" t="s">
        <v>292</v>
      </c>
      <c r="CG672" s="39" t="s">
        <v>220</v>
      </c>
      <c r="CH672" s="39"/>
      <c r="CI672" s="25">
        <v>3</v>
      </c>
    </row>
    <row r="673" spans="1:87" ht="24.75" customHeight="1">
      <c r="A673" s="36" t="s">
        <v>387</v>
      </c>
      <c r="B673" s="27"/>
      <c r="C673" s="36"/>
      <c r="D673" s="36"/>
      <c r="E673" s="39"/>
      <c r="F673" s="39"/>
      <c r="G673" s="36"/>
      <c r="H673" s="39"/>
      <c r="I673" s="39"/>
      <c r="J673" s="39"/>
      <c r="K673" s="39"/>
      <c r="L673" s="39">
        <f t="shared" ref="L673:L788" si="480">SUM(I673:K673)</f>
        <v>0</v>
      </c>
      <c r="M673" s="39"/>
      <c r="N673" s="39"/>
      <c r="O673" s="39"/>
      <c r="P673" s="39"/>
      <c r="Q673" s="39"/>
      <c r="R673" s="39">
        <f t="shared" ref="R673:R915" si="481">SUM(O673:Q673)</f>
        <v>0</v>
      </c>
      <c r="S673" s="39"/>
      <c r="T673" s="39"/>
      <c r="U673" s="39"/>
      <c r="V673" s="39"/>
      <c r="W673" s="39"/>
      <c r="X673" s="39"/>
      <c r="Y673" s="39"/>
      <c r="Z673" s="39"/>
      <c r="AA673" s="39"/>
      <c r="AB673" s="39">
        <f t="shared" ref="AB673:AB915" si="482">SUM(Y673:AA673)</f>
        <v>0</v>
      </c>
      <c r="AC673" s="39"/>
      <c r="AD673" s="39"/>
      <c r="AE673" s="39"/>
      <c r="AF673" s="39"/>
      <c r="AG673" s="39"/>
      <c r="AH673" s="39">
        <f t="shared" ref="AH673:AH928" si="483">AG673-AE673</f>
        <v>0</v>
      </c>
      <c r="AI673" s="39"/>
      <c r="AJ673" s="39"/>
      <c r="AK673" s="39"/>
      <c r="AL673" s="39"/>
      <c r="AM673" s="39"/>
      <c r="AN673" s="39">
        <f t="shared" si="196"/>
        <v>0</v>
      </c>
      <c r="AO673" s="39"/>
      <c r="AP673" s="39"/>
      <c r="AQ673" s="39"/>
      <c r="AR673" s="39"/>
      <c r="AS673" s="39"/>
      <c r="AT673" s="39">
        <f t="shared" si="367"/>
        <v>0</v>
      </c>
      <c r="AU673" s="39"/>
      <c r="AV673" s="39"/>
      <c r="AW673" s="39"/>
      <c r="AX673" s="39"/>
      <c r="AY673" s="39"/>
      <c r="AZ673" s="39">
        <f t="shared" si="368"/>
        <v>0</v>
      </c>
      <c r="BA673" s="39"/>
      <c r="BB673" s="39"/>
      <c r="BC673" s="39"/>
      <c r="BD673" s="39"/>
      <c r="BE673" s="39"/>
      <c r="BF673" s="39">
        <f t="shared" si="369"/>
        <v>0</v>
      </c>
      <c r="BG673" s="39"/>
      <c r="BH673" s="39"/>
      <c r="BI673" s="39"/>
      <c r="BJ673" s="39"/>
      <c r="BK673" s="39"/>
      <c r="BL673" s="39">
        <f t="shared" ref="BL673:BL928" si="484">BK673-BI673</f>
        <v>0</v>
      </c>
      <c r="BM673" s="54" t="e">
        <f t="shared" si="371"/>
        <v>#DIV/0!</v>
      </c>
      <c r="BN673" s="61"/>
      <c r="BO673" s="36"/>
      <c r="BP673" s="36"/>
      <c r="BQ673" s="36"/>
      <c r="BR673" s="39"/>
      <c r="BS673" s="39"/>
      <c r="BT673" s="39"/>
      <c r="BU673" s="39"/>
      <c r="BV673" s="39"/>
      <c r="BW673" s="39"/>
      <c r="BX673" s="39"/>
      <c r="BY673" s="39"/>
      <c r="BZ673" s="39">
        <f t="shared" ref="BZ673:BZ928" si="485">BU673+BW673+BY673</f>
        <v>0</v>
      </c>
      <c r="CA673" s="39">
        <f t="shared" si="373"/>
        <v>0</v>
      </c>
      <c r="CB673" s="39">
        <f t="shared" si="374"/>
        <v>0</v>
      </c>
      <c r="CC673" s="39">
        <f t="shared" si="375"/>
        <v>0</v>
      </c>
      <c r="CD673" s="39">
        <f t="shared" si="376"/>
        <v>0</v>
      </c>
      <c r="CE673" s="47" t="e">
        <f t="shared" si="377"/>
        <v>#DIV/0!</v>
      </c>
      <c r="CF673" s="36"/>
      <c r="CG673" s="39"/>
      <c r="CH673" s="39"/>
      <c r="CI673" s="25">
        <v>3</v>
      </c>
    </row>
    <row r="674" spans="1:87" ht="24.75" customHeight="1">
      <c r="A674" s="36" t="s">
        <v>387</v>
      </c>
      <c r="B674" s="27"/>
      <c r="C674" s="36"/>
      <c r="D674" s="36"/>
      <c r="E674" s="39"/>
      <c r="F674" s="39"/>
      <c r="G674" s="36"/>
      <c r="H674" s="39"/>
      <c r="I674" s="39"/>
      <c r="J674" s="39"/>
      <c r="K674" s="39"/>
      <c r="L674" s="39">
        <f t="shared" si="480"/>
        <v>0</v>
      </c>
      <c r="M674" s="39"/>
      <c r="N674" s="39"/>
      <c r="O674" s="39"/>
      <c r="P674" s="39"/>
      <c r="Q674" s="39"/>
      <c r="R674" s="39">
        <f t="shared" si="481"/>
        <v>0</v>
      </c>
      <c r="S674" s="39"/>
      <c r="T674" s="39"/>
      <c r="U674" s="39"/>
      <c r="V674" s="39"/>
      <c r="W674" s="39"/>
      <c r="X674" s="39"/>
      <c r="Y674" s="39"/>
      <c r="Z674" s="39"/>
      <c r="AA674" s="39"/>
      <c r="AB674" s="39">
        <f t="shared" si="482"/>
        <v>0</v>
      </c>
      <c r="AC674" s="39"/>
      <c r="AD674" s="39"/>
      <c r="AE674" s="39"/>
      <c r="AF674" s="39"/>
      <c r="AG674" s="39"/>
      <c r="AH674" s="39">
        <f t="shared" si="483"/>
        <v>0</v>
      </c>
      <c r="AI674" s="39"/>
      <c r="AJ674" s="39"/>
      <c r="AK674" s="39"/>
      <c r="AL674" s="39"/>
      <c r="AM674" s="39"/>
      <c r="AN674" s="39">
        <f t="shared" si="196"/>
        <v>0</v>
      </c>
      <c r="AO674" s="39"/>
      <c r="AP674" s="39"/>
      <c r="AQ674" s="39"/>
      <c r="AR674" s="39"/>
      <c r="AS674" s="39"/>
      <c r="AT674" s="39">
        <f t="shared" si="367"/>
        <v>0</v>
      </c>
      <c r="AU674" s="39"/>
      <c r="AV674" s="39"/>
      <c r="AW674" s="39"/>
      <c r="AX674" s="39"/>
      <c r="AY674" s="39"/>
      <c r="AZ674" s="39">
        <f t="shared" si="368"/>
        <v>0</v>
      </c>
      <c r="BA674" s="39"/>
      <c r="BB674" s="39"/>
      <c r="BC674" s="39"/>
      <c r="BD674" s="39"/>
      <c r="BE674" s="39"/>
      <c r="BF674" s="39">
        <f t="shared" si="369"/>
        <v>0</v>
      </c>
      <c r="BG674" s="39"/>
      <c r="BH674" s="39"/>
      <c r="BI674" s="39"/>
      <c r="BJ674" s="39"/>
      <c r="BK674" s="39"/>
      <c r="BL674" s="39">
        <f t="shared" si="484"/>
        <v>0</v>
      </c>
      <c r="BM674" s="54" t="e">
        <f t="shared" si="371"/>
        <v>#DIV/0!</v>
      </c>
      <c r="BN674" s="61"/>
      <c r="BO674" s="36"/>
      <c r="BP674" s="36"/>
      <c r="BQ674" s="36"/>
      <c r="BR674" s="39"/>
      <c r="BS674" s="39"/>
      <c r="BT674" s="39"/>
      <c r="BU674" s="39"/>
      <c r="BV674" s="39"/>
      <c r="BW674" s="39"/>
      <c r="BX674" s="39"/>
      <c r="BY674" s="39"/>
      <c r="BZ674" s="39">
        <f t="shared" si="485"/>
        <v>0</v>
      </c>
      <c r="CA674" s="39">
        <f t="shared" si="373"/>
        <v>0</v>
      </c>
      <c r="CB674" s="39">
        <f t="shared" si="374"/>
        <v>0</v>
      </c>
      <c r="CC674" s="39">
        <f t="shared" si="375"/>
        <v>0</v>
      </c>
      <c r="CD674" s="39">
        <f t="shared" si="376"/>
        <v>0</v>
      </c>
      <c r="CE674" s="47" t="e">
        <f t="shared" si="377"/>
        <v>#DIV/0!</v>
      </c>
      <c r="CF674" s="36"/>
      <c r="CG674" s="39"/>
      <c r="CH674" s="39"/>
      <c r="CI674" s="25">
        <v>3</v>
      </c>
    </row>
    <row r="675" spans="1:87" ht="24.75" customHeight="1">
      <c r="A675" s="36" t="s">
        <v>387</v>
      </c>
      <c r="B675" s="27"/>
      <c r="C675" s="36"/>
      <c r="D675" s="36"/>
      <c r="E675" s="39"/>
      <c r="F675" s="39"/>
      <c r="G675" s="36"/>
      <c r="H675" s="39"/>
      <c r="I675" s="39"/>
      <c r="J675" s="39"/>
      <c r="K675" s="39"/>
      <c r="L675" s="39">
        <f t="shared" si="480"/>
        <v>0</v>
      </c>
      <c r="M675" s="39"/>
      <c r="N675" s="39"/>
      <c r="O675" s="39"/>
      <c r="P675" s="39"/>
      <c r="Q675" s="39"/>
      <c r="R675" s="39">
        <f t="shared" si="481"/>
        <v>0</v>
      </c>
      <c r="S675" s="39"/>
      <c r="T675" s="39"/>
      <c r="U675" s="39"/>
      <c r="V675" s="39"/>
      <c r="W675" s="39"/>
      <c r="X675" s="39"/>
      <c r="Y675" s="39"/>
      <c r="Z675" s="39"/>
      <c r="AA675" s="39"/>
      <c r="AB675" s="39">
        <f t="shared" si="482"/>
        <v>0</v>
      </c>
      <c r="AC675" s="39"/>
      <c r="AD675" s="39"/>
      <c r="AE675" s="39"/>
      <c r="AF675" s="39"/>
      <c r="AG675" s="39"/>
      <c r="AH675" s="39">
        <f t="shared" si="483"/>
        <v>0</v>
      </c>
      <c r="AI675" s="39"/>
      <c r="AJ675" s="39"/>
      <c r="AK675" s="39"/>
      <c r="AL675" s="39"/>
      <c r="AM675" s="39"/>
      <c r="AN675" s="39">
        <f t="shared" si="196"/>
        <v>0</v>
      </c>
      <c r="AO675" s="39"/>
      <c r="AP675" s="39"/>
      <c r="AQ675" s="39"/>
      <c r="AR675" s="39"/>
      <c r="AS675" s="39"/>
      <c r="AT675" s="39">
        <f t="shared" si="367"/>
        <v>0</v>
      </c>
      <c r="AU675" s="39"/>
      <c r="AV675" s="39"/>
      <c r="AW675" s="39"/>
      <c r="AX675" s="39"/>
      <c r="AY675" s="39"/>
      <c r="AZ675" s="39">
        <f t="shared" si="368"/>
        <v>0</v>
      </c>
      <c r="BA675" s="39"/>
      <c r="BB675" s="39"/>
      <c r="BC675" s="39"/>
      <c r="BD675" s="39"/>
      <c r="BE675" s="39"/>
      <c r="BF675" s="39">
        <f t="shared" si="369"/>
        <v>0</v>
      </c>
      <c r="BG675" s="39"/>
      <c r="BH675" s="39"/>
      <c r="BI675" s="39"/>
      <c r="BJ675" s="39"/>
      <c r="BK675" s="39"/>
      <c r="BL675" s="39">
        <f t="shared" si="484"/>
        <v>0</v>
      </c>
      <c r="BM675" s="54" t="e">
        <f t="shared" si="371"/>
        <v>#DIV/0!</v>
      </c>
      <c r="BN675" s="61"/>
      <c r="BO675" s="36"/>
      <c r="BP675" s="36"/>
      <c r="BQ675" s="36"/>
      <c r="BR675" s="39"/>
      <c r="BS675" s="39"/>
      <c r="BT675" s="39"/>
      <c r="BU675" s="39"/>
      <c r="BV675" s="39"/>
      <c r="BW675" s="39"/>
      <c r="BX675" s="39"/>
      <c r="BY675" s="39"/>
      <c r="BZ675" s="39">
        <f t="shared" si="485"/>
        <v>0</v>
      </c>
      <c r="CA675" s="39">
        <f t="shared" si="373"/>
        <v>0</v>
      </c>
      <c r="CB675" s="39">
        <f t="shared" si="374"/>
        <v>0</v>
      </c>
      <c r="CC675" s="39">
        <f t="shared" si="375"/>
        <v>0</v>
      </c>
      <c r="CD675" s="39">
        <f t="shared" si="376"/>
        <v>0</v>
      </c>
      <c r="CE675" s="47" t="e">
        <f t="shared" si="377"/>
        <v>#DIV/0!</v>
      </c>
      <c r="CF675" s="36"/>
      <c r="CG675" s="39"/>
      <c r="CH675" s="39"/>
      <c r="CI675" s="25">
        <v>3</v>
      </c>
    </row>
    <row r="676" spans="1:87" ht="24.75" customHeight="1">
      <c r="A676" s="36" t="s">
        <v>387</v>
      </c>
      <c r="B676" s="27"/>
      <c r="C676" s="36"/>
      <c r="D676" s="36"/>
      <c r="E676" s="39"/>
      <c r="F676" s="39"/>
      <c r="G676" s="36"/>
      <c r="H676" s="39"/>
      <c r="I676" s="39"/>
      <c r="J676" s="39"/>
      <c r="K676" s="39"/>
      <c r="L676" s="39">
        <f t="shared" si="480"/>
        <v>0</v>
      </c>
      <c r="M676" s="39"/>
      <c r="N676" s="39"/>
      <c r="O676" s="39"/>
      <c r="P676" s="39"/>
      <c r="Q676" s="39"/>
      <c r="R676" s="39">
        <f t="shared" si="481"/>
        <v>0</v>
      </c>
      <c r="S676" s="39"/>
      <c r="T676" s="39"/>
      <c r="U676" s="39"/>
      <c r="V676" s="39"/>
      <c r="W676" s="39"/>
      <c r="X676" s="39"/>
      <c r="Y676" s="39"/>
      <c r="Z676" s="39"/>
      <c r="AA676" s="39"/>
      <c r="AB676" s="39">
        <f t="shared" si="482"/>
        <v>0</v>
      </c>
      <c r="AC676" s="39"/>
      <c r="AD676" s="39"/>
      <c r="AE676" s="39"/>
      <c r="AF676" s="39"/>
      <c r="AG676" s="39"/>
      <c r="AH676" s="39">
        <f t="shared" si="483"/>
        <v>0</v>
      </c>
      <c r="AI676" s="39"/>
      <c r="AJ676" s="39"/>
      <c r="AK676" s="39"/>
      <c r="AL676" s="39"/>
      <c r="AM676" s="39"/>
      <c r="AN676" s="39">
        <f t="shared" si="196"/>
        <v>0</v>
      </c>
      <c r="AO676" s="39"/>
      <c r="AP676" s="39"/>
      <c r="AQ676" s="39"/>
      <c r="AR676" s="39"/>
      <c r="AS676" s="39"/>
      <c r="AT676" s="39">
        <f t="shared" si="367"/>
        <v>0</v>
      </c>
      <c r="AU676" s="39"/>
      <c r="AV676" s="39"/>
      <c r="AW676" s="39"/>
      <c r="AX676" s="39"/>
      <c r="AY676" s="39"/>
      <c r="AZ676" s="39">
        <f t="shared" si="368"/>
        <v>0</v>
      </c>
      <c r="BA676" s="39"/>
      <c r="BB676" s="39"/>
      <c r="BC676" s="39"/>
      <c r="BD676" s="39"/>
      <c r="BE676" s="39"/>
      <c r="BF676" s="39">
        <f t="shared" si="369"/>
        <v>0</v>
      </c>
      <c r="BG676" s="39"/>
      <c r="BH676" s="39"/>
      <c r="BI676" s="39"/>
      <c r="BJ676" s="39"/>
      <c r="BK676" s="39"/>
      <c r="BL676" s="39">
        <f t="shared" si="484"/>
        <v>0</v>
      </c>
      <c r="BM676" s="54" t="e">
        <f t="shared" si="371"/>
        <v>#DIV/0!</v>
      </c>
      <c r="BN676" s="61"/>
      <c r="BO676" s="36"/>
      <c r="BP676" s="36"/>
      <c r="BQ676" s="36"/>
      <c r="BR676" s="39"/>
      <c r="BS676" s="39"/>
      <c r="BT676" s="39"/>
      <c r="BU676" s="39"/>
      <c r="BV676" s="39"/>
      <c r="BW676" s="39"/>
      <c r="BX676" s="39"/>
      <c r="BY676" s="39"/>
      <c r="BZ676" s="39">
        <f t="shared" si="485"/>
        <v>0</v>
      </c>
      <c r="CA676" s="39">
        <f t="shared" si="373"/>
        <v>0</v>
      </c>
      <c r="CB676" s="39">
        <f t="shared" si="374"/>
        <v>0</v>
      </c>
      <c r="CC676" s="39">
        <f t="shared" si="375"/>
        <v>0</v>
      </c>
      <c r="CD676" s="39">
        <f t="shared" si="376"/>
        <v>0</v>
      </c>
      <c r="CE676" s="47" t="e">
        <f t="shared" si="377"/>
        <v>#DIV/0!</v>
      </c>
      <c r="CF676" s="36"/>
      <c r="CG676" s="39"/>
      <c r="CH676" s="39"/>
      <c r="CI676" s="25">
        <v>3</v>
      </c>
    </row>
    <row r="677" spans="1:87" ht="24.75" customHeight="1">
      <c r="A677" s="36" t="s">
        <v>387</v>
      </c>
      <c r="B677" s="27"/>
      <c r="C677" s="36"/>
      <c r="D677" s="36"/>
      <c r="E677" s="39"/>
      <c r="F677" s="39"/>
      <c r="G677" s="36"/>
      <c r="H677" s="39"/>
      <c r="I677" s="39"/>
      <c r="J677" s="39"/>
      <c r="K677" s="39"/>
      <c r="L677" s="39">
        <f t="shared" si="480"/>
        <v>0</v>
      </c>
      <c r="M677" s="39"/>
      <c r="N677" s="39"/>
      <c r="O677" s="39"/>
      <c r="P677" s="39"/>
      <c r="Q677" s="39"/>
      <c r="R677" s="39">
        <f t="shared" si="481"/>
        <v>0</v>
      </c>
      <c r="S677" s="39"/>
      <c r="T677" s="39"/>
      <c r="U677" s="39"/>
      <c r="V677" s="39"/>
      <c r="W677" s="39"/>
      <c r="X677" s="39"/>
      <c r="Y677" s="39"/>
      <c r="Z677" s="39"/>
      <c r="AA677" s="39"/>
      <c r="AB677" s="39">
        <f t="shared" si="482"/>
        <v>0</v>
      </c>
      <c r="AC677" s="39"/>
      <c r="AD677" s="39"/>
      <c r="AE677" s="39"/>
      <c r="AF677" s="39"/>
      <c r="AG677" s="39"/>
      <c r="AH677" s="39">
        <f t="shared" si="483"/>
        <v>0</v>
      </c>
      <c r="AI677" s="39"/>
      <c r="AJ677" s="39"/>
      <c r="AK677" s="39"/>
      <c r="AL677" s="39"/>
      <c r="AM677" s="39"/>
      <c r="AN677" s="39">
        <f t="shared" si="196"/>
        <v>0</v>
      </c>
      <c r="AO677" s="39"/>
      <c r="AP677" s="39"/>
      <c r="AQ677" s="39"/>
      <c r="AR677" s="39"/>
      <c r="AS677" s="39"/>
      <c r="AT677" s="39">
        <f t="shared" si="367"/>
        <v>0</v>
      </c>
      <c r="AU677" s="39"/>
      <c r="AV677" s="39"/>
      <c r="AW677" s="39"/>
      <c r="AX677" s="39"/>
      <c r="AY677" s="39"/>
      <c r="AZ677" s="39">
        <f t="shared" si="368"/>
        <v>0</v>
      </c>
      <c r="BA677" s="39"/>
      <c r="BB677" s="39"/>
      <c r="BC677" s="39"/>
      <c r="BD677" s="39"/>
      <c r="BE677" s="39"/>
      <c r="BF677" s="39">
        <f t="shared" si="369"/>
        <v>0</v>
      </c>
      <c r="BG677" s="39"/>
      <c r="BH677" s="39"/>
      <c r="BI677" s="39"/>
      <c r="BJ677" s="39"/>
      <c r="BK677" s="39"/>
      <c r="BL677" s="39">
        <f t="shared" si="484"/>
        <v>0</v>
      </c>
      <c r="BM677" s="54" t="e">
        <f t="shared" si="371"/>
        <v>#DIV/0!</v>
      </c>
      <c r="BN677" s="61"/>
      <c r="BO677" s="36"/>
      <c r="BP677" s="36"/>
      <c r="BQ677" s="36"/>
      <c r="BR677" s="39"/>
      <c r="BS677" s="39"/>
      <c r="BT677" s="39"/>
      <c r="BU677" s="39"/>
      <c r="BV677" s="39"/>
      <c r="BW677" s="39"/>
      <c r="BX677" s="39"/>
      <c r="BY677" s="39"/>
      <c r="BZ677" s="39">
        <f t="shared" si="485"/>
        <v>0</v>
      </c>
      <c r="CA677" s="39">
        <f t="shared" si="373"/>
        <v>0</v>
      </c>
      <c r="CB677" s="39">
        <f t="shared" si="374"/>
        <v>0</v>
      </c>
      <c r="CC677" s="39">
        <f t="shared" si="375"/>
        <v>0</v>
      </c>
      <c r="CD677" s="39">
        <f t="shared" si="376"/>
        <v>0</v>
      </c>
      <c r="CE677" s="47" t="e">
        <f t="shared" si="377"/>
        <v>#DIV/0!</v>
      </c>
      <c r="CF677" s="36"/>
      <c r="CG677" s="39"/>
      <c r="CH677" s="39"/>
      <c r="CI677" s="25">
        <v>3</v>
      </c>
    </row>
    <row r="678" spans="1:87" ht="24.75" customHeight="1">
      <c r="A678" s="36" t="s">
        <v>387</v>
      </c>
      <c r="B678" s="27"/>
      <c r="C678" s="36"/>
      <c r="D678" s="36"/>
      <c r="E678" s="39"/>
      <c r="F678" s="39"/>
      <c r="G678" s="36"/>
      <c r="H678" s="39"/>
      <c r="I678" s="39"/>
      <c r="J678" s="39"/>
      <c r="K678" s="39"/>
      <c r="L678" s="39">
        <f t="shared" si="480"/>
        <v>0</v>
      </c>
      <c r="M678" s="39"/>
      <c r="N678" s="39"/>
      <c r="O678" s="39"/>
      <c r="P678" s="39"/>
      <c r="Q678" s="39"/>
      <c r="R678" s="39">
        <f t="shared" si="481"/>
        <v>0</v>
      </c>
      <c r="S678" s="39"/>
      <c r="T678" s="39"/>
      <c r="U678" s="39"/>
      <c r="V678" s="39"/>
      <c r="W678" s="39"/>
      <c r="X678" s="39"/>
      <c r="Y678" s="39"/>
      <c r="Z678" s="39"/>
      <c r="AA678" s="39"/>
      <c r="AB678" s="39">
        <f t="shared" si="482"/>
        <v>0</v>
      </c>
      <c r="AC678" s="39"/>
      <c r="AD678" s="39"/>
      <c r="AE678" s="39"/>
      <c r="AF678" s="39"/>
      <c r="AG678" s="39"/>
      <c r="AH678" s="39">
        <f t="shared" si="483"/>
        <v>0</v>
      </c>
      <c r="AI678" s="39"/>
      <c r="AJ678" s="39"/>
      <c r="AK678" s="39"/>
      <c r="AL678" s="39"/>
      <c r="AM678" s="39"/>
      <c r="AN678" s="39">
        <f t="shared" si="196"/>
        <v>0</v>
      </c>
      <c r="AO678" s="39"/>
      <c r="AP678" s="39"/>
      <c r="AQ678" s="39"/>
      <c r="AR678" s="39"/>
      <c r="AS678" s="39"/>
      <c r="AT678" s="39">
        <f t="shared" si="367"/>
        <v>0</v>
      </c>
      <c r="AU678" s="39"/>
      <c r="AV678" s="39"/>
      <c r="AW678" s="39"/>
      <c r="AX678" s="39"/>
      <c r="AY678" s="39"/>
      <c r="AZ678" s="39">
        <f t="shared" si="368"/>
        <v>0</v>
      </c>
      <c r="BA678" s="39"/>
      <c r="BB678" s="39"/>
      <c r="BC678" s="39"/>
      <c r="BD678" s="39"/>
      <c r="BE678" s="39"/>
      <c r="BF678" s="39">
        <f t="shared" si="369"/>
        <v>0</v>
      </c>
      <c r="BG678" s="39"/>
      <c r="BH678" s="39"/>
      <c r="BI678" s="39"/>
      <c r="BJ678" s="39"/>
      <c r="BK678" s="39"/>
      <c r="BL678" s="39">
        <f t="shared" si="484"/>
        <v>0</v>
      </c>
      <c r="BM678" s="54" t="e">
        <f t="shared" si="371"/>
        <v>#DIV/0!</v>
      </c>
      <c r="BN678" s="61"/>
      <c r="BO678" s="36"/>
      <c r="BP678" s="36"/>
      <c r="BQ678" s="36"/>
      <c r="BR678" s="39"/>
      <c r="BS678" s="39"/>
      <c r="BT678" s="39"/>
      <c r="BU678" s="39"/>
      <c r="BV678" s="39"/>
      <c r="BW678" s="39"/>
      <c r="BX678" s="39"/>
      <c r="BY678" s="39"/>
      <c r="BZ678" s="39">
        <f t="shared" si="485"/>
        <v>0</v>
      </c>
      <c r="CA678" s="39">
        <f t="shared" si="373"/>
        <v>0</v>
      </c>
      <c r="CB678" s="39">
        <f t="shared" si="374"/>
        <v>0</v>
      </c>
      <c r="CC678" s="39">
        <f t="shared" si="375"/>
        <v>0</v>
      </c>
      <c r="CD678" s="39">
        <f t="shared" si="376"/>
        <v>0</v>
      </c>
      <c r="CE678" s="47" t="e">
        <f t="shared" si="377"/>
        <v>#DIV/0!</v>
      </c>
      <c r="CF678" s="36"/>
      <c r="CG678" s="39"/>
      <c r="CH678" s="39"/>
      <c r="CI678" s="25">
        <v>3</v>
      </c>
    </row>
    <row r="679" spans="1:87" ht="24.75" customHeight="1">
      <c r="A679" s="36" t="s">
        <v>387</v>
      </c>
      <c r="B679" s="27"/>
      <c r="C679" s="36"/>
      <c r="D679" s="36"/>
      <c r="E679" s="39"/>
      <c r="F679" s="39"/>
      <c r="G679" s="36"/>
      <c r="H679" s="39"/>
      <c r="I679" s="39"/>
      <c r="J679" s="39"/>
      <c r="K679" s="39"/>
      <c r="L679" s="39">
        <f t="shared" si="480"/>
        <v>0</v>
      </c>
      <c r="M679" s="39"/>
      <c r="N679" s="39"/>
      <c r="O679" s="39"/>
      <c r="P679" s="39"/>
      <c r="Q679" s="39"/>
      <c r="R679" s="39">
        <f t="shared" si="481"/>
        <v>0</v>
      </c>
      <c r="S679" s="39"/>
      <c r="T679" s="39"/>
      <c r="U679" s="39"/>
      <c r="V679" s="39"/>
      <c r="W679" s="39"/>
      <c r="X679" s="39"/>
      <c r="Y679" s="39"/>
      <c r="Z679" s="39"/>
      <c r="AA679" s="39"/>
      <c r="AB679" s="39">
        <f t="shared" si="482"/>
        <v>0</v>
      </c>
      <c r="AC679" s="39"/>
      <c r="AD679" s="39"/>
      <c r="AE679" s="39"/>
      <c r="AF679" s="39"/>
      <c r="AG679" s="39"/>
      <c r="AH679" s="39">
        <f t="shared" si="483"/>
        <v>0</v>
      </c>
      <c r="AI679" s="39"/>
      <c r="AJ679" s="39"/>
      <c r="AK679" s="39"/>
      <c r="AL679" s="39"/>
      <c r="AM679" s="39"/>
      <c r="AN679" s="39">
        <f t="shared" si="196"/>
        <v>0</v>
      </c>
      <c r="AO679" s="39"/>
      <c r="AP679" s="39"/>
      <c r="AQ679" s="39"/>
      <c r="AR679" s="39"/>
      <c r="AS679" s="39"/>
      <c r="AT679" s="39">
        <f t="shared" si="367"/>
        <v>0</v>
      </c>
      <c r="AU679" s="39"/>
      <c r="AV679" s="39"/>
      <c r="AW679" s="39"/>
      <c r="AX679" s="39"/>
      <c r="AY679" s="39"/>
      <c r="AZ679" s="39">
        <f t="shared" si="368"/>
        <v>0</v>
      </c>
      <c r="BA679" s="39"/>
      <c r="BB679" s="39"/>
      <c r="BC679" s="39"/>
      <c r="BD679" s="39"/>
      <c r="BE679" s="39"/>
      <c r="BF679" s="39">
        <f t="shared" si="369"/>
        <v>0</v>
      </c>
      <c r="BG679" s="39"/>
      <c r="BH679" s="39"/>
      <c r="BI679" s="39"/>
      <c r="BJ679" s="39"/>
      <c r="BK679" s="39"/>
      <c r="BL679" s="39">
        <f t="shared" si="484"/>
        <v>0</v>
      </c>
      <c r="BM679" s="54" t="e">
        <f t="shared" si="371"/>
        <v>#DIV/0!</v>
      </c>
      <c r="BN679" s="61"/>
      <c r="BO679" s="36"/>
      <c r="BP679" s="36"/>
      <c r="BQ679" s="36"/>
      <c r="BR679" s="39"/>
      <c r="BS679" s="39"/>
      <c r="BT679" s="39"/>
      <c r="BU679" s="39"/>
      <c r="BV679" s="39"/>
      <c r="BW679" s="39"/>
      <c r="BX679" s="39"/>
      <c r="BY679" s="39"/>
      <c r="BZ679" s="39">
        <f t="shared" si="485"/>
        <v>0</v>
      </c>
      <c r="CA679" s="39">
        <f t="shared" si="373"/>
        <v>0</v>
      </c>
      <c r="CB679" s="39">
        <f t="shared" si="374"/>
        <v>0</v>
      </c>
      <c r="CC679" s="39">
        <f t="shared" si="375"/>
        <v>0</v>
      </c>
      <c r="CD679" s="39">
        <f t="shared" si="376"/>
        <v>0</v>
      </c>
      <c r="CE679" s="47" t="e">
        <f t="shared" si="377"/>
        <v>#DIV/0!</v>
      </c>
      <c r="CF679" s="36"/>
      <c r="CG679" s="39"/>
      <c r="CH679" s="39"/>
      <c r="CI679" s="25">
        <v>3</v>
      </c>
    </row>
    <row r="680" spans="1:87" ht="24.75" customHeight="1">
      <c r="A680" s="36" t="s">
        <v>387</v>
      </c>
      <c r="B680" s="27"/>
      <c r="C680" s="36"/>
      <c r="D680" s="36"/>
      <c r="E680" s="39"/>
      <c r="F680" s="39"/>
      <c r="G680" s="36"/>
      <c r="H680" s="39"/>
      <c r="I680" s="39"/>
      <c r="J680" s="39"/>
      <c r="K680" s="39"/>
      <c r="L680" s="39">
        <f t="shared" si="480"/>
        <v>0</v>
      </c>
      <c r="M680" s="39"/>
      <c r="N680" s="39"/>
      <c r="O680" s="39"/>
      <c r="P680" s="39"/>
      <c r="Q680" s="39"/>
      <c r="R680" s="39">
        <f t="shared" si="481"/>
        <v>0</v>
      </c>
      <c r="S680" s="39"/>
      <c r="T680" s="39"/>
      <c r="U680" s="39"/>
      <c r="V680" s="39"/>
      <c r="W680" s="39"/>
      <c r="X680" s="39"/>
      <c r="Y680" s="39"/>
      <c r="Z680" s="39"/>
      <c r="AA680" s="39"/>
      <c r="AB680" s="39">
        <f t="shared" si="482"/>
        <v>0</v>
      </c>
      <c r="AC680" s="39"/>
      <c r="AD680" s="39"/>
      <c r="AE680" s="39"/>
      <c r="AF680" s="39"/>
      <c r="AG680" s="39"/>
      <c r="AH680" s="39">
        <f t="shared" si="483"/>
        <v>0</v>
      </c>
      <c r="AI680" s="39"/>
      <c r="AJ680" s="39"/>
      <c r="AK680" s="39"/>
      <c r="AL680" s="39"/>
      <c r="AM680" s="39"/>
      <c r="AN680" s="39">
        <f t="shared" si="196"/>
        <v>0</v>
      </c>
      <c r="AO680" s="39"/>
      <c r="AP680" s="39"/>
      <c r="AQ680" s="39"/>
      <c r="AR680" s="39"/>
      <c r="AS680" s="39"/>
      <c r="AT680" s="39">
        <f t="shared" si="367"/>
        <v>0</v>
      </c>
      <c r="AU680" s="39"/>
      <c r="AV680" s="39"/>
      <c r="AW680" s="39"/>
      <c r="AX680" s="39"/>
      <c r="AY680" s="39"/>
      <c r="AZ680" s="39">
        <f t="shared" si="368"/>
        <v>0</v>
      </c>
      <c r="BA680" s="39"/>
      <c r="BB680" s="39"/>
      <c r="BC680" s="39"/>
      <c r="BD680" s="39"/>
      <c r="BE680" s="39"/>
      <c r="BF680" s="39">
        <f t="shared" si="369"/>
        <v>0</v>
      </c>
      <c r="BG680" s="39"/>
      <c r="BH680" s="39"/>
      <c r="BI680" s="39"/>
      <c r="BJ680" s="39"/>
      <c r="BK680" s="39"/>
      <c r="BL680" s="39">
        <f t="shared" si="484"/>
        <v>0</v>
      </c>
      <c r="BM680" s="54" t="e">
        <f t="shared" si="371"/>
        <v>#DIV/0!</v>
      </c>
      <c r="BN680" s="61"/>
      <c r="BO680" s="36"/>
      <c r="BP680" s="36"/>
      <c r="BQ680" s="36"/>
      <c r="BR680" s="39"/>
      <c r="BS680" s="39"/>
      <c r="BT680" s="39"/>
      <c r="BU680" s="39"/>
      <c r="BV680" s="39"/>
      <c r="BW680" s="39"/>
      <c r="BX680" s="39"/>
      <c r="BY680" s="39"/>
      <c r="BZ680" s="39">
        <f t="shared" si="485"/>
        <v>0</v>
      </c>
      <c r="CA680" s="39">
        <f t="shared" si="373"/>
        <v>0</v>
      </c>
      <c r="CB680" s="39">
        <f t="shared" si="374"/>
        <v>0</v>
      </c>
      <c r="CC680" s="39">
        <f t="shared" si="375"/>
        <v>0</v>
      </c>
      <c r="CD680" s="39">
        <f t="shared" si="376"/>
        <v>0</v>
      </c>
      <c r="CE680" s="47" t="e">
        <f t="shared" si="377"/>
        <v>#DIV/0!</v>
      </c>
      <c r="CF680" s="36"/>
      <c r="CG680" s="39"/>
      <c r="CH680" s="39"/>
      <c r="CI680" s="25">
        <v>3</v>
      </c>
    </row>
    <row r="681" spans="1:87" ht="24.75" customHeight="1">
      <c r="A681" s="36" t="s">
        <v>387</v>
      </c>
      <c r="B681" s="27"/>
      <c r="C681" s="36"/>
      <c r="D681" s="36"/>
      <c r="E681" s="39"/>
      <c r="F681" s="39"/>
      <c r="G681" s="36"/>
      <c r="H681" s="39"/>
      <c r="I681" s="39"/>
      <c r="J681" s="39"/>
      <c r="K681" s="39"/>
      <c r="L681" s="39">
        <f t="shared" si="480"/>
        <v>0</v>
      </c>
      <c r="M681" s="39"/>
      <c r="N681" s="39"/>
      <c r="O681" s="39"/>
      <c r="P681" s="39"/>
      <c r="Q681" s="39"/>
      <c r="R681" s="39">
        <f t="shared" si="481"/>
        <v>0</v>
      </c>
      <c r="S681" s="39"/>
      <c r="T681" s="39"/>
      <c r="U681" s="39"/>
      <c r="V681" s="39"/>
      <c r="W681" s="39"/>
      <c r="X681" s="39"/>
      <c r="Y681" s="39"/>
      <c r="Z681" s="39"/>
      <c r="AA681" s="39"/>
      <c r="AB681" s="39">
        <f t="shared" si="482"/>
        <v>0</v>
      </c>
      <c r="AC681" s="39"/>
      <c r="AD681" s="39"/>
      <c r="AE681" s="39"/>
      <c r="AF681" s="39"/>
      <c r="AG681" s="39"/>
      <c r="AH681" s="39">
        <f t="shared" si="483"/>
        <v>0</v>
      </c>
      <c r="AI681" s="39"/>
      <c r="AJ681" s="39"/>
      <c r="AK681" s="39"/>
      <c r="AL681" s="39"/>
      <c r="AM681" s="39"/>
      <c r="AN681" s="39">
        <f t="shared" si="196"/>
        <v>0</v>
      </c>
      <c r="AO681" s="39"/>
      <c r="AP681" s="39"/>
      <c r="AQ681" s="39"/>
      <c r="AR681" s="39"/>
      <c r="AS681" s="39"/>
      <c r="AT681" s="39">
        <f t="shared" si="367"/>
        <v>0</v>
      </c>
      <c r="AU681" s="39"/>
      <c r="AV681" s="39"/>
      <c r="AW681" s="39"/>
      <c r="AX681" s="39"/>
      <c r="AY681" s="39"/>
      <c r="AZ681" s="39">
        <f t="shared" si="368"/>
        <v>0</v>
      </c>
      <c r="BA681" s="39"/>
      <c r="BB681" s="39"/>
      <c r="BC681" s="39"/>
      <c r="BD681" s="39"/>
      <c r="BE681" s="39"/>
      <c r="BF681" s="39">
        <f t="shared" si="369"/>
        <v>0</v>
      </c>
      <c r="BG681" s="39"/>
      <c r="BH681" s="39"/>
      <c r="BI681" s="39"/>
      <c r="BJ681" s="39"/>
      <c r="BK681" s="39"/>
      <c r="BL681" s="39">
        <f t="shared" si="484"/>
        <v>0</v>
      </c>
      <c r="BM681" s="54" t="e">
        <f t="shared" si="371"/>
        <v>#DIV/0!</v>
      </c>
      <c r="BN681" s="61"/>
      <c r="BO681" s="36"/>
      <c r="BP681" s="36"/>
      <c r="BQ681" s="36"/>
      <c r="BR681" s="39"/>
      <c r="BS681" s="39"/>
      <c r="BT681" s="39"/>
      <c r="BU681" s="39"/>
      <c r="BV681" s="39"/>
      <c r="BW681" s="39"/>
      <c r="BX681" s="39"/>
      <c r="BY681" s="39"/>
      <c r="BZ681" s="39">
        <f t="shared" si="485"/>
        <v>0</v>
      </c>
      <c r="CA681" s="39">
        <f t="shared" si="373"/>
        <v>0</v>
      </c>
      <c r="CB681" s="39">
        <f t="shared" si="374"/>
        <v>0</v>
      </c>
      <c r="CC681" s="39">
        <f t="shared" si="375"/>
        <v>0</v>
      </c>
      <c r="CD681" s="39">
        <f t="shared" si="376"/>
        <v>0</v>
      </c>
      <c r="CE681" s="47" t="e">
        <f t="shared" si="377"/>
        <v>#DIV/0!</v>
      </c>
      <c r="CF681" s="36"/>
      <c r="CG681" s="39"/>
      <c r="CH681" s="39"/>
      <c r="CI681" s="25">
        <v>3</v>
      </c>
    </row>
    <row r="682" spans="1:87" ht="24.75" customHeight="1">
      <c r="A682" s="36" t="s">
        <v>388</v>
      </c>
      <c r="B682" s="27" t="s">
        <v>2175</v>
      </c>
      <c r="C682" s="235">
        <v>15323159</v>
      </c>
      <c r="D682" s="36"/>
      <c r="E682" s="39">
        <v>230</v>
      </c>
      <c r="F682" s="39" t="s">
        <v>53</v>
      </c>
      <c r="G682" s="36" t="s">
        <v>306</v>
      </c>
      <c r="H682" s="36" t="s">
        <v>96</v>
      </c>
      <c r="I682" s="39">
        <v>737</v>
      </c>
      <c r="J682" s="39"/>
      <c r="K682" s="39"/>
      <c r="L682" s="39">
        <f t="shared" si="480"/>
        <v>737</v>
      </c>
      <c r="M682" s="117">
        <v>46249</v>
      </c>
      <c r="N682" s="117">
        <v>46258</v>
      </c>
      <c r="O682" s="39"/>
      <c r="P682" s="39"/>
      <c r="Q682" s="39"/>
      <c r="R682" s="39">
        <f t="shared" si="481"/>
        <v>0</v>
      </c>
      <c r="S682" s="39" t="s">
        <v>100</v>
      </c>
      <c r="T682" s="39"/>
      <c r="U682" s="39"/>
      <c r="V682" s="117">
        <v>46256</v>
      </c>
      <c r="W682" s="39">
        <v>826</v>
      </c>
      <c r="X682" s="117">
        <v>46273</v>
      </c>
      <c r="Y682" s="39">
        <f>709</f>
        <v>709</v>
      </c>
      <c r="Z682" s="39"/>
      <c r="AA682" s="39"/>
      <c r="AB682" s="120">
        <f t="shared" si="482"/>
        <v>709</v>
      </c>
      <c r="AC682" s="39"/>
      <c r="AD682" s="39"/>
      <c r="AE682" s="39"/>
      <c r="AF682" s="39"/>
      <c r="AG682" s="39"/>
      <c r="AH682" s="39">
        <f t="shared" si="483"/>
        <v>0</v>
      </c>
      <c r="AI682" s="39"/>
      <c r="AJ682" s="39"/>
      <c r="AK682" s="39"/>
      <c r="AL682" s="39"/>
      <c r="AM682" s="39"/>
      <c r="AN682" s="39">
        <f t="shared" si="196"/>
        <v>0</v>
      </c>
      <c r="AO682" s="39"/>
      <c r="AP682" s="39"/>
      <c r="AQ682" s="39"/>
      <c r="AR682" s="39"/>
      <c r="AS682" s="39"/>
      <c r="AT682" s="39">
        <f t="shared" si="367"/>
        <v>0</v>
      </c>
      <c r="AU682" s="39"/>
      <c r="AV682" s="39"/>
      <c r="AW682" s="39"/>
      <c r="AX682" s="39"/>
      <c r="AY682" s="39"/>
      <c r="AZ682" s="39">
        <f t="shared" si="368"/>
        <v>0</v>
      </c>
      <c r="BA682" s="39"/>
      <c r="BB682" s="39"/>
      <c r="BC682" s="39"/>
      <c r="BD682" s="39"/>
      <c r="BE682" s="39"/>
      <c r="BF682" s="39">
        <f t="shared" si="369"/>
        <v>0</v>
      </c>
      <c r="BG682" s="39"/>
      <c r="BH682" s="39"/>
      <c r="BI682" s="39"/>
      <c r="BJ682" s="39"/>
      <c r="BK682" s="39"/>
      <c r="BL682" s="39">
        <f t="shared" si="484"/>
        <v>0</v>
      </c>
      <c r="BM682" s="54" t="str">
        <f t="shared" si="371"/>
        <v/>
      </c>
      <c r="BN682" s="58">
        <v>46266</v>
      </c>
      <c r="BO682" s="57">
        <v>46277</v>
      </c>
      <c r="BP682" s="36"/>
      <c r="BQ682" s="36"/>
      <c r="BR682" s="57">
        <v>46272</v>
      </c>
      <c r="BS682" s="39"/>
      <c r="BT682" s="39">
        <v>853</v>
      </c>
      <c r="BU682" s="39">
        <f>709</f>
        <v>709</v>
      </c>
      <c r="BV682" s="39"/>
      <c r="BW682" s="39"/>
      <c r="BX682" s="39"/>
      <c r="BY682" s="39"/>
      <c r="BZ682" s="39">
        <f t="shared" si="485"/>
        <v>709</v>
      </c>
      <c r="CA682" s="39">
        <f t="shared" si="373"/>
        <v>-28</v>
      </c>
      <c r="CB682" s="39">
        <f t="shared" si="374"/>
        <v>0</v>
      </c>
      <c r="CC682" s="39">
        <f t="shared" si="375"/>
        <v>0</v>
      </c>
      <c r="CD682" s="39">
        <f t="shared" si="376"/>
        <v>-28</v>
      </c>
      <c r="CE682" s="102">
        <f t="shared" si="377"/>
        <v>-3.7991858887381276E-2</v>
      </c>
      <c r="CF682" s="36" t="s">
        <v>252</v>
      </c>
      <c r="CG682" s="39" t="s">
        <v>223</v>
      </c>
      <c r="CH682" s="39"/>
      <c r="CI682" s="25">
        <v>1</v>
      </c>
    </row>
    <row r="683" spans="1:87" ht="24.75" customHeight="1">
      <c r="A683" s="36" t="s">
        <v>388</v>
      </c>
      <c r="B683" s="27" t="s">
        <v>2175</v>
      </c>
      <c r="C683" s="236"/>
      <c r="D683" s="36"/>
      <c r="E683" s="39">
        <v>230</v>
      </c>
      <c r="F683" s="39" t="s">
        <v>53</v>
      </c>
      <c r="G683" s="36" t="s">
        <v>23</v>
      </c>
      <c r="H683" s="36" t="s">
        <v>96</v>
      </c>
      <c r="I683" s="39">
        <v>1156</v>
      </c>
      <c r="J683" s="39"/>
      <c r="K683" s="39"/>
      <c r="L683" s="39">
        <f t="shared" si="480"/>
        <v>1156</v>
      </c>
      <c r="M683" s="117">
        <v>46249</v>
      </c>
      <c r="N683" s="117">
        <v>46258</v>
      </c>
      <c r="O683" s="39"/>
      <c r="P683" s="39"/>
      <c r="Q683" s="39"/>
      <c r="R683" s="39">
        <f t="shared" si="481"/>
        <v>0</v>
      </c>
      <c r="S683" s="39" t="s">
        <v>100</v>
      </c>
      <c r="T683" s="39"/>
      <c r="U683" s="39"/>
      <c r="V683" s="117">
        <v>46256</v>
      </c>
      <c r="W683" s="39">
        <v>1262</v>
      </c>
      <c r="X683" s="117" t="s">
        <v>2796</v>
      </c>
      <c r="Y683" s="39">
        <f>397+749</f>
        <v>1146</v>
      </c>
      <c r="Z683" s="39"/>
      <c r="AA683" s="39"/>
      <c r="AB683" s="119">
        <f t="shared" si="482"/>
        <v>1146</v>
      </c>
      <c r="AC683" s="39"/>
      <c r="AD683" s="39"/>
      <c r="AE683" s="39"/>
      <c r="AF683" s="39"/>
      <c r="AG683" s="39"/>
      <c r="AH683" s="39">
        <f t="shared" si="483"/>
        <v>0</v>
      </c>
      <c r="AI683" s="39"/>
      <c r="AJ683" s="39"/>
      <c r="AK683" s="39"/>
      <c r="AL683" s="39"/>
      <c r="AM683" s="39"/>
      <c r="AN683" s="39">
        <f t="shared" si="196"/>
        <v>0</v>
      </c>
      <c r="AO683" s="39"/>
      <c r="AP683" s="39"/>
      <c r="AQ683" s="39"/>
      <c r="AR683" s="39"/>
      <c r="AS683" s="39"/>
      <c r="AT683" s="39">
        <f t="shared" si="367"/>
        <v>0</v>
      </c>
      <c r="AU683" s="39"/>
      <c r="AV683" s="39"/>
      <c r="AW683" s="39"/>
      <c r="AX683" s="39"/>
      <c r="AY683" s="39"/>
      <c r="AZ683" s="39">
        <f t="shared" si="368"/>
        <v>0</v>
      </c>
      <c r="BA683" s="39"/>
      <c r="BB683" s="39"/>
      <c r="BC683" s="39"/>
      <c r="BD683" s="39"/>
      <c r="BE683" s="39"/>
      <c r="BF683" s="39">
        <f t="shared" si="369"/>
        <v>0</v>
      </c>
      <c r="BG683" s="39"/>
      <c r="BH683" s="39"/>
      <c r="BI683" s="39"/>
      <c r="BJ683" s="39"/>
      <c r="BK683" s="39"/>
      <c r="BL683" s="39">
        <f t="shared" si="484"/>
        <v>0</v>
      </c>
      <c r="BM683" s="54" t="str">
        <f t="shared" si="371"/>
        <v/>
      </c>
      <c r="BN683" s="58">
        <v>46266</v>
      </c>
      <c r="BO683" s="57">
        <v>46277</v>
      </c>
      <c r="BP683" s="36"/>
      <c r="BQ683" s="36"/>
      <c r="BR683" s="117">
        <v>46268</v>
      </c>
      <c r="BS683" s="117">
        <v>46270</v>
      </c>
      <c r="BT683" s="39" t="s">
        <v>2811</v>
      </c>
      <c r="BU683" s="39">
        <f>397+749</f>
        <v>1146</v>
      </c>
      <c r="BV683" s="39"/>
      <c r="BW683" s="39"/>
      <c r="BX683" s="39"/>
      <c r="BY683" s="39"/>
      <c r="BZ683" s="39">
        <f t="shared" si="485"/>
        <v>1146</v>
      </c>
      <c r="CA683" s="39">
        <f t="shared" si="373"/>
        <v>-10</v>
      </c>
      <c r="CB683" s="39">
        <f t="shared" si="374"/>
        <v>0</v>
      </c>
      <c r="CC683" s="39">
        <f t="shared" si="375"/>
        <v>0</v>
      </c>
      <c r="CD683" s="39">
        <v>0</v>
      </c>
      <c r="CE683" s="102">
        <f t="shared" si="377"/>
        <v>0</v>
      </c>
      <c r="CF683" s="36" t="s">
        <v>252</v>
      </c>
      <c r="CG683" s="39" t="s">
        <v>223</v>
      </c>
      <c r="CH683" s="39"/>
      <c r="CI683" s="25">
        <v>1</v>
      </c>
    </row>
    <row r="684" spans="1:87" ht="24.75" customHeight="1">
      <c r="A684" s="36" t="s">
        <v>388</v>
      </c>
      <c r="B684" s="27">
        <v>48631</v>
      </c>
      <c r="C684" s="235">
        <v>15392772</v>
      </c>
      <c r="D684" s="36"/>
      <c r="E684" s="39">
        <v>140</v>
      </c>
      <c r="F684" s="39" t="s">
        <v>54</v>
      </c>
      <c r="G684" s="36" t="s">
        <v>946</v>
      </c>
      <c r="H684" s="36" t="s">
        <v>22</v>
      </c>
      <c r="I684" s="39">
        <v>443</v>
      </c>
      <c r="J684" s="39">
        <v>25</v>
      </c>
      <c r="K684" s="39"/>
      <c r="L684" s="39">
        <f t="shared" si="480"/>
        <v>468</v>
      </c>
      <c r="M684" s="117">
        <v>46260</v>
      </c>
      <c r="N684" s="117">
        <v>46267</v>
      </c>
      <c r="O684" s="39"/>
      <c r="P684" s="39"/>
      <c r="Q684" s="39"/>
      <c r="R684" s="39">
        <f t="shared" si="481"/>
        <v>0</v>
      </c>
      <c r="S684" s="39" t="s">
        <v>31</v>
      </c>
      <c r="T684" s="39"/>
      <c r="U684" s="39"/>
      <c r="V684" s="117">
        <v>46267</v>
      </c>
      <c r="W684" s="39">
        <f>507+30</f>
        <v>537</v>
      </c>
      <c r="X684" s="39"/>
      <c r="Y684" s="39"/>
      <c r="Z684" s="39"/>
      <c r="AA684" s="39"/>
      <c r="AB684" s="118">
        <f t="shared" si="482"/>
        <v>0</v>
      </c>
      <c r="AC684" s="39"/>
      <c r="AD684" s="39"/>
      <c r="AE684" s="39"/>
      <c r="AF684" s="39"/>
      <c r="AG684" s="39"/>
      <c r="AH684" s="39">
        <f t="shared" si="483"/>
        <v>0</v>
      </c>
      <c r="AI684" s="39"/>
      <c r="AJ684" s="39"/>
      <c r="AK684" s="39"/>
      <c r="AL684" s="39"/>
      <c r="AM684" s="39"/>
      <c r="AN684" s="39">
        <f t="shared" si="196"/>
        <v>0</v>
      </c>
      <c r="AO684" s="39"/>
      <c r="AP684" s="39"/>
      <c r="AQ684" s="39"/>
      <c r="AR684" s="39"/>
      <c r="AS684" s="39"/>
      <c r="AT684" s="39">
        <f t="shared" si="367"/>
        <v>0</v>
      </c>
      <c r="AU684" s="39"/>
      <c r="AV684" s="39"/>
      <c r="AW684" s="39"/>
      <c r="AX684" s="39"/>
      <c r="AY684" s="39"/>
      <c r="AZ684" s="39">
        <f t="shared" si="368"/>
        <v>0</v>
      </c>
      <c r="BA684" s="39"/>
      <c r="BB684" s="39"/>
      <c r="BC684" s="39"/>
      <c r="BD684" s="39"/>
      <c r="BE684" s="39"/>
      <c r="BF684" s="39">
        <f t="shared" si="369"/>
        <v>0</v>
      </c>
      <c r="BG684" s="39"/>
      <c r="BH684" s="39"/>
      <c r="BI684" s="39"/>
      <c r="BJ684" s="39"/>
      <c r="BK684" s="39"/>
      <c r="BL684" s="39">
        <f t="shared" si="484"/>
        <v>0</v>
      </c>
      <c r="BM684" s="54">
        <f t="shared" ca="1" si="371"/>
        <v>46283</v>
      </c>
      <c r="BN684" s="58">
        <v>46270</v>
      </c>
      <c r="BO684" s="57">
        <v>46283</v>
      </c>
      <c r="BP684" s="36"/>
      <c r="BQ684" s="36"/>
      <c r="BR684" s="39"/>
      <c r="BS684" s="39"/>
      <c r="BT684" s="39"/>
      <c r="BU684" s="39"/>
      <c r="BV684" s="39"/>
      <c r="BW684" s="39"/>
      <c r="BX684" s="39"/>
      <c r="BY684" s="39"/>
      <c r="BZ684" s="39">
        <f t="shared" si="485"/>
        <v>0</v>
      </c>
      <c r="CA684" s="39">
        <f t="shared" si="373"/>
        <v>-443</v>
      </c>
      <c r="CB684" s="39">
        <f t="shared" si="374"/>
        <v>-25</v>
      </c>
      <c r="CC684" s="39">
        <f t="shared" si="375"/>
        <v>0</v>
      </c>
      <c r="CD684" s="39">
        <f t="shared" si="376"/>
        <v>-468</v>
      </c>
      <c r="CE684" s="102">
        <f t="shared" si="377"/>
        <v>-1</v>
      </c>
      <c r="CF684" s="36" t="s">
        <v>295</v>
      </c>
      <c r="CG684" s="39" t="s">
        <v>224</v>
      </c>
      <c r="CH684" s="39"/>
      <c r="CI684" s="25">
        <v>1</v>
      </c>
    </row>
    <row r="685" spans="1:87" ht="24.75" customHeight="1">
      <c r="A685" s="36" t="s">
        <v>388</v>
      </c>
      <c r="B685" s="27">
        <v>48631</v>
      </c>
      <c r="C685" s="236"/>
      <c r="D685" s="36"/>
      <c r="E685" s="39">
        <v>140</v>
      </c>
      <c r="F685" s="39" t="s">
        <v>54</v>
      </c>
      <c r="G685" s="36" t="s">
        <v>547</v>
      </c>
      <c r="H685" s="36" t="s">
        <v>22</v>
      </c>
      <c r="I685" s="39">
        <v>505</v>
      </c>
      <c r="J685" s="39">
        <v>30</v>
      </c>
      <c r="K685" s="39"/>
      <c r="L685" s="39">
        <f t="shared" si="480"/>
        <v>535</v>
      </c>
      <c r="M685" s="117">
        <v>46260</v>
      </c>
      <c r="N685" s="117">
        <v>46267</v>
      </c>
      <c r="O685" s="39"/>
      <c r="P685" s="39"/>
      <c r="Q685" s="39"/>
      <c r="R685" s="39">
        <f t="shared" si="481"/>
        <v>0</v>
      </c>
      <c r="S685" s="39" t="s">
        <v>31</v>
      </c>
      <c r="T685" s="39"/>
      <c r="U685" s="39"/>
      <c r="V685" s="117">
        <v>46262</v>
      </c>
      <c r="W685" s="39">
        <f>578+35</f>
        <v>613</v>
      </c>
      <c r="X685" s="39"/>
      <c r="Y685" s="39"/>
      <c r="Z685" s="39"/>
      <c r="AA685" s="39"/>
      <c r="AB685" s="118">
        <f t="shared" si="482"/>
        <v>0</v>
      </c>
      <c r="AC685" s="39"/>
      <c r="AD685" s="39"/>
      <c r="AE685" s="39"/>
      <c r="AF685" s="39"/>
      <c r="AG685" s="39"/>
      <c r="AH685" s="39">
        <f t="shared" si="483"/>
        <v>0</v>
      </c>
      <c r="AI685" s="39"/>
      <c r="AJ685" s="39"/>
      <c r="AK685" s="39"/>
      <c r="AL685" s="39"/>
      <c r="AM685" s="39"/>
      <c r="AN685" s="39">
        <f t="shared" si="196"/>
        <v>0</v>
      </c>
      <c r="AO685" s="39"/>
      <c r="AP685" s="39"/>
      <c r="AQ685" s="39"/>
      <c r="AR685" s="39"/>
      <c r="AS685" s="39"/>
      <c r="AT685" s="39">
        <f t="shared" si="367"/>
        <v>0</v>
      </c>
      <c r="AU685" s="39"/>
      <c r="AV685" s="39"/>
      <c r="AW685" s="39"/>
      <c r="AX685" s="39"/>
      <c r="AY685" s="39"/>
      <c r="AZ685" s="39">
        <f t="shared" si="368"/>
        <v>0</v>
      </c>
      <c r="BA685" s="39"/>
      <c r="BB685" s="39"/>
      <c r="BC685" s="39"/>
      <c r="BD685" s="39"/>
      <c r="BE685" s="39"/>
      <c r="BF685" s="39">
        <f t="shared" si="369"/>
        <v>0</v>
      </c>
      <c r="BG685" s="39"/>
      <c r="BH685" s="39"/>
      <c r="BI685" s="39"/>
      <c r="BJ685" s="39"/>
      <c r="BK685" s="39"/>
      <c r="BL685" s="39">
        <f t="shared" si="484"/>
        <v>0</v>
      </c>
      <c r="BM685" s="54">
        <f t="shared" ca="1" si="371"/>
        <v>46283</v>
      </c>
      <c r="BN685" s="58">
        <v>46270</v>
      </c>
      <c r="BO685" s="57">
        <v>46283</v>
      </c>
      <c r="BP685" s="36"/>
      <c r="BQ685" s="36"/>
      <c r="BR685" s="39"/>
      <c r="BS685" s="39"/>
      <c r="BT685" s="39"/>
      <c r="BU685" s="39"/>
      <c r="BV685" s="39"/>
      <c r="BW685" s="39"/>
      <c r="BX685" s="39"/>
      <c r="BY685" s="39"/>
      <c r="BZ685" s="39">
        <f t="shared" si="485"/>
        <v>0</v>
      </c>
      <c r="CA685" s="39">
        <f t="shared" si="373"/>
        <v>-505</v>
      </c>
      <c r="CB685" s="39">
        <f t="shared" si="374"/>
        <v>-30</v>
      </c>
      <c r="CC685" s="39">
        <f t="shared" si="375"/>
        <v>0</v>
      </c>
      <c r="CD685" s="39">
        <f t="shared" si="376"/>
        <v>-535</v>
      </c>
      <c r="CE685" s="102">
        <f t="shared" si="377"/>
        <v>-1</v>
      </c>
      <c r="CF685" s="36" t="s">
        <v>295</v>
      </c>
      <c r="CG685" s="39" t="s">
        <v>224</v>
      </c>
      <c r="CH685" s="39"/>
      <c r="CI685" s="25">
        <v>1</v>
      </c>
    </row>
    <row r="686" spans="1:87" ht="24.75" customHeight="1">
      <c r="A686" s="36" t="s">
        <v>388</v>
      </c>
      <c r="B686" s="27" t="s">
        <v>2344</v>
      </c>
      <c r="C686" s="41">
        <v>15379280</v>
      </c>
      <c r="D686" s="36"/>
      <c r="E686" s="39">
        <v>140</v>
      </c>
      <c r="F686" s="39" t="s">
        <v>55</v>
      </c>
      <c r="G686" s="36" t="s">
        <v>47</v>
      </c>
      <c r="H686" s="36" t="s">
        <v>22</v>
      </c>
      <c r="I686" s="39">
        <v>665</v>
      </c>
      <c r="J686" s="39">
        <v>40</v>
      </c>
      <c r="K686" s="39"/>
      <c r="L686" s="39">
        <f t="shared" si="480"/>
        <v>705</v>
      </c>
      <c r="M686" s="117">
        <v>46259</v>
      </c>
      <c r="N686" s="117">
        <v>46265</v>
      </c>
      <c r="O686" s="39"/>
      <c r="P686" s="39"/>
      <c r="Q686" s="39"/>
      <c r="R686" s="39">
        <f t="shared" si="481"/>
        <v>0</v>
      </c>
      <c r="S686" s="39" t="s">
        <v>130</v>
      </c>
      <c r="T686" s="39">
        <v>109030</v>
      </c>
      <c r="U686" s="117">
        <v>46265</v>
      </c>
      <c r="V686" s="39"/>
      <c r="W686" s="39"/>
      <c r="X686" s="39"/>
      <c r="Y686" s="39">
        <v>761</v>
      </c>
      <c r="Z686" s="39">
        <v>50</v>
      </c>
      <c r="AA686" s="39"/>
      <c r="AB686" s="119">
        <f t="shared" si="482"/>
        <v>811</v>
      </c>
      <c r="AC686" s="39"/>
      <c r="AD686" s="39"/>
      <c r="AE686" s="39"/>
      <c r="AF686" s="39"/>
      <c r="AG686" s="39"/>
      <c r="AH686" s="39">
        <f t="shared" si="483"/>
        <v>0</v>
      </c>
      <c r="AI686" s="39"/>
      <c r="AJ686" s="39"/>
      <c r="AK686" s="39"/>
      <c r="AL686" s="39"/>
      <c r="AM686" s="39"/>
      <c r="AN686" s="39">
        <f t="shared" si="196"/>
        <v>0</v>
      </c>
      <c r="AO686" s="39"/>
      <c r="AP686" s="39"/>
      <c r="AQ686" s="39"/>
      <c r="AR686" s="39"/>
      <c r="AS686" s="39"/>
      <c r="AT686" s="39">
        <f t="shared" si="367"/>
        <v>0</v>
      </c>
      <c r="AU686" s="39"/>
      <c r="AV686" s="39"/>
      <c r="AW686" s="39"/>
      <c r="AX686" s="39"/>
      <c r="AY686" s="39"/>
      <c r="AZ686" s="39">
        <f t="shared" si="368"/>
        <v>0</v>
      </c>
      <c r="BA686" s="39"/>
      <c r="BB686" s="39"/>
      <c r="BC686" s="39"/>
      <c r="BD686" s="39"/>
      <c r="BE686" s="39"/>
      <c r="BF686" s="39">
        <f t="shared" si="369"/>
        <v>0</v>
      </c>
      <c r="BG686" s="39"/>
      <c r="BH686" s="39"/>
      <c r="BI686" s="39"/>
      <c r="BJ686" s="39"/>
      <c r="BK686" s="39"/>
      <c r="BL686" s="39">
        <f t="shared" si="484"/>
        <v>0</v>
      </c>
      <c r="BM686" s="54" t="str">
        <f t="shared" si="371"/>
        <v/>
      </c>
      <c r="BN686" s="58">
        <v>46270</v>
      </c>
      <c r="BO686" s="57">
        <v>46281</v>
      </c>
      <c r="BP686" s="36"/>
      <c r="BQ686" s="36"/>
      <c r="BR686" s="117">
        <v>46269</v>
      </c>
      <c r="BS686" s="117">
        <v>46269</v>
      </c>
      <c r="BT686" s="39">
        <v>748</v>
      </c>
      <c r="BU686" s="39">
        <v>679</v>
      </c>
      <c r="BV686" s="39">
        <v>748</v>
      </c>
      <c r="BW686" s="39">
        <v>44</v>
      </c>
      <c r="BX686" s="39"/>
      <c r="BY686" s="39"/>
      <c r="BZ686" s="39">
        <f t="shared" si="485"/>
        <v>723</v>
      </c>
      <c r="CA686" s="39">
        <f t="shared" si="373"/>
        <v>14</v>
      </c>
      <c r="CB686" s="39">
        <f t="shared" si="374"/>
        <v>4</v>
      </c>
      <c r="CC686" s="39">
        <f t="shared" si="375"/>
        <v>0</v>
      </c>
      <c r="CD686" s="39">
        <f t="shared" si="376"/>
        <v>0</v>
      </c>
      <c r="CE686" s="102">
        <f t="shared" si="377"/>
        <v>0</v>
      </c>
      <c r="CF686" s="36" t="s">
        <v>295</v>
      </c>
      <c r="CG686" s="39" t="s">
        <v>224</v>
      </c>
      <c r="CH686" s="39"/>
      <c r="CI686" s="25">
        <v>1</v>
      </c>
    </row>
    <row r="687" spans="1:87" ht="24.75" customHeight="1">
      <c r="A687" s="36" t="s">
        <v>388</v>
      </c>
      <c r="B687" s="27" t="s">
        <v>2345</v>
      </c>
      <c r="C687" s="235">
        <v>15315774</v>
      </c>
      <c r="D687" s="36"/>
      <c r="E687" s="39">
        <v>260</v>
      </c>
      <c r="F687" s="39" t="s">
        <v>58</v>
      </c>
      <c r="G687" s="36" t="s">
        <v>1312</v>
      </c>
      <c r="H687" s="36" t="s">
        <v>355</v>
      </c>
      <c r="I687" s="39">
        <v>350</v>
      </c>
      <c r="J687" s="39">
        <v>101</v>
      </c>
      <c r="K687" s="39"/>
      <c r="L687" s="39">
        <f t="shared" si="480"/>
        <v>451</v>
      </c>
      <c r="M687" s="117">
        <v>46260</v>
      </c>
      <c r="N687" s="117">
        <v>46265</v>
      </c>
      <c r="O687" s="39"/>
      <c r="P687" s="39"/>
      <c r="Q687" s="39"/>
      <c r="R687" s="39">
        <f t="shared" si="481"/>
        <v>0</v>
      </c>
      <c r="S687" s="39" t="s">
        <v>100</v>
      </c>
      <c r="T687" s="39"/>
      <c r="U687" s="39"/>
      <c r="V687" s="117">
        <v>46263</v>
      </c>
      <c r="W687" s="39">
        <f>380+121</f>
        <v>501</v>
      </c>
      <c r="X687" s="39"/>
      <c r="Y687" s="39"/>
      <c r="Z687" s="39"/>
      <c r="AA687" s="39"/>
      <c r="AB687" s="118">
        <f t="shared" si="482"/>
        <v>0</v>
      </c>
      <c r="AC687" s="39"/>
      <c r="AD687" s="39"/>
      <c r="AE687" s="39"/>
      <c r="AF687" s="39"/>
      <c r="AG687" s="39"/>
      <c r="AH687" s="39">
        <f t="shared" si="483"/>
        <v>0</v>
      </c>
      <c r="AI687" s="39"/>
      <c r="AJ687" s="39"/>
      <c r="AK687" s="39"/>
      <c r="AL687" s="39"/>
      <c r="AM687" s="39"/>
      <c r="AN687" s="39">
        <f t="shared" si="196"/>
        <v>0</v>
      </c>
      <c r="AO687" s="39"/>
      <c r="AP687" s="39"/>
      <c r="AQ687" s="39"/>
      <c r="AR687" s="39"/>
      <c r="AS687" s="39"/>
      <c r="AT687" s="39">
        <f t="shared" si="367"/>
        <v>0</v>
      </c>
      <c r="AU687" s="39"/>
      <c r="AV687" s="39"/>
      <c r="AW687" s="39"/>
      <c r="AX687" s="39"/>
      <c r="AY687" s="39"/>
      <c r="AZ687" s="39">
        <f t="shared" si="368"/>
        <v>0</v>
      </c>
      <c r="BA687" s="39"/>
      <c r="BB687" s="39"/>
      <c r="BC687" s="39"/>
      <c r="BD687" s="39"/>
      <c r="BE687" s="39"/>
      <c r="BF687" s="39">
        <f t="shared" si="369"/>
        <v>0</v>
      </c>
      <c r="BG687" s="39"/>
      <c r="BH687" s="39"/>
      <c r="BI687" s="39"/>
      <c r="BJ687" s="39"/>
      <c r="BK687" s="39"/>
      <c r="BL687" s="39">
        <f t="shared" si="484"/>
        <v>0</v>
      </c>
      <c r="BM687" s="54">
        <f t="shared" ca="1" si="371"/>
        <v>46283</v>
      </c>
      <c r="BN687" s="58">
        <v>46270</v>
      </c>
      <c r="BO687" s="57">
        <v>46282</v>
      </c>
      <c r="BP687" s="36"/>
      <c r="BQ687" s="36"/>
      <c r="BR687" s="39"/>
      <c r="BS687" s="39"/>
      <c r="BT687" s="39"/>
      <c r="BU687" s="39"/>
      <c r="BV687" s="39"/>
      <c r="BW687" s="39"/>
      <c r="BX687" s="39"/>
      <c r="BY687" s="39"/>
      <c r="BZ687" s="39">
        <f t="shared" si="485"/>
        <v>0</v>
      </c>
      <c r="CA687" s="39">
        <f t="shared" si="373"/>
        <v>-350</v>
      </c>
      <c r="CB687" s="39">
        <f t="shared" si="374"/>
        <v>-101</v>
      </c>
      <c r="CC687" s="39">
        <f t="shared" si="375"/>
        <v>0</v>
      </c>
      <c r="CD687" s="39">
        <f t="shared" si="376"/>
        <v>-451</v>
      </c>
      <c r="CE687" s="102">
        <f t="shared" si="377"/>
        <v>-1</v>
      </c>
      <c r="CF687" s="36" t="s">
        <v>295</v>
      </c>
      <c r="CG687" s="39" t="s">
        <v>224</v>
      </c>
      <c r="CH687" s="39"/>
      <c r="CI687" s="25">
        <v>1</v>
      </c>
    </row>
    <row r="688" spans="1:87" ht="24.75" customHeight="1">
      <c r="A688" s="36" t="s">
        <v>388</v>
      </c>
      <c r="B688" s="27" t="s">
        <v>2345</v>
      </c>
      <c r="C688" s="236"/>
      <c r="D688" s="36"/>
      <c r="E688" s="39"/>
      <c r="F688" s="39"/>
      <c r="G688" s="36" t="s">
        <v>198</v>
      </c>
      <c r="H688" s="36">
        <v>300</v>
      </c>
      <c r="I688" s="39" t="s">
        <v>90</v>
      </c>
      <c r="J688" s="39"/>
      <c r="K688" s="39"/>
      <c r="L688" s="39">
        <f t="shared" si="480"/>
        <v>0</v>
      </c>
      <c r="M688" s="117">
        <v>46260</v>
      </c>
      <c r="N688" s="117">
        <v>46265</v>
      </c>
      <c r="O688" s="39"/>
      <c r="P688" s="39"/>
      <c r="Q688" s="39"/>
      <c r="R688" s="39">
        <f t="shared" si="481"/>
        <v>0</v>
      </c>
      <c r="S688" s="39" t="s">
        <v>130</v>
      </c>
      <c r="T688" s="39"/>
      <c r="U688" s="39"/>
      <c r="V688" s="117">
        <v>46263</v>
      </c>
      <c r="W688" s="39">
        <v>2</v>
      </c>
      <c r="X688" s="39"/>
      <c r="Y688" s="39"/>
      <c r="Z688" s="39"/>
      <c r="AA688" s="39"/>
      <c r="AB688" s="39">
        <f t="shared" si="482"/>
        <v>0</v>
      </c>
      <c r="AC688" s="39"/>
      <c r="AD688" s="39"/>
      <c r="AE688" s="39"/>
      <c r="AF688" s="39"/>
      <c r="AG688" s="39"/>
      <c r="AH688" s="39">
        <f t="shared" si="483"/>
        <v>0</v>
      </c>
      <c r="AI688" s="39"/>
      <c r="AJ688" s="39"/>
      <c r="AK688" s="39"/>
      <c r="AL688" s="39"/>
      <c r="AM688" s="39"/>
      <c r="AN688" s="39">
        <f t="shared" si="196"/>
        <v>0</v>
      </c>
      <c r="AO688" s="39"/>
      <c r="AP688" s="39"/>
      <c r="AQ688" s="39"/>
      <c r="AR688" s="39"/>
      <c r="AS688" s="39"/>
      <c r="AT688" s="39">
        <f t="shared" si="367"/>
        <v>0</v>
      </c>
      <c r="AU688" s="39"/>
      <c r="AV688" s="39"/>
      <c r="AW688" s="39"/>
      <c r="AX688" s="39"/>
      <c r="AY688" s="39"/>
      <c r="AZ688" s="39">
        <f t="shared" si="368"/>
        <v>0</v>
      </c>
      <c r="BA688" s="39"/>
      <c r="BB688" s="39"/>
      <c r="BC688" s="39"/>
      <c r="BD688" s="39"/>
      <c r="BE688" s="39"/>
      <c r="BF688" s="39">
        <f t="shared" si="369"/>
        <v>0</v>
      </c>
      <c r="BG688" s="39"/>
      <c r="BH688" s="39"/>
      <c r="BI688" s="39"/>
      <c r="BJ688" s="39"/>
      <c r="BK688" s="39"/>
      <c r="BL688" s="39">
        <f t="shared" si="484"/>
        <v>0</v>
      </c>
      <c r="BM688" s="54" t="e">
        <f t="shared" si="371"/>
        <v>#DIV/0!</v>
      </c>
      <c r="BN688" s="58">
        <v>46270</v>
      </c>
      <c r="BO688" s="57">
        <v>46282</v>
      </c>
      <c r="BP688" s="36"/>
      <c r="BQ688" s="36"/>
      <c r="BR688" s="39"/>
      <c r="BS688" s="39"/>
      <c r="BT688" s="39"/>
      <c r="BU688" s="39"/>
      <c r="BV688" s="39"/>
      <c r="BW688" s="39"/>
      <c r="BX688" s="39"/>
      <c r="BY688" s="39"/>
      <c r="BZ688" s="39">
        <f t="shared" si="485"/>
        <v>0</v>
      </c>
      <c r="CA688" s="39" t="e">
        <f t="shared" si="373"/>
        <v>#VALUE!</v>
      </c>
      <c r="CB688" s="39">
        <f t="shared" si="374"/>
        <v>0</v>
      </c>
      <c r="CC688" s="39">
        <f t="shared" si="375"/>
        <v>0</v>
      </c>
      <c r="CD688" s="39">
        <f t="shared" si="376"/>
        <v>0</v>
      </c>
      <c r="CE688" s="102" t="e">
        <f t="shared" si="377"/>
        <v>#DIV/0!</v>
      </c>
      <c r="CF688" s="36" t="s">
        <v>295</v>
      </c>
      <c r="CG688" s="39" t="s">
        <v>224</v>
      </c>
      <c r="CH688" s="39"/>
      <c r="CI688" s="25">
        <v>1</v>
      </c>
    </row>
    <row r="689" spans="1:87" ht="24.75" customHeight="1">
      <c r="A689" s="36" t="s">
        <v>388</v>
      </c>
      <c r="B689" s="27" t="s">
        <v>2425</v>
      </c>
      <c r="C689" s="227">
        <v>15343893</v>
      </c>
      <c r="D689" s="36"/>
      <c r="E689" s="39">
        <v>230</v>
      </c>
      <c r="F689" s="39" t="s">
        <v>58</v>
      </c>
      <c r="G689" s="36" t="s">
        <v>351</v>
      </c>
      <c r="H689" s="39" t="s">
        <v>96</v>
      </c>
      <c r="I689" s="39">
        <v>139</v>
      </c>
      <c r="J689" s="39"/>
      <c r="K689" s="39"/>
      <c r="L689" s="39">
        <f t="shared" ref="L689:L732" si="486">SUM(I689:K689)</f>
        <v>139</v>
      </c>
      <c r="M689" s="117">
        <v>46259</v>
      </c>
      <c r="N689" s="117">
        <v>46270</v>
      </c>
      <c r="O689" s="39"/>
      <c r="P689" s="39"/>
      <c r="Q689" s="39"/>
      <c r="R689" s="39">
        <f t="shared" ref="R689:R752" si="487">SUM(O689:Q689)</f>
        <v>0</v>
      </c>
      <c r="S689" s="39" t="s">
        <v>31</v>
      </c>
      <c r="T689" s="39"/>
      <c r="U689" s="39"/>
      <c r="V689" s="117">
        <v>46272</v>
      </c>
      <c r="W689" s="39">
        <v>167</v>
      </c>
      <c r="X689" s="39"/>
      <c r="Y689" s="39"/>
      <c r="Z689" s="39"/>
      <c r="AA689" s="39"/>
      <c r="AB689" s="118">
        <f t="shared" ref="AB689:AB752" si="488">SUM(Y689:AA689)</f>
        <v>0</v>
      </c>
      <c r="AC689" s="39"/>
      <c r="AD689" s="39"/>
      <c r="AE689" s="39"/>
      <c r="AF689" s="39"/>
      <c r="AG689" s="39"/>
      <c r="AH689" s="39">
        <f t="shared" si="483"/>
        <v>0</v>
      </c>
      <c r="AI689" s="39"/>
      <c r="AJ689" s="39"/>
      <c r="AK689" s="39"/>
      <c r="AL689" s="39"/>
      <c r="AM689" s="39"/>
      <c r="AN689" s="39">
        <f t="shared" si="196"/>
        <v>0</v>
      </c>
      <c r="AO689" s="39"/>
      <c r="AP689" s="39"/>
      <c r="AQ689" s="39"/>
      <c r="AR689" s="39"/>
      <c r="AS689" s="39"/>
      <c r="AT689" s="39">
        <f t="shared" si="367"/>
        <v>0</v>
      </c>
      <c r="AU689" s="39"/>
      <c r="AV689" s="39"/>
      <c r="AW689" s="39"/>
      <c r="AX689" s="39"/>
      <c r="AY689" s="39"/>
      <c r="AZ689" s="39">
        <f t="shared" si="368"/>
        <v>0</v>
      </c>
      <c r="BA689" s="39"/>
      <c r="BB689" s="39"/>
      <c r="BC689" s="39"/>
      <c r="BD689" s="39"/>
      <c r="BE689" s="39"/>
      <c r="BF689" s="39">
        <f t="shared" si="369"/>
        <v>0</v>
      </c>
      <c r="BG689" s="39"/>
      <c r="BH689" s="39"/>
      <c r="BI689" s="39"/>
      <c r="BJ689" s="39"/>
      <c r="BK689" s="39"/>
      <c r="BL689" s="39">
        <f t="shared" si="484"/>
        <v>0</v>
      </c>
      <c r="BM689" s="54">
        <f t="shared" ca="1" si="371"/>
        <v>46283</v>
      </c>
      <c r="BN689" s="56">
        <v>46270</v>
      </c>
      <c r="BO689" s="117">
        <v>46284</v>
      </c>
      <c r="BP689" s="39"/>
      <c r="BQ689" s="39"/>
      <c r="BR689" s="39"/>
      <c r="BS689" s="39"/>
      <c r="BT689" s="39"/>
      <c r="BU689" s="39"/>
      <c r="BV689" s="39"/>
      <c r="BW689" s="39"/>
      <c r="BX689" s="39"/>
      <c r="BY689" s="39"/>
      <c r="BZ689" s="39">
        <f t="shared" si="485"/>
        <v>0</v>
      </c>
      <c r="CA689" s="39">
        <f t="shared" si="373"/>
        <v>-139</v>
      </c>
      <c r="CB689" s="39">
        <f t="shared" si="374"/>
        <v>0</v>
      </c>
      <c r="CC689" s="39">
        <f t="shared" si="375"/>
        <v>0</v>
      </c>
      <c r="CD689" s="39">
        <f t="shared" si="376"/>
        <v>-139</v>
      </c>
      <c r="CE689" s="102">
        <f t="shared" si="377"/>
        <v>-1</v>
      </c>
      <c r="CF689" s="36" t="s">
        <v>252</v>
      </c>
      <c r="CG689" s="39" t="s">
        <v>223</v>
      </c>
      <c r="CH689" s="39"/>
      <c r="CI689" s="25">
        <v>1</v>
      </c>
    </row>
    <row r="690" spans="1:87" ht="24.75" customHeight="1">
      <c r="A690" s="36" t="s">
        <v>388</v>
      </c>
      <c r="B690" s="27" t="s">
        <v>2425</v>
      </c>
      <c r="C690" s="231"/>
      <c r="D690" s="36"/>
      <c r="E690" s="39">
        <v>230</v>
      </c>
      <c r="F690" s="39" t="s">
        <v>58</v>
      </c>
      <c r="G690" s="36" t="s">
        <v>21</v>
      </c>
      <c r="H690" s="39" t="s">
        <v>96</v>
      </c>
      <c r="I690" s="39">
        <v>672</v>
      </c>
      <c r="J690" s="39"/>
      <c r="K690" s="39"/>
      <c r="L690" s="39">
        <f t="shared" si="486"/>
        <v>672</v>
      </c>
      <c r="M690" s="117">
        <v>46259</v>
      </c>
      <c r="N690" s="117">
        <v>46270</v>
      </c>
      <c r="O690" s="39"/>
      <c r="P690" s="39"/>
      <c r="Q690" s="39"/>
      <c r="R690" s="39">
        <f t="shared" si="487"/>
        <v>0</v>
      </c>
      <c r="S690" s="39" t="s">
        <v>130</v>
      </c>
      <c r="T690" s="39">
        <v>109118</v>
      </c>
      <c r="U690" s="117">
        <v>46268</v>
      </c>
      <c r="V690" s="39"/>
      <c r="W690" s="39"/>
      <c r="X690" s="39"/>
      <c r="Y690" s="39">
        <v>762</v>
      </c>
      <c r="Z690" s="39"/>
      <c r="AA690" s="39"/>
      <c r="AB690" s="119">
        <f t="shared" si="488"/>
        <v>762</v>
      </c>
      <c r="AC690" s="39"/>
      <c r="AD690" s="39"/>
      <c r="AE690" s="39"/>
      <c r="AF690" s="39"/>
      <c r="AG690" s="39"/>
      <c r="AH690" s="39">
        <f t="shared" si="483"/>
        <v>0</v>
      </c>
      <c r="AI690" s="39"/>
      <c r="AJ690" s="39"/>
      <c r="AK690" s="39"/>
      <c r="AL690" s="39"/>
      <c r="AM690" s="39"/>
      <c r="AN690" s="39">
        <f t="shared" si="196"/>
        <v>0</v>
      </c>
      <c r="AO690" s="39"/>
      <c r="AP690" s="39"/>
      <c r="AQ690" s="39"/>
      <c r="AR690" s="39"/>
      <c r="AS690" s="39"/>
      <c r="AT690" s="39">
        <f t="shared" si="367"/>
        <v>0</v>
      </c>
      <c r="AU690" s="39"/>
      <c r="AV690" s="39"/>
      <c r="AW690" s="39"/>
      <c r="AX690" s="39"/>
      <c r="AY690" s="39"/>
      <c r="AZ690" s="39">
        <f t="shared" si="368"/>
        <v>0</v>
      </c>
      <c r="BA690" s="39"/>
      <c r="BB690" s="39"/>
      <c r="BC690" s="39"/>
      <c r="BD690" s="39"/>
      <c r="BE690" s="39"/>
      <c r="BF690" s="39">
        <f t="shared" si="369"/>
        <v>0</v>
      </c>
      <c r="BG690" s="39"/>
      <c r="BH690" s="39"/>
      <c r="BI690" s="39"/>
      <c r="BJ690" s="39"/>
      <c r="BK690" s="39"/>
      <c r="BL690" s="39">
        <f t="shared" si="484"/>
        <v>0</v>
      </c>
      <c r="BM690" s="54" t="str">
        <f t="shared" si="371"/>
        <v/>
      </c>
      <c r="BN690" s="56">
        <v>46270</v>
      </c>
      <c r="BO690" s="117">
        <v>46284</v>
      </c>
      <c r="BP690" s="39"/>
      <c r="BQ690" s="39"/>
      <c r="BR690" s="117">
        <v>46272</v>
      </c>
      <c r="BS690" s="117">
        <v>46272</v>
      </c>
      <c r="BT690" s="39">
        <v>761</v>
      </c>
      <c r="BU690" s="39">
        <v>685</v>
      </c>
      <c r="BV690" s="39"/>
      <c r="BW690" s="39"/>
      <c r="BX690" s="39"/>
      <c r="BY690" s="39"/>
      <c r="BZ690" s="39">
        <f t="shared" si="485"/>
        <v>685</v>
      </c>
      <c r="CA690" s="39">
        <f t="shared" si="373"/>
        <v>13</v>
      </c>
      <c r="CB690" s="39">
        <f t="shared" si="374"/>
        <v>0</v>
      </c>
      <c r="CC690" s="39">
        <f t="shared" si="375"/>
        <v>0</v>
      </c>
      <c r="CD690" s="39">
        <f t="shared" si="376"/>
        <v>0</v>
      </c>
      <c r="CE690" s="102">
        <f t="shared" si="377"/>
        <v>0</v>
      </c>
      <c r="CF690" s="36" t="s">
        <v>252</v>
      </c>
      <c r="CG690" s="39" t="s">
        <v>223</v>
      </c>
      <c r="CH690" s="39"/>
      <c r="CI690" s="25">
        <v>1</v>
      </c>
    </row>
    <row r="691" spans="1:87" ht="24.75" customHeight="1">
      <c r="A691" s="36" t="s">
        <v>388</v>
      </c>
      <c r="B691" s="27" t="s">
        <v>2425</v>
      </c>
      <c r="C691" s="231"/>
      <c r="D691" s="36"/>
      <c r="E691" s="39">
        <v>230</v>
      </c>
      <c r="F691" s="39" t="s">
        <v>58</v>
      </c>
      <c r="G691" s="36" t="s">
        <v>1257</v>
      </c>
      <c r="H691" s="39" t="s">
        <v>96</v>
      </c>
      <c r="I691" s="39">
        <v>272</v>
      </c>
      <c r="J691" s="39"/>
      <c r="K691" s="39"/>
      <c r="L691" s="39">
        <f t="shared" si="486"/>
        <v>272</v>
      </c>
      <c r="M691" s="117">
        <v>46259</v>
      </c>
      <c r="N691" s="117">
        <v>46270</v>
      </c>
      <c r="O691" s="39"/>
      <c r="P691" s="39"/>
      <c r="Q691" s="39"/>
      <c r="R691" s="39">
        <f t="shared" si="487"/>
        <v>0</v>
      </c>
      <c r="S691" s="39" t="s">
        <v>270</v>
      </c>
      <c r="T691" s="39"/>
      <c r="U691" s="39"/>
      <c r="V691" s="117">
        <v>46261</v>
      </c>
      <c r="W691" s="39">
        <v>306</v>
      </c>
      <c r="X691" s="39"/>
      <c r="Y691" s="39"/>
      <c r="Z691" s="39"/>
      <c r="AA691" s="39"/>
      <c r="AB691" s="118">
        <f t="shared" si="488"/>
        <v>0</v>
      </c>
      <c r="AC691" s="39"/>
      <c r="AD691" s="39"/>
      <c r="AE691" s="39"/>
      <c r="AF691" s="39"/>
      <c r="AG691" s="39"/>
      <c r="AH691" s="39">
        <f t="shared" si="483"/>
        <v>0</v>
      </c>
      <c r="AI691" s="39"/>
      <c r="AJ691" s="39"/>
      <c r="AK691" s="39"/>
      <c r="AL691" s="39"/>
      <c r="AM691" s="39"/>
      <c r="AN691" s="39">
        <f t="shared" si="196"/>
        <v>0</v>
      </c>
      <c r="AO691" s="39"/>
      <c r="AP691" s="39"/>
      <c r="AQ691" s="39"/>
      <c r="AR691" s="39"/>
      <c r="AS691" s="39"/>
      <c r="AT691" s="39">
        <f t="shared" si="367"/>
        <v>0</v>
      </c>
      <c r="AU691" s="39"/>
      <c r="AV691" s="39"/>
      <c r="AW691" s="39"/>
      <c r="AX691" s="39"/>
      <c r="AY691" s="39"/>
      <c r="AZ691" s="39">
        <f t="shared" si="368"/>
        <v>0</v>
      </c>
      <c r="BA691" s="39"/>
      <c r="BB691" s="39"/>
      <c r="BC691" s="39"/>
      <c r="BD691" s="39"/>
      <c r="BE691" s="39"/>
      <c r="BF691" s="39">
        <f t="shared" si="369"/>
        <v>0</v>
      </c>
      <c r="BG691" s="39"/>
      <c r="BH691" s="39"/>
      <c r="BI691" s="39"/>
      <c r="BJ691" s="39"/>
      <c r="BK691" s="39"/>
      <c r="BL691" s="39">
        <f t="shared" si="484"/>
        <v>0</v>
      </c>
      <c r="BM691" s="54">
        <f t="shared" ca="1" si="371"/>
        <v>46283</v>
      </c>
      <c r="BN691" s="56">
        <v>46270</v>
      </c>
      <c r="BO691" s="117">
        <v>46284</v>
      </c>
      <c r="BP691" s="39"/>
      <c r="BQ691" s="39"/>
      <c r="BR691" s="39"/>
      <c r="BS691" s="39"/>
      <c r="BT691" s="39"/>
      <c r="BU691" s="39"/>
      <c r="BV691" s="39"/>
      <c r="BW691" s="39"/>
      <c r="BX691" s="39"/>
      <c r="BY691" s="39"/>
      <c r="BZ691" s="39">
        <f t="shared" si="485"/>
        <v>0</v>
      </c>
      <c r="CA691" s="39">
        <f t="shared" si="373"/>
        <v>-272</v>
      </c>
      <c r="CB691" s="39">
        <f t="shared" si="374"/>
        <v>0</v>
      </c>
      <c r="CC691" s="39">
        <f t="shared" si="375"/>
        <v>0</v>
      </c>
      <c r="CD691" s="39">
        <f t="shared" si="376"/>
        <v>-272</v>
      </c>
      <c r="CE691" s="102">
        <f t="shared" si="377"/>
        <v>-1</v>
      </c>
      <c r="CF691" s="36" t="s">
        <v>252</v>
      </c>
      <c r="CG691" s="39" t="s">
        <v>223</v>
      </c>
      <c r="CH691" s="39"/>
      <c r="CI691" s="25">
        <v>1</v>
      </c>
    </row>
    <row r="692" spans="1:87" ht="24.75" customHeight="1">
      <c r="A692" s="36" t="s">
        <v>388</v>
      </c>
      <c r="B692" s="27" t="s">
        <v>2425</v>
      </c>
      <c r="C692" s="231"/>
      <c r="D692" s="36"/>
      <c r="E692" s="39">
        <v>230</v>
      </c>
      <c r="F692" s="39" t="s">
        <v>58</v>
      </c>
      <c r="G692" s="36" t="s">
        <v>1221</v>
      </c>
      <c r="H692" s="39" t="s">
        <v>96</v>
      </c>
      <c r="I692" s="39">
        <v>261</v>
      </c>
      <c r="J692" s="39"/>
      <c r="K692" s="39"/>
      <c r="L692" s="39">
        <f t="shared" si="486"/>
        <v>261</v>
      </c>
      <c r="M692" s="117">
        <v>46259</v>
      </c>
      <c r="N692" s="117">
        <v>46270</v>
      </c>
      <c r="O692" s="39"/>
      <c r="P692" s="39"/>
      <c r="Q692" s="39"/>
      <c r="R692" s="39">
        <f t="shared" si="487"/>
        <v>0</v>
      </c>
      <c r="S692" s="39" t="s">
        <v>100</v>
      </c>
      <c r="T692" s="39"/>
      <c r="U692" s="39"/>
      <c r="V692" s="117">
        <v>46273</v>
      </c>
      <c r="W692" s="39">
        <v>292</v>
      </c>
      <c r="X692" s="39"/>
      <c r="Y692" s="39"/>
      <c r="Z692" s="39"/>
      <c r="AA692" s="39"/>
      <c r="AB692" s="118">
        <f t="shared" si="488"/>
        <v>0</v>
      </c>
      <c r="AC692" s="39"/>
      <c r="AD692" s="39"/>
      <c r="AE692" s="39"/>
      <c r="AF692" s="39"/>
      <c r="AG692" s="39"/>
      <c r="AH692" s="39">
        <f t="shared" si="483"/>
        <v>0</v>
      </c>
      <c r="AI692" s="39"/>
      <c r="AJ692" s="39"/>
      <c r="AK692" s="39"/>
      <c r="AL692" s="39"/>
      <c r="AM692" s="39"/>
      <c r="AN692" s="39">
        <f t="shared" si="196"/>
        <v>0</v>
      </c>
      <c r="AO692" s="39"/>
      <c r="AP692" s="39"/>
      <c r="AQ692" s="39"/>
      <c r="AR692" s="39"/>
      <c r="AS692" s="39"/>
      <c r="AT692" s="39">
        <f t="shared" si="367"/>
        <v>0</v>
      </c>
      <c r="AU692" s="39"/>
      <c r="AV692" s="39"/>
      <c r="AW692" s="39"/>
      <c r="AX692" s="39"/>
      <c r="AY692" s="39"/>
      <c r="AZ692" s="39">
        <f t="shared" si="368"/>
        <v>0</v>
      </c>
      <c r="BA692" s="39"/>
      <c r="BB692" s="39"/>
      <c r="BC692" s="39"/>
      <c r="BD692" s="39"/>
      <c r="BE692" s="39"/>
      <c r="BF692" s="39">
        <f t="shared" si="369"/>
        <v>0</v>
      </c>
      <c r="BG692" s="39"/>
      <c r="BH692" s="39"/>
      <c r="BI692" s="39"/>
      <c r="BJ692" s="39"/>
      <c r="BK692" s="39"/>
      <c r="BL692" s="39">
        <f t="shared" si="484"/>
        <v>0</v>
      </c>
      <c r="BM692" s="54">
        <f t="shared" ca="1" si="371"/>
        <v>46283</v>
      </c>
      <c r="BN692" s="56">
        <v>46270</v>
      </c>
      <c r="BO692" s="117">
        <v>46284</v>
      </c>
      <c r="BP692" s="39"/>
      <c r="BQ692" s="39"/>
      <c r="BR692" s="39"/>
      <c r="BS692" s="39"/>
      <c r="BT692" s="39"/>
      <c r="BU692" s="39"/>
      <c r="BV692" s="39"/>
      <c r="BW692" s="39"/>
      <c r="BX692" s="39"/>
      <c r="BY692" s="39"/>
      <c r="BZ692" s="39">
        <f t="shared" si="485"/>
        <v>0</v>
      </c>
      <c r="CA692" s="39">
        <f t="shared" si="373"/>
        <v>-261</v>
      </c>
      <c r="CB692" s="39">
        <f t="shared" si="374"/>
        <v>0</v>
      </c>
      <c r="CC692" s="39">
        <f t="shared" si="375"/>
        <v>0</v>
      </c>
      <c r="CD692" s="39">
        <f t="shared" si="376"/>
        <v>-261</v>
      </c>
      <c r="CE692" s="102">
        <f t="shared" si="377"/>
        <v>-1</v>
      </c>
      <c r="CF692" s="36" t="s">
        <v>252</v>
      </c>
      <c r="CG692" s="39" t="s">
        <v>223</v>
      </c>
      <c r="CH692" s="39"/>
      <c r="CI692" s="25">
        <v>1</v>
      </c>
    </row>
    <row r="693" spans="1:87" ht="24.75" customHeight="1">
      <c r="A693" s="36" t="s">
        <v>388</v>
      </c>
      <c r="B693" s="27" t="s">
        <v>2425</v>
      </c>
      <c r="C693" s="231"/>
      <c r="D693" s="36"/>
      <c r="E693" s="39">
        <v>230</v>
      </c>
      <c r="F693" s="39" t="s">
        <v>58</v>
      </c>
      <c r="G693" s="36" t="s">
        <v>23</v>
      </c>
      <c r="H693" s="39" t="s">
        <v>96</v>
      </c>
      <c r="I693" s="39">
        <v>145</v>
      </c>
      <c r="J693" s="39"/>
      <c r="K693" s="39"/>
      <c r="L693" s="39">
        <f t="shared" si="486"/>
        <v>145</v>
      </c>
      <c r="M693" s="117">
        <v>46259</v>
      </c>
      <c r="N693" s="117">
        <v>46270</v>
      </c>
      <c r="O693" s="39"/>
      <c r="P693" s="39"/>
      <c r="Q693" s="39"/>
      <c r="R693" s="39">
        <f t="shared" si="487"/>
        <v>0</v>
      </c>
      <c r="S693" s="39" t="s">
        <v>130</v>
      </c>
      <c r="T693" s="39">
        <v>109086</v>
      </c>
      <c r="U693" s="117">
        <v>46268</v>
      </c>
      <c r="V693" s="39"/>
      <c r="W693" s="39"/>
      <c r="X693" s="39"/>
      <c r="Y693" s="39">
        <v>170</v>
      </c>
      <c r="Z693" s="39"/>
      <c r="AA693" s="39"/>
      <c r="AB693" s="119">
        <f t="shared" si="488"/>
        <v>170</v>
      </c>
      <c r="AC693" s="39"/>
      <c r="AD693" s="39"/>
      <c r="AE693" s="39"/>
      <c r="AF693" s="39"/>
      <c r="AG693" s="39"/>
      <c r="AH693" s="39">
        <f t="shared" si="483"/>
        <v>0</v>
      </c>
      <c r="AI693" s="39"/>
      <c r="AJ693" s="39"/>
      <c r="AK693" s="39"/>
      <c r="AL693" s="39"/>
      <c r="AM693" s="39"/>
      <c r="AN693" s="39">
        <f t="shared" si="196"/>
        <v>0</v>
      </c>
      <c r="AO693" s="39"/>
      <c r="AP693" s="39"/>
      <c r="AQ693" s="39"/>
      <c r="AR693" s="39"/>
      <c r="AS693" s="39"/>
      <c r="AT693" s="39">
        <f t="shared" si="367"/>
        <v>0</v>
      </c>
      <c r="AU693" s="39"/>
      <c r="AV693" s="39"/>
      <c r="AW693" s="39"/>
      <c r="AX693" s="39"/>
      <c r="AY693" s="39"/>
      <c r="AZ693" s="39">
        <f t="shared" si="368"/>
        <v>0</v>
      </c>
      <c r="BA693" s="39"/>
      <c r="BB693" s="39"/>
      <c r="BC693" s="39"/>
      <c r="BD693" s="39"/>
      <c r="BE693" s="39"/>
      <c r="BF693" s="39">
        <f t="shared" si="369"/>
        <v>0</v>
      </c>
      <c r="BG693" s="39"/>
      <c r="BH693" s="39"/>
      <c r="BI693" s="39"/>
      <c r="BJ693" s="39"/>
      <c r="BK693" s="39"/>
      <c r="BL693" s="39">
        <f t="shared" si="484"/>
        <v>0</v>
      </c>
      <c r="BM693" s="54" t="str">
        <f t="shared" si="371"/>
        <v/>
      </c>
      <c r="BN693" s="56">
        <v>46270</v>
      </c>
      <c r="BO693" s="117">
        <v>46284</v>
      </c>
      <c r="BP693" s="39"/>
      <c r="BQ693" s="39"/>
      <c r="BR693" s="57">
        <v>46272</v>
      </c>
      <c r="BS693" s="57">
        <v>46272</v>
      </c>
      <c r="BT693" s="39">
        <v>763</v>
      </c>
      <c r="BU693" s="39">
        <v>150</v>
      </c>
      <c r="BV693" s="39"/>
      <c r="BW693" s="39"/>
      <c r="BX693" s="39"/>
      <c r="BY693" s="39"/>
      <c r="BZ693" s="39">
        <f t="shared" si="485"/>
        <v>150</v>
      </c>
      <c r="CA693" s="39">
        <f t="shared" si="373"/>
        <v>5</v>
      </c>
      <c r="CB693" s="39">
        <f t="shared" si="374"/>
        <v>0</v>
      </c>
      <c r="CC693" s="39">
        <f t="shared" si="375"/>
        <v>0</v>
      </c>
      <c r="CD693" s="39">
        <f t="shared" si="376"/>
        <v>0</v>
      </c>
      <c r="CE693" s="102">
        <f t="shared" si="377"/>
        <v>0</v>
      </c>
      <c r="CF693" s="36" t="s">
        <v>252</v>
      </c>
      <c r="CG693" s="39" t="s">
        <v>223</v>
      </c>
      <c r="CH693" s="39"/>
      <c r="CI693" s="25">
        <v>1</v>
      </c>
    </row>
    <row r="694" spans="1:87" ht="24.75" customHeight="1">
      <c r="A694" s="36" t="s">
        <v>388</v>
      </c>
      <c r="B694" s="27" t="s">
        <v>2425</v>
      </c>
      <c r="C694" s="231"/>
      <c r="D694" s="36"/>
      <c r="E694" s="39">
        <v>230</v>
      </c>
      <c r="F694" s="39" t="s">
        <v>58</v>
      </c>
      <c r="G694" s="36" t="s">
        <v>309</v>
      </c>
      <c r="H694" s="39" t="s">
        <v>96</v>
      </c>
      <c r="I694" s="39">
        <v>145</v>
      </c>
      <c r="J694" s="39"/>
      <c r="K694" s="39"/>
      <c r="L694" s="39">
        <f t="shared" si="486"/>
        <v>145</v>
      </c>
      <c r="M694" s="117">
        <v>46259</v>
      </c>
      <c r="N694" s="117">
        <v>46270</v>
      </c>
      <c r="O694" s="39"/>
      <c r="P694" s="39"/>
      <c r="Q694" s="39"/>
      <c r="R694" s="39">
        <f t="shared" si="487"/>
        <v>0</v>
      </c>
      <c r="S694" s="39" t="s">
        <v>28</v>
      </c>
      <c r="T694" s="39"/>
      <c r="U694" s="39"/>
      <c r="V694" s="117">
        <v>46270</v>
      </c>
      <c r="W694" s="39">
        <v>174</v>
      </c>
      <c r="X694" s="39"/>
      <c r="Y694" s="39"/>
      <c r="Z694" s="39"/>
      <c r="AA694" s="39"/>
      <c r="AB694" s="118">
        <f t="shared" si="488"/>
        <v>0</v>
      </c>
      <c r="AC694" s="39"/>
      <c r="AD694" s="39"/>
      <c r="AE694" s="39"/>
      <c r="AF694" s="39"/>
      <c r="AG694" s="39"/>
      <c r="AH694" s="39">
        <f t="shared" si="483"/>
        <v>0</v>
      </c>
      <c r="AI694" s="39"/>
      <c r="AJ694" s="39"/>
      <c r="AK694" s="39"/>
      <c r="AL694" s="39"/>
      <c r="AM694" s="39"/>
      <c r="AN694" s="39">
        <f t="shared" si="196"/>
        <v>0</v>
      </c>
      <c r="AO694" s="39"/>
      <c r="AP694" s="39"/>
      <c r="AQ694" s="39"/>
      <c r="AR694" s="39"/>
      <c r="AS694" s="39"/>
      <c r="AT694" s="39">
        <f t="shared" si="367"/>
        <v>0</v>
      </c>
      <c r="AU694" s="39"/>
      <c r="AV694" s="39"/>
      <c r="AW694" s="39"/>
      <c r="AX694" s="39"/>
      <c r="AY694" s="39"/>
      <c r="AZ694" s="39">
        <f t="shared" si="368"/>
        <v>0</v>
      </c>
      <c r="BA694" s="39"/>
      <c r="BB694" s="39"/>
      <c r="BC694" s="39"/>
      <c r="BD694" s="39"/>
      <c r="BE694" s="39"/>
      <c r="BF694" s="39">
        <f t="shared" si="369"/>
        <v>0</v>
      </c>
      <c r="BG694" s="39"/>
      <c r="BH694" s="39"/>
      <c r="BI694" s="39"/>
      <c r="BJ694" s="39"/>
      <c r="BK694" s="39"/>
      <c r="BL694" s="39">
        <f t="shared" si="484"/>
        <v>0</v>
      </c>
      <c r="BM694" s="54">
        <f t="shared" ca="1" si="371"/>
        <v>46283</v>
      </c>
      <c r="BN694" s="56">
        <v>46270</v>
      </c>
      <c r="BO694" s="117">
        <v>46284</v>
      </c>
      <c r="BP694" s="39"/>
      <c r="BQ694" s="39"/>
      <c r="BR694" s="39"/>
      <c r="BS694" s="39"/>
      <c r="BT694" s="39"/>
      <c r="BU694" s="39"/>
      <c r="BV694" s="39"/>
      <c r="BW694" s="39"/>
      <c r="BX694" s="39"/>
      <c r="BY694" s="39"/>
      <c r="BZ694" s="39">
        <f t="shared" si="485"/>
        <v>0</v>
      </c>
      <c r="CA694" s="39">
        <f t="shared" si="373"/>
        <v>-145</v>
      </c>
      <c r="CB694" s="39">
        <f t="shared" si="374"/>
        <v>0</v>
      </c>
      <c r="CC694" s="39">
        <f t="shared" si="375"/>
        <v>0</v>
      </c>
      <c r="CD694" s="39">
        <f t="shared" si="376"/>
        <v>-145</v>
      </c>
      <c r="CE694" s="102">
        <f t="shared" si="377"/>
        <v>-1</v>
      </c>
      <c r="CF694" s="36" t="s">
        <v>252</v>
      </c>
      <c r="CG694" s="39" t="s">
        <v>223</v>
      </c>
      <c r="CH694" s="39"/>
      <c r="CI694" s="25">
        <v>1</v>
      </c>
    </row>
    <row r="695" spans="1:87" ht="24.75" customHeight="1">
      <c r="A695" s="36" t="s">
        <v>388</v>
      </c>
      <c r="B695" s="27" t="s">
        <v>2425</v>
      </c>
      <c r="C695" s="228"/>
      <c r="D695" s="36"/>
      <c r="E695" s="39">
        <v>230</v>
      </c>
      <c r="F695" s="39" t="s">
        <v>58</v>
      </c>
      <c r="G695" s="36" t="s">
        <v>2426</v>
      </c>
      <c r="H695" s="39" t="s">
        <v>96</v>
      </c>
      <c r="I695" s="39">
        <v>114</v>
      </c>
      <c r="J695" s="39"/>
      <c r="K695" s="39"/>
      <c r="L695" s="39">
        <f t="shared" si="486"/>
        <v>114</v>
      </c>
      <c r="M695" s="117">
        <v>46259</v>
      </c>
      <c r="N695" s="117">
        <v>46270</v>
      </c>
      <c r="O695" s="39"/>
      <c r="P695" s="39"/>
      <c r="Q695" s="39"/>
      <c r="R695" s="39">
        <f t="shared" si="487"/>
        <v>0</v>
      </c>
      <c r="S695" s="39" t="s">
        <v>28</v>
      </c>
      <c r="T695" s="39"/>
      <c r="U695" s="39"/>
      <c r="V695" s="117">
        <v>46274</v>
      </c>
      <c r="W695" s="39">
        <v>140</v>
      </c>
      <c r="X695" s="39"/>
      <c r="Y695" s="39"/>
      <c r="Z695" s="39"/>
      <c r="AA695" s="39"/>
      <c r="AB695" s="118">
        <f t="shared" si="488"/>
        <v>0</v>
      </c>
      <c r="AC695" s="39"/>
      <c r="AD695" s="39"/>
      <c r="AE695" s="39"/>
      <c r="AF695" s="39"/>
      <c r="AG695" s="39"/>
      <c r="AH695" s="39">
        <f t="shared" si="483"/>
        <v>0</v>
      </c>
      <c r="AI695" s="39"/>
      <c r="AJ695" s="39"/>
      <c r="AK695" s="39"/>
      <c r="AL695" s="39"/>
      <c r="AM695" s="39"/>
      <c r="AN695" s="39">
        <f t="shared" si="196"/>
        <v>0</v>
      </c>
      <c r="AO695" s="39"/>
      <c r="AP695" s="39"/>
      <c r="AQ695" s="39"/>
      <c r="AR695" s="39"/>
      <c r="AS695" s="39"/>
      <c r="AT695" s="39">
        <f t="shared" si="367"/>
        <v>0</v>
      </c>
      <c r="AU695" s="39"/>
      <c r="AV695" s="39"/>
      <c r="AW695" s="39"/>
      <c r="AX695" s="39"/>
      <c r="AY695" s="39"/>
      <c r="AZ695" s="39">
        <f t="shared" si="368"/>
        <v>0</v>
      </c>
      <c r="BA695" s="39"/>
      <c r="BB695" s="39"/>
      <c r="BC695" s="39"/>
      <c r="BD695" s="39"/>
      <c r="BE695" s="39"/>
      <c r="BF695" s="39">
        <f t="shared" si="369"/>
        <v>0</v>
      </c>
      <c r="BG695" s="39"/>
      <c r="BH695" s="39"/>
      <c r="BI695" s="39"/>
      <c r="BJ695" s="39"/>
      <c r="BK695" s="39"/>
      <c r="BL695" s="39">
        <f t="shared" si="484"/>
        <v>0</v>
      </c>
      <c r="BM695" s="54">
        <f t="shared" ca="1" si="371"/>
        <v>46283</v>
      </c>
      <c r="BN695" s="56">
        <v>46270</v>
      </c>
      <c r="BO695" s="117">
        <v>46284</v>
      </c>
      <c r="BP695" s="36"/>
      <c r="BQ695" s="36"/>
      <c r="BR695" s="39"/>
      <c r="BS695" s="39"/>
      <c r="BT695" s="39"/>
      <c r="BU695" s="39"/>
      <c r="BV695" s="39"/>
      <c r="BW695" s="39"/>
      <c r="BX695" s="39"/>
      <c r="BY695" s="39"/>
      <c r="BZ695" s="39">
        <f t="shared" si="485"/>
        <v>0</v>
      </c>
      <c r="CA695" s="39">
        <f t="shared" si="373"/>
        <v>-114</v>
      </c>
      <c r="CB695" s="39">
        <f t="shared" si="374"/>
        <v>0</v>
      </c>
      <c r="CC695" s="39">
        <f t="shared" si="375"/>
        <v>0</v>
      </c>
      <c r="CD695" s="39">
        <f t="shared" si="376"/>
        <v>-114</v>
      </c>
      <c r="CE695" s="102">
        <f t="shared" si="377"/>
        <v>-1</v>
      </c>
      <c r="CF695" s="36" t="s">
        <v>252</v>
      </c>
      <c r="CG695" s="39" t="s">
        <v>223</v>
      </c>
      <c r="CH695" s="39"/>
      <c r="CI695" s="25">
        <v>1</v>
      </c>
    </row>
    <row r="696" spans="1:87" ht="24.75" customHeight="1">
      <c r="A696" s="36" t="s">
        <v>388</v>
      </c>
      <c r="B696" s="27">
        <v>48701</v>
      </c>
      <c r="C696" s="235" t="s">
        <v>2582</v>
      </c>
      <c r="D696" s="36"/>
      <c r="E696" s="39">
        <v>300</v>
      </c>
      <c r="F696" s="39" t="s">
        <v>67</v>
      </c>
      <c r="G696" s="36" t="s">
        <v>2579</v>
      </c>
      <c r="H696" s="36" t="s">
        <v>2427</v>
      </c>
      <c r="I696" s="39">
        <f>2083-283</f>
        <v>1800</v>
      </c>
      <c r="J696" s="39">
        <f>95+413</f>
        <v>508</v>
      </c>
      <c r="K696" s="39">
        <v>25</v>
      </c>
      <c r="L696" s="39">
        <f t="shared" si="486"/>
        <v>2333</v>
      </c>
      <c r="M696" s="117">
        <v>46260</v>
      </c>
      <c r="N696" s="117">
        <v>46275</v>
      </c>
      <c r="O696" s="39"/>
      <c r="P696" s="39"/>
      <c r="Q696" s="39"/>
      <c r="R696" s="39">
        <f t="shared" si="487"/>
        <v>0</v>
      </c>
      <c r="S696" s="39" t="s">
        <v>130</v>
      </c>
      <c r="T696" s="39"/>
      <c r="U696" s="39"/>
      <c r="V696" s="39"/>
      <c r="W696" s="39"/>
      <c r="X696" s="39"/>
      <c r="Y696" s="39"/>
      <c r="Z696" s="39"/>
      <c r="AA696" s="39"/>
      <c r="AB696" s="118">
        <f t="shared" si="488"/>
        <v>0</v>
      </c>
      <c r="AC696" s="39"/>
      <c r="AD696" s="39"/>
      <c r="AE696" s="39"/>
      <c r="AF696" s="39"/>
      <c r="AG696" s="39"/>
      <c r="AH696" s="39">
        <f t="shared" si="483"/>
        <v>0</v>
      </c>
      <c r="AI696" s="39"/>
      <c r="AJ696" s="39"/>
      <c r="AK696" s="39"/>
      <c r="AL696" s="39"/>
      <c r="AM696" s="39"/>
      <c r="AN696" s="39">
        <f t="shared" si="196"/>
        <v>0</v>
      </c>
      <c r="AO696" s="39"/>
      <c r="AP696" s="39"/>
      <c r="AQ696" s="39"/>
      <c r="AR696" s="39"/>
      <c r="AS696" s="39"/>
      <c r="AT696" s="39">
        <f t="shared" si="367"/>
        <v>0</v>
      </c>
      <c r="AU696" s="39"/>
      <c r="AV696" s="39"/>
      <c r="AW696" s="39"/>
      <c r="AX696" s="39"/>
      <c r="AY696" s="39"/>
      <c r="AZ696" s="39">
        <f t="shared" si="368"/>
        <v>0</v>
      </c>
      <c r="BA696" s="39"/>
      <c r="BB696" s="39"/>
      <c r="BC696" s="39"/>
      <c r="BD696" s="39"/>
      <c r="BE696" s="39"/>
      <c r="BF696" s="39">
        <f t="shared" si="369"/>
        <v>0</v>
      </c>
      <c r="BG696" s="39"/>
      <c r="BH696" s="39"/>
      <c r="BI696" s="39"/>
      <c r="BJ696" s="39"/>
      <c r="BK696" s="39"/>
      <c r="BL696" s="39">
        <f t="shared" si="484"/>
        <v>0</v>
      </c>
      <c r="BM696" s="54">
        <f t="shared" ca="1" si="371"/>
        <v>46283</v>
      </c>
      <c r="BN696" s="58">
        <v>46273</v>
      </c>
      <c r="BO696" s="57">
        <v>46293</v>
      </c>
      <c r="BP696" s="36"/>
      <c r="BQ696" s="36"/>
      <c r="BR696" s="39"/>
      <c r="BS696" s="39"/>
      <c r="BT696" s="39"/>
      <c r="BU696" s="39"/>
      <c r="BV696" s="39"/>
      <c r="BW696" s="39"/>
      <c r="BX696" s="39"/>
      <c r="BY696" s="39"/>
      <c r="BZ696" s="39">
        <f t="shared" si="485"/>
        <v>0</v>
      </c>
      <c r="CA696" s="39">
        <f t="shared" si="373"/>
        <v>-1800</v>
      </c>
      <c r="CB696" s="39">
        <f t="shared" si="374"/>
        <v>-508</v>
      </c>
      <c r="CC696" s="39">
        <f t="shared" si="375"/>
        <v>-25</v>
      </c>
      <c r="CD696" s="39">
        <f t="shared" si="376"/>
        <v>-2333</v>
      </c>
      <c r="CE696" s="102">
        <f t="shared" si="377"/>
        <v>-1</v>
      </c>
      <c r="CF696" s="36" t="s">
        <v>252</v>
      </c>
      <c r="CG696" s="39" t="s">
        <v>223</v>
      </c>
      <c r="CH696" s="39"/>
      <c r="CI696" s="25">
        <v>1</v>
      </c>
    </row>
    <row r="697" spans="1:87" ht="24.75" customHeight="1">
      <c r="A697" s="36" t="s">
        <v>388</v>
      </c>
      <c r="B697" s="27">
        <v>48701</v>
      </c>
      <c r="C697" s="240"/>
      <c r="D697" s="36"/>
      <c r="E697" s="39">
        <v>300</v>
      </c>
      <c r="F697" s="39" t="s">
        <v>67</v>
      </c>
      <c r="G697" s="36" t="s">
        <v>2580</v>
      </c>
      <c r="H697" s="36" t="s">
        <v>2427</v>
      </c>
      <c r="I697" s="39">
        <f>2083-283</f>
        <v>1800</v>
      </c>
      <c r="J697" s="39">
        <f>95+413</f>
        <v>508</v>
      </c>
      <c r="K697" s="39">
        <v>25</v>
      </c>
      <c r="L697" s="39">
        <f t="shared" si="486"/>
        <v>2333</v>
      </c>
      <c r="M697" s="117">
        <v>46260</v>
      </c>
      <c r="N697" s="117">
        <v>46275</v>
      </c>
      <c r="O697" s="39"/>
      <c r="P697" s="39"/>
      <c r="Q697" s="39"/>
      <c r="R697" s="39">
        <f t="shared" si="487"/>
        <v>0</v>
      </c>
      <c r="S697" s="39" t="s">
        <v>31</v>
      </c>
      <c r="T697" s="39"/>
      <c r="U697" s="39"/>
      <c r="V697" s="117" t="s">
        <v>3063</v>
      </c>
      <c r="W697" s="39">
        <f>1944+29+193</f>
        <v>2166</v>
      </c>
      <c r="X697" s="39"/>
      <c r="Y697" s="39"/>
      <c r="Z697" s="39"/>
      <c r="AA697" s="39"/>
      <c r="AB697" s="118">
        <f t="shared" si="488"/>
        <v>0</v>
      </c>
      <c r="AC697" s="39"/>
      <c r="AD697" s="39"/>
      <c r="AE697" s="39"/>
      <c r="AF697" s="39"/>
      <c r="AG697" s="39"/>
      <c r="AH697" s="39">
        <f t="shared" si="483"/>
        <v>0</v>
      </c>
      <c r="AI697" s="39"/>
      <c r="AJ697" s="39"/>
      <c r="AK697" s="39"/>
      <c r="AL697" s="39"/>
      <c r="AM697" s="39"/>
      <c r="AN697" s="39">
        <f t="shared" si="196"/>
        <v>0</v>
      </c>
      <c r="AO697" s="39"/>
      <c r="AP697" s="39"/>
      <c r="AQ697" s="39"/>
      <c r="AR697" s="39"/>
      <c r="AS697" s="39"/>
      <c r="AT697" s="39">
        <f t="shared" si="367"/>
        <v>0</v>
      </c>
      <c r="AU697" s="39"/>
      <c r="AV697" s="39"/>
      <c r="AW697" s="39"/>
      <c r="AX697" s="39"/>
      <c r="AY697" s="39"/>
      <c r="AZ697" s="39">
        <f t="shared" si="368"/>
        <v>0</v>
      </c>
      <c r="BA697" s="39"/>
      <c r="BB697" s="39"/>
      <c r="BC697" s="39"/>
      <c r="BD697" s="39"/>
      <c r="BE697" s="39"/>
      <c r="BF697" s="39">
        <f t="shared" si="369"/>
        <v>0</v>
      </c>
      <c r="BG697" s="39"/>
      <c r="BH697" s="39"/>
      <c r="BI697" s="39"/>
      <c r="BJ697" s="39"/>
      <c r="BK697" s="39"/>
      <c r="BL697" s="39">
        <f t="shared" si="484"/>
        <v>0</v>
      </c>
      <c r="BM697" s="54">
        <f t="shared" ca="1" si="371"/>
        <v>46283</v>
      </c>
      <c r="BN697" s="58">
        <v>46273</v>
      </c>
      <c r="BO697" s="57">
        <v>46293</v>
      </c>
      <c r="BP697" s="36"/>
      <c r="BQ697" s="36"/>
      <c r="BR697" s="39"/>
      <c r="BS697" s="39"/>
      <c r="BT697" s="39"/>
      <c r="BU697" s="39"/>
      <c r="BV697" s="39"/>
      <c r="BW697" s="39"/>
      <c r="BX697" s="39"/>
      <c r="BY697" s="39"/>
      <c r="BZ697" s="39">
        <f t="shared" si="485"/>
        <v>0</v>
      </c>
      <c r="CA697" s="39">
        <f t="shared" si="373"/>
        <v>-1800</v>
      </c>
      <c r="CB697" s="39">
        <f t="shared" si="374"/>
        <v>-508</v>
      </c>
      <c r="CC697" s="39">
        <f t="shared" si="375"/>
        <v>-25</v>
      </c>
      <c r="CD697" s="39">
        <f t="shared" si="376"/>
        <v>-2333</v>
      </c>
      <c r="CE697" s="102">
        <f t="shared" si="377"/>
        <v>-1</v>
      </c>
      <c r="CF697" s="36" t="s">
        <v>252</v>
      </c>
      <c r="CG697" s="39" t="s">
        <v>223</v>
      </c>
      <c r="CH697" s="39"/>
      <c r="CI697" s="25">
        <v>1</v>
      </c>
    </row>
    <row r="698" spans="1:87" ht="24.75" customHeight="1">
      <c r="A698" s="36" t="s">
        <v>388</v>
      </c>
      <c r="B698" s="27">
        <v>48701</v>
      </c>
      <c r="C698" s="236"/>
      <c r="D698" s="36"/>
      <c r="E698" s="39">
        <v>300</v>
      </c>
      <c r="F698" s="39" t="s">
        <v>67</v>
      </c>
      <c r="G698" s="36" t="s">
        <v>2581</v>
      </c>
      <c r="H698" s="36" t="s">
        <v>2427</v>
      </c>
      <c r="I698" s="39">
        <f>2083-283</f>
        <v>1800</v>
      </c>
      <c r="J698" s="39">
        <f>95+413</f>
        <v>508</v>
      </c>
      <c r="K698" s="39">
        <v>25</v>
      </c>
      <c r="L698" s="39">
        <f t="shared" si="486"/>
        <v>2333</v>
      </c>
      <c r="M698" s="117">
        <v>46260</v>
      </c>
      <c r="N698" s="117">
        <v>46275</v>
      </c>
      <c r="O698" s="39"/>
      <c r="P698" s="39"/>
      <c r="Q698" s="39"/>
      <c r="R698" s="39">
        <f t="shared" si="487"/>
        <v>0</v>
      </c>
      <c r="S698" s="39" t="s">
        <v>31</v>
      </c>
      <c r="T698" s="39"/>
      <c r="U698" s="39"/>
      <c r="V698" s="117">
        <v>46281</v>
      </c>
      <c r="W698" s="39">
        <f>1945+29</f>
        <v>1974</v>
      </c>
      <c r="X698" s="39"/>
      <c r="Y698" s="39"/>
      <c r="Z698" s="39"/>
      <c r="AA698" s="39"/>
      <c r="AB698" s="118">
        <f t="shared" si="488"/>
        <v>0</v>
      </c>
      <c r="AC698" s="39"/>
      <c r="AD698" s="39"/>
      <c r="AE698" s="39"/>
      <c r="AF698" s="39"/>
      <c r="AG698" s="39"/>
      <c r="AH698" s="39">
        <f t="shared" si="483"/>
        <v>0</v>
      </c>
      <c r="AI698" s="39"/>
      <c r="AJ698" s="39"/>
      <c r="AK698" s="39"/>
      <c r="AL698" s="39"/>
      <c r="AM698" s="39"/>
      <c r="AN698" s="39">
        <f t="shared" si="196"/>
        <v>0</v>
      </c>
      <c r="AO698" s="39"/>
      <c r="AP698" s="39"/>
      <c r="AQ698" s="39"/>
      <c r="AR698" s="39"/>
      <c r="AS698" s="39"/>
      <c r="AT698" s="39">
        <f t="shared" si="367"/>
        <v>0</v>
      </c>
      <c r="AU698" s="39"/>
      <c r="AV698" s="39"/>
      <c r="AW698" s="39"/>
      <c r="AX698" s="39"/>
      <c r="AY698" s="39"/>
      <c r="AZ698" s="39">
        <f t="shared" si="368"/>
        <v>0</v>
      </c>
      <c r="BA698" s="39"/>
      <c r="BB698" s="39"/>
      <c r="BC698" s="39"/>
      <c r="BD698" s="39"/>
      <c r="BE698" s="39"/>
      <c r="BF698" s="39">
        <f t="shared" si="369"/>
        <v>0</v>
      </c>
      <c r="BG698" s="39"/>
      <c r="BH698" s="39"/>
      <c r="BI698" s="39"/>
      <c r="BJ698" s="39"/>
      <c r="BK698" s="39"/>
      <c r="BL698" s="39">
        <f t="shared" si="484"/>
        <v>0</v>
      </c>
      <c r="BM698" s="54">
        <f t="shared" ca="1" si="371"/>
        <v>46283</v>
      </c>
      <c r="BN698" s="58">
        <v>46273</v>
      </c>
      <c r="BO698" s="57">
        <v>46293</v>
      </c>
      <c r="BP698" s="39"/>
      <c r="BQ698" s="39"/>
      <c r="BR698" s="39"/>
      <c r="BS698" s="39"/>
      <c r="BT698" s="39"/>
      <c r="BU698" s="39"/>
      <c r="BV698" s="39"/>
      <c r="BW698" s="39"/>
      <c r="BX698" s="39"/>
      <c r="BY698" s="39"/>
      <c r="BZ698" s="39">
        <f t="shared" si="485"/>
        <v>0</v>
      </c>
      <c r="CA698" s="39">
        <f t="shared" si="373"/>
        <v>-1800</v>
      </c>
      <c r="CB698" s="39">
        <f t="shared" si="374"/>
        <v>-508</v>
      </c>
      <c r="CC698" s="39">
        <f t="shared" si="375"/>
        <v>-25</v>
      </c>
      <c r="CD698" s="39">
        <f t="shared" si="376"/>
        <v>-2333</v>
      </c>
      <c r="CE698" s="102">
        <f t="shared" si="377"/>
        <v>-1</v>
      </c>
      <c r="CF698" s="36" t="s">
        <v>252</v>
      </c>
      <c r="CG698" s="39" t="s">
        <v>223</v>
      </c>
      <c r="CH698" s="39"/>
      <c r="CI698" s="25">
        <v>1</v>
      </c>
    </row>
    <row r="699" spans="1:87" ht="24.75" customHeight="1">
      <c r="A699" s="36" t="s">
        <v>388</v>
      </c>
      <c r="B699" s="27" t="s">
        <v>2428</v>
      </c>
      <c r="C699" s="253">
        <v>15323159</v>
      </c>
      <c r="D699" s="36"/>
      <c r="E699" s="39">
        <v>230</v>
      </c>
      <c r="F699" s="39" t="s">
        <v>53</v>
      </c>
      <c r="G699" s="36" t="s">
        <v>2429</v>
      </c>
      <c r="H699" s="39" t="s">
        <v>96</v>
      </c>
      <c r="I699" s="39">
        <v>30</v>
      </c>
      <c r="J699" s="39"/>
      <c r="K699" s="39"/>
      <c r="L699" s="39">
        <f t="shared" si="486"/>
        <v>30</v>
      </c>
      <c r="M699" s="117">
        <v>46258</v>
      </c>
      <c r="N699" s="117">
        <v>46262</v>
      </c>
      <c r="O699" s="39"/>
      <c r="P699" s="39"/>
      <c r="Q699" s="39"/>
      <c r="R699" s="39">
        <f t="shared" si="487"/>
        <v>0</v>
      </c>
      <c r="S699" s="39" t="s">
        <v>28</v>
      </c>
      <c r="T699" s="39"/>
      <c r="U699" s="39"/>
      <c r="V699" s="117">
        <v>46268</v>
      </c>
      <c r="W699" s="39">
        <v>40</v>
      </c>
      <c r="X699" s="117">
        <v>46279</v>
      </c>
      <c r="Y699" s="39">
        <v>35</v>
      </c>
      <c r="Z699" s="39"/>
      <c r="AA699" s="39"/>
      <c r="AB699" s="119">
        <f t="shared" si="488"/>
        <v>35</v>
      </c>
      <c r="AC699" s="39"/>
      <c r="AD699" s="39"/>
      <c r="AE699" s="39"/>
      <c r="AF699" s="39"/>
      <c r="AG699" s="39"/>
      <c r="AH699" s="39">
        <f t="shared" si="483"/>
        <v>0</v>
      </c>
      <c r="AI699" s="39"/>
      <c r="AJ699" s="39"/>
      <c r="AK699" s="39"/>
      <c r="AL699" s="39"/>
      <c r="AM699" s="39"/>
      <c r="AN699" s="39">
        <f t="shared" si="196"/>
        <v>0</v>
      </c>
      <c r="AO699" s="39"/>
      <c r="AP699" s="39"/>
      <c r="AQ699" s="39"/>
      <c r="AR699" s="39"/>
      <c r="AS699" s="39"/>
      <c r="AT699" s="39">
        <f t="shared" si="367"/>
        <v>0</v>
      </c>
      <c r="AU699" s="39"/>
      <c r="AV699" s="39"/>
      <c r="AW699" s="39"/>
      <c r="AX699" s="39"/>
      <c r="AY699" s="39"/>
      <c r="AZ699" s="39">
        <f t="shared" si="368"/>
        <v>0</v>
      </c>
      <c r="BA699" s="39"/>
      <c r="BB699" s="39"/>
      <c r="BC699" s="39"/>
      <c r="BD699" s="39"/>
      <c r="BE699" s="39"/>
      <c r="BF699" s="39">
        <f t="shared" si="369"/>
        <v>0</v>
      </c>
      <c r="BG699" s="39"/>
      <c r="BH699" s="39"/>
      <c r="BI699" s="39"/>
      <c r="BJ699" s="39"/>
      <c r="BK699" s="39"/>
      <c r="BL699" s="39">
        <f t="shared" si="484"/>
        <v>0</v>
      </c>
      <c r="BM699" s="54" t="str">
        <f t="shared" si="371"/>
        <v/>
      </c>
      <c r="BN699" s="56">
        <v>46266</v>
      </c>
      <c r="BO699" s="117">
        <v>46274</v>
      </c>
      <c r="BP699" s="39"/>
      <c r="BQ699" s="39"/>
      <c r="BR699" s="117">
        <v>46280</v>
      </c>
      <c r="BS699" s="117">
        <v>46280</v>
      </c>
      <c r="BT699" s="39">
        <v>970</v>
      </c>
      <c r="BU699" s="39">
        <v>35</v>
      </c>
      <c r="BV699" s="39"/>
      <c r="BW699" s="39"/>
      <c r="BX699" s="39"/>
      <c r="BY699" s="39"/>
      <c r="BZ699" s="39">
        <f t="shared" si="485"/>
        <v>35</v>
      </c>
      <c r="CA699" s="39">
        <f t="shared" si="373"/>
        <v>5</v>
      </c>
      <c r="CB699" s="39">
        <f t="shared" si="374"/>
        <v>0</v>
      </c>
      <c r="CC699" s="39">
        <f t="shared" si="375"/>
        <v>0</v>
      </c>
      <c r="CD699" s="39">
        <f t="shared" si="376"/>
        <v>0</v>
      </c>
      <c r="CE699" s="102">
        <f t="shared" si="377"/>
        <v>0</v>
      </c>
      <c r="CF699" s="36" t="s">
        <v>252</v>
      </c>
      <c r="CG699" s="39" t="s">
        <v>223</v>
      </c>
      <c r="CH699" s="39"/>
      <c r="CI699" s="25">
        <v>1</v>
      </c>
    </row>
    <row r="700" spans="1:87" ht="24.75" customHeight="1">
      <c r="A700" s="36" t="s">
        <v>388</v>
      </c>
      <c r="B700" s="27" t="s">
        <v>2428</v>
      </c>
      <c r="C700" s="266"/>
      <c r="D700" s="36"/>
      <c r="E700" s="39">
        <v>230</v>
      </c>
      <c r="F700" s="39" t="s">
        <v>53</v>
      </c>
      <c r="G700" s="36" t="s">
        <v>47</v>
      </c>
      <c r="H700" s="39" t="s">
        <v>96</v>
      </c>
      <c r="I700" s="39">
        <v>202</v>
      </c>
      <c r="J700" s="39"/>
      <c r="K700" s="39"/>
      <c r="L700" s="39">
        <f t="shared" si="486"/>
        <v>202</v>
      </c>
      <c r="M700" s="117">
        <v>46258</v>
      </c>
      <c r="N700" s="117">
        <v>46262</v>
      </c>
      <c r="O700" s="39"/>
      <c r="P700" s="39"/>
      <c r="Q700" s="39"/>
      <c r="R700" s="39">
        <f t="shared" si="487"/>
        <v>0</v>
      </c>
      <c r="S700" s="39" t="s">
        <v>130</v>
      </c>
      <c r="T700" s="39"/>
      <c r="U700" s="39"/>
      <c r="V700" s="39"/>
      <c r="W700" s="39"/>
      <c r="X700" s="39"/>
      <c r="Y700" s="39"/>
      <c r="Z700" s="39"/>
      <c r="AA700" s="39"/>
      <c r="AB700" s="118">
        <f t="shared" si="488"/>
        <v>0</v>
      </c>
      <c r="AC700" s="39"/>
      <c r="AD700" s="39"/>
      <c r="AE700" s="39"/>
      <c r="AF700" s="39"/>
      <c r="AG700" s="39"/>
      <c r="AH700" s="39">
        <f t="shared" si="483"/>
        <v>0</v>
      </c>
      <c r="AI700" s="39"/>
      <c r="AJ700" s="39"/>
      <c r="AK700" s="39"/>
      <c r="AL700" s="39"/>
      <c r="AM700" s="39"/>
      <c r="AN700" s="39">
        <f t="shared" si="196"/>
        <v>0</v>
      </c>
      <c r="AO700" s="39"/>
      <c r="AP700" s="39"/>
      <c r="AQ700" s="39"/>
      <c r="AR700" s="39"/>
      <c r="AS700" s="39"/>
      <c r="AT700" s="39">
        <f t="shared" si="367"/>
        <v>0</v>
      </c>
      <c r="AU700" s="39"/>
      <c r="AV700" s="39"/>
      <c r="AW700" s="39"/>
      <c r="AX700" s="39"/>
      <c r="AY700" s="39"/>
      <c r="AZ700" s="39">
        <f t="shared" si="368"/>
        <v>0</v>
      </c>
      <c r="BA700" s="39"/>
      <c r="BB700" s="39"/>
      <c r="BC700" s="39"/>
      <c r="BD700" s="39"/>
      <c r="BE700" s="39"/>
      <c r="BF700" s="39">
        <f t="shared" si="369"/>
        <v>0</v>
      </c>
      <c r="BG700" s="39"/>
      <c r="BH700" s="39"/>
      <c r="BI700" s="39"/>
      <c r="BJ700" s="39"/>
      <c r="BK700" s="39"/>
      <c r="BL700" s="39">
        <f t="shared" si="484"/>
        <v>0</v>
      </c>
      <c r="BM700" s="54">
        <f t="shared" ca="1" si="371"/>
        <v>46283</v>
      </c>
      <c r="BN700" s="56">
        <v>46266</v>
      </c>
      <c r="BO700" s="117">
        <v>46274</v>
      </c>
      <c r="BP700" s="39"/>
      <c r="BQ700" s="39"/>
      <c r="BR700" s="39"/>
      <c r="BS700" s="39"/>
      <c r="BT700" s="39"/>
      <c r="BU700" s="39"/>
      <c r="BV700" s="39"/>
      <c r="BW700" s="39"/>
      <c r="BX700" s="39"/>
      <c r="BY700" s="39"/>
      <c r="BZ700" s="39">
        <f t="shared" si="485"/>
        <v>0</v>
      </c>
      <c r="CA700" s="39">
        <f t="shared" si="373"/>
        <v>-202</v>
      </c>
      <c r="CB700" s="39">
        <f t="shared" si="374"/>
        <v>0</v>
      </c>
      <c r="CC700" s="39">
        <f t="shared" si="375"/>
        <v>0</v>
      </c>
      <c r="CD700" s="39">
        <f t="shared" si="376"/>
        <v>-202</v>
      </c>
      <c r="CE700" s="102">
        <f t="shared" si="377"/>
        <v>-1</v>
      </c>
      <c r="CF700" s="36" t="s">
        <v>252</v>
      </c>
      <c r="CG700" s="39" t="s">
        <v>223</v>
      </c>
      <c r="CH700" s="39"/>
      <c r="CI700" s="25">
        <v>1</v>
      </c>
    </row>
    <row r="701" spans="1:87" ht="24.75" customHeight="1">
      <c r="A701" s="36" t="s">
        <v>388</v>
      </c>
      <c r="B701" s="27" t="s">
        <v>2428</v>
      </c>
      <c r="C701" s="266"/>
      <c r="D701" s="36"/>
      <c r="E701" s="39">
        <v>230</v>
      </c>
      <c r="F701" s="39" t="s">
        <v>53</v>
      </c>
      <c r="G701" s="36" t="s">
        <v>2430</v>
      </c>
      <c r="H701" s="39" t="s">
        <v>96</v>
      </c>
      <c r="I701" s="39">
        <v>30</v>
      </c>
      <c r="J701" s="39"/>
      <c r="K701" s="39"/>
      <c r="L701" s="39">
        <f t="shared" si="486"/>
        <v>30</v>
      </c>
      <c r="M701" s="117">
        <v>46258</v>
      </c>
      <c r="N701" s="117">
        <v>46262</v>
      </c>
      <c r="O701" s="39"/>
      <c r="P701" s="39"/>
      <c r="Q701" s="39"/>
      <c r="R701" s="39">
        <f t="shared" si="487"/>
        <v>0</v>
      </c>
      <c r="S701" s="39" t="s">
        <v>31</v>
      </c>
      <c r="T701" s="39"/>
      <c r="U701" s="39"/>
      <c r="V701" s="117">
        <v>46267</v>
      </c>
      <c r="W701" s="39">
        <v>40</v>
      </c>
      <c r="X701" s="117">
        <v>46278</v>
      </c>
      <c r="Y701" s="39">
        <f>37-7</f>
        <v>30</v>
      </c>
      <c r="Z701" s="39"/>
      <c r="AA701" s="39"/>
      <c r="AB701" s="119">
        <f t="shared" si="488"/>
        <v>30</v>
      </c>
      <c r="AC701" s="39"/>
      <c r="AD701" s="39"/>
      <c r="AE701" s="39"/>
      <c r="AF701" s="39"/>
      <c r="AG701" s="39"/>
      <c r="AH701" s="39">
        <f t="shared" si="483"/>
        <v>0</v>
      </c>
      <c r="AI701" s="39"/>
      <c r="AJ701" s="39"/>
      <c r="AK701" s="39"/>
      <c r="AL701" s="39"/>
      <c r="AM701" s="39"/>
      <c r="AN701" s="39">
        <f t="shared" si="196"/>
        <v>0</v>
      </c>
      <c r="AO701" s="39"/>
      <c r="AP701" s="39"/>
      <c r="AQ701" s="39"/>
      <c r="AR701" s="39"/>
      <c r="AS701" s="39"/>
      <c r="AT701" s="39">
        <f t="shared" si="367"/>
        <v>0</v>
      </c>
      <c r="AU701" s="39"/>
      <c r="AV701" s="39"/>
      <c r="AW701" s="39"/>
      <c r="AX701" s="39"/>
      <c r="AY701" s="39"/>
      <c r="AZ701" s="39">
        <f t="shared" si="368"/>
        <v>0</v>
      </c>
      <c r="BA701" s="39"/>
      <c r="BB701" s="39"/>
      <c r="BC701" s="39"/>
      <c r="BD701" s="39"/>
      <c r="BE701" s="39"/>
      <c r="BF701" s="39">
        <f t="shared" si="369"/>
        <v>0</v>
      </c>
      <c r="BG701" s="39"/>
      <c r="BH701" s="39"/>
      <c r="BI701" s="39"/>
      <c r="BJ701" s="39"/>
      <c r="BK701" s="39"/>
      <c r="BL701" s="39">
        <f t="shared" si="484"/>
        <v>0</v>
      </c>
      <c r="BM701" s="54" t="str">
        <f t="shared" si="371"/>
        <v/>
      </c>
      <c r="BN701" s="56">
        <v>46266</v>
      </c>
      <c r="BO701" s="117">
        <v>46274</v>
      </c>
      <c r="BP701" s="39"/>
      <c r="BQ701" s="39"/>
      <c r="BR701" s="117">
        <v>46279</v>
      </c>
      <c r="BS701" s="117">
        <v>46279</v>
      </c>
      <c r="BT701" s="39">
        <v>862</v>
      </c>
      <c r="BU701" s="39">
        <v>30</v>
      </c>
      <c r="BV701" s="39"/>
      <c r="BW701" s="39"/>
      <c r="BX701" s="39"/>
      <c r="BY701" s="39"/>
      <c r="BZ701" s="39">
        <f t="shared" si="485"/>
        <v>30</v>
      </c>
      <c r="CA701" s="39">
        <f t="shared" si="373"/>
        <v>0</v>
      </c>
      <c r="CB701" s="39">
        <f t="shared" si="374"/>
        <v>0</v>
      </c>
      <c r="CC701" s="39">
        <f t="shared" si="375"/>
        <v>0</v>
      </c>
      <c r="CD701" s="39">
        <f t="shared" si="376"/>
        <v>0</v>
      </c>
      <c r="CE701" s="102">
        <f t="shared" si="377"/>
        <v>0</v>
      </c>
      <c r="CF701" s="36" t="s">
        <v>252</v>
      </c>
      <c r="CG701" s="39" t="s">
        <v>223</v>
      </c>
      <c r="CH701" s="39"/>
      <c r="CI701" s="25">
        <v>1</v>
      </c>
    </row>
    <row r="702" spans="1:87" ht="24.75" customHeight="1">
      <c r="A702" s="36" t="s">
        <v>388</v>
      </c>
      <c r="B702" s="27" t="s">
        <v>2428</v>
      </c>
      <c r="C702" s="266"/>
      <c r="D702" s="36"/>
      <c r="E702" s="39">
        <v>230</v>
      </c>
      <c r="F702" s="39" t="s">
        <v>53</v>
      </c>
      <c r="G702" s="36" t="s">
        <v>524</v>
      </c>
      <c r="H702" s="39" t="s">
        <v>96</v>
      </c>
      <c r="I702" s="39">
        <v>211</v>
      </c>
      <c r="J702" s="39"/>
      <c r="K702" s="39"/>
      <c r="L702" s="39">
        <f t="shared" si="486"/>
        <v>211</v>
      </c>
      <c r="M702" s="117">
        <v>46258</v>
      </c>
      <c r="N702" s="117">
        <v>46262</v>
      </c>
      <c r="O702" s="39"/>
      <c r="P702" s="39"/>
      <c r="Q702" s="39"/>
      <c r="R702" s="39">
        <f t="shared" si="487"/>
        <v>0</v>
      </c>
      <c r="S702" s="39" t="s">
        <v>100</v>
      </c>
      <c r="T702" s="39"/>
      <c r="U702" s="39"/>
      <c r="V702" s="117">
        <v>46273</v>
      </c>
      <c r="W702" s="39">
        <v>230</v>
      </c>
      <c r="X702" s="117">
        <v>46281</v>
      </c>
      <c r="Y702" s="39">
        <v>210</v>
      </c>
      <c r="Z702" s="39"/>
      <c r="AA702" s="39"/>
      <c r="AB702" s="119">
        <f t="shared" si="488"/>
        <v>210</v>
      </c>
      <c r="AC702" s="39"/>
      <c r="AD702" s="39"/>
      <c r="AE702" s="39"/>
      <c r="AF702" s="39"/>
      <c r="AG702" s="39"/>
      <c r="AH702" s="39">
        <f t="shared" si="483"/>
        <v>0</v>
      </c>
      <c r="AI702" s="39"/>
      <c r="AJ702" s="39"/>
      <c r="AK702" s="39"/>
      <c r="AL702" s="39"/>
      <c r="AM702" s="39"/>
      <c r="AN702" s="39">
        <f t="shared" si="196"/>
        <v>0</v>
      </c>
      <c r="AO702" s="39"/>
      <c r="AP702" s="39"/>
      <c r="AQ702" s="39"/>
      <c r="AR702" s="39"/>
      <c r="AS702" s="39"/>
      <c r="AT702" s="39">
        <f t="shared" si="367"/>
        <v>0</v>
      </c>
      <c r="AU702" s="39"/>
      <c r="AV702" s="39"/>
      <c r="AW702" s="39"/>
      <c r="AX702" s="39"/>
      <c r="AY702" s="39"/>
      <c r="AZ702" s="39">
        <f t="shared" si="368"/>
        <v>0</v>
      </c>
      <c r="BA702" s="39"/>
      <c r="BB702" s="39"/>
      <c r="BC702" s="39"/>
      <c r="BD702" s="39"/>
      <c r="BE702" s="39"/>
      <c r="BF702" s="39">
        <f t="shared" si="369"/>
        <v>0</v>
      </c>
      <c r="BG702" s="39"/>
      <c r="BH702" s="39"/>
      <c r="BI702" s="39"/>
      <c r="BJ702" s="39"/>
      <c r="BK702" s="39"/>
      <c r="BL702" s="39">
        <f t="shared" si="484"/>
        <v>0</v>
      </c>
      <c r="BM702" s="54" t="str">
        <f t="shared" si="371"/>
        <v/>
      </c>
      <c r="BN702" s="56">
        <v>46266</v>
      </c>
      <c r="BO702" s="117">
        <v>46274</v>
      </c>
      <c r="BP702" s="39"/>
      <c r="BQ702" s="39"/>
      <c r="BR702" s="117">
        <v>46282</v>
      </c>
      <c r="BS702" s="117">
        <v>46282</v>
      </c>
      <c r="BT702" s="39">
        <v>974</v>
      </c>
      <c r="BU702" s="39">
        <v>210</v>
      </c>
      <c r="BV702" s="39"/>
      <c r="BW702" s="39"/>
      <c r="BX702" s="39"/>
      <c r="BY702" s="39"/>
      <c r="BZ702" s="39">
        <f t="shared" si="485"/>
        <v>210</v>
      </c>
      <c r="CA702" s="39">
        <f t="shared" si="373"/>
        <v>-1</v>
      </c>
      <c r="CB702" s="39">
        <f t="shared" si="374"/>
        <v>0</v>
      </c>
      <c r="CC702" s="39">
        <f t="shared" si="375"/>
        <v>0</v>
      </c>
      <c r="CD702" s="39">
        <v>0</v>
      </c>
      <c r="CE702" s="102">
        <f t="shared" si="377"/>
        <v>0</v>
      </c>
      <c r="CF702" s="36" t="s">
        <v>252</v>
      </c>
      <c r="CG702" s="39" t="s">
        <v>223</v>
      </c>
      <c r="CH702" s="39"/>
      <c r="CI702" s="25">
        <v>1</v>
      </c>
    </row>
    <row r="703" spans="1:87" ht="24.75" customHeight="1">
      <c r="A703" s="36" t="s">
        <v>388</v>
      </c>
      <c r="B703" s="27" t="s">
        <v>2428</v>
      </c>
      <c r="C703" s="254"/>
      <c r="D703" s="36"/>
      <c r="E703" s="39">
        <v>230</v>
      </c>
      <c r="F703" s="39" t="s">
        <v>53</v>
      </c>
      <c r="G703" s="36" t="s">
        <v>187</v>
      </c>
      <c r="H703" s="39" t="s">
        <v>96</v>
      </c>
      <c r="I703" s="39">
        <v>70</v>
      </c>
      <c r="J703" s="39"/>
      <c r="K703" s="39"/>
      <c r="L703" s="39">
        <f t="shared" si="486"/>
        <v>70</v>
      </c>
      <c r="M703" s="117">
        <v>46258</v>
      </c>
      <c r="N703" s="117">
        <v>46262</v>
      </c>
      <c r="O703" s="39"/>
      <c r="P703" s="39"/>
      <c r="Q703" s="39"/>
      <c r="R703" s="39">
        <f t="shared" si="487"/>
        <v>0</v>
      </c>
      <c r="S703" s="39" t="s">
        <v>130</v>
      </c>
      <c r="T703" s="39">
        <v>109449</v>
      </c>
      <c r="U703" s="117">
        <v>46281</v>
      </c>
      <c r="V703" s="39"/>
      <c r="W703" s="39"/>
      <c r="X703" s="39"/>
      <c r="Y703" s="39">
        <v>88</v>
      </c>
      <c r="Z703" s="39"/>
      <c r="AA703" s="39"/>
      <c r="AB703" s="119">
        <f t="shared" si="488"/>
        <v>88</v>
      </c>
      <c r="AC703" s="39"/>
      <c r="AD703" s="39"/>
      <c r="AE703" s="39"/>
      <c r="AF703" s="39"/>
      <c r="AG703" s="39"/>
      <c r="AH703" s="39">
        <f t="shared" si="483"/>
        <v>0</v>
      </c>
      <c r="AI703" s="39"/>
      <c r="AJ703" s="39"/>
      <c r="AK703" s="39"/>
      <c r="AL703" s="39"/>
      <c r="AM703" s="39"/>
      <c r="AN703" s="39">
        <f t="shared" si="196"/>
        <v>0</v>
      </c>
      <c r="AO703" s="39"/>
      <c r="AP703" s="39"/>
      <c r="AQ703" s="39"/>
      <c r="AR703" s="39"/>
      <c r="AS703" s="39"/>
      <c r="AT703" s="39">
        <f t="shared" si="367"/>
        <v>0</v>
      </c>
      <c r="AU703" s="39"/>
      <c r="AV703" s="39"/>
      <c r="AW703" s="39"/>
      <c r="AX703" s="39"/>
      <c r="AY703" s="39"/>
      <c r="AZ703" s="39">
        <f t="shared" si="368"/>
        <v>0</v>
      </c>
      <c r="BA703" s="39"/>
      <c r="BB703" s="39"/>
      <c r="BC703" s="39"/>
      <c r="BD703" s="39"/>
      <c r="BE703" s="39"/>
      <c r="BF703" s="39">
        <f t="shared" si="369"/>
        <v>0</v>
      </c>
      <c r="BG703" s="39"/>
      <c r="BH703" s="39"/>
      <c r="BI703" s="39"/>
      <c r="BJ703" s="39"/>
      <c r="BK703" s="39"/>
      <c r="BL703" s="39">
        <f t="shared" si="484"/>
        <v>0</v>
      </c>
      <c r="BM703" s="54">
        <f t="shared" ca="1" si="371"/>
        <v>2</v>
      </c>
      <c r="BN703" s="56">
        <v>46266</v>
      </c>
      <c r="BO703" s="117">
        <v>46274</v>
      </c>
      <c r="BP703" s="39"/>
      <c r="BQ703" s="39"/>
      <c r="BR703" s="39"/>
      <c r="BS703" s="39"/>
      <c r="BT703" s="39"/>
      <c r="BU703" s="39"/>
      <c r="BV703" s="39"/>
      <c r="BW703" s="39"/>
      <c r="BX703" s="39"/>
      <c r="BY703" s="39"/>
      <c r="BZ703" s="39">
        <f t="shared" si="485"/>
        <v>0</v>
      </c>
      <c r="CA703" s="39">
        <f t="shared" si="373"/>
        <v>-70</v>
      </c>
      <c r="CB703" s="39">
        <f t="shared" si="374"/>
        <v>0</v>
      </c>
      <c r="CC703" s="39">
        <f t="shared" si="375"/>
        <v>0</v>
      </c>
      <c r="CD703" s="39">
        <f t="shared" si="376"/>
        <v>-70</v>
      </c>
      <c r="CE703" s="102">
        <f t="shared" si="377"/>
        <v>-1</v>
      </c>
      <c r="CF703" s="36" t="s">
        <v>252</v>
      </c>
      <c r="CG703" s="39" t="s">
        <v>223</v>
      </c>
      <c r="CH703" s="39"/>
      <c r="CI703" s="25">
        <v>1</v>
      </c>
    </row>
    <row r="704" spans="1:87" ht="24.75" customHeight="1">
      <c r="A704" s="36" t="s">
        <v>388</v>
      </c>
      <c r="B704" s="27" t="s">
        <v>2431</v>
      </c>
      <c r="C704" s="227">
        <v>15323159</v>
      </c>
      <c r="D704" s="36"/>
      <c r="E704" s="39">
        <v>230</v>
      </c>
      <c r="F704" s="39" t="s">
        <v>53</v>
      </c>
      <c r="G704" s="36" t="s">
        <v>47</v>
      </c>
      <c r="H704" s="39" t="s">
        <v>96</v>
      </c>
      <c r="I704" s="39">
        <v>2436</v>
      </c>
      <c r="J704" s="39"/>
      <c r="K704" s="39"/>
      <c r="L704" s="39">
        <f t="shared" si="486"/>
        <v>2436</v>
      </c>
      <c r="M704" s="117">
        <v>46259</v>
      </c>
      <c r="N704" s="117">
        <v>46270</v>
      </c>
      <c r="O704" s="39"/>
      <c r="P704" s="39"/>
      <c r="Q704" s="39"/>
      <c r="R704" s="39">
        <f t="shared" si="487"/>
        <v>0</v>
      </c>
      <c r="S704" s="39" t="s">
        <v>130</v>
      </c>
      <c r="T704" s="39" t="s">
        <v>3085</v>
      </c>
      <c r="U704" s="117" t="s">
        <v>3084</v>
      </c>
      <c r="V704" s="39"/>
      <c r="W704" s="39"/>
      <c r="X704" s="39"/>
      <c r="Y704" s="39">
        <f>440+860+852</f>
        <v>2152</v>
      </c>
      <c r="Z704" s="39"/>
      <c r="AA704" s="39"/>
      <c r="AB704" s="118">
        <f t="shared" si="488"/>
        <v>2152</v>
      </c>
      <c r="AC704" s="39"/>
      <c r="AD704" s="39"/>
      <c r="AE704" s="39"/>
      <c r="AF704" s="39"/>
      <c r="AG704" s="39"/>
      <c r="AH704" s="39">
        <f t="shared" si="483"/>
        <v>0</v>
      </c>
      <c r="AI704" s="39"/>
      <c r="AJ704" s="39"/>
      <c r="AK704" s="39"/>
      <c r="AL704" s="39"/>
      <c r="AM704" s="39"/>
      <c r="AN704" s="39">
        <f t="shared" si="196"/>
        <v>0</v>
      </c>
      <c r="AO704" s="39"/>
      <c r="AP704" s="39"/>
      <c r="AQ704" s="39"/>
      <c r="AR704" s="39"/>
      <c r="AS704" s="39"/>
      <c r="AT704" s="39">
        <f t="shared" si="367"/>
        <v>0</v>
      </c>
      <c r="AU704" s="39"/>
      <c r="AV704" s="39"/>
      <c r="AW704" s="39"/>
      <c r="AX704" s="39"/>
      <c r="AY704" s="39"/>
      <c r="AZ704" s="39">
        <f t="shared" si="368"/>
        <v>0</v>
      </c>
      <c r="BA704" s="39"/>
      <c r="BB704" s="39"/>
      <c r="BC704" s="39"/>
      <c r="BD704" s="39"/>
      <c r="BE704" s="39"/>
      <c r="BF704" s="39">
        <f t="shared" si="369"/>
        <v>0</v>
      </c>
      <c r="BG704" s="39"/>
      <c r="BH704" s="39"/>
      <c r="BI704" s="39"/>
      <c r="BJ704" s="39"/>
      <c r="BK704" s="39"/>
      <c r="BL704" s="39">
        <f t="shared" si="484"/>
        <v>0</v>
      </c>
      <c r="BM704" s="54" t="e">
        <f t="shared" ca="1" si="371"/>
        <v>#VALUE!</v>
      </c>
      <c r="BN704" s="56">
        <v>46273</v>
      </c>
      <c r="BO704" s="117">
        <v>46287</v>
      </c>
      <c r="BP704" s="39"/>
      <c r="BQ704" s="39"/>
      <c r="BR704" s="117">
        <v>46268</v>
      </c>
      <c r="BS704" s="39"/>
      <c r="BT704" s="39">
        <v>742</v>
      </c>
      <c r="BU704" s="39">
        <f>395</f>
        <v>395</v>
      </c>
      <c r="BV704" s="39"/>
      <c r="BW704" s="39"/>
      <c r="BX704" s="39"/>
      <c r="BY704" s="39"/>
      <c r="BZ704" s="39">
        <f t="shared" si="485"/>
        <v>395</v>
      </c>
      <c r="CA704" s="39">
        <f t="shared" si="373"/>
        <v>-2041</v>
      </c>
      <c r="CB704" s="39">
        <f t="shared" si="374"/>
        <v>0</v>
      </c>
      <c r="CC704" s="39">
        <f t="shared" si="375"/>
        <v>0</v>
      </c>
      <c r="CD704" s="39">
        <f t="shared" si="376"/>
        <v>-2041</v>
      </c>
      <c r="CE704" s="102">
        <f t="shared" si="377"/>
        <v>-0.83784893267651883</v>
      </c>
      <c r="CF704" s="36" t="s">
        <v>252</v>
      </c>
      <c r="CG704" s="39" t="s">
        <v>223</v>
      </c>
      <c r="CH704" s="39"/>
      <c r="CI704" s="25">
        <v>1</v>
      </c>
    </row>
    <row r="705" spans="1:87" ht="24.75" customHeight="1">
      <c r="A705" s="36" t="s">
        <v>388</v>
      </c>
      <c r="B705" s="27" t="s">
        <v>2431</v>
      </c>
      <c r="C705" s="231"/>
      <c r="D705" s="36"/>
      <c r="E705" s="39">
        <v>230</v>
      </c>
      <c r="F705" s="39" t="s">
        <v>53</v>
      </c>
      <c r="G705" s="36" t="s">
        <v>306</v>
      </c>
      <c r="H705" s="39" t="s">
        <v>96</v>
      </c>
      <c r="I705" s="39">
        <v>727</v>
      </c>
      <c r="J705" s="39"/>
      <c r="K705" s="39"/>
      <c r="L705" s="39">
        <f t="shared" si="486"/>
        <v>727</v>
      </c>
      <c r="M705" s="117">
        <v>46259</v>
      </c>
      <c r="N705" s="117">
        <v>46270</v>
      </c>
      <c r="O705" s="39"/>
      <c r="P705" s="39"/>
      <c r="Q705" s="39"/>
      <c r="R705" s="39">
        <f t="shared" si="487"/>
        <v>0</v>
      </c>
      <c r="S705" s="39" t="s">
        <v>100</v>
      </c>
      <c r="T705" s="39"/>
      <c r="U705" s="39"/>
      <c r="V705" s="117">
        <v>46268</v>
      </c>
      <c r="W705" s="39">
        <v>812</v>
      </c>
      <c r="X705" s="39"/>
      <c r="Y705" s="39"/>
      <c r="Z705" s="39"/>
      <c r="AA705" s="39"/>
      <c r="AB705" s="118">
        <f t="shared" si="488"/>
        <v>0</v>
      </c>
      <c r="AC705" s="39"/>
      <c r="AD705" s="39"/>
      <c r="AE705" s="39"/>
      <c r="AF705" s="39"/>
      <c r="AG705" s="39"/>
      <c r="AH705" s="39">
        <f t="shared" si="483"/>
        <v>0</v>
      </c>
      <c r="AI705" s="39"/>
      <c r="AJ705" s="39"/>
      <c r="AK705" s="39"/>
      <c r="AL705" s="39"/>
      <c r="AM705" s="39"/>
      <c r="AN705" s="39">
        <f t="shared" si="196"/>
        <v>0</v>
      </c>
      <c r="AO705" s="39"/>
      <c r="AP705" s="39"/>
      <c r="AQ705" s="39"/>
      <c r="AR705" s="39"/>
      <c r="AS705" s="39"/>
      <c r="AT705" s="39">
        <f t="shared" si="367"/>
        <v>0</v>
      </c>
      <c r="AU705" s="39"/>
      <c r="AV705" s="39"/>
      <c r="AW705" s="39"/>
      <c r="AX705" s="39"/>
      <c r="AY705" s="39"/>
      <c r="AZ705" s="39">
        <f t="shared" si="368"/>
        <v>0</v>
      </c>
      <c r="BA705" s="39"/>
      <c r="BB705" s="39"/>
      <c r="BC705" s="39"/>
      <c r="BD705" s="39"/>
      <c r="BE705" s="39"/>
      <c r="BF705" s="39">
        <f t="shared" si="369"/>
        <v>0</v>
      </c>
      <c r="BG705" s="39"/>
      <c r="BH705" s="39"/>
      <c r="BI705" s="39"/>
      <c r="BJ705" s="39"/>
      <c r="BK705" s="39"/>
      <c r="BL705" s="39">
        <f t="shared" si="484"/>
        <v>0</v>
      </c>
      <c r="BM705" s="54" t="str">
        <f t="shared" si="371"/>
        <v/>
      </c>
      <c r="BN705" s="56">
        <v>46273</v>
      </c>
      <c r="BO705" s="117">
        <v>46287</v>
      </c>
      <c r="BP705" s="39"/>
      <c r="BQ705" s="39"/>
      <c r="BR705" s="117">
        <v>46282</v>
      </c>
      <c r="BS705" s="117">
        <v>46282</v>
      </c>
      <c r="BT705" s="39">
        <v>974</v>
      </c>
      <c r="BU705" s="39">
        <v>723</v>
      </c>
      <c r="BV705" s="39"/>
      <c r="BW705" s="39"/>
      <c r="BX705" s="39"/>
      <c r="BY705" s="39"/>
      <c r="BZ705" s="39">
        <f t="shared" si="485"/>
        <v>723</v>
      </c>
      <c r="CA705" s="39">
        <f t="shared" si="373"/>
        <v>-4</v>
      </c>
      <c r="CB705" s="39">
        <f t="shared" si="374"/>
        <v>0</v>
      </c>
      <c r="CC705" s="39">
        <f t="shared" si="375"/>
        <v>0</v>
      </c>
      <c r="CD705" s="39">
        <v>0</v>
      </c>
      <c r="CE705" s="102">
        <f t="shared" si="377"/>
        <v>0</v>
      </c>
      <c r="CF705" s="36" t="s">
        <v>252</v>
      </c>
      <c r="CG705" s="39" t="s">
        <v>223</v>
      </c>
      <c r="CH705" s="39"/>
      <c r="CI705" s="25">
        <v>1</v>
      </c>
    </row>
    <row r="706" spans="1:87" ht="24.75" customHeight="1">
      <c r="A706" s="36" t="s">
        <v>388</v>
      </c>
      <c r="B706" s="27" t="s">
        <v>2431</v>
      </c>
      <c r="C706" s="228"/>
      <c r="D706" s="36"/>
      <c r="E706" s="39">
        <v>230</v>
      </c>
      <c r="F706" s="39" t="s">
        <v>53</v>
      </c>
      <c r="G706" s="36" t="s">
        <v>23</v>
      </c>
      <c r="H706" s="39" t="s">
        <v>96</v>
      </c>
      <c r="I706" s="39">
        <v>1218</v>
      </c>
      <c r="J706" s="39"/>
      <c r="K706" s="39"/>
      <c r="L706" s="39">
        <f t="shared" si="486"/>
        <v>1218</v>
      </c>
      <c r="M706" s="117">
        <v>46259</v>
      </c>
      <c r="N706" s="117">
        <v>46270</v>
      </c>
      <c r="O706" s="39"/>
      <c r="P706" s="39"/>
      <c r="Q706" s="39"/>
      <c r="R706" s="39">
        <f t="shared" si="487"/>
        <v>0</v>
      </c>
      <c r="S706" s="39" t="s">
        <v>100</v>
      </c>
      <c r="T706" s="39"/>
      <c r="U706" s="39"/>
      <c r="V706" s="117">
        <v>46273</v>
      </c>
      <c r="W706" s="39">
        <f>1252+77</f>
        <v>1329</v>
      </c>
      <c r="X706" s="117">
        <v>46281</v>
      </c>
      <c r="Y706" s="39">
        <f>555+723</f>
        <v>1278</v>
      </c>
      <c r="Z706" s="39"/>
      <c r="AA706" s="39"/>
      <c r="AB706" s="119">
        <f t="shared" si="488"/>
        <v>1278</v>
      </c>
      <c r="AC706" s="39"/>
      <c r="AD706" s="39"/>
      <c r="AE706" s="39"/>
      <c r="AF706" s="39"/>
      <c r="AG706" s="39"/>
      <c r="AH706" s="39">
        <f t="shared" si="483"/>
        <v>0</v>
      </c>
      <c r="AI706" s="39"/>
      <c r="AJ706" s="39"/>
      <c r="AK706" s="39"/>
      <c r="AL706" s="39"/>
      <c r="AM706" s="39"/>
      <c r="AN706" s="39">
        <f t="shared" si="196"/>
        <v>0</v>
      </c>
      <c r="AO706" s="39"/>
      <c r="AP706" s="39"/>
      <c r="AQ706" s="39"/>
      <c r="AR706" s="39"/>
      <c r="AS706" s="39"/>
      <c r="AT706" s="39">
        <f t="shared" si="367"/>
        <v>0</v>
      </c>
      <c r="AU706" s="39"/>
      <c r="AV706" s="39"/>
      <c r="AW706" s="39"/>
      <c r="AX706" s="39"/>
      <c r="AY706" s="39"/>
      <c r="AZ706" s="39">
        <f t="shared" si="368"/>
        <v>0</v>
      </c>
      <c r="BA706" s="39"/>
      <c r="BB706" s="39"/>
      <c r="BC706" s="39"/>
      <c r="BD706" s="39"/>
      <c r="BE706" s="39"/>
      <c r="BF706" s="39">
        <f t="shared" si="369"/>
        <v>0</v>
      </c>
      <c r="BG706" s="39"/>
      <c r="BH706" s="39"/>
      <c r="BI706" s="39"/>
      <c r="BJ706" s="39"/>
      <c r="BK706" s="39"/>
      <c r="BL706" s="39">
        <f t="shared" si="484"/>
        <v>0</v>
      </c>
      <c r="BM706" s="54">
        <f t="shared" ca="1" si="371"/>
        <v>46283</v>
      </c>
      <c r="BN706" s="56">
        <v>46273</v>
      </c>
      <c r="BO706" s="117">
        <v>46287</v>
      </c>
      <c r="BP706" s="36"/>
      <c r="BQ706" s="36"/>
      <c r="BR706" s="117">
        <v>46282</v>
      </c>
      <c r="BS706" s="39"/>
      <c r="BT706" s="39">
        <v>974</v>
      </c>
      <c r="BU706" s="39">
        <v>555</v>
      </c>
      <c r="BV706" s="39"/>
      <c r="BW706" s="39"/>
      <c r="BX706" s="39"/>
      <c r="BY706" s="39"/>
      <c r="BZ706" s="39">
        <f t="shared" si="485"/>
        <v>555</v>
      </c>
      <c r="CA706" s="39">
        <f t="shared" si="373"/>
        <v>-663</v>
      </c>
      <c r="CB706" s="39">
        <f t="shared" si="374"/>
        <v>0</v>
      </c>
      <c r="CC706" s="39">
        <f t="shared" si="375"/>
        <v>0</v>
      </c>
      <c r="CD706" s="39">
        <f t="shared" si="376"/>
        <v>-663</v>
      </c>
      <c r="CE706" s="102">
        <f t="shared" si="377"/>
        <v>-0.54433497536945807</v>
      </c>
      <c r="CF706" s="36" t="s">
        <v>252</v>
      </c>
      <c r="CG706" s="39" t="s">
        <v>223</v>
      </c>
      <c r="CH706" s="39"/>
      <c r="CI706" s="25">
        <v>1</v>
      </c>
    </row>
    <row r="707" spans="1:87" ht="24.75" customHeight="1">
      <c r="A707" s="36" t="s">
        <v>388</v>
      </c>
      <c r="B707" s="27" t="s">
        <v>2432</v>
      </c>
      <c r="C707" s="257">
        <v>15270390</v>
      </c>
      <c r="D707" s="36"/>
      <c r="E707" s="39">
        <v>150</v>
      </c>
      <c r="F707" s="39" t="s">
        <v>69</v>
      </c>
      <c r="G707" s="36" t="s">
        <v>401</v>
      </c>
      <c r="H707" s="39" t="s">
        <v>22</v>
      </c>
      <c r="I707" s="39">
        <v>598</v>
      </c>
      <c r="J707" s="39"/>
      <c r="K707" s="39"/>
      <c r="L707" s="39">
        <f t="shared" si="486"/>
        <v>598</v>
      </c>
      <c r="M707" s="117">
        <v>46258</v>
      </c>
      <c r="N707" s="117">
        <v>46270</v>
      </c>
      <c r="O707" s="39"/>
      <c r="P707" s="39"/>
      <c r="Q707" s="39"/>
      <c r="R707" s="39">
        <f t="shared" si="487"/>
        <v>0</v>
      </c>
      <c r="S707" s="39" t="s">
        <v>100</v>
      </c>
      <c r="T707" s="39"/>
      <c r="U707" s="39"/>
      <c r="V707" s="117">
        <v>46277</v>
      </c>
      <c r="W707" s="39">
        <v>672</v>
      </c>
      <c r="X707" s="39"/>
      <c r="Y707" s="39"/>
      <c r="Z707" s="39"/>
      <c r="AA707" s="39"/>
      <c r="AB707" s="118">
        <f t="shared" si="488"/>
        <v>0</v>
      </c>
      <c r="AC707" s="39"/>
      <c r="AD707" s="39"/>
      <c r="AE707" s="39"/>
      <c r="AF707" s="39"/>
      <c r="AG707" s="39"/>
      <c r="AH707" s="39">
        <f t="shared" si="483"/>
        <v>0</v>
      </c>
      <c r="AI707" s="39"/>
      <c r="AJ707" s="39"/>
      <c r="AK707" s="39"/>
      <c r="AL707" s="39"/>
      <c r="AM707" s="39"/>
      <c r="AN707" s="39">
        <f t="shared" si="196"/>
        <v>0</v>
      </c>
      <c r="AO707" s="39"/>
      <c r="AP707" s="39"/>
      <c r="AQ707" s="39"/>
      <c r="AR707" s="39"/>
      <c r="AS707" s="39"/>
      <c r="AT707" s="39">
        <f t="shared" si="367"/>
        <v>0</v>
      </c>
      <c r="AU707" s="39"/>
      <c r="AV707" s="39"/>
      <c r="AW707" s="39"/>
      <c r="AX707" s="39"/>
      <c r="AY707" s="39"/>
      <c r="AZ707" s="39">
        <f t="shared" si="368"/>
        <v>0</v>
      </c>
      <c r="BA707" s="39"/>
      <c r="BB707" s="39"/>
      <c r="BC707" s="39"/>
      <c r="BD707" s="39"/>
      <c r="BE707" s="39"/>
      <c r="BF707" s="39">
        <f t="shared" si="369"/>
        <v>0</v>
      </c>
      <c r="BG707" s="39"/>
      <c r="BH707" s="39"/>
      <c r="BI707" s="39"/>
      <c r="BJ707" s="39"/>
      <c r="BK707" s="39"/>
      <c r="BL707" s="39">
        <f t="shared" si="484"/>
        <v>0</v>
      </c>
      <c r="BM707" s="54">
        <f t="shared" ca="1" si="371"/>
        <v>46283</v>
      </c>
      <c r="BN707" s="58">
        <v>46267</v>
      </c>
      <c r="BO707" s="57">
        <v>46279</v>
      </c>
      <c r="BP707" s="36"/>
      <c r="BQ707" s="36"/>
      <c r="BR707" s="39"/>
      <c r="BS707" s="39"/>
      <c r="BT707" s="39"/>
      <c r="BU707" s="39"/>
      <c r="BV707" s="39"/>
      <c r="BW707" s="39"/>
      <c r="BX707" s="39"/>
      <c r="BY707" s="39"/>
      <c r="BZ707" s="39">
        <f t="shared" si="485"/>
        <v>0</v>
      </c>
      <c r="CA707" s="39">
        <f t="shared" si="373"/>
        <v>-598</v>
      </c>
      <c r="CB707" s="39">
        <f t="shared" si="374"/>
        <v>0</v>
      </c>
      <c r="CC707" s="39">
        <f t="shared" si="375"/>
        <v>0</v>
      </c>
      <c r="CD707" s="39">
        <f t="shared" si="376"/>
        <v>-598</v>
      </c>
      <c r="CE707" s="102">
        <f t="shared" si="377"/>
        <v>-1</v>
      </c>
      <c r="CF707" s="36" t="s">
        <v>252</v>
      </c>
      <c r="CG707" s="39" t="s">
        <v>223</v>
      </c>
      <c r="CH707" s="39"/>
      <c r="CI707" s="25">
        <v>1</v>
      </c>
    </row>
    <row r="708" spans="1:87" ht="24.75" customHeight="1">
      <c r="A708" s="36" t="s">
        <v>388</v>
      </c>
      <c r="B708" s="27" t="s">
        <v>2432</v>
      </c>
      <c r="C708" s="258"/>
      <c r="D708" s="36"/>
      <c r="E708" s="39">
        <v>150</v>
      </c>
      <c r="F708" s="39" t="s">
        <v>69</v>
      </c>
      <c r="G708" s="36" t="s">
        <v>193</v>
      </c>
      <c r="H708" s="39" t="s">
        <v>22</v>
      </c>
      <c r="I708" s="39">
        <v>768</v>
      </c>
      <c r="J708" s="39"/>
      <c r="K708" s="39"/>
      <c r="L708" s="39">
        <f t="shared" si="486"/>
        <v>768</v>
      </c>
      <c r="M708" s="117">
        <v>46258</v>
      </c>
      <c r="N708" s="117">
        <v>46270</v>
      </c>
      <c r="O708" s="39"/>
      <c r="P708" s="39"/>
      <c r="Q708" s="39"/>
      <c r="R708" s="39">
        <f t="shared" si="487"/>
        <v>0</v>
      </c>
      <c r="S708" s="39" t="s">
        <v>130</v>
      </c>
      <c r="T708" s="39" t="s">
        <v>2871</v>
      </c>
      <c r="U708" s="117" t="s">
        <v>2831</v>
      </c>
      <c r="V708" s="39"/>
      <c r="W708" s="39"/>
      <c r="X708" s="39"/>
      <c r="Y708" s="39">
        <f>280+581</f>
        <v>861</v>
      </c>
      <c r="Z708" s="39"/>
      <c r="AA708" s="39"/>
      <c r="AB708" s="119">
        <f t="shared" si="488"/>
        <v>861</v>
      </c>
      <c r="AC708" s="39"/>
      <c r="AD708" s="39"/>
      <c r="AE708" s="39"/>
      <c r="AF708" s="39"/>
      <c r="AG708" s="39"/>
      <c r="AH708" s="39">
        <f t="shared" si="483"/>
        <v>0</v>
      </c>
      <c r="AI708" s="39"/>
      <c r="AJ708" s="39"/>
      <c r="AK708" s="39"/>
      <c r="AL708" s="39"/>
      <c r="AM708" s="39"/>
      <c r="AN708" s="39">
        <f t="shared" si="196"/>
        <v>0</v>
      </c>
      <c r="AO708" s="39"/>
      <c r="AP708" s="39"/>
      <c r="AQ708" s="39"/>
      <c r="AR708" s="39"/>
      <c r="AS708" s="39"/>
      <c r="AT708" s="39">
        <f t="shared" si="367"/>
        <v>0</v>
      </c>
      <c r="AU708" s="39"/>
      <c r="AV708" s="39"/>
      <c r="AW708" s="39"/>
      <c r="AX708" s="39"/>
      <c r="AY708" s="39"/>
      <c r="AZ708" s="39">
        <f t="shared" si="368"/>
        <v>0</v>
      </c>
      <c r="BA708" s="39"/>
      <c r="BB708" s="39"/>
      <c r="BC708" s="39"/>
      <c r="BD708" s="39"/>
      <c r="BE708" s="39"/>
      <c r="BF708" s="39">
        <f t="shared" si="369"/>
        <v>0</v>
      </c>
      <c r="BG708" s="39"/>
      <c r="BH708" s="39"/>
      <c r="BI708" s="39"/>
      <c r="BJ708" s="39"/>
      <c r="BK708" s="39"/>
      <c r="BL708" s="39">
        <f t="shared" si="484"/>
        <v>0</v>
      </c>
      <c r="BM708" s="54" t="str">
        <f t="shared" si="371"/>
        <v/>
      </c>
      <c r="BN708" s="58">
        <v>46267</v>
      </c>
      <c r="BO708" s="57">
        <v>46279</v>
      </c>
      <c r="BP708" s="36"/>
      <c r="BQ708" s="36"/>
      <c r="BR708" s="117">
        <v>46276</v>
      </c>
      <c r="BS708" s="117">
        <v>46276</v>
      </c>
      <c r="BT708" s="39">
        <v>781</v>
      </c>
      <c r="BU708" s="39">
        <f>240+516</f>
        <v>756</v>
      </c>
      <c r="BV708" s="39"/>
      <c r="BW708" s="39"/>
      <c r="BX708" s="39"/>
      <c r="BY708" s="39"/>
      <c r="BZ708" s="39">
        <f t="shared" si="485"/>
        <v>756</v>
      </c>
      <c r="CA708" s="39">
        <f t="shared" si="373"/>
        <v>-12</v>
      </c>
      <c r="CB708" s="39">
        <f t="shared" si="374"/>
        <v>0</v>
      </c>
      <c r="CC708" s="39">
        <f t="shared" si="375"/>
        <v>0</v>
      </c>
      <c r="CD708" s="39">
        <v>0</v>
      </c>
      <c r="CE708" s="102">
        <f t="shared" si="377"/>
        <v>0</v>
      </c>
      <c r="CF708" s="36" t="s">
        <v>252</v>
      </c>
      <c r="CG708" s="39" t="s">
        <v>223</v>
      </c>
      <c r="CH708" s="39"/>
      <c r="CI708" s="25">
        <v>1</v>
      </c>
    </row>
    <row r="709" spans="1:87" ht="24.75" customHeight="1">
      <c r="A709" s="36" t="s">
        <v>388</v>
      </c>
      <c r="B709" s="27" t="s">
        <v>2432</v>
      </c>
      <c r="C709" s="258"/>
      <c r="D709" s="36"/>
      <c r="E709" s="39">
        <v>150</v>
      </c>
      <c r="F709" s="39" t="s">
        <v>69</v>
      </c>
      <c r="G709" s="36" t="s">
        <v>1654</v>
      </c>
      <c r="H709" s="39" t="s">
        <v>22</v>
      </c>
      <c r="I709" s="39">
        <v>47</v>
      </c>
      <c r="J709" s="39"/>
      <c r="K709" s="39"/>
      <c r="L709" s="39">
        <f t="shared" si="486"/>
        <v>47</v>
      </c>
      <c r="M709" s="117">
        <v>46258</v>
      </c>
      <c r="N709" s="117">
        <v>46270</v>
      </c>
      <c r="O709" s="39"/>
      <c r="P709" s="39"/>
      <c r="Q709" s="39"/>
      <c r="R709" s="39">
        <f t="shared" si="487"/>
        <v>0</v>
      </c>
      <c r="S709" s="39" t="s">
        <v>28</v>
      </c>
      <c r="T709" s="39"/>
      <c r="U709" s="39"/>
      <c r="V709" s="117">
        <v>46258</v>
      </c>
      <c r="W709" s="39">
        <v>60</v>
      </c>
      <c r="X709" s="117">
        <v>46277</v>
      </c>
      <c r="Y709" s="39">
        <v>55</v>
      </c>
      <c r="Z709" s="39"/>
      <c r="AA709" s="39"/>
      <c r="AB709" s="119">
        <f t="shared" si="488"/>
        <v>55</v>
      </c>
      <c r="AC709" s="39"/>
      <c r="AD709" s="39"/>
      <c r="AE709" s="39"/>
      <c r="AF709" s="39"/>
      <c r="AG709" s="39"/>
      <c r="AH709" s="39">
        <f t="shared" si="483"/>
        <v>0</v>
      </c>
      <c r="AI709" s="39"/>
      <c r="AJ709" s="39"/>
      <c r="AK709" s="39"/>
      <c r="AL709" s="39"/>
      <c r="AM709" s="39"/>
      <c r="AN709" s="39">
        <f t="shared" si="196"/>
        <v>0</v>
      </c>
      <c r="AO709" s="39"/>
      <c r="AP709" s="39"/>
      <c r="AQ709" s="39"/>
      <c r="AR709" s="39"/>
      <c r="AS709" s="39"/>
      <c r="AT709" s="39">
        <f t="shared" si="367"/>
        <v>0</v>
      </c>
      <c r="AU709" s="39"/>
      <c r="AV709" s="39"/>
      <c r="AW709" s="39"/>
      <c r="AX709" s="39"/>
      <c r="AY709" s="39"/>
      <c r="AZ709" s="39">
        <f t="shared" si="368"/>
        <v>0</v>
      </c>
      <c r="BA709" s="39"/>
      <c r="BB709" s="39"/>
      <c r="BC709" s="39"/>
      <c r="BD709" s="39"/>
      <c r="BE709" s="39"/>
      <c r="BF709" s="39">
        <f t="shared" si="369"/>
        <v>0</v>
      </c>
      <c r="BG709" s="39"/>
      <c r="BH709" s="39"/>
      <c r="BI709" s="39"/>
      <c r="BJ709" s="39"/>
      <c r="BK709" s="39"/>
      <c r="BL709" s="39">
        <f t="shared" si="484"/>
        <v>0</v>
      </c>
      <c r="BM709" s="54" t="str">
        <f t="shared" si="371"/>
        <v/>
      </c>
      <c r="BN709" s="58">
        <v>46267</v>
      </c>
      <c r="BO709" s="57">
        <v>46279</v>
      </c>
      <c r="BP709" s="39"/>
      <c r="BQ709" s="39"/>
      <c r="BR709" s="117">
        <v>46277</v>
      </c>
      <c r="BS709" s="117">
        <v>46277</v>
      </c>
      <c r="BT709" s="39">
        <v>968</v>
      </c>
      <c r="BU709" s="39">
        <v>55</v>
      </c>
      <c r="BV709" s="39"/>
      <c r="BW709" s="39"/>
      <c r="BX709" s="39"/>
      <c r="BY709" s="39"/>
      <c r="BZ709" s="39">
        <f t="shared" si="485"/>
        <v>55</v>
      </c>
      <c r="CA709" s="39">
        <f t="shared" si="373"/>
        <v>8</v>
      </c>
      <c r="CB709" s="39">
        <f t="shared" si="374"/>
        <v>0</v>
      </c>
      <c r="CC709" s="39">
        <f t="shared" si="375"/>
        <v>0</v>
      </c>
      <c r="CD709" s="39">
        <f t="shared" si="376"/>
        <v>0</v>
      </c>
      <c r="CE709" s="102">
        <f t="shared" si="377"/>
        <v>0</v>
      </c>
      <c r="CF709" s="36" t="s">
        <v>252</v>
      </c>
      <c r="CG709" s="39" t="s">
        <v>223</v>
      </c>
      <c r="CH709" s="39"/>
      <c r="CI709" s="25">
        <v>1</v>
      </c>
    </row>
    <row r="710" spans="1:87" ht="24.75" customHeight="1">
      <c r="A710" s="36" t="s">
        <v>388</v>
      </c>
      <c r="B710" s="27" t="s">
        <v>2432</v>
      </c>
      <c r="C710" s="258"/>
      <c r="D710" s="36"/>
      <c r="E710" s="39">
        <v>150</v>
      </c>
      <c r="F710" s="39" t="s">
        <v>69</v>
      </c>
      <c r="G710" s="36" t="s">
        <v>21</v>
      </c>
      <c r="H710" s="39" t="s">
        <v>22</v>
      </c>
      <c r="I710" s="39">
        <v>973</v>
      </c>
      <c r="J710" s="39"/>
      <c r="K710" s="39"/>
      <c r="L710" s="39">
        <f t="shared" si="486"/>
        <v>973</v>
      </c>
      <c r="M710" s="117">
        <v>46258</v>
      </c>
      <c r="N710" s="117">
        <v>46270</v>
      </c>
      <c r="O710" s="39"/>
      <c r="P710" s="39"/>
      <c r="Q710" s="39"/>
      <c r="R710" s="39">
        <f t="shared" si="487"/>
        <v>0</v>
      </c>
      <c r="S710" s="39" t="s">
        <v>130</v>
      </c>
      <c r="T710" s="39">
        <v>108997</v>
      </c>
      <c r="U710" s="117">
        <v>46263</v>
      </c>
      <c r="V710" s="39"/>
      <c r="W710" s="39"/>
      <c r="X710" s="39"/>
      <c r="Y710" s="39">
        <f>850</f>
        <v>850</v>
      </c>
      <c r="Z710" s="39"/>
      <c r="AA710" s="39"/>
      <c r="AB710" s="118">
        <f t="shared" si="488"/>
        <v>850</v>
      </c>
      <c r="AC710" s="39"/>
      <c r="AD710" s="39"/>
      <c r="AE710" s="39"/>
      <c r="AF710" s="39"/>
      <c r="AG710" s="39"/>
      <c r="AH710" s="39">
        <f t="shared" si="483"/>
        <v>0</v>
      </c>
      <c r="AI710" s="39"/>
      <c r="AJ710" s="39"/>
      <c r="AK710" s="39"/>
      <c r="AL710" s="39"/>
      <c r="AM710" s="39"/>
      <c r="AN710" s="39">
        <f t="shared" si="196"/>
        <v>0</v>
      </c>
      <c r="AO710" s="39"/>
      <c r="AP710" s="39"/>
      <c r="AQ710" s="39"/>
      <c r="AR710" s="39"/>
      <c r="AS710" s="39"/>
      <c r="AT710" s="39">
        <f t="shared" si="367"/>
        <v>0</v>
      </c>
      <c r="AU710" s="39"/>
      <c r="AV710" s="39"/>
      <c r="AW710" s="39"/>
      <c r="AX710" s="39"/>
      <c r="AY710" s="39"/>
      <c r="AZ710" s="39">
        <f t="shared" si="368"/>
        <v>0</v>
      </c>
      <c r="BA710" s="39"/>
      <c r="BB710" s="39"/>
      <c r="BC710" s="39"/>
      <c r="BD710" s="39"/>
      <c r="BE710" s="39"/>
      <c r="BF710" s="39">
        <f t="shared" si="369"/>
        <v>0</v>
      </c>
      <c r="BG710" s="39"/>
      <c r="BH710" s="39"/>
      <c r="BI710" s="39"/>
      <c r="BJ710" s="39"/>
      <c r="BK710" s="39"/>
      <c r="BL710" s="39">
        <f t="shared" si="484"/>
        <v>0</v>
      </c>
      <c r="BM710" s="54">
        <f t="shared" ca="1" si="371"/>
        <v>20</v>
      </c>
      <c r="BN710" s="58">
        <v>46267</v>
      </c>
      <c r="BO710" s="57">
        <v>46279</v>
      </c>
      <c r="BP710" s="39"/>
      <c r="BQ710" s="39"/>
      <c r="BR710" s="117">
        <v>46266</v>
      </c>
      <c r="BS710" s="39"/>
      <c r="BT710" s="39">
        <v>731</v>
      </c>
      <c r="BU710" s="39">
        <f>767</f>
        <v>767</v>
      </c>
      <c r="BV710" s="39"/>
      <c r="BW710" s="39"/>
      <c r="BX710" s="39"/>
      <c r="BY710" s="39"/>
      <c r="BZ710" s="39">
        <f t="shared" si="485"/>
        <v>767</v>
      </c>
      <c r="CA710" s="39">
        <f t="shared" si="373"/>
        <v>-206</v>
      </c>
      <c r="CB710" s="39">
        <f t="shared" si="374"/>
        <v>0</v>
      </c>
      <c r="CC710" s="39">
        <f t="shared" si="375"/>
        <v>0</v>
      </c>
      <c r="CD710" s="39">
        <f t="shared" si="376"/>
        <v>-206</v>
      </c>
      <c r="CE710" s="102">
        <f t="shared" si="377"/>
        <v>-0.2117163412127441</v>
      </c>
      <c r="CF710" s="36" t="s">
        <v>252</v>
      </c>
      <c r="CG710" s="39" t="s">
        <v>223</v>
      </c>
      <c r="CH710" s="39"/>
      <c r="CI710" s="25">
        <v>1</v>
      </c>
    </row>
    <row r="711" spans="1:87" ht="24.75" customHeight="1">
      <c r="A711" s="36" t="s">
        <v>388</v>
      </c>
      <c r="B711" s="27" t="s">
        <v>2432</v>
      </c>
      <c r="C711" s="258"/>
      <c r="D711" s="36"/>
      <c r="E711" s="39">
        <v>150</v>
      </c>
      <c r="F711" s="39" t="s">
        <v>69</v>
      </c>
      <c r="G711" s="36" t="s">
        <v>2433</v>
      </c>
      <c r="H711" s="39" t="s">
        <v>22</v>
      </c>
      <c r="I711" s="39">
        <v>835</v>
      </c>
      <c r="J711" s="39"/>
      <c r="K711" s="39"/>
      <c r="L711" s="39">
        <f t="shared" si="486"/>
        <v>835</v>
      </c>
      <c r="M711" s="117">
        <v>46258</v>
      </c>
      <c r="N711" s="117">
        <v>46270</v>
      </c>
      <c r="O711" s="39"/>
      <c r="P711" s="39"/>
      <c r="Q711" s="39"/>
      <c r="R711" s="39">
        <f t="shared" si="487"/>
        <v>0</v>
      </c>
      <c r="S711" s="39" t="s">
        <v>31</v>
      </c>
      <c r="T711" s="39"/>
      <c r="U711" s="39"/>
      <c r="V711" s="117">
        <v>46273</v>
      </c>
      <c r="W711" s="39">
        <v>937</v>
      </c>
      <c r="X711" s="39"/>
      <c r="Y711" s="39"/>
      <c r="Z711" s="39"/>
      <c r="AA711" s="39"/>
      <c r="AB711" s="118">
        <f t="shared" si="488"/>
        <v>0</v>
      </c>
      <c r="AC711" s="39"/>
      <c r="AD711" s="39"/>
      <c r="AE711" s="39"/>
      <c r="AF711" s="39"/>
      <c r="AG711" s="39"/>
      <c r="AH711" s="39">
        <f t="shared" si="483"/>
        <v>0</v>
      </c>
      <c r="AI711" s="39"/>
      <c r="AJ711" s="39"/>
      <c r="AK711" s="39"/>
      <c r="AL711" s="39"/>
      <c r="AM711" s="39"/>
      <c r="AN711" s="39">
        <f t="shared" si="196"/>
        <v>0</v>
      </c>
      <c r="AO711" s="39"/>
      <c r="AP711" s="39"/>
      <c r="AQ711" s="39"/>
      <c r="AR711" s="39"/>
      <c r="AS711" s="39"/>
      <c r="AT711" s="39">
        <f t="shared" si="367"/>
        <v>0</v>
      </c>
      <c r="AU711" s="39"/>
      <c r="AV711" s="39"/>
      <c r="AW711" s="39"/>
      <c r="AX711" s="39"/>
      <c r="AY711" s="39"/>
      <c r="AZ711" s="39">
        <f t="shared" si="368"/>
        <v>0</v>
      </c>
      <c r="BA711" s="39"/>
      <c r="BB711" s="39"/>
      <c r="BC711" s="39"/>
      <c r="BD711" s="39"/>
      <c r="BE711" s="39"/>
      <c r="BF711" s="39">
        <f t="shared" si="369"/>
        <v>0</v>
      </c>
      <c r="BG711" s="39"/>
      <c r="BH711" s="39"/>
      <c r="BI711" s="39"/>
      <c r="BJ711" s="39"/>
      <c r="BK711" s="39"/>
      <c r="BL711" s="39">
        <f t="shared" si="484"/>
        <v>0</v>
      </c>
      <c r="BM711" s="54">
        <f t="shared" ca="1" si="371"/>
        <v>46283</v>
      </c>
      <c r="BN711" s="58">
        <v>46267</v>
      </c>
      <c r="BO711" s="57">
        <v>46279</v>
      </c>
      <c r="BP711" s="39"/>
      <c r="BQ711" s="39"/>
      <c r="BR711" s="39"/>
      <c r="BS711" s="39"/>
      <c r="BT711" s="39"/>
      <c r="BU711" s="39"/>
      <c r="BV711" s="39"/>
      <c r="BW711" s="39"/>
      <c r="BX711" s="39"/>
      <c r="BY711" s="39"/>
      <c r="BZ711" s="39">
        <f t="shared" si="485"/>
        <v>0</v>
      </c>
      <c r="CA711" s="39">
        <f t="shared" si="373"/>
        <v>-835</v>
      </c>
      <c r="CB711" s="39">
        <f t="shared" si="374"/>
        <v>0</v>
      </c>
      <c r="CC711" s="39">
        <f t="shared" si="375"/>
        <v>0</v>
      </c>
      <c r="CD711" s="39">
        <f t="shared" si="376"/>
        <v>-835</v>
      </c>
      <c r="CE711" s="102">
        <f t="shared" si="377"/>
        <v>-1</v>
      </c>
      <c r="CF711" s="36" t="s">
        <v>252</v>
      </c>
      <c r="CG711" s="39" t="s">
        <v>223</v>
      </c>
      <c r="CH711" s="39"/>
      <c r="CI711" s="25">
        <v>1</v>
      </c>
    </row>
    <row r="712" spans="1:87" ht="24.75" customHeight="1">
      <c r="A712" s="36" t="s">
        <v>388</v>
      </c>
      <c r="B712" s="27" t="s">
        <v>2432</v>
      </c>
      <c r="C712" s="258"/>
      <c r="D712" s="36"/>
      <c r="E712" s="39">
        <v>150</v>
      </c>
      <c r="F712" s="39" t="s">
        <v>69</v>
      </c>
      <c r="G712" s="36" t="s">
        <v>545</v>
      </c>
      <c r="H712" s="39" t="s">
        <v>22</v>
      </c>
      <c r="I712" s="39">
        <v>130</v>
      </c>
      <c r="J712" s="39"/>
      <c r="K712" s="39"/>
      <c r="L712" s="39">
        <f t="shared" si="486"/>
        <v>130</v>
      </c>
      <c r="M712" s="117">
        <v>46258</v>
      </c>
      <c r="N712" s="117">
        <v>46270</v>
      </c>
      <c r="O712" s="39"/>
      <c r="P712" s="39"/>
      <c r="Q712" s="39"/>
      <c r="R712" s="39">
        <f t="shared" si="487"/>
        <v>0</v>
      </c>
      <c r="S712" s="39" t="s">
        <v>130</v>
      </c>
      <c r="T712" s="39"/>
      <c r="U712" s="39"/>
      <c r="V712" s="39"/>
      <c r="W712" s="39"/>
      <c r="X712" s="39"/>
      <c r="Y712" s="39"/>
      <c r="Z712" s="39"/>
      <c r="AA712" s="39"/>
      <c r="AB712" s="118">
        <f t="shared" si="488"/>
        <v>0</v>
      </c>
      <c r="AC712" s="39"/>
      <c r="AD712" s="39"/>
      <c r="AE712" s="39"/>
      <c r="AF712" s="39"/>
      <c r="AG712" s="39"/>
      <c r="AH712" s="39">
        <f t="shared" si="483"/>
        <v>0</v>
      </c>
      <c r="AI712" s="39"/>
      <c r="AJ712" s="39"/>
      <c r="AK712" s="39"/>
      <c r="AL712" s="39"/>
      <c r="AM712" s="39"/>
      <c r="AN712" s="39">
        <f t="shared" si="196"/>
        <v>0</v>
      </c>
      <c r="AO712" s="39"/>
      <c r="AP712" s="39"/>
      <c r="AQ712" s="39"/>
      <c r="AR712" s="39"/>
      <c r="AS712" s="39"/>
      <c r="AT712" s="39">
        <f t="shared" si="367"/>
        <v>0</v>
      </c>
      <c r="AU712" s="39"/>
      <c r="AV712" s="39"/>
      <c r="AW712" s="39"/>
      <c r="AX712" s="39"/>
      <c r="AY712" s="39"/>
      <c r="AZ712" s="39">
        <f t="shared" si="368"/>
        <v>0</v>
      </c>
      <c r="BA712" s="39"/>
      <c r="BB712" s="39"/>
      <c r="BC712" s="39"/>
      <c r="BD712" s="39"/>
      <c r="BE712" s="39"/>
      <c r="BF712" s="39">
        <f t="shared" si="369"/>
        <v>0</v>
      </c>
      <c r="BG712" s="39"/>
      <c r="BH712" s="39"/>
      <c r="BI712" s="39"/>
      <c r="BJ712" s="39"/>
      <c r="BK712" s="39"/>
      <c r="BL712" s="39">
        <f t="shared" si="484"/>
        <v>0</v>
      </c>
      <c r="BM712" s="54">
        <f t="shared" ca="1" si="371"/>
        <v>46283</v>
      </c>
      <c r="BN712" s="58">
        <v>46267</v>
      </c>
      <c r="BO712" s="57">
        <v>46279</v>
      </c>
      <c r="BP712" s="39"/>
      <c r="BQ712" s="39"/>
      <c r="BR712" s="39"/>
      <c r="BS712" s="39"/>
      <c r="BT712" s="39"/>
      <c r="BU712" s="39"/>
      <c r="BV712" s="39"/>
      <c r="BW712" s="39"/>
      <c r="BX712" s="39"/>
      <c r="BY712" s="39"/>
      <c r="BZ712" s="39">
        <f t="shared" si="485"/>
        <v>0</v>
      </c>
      <c r="CA712" s="39">
        <f t="shared" si="373"/>
        <v>-130</v>
      </c>
      <c r="CB712" s="39">
        <f t="shared" si="374"/>
        <v>0</v>
      </c>
      <c r="CC712" s="39">
        <f t="shared" si="375"/>
        <v>0</v>
      </c>
      <c r="CD712" s="39">
        <f t="shared" si="376"/>
        <v>-130</v>
      </c>
      <c r="CE712" s="102">
        <f t="shared" si="377"/>
        <v>-1</v>
      </c>
      <c r="CF712" s="36" t="s">
        <v>252</v>
      </c>
      <c r="CG712" s="39" t="s">
        <v>223</v>
      </c>
      <c r="CH712" s="39"/>
      <c r="CI712" s="25">
        <v>1</v>
      </c>
    </row>
    <row r="713" spans="1:87" ht="24.75" customHeight="1">
      <c r="A713" s="36" t="s">
        <v>388</v>
      </c>
      <c r="B713" s="27" t="s">
        <v>2432</v>
      </c>
      <c r="C713" s="258"/>
      <c r="D713" s="36"/>
      <c r="E713" s="39">
        <v>150</v>
      </c>
      <c r="F713" s="39" t="s">
        <v>69</v>
      </c>
      <c r="G713" s="36" t="s">
        <v>2434</v>
      </c>
      <c r="H713" s="39" t="s">
        <v>22</v>
      </c>
      <c r="I713" s="39">
        <v>130</v>
      </c>
      <c r="J713" s="39"/>
      <c r="K713" s="39"/>
      <c r="L713" s="39">
        <f t="shared" si="486"/>
        <v>130</v>
      </c>
      <c r="M713" s="117">
        <v>46258</v>
      </c>
      <c r="N713" s="117">
        <v>46270</v>
      </c>
      <c r="O713" s="39"/>
      <c r="P713" s="39"/>
      <c r="Q713" s="39"/>
      <c r="R713" s="39">
        <f t="shared" si="487"/>
        <v>0</v>
      </c>
      <c r="S713" s="39" t="s">
        <v>28</v>
      </c>
      <c r="T713" s="39"/>
      <c r="U713" s="39"/>
      <c r="V713" s="117">
        <v>46270</v>
      </c>
      <c r="W713" s="39">
        <v>159</v>
      </c>
      <c r="X713" s="39"/>
      <c r="Y713" s="39"/>
      <c r="Z713" s="39"/>
      <c r="AA713" s="39"/>
      <c r="AB713" s="118">
        <f t="shared" si="488"/>
        <v>0</v>
      </c>
      <c r="AC713" s="39"/>
      <c r="AD713" s="39"/>
      <c r="AE713" s="39"/>
      <c r="AF713" s="39"/>
      <c r="AG713" s="39"/>
      <c r="AH713" s="39">
        <f t="shared" si="483"/>
        <v>0</v>
      </c>
      <c r="AI713" s="39"/>
      <c r="AJ713" s="39"/>
      <c r="AK713" s="39"/>
      <c r="AL713" s="39"/>
      <c r="AM713" s="39"/>
      <c r="AN713" s="39">
        <f t="shared" si="196"/>
        <v>0</v>
      </c>
      <c r="AO713" s="39"/>
      <c r="AP713" s="39"/>
      <c r="AQ713" s="39"/>
      <c r="AR713" s="39"/>
      <c r="AS713" s="39"/>
      <c r="AT713" s="39">
        <f t="shared" si="367"/>
        <v>0</v>
      </c>
      <c r="AU713" s="39"/>
      <c r="AV713" s="39"/>
      <c r="AW713" s="39"/>
      <c r="AX713" s="39"/>
      <c r="AY713" s="39"/>
      <c r="AZ713" s="39">
        <f t="shared" si="368"/>
        <v>0</v>
      </c>
      <c r="BA713" s="39"/>
      <c r="BB713" s="39"/>
      <c r="BC713" s="39"/>
      <c r="BD713" s="39"/>
      <c r="BE713" s="39"/>
      <c r="BF713" s="39">
        <f t="shared" si="369"/>
        <v>0</v>
      </c>
      <c r="BG713" s="39"/>
      <c r="BH713" s="39"/>
      <c r="BI713" s="39"/>
      <c r="BJ713" s="39"/>
      <c r="BK713" s="39"/>
      <c r="BL713" s="39">
        <f t="shared" si="484"/>
        <v>0</v>
      </c>
      <c r="BM713" s="54">
        <f t="shared" ca="1" si="371"/>
        <v>46283</v>
      </c>
      <c r="BN713" s="58">
        <v>46267</v>
      </c>
      <c r="BO713" s="57">
        <v>46279</v>
      </c>
      <c r="BP713" s="39"/>
      <c r="BQ713" s="39"/>
      <c r="BR713" s="39"/>
      <c r="BS713" s="39"/>
      <c r="BT713" s="39"/>
      <c r="BU713" s="39"/>
      <c r="BV713" s="39"/>
      <c r="BW713" s="39"/>
      <c r="BX713" s="39"/>
      <c r="BY713" s="39"/>
      <c r="BZ713" s="39">
        <f t="shared" si="485"/>
        <v>0</v>
      </c>
      <c r="CA713" s="39">
        <f t="shared" si="373"/>
        <v>-130</v>
      </c>
      <c r="CB713" s="39">
        <f t="shared" si="374"/>
        <v>0</v>
      </c>
      <c r="CC713" s="39">
        <f t="shared" si="375"/>
        <v>0</v>
      </c>
      <c r="CD713" s="39">
        <f t="shared" si="376"/>
        <v>-130</v>
      </c>
      <c r="CE713" s="102">
        <f t="shared" si="377"/>
        <v>-1</v>
      </c>
      <c r="CF713" s="36" t="s">
        <v>252</v>
      </c>
      <c r="CG713" s="39" t="s">
        <v>223</v>
      </c>
      <c r="CH713" s="39"/>
      <c r="CI713" s="25">
        <v>1</v>
      </c>
    </row>
    <row r="714" spans="1:87" ht="24.75" customHeight="1">
      <c r="A714" s="36" t="s">
        <v>388</v>
      </c>
      <c r="B714" s="27" t="s">
        <v>2432</v>
      </c>
      <c r="C714" s="258"/>
      <c r="D714" s="36"/>
      <c r="E714" s="39">
        <v>150</v>
      </c>
      <c r="F714" s="39" t="s">
        <v>69</v>
      </c>
      <c r="G714" s="36" t="s">
        <v>2435</v>
      </c>
      <c r="H714" s="39" t="s">
        <v>22</v>
      </c>
      <c r="I714" s="39">
        <v>415</v>
      </c>
      <c r="J714" s="39"/>
      <c r="K714" s="39"/>
      <c r="L714" s="39">
        <f t="shared" si="486"/>
        <v>415</v>
      </c>
      <c r="M714" s="117">
        <v>46258</v>
      </c>
      <c r="N714" s="117">
        <v>46270</v>
      </c>
      <c r="O714" s="39"/>
      <c r="P714" s="39"/>
      <c r="Q714" s="39"/>
      <c r="R714" s="39">
        <f t="shared" si="487"/>
        <v>0</v>
      </c>
      <c r="S714" s="39" t="s">
        <v>28</v>
      </c>
      <c r="T714" s="39"/>
      <c r="U714" s="39"/>
      <c r="V714" s="117">
        <v>46270</v>
      </c>
      <c r="W714" s="39">
        <v>467</v>
      </c>
      <c r="X714" s="39"/>
      <c r="Y714" s="39"/>
      <c r="Z714" s="39"/>
      <c r="AA714" s="39"/>
      <c r="AB714" s="118">
        <f t="shared" si="488"/>
        <v>0</v>
      </c>
      <c r="AC714" s="39"/>
      <c r="AD714" s="39"/>
      <c r="AE714" s="39"/>
      <c r="AF714" s="39"/>
      <c r="AG714" s="39"/>
      <c r="AH714" s="39">
        <f t="shared" si="483"/>
        <v>0</v>
      </c>
      <c r="AI714" s="39"/>
      <c r="AJ714" s="39"/>
      <c r="AK714" s="39"/>
      <c r="AL714" s="39"/>
      <c r="AM714" s="39"/>
      <c r="AN714" s="39">
        <f t="shared" si="196"/>
        <v>0</v>
      </c>
      <c r="AO714" s="39"/>
      <c r="AP714" s="39"/>
      <c r="AQ714" s="39"/>
      <c r="AR714" s="39"/>
      <c r="AS714" s="39"/>
      <c r="AT714" s="39">
        <f t="shared" si="367"/>
        <v>0</v>
      </c>
      <c r="AU714" s="39"/>
      <c r="AV714" s="39"/>
      <c r="AW714" s="39"/>
      <c r="AX714" s="39"/>
      <c r="AY714" s="39"/>
      <c r="AZ714" s="39">
        <f t="shared" si="368"/>
        <v>0</v>
      </c>
      <c r="BA714" s="39"/>
      <c r="BB714" s="39"/>
      <c r="BC714" s="39"/>
      <c r="BD714" s="39"/>
      <c r="BE714" s="39"/>
      <c r="BF714" s="39">
        <f t="shared" si="369"/>
        <v>0</v>
      </c>
      <c r="BG714" s="39"/>
      <c r="BH714" s="39"/>
      <c r="BI714" s="39"/>
      <c r="BJ714" s="39"/>
      <c r="BK714" s="39"/>
      <c r="BL714" s="39">
        <f t="shared" si="484"/>
        <v>0</v>
      </c>
      <c r="BM714" s="54">
        <f t="shared" ca="1" si="371"/>
        <v>46283</v>
      </c>
      <c r="BN714" s="58">
        <v>46267</v>
      </c>
      <c r="BO714" s="57">
        <v>46279</v>
      </c>
      <c r="BP714" s="39"/>
      <c r="BQ714" s="39"/>
      <c r="BR714" s="39"/>
      <c r="BS714" s="39"/>
      <c r="BT714" s="39"/>
      <c r="BU714" s="39"/>
      <c r="BV714" s="39"/>
      <c r="BW714" s="39"/>
      <c r="BX714" s="39"/>
      <c r="BY714" s="39"/>
      <c r="BZ714" s="39">
        <f t="shared" si="485"/>
        <v>0</v>
      </c>
      <c r="CA714" s="39">
        <f t="shared" si="373"/>
        <v>-415</v>
      </c>
      <c r="CB714" s="39">
        <f t="shared" si="374"/>
        <v>0</v>
      </c>
      <c r="CC714" s="39">
        <f t="shared" si="375"/>
        <v>0</v>
      </c>
      <c r="CD714" s="39">
        <f t="shared" si="376"/>
        <v>-415</v>
      </c>
      <c r="CE714" s="102">
        <f t="shared" si="377"/>
        <v>-1</v>
      </c>
      <c r="CF714" s="36" t="s">
        <v>252</v>
      </c>
      <c r="CG714" s="39" t="s">
        <v>223</v>
      </c>
      <c r="CH714" s="39"/>
      <c r="CI714" s="25">
        <v>1</v>
      </c>
    </row>
    <row r="715" spans="1:87" ht="24.75" customHeight="1">
      <c r="A715" s="36" t="s">
        <v>388</v>
      </c>
      <c r="B715" s="27" t="s">
        <v>2432</v>
      </c>
      <c r="C715" s="258"/>
      <c r="D715" s="36"/>
      <c r="E715" s="39">
        <v>150</v>
      </c>
      <c r="F715" s="39" t="s">
        <v>69</v>
      </c>
      <c r="G715" s="36" t="s">
        <v>1215</v>
      </c>
      <c r="H715" s="39" t="s">
        <v>22</v>
      </c>
      <c r="I715" s="39">
        <v>478</v>
      </c>
      <c r="J715" s="39"/>
      <c r="K715" s="39"/>
      <c r="L715" s="39">
        <f t="shared" si="486"/>
        <v>478</v>
      </c>
      <c r="M715" s="117">
        <v>46258</v>
      </c>
      <c r="N715" s="117">
        <v>46270</v>
      </c>
      <c r="O715" s="39"/>
      <c r="P715" s="39"/>
      <c r="Q715" s="39"/>
      <c r="R715" s="39">
        <f t="shared" si="487"/>
        <v>0</v>
      </c>
      <c r="S715" s="39" t="s">
        <v>130</v>
      </c>
      <c r="T715" s="39">
        <v>108995</v>
      </c>
      <c r="U715" s="117">
        <v>46261</v>
      </c>
      <c r="V715" s="39"/>
      <c r="W715" s="39"/>
      <c r="X715" s="39"/>
      <c r="Y715" s="39">
        <v>535</v>
      </c>
      <c r="Z715" s="39"/>
      <c r="AA715" s="39"/>
      <c r="AB715" s="119">
        <f t="shared" si="488"/>
        <v>535</v>
      </c>
      <c r="AC715" s="39"/>
      <c r="AD715" s="39"/>
      <c r="AE715" s="39"/>
      <c r="AF715" s="39"/>
      <c r="AG715" s="39"/>
      <c r="AH715" s="39">
        <f t="shared" si="483"/>
        <v>0</v>
      </c>
      <c r="AI715" s="39"/>
      <c r="AJ715" s="39"/>
      <c r="AK715" s="39"/>
      <c r="AL715" s="39"/>
      <c r="AM715" s="39"/>
      <c r="AN715" s="39">
        <f t="shared" si="196"/>
        <v>0</v>
      </c>
      <c r="AO715" s="39"/>
      <c r="AP715" s="39"/>
      <c r="AQ715" s="39"/>
      <c r="AR715" s="39"/>
      <c r="AS715" s="39"/>
      <c r="AT715" s="39">
        <f t="shared" si="367"/>
        <v>0</v>
      </c>
      <c r="AU715" s="39"/>
      <c r="AV715" s="39"/>
      <c r="AW715" s="39"/>
      <c r="AX715" s="39"/>
      <c r="AY715" s="39"/>
      <c r="AZ715" s="39">
        <f t="shared" si="368"/>
        <v>0</v>
      </c>
      <c r="BA715" s="39"/>
      <c r="BB715" s="39"/>
      <c r="BC715" s="39"/>
      <c r="BD715" s="39"/>
      <c r="BE715" s="39"/>
      <c r="BF715" s="39">
        <f t="shared" si="369"/>
        <v>0</v>
      </c>
      <c r="BG715" s="39"/>
      <c r="BH715" s="39"/>
      <c r="BI715" s="39"/>
      <c r="BJ715" s="39"/>
      <c r="BK715" s="39"/>
      <c r="BL715" s="39">
        <f t="shared" si="484"/>
        <v>0</v>
      </c>
      <c r="BM715" s="54" t="str">
        <f t="shared" si="371"/>
        <v/>
      </c>
      <c r="BN715" s="58">
        <v>46267</v>
      </c>
      <c r="BO715" s="57">
        <v>46279</v>
      </c>
      <c r="BP715" s="36"/>
      <c r="BQ715" s="36"/>
      <c r="BR715" s="117">
        <v>46265</v>
      </c>
      <c r="BS715" s="117">
        <v>46265</v>
      </c>
      <c r="BT715" s="39">
        <v>723</v>
      </c>
      <c r="BU715" s="39">
        <f>462</f>
        <v>462</v>
      </c>
      <c r="BV715" s="39"/>
      <c r="BW715" s="39"/>
      <c r="BX715" s="39"/>
      <c r="BY715" s="39"/>
      <c r="BZ715" s="39">
        <f t="shared" si="485"/>
        <v>462</v>
      </c>
      <c r="CA715" s="39">
        <f t="shared" si="373"/>
        <v>-16</v>
      </c>
      <c r="CB715" s="39">
        <f t="shared" si="374"/>
        <v>0</v>
      </c>
      <c r="CC715" s="39">
        <f t="shared" si="375"/>
        <v>0</v>
      </c>
      <c r="CD715" s="39">
        <v>0</v>
      </c>
      <c r="CE715" s="102">
        <f t="shared" si="377"/>
        <v>0</v>
      </c>
      <c r="CF715" s="36" t="s">
        <v>252</v>
      </c>
      <c r="CG715" s="39" t="s">
        <v>223</v>
      </c>
      <c r="CH715" s="39"/>
      <c r="CI715" s="25">
        <v>1</v>
      </c>
    </row>
    <row r="716" spans="1:87" ht="24.75" customHeight="1">
      <c r="A716" s="36" t="s">
        <v>388</v>
      </c>
      <c r="B716" s="27" t="s">
        <v>2432</v>
      </c>
      <c r="C716" s="259"/>
      <c r="D716" s="36"/>
      <c r="E716" s="39">
        <v>150</v>
      </c>
      <c r="F716" s="39" t="s">
        <v>69</v>
      </c>
      <c r="G716" s="36" t="s">
        <v>23</v>
      </c>
      <c r="H716" s="39" t="s">
        <v>22</v>
      </c>
      <c r="I716" s="39">
        <v>1275</v>
      </c>
      <c r="J716" s="39"/>
      <c r="K716" s="39"/>
      <c r="L716" s="39">
        <f t="shared" si="486"/>
        <v>1275</v>
      </c>
      <c r="M716" s="117">
        <v>46258</v>
      </c>
      <c r="N716" s="117">
        <v>46270</v>
      </c>
      <c r="O716" s="39"/>
      <c r="P716" s="39"/>
      <c r="Q716" s="39"/>
      <c r="R716" s="39">
        <f t="shared" si="487"/>
        <v>0</v>
      </c>
      <c r="S716" s="39" t="s">
        <v>130</v>
      </c>
      <c r="T716" s="39" t="s">
        <v>2638</v>
      </c>
      <c r="U716" s="117">
        <v>46261</v>
      </c>
      <c r="V716" s="39"/>
      <c r="W716" s="39"/>
      <c r="X716" s="39"/>
      <c r="Y716" s="39">
        <f>1054+324</f>
        <v>1378</v>
      </c>
      <c r="Z716" s="39"/>
      <c r="AA716" s="39"/>
      <c r="AB716" s="119">
        <f t="shared" si="488"/>
        <v>1378</v>
      </c>
      <c r="AC716" s="39"/>
      <c r="AD716" s="39"/>
      <c r="AE716" s="39"/>
      <c r="AF716" s="39"/>
      <c r="AG716" s="39"/>
      <c r="AH716" s="39">
        <f t="shared" si="483"/>
        <v>0</v>
      </c>
      <c r="AI716" s="39"/>
      <c r="AJ716" s="39"/>
      <c r="AK716" s="39"/>
      <c r="AL716" s="39"/>
      <c r="AM716" s="39"/>
      <c r="AN716" s="39">
        <f t="shared" si="196"/>
        <v>0</v>
      </c>
      <c r="AO716" s="39"/>
      <c r="AP716" s="39"/>
      <c r="AQ716" s="39"/>
      <c r="AR716" s="39"/>
      <c r="AS716" s="39"/>
      <c r="AT716" s="39">
        <f t="shared" si="367"/>
        <v>0</v>
      </c>
      <c r="AU716" s="39"/>
      <c r="AV716" s="39"/>
      <c r="AW716" s="39"/>
      <c r="AX716" s="39"/>
      <c r="AY716" s="39"/>
      <c r="AZ716" s="39">
        <f t="shared" si="368"/>
        <v>0</v>
      </c>
      <c r="BA716" s="39"/>
      <c r="BB716" s="39"/>
      <c r="BC716" s="39"/>
      <c r="BD716" s="39"/>
      <c r="BE716" s="39"/>
      <c r="BF716" s="39">
        <f t="shared" si="369"/>
        <v>0</v>
      </c>
      <c r="BG716" s="39"/>
      <c r="BH716" s="39"/>
      <c r="BI716" s="39"/>
      <c r="BJ716" s="39"/>
      <c r="BK716" s="39"/>
      <c r="BL716" s="39">
        <f t="shared" si="484"/>
        <v>0</v>
      </c>
      <c r="BM716" s="54" t="str">
        <f t="shared" si="371"/>
        <v/>
      </c>
      <c r="BN716" s="58">
        <v>46267</v>
      </c>
      <c r="BO716" s="57">
        <v>46279</v>
      </c>
      <c r="BP716" s="36"/>
      <c r="BQ716" s="36"/>
      <c r="BR716" s="117">
        <v>46263</v>
      </c>
      <c r="BS716" s="117">
        <v>46265</v>
      </c>
      <c r="BT716" s="39" t="s">
        <v>2900</v>
      </c>
      <c r="BU716" s="39">
        <f>302+939+26</f>
        <v>1267</v>
      </c>
      <c r="BV716" s="39"/>
      <c r="BW716" s="39"/>
      <c r="BX716" s="39"/>
      <c r="BY716" s="39"/>
      <c r="BZ716" s="39">
        <f t="shared" si="485"/>
        <v>1267</v>
      </c>
      <c r="CA716" s="39">
        <f t="shared" si="373"/>
        <v>-8</v>
      </c>
      <c r="CB716" s="39">
        <f t="shared" si="374"/>
        <v>0</v>
      </c>
      <c r="CC716" s="39">
        <f t="shared" si="375"/>
        <v>0</v>
      </c>
      <c r="CD716" s="39">
        <v>0</v>
      </c>
      <c r="CE716" s="102">
        <f t="shared" si="377"/>
        <v>0</v>
      </c>
      <c r="CF716" s="36" t="s">
        <v>252</v>
      </c>
      <c r="CG716" s="39" t="s">
        <v>223</v>
      </c>
      <c r="CH716" s="39"/>
      <c r="CI716" s="25">
        <v>1</v>
      </c>
    </row>
    <row r="717" spans="1:87" ht="24.75" customHeight="1">
      <c r="A717" s="36" t="s">
        <v>388</v>
      </c>
      <c r="B717" s="27" t="s">
        <v>2436</v>
      </c>
      <c r="C717" s="257">
        <v>15308926</v>
      </c>
      <c r="D717" s="36"/>
      <c r="E717" s="39">
        <v>230</v>
      </c>
      <c r="F717" s="39" t="s">
        <v>2437</v>
      </c>
      <c r="G717" s="36" t="s">
        <v>401</v>
      </c>
      <c r="H717" s="39" t="s">
        <v>212</v>
      </c>
      <c r="I717" s="39">
        <v>11</v>
      </c>
      <c r="J717" s="39"/>
      <c r="K717" s="39"/>
      <c r="L717" s="39">
        <f t="shared" si="486"/>
        <v>11</v>
      </c>
      <c r="M717" s="117">
        <v>46258</v>
      </c>
      <c r="N717" s="117">
        <v>46263</v>
      </c>
      <c r="O717" s="39"/>
      <c r="P717" s="39"/>
      <c r="Q717" s="39"/>
      <c r="R717" s="39">
        <f t="shared" si="487"/>
        <v>0</v>
      </c>
      <c r="S717" s="39" t="s">
        <v>130</v>
      </c>
      <c r="T717" s="39">
        <v>109236</v>
      </c>
      <c r="U717" s="117">
        <v>46276</v>
      </c>
      <c r="V717" s="39"/>
      <c r="W717" s="39"/>
      <c r="X717" s="39"/>
      <c r="Y717" s="39">
        <v>18</v>
      </c>
      <c r="Z717" s="39"/>
      <c r="AA717" s="39"/>
      <c r="AB717" s="119">
        <f t="shared" si="488"/>
        <v>18</v>
      </c>
      <c r="AC717" s="39"/>
      <c r="AD717" s="39"/>
      <c r="AE717" s="39"/>
      <c r="AF717" s="39"/>
      <c r="AG717" s="39"/>
      <c r="AH717" s="39">
        <f t="shared" si="483"/>
        <v>0</v>
      </c>
      <c r="AI717" s="39"/>
      <c r="AJ717" s="39"/>
      <c r="AK717" s="39"/>
      <c r="AL717" s="39"/>
      <c r="AM717" s="39"/>
      <c r="AN717" s="39">
        <f t="shared" si="196"/>
        <v>0</v>
      </c>
      <c r="AO717" s="39"/>
      <c r="AP717" s="39"/>
      <c r="AQ717" s="39"/>
      <c r="AR717" s="39"/>
      <c r="AS717" s="39"/>
      <c r="AT717" s="39">
        <f t="shared" si="367"/>
        <v>0</v>
      </c>
      <c r="AU717" s="39"/>
      <c r="AV717" s="39"/>
      <c r="AW717" s="39"/>
      <c r="AX717" s="39"/>
      <c r="AY717" s="39"/>
      <c r="AZ717" s="39">
        <f t="shared" si="368"/>
        <v>0</v>
      </c>
      <c r="BA717" s="39"/>
      <c r="BB717" s="39"/>
      <c r="BC717" s="39"/>
      <c r="BD717" s="39"/>
      <c r="BE717" s="39"/>
      <c r="BF717" s="39">
        <f t="shared" si="369"/>
        <v>0</v>
      </c>
      <c r="BG717" s="39"/>
      <c r="BH717" s="39"/>
      <c r="BI717" s="39"/>
      <c r="BJ717" s="39"/>
      <c r="BK717" s="39"/>
      <c r="BL717" s="39">
        <f t="shared" si="484"/>
        <v>0</v>
      </c>
      <c r="BM717" s="54" t="str">
        <f t="shared" si="371"/>
        <v/>
      </c>
      <c r="BN717" s="58">
        <v>46266</v>
      </c>
      <c r="BO717" s="57">
        <v>46272</v>
      </c>
      <c r="BP717" s="36"/>
      <c r="BQ717" s="36"/>
      <c r="BR717" s="117">
        <v>46277</v>
      </c>
      <c r="BS717" s="117">
        <v>46277</v>
      </c>
      <c r="BT717" s="39">
        <v>789</v>
      </c>
      <c r="BU717" s="39">
        <v>16</v>
      </c>
      <c r="BV717" s="39"/>
      <c r="BW717" s="39"/>
      <c r="BX717" s="39"/>
      <c r="BY717" s="39"/>
      <c r="BZ717" s="39">
        <f t="shared" si="485"/>
        <v>16</v>
      </c>
      <c r="CA717" s="39">
        <f t="shared" si="373"/>
        <v>5</v>
      </c>
      <c r="CB717" s="39">
        <f t="shared" si="374"/>
        <v>0</v>
      </c>
      <c r="CC717" s="39">
        <f t="shared" si="375"/>
        <v>0</v>
      </c>
      <c r="CD717" s="39">
        <f t="shared" si="376"/>
        <v>0</v>
      </c>
      <c r="CE717" s="102">
        <f t="shared" si="377"/>
        <v>0</v>
      </c>
      <c r="CF717" s="36" t="s">
        <v>252</v>
      </c>
      <c r="CG717" s="39" t="s">
        <v>223</v>
      </c>
      <c r="CH717" s="39"/>
      <c r="CI717" s="25">
        <v>1</v>
      </c>
    </row>
    <row r="718" spans="1:87" ht="24.75" customHeight="1">
      <c r="A718" s="36" t="s">
        <v>388</v>
      </c>
      <c r="B718" s="27" t="s">
        <v>2436</v>
      </c>
      <c r="C718" s="258"/>
      <c r="D718" s="36"/>
      <c r="E718" s="39">
        <v>230</v>
      </c>
      <c r="F718" s="39" t="s">
        <v>2437</v>
      </c>
      <c r="G718" s="36" t="s">
        <v>1654</v>
      </c>
      <c r="H718" s="39" t="s">
        <v>212</v>
      </c>
      <c r="I718" s="39">
        <v>18</v>
      </c>
      <c r="J718" s="39"/>
      <c r="K718" s="39"/>
      <c r="L718" s="39">
        <f t="shared" si="486"/>
        <v>18</v>
      </c>
      <c r="M718" s="117">
        <v>46258</v>
      </c>
      <c r="N718" s="117">
        <v>46263</v>
      </c>
      <c r="O718" s="39"/>
      <c r="P718" s="39"/>
      <c r="Q718" s="39"/>
      <c r="R718" s="39">
        <f t="shared" si="487"/>
        <v>0</v>
      </c>
      <c r="S718" s="39" t="s">
        <v>28</v>
      </c>
      <c r="T718" s="39"/>
      <c r="U718" s="39"/>
      <c r="V718" s="117">
        <v>46261</v>
      </c>
      <c r="W718" s="39">
        <v>27</v>
      </c>
      <c r="X718" s="117">
        <v>46281</v>
      </c>
      <c r="Y718" s="39">
        <v>24</v>
      </c>
      <c r="Z718" s="39"/>
      <c r="AA718" s="39"/>
      <c r="AB718" s="119">
        <f t="shared" si="488"/>
        <v>24</v>
      </c>
      <c r="AC718" s="39"/>
      <c r="AD718" s="39"/>
      <c r="AE718" s="39"/>
      <c r="AF718" s="39"/>
      <c r="AG718" s="39"/>
      <c r="AH718" s="39">
        <f t="shared" si="483"/>
        <v>0</v>
      </c>
      <c r="AI718" s="39"/>
      <c r="AJ718" s="39"/>
      <c r="AK718" s="39"/>
      <c r="AL718" s="39"/>
      <c r="AM718" s="39"/>
      <c r="AN718" s="39">
        <f t="shared" si="196"/>
        <v>0</v>
      </c>
      <c r="AO718" s="39"/>
      <c r="AP718" s="39"/>
      <c r="AQ718" s="39"/>
      <c r="AR718" s="39"/>
      <c r="AS718" s="39"/>
      <c r="AT718" s="39">
        <f t="shared" si="367"/>
        <v>0</v>
      </c>
      <c r="AU718" s="39"/>
      <c r="AV718" s="39"/>
      <c r="AW718" s="39"/>
      <c r="AX718" s="39"/>
      <c r="AY718" s="39"/>
      <c r="AZ718" s="39">
        <f t="shared" si="368"/>
        <v>0</v>
      </c>
      <c r="BA718" s="39"/>
      <c r="BB718" s="39"/>
      <c r="BC718" s="39"/>
      <c r="BD718" s="39"/>
      <c r="BE718" s="39"/>
      <c r="BF718" s="39">
        <f t="shared" si="369"/>
        <v>0</v>
      </c>
      <c r="BG718" s="39"/>
      <c r="BH718" s="39"/>
      <c r="BI718" s="39"/>
      <c r="BJ718" s="39"/>
      <c r="BK718" s="39"/>
      <c r="BL718" s="39">
        <f t="shared" si="484"/>
        <v>0</v>
      </c>
      <c r="BM718" s="54" t="str">
        <f t="shared" si="371"/>
        <v/>
      </c>
      <c r="BN718" s="58">
        <v>46266</v>
      </c>
      <c r="BO718" s="57">
        <v>46272</v>
      </c>
      <c r="BP718" s="36"/>
      <c r="BQ718" s="36"/>
      <c r="BR718" s="117">
        <v>46276</v>
      </c>
      <c r="BS718" s="117">
        <v>46276</v>
      </c>
      <c r="BT718" s="39">
        <v>857</v>
      </c>
      <c r="BU718" s="39">
        <v>18</v>
      </c>
      <c r="BV718" s="39"/>
      <c r="BW718" s="39"/>
      <c r="BX718" s="39"/>
      <c r="BY718" s="39"/>
      <c r="BZ718" s="39">
        <f t="shared" si="485"/>
        <v>18</v>
      </c>
      <c r="CA718" s="39">
        <f t="shared" si="373"/>
        <v>0</v>
      </c>
      <c r="CB718" s="39">
        <f t="shared" si="374"/>
        <v>0</v>
      </c>
      <c r="CC718" s="39">
        <f t="shared" si="375"/>
        <v>0</v>
      </c>
      <c r="CD718" s="39">
        <f t="shared" si="376"/>
        <v>0</v>
      </c>
      <c r="CE718" s="102">
        <f t="shared" si="377"/>
        <v>0</v>
      </c>
      <c r="CF718" s="36" t="s">
        <v>252</v>
      </c>
      <c r="CG718" s="39" t="s">
        <v>223</v>
      </c>
      <c r="CH718" s="39"/>
      <c r="CI718" s="25">
        <v>1</v>
      </c>
    </row>
    <row r="719" spans="1:87" ht="24.75" customHeight="1">
      <c r="A719" s="36" t="s">
        <v>388</v>
      </c>
      <c r="B719" s="27" t="s">
        <v>2436</v>
      </c>
      <c r="C719" s="258"/>
      <c r="D719" s="36"/>
      <c r="E719" s="39">
        <v>230</v>
      </c>
      <c r="F719" s="39" t="s">
        <v>2437</v>
      </c>
      <c r="G719" s="36" t="s">
        <v>47</v>
      </c>
      <c r="H719" s="39" t="s">
        <v>212</v>
      </c>
      <c r="I719" s="39">
        <v>314</v>
      </c>
      <c r="J719" s="39"/>
      <c r="K719" s="39"/>
      <c r="L719" s="39">
        <f t="shared" si="486"/>
        <v>314</v>
      </c>
      <c r="M719" s="117">
        <v>46258</v>
      </c>
      <c r="N719" s="117">
        <v>46263</v>
      </c>
      <c r="O719" s="39"/>
      <c r="P719" s="39"/>
      <c r="Q719" s="39"/>
      <c r="R719" s="39">
        <f t="shared" si="487"/>
        <v>0</v>
      </c>
      <c r="S719" s="39" t="s">
        <v>130</v>
      </c>
      <c r="T719" s="39">
        <v>109349</v>
      </c>
      <c r="U719" s="117">
        <v>46275</v>
      </c>
      <c r="V719" s="39"/>
      <c r="W719" s="39"/>
      <c r="X719" s="39"/>
      <c r="Y719" s="39">
        <v>352</v>
      </c>
      <c r="Z719" s="39"/>
      <c r="AA719" s="39"/>
      <c r="AB719" s="119">
        <f t="shared" si="488"/>
        <v>352</v>
      </c>
      <c r="AC719" s="39"/>
      <c r="AD719" s="39"/>
      <c r="AE719" s="39"/>
      <c r="AF719" s="39"/>
      <c r="AG719" s="39"/>
      <c r="AH719" s="39">
        <f t="shared" si="483"/>
        <v>0</v>
      </c>
      <c r="AI719" s="39"/>
      <c r="AJ719" s="39"/>
      <c r="AK719" s="39"/>
      <c r="AL719" s="39"/>
      <c r="AM719" s="39"/>
      <c r="AN719" s="39">
        <f t="shared" si="196"/>
        <v>0</v>
      </c>
      <c r="AO719" s="39"/>
      <c r="AP719" s="39"/>
      <c r="AQ719" s="39"/>
      <c r="AR719" s="39"/>
      <c r="AS719" s="39"/>
      <c r="AT719" s="39">
        <f t="shared" si="367"/>
        <v>0</v>
      </c>
      <c r="AU719" s="39"/>
      <c r="AV719" s="39"/>
      <c r="AW719" s="39"/>
      <c r="AX719" s="39"/>
      <c r="AY719" s="39"/>
      <c r="AZ719" s="39">
        <f t="shared" si="368"/>
        <v>0</v>
      </c>
      <c r="BA719" s="39"/>
      <c r="BB719" s="39"/>
      <c r="BC719" s="39"/>
      <c r="BD719" s="39"/>
      <c r="BE719" s="39"/>
      <c r="BF719" s="39">
        <f t="shared" si="369"/>
        <v>0</v>
      </c>
      <c r="BG719" s="39"/>
      <c r="BH719" s="39"/>
      <c r="BI719" s="39"/>
      <c r="BJ719" s="39"/>
      <c r="BK719" s="39"/>
      <c r="BL719" s="39">
        <f t="shared" si="484"/>
        <v>0</v>
      </c>
      <c r="BM719" s="54" t="str">
        <f t="shared" si="371"/>
        <v/>
      </c>
      <c r="BN719" s="58">
        <v>46266</v>
      </c>
      <c r="BO719" s="57">
        <v>46272</v>
      </c>
      <c r="BP719" s="39"/>
      <c r="BQ719" s="39"/>
      <c r="BR719" s="117">
        <v>46277</v>
      </c>
      <c r="BS719" s="117">
        <v>46279</v>
      </c>
      <c r="BT719" s="39" t="s">
        <v>3006</v>
      </c>
      <c r="BU719" s="39">
        <f>25+283</f>
        <v>308</v>
      </c>
      <c r="BV719" s="39"/>
      <c r="BW719" s="39"/>
      <c r="BX719" s="39"/>
      <c r="BY719" s="39"/>
      <c r="BZ719" s="39">
        <f t="shared" si="485"/>
        <v>308</v>
      </c>
      <c r="CA719" s="39">
        <f t="shared" si="373"/>
        <v>-6</v>
      </c>
      <c r="CB719" s="39">
        <f t="shared" si="374"/>
        <v>0</v>
      </c>
      <c r="CC719" s="39">
        <f t="shared" si="375"/>
        <v>0</v>
      </c>
      <c r="CD719" s="39">
        <v>0</v>
      </c>
      <c r="CE719" s="102">
        <f t="shared" si="377"/>
        <v>0</v>
      </c>
      <c r="CF719" s="36" t="s">
        <v>252</v>
      </c>
      <c r="CG719" s="39" t="s">
        <v>223</v>
      </c>
      <c r="CH719" s="39"/>
      <c r="CI719" s="25">
        <v>1</v>
      </c>
    </row>
    <row r="720" spans="1:87" ht="24.75" customHeight="1">
      <c r="A720" s="36" t="s">
        <v>388</v>
      </c>
      <c r="B720" s="27" t="s">
        <v>2436</v>
      </c>
      <c r="C720" s="258"/>
      <c r="D720" s="36"/>
      <c r="E720" s="39">
        <v>230</v>
      </c>
      <c r="F720" s="39" t="s">
        <v>2437</v>
      </c>
      <c r="G720" s="36" t="s">
        <v>2433</v>
      </c>
      <c r="H720" s="39" t="s">
        <v>212</v>
      </c>
      <c r="I720" s="39">
        <v>256</v>
      </c>
      <c r="J720" s="39"/>
      <c r="K720" s="39"/>
      <c r="L720" s="39">
        <f t="shared" si="486"/>
        <v>256</v>
      </c>
      <c r="M720" s="117">
        <v>46258</v>
      </c>
      <c r="N720" s="117">
        <v>46263</v>
      </c>
      <c r="O720" s="39"/>
      <c r="P720" s="39"/>
      <c r="Q720" s="39"/>
      <c r="R720" s="39">
        <f t="shared" si="487"/>
        <v>0</v>
      </c>
      <c r="S720" s="39" t="s">
        <v>31</v>
      </c>
      <c r="T720" s="39"/>
      <c r="U720" s="39"/>
      <c r="V720" s="117">
        <v>46268</v>
      </c>
      <c r="W720" s="39">
        <v>288</v>
      </c>
      <c r="X720" s="117">
        <v>46274</v>
      </c>
      <c r="Y720" s="39">
        <v>267</v>
      </c>
      <c r="Z720" s="39"/>
      <c r="AA720" s="39"/>
      <c r="AB720" s="119">
        <f t="shared" si="488"/>
        <v>267</v>
      </c>
      <c r="AC720" s="39"/>
      <c r="AD720" s="39"/>
      <c r="AE720" s="39"/>
      <c r="AF720" s="39"/>
      <c r="AG720" s="39"/>
      <c r="AH720" s="39">
        <f t="shared" si="483"/>
        <v>0</v>
      </c>
      <c r="AI720" s="39"/>
      <c r="AJ720" s="39"/>
      <c r="AK720" s="39"/>
      <c r="AL720" s="39"/>
      <c r="AM720" s="39"/>
      <c r="AN720" s="39">
        <f t="shared" si="196"/>
        <v>0</v>
      </c>
      <c r="AO720" s="39"/>
      <c r="AP720" s="39"/>
      <c r="AQ720" s="39"/>
      <c r="AR720" s="39"/>
      <c r="AS720" s="39"/>
      <c r="AT720" s="39">
        <f t="shared" si="367"/>
        <v>0</v>
      </c>
      <c r="AU720" s="39"/>
      <c r="AV720" s="39"/>
      <c r="AW720" s="39"/>
      <c r="AX720" s="39"/>
      <c r="AY720" s="39"/>
      <c r="AZ720" s="39">
        <f t="shared" si="368"/>
        <v>0</v>
      </c>
      <c r="BA720" s="39"/>
      <c r="BB720" s="39"/>
      <c r="BC720" s="39"/>
      <c r="BD720" s="39"/>
      <c r="BE720" s="39"/>
      <c r="BF720" s="39">
        <f t="shared" si="369"/>
        <v>0</v>
      </c>
      <c r="BG720" s="39"/>
      <c r="BH720" s="39"/>
      <c r="BI720" s="39"/>
      <c r="BJ720" s="39"/>
      <c r="BK720" s="39"/>
      <c r="BL720" s="39">
        <f t="shared" si="484"/>
        <v>0</v>
      </c>
      <c r="BM720" s="54" t="str">
        <f t="shared" si="371"/>
        <v/>
      </c>
      <c r="BN720" s="58">
        <v>46266</v>
      </c>
      <c r="BO720" s="57">
        <v>46272</v>
      </c>
      <c r="BP720" s="39"/>
      <c r="BQ720" s="39"/>
      <c r="BR720" s="117">
        <v>46272</v>
      </c>
      <c r="BS720" s="117">
        <v>46272</v>
      </c>
      <c r="BT720" s="39">
        <v>965</v>
      </c>
      <c r="BU720" s="39">
        <v>267</v>
      </c>
      <c r="BV720" s="39"/>
      <c r="BW720" s="39"/>
      <c r="BX720" s="39"/>
      <c r="BY720" s="39"/>
      <c r="BZ720" s="39">
        <f t="shared" si="485"/>
        <v>267</v>
      </c>
      <c r="CA720" s="39">
        <f t="shared" si="373"/>
        <v>11</v>
      </c>
      <c r="CB720" s="39">
        <f t="shared" si="374"/>
        <v>0</v>
      </c>
      <c r="CC720" s="39">
        <f t="shared" si="375"/>
        <v>0</v>
      </c>
      <c r="CD720" s="39">
        <f t="shared" si="376"/>
        <v>0</v>
      </c>
      <c r="CE720" s="102">
        <f t="shared" si="377"/>
        <v>0</v>
      </c>
      <c r="CF720" s="36" t="s">
        <v>252</v>
      </c>
      <c r="CG720" s="39" t="s">
        <v>223</v>
      </c>
      <c r="CH720" s="39"/>
      <c r="CI720" s="25">
        <v>1</v>
      </c>
    </row>
    <row r="721" spans="1:87" ht="24.75" customHeight="1">
      <c r="A721" s="36" t="s">
        <v>388</v>
      </c>
      <c r="B721" s="27" t="s">
        <v>2436</v>
      </c>
      <c r="C721" s="258"/>
      <c r="D721" s="36"/>
      <c r="E721" s="39">
        <v>230</v>
      </c>
      <c r="F721" s="39" t="s">
        <v>2437</v>
      </c>
      <c r="G721" s="36" t="s">
        <v>2435</v>
      </c>
      <c r="H721" s="39" t="s">
        <v>212</v>
      </c>
      <c r="I721" s="39">
        <v>7</v>
      </c>
      <c r="J721" s="39"/>
      <c r="K721" s="39"/>
      <c r="L721" s="39">
        <f t="shared" si="486"/>
        <v>7</v>
      </c>
      <c r="M721" s="117">
        <v>46258</v>
      </c>
      <c r="N721" s="117">
        <v>46263</v>
      </c>
      <c r="O721" s="39"/>
      <c r="P721" s="39"/>
      <c r="Q721" s="39"/>
      <c r="R721" s="39">
        <f t="shared" si="487"/>
        <v>0</v>
      </c>
      <c r="S721" s="39" t="s">
        <v>28</v>
      </c>
      <c r="T721" s="39"/>
      <c r="U721" s="39"/>
      <c r="V721" s="117">
        <v>46267</v>
      </c>
      <c r="W721" s="39">
        <v>13</v>
      </c>
      <c r="X721" s="117">
        <v>46275</v>
      </c>
      <c r="Y721" s="39">
        <v>9</v>
      </c>
      <c r="Z721" s="39"/>
      <c r="AA721" s="39"/>
      <c r="AB721" s="119">
        <f t="shared" si="488"/>
        <v>9</v>
      </c>
      <c r="AC721" s="39"/>
      <c r="AD721" s="39"/>
      <c r="AE721" s="39"/>
      <c r="AF721" s="39"/>
      <c r="AG721" s="39"/>
      <c r="AH721" s="39">
        <f t="shared" si="483"/>
        <v>0</v>
      </c>
      <c r="AI721" s="39"/>
      <c r="AJ721" s="39"/>
      <c r="AK721" s="39"/>
      <c r="AL721" s="39"/>
      <c r="AM721" s="39"/>
      <c r="AN721" s="39">
        <f t="shared" si="196"/>
        <v>0</v>
      </c>
      <c r="AO721" s="39"/>
      <c r="AP721" s="39"/>
      <c r="AQ721" s="39"/>
      <c r="AR721" s="39"/>
      <c r="AS721" s="39"/>
      <c r="AT721" s="39">
        <f t="shared" si="367"/>
        <v>0</v>
      </c>
      <c r="AU721" s="39"/>
      <c r="AV721" s="39"/>
      <c r="AW721" s="39"/>
      <c r="AX721" s="39"/>
      <c r="AY721" s="39"/>
      <c r="AZ721" s="39">
        <f t="shared" si="368"/>
        <v>0</v>
      </c>
      <c r="BA721" s="39"/>
      <c r="BB721" s="39"/>
      <c r="BC721" s="39"/>
      <c r="BD721" s="39"/>
      <c r="BE721" s="39"/>
      <c r="BF721" s="39">
        <f t="shared" si="369"/>
        <v>0</v>
      </c>
      <c r="BG721" s="39"/>
      <c r="BH721" s="39"/>
      <c r="BI721" s="39"/>
      <c r="BJ721" s="39"/>
      <c r="BK721" s="39"/>
      <c r="BL721" s="39">
        <f t="shared" si="484"/>
        <v>0</v>
      </c>
      <c r="BM721" s="54" t="str">
        <f t="shared" si="371"/>
        <v/>
      </c>
      <c r="BN721" s="58">
        <v>46266</v>
      </c>
      <c r="BO721" s="57">
        <v>46272</v>
      </c>
      <c r="BP721" s="39"/>
      <c r="BQ721" s="39"/>
      <c r="BR721" s="117">
        <v>46276</v>
      </c>
      <c r="BS721" s="117">
        <v>46276</v>
      </c>
      <c r="BT721" s="39">
        <v>857</v>
      </c>
      <c r="BU721" s="39">
        <v>9</v>
      </c>
      <c r="BV721" s="39"/>
      <c r="BW721" s="39"/>
      <c r="BX721" s="39"/>
      <c r="BY721" s="39"/>
      <c r="BZ721" s="39">
        <f t="shared" si="485"/>
        <v>9</v>
      </c>
      <c r="CA721" s="39">
        <f t="shared" si="373"/>
        <v>2</v>
      </c>
      <c r="CB721" s="39">
        <f t="shared" si="374"/>
        <v>0</v>
      </c>
      <c r="CC721" s="39">
        <f t="shared" si="375"/>
        <v>0</v>
      </c>
      <c r="CD721" s="39">
        <f t="shared" si="376"/>
        <v>0</v>
      </c>
      <c r="CE721" s="102">
        <f t="shared" si="377"/>
        <v>0</v>
      </c>
      <c r="CF721" s="36" t="s">
        <v>252</v>
      </c>
      <c r="CG721" s="39" t="s">
        <v>223</v>
      </c>
      <c r="CH721" s="39"/>
      <c r="CI721" s="25">
        <v>1</v>
      </c>
    </row>
    <row r="722" spans="1:87" ht="24.75" customHeight="1">
      <c r="A722" s="36" t="s">
        <v>388</v>
      </c>
      <c r="B722" s="27" t="s">
        <v>2436</v>
      </c>
      <c r="C722" s="259"/>
      <c r="D722" s="36"/>
      <c r="E722" s="39">
        <v>230</v>
      </c>
      <c r="F722" s="39" t="s">
        <v>2437</v>
      </c>
      <c r="G722" s="36" t="s">
        <v>23</v>
      </c>
      <c r="H722" s="39" t="s">
        <v>212</v>
      </c>
      <c r="I722" s="39">
        <v>290</v>
      </c>
      <c r="J722" s="39"/>
      <c r="K722" s="39"/>
      <c r="L722" s="39">
        <f t="shared" si="486"/>
        <v>290</v>
      </c>
      <c r="M722" s="117">
        <v>46258</v>
      </c>
      <c r="N722" s="117">
        <v>46263</v>
      </c>
      <c r="O722" s="39"/>
      <c r="P722" s="39"/>
      <c r="Q722" s="39"/>
      <c r="R722" s="39">
        <f t="shared" si="487"/>
        <v>0</v>
      </c>
      <c r="S722" s="39" t="s">
        <v>31</v>
      </c>
      <c r="T722" s="39"/>
      <c r="U722" s="39"/>
      <c r="V722" s="117">
        <v>46267</v>
      </c>
      <c r="W722" s="39">
        <v>313</v>
      </c>
      <c r="X722" s="117" t="s">
        <v>2958</v>
      </c>
      <c r="Y722" s="39">
        <f>265+20+5</f>
        <v>290</v>
      </c>
      <c r="Z722" s="39"/>
      <c r="AA722" s="39"/>
      <c r="AB722" s="119">
        <f t="shared" si="488"/>
        <v>290</v>
      </c>
      <c r="AC722" s="39"/>
      <c r="AD722" s="39"/>
      <c r="AE722" s="39"/>
      <c r="AF722" s="39"/>
      <c r="AG722" s="39"/>
      <c r="AH722" s="39">
        <f t="shared" si="483"/>
        <v>0</v>
      </c>
      <c r="AI722" s="39"/>
      <c r="AJ722" s="39"/>
      <c r="AK722" s="39"/>
      <c r="AL722" s="39"/>
      <c r="AM722" s="39"/>
      <c r="AN722" s="39">
        <f t="shared" si="196"/>
        <v>0</v>
      </c>
      <c r="AO722" s="39"/>
      <c r="AP722" s="39"/>
      <c r="AQ722" s="39"/>
      <c r="AR722" s="39"/>
      <c r="AS722" s="39"/>
      <c r="AT722" s="39">
        <f t="shared" si="367"/>
        <v>0</v>
      </c>
      <c r="AU722" s="39"/>
      <c r="AV722" s="39"/>
      <c r="AW722" s="39"/>
      <c r="AX722" s="39"/>
      <c r="AY722" s="39"/>
      <c r="AZ722" s="39">
        <f t="shared" si="368"/>
        <v>0</v>
      </c>
      <c r="BA722" s="39"/>
      <c r="BB722" s="39"/>
      <c r="BC722" s="39"/>
      <c r="BD722" s="39"/>
      <c r="BE722" s="39"/>
      <c r="BF722" s="39">
        <f t="shared" si="369"/>
        <v>0</v>
      </c>
      <c r="BG722" s="39"/>
      <c r="BH722" s="39"/>
      <c r="BI722" s="39"/>
      <c r="BJ722" s="39"/>
      <c r="BK722" s="39"/>
      <c r="BL722" s="39">
        <f t="shared" si="484"/>
        <v>0</v>
      </c>
      <c r="BM722" s="54" t="str">
        <f t="shared" si="371"/>
        <v/>
      </c>
      <c r="BN722" s="58">
        <v>46266</v>
      </c>
      <c r="BO722" s="57">
        <v>46272</v>
      </c>
      <c r="BP722" s="39"/>
      <c r="BQ722" s="39"/>
      <c r="BR722" s="117">
        <v>46272</v>
      </c>
      <c r="BS722" s="117">
        <v>46280</v>
      </c>
      <c r="BT722" s="39" t="s">
        <v>3048</v>
      </c>
      <c r="BU722" s="39">
        <f>265+20+5</f>
        <v>290</v>
      </c>
      <c r="BV722" s="39"/>
      <c r="BW722" s="39"/>
      <c r="BX722" s="39"/>
      <c r="BY722" s="39"/>
      <c r="BZ722" s="39">
        <f t="shared" si="485"/>
        <v>290</v>
      </c>
      <c r="CA722" s="39">
        <f t="shared" si="373"/>
        <v>0</v>
      </c>
      <c r="CB722" s="39">
        <f t="shared" si="374"/>
        <v>0</v>
      </c>
      <c r="CC722" s="39">
        <f t="shared" si="375"/>
        <v>0</v>
      </c>
      <c r="CD722" s="39">
        <f t="shared" si="376"/>
        <v>0</v>
      </c>
      <c r="CE722" s="102">
        <f t="shared" si="377"/>
        <v>0</v>
      </c>
      <c r="CF722" s="36" t="s">
        <v>252</v>
      </c>
      <c r="CG722" s="39" t="s">
        <v>223</v>
      </c>
      <c r="CH722" s="39"/>
      <c r="CI722" s="25">
        <v>1</v>
      </c>
    </row>
    <row r="723" spans="1:87" ht="24.75" customHeight="1">
      <c r="A723" s="36" t="s">
        <v>388</v>
      </c>
      <c r="B723" s="27" t="s">
        <v>2438</v>
      </c>
      <c r="C723" s="227">
        <v>15308926</v>
      </c>
      <c r="D723" s="36"/>
      <c r="E723" s="39">
        <v>230</v>
      </c>
      <c r="F723" s="39" t="s">
        <v>2437</v>
      </c>
      <c r="G723" s="36" t="s">
        <v>401</v>
      </c>
      <c r="H723" s="39" t="s">
        <v>212</v>
      </c>
      <c r="I723" s="39">
        <v>1242</v>
      </c>
      <c r="J723" s="39"/>
      <c r="K723" s="39"/>
      <c r="L723" s="39">
        <f t="shared" si="486"/>
        <v>1242</v>
      </c>
      <c r="M723" s="117">
        <v>46259</v>
      </c>
      <c r="N723" s="117">
        <v>46273</v>
      </c>
      <c r="O723" s="39"/>
      <c r="P723" s="39"/>
      <c r="Q723" s="39"/>
      <c r="R723" s="39">
        <f t="shared" si="487"/>
        <v>0</v>
      </c>
      <c r="S723" s="39" t="s">
        <v>326</v>
      </c>
      <c r="T723" s="39"/>
      <c r="U723" s="39"/>
      <c r="V723" s="117">
        <v>46275</v>
      </c>
      <c r="W723" s="39">
        <v>1391</v>
      </c>
      <c r="X723" s="39"/>
      <c r="Y723" s="39"/>
      <c r="Z723" s="39"/>
      <c r="AA723" s="39"/>
      <c r="AB723" s="118">
        <f t="shared" si="488"/>
        <v>0</v>
      </c>
      <c r="AC723" s="39"/>
      <c r="AD723" s="39"/>
      <c r="AE723" s="39"/>
      <c r="AF723" s="39"/>
      <c r="AG723" s="39"/>
      <c r="AH723" s="39">
        <f t="shared" si="483"/>
        <v>0</v>
      </c>
      <c r="AI723" s="39"/>
      <c r="AJ723" s="39"/>
      <c r="AK723" s="39"/>
      <c r="AL723" s="39"/>
      <c r="AM723" s="39"/>
      <c r="AN723" s="39">
        <f t="shared" si="196"/>
        <v>0</v>
      </c>
      <c r="AO723" s="39"/>
      <c r="AP723" s="39"/>
      <c r="AQ723" s="39"/>
      <c r="AR723" s="39"/>
      <c r="AS723" s="39"/>
      <c r="AT723" s="39">
        <f t="shared" si="367"/>
        <v>0</v>
      </c>
      <c r="AU723" s="39"/>
      <c r="AV723" s="39"/>
      <c r="AW723" s="39"/>
      <c r="AX723" s="39"/>
      <c r="AY723" s="39"/>
      <c r="AZ723" s="39">
        <f t="shared" si="368"/>
        <v>0</v>
      </c>
      <c r="BA723" s="39"/>
      <c r="BB723" s="39"/>
      <c r="BC723" s="39"/>
      <c r="BD723" s="39"/>
      <c r="BE723" s="39"/>
      <c r="BF723" s="39">
        <f t="shared" si="369"/>
        <v>0</v>
      </c>
      <c r="BG723" s="39"/>
      <c r="BH723" s="39"/>
      <c r="BI723" s="39"/>
      <c r="BJ723" s="39"/>
      <c r="BK723" s="39"/>
      <c r="BL723" s="39">
        <f t="shared" si="484"/>
        <v>0</v>
      </c>
      <c r="BM723" s="54">
        <f t="shared" ca="1" si="371"/>
        <v>46283</v>
      </c>
      <c r="BN723" s="56">
        <v>46270</v>
      </c>
      <c r="BO723" s="117">
        <v>46289</v>
      </c>
      <c r="BP723" s="39"/>
      <c r="BQ723" s="39"/>
      <c r="BR723" s="39"/>
      <c r="BS723" s="39"/>
      <c r="BT723" s="39"/>
      <c r="BU723" s="39"/>
      <c r="BV723" s="39"/>
      <c r="BW723" s="39"/>
      <c r="BX723" s="39"/>
      <c r="BY723" s="39"/>
      <c r="BZ723" s="39">
        <f t="shared" si="485"/>
        <v>0</v>
      </c>
      <c r="CA723" s="39">
        <f t="shared" si="373"/>
        <v>-1242</v>
      </c>
      <c r="CB723" s="39">
        <f t="shared" si="374"/>
        <v>0</v>
      </c>
      <c r="CC723" s="39">
        <f t="shared" si="375"/>
        <v>0</v>
      </c>
      <c r="CD723" s="39">
        <f t="shared" si="376"/>
        <v>-1242</v>
      </c>
      <c r="CE723" s="102">
        <f t="shared" si="377"/>
        <v>-1</v>
      </c>
      <c r="CF723" s="36" t="s">
        <v>252</v>
      </c>
      <c r="CG723" s="39" t="s">
        <v>223</v>
      </c>
      <c r="CH723" s="39"/>
      <c r="CI723" s="25">
        <v>1</v>
      </c>
    </row>
    <row r="724" spans="1:87" ht="24.75" customHeight="1">
      <c r="A724" s="36" t="s">
        <v>388</v>
      </c>
      <c r="B724" s="27" t="s">
        <v>2438</v>
      </c>
      <c r="C724" s="231"/>
      <c r="D724" s="36"/>
      <c r="E724" s="39">
        <v>230</v>
      </c>
      <c r="F724" s="39" t="s">
        <v>2437</v>
      </c>
      <c r="G724" s="36" t="s">
        <v>1654</v>
      </c>
      <c r="H724" s="39" t="s">
        <v>212</v>
      </c>
      <c r="I724" s="39">
        <v>1267</v>
      </c>
      <c r="J724" s="39"/>
      <c r="K724" s="39"/>
      <c r="L724" s="39">
        <f t="shared" si="486"/>
        <v>1267</v>
      </c>
      <c r="M724" s="117">
        <v>46259</v>
      </c>
      <c r="N724" s="117">
        <v>46273</v>
      </c>
      <c r="O724" s="39"/>
      <c r="P724" s="39"/>
      <c r="Q724" s="39"/>
      <c r="R724" s="39">
        <f t="shared" si="487"/>
        <v>0</v>
      </c>
      <c r="S724" s="39" t="s">
        <v>28</v>
      </c>
      <c r="T724" s="39"/>
      <c r="U724" s="39"/>
      <c r="V724" s="117" t="s">
        <v>2744</v>
      </c>
      <c r="W724" s="39">
        <f>548+871</f>
        <v>1419</v>
      </c>
      <c r="X724" s="117" t="s">
        <v>3074</v>
      </c>
      <c r="Y724" s="39">
        <f>18+729+505</f>
        <v>1252</v>
      </c>
      <c r="Z724" s="39"/>
      <c r="AA724" s="39"/>
      <c r="AB724" s="120">
        <f t="shared" si="488"/>
        <v>1252</v>
      </c>
      <c r="AC724" s="39"/>
      <c r="AD724" s="39"/>
      <c r="AE724" s="39"/>
      <c r="AF724" s="39"/>
      <c r="AG724" s="39"/>
      <c r="AH724" s="39">
        <f t="shared" si="483"/>
        <v>0</v>
      </c>
      <c r="AI724" s="39"/>
      <c r="AJ724" s="39"/>
      <c r="AK724" s="39"/>
      <c r="AL724" s="39"/>
      <c r="AM724" s="39"/>
      <c r="AN724" s="39">
        <f t="shared" si="196"/>
        <v>0</v>
      </c>
      <c r="AO724" s="39"/>
      <c r="AP724" s="39"/>
      <c r="AQ724" s="39"/>
      <c r="AR724" s="39"/>
      <c r="AS724" s="39"/>
      <c r="AT724" s="39">
        <f t="shared" si="367"/>
        <v>0</v>
      </c>
      <c r="AU724" s="39"/>
      <c r="AV724" s="39"/>
      <c r="AW724" s="39"/>
      <c r="AX724" s="39"/>
      <c r="AY724" s="39"/>
      <c r="AZ724" s="39">
        <f t="shared" si="368"/>
        <v>0</v>
      </c>
      <c r="BA724" s="39"/>
      <c r="BB724" s="39"/>
      <c r="BC724" s="39"/>
      <c r="BD724" s="39"/>
      <c r="BE724" s="39"/>
      <c r="BF724" s="39">
        <f t="shared" si="369"/>
        <v>0</v>
      </c>
      <c r="BG724" s="39"/>
      <c r="BH724" s="39"/>
      <c r="BI724" s="39"/>
      <c r="BJ724" s="39"/>
      <c r="BK724" s="39"/>
      <c r="BL724" s="39">
        <f t="shared" si="484"/>
        <v>0</v>
      </c>
      <c r="BM724" s="54" t="str">
        <f t="shared" si="371"/>
        <v/>
      </c>
      <c r="BN724" s="56">
        <v>46270</v>
      </c>
      <c r="BO724" s="117">
        <v>46289</v>
      </c>
      <c r="BP724" s="39"/>
      <c r="BQ724" s="39"/>
      <c r="BR724" s="117">
        <v>46277</v>
      </c>
      <c r="BS724" s="117">
        <v>46282</v>
      </c>
      <c r="BT724" s="39" t="s">
        <v>3094</v>
      </c>
      <c r="BU724" s="39">
        <f>729+505+24</f>
        <v>1258</v>
      </c>
      <c r="BV724" s="39"/>
      <c r="BW724" s="39"/>
      <c r="BX724" s="39"/>
      <c r="BY724" s="39"/>
      <c r="BZ724" s="39">
        <f t="shared" si="485"/>
        <v>1258</v>
      </c>
      <c r="CA724" s="39">
        <f t="shared" si="373"/>
        <v>-9</v>
      </c>
      <c r="CB724" s="39">
        <f t="shared" si="374"/>
        <v>0</v>
      </c>
      <c r="CC724" s="39">
        <f t="shared" si="375"/>
        <v>0</v>
      </c>
      <c r="CD724" s="39">
        <v>0</v>
      </c>
      <c r="CE724" s="102">
        <f t="shared" si="377"/>
        <v>0</v>
      </c>
      <c r="CF724" s="36" t="s">
        <v>252</v>
      </c>
      <c r="CG724" s="39" t="s">
        <v>223</v>
      </c>
      <c r="CH724" s="39"/>
      <c r="CI724" s="25">
        <v>1</v>
      </c>
    </row>
    <row r="725" spans="1:87" ht="24.75" customHeight="1">
      <c r="A725" s="36" t="s">
        <v>388</v>
      </c>
      <c r="B725" s="27" t="s">
        <v>2438</v>
      </c>
      <c r="C725" s="231"/>
      <c r="D725" s="36"/>
      <c r="E725" s="39">
        <v>230</v>
      </c>
      <c r="F725" s="39" t="s">
        <v>2437</v>
      </c>
      <c r="G725" s="36" t="s">
        <v>47</v>
      </c>
      <c r="H725" s="39" t="s">
        <v>212</v>
      </c>
      <c r="I725" s="39">
        <v>1553</v>
      </c>
      <c r="J725" s="39"/>
      <c r="K725" s="39"/>
      <c r="L725" s="39">
        <f t="shared" si="486"/>
        <v>1553</v>
      </c>
      <c r="M725" s="117">
        <v>46259</v>
      </c>
      <c r="N725" s="117">
        <v>46273</v>
      </c>
      <c r="O725" s="39"/>
      <c r="P725" s="39"/>
      <c r="Q725" s="39"/>
      <c r="R725" s="39">
        <f t="shared" si="487"/>
        <v>0</v>
      </c>
      <c r="S725" s="39" t="s">
        <v>130</v>
      </c>
      <c r="T725" s="39" t="s">
        <v>2969</v>
      </c>
      <c r="U725" s="117">
        <v>46276</v>
      </c>
      <c r="V725" s="39"/>
      <c r="W725" s="39"/>
      <c r="X725" s="39"/>
      <c r="Y725" s="39">
        <f>681+690</f>
        <v>1371</v>
      </c>
      <c r="Z725" s="39"/>
      <c r="AA725" s="39"/>
      <c r="AB725" s="118">
        <f t="shared" si="488"/>
        <v>1371</v>
      </c>
      <c r="AC725" s="39"/>
      <c r="AD725" s="39"/>
      <c r="AE725" s="39"/>
      <c r="AF725" s="39"/>
      <c r="AG725" s="39"/>
      <c r="AH725" s="39">
        <f t="shared" si="483"/>
        <v>0</v>
      </c>
      <c r="AI725" s="39"/>
      <c r="AJ725" s="39"/>
      <c r="AK725" s="39"/>
      <c r="AL725" s="39"/>
      <c r="AM725" s="39"/>
      <c r="AN725" s="39">
        <f t="shared" si="196"/>
        <v>0</v>
      </c>
      <c r="AO725" s="39"/>
      <c r="AP725" s="39"/>
      <c r="AQ725" s="39"/>
      <c r="AR725" s="39"/>
      <c r="AS725" s="39"/>
      <c r="AT725" s="39">
        <f t="shared" si="367"/>
        <v>0</v>
      </c>
      <c r="AU725" s="39"/>
      <c r="AV725" s="39"/>
      <c r="AW725" s="39"/>
      <c r="AX725" s="39"/>
      <c r="AY725" s="39"/>
      <c r="AZ725" s="39">
        <f t="shared" si="368"/>
        <v>0</v>
      </c>
      <c r="BA725" s="39"/>
      <c r="BB725" s="39"/>
      <c r="BC725" s="39"/>
      <c r="BD725" s="39"/>
      <c r="BE725" s="39"/>
      <c r="BF725" s="39">
        <f t="shared" si="369"/>
        <v>0</v>
      </c>
      <c r="BG725" s="39"/>
      <c r="BH725" s="39"/>
      <c r="BI725" s="39"/>
      <c r="BJ725" s="39"/>
      <c r="BK725" s="39"/>
      <c r="BL725" s="39">
        <f t="shared" si="484"/>
        <v>0</v>
      </c>
      <c r="BM725" s="54">
        <f t="shared" ca="1" si="371"/>
        <v>7</v>
      </c>
      <c r="BN725" s="56">
        <v>46270</v>
      </c>
      <c r="BO725" s="117">
        <v>46289</v>
      </c>
      <c r="BP725" s="36"/>
      <c r="BQ725" s="36"/>
      <c r="BR725" s="117">
        <v>46277</v>
      </c>
      <c r="BS725" s="39"/>
      <c r="BT725" s="39" t="s">
        <v>3007</v>
      </c>
      <c r="BU725" s="39">
        <f>618+580</f>
        <v>1198</v>
      </c>
      <c r="BV725" s="39"/>
      <c r="BW725" s="39"/>
      <c r="BX725" s="39"/>
      <c r="BY725" s="39"/>
      <c r="BZ725" s="39">
        <f t="shared" si="485"/>
        <v>1198</v>
      </c>
      <c r="CA725" s="39">
        <f t="shared" si="373"/>
        <v>-355</v>
      </c>
      <c r="CB725" s="39">
        <f t="shared" si="374"/>
        <v>0</v>
      </c>
      <c r="CC725" s="39">
        <f t="shared" si="375"/>
        <v>0</v>
      </c>
      <c r="CD725" s="39">
        <f t="shared" si="376"/>
        <v>-355</v>
      </c>
      <c r="CE725" s="102">
        <f t="shared" si="377"/>
        <v>-0.22858982614294912</v>
      </c>
      <c r="CF725" s="36" t="s">
        <v>252</v>
      </c>
      <c r="CG725" s="39" t="s">
        <v>223</v>
      </c>
      <c r="CH725" s="39" t="s">
        <v>764</v>
      </c>
      <c r="CI725" s="25">
        <v>1</v>
      </c>
    </row>
    <row r="726" spans="1:87" ht="24.75" customHeight="1">
      <c r="A726" s="36" t="s">
        <v>388</v>
      </c>
      <c r="B726" s="27" t="s">
        <v>2438</v>
      </c>
      <c r="C726" s="231"/>
      <c r="D726" s="36"/>
      <c r="E726" s="39">
        <v>230</v>
      </c>
      <c r="F726" s="39" t="s">
        <v>2437</v>
      </c>
      <c r="G726" s="36" t="s">
        <v>2433</v>
      </c>
      <c r="H726" s="39" t="s">
        <v>212</v>
      </c>
      <c r="I726" s="39">
        <v>311</v>
      </c>
      <c r="J726" s="39"/>
      <c r="K726" s="39"/>
      <c r="L726" s="39">
        <f t="shared" si="486"/>
        <v>311</v>
      </c>
      <c r="M726" s="117">
        <v>46259</v>
      </c>
      <c r="N726" s="117">
        <v>46273</v>
      </c>
      <c r="O726" s="39"/>
      <c r="P726" s="39"/>
      <c r="Q726" s="39"/>
      <c r="R726" s="39">
        <f t="shared" si="487"/>
        <v>0</v>
      </c>
      <c r="S726" s="39" t="s">
        <v>31</v>
      </c>
      <c r="T726" s="39"/>
      <c r="U726" s="39"/>
      <c r="V726" s="117">
        <v>46274</v>
      </c>
      <c r="W726" s="39">
        <v>352</v>
      </c>
      <c r="X726" s="39"/>
      <c r="Y726" s="39"/>
      <c r="Z726" s="39"/>
      <c r="AA726" s="39"/>
      <c r="AB726" s="118">
        <f t="shared" si="488"/>
        <v>0</v>
      </c>
      <c r="AC726" s="39"/>
      <c r="AD726" s="39"/>
      <c r="AE726" s="39"/>
      <c r="AF726" s="39"/>
      <c r="AG726" s="39"/>
      <c r="AH726" s="39">
        <f t="shared" si="483"/>
        <v>0</v>
      </c>
      <c r="AI726" s="39"/>
      <c r="AJ726" s="39"/>
      <c r="AK726" s="39"/>
      <c r="AL726" s="39"/>
      <c r="AM726" s="39"/>
      <c r="AN726" s="39">
        <f t="shared" si="196"/>
        <v>0</v>
      </c>
      <c r="AO726" s="39"/>
      <c r="AP726" s="39"/>
      <c r="AQ726" s="39"/>
      <c r="AR726" s="39"/>
      <c r="AS726" s="39"/>
      <c r="AT726" s="39">
        <f t="shared" si="367"/>
        <v>0</v>
      </c>
      <c r="AU726" s="39"/>
      <c r="AV726" s="39"/>
      <c r="AW726" s="39"/>
      <c r="AX726" s="39"/>
      <c r="AY726" s="39"/>
      <c r="AZ726" s="39">
        <f t="shared" si="368"/>
        <v>0</v>
      </c>
      <c r="BA726" s="39"/>
      <c r="BB726" s="39"/>
      <c r="BC726" s="39"/>
      <c r="BD726" s="39"/>
      <c r="BE726" s="39"/>
      <c r="BF726" s="39">
        <f t="shared" si="369"/>
        <v>0</v>
      </c>
      <c r="BG726" s="39"/>
      <c r="BH726" s="39"/>
      <c r="BI726" s="39"/>
      <c r="BJ726" s="39"/>
      <c r="BK726" s="39"/>
      <c r="BL726" s="39">
        <f t="shared" si="484"/>
        <v>0</v>
      </c>
      <c r="BM726" s="54">
        <f t="shared" ca="1" si="371"/>
        <v>46283</v>
      </c>
      <c r="BN726" s="56">
        <v>46270</v>
      </c>
      <c r="BO726" s="117">
        <v>46289</v>
      </c>
      <c r="BP726" s="36"/>
      <c r="BQ726" s="36"/>
      <c r="BR726" s="39"/>
      <c r="BS726" s="39"/>
      <c r="BT726" s="39"/>
      <c r="BU726" s="39"/>
      <c r="BV726" s="39"/>
      <c r="BW726" s="39"/>
      <c r="BX726" s="39"/>
      <c r="BY726" s="39"/>
      <c r="BZ726" s="39">
        <f t="shared" si="485"/>
        <v>0</v>
      </c>
      <c r="CA726" s="39">
        <f t="shared" si="373"/>
        <v>-311</v>
      </c>
      <c r="CB726" s="39">
        <f t="shared" si="374"/>
        <v>0</v>
      </c>
      <c r="CC726" s="39">
        <f t="shared" si="375"/>
        <v>0</v>
      </c>
      <c r="CD726" s="39">
        <f t="shared" si="376"/>
        <v>-311</v>
      </c>
      <c r="CE726" s="102">
        <f t="shared" si="377"/>
        <v>-1</v>
      </c>
      <c r="CF726" s="36" t="s">
        <v>252</v>
      </c>
      <c r="CG726" s="39" t="s">
        <v>223</v>
      </c>
      <c r="CH726" s="39"/>
      <c r="CI726" s="25">
        <v>1</v>
      </c>
    </row>
    <row r="727" spans="1:87" ht="24.75" customHeight="1">
      <c r="A727" s="36" t="s">
        <v>388</v>
      </c>
      <c r="B727" s="27" t="s">
        <v>2438</v>
      </c>
      <c r="C727" s="228"/>
      <c r="D727" s="36"/>
      <c r="E727" s="39">
        <v>230</v>
      </c>
      <c r="F727" s="39" t="s">
        <v>2437</v>
      </c>
      <c r="G727" s="36" t="s">
        <v>2435</v>
      </c>
      <c r="H727" s="39" t="s">
        <v>212</v>
      </c>
      <c r="I727" s="39">
        <v>218</v>
      </c>
      <c r="J727" s="39"/>
      <c r="K727" s="39"/>
      <c r="L727" s="39">
        <f t="shared" si="486"/>
        <v>218</v>
      </c>
      <c r="M727" s="117">
        <v>46259</v>
      </c>
      <c r="N727" s="117">
        <v>46273</v>
      </c>
      <c r="O727" s="39"/>
      <c r="P727" s="39"/>
      <c r="Q727" s="39"/>
      <c r="R727" s="39">
        <f t="shared" si="487"/>
        <v>0</v>
      </c>
      <c r="S727" s="39" t="s">
        <v>28</v>
      </c>
      <c r="T727" s="39"/>
      <c r="U727" s="39"/>
      <c r="V727" s="117">
        <v>46267</v>
      </c>
      <c r="W727" s="39">
        <v>246</v>
      </c>
      <c r="X727" s="117">
        <v>46277</v>
      </c>
      <c r="Y727" s="39">
        <f>204</f>
        <v>204</v>
      </c>
      <c r="Z727" s="39"/>
      <c r="AA727" s="39"/>
      <c r="AB727" s="120">
        <f t="shared" si="488"/>
        <v>204</v>
      </c>
      <c r="AC727" s="39"/>
      <c r="AD727" s="39"/>
      <c r="AE727" s="39"/>
      <c r="AF727" s="39"/>
      <c r="AG727" s="39"/>
      <c r="AH727" s="39">
        <f t="shared" si="483"/>
        <v>0</v>
      </c>
      <c r="AI727" s="39"/>
      <c r="AJ727" s="39"/>
      <c r="AK727" s="39"/>
      <c r="AL727" s="39"/>
      <c r="AM727" s="39"/>
      <c r="AN727" s="39">
        <f t="shared" si="196"/>
        <v>0</v>
      </c>
      <c r="AO727" s="39"/>
      <c r="AP727" s="39"/>
      <c r="AQ727" s="39"/>
      <c r="AR727" s="39"/>
      <c r="AS727" s="39"/>
      <c r="AT727" s="39">
        <f t="shared" si="367"/>
        <v>0</v>
      </c>
      <c r="AU727" s="39"/>
      <c r="AV727" s="39"/>
      <c r="AW727" s="39"/>
      <c r="AX727" s="39"/>
      <c r="AY727" s="39"/>
      <c r="AZ727" s="39">
        <f t="shared" si="368"/>
        <v>0</v>
      </c>
      <c r="BA727" s="39"/>
      <c r="BB727" s="39"/>
      <c r="BC727" s="39"/>
      <c r="BD727" s="39"/>
      <c r="BE727" s="39"/>
      <c r="BF727" s="39">
        <f t="shared" si="369"/>
        <v>0</v>
      </c>
      <c r="BG727" s="39"/>
      <c r="BH727" s="39"/>
      <c r="BI727" s="39"/>
      <c r="BJ727" s="39"/>
      <c r="BK727" s="39"/>
      <c r="BL727" s="39">
        <f t="shared" si="484"/>
        <v>0</v>
      </c>
      <c r="BM727" s="54" t="str">
        <f t="shared" si="371"/>
        <v/>
      </c>
      <c r="BN727" s="56">
        <v>46270</v>
      </c>
      <c r="BO727" s="117">
        <v>46289</v>
      </c>
      <c r="BP727" s="36"/>
      <c r="BQ727" s="36"/>
      <c r="BR727" s="117">
        <v>46277</v>
      </c>
      <c r="BS727" s="117">
        <v>46277</v>
      </c>
      <c r="BT727" s="39">
        <v>968</v>
      </c>
      <c r="BU727" s="39">
        <f>204+26</f>
        <v>230</v>
      </c>
      <c r="BV727" s="39"/>
      <c r="BW727" s="39"/>
      <c r="BX727" s="39"/>
      <c r="BY727" s="39"/>
      <c r="BZ727" s="39">
        <f t="shared" si="485"/>
        <v>230</v>
      </c>
      <c r="CA727" s="39">
        <f t="shared" si="373"/>
        <v>12</v>
      </c>
      <c r="CB727" s="39">
        <f t="shared" si="374"/>
        <v>0</v>
      </c>
      <c r="CC727" s="39">
        <f t="shared" si="375"/>
        <v>0</v>
      </c>
      <c r="CD727" s="39">
        <f t="shared" si="376"/>
        <v>0</v>
      </c>
      <c r="CE727" s="102">
        <f t="shared" si="377"/>
        <v>0</v>
      </c>
      <c r="CF727" s="36" t="s">
        <v>252</v>
      </c>
      <c r="CG727" s="39" t="s">
        <v>223</v>
      </c>
      <c r="CH727" s="39"/>
      <c r="CI727" s="25">
        <v>1</v>
      </c>
    </row>
    <row r="728" spans="1:87" ht="24.75" customHeight="1">
      <c r="A728" s="36" t="s">
        <v>388</v>
      </c>
      <c r="B728" s="27" t="s">
        <v>2477</v>
      </c>
      <c r="C728" s="235" t="s">
        <v>2478</v>
      </c>
      <c r="D728" s="36"/>
      <c r="E728" s="39">
        <v>220</v>
      </c>
      <c r="F728" s="39" t="s">
        <v>55</v>
      </c>
      <c r="G728" s="36" t="s">
        <v>23</v>
      </c>
      <c r="H728" s="36" t="s">
        <v>210</v>
      </c>
      <c r="I728" s="39">
        <v>426</v>
      </c>
      <c r="J728" s="39"/>
      <c r="K728" s="39"/>
      <c r="L728" s="39">
        <f t="shared" si="486"/>
        <v>426</v>
      </c>
      <c r="M728" s="117">
        <v>46262</v>
      </c>
      <c r="N728" s="117">
        <v>46268</v>
      </c>
      <c r="O728" s="39"/>
      <c r="P728" s="39"/>
      <c r="Q728" s="39"/>
      <c r="R728" s="39">
        <f t="shared" si="487"/>
        <v>0</v>
      </c>
      <c r="S728" s="39" t="s">
        <v>100</v>
      </c>
      <c r="T728" s="39"/>
      <c r="U728" s="39"/>
      <c r="V728" s="39"/>
      <c r="W728" s="39"/>
      <c r="X728" s="39"/>
      <c r="Y728" s="39"/>
      <c r="Z728" s="39"/>
      <c r="AA728" s="39"/>
      <c r="AB728" s="118">
        <f t="shared" si="488"/>
        <v>0</v>
      </c>
      <c r="AC728" s="39"/>
      <c r="AD728" s="39"/>
      <c r="AE728" s="39"/>
      <c r="AF728" s="39"/>
      <c r="AG728" s="39"/>
      <c r="AH728" s="39">
        <f t="shared" si="483"/>
        <v>0</v>
      </c>
      <c r="AI728" s="39"/>
      <c r="AJ728" s="39"/>
      <c r="AK728" s="39"/>
      <c r="AL728" s="39"/>
      <c r="AM728" s="39"/>
      <c r="AN728" s="39">
        <f t="shared" ref="AN728:AN773" si="489">AM728-AK728</f>
        <v>0</v>
      </c>
      <c r="AO728" s="39"/>
      <c r="AP728" s="39"/>
      <c r="AQ728" s="39"/>
      <c r="AR728" s="39"/>
      <c r="AS728" s="39"/>
      <c r="AT728" s="39">
        <f t="shared" si="367"/>
        <v>0</v>
      </c>
      <c r="AU728" s="39"/>
      <c r="AV728" s="39"/>
      <c r="AW728" s="39"/>
      <c r="AX728" s="39"/>
      <c r="AY728" s="39"/>
      <c r="AZ728" s="39">
        <f t="shared" si="368"/>
        <v>0</v>
      </c>
      <c r="BA728" s="39"/>
      <c r="BB728" s="39"/>
      <c r="BC728" s="39"/>
      <c r="BD728" s="39"/>
      <c r="BE728" s="39"/>
      <c r="BF728" s="39">
        <f t="shared" si="369"/>
        <v>0</v>
      </c>
      <c r="BG728" s="39"/>
      <c r="BH728" s="39"/>
      <c r="BI728" s="39"/>
      <c r="BJ728" s="39"/>
      <c r="BK728" s="39"/>
      <c r="BL728" s="39">
        <f t="shared" si="484"/>
        <v>0</v>
      </c>
      <c r="BM728" s="54">
        <f t="shared" ca="1" si="371"/>
        <v>46283</v>
      </c>
      <c r="BN728" s="58">
        <v>46272</v>
      </c>
      <c r="BO728" s="57">
        <v>46283</v>
      </c>
      <c r="BP728" s="36"/>
      <c r="BQ728" s="36"/>
      <c r="BR728" s="39"/>
      <c r="BS728" s="39"/>
      <c r="BT728" s="39"/>
      <c r="BU728" s="39"/>
      <c r="BV728" s="39"/>
      <c r="BW728" s="39"/>
      <c r="BX728" s="39"/>
      <c r="BY728" s="39"/>
      <c r="BZ728" s="39">
        <f t="shared" si="485"/>
        <v>0</v>
      </c>
      <c r="CA728" s="39">
        <f t="shared" si="373"/>
        <v>-426</v>
      </c>
      <c r="CB728" s="39">
        <f t="shared" si="374"/>
        <v>0</v>
      </c>
      <c r="CC728" s="39">
        <f t="shared" si="375"/>
        <v>0</v>
      </c>
      <c r="CD728" s="39">
        <f t="shared" si="376"/>
        <v>-426</v>
      </c>
      <c r="CE728" s="102">
        <f t="shared" si="377"/>
        <v>-1</v>
      </c>
      <c r="CF728" s="36" t="s">
        <v>294</v>
      </c>
      <c r="CG728" s="39" t="s">
        <v>231</v>
      </c>
      <c r="CH728" s="39"/>
      <c r="CI728" s="25">
        <v>1</v>
      </c>
    </row>
    <row r="729" spans="1:87" ht="24.75" customHeight="1">
      <c r="A729" s="36" t="s">
        <v>388</v>
      </c>
      <c r="B729" s="27" t="s">
        <v>2477</v>
      </c>
      <c r="C729" s="240"/>
      <c r="D729" s="36"/>
      <c r="E729" s="39">
        <v>220</v>
      </c>
      <c r="F729" s="39" t="s">
        <v>55</v>
      </c>
      <c r="G729" s="36" t="s">
        <v>23</v>
      </c>
      <c r="H729" s="36" t="s">
        <v>210</v>
      </c>
      <c r="I729" s="39">
        <v>180</v>
      </c>
      <c r="J729" s="39"/>
      <c r="K729" s="39"/>
      <c r="L729" s="39">
        <f t="shared" si="486"/>
        <v>180</v>
      </c>
      <c r="M729" s="117">
        <v>46262</v>
      </c>
      <c r="N729" s="117">
        <v>46268</v>
      </c>
      <c r="O729" s="39"/>
      <c r="P729" s="39"/>
      <c r="Q729" s="39"/>
      <c r="R729" s="39">
        <f t="shared" si="487"/>
        <v>0</v>
      </c>
      <c r="S729" s="39" t="s">
        <v>100</v>
      </c>
      <c r="T729" s="39"/>
      <c r="U729" s="39"/>
      <c r="V729" s="39"/>
      <c r="W729" s="39"/>
      <c r="X729" s="39"/>
      <c r="Y729" s="39"/>
      <c r="Z729" s="39"/>
      <c r="AA729" s="39"/>
      <c r="AB729" s="118">
        <f t="shared" si="488"/>
        <v>0</v>
      </c>
      <c r="AC729" s="39"/>
      <c r="AD729" s="39"/>
      <c r="AE729" s="39"/>
      <c r="AF729" s="39"/>
      <c r="AG729" s="39"/>
      <c r="AH729" s="39">
        <f t="shared" si="483"/>
        <v>0</v>
      </c>
      <c r="AI729" s="39"/>
      <c r="AJ729" s="39"/>
      <c r="AK729" s="39"/>
      <c r="AL729" s="39"/>
      <c r="AM729" s="39"/>
      <c r="AN729" s="39">
        <f t="shared" si="489"/>
        <v>0</v>
      </c>
      <c r="AO729" s="39"/>
      <c r="AP729" s="39"/>
      <c r="AQ729" s="39"/>
      <c r="AR729" s="39"/>
      <c r="AS729" s="39"/>
      <c r="AT729" s="39">
        <f t="shared" si="367"/>
        <v>0</v>
      </c>
      <c r="AU729" s="39"/>
      <c r="AV729" s="39"/>
      <c r="AW729" s="39"/>
      <c r="AX729" s="39"/>
      <c r="AY729" s="39"/>
      <c r="AZ729" s="39">
        <f t="shared" si="368"/>
        <v>0</v>
      </c>
      <c r="BA729" s="39"/>
      <c r="BB729" s="39"/>
      <c r="BC729" s="39"/>
      <c r="BD729" s="39"/>
      <c r="BE729" s="39"/>
      <c r="BF729" s="39">
        <f t="shared" si="369"/>
        <v>0</v>
      </c>
      <c r="BG729" s="39"/>
      <c r="BH729" s="39"/>
      <c r="BI729" s="39"/>
      <c r="BJ729" s="39"/>
      <c r="BK729" s="39"/>
      <c r="BL729" s="39">
        <f t="shared" si="484"/>
        <v>0</v>
      </c>
      <c r="BM729" s="54">
        <f t="shared" ca="1" si="371"/>
        <v>46283</v>
      </c>
      <c r="BN729" s="58">
        <v>46272</v>
      </c>
      <c r="BO729" s="57">
        <v>46283</v>
      </c>
      <c r="BP729" s="36"/>
      <c r="BQ729" s="36"/>
      <c r="BR729" s="39"/>
      <c r="BS729" s="39"/>
      <c r="BT729" s="39"/>
      <c r="BU729" s="39"/>
      <c r="BV729" s="39"/>
      <c r="BW729" s="39"/>
      <c r="BX729" s="39"/>
      <c r="BY729" s="39"/>
      <c r="BZ729" s="39">
        <f t="shared" si="485"/>
        <v>0</v>
      </c>
      <c r="CA729" s="39">
        <f t="shared" si="373"/>
        <v>-180</v>
      </c>
      <c r="CB729" s="39">
        <f t="shared" si="374"/>
        <v>0</v>
      </c>
      <c r="CC729" s="39">
        <f t="shared" si="375"/>
        <v>0</v>
      </c>
      <c r="CD729" s="39">
        <f t="shared" si="376"/>
        <v>-180</v>
      </c>
      <c r="CE729" s="102">
        <f t="shared" si="377"/>
        <v>-1</v>
      </c>
      <c r="CF729" s="36" t="s">
        <v>294</v>
      </c>
      <c r="CG729" s="39" t="s">
        <v>231</v>
      </c>
      <c r="CH729" s="39"/>
      <c r="CI729" s="25">
        <v>1</v>
      </c>
    </row>
    <row r="730" spans="1:87" ht="24.75" customHeight="1">
      <c r="A730" s="36" t="s">
        <v>388</v>
      </c>
      <c r="B730" s="27" t="s">
        <v>2477</v>
      </c>
      <c r="C730" s="236"/>
      <c r="D730" s="36"/>
      <c r="E730" s="39"/>
      <c r="F730" s="39"/>
      <c r="G730" s="36" t="s">
        <v>198</v>
      </c>
      <c r="H730" s="36">
        <v>1450</v>
      </c>
      <c r="I730" s="39" t="s">
        <v>90</v>
      </c>
      <c r="J730" s="39"/>
      <c r="K730" s="39"/>
      <c r="L730" s="39">
        <f t="shared" si="486"/>
        <v>0</v>
      </c>
      <c r="M730" s="117">
        <v>46262</v>
      </c>
      <c r="N730" s="117">
        <v>46268</v>
      </c>
      <c r="O730" s="39"/>
      <c r="P730" s="39"/>
      <c r="Q730" s="39"/>
      <c r="R730" s="39">
        <f t="shared" si="487"/>
        <v>0</v>
      </c>
      <c r="S730" s="39" t="s">
        <v>100</v>
      </c>
      <c r="T730" s="39"/>
      <c r="U730" s="39"/>
      <c r="V730" s="39"/>
      <c r="W730" s="39"/>
      <c r="X730" s="39"/>
      <c r="Y730" s="39"/>
      <c r="Z730" s="39"/>
      <c r="AA730" s="39"/>
      <c r="AB730" s="39">
        <f t="shared" si="488"/>
        <v>0</v>
      </c>
      <c r="AC730" s="39"/>
      <c r="AD730" s="39"/>
      <c r="AE730" s="39"/>
      <c r="AF730" s="39"/>
      <c r="AG730" s="39"/>
      <c r="AH730" s="39">
        <f t="shared" si="483"/>
        <v>0</v>
      </c>
      <c r="AI730" s="39"/>
      <c r="AJ730" s="39"/>
      <c r="AK730" s="39"/>
      <c r="AL730" s="39"/>
      <c r="AM730" s="39"/>
      <c r="AN730" s="39">
        <f t="shared" si="489"/>
        <v>0</v>
      </c>
      <c r="AO730" s="39"/>
      <c r="AP730" s="39"/>
      <c r="AQ730" s="39"/>
      <c r="AR730" s="39"/>
      <c r="AS730" s="39"/>
      <c r="AT730" s="39">
        <f t="shared" si="367"/>
        <v>0</v>
      </c>
      <c r="AU730" s="39"/>
      <c r="AV730" s="39"/>
      <c r="AW730" s="39"/>
      <c r="AX730" s="39"/>
      <c r="AY730" s="39"/>
      <c r="AZ730" s="39">
        <f t="shared" si="368"/>
        <v>0</v>
      </c>
      <c r="BA730" s="39"/>
      <c r="BB730" s="39"/>
      <c r="BC730" s="39"/>
      <c r="BD730" s="39"/>
      <c r="BE730" s="39"/>
      <c r="BF730" s="39">
        <f t="shared" si="369"/>
        <v>0</v>
      </c>
      <c r="BG730" s="39"/>
      <c r="BH730" s="39"/>
      <c r="BI730" s="39"/>
      <c r="BJ730" s="39"/>
      <c r="BK730" s="39"/>
      <c r="BL730" s="39">
        <f t="shared" si="484"/>
        <v>0</v>
      </c>
      <c r="BM730" s="54" t="e">
        <f t="shared" si="371"/>
        <v>#DIV/0!</v>
      </c>
      <c r="BN730" s="58">
        <v>46272</v>
      </c>
      <c r="BO730" s="57">
        <v>46283</v>
      </c>
      <c r="BP730" s="36"/>
      <c r="BQ730" s="36"/>
      <c r="BR730" s="39"/>
      <c r="BS730" s="39"/>
      <c r="BT730" s="39"/>
      <c r="BU730" s="39"/>
      <c r="BV730" s="39"/>
      <c r="BW730" s="39"/>
      <c r="BX730" s="39"/>
      <c r="BY730" s="39"/>
      <c r="BZ730" s="39">
        <f t="shared" si="485"/>
        <v>0</v>
      </c>
      <c r="CA730" s="39" t="e">
        <f t="shared" si="373"/>
        <v>#VALUE!</v>
      </c>
      <c r="CB730" s="39">
        <f t="shared" si="374"/>
        <v>0</v>
      </c>
      <c r="CC730" s="39">
        <f t="shared" si="375"/>
        <v>0</v>
      </c>
      <c r="CD730" s="39">
        <f t="shared" si="376"/>
        <v>0</v>
      </c>
      <c r="CE730" s="102" t="e">
        <f t="shared" si="377"/>
        <v>#DIV/0!</v>
      </c>
      <c r="CF730" s="36" t="s">
        <v>294</v>
      </c>
      <c r="CG730" s="39" t="s">
        <v>231</v>
      </c>
      <c r="CH730" s="39"/>
      <c r="CI730" s="25">
        <v>1</v>
      </c>
    </row>
    <row r="731" spans="1:87" ht="24.75" customHeight="1">
      <c r="A731" s="36" t="s">
        <v>388</v>
      </c>
      <c r="B731" s="27">
        <v>48697</v>
      </c>
      <c r="C731" s="235">
        <v>15385896</v>
      </c>
      <c r="D731" s="36"/>
      <c r="E731" s="39">
        <v>280</v>
      </c>
      <c r="F731" s="39" t="s">
        <v>58</v>
      </c>
      <c r="G731" s="36" t="s">
        <v>2479</v>
      </c>
      <c r="H731" s="36" t="s">
        <v>2480</v>
      </c>
      <c r="I731" s="39">
        <v>176</v>
      </c>
      <c r="J731" s="39"/>
      <c r="K731" s="39">
        <v>12</v>
      </c>
      <c r="L731" s="39">
        <f t="shared" si="486"/>
        <v>188</v>
      </c>
      <c r="M731" s="117">
        <v>46260</v>
      </c>
      <c r="N731" s="117">
        <v>46267</v>
      </c>
      <c r="O731" s="39"/>
      <c r="P731" s="39"/>
      <c r="Q731" s="39"/>
      <c r="R731" s="39">
        <f t="shared" si="487"/>
        <v>0</v>
      </c>
      <c r="S731" s="39" t="s">
        <v>28</v>
      </c>
      <c r="T731" s="39"/>
      <c r="U731" s="39"/>
      <c r="V731" s="117">
        <v>46282</v>
      </c>
      <c r="W731" s="39">
        <f>207+14</f>
        <v>221</v>
      </c>
      <c r="X731" s="39"/>
      <c r="Y731" s="39"/>
      <c r="Z731" s="39"/>
      <c r="AA731" s="39"/>
      <c r="AB731" s="118">
        <f t="shared" si="488"/>
        <v>0</v>
      </c>
      <c r="AC731" s="39"/>
      <c r="AD731" s="39"/>
      <c r="AE731" s="39"/>
      <c r="AF731" s="39"/>
      <c r="AG731" s="39"/>
      <c r="AH731" s="39">
        <f t="shared" si="483"/>
        <v>0</v>
      </c>
      <c r="AI731" s="39"/>
      <c r="AJ731" s="39"/>
      <c r="AK731" s="39"/>
      <c r="AL731" s="39"/>
      <c r="AM731" s="39"/>
      <c r="AN731" s="39">
        <f t="shared" si="489"/>
        <v>0</v>
      </c>
      <c r="AO731" s="39"/>
      <c r="AP731" s="39"/>
      <c r="AQ731" s="39"/>
      <c r="AR731" s="39"/>
      <c r="AS731" s="39"/>
      <c r="AT731" s="39">
        <f t="shared" si="367"/>
        <v>0</v>
      </c>
      <c r="AU731" s="39"/>
      <c r="AV731" s="39"/>
      <c r="AW731" s="39"/>
      <c r="AX731" s="39"/>
      <c r="AY731" s="39"/>
      <c r="AZ731" s="39">
        <f t="shared" si="368"/>
        <v>0</v>
      </c>
      <c r="BA731" s="39"/>
      <c r="BB731" s="39"/>
      <c r="BC731" s="39"/>
      <c r="BD731" s="39"/>
      <c r="BE731" s="39"/>
      <c r="BF731" s="39">
        <f t="shared" si="369"/>
        <v>0</v>
      </c>
      <c r="BG731" s="39"/>
      <c r="BH731" s="39"/>
      <c r="BI731" s="39"/>
      <c r="BJ731" s="39"/>
      <c r="BK731" s="39"/>
      <c r="BL731" s="39">
        <f t="shared" si="484"/>
        <v>0</v>
      </c>
      <c r="BM731" s="54">
        <f t="shared" ca="1" si="371"/>
        <v>46283</v>
      </c>
      <c r="BN731" s="58">
        <v>46268</v>
      </c>
      <c r="BO731" s="57">
        <v>46284</v>
      </c>
      <c r="BP731" s="36"/>
      <c r="BQ731" s="36"/>
      <c r="BR731" s="39"/>
      <c r="BS731" s="39"/>
      <c r="BT731" s="39"/>
      <c r="BU731" s="39"/>
      <c r="BV731" s="39"/>
      <c r="BW731" s="39"/>
      <c r="BX731" s="39"/>
      <c r="BY731" s="39"/>
      <c r="BZ731" s="39">
        <f t="shared" si="485"/>
        <v>0</v>
      </c>
      <c r="CA731" s="39">
        <f t="shared" si="373"/>
        <v>-176</v>
      </c>
      <c r="CB731" s="39">
        <f t="shared" si="374"/>
        <v>0</v>
      </c>
      <c r="CC731" s="39">
        <f t="shared" si="375"/>
        <v>-12</v>
      </c>
      <c r="CD731" s="39">
        <f t="shared" si="376"/>
        <v>-188</v>
      </c>
      <c r="CE731" s="102">
        <f t="shared" si="377"/>
        <v>-1</v>
      </c>
      <c r="CF731" s="36" t="s">
        <v>2481</v>
      </c>
      <c r="CG731" s="39" t="s">
        <v>231</v>
      </c>
      <c r="CH731" s="39"/>
      <c r="CI731" s="25">
        <v>1</v>
      </c>
    </row>
    <row r="732" spans="1:87" ht="24.75" customHeight="1">
      <c r="A732" s="36" t="s">
        <v>388</v>
      </c>
      <c r="B732" s="27">
        <v>48697</v>
      </c>
      <c r="C732" s="240"/>
      <c r="D732" s="36"/>
      <c r="E732" s="39">
        <v>280</v>
      </c>
      <c r="F732" s="39" t="s">
        <v>58</v>
      </c>
      <c r="G732" s="36" t="s">
        <v>324</v>
      </c>
      <c r="H732" s="36" t="s">
        <v>2482</v>
      </c>
      <c r="I732" s="39">
        <v>176</v>
      </c>
      <c r="J732" s="39"/>
      <c r="K732" s="39">
        <v>12</v>
      </c>
      <c r="L732" s="39">
        <f t="shared" si="486"/>
        <v>188</v>
      </c>
      <c r="M732" s="117">
        <v>46260</v>
      </c>
      <c r="N732" s="117">
        <v>46267</v>
      </c>
      <c r="O732" s="39"/>
      <c r="P732" s="39"/>
      <c r="Q732" s="39"/>
      <c r="R732" s="39">
        <f t="shared" si="487"/>
        <v>0</v>
      </c>
      <c r="S732" s="39" t="s">
        <v>100</v>
      </c>
      <c r="T732" s="39"/>
      <c r="U732" s="39"/>
      <c r="V732" s="117">
        <v>46273</v>
      </c>
      <c r="W732" s="39">
        <f>202+15</f>
        <v>217</v>
      </c>
      <c r="X732" s="39"/>
      <c r="Y732" s="39"/>
      <c r="Z732" s="39"/>
      <c r="AA732" s="39"/>
      <c r="AB732" s="118">
        <f t="shared" si="488"/>
        <v>0</v>
      </c>
      <c r="AC732" s="39"/>
      <c r="AD732" s="39"/>
      <c r="AE732" s="39"/>
      <c r="AF732" s="39"/>
      <c r="AG732" s="39"/>
      <c r="AH732" s="39">
        <f t="shared" si="483"/>
        <v>0</v>
      </c>
      <c r="AI732" s="39"/>
      <c r="AJ732" s="39"/>
      <c r="AK732" s="39"/>
      <c r="AL732" s="39"/>
      <c r="AM732" s="39"/>
      <c r="AN732" s="39">
        <f t="shared" si="489"/>
        <v>0</v>
      </c>
      <c r="AO732" s="39"/>
      <c r="AP732" s="39"/>
      <c r="AQ732" s="39"/>
      <c r="AR732" s="39"/>
      <c r="AS732" s="39"/>
      <c r="AT732" s="39">
        <f t="shared" si="367"/>
        <v>0</v>
      </c>
      <c r="AU732" s="39"/>
      <c r="AV732" s="39"/>
      <c r="AW732" s="39"/>
      <c r="AX732" s="39"/>
      <c r="AY732" s="39"/>
      <c r="AZ732" s="39">
        <f t="shared" si="368"/>
        <v>0</v>
      </c>
      <c r="BA732" s="39"/>
      <c r="BB732" s="39"/>
      <c r="BC732" s="39"/>
      <c r="BD732" s="39"/>
      <c r="BE732" s="39"/>
      <c r="BF732" s="39">
        <f t="shared" si="369"/>
        <v>0</v>
      </c>
      <c r="BG732" s="39"/>
      <c r="BH732" s="39"/>
      <c r="BI732" s="39"/>
      <c r="BJ732" s="39"/>
      <c r="BK732" s="39"/>
      <c r="BL732" s="39">
        <f t="shared" si="484"/>
        <v>0</v>
      </c>
      <c r="BM732" s="54">
        <f t="shared" ca="1" si="371"/>
        <v>46283</v>
      </c>
      <c r="BN732" s="58">
        <v>46268</v>
      </c>
      <c r="BO732" s="57">
        <v>46284</v>
      </c>
      <c r="BP732" s="36"/>
      <c r="BQ732" s="36"/>
      <c r="BR732" s="39"/>
      <c r="BS732" s="39"/>
      <c r="BT732" s="39"/>
      <c r="BU732" s="39"/>
      <c r="BV732" s="39"/>
      <c r="BW732" s="39"/>
      <c r="BX732" s="39"/>
      <c r="BY732" s="39"/>
      <c r="BZ732" s="39">
        <f t="shared" si="485"/>
        <v>0</v>
      </c>
      <c r="CA732" s="39">
        <f t="shared" si="373"/>
        <v>-176</v>
      </c>
      <c r="CB732" s="39">
        <f t="shared" si="374"/>
        <v>0</v>
      </c>
      <c r="CC732" s="39">
        <f t="shared" si="375"/>
        <v>-12</v>
      </c>
      <c r="CD732" s="39">
        <f t="shared" si="376"/>
        <v>-188</v>
      </c>
      <c r="CE732" s="102">
        <f t="shared" si="377"/>
        <v>-1</v>
      </c>
      <c r="CF732" s="36" t="s">
        <v>2481</v>
      </c>
      <c r="CG732" s="39" t="s">
        <v>231</v>
      </c>
      <c r="CH732" s="39"/>
      <c r="CI732" s="25">
        <v>1</v>
      </c>
    </row>
    <row r="733" spans="1:87" ht="24.75" customHeight="1">
      <c r="A733" s="36" t="s">
        <v>388</v>
      </c>
      <c r="B733" s="27">
        <v>48697</v>
      </c>
      <c r="C733" s="236"/>
      <c r="D733" s="36"/>
      <c r="E733" s="39"/>
      <c r="F733" s="39"/>
      <c r="G733" s="36" t="s">
        <v>2483</v>
      </c>
      <c r="H733" s="36">
        <f>1200+1200</f>
        <v>2400</v>
      </c>
      <c r="I733" s="39" t="s">
        <v>90</v>
      </c>
      <c r="J733" s="39"/>
      <c r="K733" s="39"/>
      <c r="L733" s="39">
        <f t="shared" ref="L733:L767" si="490">SUM(I733:K733)</f>
        <v>0</v>
      </c>
      <c r="M733" s="117">
        <v>46260</v>
      </c>
      <c r="N733" s="117">
        <v>46267</v>
      </c>
      <c r="O733" s="39"/>
      <c r="P733" s="39"/>
      <c r="Q733" s="39"/>
      <c r="R733" s="39">
        <f t="shared" si="487"/>
        <v>0</v>
      </c>
      <c r="S733" s="39" t="s">
        <v>130</v>
      </c>
      <c r="T733" s="39"/>
      <c r="U733" s="39"/>
      <c r="V733" s="117" t="s">
        <v>3077</v>
      </c>
      <c r="W733" s="39">
        <f>10+9</f>
        <v>19</v>
      </c>
      <c r="X733" s="39"/>
      <c r="Y733" s="39"/>
      <c r="Z733" s="39"/>
      <c r="AA733" s="39"/>
      <c r="AB733" s="39">
        <f t="shared" si="488"/>
        <v>0</v>
      </c>
      <c r="AC733" s="39"/>
      <c r="AD733" s="39"/>
      <c r="AE733" s="39"/>
      <c r="AF733" s="39"/>
      <c r="AG733" s="39"/>
      <c r="AH733" s="39">
        <f t="shared" si="483"/>
        <v>0</v>
      </c>
      <c r="AI733" s="39"/>
      <c r="AJ733" s="39"/>
      <c r="AK733" s="39"/>
      <c r="AL733" s="39"/>
      <c r="AM733" s="39"/>
      <c r="AN733" s="39">
        <f t="shared" si="489"/>
        <v>0</v>
      </c>
      <c r="AO733" s="39"/>
      <c r="AP733" s="39"/>
      <c r="AQ733" s="39"/>
      <c r="AR733" s="39"/>
      <c r="AS733" s="39"/>
      <c r="AT733" s="39">
        <f t="shared" si="367"/>
        <v>0</v>
      </c>
      <c r="AU733" s="39"/>
      <c r="AV733" s="39"/>
      <c r="AW733" s="39"/>
      <c r="AX733" s="39"/>
      <c r="AY733" s="39"/>
      <c r="AZ733" s="39">
        <f t="shared" si="368"/>
        <v>0</v>
      </c>
      <c r="BA733" s="39"/>
      <c r="BB733" s="39"/>
      <c r="BC733" s="39"/>
      <c r="BD733" s="39"/>
      <c r="BE733" s="39"/>
      <c r="BF733" s="39">
        <f t="shared" si="369"/>
        <v>0</v>
      </c>
      <c r="BG733" s="39"/>
      <c r="BH733" s="39"/>
      <c r="BI733" s="39"/>
      <c r="BJ733" s="39"/>
      <c r="BK733" s="39"/>
      <c r="BL733" s="39">
        <f t="shared" si="484"/>
        <v>0</v>
      </c>
      <c r="BM733" s="54" t="e">
        <f t="shared" si="371"/>
        <v>#DIV/0!</v>
      </c>
      <c r="BN733" s="58">
        <v>46268</v>
      </c>
      <c r="BO733" s="57">
        <v>46284</v>
      </c>
      <c r="BP733" s="36"/>
      <c r="BQ733" s="36"/>
      <c r="BR733" s="39"/>
      <c r="BS733" s="39"/>
      <c r="BT733" s="39"/>
      <c r="BU733" s="39"/>
      <c r="BV733" s="39"/>
      <c r="BW733" s="39"/>
      <c r="BX733" s="39"/>
      <c r="BY733" s="39"/>
      <c r="BZ733" s="39">
        <f t="shared" si="485"/>
        <v>0</v>
      </c>
      <c r="CA733" s="39" t="e">
        <f t="shared" si="373"/>
        <v>#VALUE!</v>
      </c>
      <c r="CB733" s="39">
        <f t="shared" si="374"/>
        <v>0</v>
      </c>
      <c r="CC733" s="39">
        <f t="shared" si="375"/>
        <v>0</v>
      </c>
      <c r="CD733" s="39">
        <f t="shared" si="376"/>
        <v>0</v>
      </c>
      <c r="CE733" s="102" t="e">
        <f t="shared" si="377"/>
        <v>#DIV/0!</v>
      </c>
      <c r="CF733" s="36" t="s">
        <v>2481</v>
      </c>
      <c r="CG733" s="39" t="s">
        <v>231</v>
      </c>
      <c r="CH733" s="39"/>
      <c r="CI733" s="25">
        <v>1</v>
      </c>
    </row>
    <row r="734" spans="1:87" ht="24.75" customHeight="1">
      <c r="A734" s="36" t="s">
        <v>388</v>
      </c>
      <c r="B734" s="27">
        <v>48695</v>
      </c>
      <c r="C734" s="235">
        <v>15385884</v>
      </c>
      <c r="D734" s="36"/>
      <c r="E734" s="39">
        <v>280</v>
      </c>
      <c r="F734" s="39" t="s">
        <v>58</v>
      </c>
      <c r="G734" s="36" t="s">
        <v>2479</v>
      </c>
      <c r="H734" s="36" t="s">
        <v>2480</v>
      </c>
      <c r="I734" s="39">
        <v>269</v>
      </c>
      <c r="J734" s="39">
        <v>53</v>
      </c>
      <c r="K734" s="39">
        <v>31</v>
      </c>
      <c r="L734" s="39">
        <f t="shared" si="490"/>
        <v>353</v>
      </c>
      <c r="M734" s="117">
        <v>46266</v>
      </c>
      <c r="N734" s="117">
        <v>46270</v>
      </c>
      <c r="O734" s="39"/>
      <c r="P734" s="39"/>
      <c r="Q734" s="39"/>
      <c r="R734" s="39">
        <f t="shared" si="487"/>
        <v>0</v>
      </c>
      <c r="S734" s="39" t="s">
        <v>28</v>
      </c>
      <c r="T734" s="39"/>
      <c r="U734" s="39"/>
      <c r="V734" s="117">
        <v>46282</v>
      </c>
      <c r="W734" s="39">
        <f>300+65+37</f>
        <v>402</v>
      </c>
      <c r="X734" s="39"/>
      <c r="Y734" s="39"/>
      <c r="Z734" s="39"/>
      <c r="AA734" s="39"/>
      <c r="AB734" s="118">
        <f t="shared" si="488"/>
        <v>0</v>
      </c>
      <c r="AC734" s="39"/>
      <c r="AD734" s="39"/>
      <c r="AE734" s="39"/>
      <c r="AF734" s="39"/>
      <c r="AG734" s="39"/>
      <c r="AH734" s="39">
        <f t="shared" si="483"/>
        <v>0</v>
      </c>
      <c r="AI734" s="39"/>
      <c r="AJ734" s="39"/>
      <c r="AK734" s="39"/>
      <c r="AL734" s="39"/>
      <c r="AM734" s="39"/>
      <c r="AN734" s="39">
        <f t="shared" si="489"/>
        <v>0</v>
      </c>
      <c r="AO734" s="39"/>
      <c r="AP734" s="39"/>
      <c r="AQ734" s="39"/>
      <c r="AR734" s="39"/>
      <c r="AS734" s="39"/>
      <c r="AT734" s="39">
        <f t="shared" si="367"/>
        <v>0</v>
      </c>
      <c r="AU734" s="39"/>
      <c r="AV734" s="39"/>
      <c r="AW734" s="39"/>
      <c r="AX734" s="39"/>
      <c r="AY734" s="39"/>
      <c r="AZ734" s="39">
        <f t="shared" si="368"/>
        <v>0</v>
      </c>
      <c r="BA734" s="39"/>
      <c r="BB734" s="39"/>
      <c r="BC734" s="39"/>
      <c r="BD734" s="39"/>
      <c r="BE734" s="39"/>
      <c r="BF734" s="39">
        <f t="shared" si="369"/>
        <v>0</v>
      </c>
      <c r="BG734" s="39"/>
      <c r="BH734" s="39"/>
      <c r="BI734" s="39"/>
      <c r="BJ734" s="39"/>
      <c r="BK734" s="39"/>
      <c r="BL734" s="39">
        <f t="shared" si="484"/>
        <v>0</v>
      </c>
      <c r="BM734" s="54">
        <f t="shared" ca="1" si="371"/>
        <v>46283</v>
      </c>
      <c r="BN734" s="58">
        <v>46274</v>
      </c>
      <c r="BO734" s="57">
        <v>46284</v>
      </c>
      <c r="BP734" s="36"/>
      <c r="BQ734" s="36"/>
      <c r="BR734" s="39"/>
      <c r="BS734" s="39"/>
      <c r="BT734" s="39"/>
      <c r="BU734" s="39"/>
      <c r="BV734" s="39"/>
      <c r="BW734" s="39"/>
      <c r="BX734" s="39"/>
      <c r="BY734" s="39"/>
      <c r="BZ734" s="39">
        <f t="shared" si="485"/>
        <v>0</v>
      </c>
      <c r="CA734" s="39">
        <f t="shared" si="373"/>
        <v>-269</v>
      </c>
      <c r="CB734" s="39">
        <f t="shared" si="374"/>
        <v>-53</v>
      </c>
      <c r="CC734" s="39">
        <f t="shared" si="375"/>
        <v>-31</v>
      </c>
      <c r="CD734" s="39">
        <f t="shared" si="376"/>
        <v>-353</v>
      </c>
      <c r="CE734" s="102">
        <f t="shared" si="377"/>
        <v>-1</v>
      </c>
      <c r="CF734" s="36" t="s">
        <v>2481</v>
      </c>
      <c r="CG734" s="39" t="s">
        <v>231</v>
      </c>
      <c r="CH734" s="39"/>
      <c r="CI734" s="25">
        <v>1</v>
      </c>
    </row>
    <row r="735" spans="1:87" ht="24.75" customHeight="1">
      <c r="A735" s="36" t="s">
        <v>388</v>
      </c>
      <c r="B735" s="27">
        <v>48695</v>
      </c>
      <c r="C735" s="240"/>
      <c r="D735" s="36"/>
      <c r="E735" s="39"/>
      <c r="F735" s="39"/>
      <c r="G735" s="36" t="s">
        <v>198</v>
      </c>
      <c r="H735" s="36">
        <v>500</v>
      </c>
      <c r="I735" s="39" t="s">
        <v>90</v>
      </c>
      <c r="J735" s="39"/>
      <c r="K735" s="39"/>
      <c r="L735" s="39">
        <f t="shared" si="490"/>
        <v>0</v>
      </c>
      <c r="M735" s="117">
        <v>46266</v>
      </c>
      <c r="N735" s="117">
        <v>46270</v>
      </c>
      <c r="O735" s="39"/>
      <c r="P735" s="39"/>
      <c r="Q735" s="39"/>
      <c r="R735" s="39">
        <f t="shared" si="487"/>
        <v>0</v>
      </c>
      <c r="S735" s="39" t="s">
        <v>130</v>
      </c>
      <c r="T735" s="39"/>
      <c r="U735" s="39"/>
      <c r="V735" s="117">
        <v>46282</v>
      </c>
      <c r="W735" s="39">
        <f>3</f>
        <v>3</v>
      </c>
      <c r="X735" s="39"/>
      <c r="Y735" s="39"/>
      <c r="Z735" s="39"/>
      <c r="AA735" s="39"/>
      <c r="AB735" s="39">
        <f t="shared" si="488"/>
        <v>0</v>
      </c>
      <c r="AC735" s="39"/>
      <c r="AD735" s="39"/>
      <c r="AE735" s="39"/>
      <c r="AF735" s="39"/>
      <c r="AG735" s="39"/>
      <c r="AH735" s="39">
        <f t="shared" si="483"/>
        <v>0</v>
      </c>
      <c r="AI735" s="39"/>
      <c r="AJ735" s="39"/>
      <c r="AK735" s="39"/>
      <c r="AL735" s="39"/>
      <c r="AM735" s="39"/>
      <c r="AN735" s="39">
        <f t="shared" si="489"/>
        <v>0</v>
      </c>
      <c r="AO735" s="39"/>
      <c r="AP735" s="39"/>
      <c r="AQ735" s="39"/>
      <c r="AR735" s="39"/>
      <c r="AS735" s="39"/>
      <c r="AT735" s="39">
        <f t="shared" si="367"/>
        <v>0</v>
      </c>
      <c r="AU735" s="39"/>
      <c r="AV735" s="39"/>
      <c r="AW735" s="39"/>
      <c r="AX735" s="39"/>
      <c r="AY735" s="39"/>
      <c r="AZ735" s="39">
        <f t="shared" si="368"/>
        <v>0</v>
      </c>
      <c r="BA735" s="39"/>
      <c r="BB735" s="39"/>
      <c r="BC735" s="39"/>
      <c r="BD735" s="39"/>
      <c r="BE735" s="39"/>
      <c r="BF735" s="39">
        <f t="shared" si="369"/>
        <v>0</v>
      </c>
      <c r="BG735" s="39"/>
      <c r="BH735" s="39"/>
      <c r="BI735" s="39"/>
      <c r="BJ735" s="39"/>
      <c r="BK735" s="39"/>
      <c r="BL735" s="39">
        <f t="shared" si="484"/>
        <v>0</v>
      </c>
      <c r="BM735" s="54" t="e">
        <f t="shared" si="371"/>
        <v>#DIV/0!</v>
      </c>
      <c r="BN735" s="58">
        <v>46274</v>
      </c>
      <c r="BO735" s="57">
        <v>46284</v>
      </c>
      <c r="BP735" s="36"/>
      <c r="BQ735" s="36"/>
      <c r="BR735" s="39"/>
      <c r="BS735" s="39"/>
      <c r="BT735" s="39"/>
      <c r="BU735" s="39"/>
      <c r="BV735" s="39"/>
      <c r="BW735" s="39"/>
      <c r="BX735" s="39"/>
      <c r="BY735" s="39"/>
      <c r="BZ735" s="39">
        <f t="shared" si="485"/>
        <v>0</v>
      </c>
      <c r="CA735" s="39" t="e">
        <f t="shared" si="373"/>
        <v>#VALUE!</v>
      </c>
      <c r="CB735" s="39">
        <f t="shared" si="374"/>
        <v>0</v>
      </c>
      <c r="CC735" s="39">
        <f t="shared" si="375"/>
        <v>0</v>
      </c>
      <c r="CD735" s="39">
        <f t="shared" si="376"/>
        <v>0</v>
      </c>
      <c r="CE735" s="102" t="e">
        <f t="shared" si="377"/>
        <v>#DIV/0!</v>
      </c>
      <c r="CF735" s="36" t="s">
        <v>2481</v>
      </c>
      <c r="CG735" s="39" t="s">
        <v>231</v>
      </c>
      <c r="CH735" s="39"/>
      <c r="CI735" s="25">
        <v>1</v>
      </c>
    </row>
    <row r="736" spans="1:87" ht="24.75" customHeight="1">
      <c r="A736" s="36" t="s">
        <v>388</v>
      </c>
      <c r="B736" s="27">
        <v>48695</v>
      </c>
      <c r="C736" s="236"/>
      <c r="D736" s="36"/>
      <c r="E736" s="39"/>
      <c r="F736" s="39"/>
      <c r="G736" s="36" t="s">
        <v>2483</v>
      </c>
      <c r="H736" s="36">
        <v>850</v>
      </c>
      <c r="I736" s="39" t="s">
        <v>90</v>
      </c>
      <c r="J736" s="39"/>
      <c r="K736" s="39"/>
      <c r="L736" s="39">
        <f t="shared" si="490"/>
        <v>0</v>
      </c>
      <c r="M736" s="117">
        <v>46266</v>
      </c>
      <c r="N736" s="117">
        <v>46270</v>
      </c>
      <c r="O736" s="39"/>
      <c r="P736" s="39"/>
      <c r="Q736" s="39"/>
      <c r="R736" s="39">
        <f t="shared" si="487"/>
        <v>0</v>
      </c>
      <c r="S736" s="39" t="s">
        <v>130</v>
      </c>
      <c r="T736" s="39"/>
      <c r="U736" s="39"/>
      <c r="V736" s="117">
        <v>46282</v>
      </c>
      <c r="W736" s="39">
        <v>8</v>
      </c>
      <c r="X736" s="39"/>
      <c r="Y736" s="39"/>
      <c r="Z736" s="39"/>
      <c r="AA736" s="39"/>
      <c r="AB736" s="39">
        <f t="shared" si="488"/>
        <v>0</v>
      </c>
      <c r="AC736" s="39"/>
      <c r="AD736" s="39"/>
      <c r="AE736" s="39"/>
      <c r="AF736" s="39"/>
      <c r="AG736" s="39"/>
      <c r="AH736" s="39">
        <f t="shared" si="483"/>
        <v>0</v>
      </c>
      <c r="AI736" s="39"/>
      <c r="AJ736" s="39"/>
      <c r="AK736" s="39"/>
      <c r="AL736" s="39"/>
      <c r="AM736" s="39"/>
      <c r="AN736" s="39">
        <f t="shared" si="489"/>
        <v>0</v>
      </c>
      <c r="AO736" s="39"/>
      <c r="AP736" s="39"/>
      <c r="AQ736" s="39"/>
      <c r="AR736" s="39"/>
      <c r="AS736" s="39"/>
      <c r="AT736" s="39">
        <f t="shared" si="367"/>
        <v>0</v>
      </c>
      <c r="AU736" s="39"/>
      <c r="AV736" s="39"/>
      <c r="AW736" s="39"/>
      <c r="AX736" s="39"/>
      <c r="AY736" s="39"/>
      <c r="AZ736" s="39">
        <f t="shared" si="368"/>
        <v>0</v>
      </c>
      <c r="BA736" s="39"/>
      <c r="BB736" s="39"/>
      <c r="BC736" s="39"/>
      <c r="BD736" s="39"/>
      <c r="BE736" s="39"/>
      <c r="BF736" s="39">
        <f t="shared" si="369"/>
        <v>0</v>
      </c>
      <c r="BG736" s="39"/>
      <c r="BH736" s="39"/>
      <c r="BI736" s="39"/>
      <c r="BJ736" s="39"/>
      <c r="BK736" s="39"/>
      <c r="BL736" s="39">
        <f t="shared" si="484"/>
        <v>0</v>
      </c>
      <c r="BM736" s="54" t="e">
        <f t="shared" si="371"/>
        <v>#DIV/0!</v>
      </c>
      <c r="BN736" s="58">
        <v>46274</v>
      </c>
      <c r="BO736" s="57">
        <v>46284</v>
      </c>
      <c r="BP736" s="36"/>
      <c r="BQ736" s="36"/>
      <c r="BR736" s="39"/>
      <c r="BS736" s="39"/>
      <c r="BT736" s="39"/>
      <c r="BU736" s="39"/>
      <c r="BV736" s="39"/>
      <c r="BW736" s="39"/>
      <c r="BX736" s="39"/>
      <c r="BY736" s="39"/>
      <c r="BZ736" s="39">
        <f t="shared" si="485"/>
        <v>0</v>
      </c>
      <c r="CA736" s="39" t="e">
        <f t="shared" si="373"/>
        <v>#VALUE!</v>
      </c>
      <c r="CB736" s="39">
        <f t="shared" si="374"/>
        <v>0</v>
      </c>
      <c r="CC736" s="39">
        <f t="shared" si="375"/>
        <v>0</v>
      </c>
      <c r="CD736" s="39">
        <f t="shared" si="376"/>
        <v>0</v>
      </c>
      <c r="CE736" s="102" t="e">
        <f t="shared" si="377"/>
        <v>#DIV/0!</v>
      </c>
      <c r="CF736" s="36" t="s">
        <v>2481</v>
      </c>
      <c r="CG736" s="39" t="s">
        <v>231</v>
      </c>
      <c r="CH736" s="39"/>
      <c r="CI736" s="25">
        <v>1</v>
      </c>
    </row>
    <row r="737" spans="1:87" ht="24.75" customHeight="1">
      <c r="A737" s="36" t="s">
        <v>388</v>
      </c>
      <c r="B737" s="27" t="s">
        <v>2484</v>
      </c>
      <c r="C737" s="235">
        <v>15377771</v>
      </c>
      <c r="D737" s="36"/>
      <c r="E737" s="39">
        <v>140</v>
      </c>
      <c r="F737" s="39" t="s">
        <v>57</v>
      </c>
      <c r="G737" s="36" t="s">
        <v>23</v>
      </c>
      <c r="H737" s="36" t="s">
        <v>22</v>
      </c>
      <c r="I737" s="39">
        <v>129</v>
      </c>
      <c r="J737" s="39">
        <v>10</v>
      </c>
      <c r="K737" s="39"/>
      <c r="L737" s="39">
        <f t="shared" si="490"/>
        <v>139</v>
      </c>
      <c r="M737" s="117">
        <v>46262</v>
      </c>
      <c r="N737" s="117">
        <v>46268</v>
      </c>
      <c r="O737" s="39"/>
      <c r="P737" s="39"/>
      <c r="Q737" s="39"/>
      <c r="R737" s="39">
        <f t="shared" si="487"/>
        <v>0</v>
      </c>
      <c r="S737" s="39" t="s">
        <v>100</v>
      </c>
      <c r="T737" s="39"/>
      <c r="U737" s="39"/>
      <c r="V737" s="117">
        <v>46266</v>
      </c>
      <c r="W737" s="39">
        <f>154+13</f>
        <v>167</v>
      </c>
      <c r="X737" s="39"/>
      <c r="Y737" s="39"/>
      <c r="Z737" s="39"/>
      <c r="AA737" s="39"/>
      <c r="AB737" s="118">
        <f t="shared" si="488"/>
        <v>0</v>
      </c>
      <c r="AC737" s="39"/>
      <c r="AD737" s="39"/>
      <c r="AE737" s="39"/>
      <c r="AF737" s="39"/>
      <c r="AG737" s="39"/>
      <c r="AH737" s="39">
        <f t="shared" si="483"/>
        <v>0</v>
      </c>
      <c r="AI737" s="39"/>
      <c r="AJ737" s="39"/>
      <c r="AK737" s="39"/>
      <c r="AL737" s="39"/>
      <c r="AM737" s="39"/>
      <c r="AN737" s="39">
        <f t="shared" si="489"/>
        <v>0</v>
      </c>
      <c r="AO737" s="39"/>
      <c r="AP737" s="39"/>
      <c r="AQ737" s="39"/>
      <c r="AR737" s="39"/>
      <c r="AS737" s="39"/>
      <c r="AT737" s="39">
        <f t="shared" si="367"/>
        <v>0</v>
      </c>
      <c r="AU737" s="39"/>
      <c r="AV737" s="39"/>
      <c r="AW737" s="39"/>
      <c r="AX737" s="39"/>
      <c r="AY737" s="39"/>
      <c r="AZ737" s="39">
        <f t="shared" si="368"/>
        <v>0</v>
      </c>
      <c r="BA737" s="39"/>
      <c r="BB737" s="39"/>
      <c r="BC737" s="39"/>
      <c r="BD737" s="39"/>
      <c r="BE737" s="39"/>
      <c r="BF737" s="39">
        <f t="shared" si="369"/>
        <v>0</v>
      </c>
      <c r="BG737" s="39"/>
      <c r="BH737" s="39"/>
      <c r="BI737" s="39"/>
      <c r="BJ737" s="39"/>
      <c r="BK737" s="39"/>
      <c r="BL737" s="39">
        <f t="shared" si="484"/>
        <v>0</v>
      </c>
      <c r="BM737" s="54">
        <f t="shared" ca="1" si="371"/>
        <v>46283</v>
      </c>
      <c r="BN737" s="58">
        <v>46272</v>
      </c>
      <c r="BO737" s="57">
        <v>46283</v>
      </c>
      <c r="BP737" s="36"/>
      <c r="BQ737" s="36"/>
      <c r="BR737" s="39"/>
      <c r="BS737" s="39"/>
      <c r="BT737" s="39"/>
      <c r="BU737" s="39"/>
      <c r="BV737" s="39"/>
      <c r="BW737" s="39"/>
      <c r="BX737" s="39"/>
      <c r="BY737" s="39"/>
      <c r="BZ737" s="39">
        <f t="shared" si="485"/>
        <v>0</v>
      </c>
      <c r="CA737" s="39">
        <f t="shared" si="373"/>
        <v>-129</v>
      </c>
      <c r="CB737" s="39">
        <f t="shared" si="374"/>
        <v>-10</v>
      </c>
      <c r="CC737" s="39">
        <f t="shared" si="375"/>
        <v>0</v>
      </c>
      <c r="CD737" s="39">
        <f t="shared" si="376"/>
        <v>-139</v>
      </c>
      <c r="CE737" s="102">
        <f t="shared" si="377"/>
        <v>-1</v>
      </c>
      <c r="CF737" s="36" t="s">
        <v>294</v>
      </c>
      <c r="CG737" s="39" t="s">
        <v>231</v>
      </c>
      <c r="CH737" s="39"/>
      <c r="CI737" s="25">
        <v>1</v>
      </c>
    </row>
    <row r="738" spans="1:87" ht="24.75" customHeight="1">
      <c r="A738" s="36" t="s">
        <v>388</v>
      </c>
      <c r="B738" s="27" t="s">
        <v>2484</v>
      </c>
      <c r="C738" s="236"/>
      <c r="D738" s="36"/>
      <c r="E738" s="39">
        <v>140</v>
      </c>
      <c r="F738" s="39" t="s">
        <v>57</v>
      </c>
      <c r="G738" s="36" t="s">
        <v>21</v>
      </c>
      <c r="H738" s="36" t="s">
        <v>22</v>
      </c>
      <c r="I738" s="39">
        <v>120</v>
      </c>
      <c r="J738" s="39">
        <v>10</v>
      </c>
      <c r="K738" s="39"/>
      <c r="L738" s="39">
        <f t="shared" si="490"/>
        <v>130</v>
      </c>
      <c r="M738" s="117">
        <v>46262</v>
      </c>
      <c r="N738" s="117">
        <v>46268</v>
      </c>
      <c r="O738" s="39"/>
      <c r="P738" s="39"/>
      <c r="Q738" s="39"/>
      <c r="R738" s="39">
        <f t="shared" si="487"/>
        <v>0</v>
      </c>
      <c r="S738" s="39" t="s">
        <v>130</v>
      </c>
      <c r="T738" s="39"/>
      <c r="U738" s="39"/>
      <c r="V738" s="39"/>
      <c r="W738" s="39"/>
      <c r="X738" s="39"/>
      <c r="Y738" s="39"/>
      <c r="Z738" s="39"/>
      <c r="AA738" s="39"/>
      <c r="AB738" s="118">
        <f t="shared" si="488"/>
        <v>0</v>
      </c>
      <c r="AC738" s="39"/>
      <c r="AD738" s="39"/>
      <c r="AE738" s="39"/>
      <c r="AF738" s="39"/>
      <c r="AG738" s="39"/>
      <c r="AH738" s="39">
        <f t="shared" si="483"/>
        <v>0</v>
      </c>
      <c r="AI738" s="39"/>
      <c r="AJ738" s="39"/>
      <c r="AK738" s="39"/>
      <c r="AL738" s="39"/>
      <c r="AM738" s="39"/>
      <c r="AN738" s="39">
        <f t="shared" si="489"/>
        <v>0</v>
      </c>
      <c r="AO738" s="39"/>
      <c r="AP738" s="39"/>
      <c r="AQ738" s="39"/>
      <c r="AR738" s="39"/>
      <c r="AS738" s="39"/>
      <c r="AT738" s="39">
        <f t="shared" si="367"/>
        <v>0</v>
      </c>
      <c r="AU738" s="39"/>
      <c r="AV738" s="39"/>
      <c r="AW738" s="39"/>
      <c r="AX738" s="39"/>
      <c r="AY738" s="39"/>
      <c r="AZ738" s="39">
        <f t="shared" si="368"/>
        <v>0</v>
      </c>
      <c r="BA738" s="39"/>
      <c r="BB738" s="39"/>
      <c r="BC738" s="39"/>
      <c r="BD738" s="39"/>
      <c r="BE738" s="39"/>
      <c r="BF738" s="39">
        <f t="shared" si="369"/>
        <v>0</v>
      </c>
      <c r="BG738" s="39"/>
      <c r="BH738" s="39"/>
      <c r="BI738" s="39"/>
      <c r="BJ738" s="39"/>
      <c r="BK738" s="39"/>
      <c r="BL738" s="39">
        <f t="shared" si="484"/>
        <v>0</v>
      </c>
      <c r="BM738" s="54">
        <f t="shared" ca="1" si="371"/>
        <v>46283</v>
      </c>
      <c r="BN738" s="58">
        <v>46272</v>
      </c>
      <c r="BO738" s="57">
        <v>46283</v>
      </c>
      <c r="BP738" s="36"/>
      <c r="BQ738" s="36"/>
      <c r="BR738" s="39"/>
      <c r="BS738" s="39"/>
      <c r="BT738" s="39"/>
      <c r="BU738" s="39"/>
      <c r="BV738" s="39"/>
      <c r="BW738" s="39"/>
      <c r="BX738" s="39"/>
      <c r="BY738" s="39"/>
      <c r="BZ738" s="39">
        <f t="shared" si="485"/>
        <v>0</v>
      </c>
      <c r="CA738" s="39">
        <f t="shared" si="373"/>
        <v>-120</v>
      </c>
      <c r="CB738" s="39">
        <f t="shared" si="374"/>
        <v>-10</v>
      </c>
      <c r="CC738" s="39">
        <f t="shared" si="375"/>
        <v>0</v>
      </c>
      <c r="CD738" s="39">
        <f t="shared" si="376"/>
        <v>-130</v>
      </c>
      <c r="CE738" s="102">
        <f t="shared" si="377"/>
        <v>-1</v>
      </c>
      <c r="CF738" s="36" t="s">
        <v>294</v>
      </c>
      <c r="CG738" s="39" t="s">
        <v>231</v>
      </c>
      <c r="CH738" s="39"/>
      <c r="CI738" s="25">
        <v>1</v>
      </c>
    </row>
    <row r="739" spans="1:87" ht="24.75" customHeight="1">
      <c r="A739" s="36" t="s">
        <v>388</v>
      </c>
      <c r="B739" s="27" t="s">
        <v>2485</v>
      </c>
      <c r="C739" s="41">
        <v>15303956</v>
      </c>
      <c r="D739" s="36"/>
      <c r="E739" s="39">
        <v>260</v>
      </c>
      <c r="F739" s="39" t="s">
        <v>67</v>
      </c>
      <c r="G739" s="36" t="s">
        <v>324</v>
      </c>
      <c r="H739" s="36" t="s">
        <v>355</v>
      </c>
      <c r="I739" s="39">
        <v>237</v>
      </c>
      <c r="J739" s="39"/>
      <c r="K739" s="39">
        <v>10</v>
      </c>
      <c r="L739" s="39">
        <f t="shared" si="490"/>
        <v>247</v>
      </c>
      <c r="M739" s="117">
        <v>46266</v>
      </c>
      <c r="N739" s="117">
        <v>46270</v>
      </c>
      <c r="O739" s="39"/>
      <c r="P739" s="39"/>
      <c r="Q739" s="39"/>
      <c r="R739" s="39">
        <f t="shared" si="487"/>
        <v>0</v>
      </c>
      <c r="S739" s="39" t="s">
        <v>130</v>
      </c>
      <c r="T739" s="39">
        <v>109278</v>
      </c>
      <c r="U739" s="117">
        <v>46273</v>
      </c>
      <c r="V739" s="39"/>
      <c r="W739" s="39"/>
      <c r="X739" s="39"/>
      <c r="Y739" s="39">
        <v>255</v>
      </c>
      <c r="Z739" s="39"/>
      <c r="AA739" s="39">
        <v>13</v>
      </c>
      <c r="AB739" s="119">
        <f t="shared" si="488"/>
        <v>268</v>
      </c>
      <c r="AC739" s="39"/>
      <c r="AD739" s="39"/>
      <c r="AE739" s="39"/>
      <c r="AF739" s="39"/>
      <c r="AG739" s="39"/>
      <c r="AH739" s="39">
        <f t="shared" si="483"/>
        <v>0</v>
      </c>
      <c r="AI739" s="39"/>
      <c r="AJ739" s="39"/>
      <c r="AK739" s="39"/>
      <c r="AL739" s="39"/>
      <c r="AM739" s="39"/>
      <c r="AN739" s="39">
        <f t="shared" si="489"/>
        <v>0</v>
      </c>
      <c r="AO739" s="39"/>
      <c r="AP739" s="39"/>
      <c r="AQ739" s="39"/>
      <c r="AR739" s="39"/>
      <c r="AS739" s="39"/>
      <c r="AT739" s="39">
        <f t="shared" si="367"/>
        <v>0</v>
      </c>
      <c r="AU739" s="39"/>
      <c r="AV739" s="39"/>
      <c r="AW739" s="39"/>
      <c r="AX739" s="39"/>
      <c r="AY739" s="39"/>
      <c r="AZ739" s="39">
        <f t="shared" si="368"/>
        <v>0</v>
      </c>
      <c r="BA739" s="39"/>
      <c r="BB739" s="39"/>
      <c r="BC739" s="39"/>
      <c r="BD739" s="39"/>
      <c r="BE739" s="39"/>
      <c r="BF739" s="39">
        <f t="shared" si="369"/>
        <v>0</v>
      </c>
      <c r="BG739" s="39"/>
      <c r="BH739" s="39"/>
      <c r="BI739" s="39"/>
      <c r="BJ739" s="39"/>
      <c r="BK739" s="39"/>
      <c r="BL739" s="39">
        <f t="shared" si="484"/>
        <v>0</v>
      </c>
      <c r="BM739" s="54" t="str">
        <f t="shared" si="371"/>
        <v/>
      </c>
      <c r="BN739" s="58">
        <v>46275</v>
      </c>
      <c r="BO739" s="57">
        <v>46289</v>
      </c>
      <c r="BP739" s="36"/>
      <c r="BQ739" s="36"/>
      <c r="BR739" s="117">
        <v>46272</v>
      </c>
      <c r="BS739" s="117">
        <v>46272</v>
      </c>
      <c r="BT739" s="39">
        <v>779</v>
      </c>
      <c r="BU739" s="39">
        <v>241</v>
      </c>
      <c r="BV739" s="39"/>
      <c r="BW739" s="39"/>
      <c r="BX739" s="39">
        <v>779</v>
      </c>
      <c r="BY739" s="39">
        <v>11</v>
      </c>
      <c r="BZ739" s="39">
        <f t="shared" si="485"/>
        <v>252</v>
      </c>
      <c r="CA739" s="39">
        <f t="shared" si="373"/>
        <v>4</v>
      </c>
      <c r="CB739" s="39">
        <f t="shared" si="374"/>
        <v>0</v>
      </c>
      <c r="CC739" s="39">
        <f t="shared" si="375"/>
        <v>1</v>
      </c>
      <c r="CD739" s="39">
        <f t="shared" si="376"/>
        <v>0</v>
      </c>
      <c r="CE739" s="102">
        <f t="shared" si="377"/>
        <v>0</v>
      </c>
      <c r="CF739" s="36" t="s">
        <v>294</v>
      </c>
      <c r="CG739" s="39" t="s">
        <v>231</v>
      </c>
      <c r="CH739" s="39"/>
      <c r="CI739" s="25">
        <v>1</v>
      </c>
    </row>
    <row r="740" spans="1:87" ht="24.75" customHeight="1">
      <c r="A740" s="36" t="s">
        <v>388</v>
      </c>
      <c r="B740" s="27" t="s">
        <v>2486</v>
      </c>
      <c r="C740" s="235">
        <v>15303954</v>
      </c>
      <c r="D740" s="36"/>
      <c r="E740" s="39">
        <v>260</v>
      </c>
      <c r="F740" s="39" t="s">
        <v>67</v>
      </c>
      <c r="G740" s="36" t="s">
        <v>324</v>
      </c>
      <c r="H740" s="36" t="s">
        <v>355</v>
      </c>
      <c r="I740" s="39">
        <v>786</v>
      </c>
      <c r="J740" s="39">
        <v>61</v>
      </c>
      <c r="K740" s="39">
        <v>34</v>
      </c>
      <c r="L740" s="39">
        <f t="shared" si="490"/>
        <v>881</v>
      </c>
      <c r="M740" s="117">
        <v>46261</v>
      </c>
      <c r="N740" s="117">
        <v>46269</v>
      </c>
      <c r="O740" s="39"/>
      <c r="P740" s="39"/>
      <c r="Q740" s="39"/>
      <c r="R740" s="39">
        <f t="shared" si="487"/>
        <v>0</v>
      </c>
      <c r="S740" s="39" t="s">
        <v>130</v>
      </c>
      <c r="T740" s="39">
        <v>109277</v>
      </c>
      <c r="U740" s="117">
        <v>46273</v>
      </c>
      <c r="V740" s="39"/>
      <c r="W740" s="39"/>
      <c r="X740" s="39"/>
      <c r="Y740" s="39">
        <v>843</v>
      </c>
      <c r="Z740" s="39">
        <v>74</v>
      </c>
      <c r="AA740" s="39">
        <v>39</v>
      </c>
      <c r="AB740" s="119">
        <f t="shared" si="488"/>
        <v>956</v>
      </c>
      <c r="AC740" s="39"/>
      <c r="AD740" s="39"/>
      <c r="AE740" s="39"/>
      <c r="AF740" s="39"/>
      <c r="AG740" s="39"/>
      <c r="AH740" s="39">
        <f t="shared" si="483"/>
        <v>0</v>
      </c>
      <c r="AI740" s="39"/>
      <c r="AJ740" s="39"/>
      <c r="AK740" s="39"/>
      <c r="AL740" s="39"/>
      <c r="AM740" s="39"/>
      <c r="AN740" s="39">
        <f t="shared" si="489"/>
        <v>0</v>
      </c>
      <c r="AO740" s="39"/>
      <c r="AP740" s="39"/>
      <c r="AQ740" s="39"/>
      <c r="AR740" s="39"/>
      <c r="AS740" s="39"/>
      <c r="AT740" s="39">
        <f t="shared" si="367"/>
        <v>0</v>
      </c>
      <c r="AU740" s="39"/>
      <c r="AV740" s="39"/>
      <c r="AW740" s="39"/>
      <c r="AX740" s="39"/>
      <c r="AY740" s="39"/>
      <c r="AZ740" s="39">
        <f t="shared" si="368"/>
        <v>0</v>
      </c>
      <c r="BA740" s="39"/>
      <c r="BB740" s="39"/>
      <c r="BC740" s="39"/>
      <c r="BD740" s="39"/>
      <c r="BE740" s="39"/>
      <c r="BF740" s="39">
        <f t="shared" si="369"/>
        <v>0</v>
      </c>
      <c r="BG740" s="39"/>
      <c r="BH740" s="39"/>
      <c r="BI740" s="39"/>
      <c r="BJ740" s="39"/>
      <c r="BK740" s="39"/>
      <c r="BL740" s="39">
        <f t="shared" si="484"/>
        <v>0</v>
      </c>
      <c r="BM740" s="54" t="str">
        <f t="shared" si="371"/>
        <v/>
      </c>
      <c r="BN740" s="58">
        <v>46272</v>
      </c>
      <c r="BO740" s="57">
        <v>46286</v>
      </c>
      <c r="BP740" s="36"/>
      <c r="BQ740" s="36"/>
      <c r="BR740" s="117">
        <v>46272</v>
      </c>
      <c r="BS740" s="117">
        <v>46276</v>
      </c>
      <c r="BT740" s="39">
        <v>779</v>
      </c>
      <c r="BU740" s="39">
        <v>810</v>
      </c>
      <c r="BV740" s="39">
        <v>783</v>
      </c>
      <c r="BW740" s="39">
        <v>70</v>
      </c>
      <c r="BX740" s="39">
        <v>779</v>
      </c>
      <c r="BY740" s="39">
        <v>37</v>
      </c>
      <c r="BZ740" s="39">
        <f t="shared" si="485"/>
        <v>917</v>
      </c>
      <c r="CA740" s="39">
        <f t="shared" si="373"/>
        <v>24</v>
      </c>
      <c r="CB740" s="39">
        <f t="shared" si="374"/>
        <v>9</v>
      </c>
      <c r="CC740" s="39">
        <f t="shared" si="375"/>
        <v>3</v>
      </c>
      <c r="CD740" s="39">
        <f t="shared" si="376"/>
        <v>0</v>
      </c>
      <c r="CE740" s="102">
        <f t="shared" si="377"/>
        <v>0</v>
      </c>
      <c r="CF740" s="36" t="s">
        <v>294</v>
      </c>
      <c r="CG740" s="39" t="s">
        <v>231</v>
      </c>
      <c r="CH740" s="39" t="s">
        <v>114</v>
      </c>
      <c r="CI740" s="25">
        <v>1</v>
      </c>
    </row>
    <row r="741" spans="1:87" ht="24.75" customHeight="1">
      <c r="A741" s="36" t="s">
        <v>388</v>
      </c>
      <c r="B741" s="27" t="s">
        <v>2486</v>
      </c>
      <c r="C741" s="236"/>
      <c r="D741" s="36"/>
      <c r="E741" s="39"/>
      <c r="F741" s="39"/>
      <c r="G741" s="36" t="s">
        <v>1217</v>
      </c>
      <c r="H741" s="36"/>
      <c r="I741" s="39"/>
      <c r="J741" s="39"/>
      <c r="K741" s="39"/>
      <c r="L741" s="39">
        <f t="shared" si="490"/>
        <v>0</v>
      </c>
      <c r="M741" s="117">
        <v>46261</v>
      </c>
      <c r="N741" s="117">
        <v>46269</v>
      </c>
      <c r="O741" s="39"/>
      <c r="P741" s="39"/>
      <c r="Q741" s="39"/>
      <c r="R741" s="39">
        <f t="shared" si="487"/>
        <v>0</v>
      </c>
      <c r="S741" s="39" t="s">
        <v>100</v>
      </c>
      <c r="T741" s="39"/>
      <c r="U741" s="39"/>
      <c r="V741" s="39"/>
      <c r="W741" s="39"/>
      <c r="X741" s="39"/>
      <c r="Y741" s="39"/>
      <c r="Z741" s="39"/>
      <c r="AA741" s="39"/>
      <c r="AB741" s="39">
        <f t="shared" si="488"/>
        <v>0</v>
      </c>
      <c r="AC741" s="39"/>
      <c r="AD741" s="39"/>
      <c r="AE741" s="39"/>
      <c r="AF741" s="39"/>
      <c r="AG741" s="39"/>
      <c r="AH741" s="39">
        <f t="shared" si="483"/>
        <v>0</v>
      </c>
      <c r="AI741" s="39"/>
      <c r="AJ741" s="39"/>
      <c r="AK741" s="39"/>
      <c r="AL741" s="39"/>
      <c r="AM741" s="39"/>
      <c r="AN741" s="39">
        <f t="shared" si="489"/>
        <v>0</v>
      </c>
      <c r="AO741" s="39"/>
      <c r="AP741" s="39"/>
      <c r="AQ741" s="39"/>
      <c r="AR741" s="39"/>
      <c r="AS741" s="39"/>
      <c r="AT741" s="39">
        <f t="shared" si="367"/>
        <v>0</v>
      </c>
      <c r="AU741" s="39"/>
      <c r="AV741" s="39"/>
      <c r="AW741" s="39"/>
      <c r="AX741" s="39"/>
      <c r="AY741" s="39"/>
      <c r="AZ741" s="39">
        <f t="shared" si="368"/>
        <v>0</v>
      </c>
      <c r="BA741" s="39"/>
      <c r="BB741" s="39"/>
      <c r="BC741" s="39"/>
      <c r="BD741" s="39"/>
      <c r="BE741" s="39"/>
      <c r="BF741" s="39">
        <f t="shared" si="369"/>
        <v>0</v>
      </c>
      <c r="BG741" s="39"/>
      <c r="BH741" s="39"/>
      <c r="BI741" s="39"/>
      <c r="BJ741" s="39"/>
      <c r="BK741" s="39"/>
      <c r="BL741" s="39">
        <f t="shared" si="484"/>
        <v>0</v>
      </c>
      <c r="BM741" s="54" t="e">
        <f t="shared" si="371"/>
        <v>#DIV/0!</v>
      </c>
      <c r="BN741" s="58">
        <v>46272</v>
      </c>
      <c r="BO741" s="57">
        <v>46286</v>
      </c>
      <c r="BP741" s="36"/>
      <c r="BQ741" s="36"/>
      <c r="BR741" s="39"/>
      <c r="BS741" s="39"/>
      <c r="BT741" s="39"/>
      <c r="BU741" s="39"/>
      <c r="BV741" s="39"/>
      <c r="BW741" s="39"/>
      <c r="BX741" s="39"/>
      <c r="BY741" s="39"/>
      <c r="BZ741" s="39">
        <f t="shared" si="485"/>
        <v>0</v>
      </c>
      <c r="CA741" s="39">
        <f t="shared" si="373"/>
        <v>0</v>
      </c>
      <c r="CB741" s="39">
        <f t="shared" si="374"/>
        <v>0</v>
      </c>
      <c r="CC741" s="39">
        <f t="shared" si="375"/>
        <v>0</v>
      </c>
      <c r="CD741" s="39">
        <f t="shared" si="376"/>
        <v>0</v>
      </c>
      <c r="CE741" s="102" t="e">
        <f t="shared" si="377"/>
        <v>#DIV/0!</v>
      </c>
      <c r="CF741" s="36" t="s">
        <v>294</v>
      </c>
      <c r="CG741" s="39" t="s">
        <v>231</v>
      </c>
      <c r="CH741" s="39"/>
      <c r="CI741" s="25">
        <v>1</v>
      </c>
    </row>
    <row r="742" spans="1:87" ht="24.75" customHeight="1">
      <c r="A742" s="36" t="s">
        <v>388</v>
      </c>
      <c r="B742" s="27" t="s">
        <v>2487</v>
      </c>
      <c r="C742" s="235" t="s">
        <v>2779</v>
      </c>
      <c r="D742" s="36"/>
      <c r="E742" s="39">
        <v>220</v>
      </c>
      <c r="F742" s="39" t="s">
        <v>55</v>
      </c>
      <c r="G742" s="36" t="s">
        <v>2488</v>
      </c>
      <c r="H742" s="36" t="s">
        <v>210</v>
      </c>
      <c r="I742" s="39">
        <v>169</v>
      </c>
      <c r="J742" s="39"/>
      <c r="K742" s="39"/>
      <c r="L742" s="39">
        <f t="shared" si="490"/>
        <v>169</v>
      </c>
      <c r="M742" s="117">
        <v>46266</v>
      </c>
      <c r="N742" s="117">
        <v>46270</v>
      </c>
      <c r="O742" s="39"/>
      <c r="P742" s="39"/>
      <c r="Q742" s="39"/>
      <c r="R742" s="39">
        <f t="shared" si="487"/>
        <v>0</v>
      </c>
      <c r="S742" s="39" t="s">
        <v>100</v>
      </c>
      <c r="T742" s="39"/>
      <c r="U742" s="39"/>
      <c r="V742" s="117">
        <v>46273</v>
      </c>
      <c r="W742" s="39">
        <v>199</v>
      </c>
      <c r="X742" s="39"/>
      <c r="Y742" s="39"/>
      <c r="Z742" s="39"/>
      <c r="AA742" s="39"/>
      <c r="AB742" s="118">
        <f t="shared" si="488"/>
        <v>0</v>
      </c>
      <c r="AC742" s="39"/>
      <c r="AD742" s="39"/>
      <c r="AE742" s="39"/>
      <c r="AF742" s="39"/>
      <c r="AG742" s="39"/>
      <c r="AH742" s="39">
        <f t="shared" si="483"/>
        <v>0</v>
      </c>
      <c r="AI742" s="39"/>
      <c r="AJ742" s="39"/>
      <c r="AK742" s="39"/>
      <c r="AL742" s="39"/>
      <c r="AM742" s="39"/>
      <c r="AN742" s="39">
        <f t="shared" si="489"/>
        <v>0</v>
      </c>
      <c r="AO742" s="39"/>
      <c r="AP742" s="39"/>
      <c r="AQ742" s="39"/>
      <c r="AR742" s="39"/>
      <c r="AS742" s="39"/>
      <c r="AT742" s="39">
        <f t="shared" si="367"/>
        <v>0</v>
      </c>
      <c r="AU742" s="39"/>
      <c r="AV742" s="39"/>
      <c r="AW742" s="39"/>
      <c r="AX742" s="39"/>
      <c r="AY742" s="39"/>
      <c r="AZ742" s="39">
        <f t="shared" si="368"/>
        <v>0</v>
      </c>
      <c r="BA742" s="39"/>
      <c r="BB742" s="39"/>
      <c r="BC742" s="39"/>
      <c r="BD742" s="39"/>
      <c r="BE742" s="39"/>
      <c r="BF742" s="39">
        <f t="shared" si="369"/>
        <v>0</v>
      </c>
      <c r="BG742" s="39"/>
      <c r="BH742" s="39"/>
      <c r="BI742" s="39"/>
      <c r="BJ742" s="39"/>
      <c r="BK742" s="39"/>
      <c r="BL742" s="39">
        <f t="shared" si="484"/>
        <v>0</v>
      </c>
      <c r="BM742" s="54">
        <f t="shared" ca="1" si="371"/>
        <v>46283</v>
      </c>
      <c r="BN742" s="58">
        <v>46275</v>
      </c>
      <c r="BO742" s="57">
        <v>46288</v>
      </c>
      <c r="BP742" s="36"/>
      <c r="BQ742" s="36"/>
      <c r="BR742" s="39"/>
      <c r="BS742" s="39"/>
      <c r="BT742" s="39"/>
      <c r="BU742" s="39"/>
      <c r="BV742" s="39"/>
      <c r="BW742" s="39"/>
      <c r="BX742" s="39"/>
      <c r="BY742" s="39"/>
      <c r="BZ742" s="39">
        <f t="shared" si="485"/>
        <v>0</v>
      </c>
      <c r="CA742" s="39">
        <f t="shared" si="373"/>
        <v>-169</v>
      </c>
      <c r="CB742" s="39">
        <f t="shared" si="374"/>
        <v>0</v>
      </c>
      <c r="CC742" s="39">
        <f t="shared" si="375"/>
        <v>0</v>
      </c>
      <c r="CD742" s="39">
        <f t="shared" si="376"/>
        <v>-169</v>
      </c>
      <c r="CE742" s="102">
        <f t="shared" si="377"/>
        <v>-1</v>
      </c>
      <c r="CF742" s="36" t="s">
        <v>294</v>
      </c>
      <c r="CG742" s="39" t="s">
        <v>231</v>
      </c>
      <c r="CH742" s="39"/>
      <c r="CI742" s="25">
        <v>1</v>
      </c>
    </row>
    <row r="743" spans="1:87" ht="24.75" customHeight="1">
      <c r="A743" s="36" t="s">
        <v>388</v>
      </c>
      <c r="B743" s="27" t="s">
        <v>2487</v>
      </c>
      <c r="C743" s="240"/>
      <c r="D743" s="36"/>
      <c r="E743" s="39">
        <v>220</v>
      </c>
      <c r="F743" s="39" t="s">
        <v>55</v>
      </c>
      <c r="G743" s="36" t="s">
        <v>30</v>
      </c>
      <c r="H743" s="36" t="s">
        <v>210</v>
      </c>
      <c r="I743" s="39">
        <v>135</v>
      </c>
      <c r="J743" s="39"/>
      <c r="K743" s="39"/>
      <c r="L743" s="39">
        <f t="shared" si="490"/>
        <v>135</v>
      </c>
      <c r="M743" s="117">
        <v>46266</v>
      </c>
      <c r="N743" s="117">
        <v>46270</v>
      </c>
      <c r="O743" s="39"/>
      <c r="P743" s="39"/>
      <c r="Q743" s="39"/>
      <c r="R743" s="39">
        <f t="shared" si="487"/>
        <v>0</v>
      </c>
      <c r="S743" s="39" t="s">
        <v>100</v>
      </c>
      <c r="T743" s="39"/>
      <c r="U743" s="39"/>
      <c r="V743" s="117">
        <v>46273</v>
      </c>
      <c r="W743" s="39">
        <v>166</v>
      </c>
      <c r="X743" s="39"/>
      <c r="Y743" s="39"/>
      <c r="Z743" s="39"/>
      <c r="AA743" s="39"/>
      <c r="AB743" s="118">
        <f t="shared" si="488"/>
        <v>0</v>
      </c>
      <c r="AC743" s="39"/>
      <c r="AD743" s="39"/>
      <c r="AE743" s="39"/>
      <c r="AF743" s="39"/>
      <c r="AG743" s="39"/>
      <c r="AH743" s="39">
        <f t="shared" si="483"/>
        <v>0</v>
      </c>
      <c r="AI743" s="39"/>
      <c r="AJ743" s="39"/>
      <c r="AK743" s="39"/>
      <c r="AL743" s="39"/>
      <c r="AM743" s="39"/>
      <c r="AN743" s="39">
        <f t="shared" si="489"/>
        <v>0</v>
      </c>
      <c r="AO743" s="39"/>
      <c r="AP743" s="39"/>
      <c r="AQ743" s="39"/>
      <c r="AR743" s="39"/>
      <c r="AS743" s="39"/>
      <c r="AT743" s="39">
        <f t="shared" si="367"/>
        <v>0</v>
      </c>
      <c r="AU743" s="39"/>
      <c r="AV743" s="39"/>
      <c r="AW743" s="39"/>
      <c r="AX743" s="39"/>
      <c r="AY743" s="39"/>
      <c r="AZ743" s="39">
        <f t="shared" si="368"/>
        <v>0</v>
      </c>
      <c r="BA743" s="39"/>
      <c r="BB743" s="39"/>
      <c r="BC743" s="39"/>
      <c r="BD743" s="39"/>
      <c r="BE743" s="39"/>
      <c r="BF743" s="39">
        <f t="shared" si="369"/>
        <v>0</v>
      </c>
      <c r="BG743" s="39"/>
      <c r="BH743" s="39"/>
      <c r="BI743" s="39"/>
      <c r="BJ743" s="39"/>
      <c r="BK743" s="39"/>
      <c r="BL743" s="39">
        <f t="shared" si="484"/>
        <v>0</v>
      </c>
      <c r="BM743" s="54">
        <f t="shared" ca="1" si="371"/>
        <v>46283</v>
      </c>
      <c r="BN743" s="58">
        <v>46275</v>
      </c>
      <c r="BO743" s="57">
        <v>46288</v>
      </c>
      <c r="BP743" s="36"/>
      <c r="BQ743" s="36"/>
      <c r="BR743" s="39"/>
      <c r="BS743" s="39"/>
      <c r="BT743" s="39"/>
      <c r="BU743" s="39"/>
      <c r="BV743" s="39"/>
      <c r="BW743" s="39"/>
      <c r="BX743" s="39"/>
      <c r="BY743" s="39"/>
      <c r="BZ743" s="39">
        <f t="shared" si="485"/>
        <v>0</v>
      </c>
      <c r="CA743" s="39">
        <f t="shared" si="373"/>
        <v>-135</v>
      </c>
      <c r="CB743" s="39">
        <f t="shared" si="374"/>
        <v>0</v>
      </c>
      <c r="CC743" s="39">
        <f t="shared" si="375"/>
        <v>0</v>
      </c>
      <c r="CD743" s="39">
        <f t="shared" si="376"/>
        <v>-135</v>
      </c>
      <c r="CE743" s="102">
        <f t="shared" si="377"/>
        <v>-1</v>
      </c>
      <c r="CF743" s="36" t="s">
        <v>294</v>
      </c>
      <c r="CG743" s="39" t="s">
        <v>231</v>
      </c>
      <c r="CH743" s="39"/>
      <c r="CI743" s="25">
        <v>1</v>
      </c>
    </row>
    <row r="744" spans="1:87" ht="24.75" customHeight="1">
      <c r="A744" s="36" t="s">
        <v>388</v>
      </c>
      <c r="B744" s="27" t="s">
        <v>2487</v>
      </c>
      <c r="C744" s="240"/>
      <c r="D744" s="36"/>
      <c r="E744" s="39">
        <v>220</v>
      </c>
      <c r="F744" s="39" t="s">
        <v>55</v>
      </c>
      <c r="G744" s="36" t="s">
        <v>23</v>
      </c>
      <c r="H744" s="36" t="s">
        <v>210</v>
      </c>
      <c r="I744" s="39">
        <f>443+72</f>
        <v>515</v>
      </c>
      <c r="J744" s="39"/>
      <c r="K744" s="39"/>
      <c r="L744" s="39">
        <f t="shared" si="490"/>
        <v>515</v>
      </c>
      <c r="M744" s="117">
        <v>46266</v>
      </c>
      <c r="N744" s="117">
        <v>46270</v>
      </c>
      <c r="O744" s="39"/>
      <c r="P744" s="39"/>
      <c r="Q744" s="39"/>
      <c r="R744" s="39">
        <f t="shared" si="487"/>
        <v>0</v>
      </c>
      <c r="S744" s="39" t="s">
        <v>100</v>
      </c>
      <c r="T744" s="39"/>
      <c r="U744" s="39"/>
      <c r="V744" s="117">
        <v>46273</v>
      </c>
      <c r="W744" s="39">
        <f>671-111</f>
        <v>560</v>
      </c>
      <c r="X744" s="39"/>
      <c r="Y744" s="39"/>
      <c r="Z744" s="39"/>
      <c r="AA744" s="39"/>
      <c r="AB744" s="118">
        <f t="shared" si="488"/>
        <v>0</v>
      </c>
      <c r="AC744" s="39"/>
      <c r="AD744" s="39"/>
      <c r="AE744" s="39"/>
      <c r="AF744" s="39"/>
      <c r="AG744" s="39"/>
      <c r="AH744" s="39">
        <f t="shared" si="483"/>
        <v>0</v>
      </c>
      <c r="AI744" s="39"/>
      <c r="AJ744" s="39"/>
      <c r="AK744" s="39"/>
      <c r="AL744" s="39"/>
      <c r="AM744" s="39"/>
      <c r="AN744" s="39">
        <f t="shared" si="489"/>
        <v>0</v>
      </c>
      <c r="AO744" s="39"/>
      <c r="AP744" s="39"/>
      <c r="AQ744" s="39"/>
      <c r="AR744" s="39"/>
      <c r="AS744" s="39"/>
      <c r="AT744" s="39">
        <f t="shared" si="367"/>
        <v>0</v>
      </c>
      <c r="AU744" s="39"/>
      <c r="AV744" s="39"/>
      <c r="AW744" s="39"/>
      <c r="AX744" s="39"/>
      <c r="AY744" s="39"/>
      <c r="AZ744" s="39">
        <f t="shared" si="368"/>
        <v>0</v>
      </c>
      <c r="BA744" s="39"/>
      <c r="BB744" s="39"/>
      <c r="BC744" s="39"/>
      <c r="BD744" s="39"/>
      <c r="BE744" s="39"/>
      <c r="BF744" s="39">
        <f t="shared" si="369"/>
        <v>0</v>
      </c>
      <c r="BG744" s="39"/>
      <c r="BH744" s="39"/>
      <c r="BI744" s="39"/>
      <c r="BJ744" s="39"/>
      <c r="BK744" s="39"/>
      <c r="BL744" s="39">
        <f t="shared" si="484"/>
        <v>0</v>
      </c>
      <c r="BM744" s="54">
        <f t="shared" ca="1" si="371"/>
        <v>46283</v>
      </c>
      <c r="BN744" s="58">
        <v>46275</v>
      </c>
      <c r="BO744" s="57">
        <v>46288</v>
      </c>
      <c r="BP744" s="36"/>
      <c r="BQ744" s="36"/>
      <c r="BR744" s="39"/>
      <c r="BS744" s="39"/>
      <c r="BT744" s="39"/>
      <c r="BU744" s="39"/>
      <c r="BV744" s="39"/>
      <c r="BW744" s="39"/>
      <c r="BX744" s="39"/>
      <c r="BY744" s="39"/>
      <c r="BZ744" s="39">
        <f t="shared" si="485"/>
        <v>0</v>
      </c>
      <c r="CA744" s="39">
        <f t="shared" si="373"/>
        <v>-515</v>
      </c>
      <c r="CB744" s="39">
        <f t="shared" si="374"/>
        <v>0</v>
      </c>
      <c r="CC744" s="39">
        <f t="shared" si="375"/>
        <v>0</v>
      </c>
      <c r="CD744" s="39">
        <f t="shared" si="376"/>
        <v>-515</v>
      </c>
      <c r="CE744" s="102">
        <f t="shared" si="377"/>
        <v>-1</v>
      </c>
      <c r="CF744" s="36" t="s">
        <v>294</v>
      </c>
      <c r="CG744" s="39" t="s">
        <v>231</v>
      </c>
      <c r="CH744" s="39"/>
      <c r="CI744" s="25">
        <v>1</v>
      </c>
    </row>
    <row r="745" spans="1:87" ht="24.75" customHeight="1">
      <c r="A745" s="36" t="s">
        <v>388</v>
      </c>
      <c r="B745" s="27" t="s">
        <v>2487</v>
      </c>
      <c r="C745" s="240"/>
      <c r="D745" s="36"/>
      <c r="E745" s="39">
        <v>220</v>
      </c>
      <c r="F745" s="39" t="s">
        <v>55</v>
      </c>
      <c r="G745" s="36" t="s">
        <v>23</v>
      </c>
      <c r="H745" s="36" t="s">
        <v>210</v>
      </c>
      <c r="I745" s="39">
        <v>170</v>
      </c>
      <c r="J745" s="39"/>
      <c r="K745" s="39"/>
      <c r="L745" s="39">
        <f t="shared" si="490"/>
        <v>170</v>
      </c>
      <c r="M745" s="117">
        <v>46266</v>
      </c>
      <c r="N745" s="117">
        <v>46270</v>
      </c>
      <c r="O745" s="39"/>
      <c r="P745" s="39"/>
      <c r="Q745" s="39"/>
      <c r="R745" s="39">
        <f t="shared" si="487"/>
        <v>0</v>
      </c>
      <c r="S745" s="39" t="s">
        <v>100</v>
      </c>
      <c r="T745" s="39"/>
      <c r="U745" s="39"/>
      <c r="V745" s="117" t="s">
        <v>2982</v>
      </c>
      <c r="W745" s="39">
        <f>111+79</f>
        <v>190</v>
      </c>
      <c r="X745" s="39"/>
      <c r="Y745" s="39"/>
      <c r="Z745" s="39"/>
      <c r="AA745" s="39"/>
      <c r="AB745" s="118">
        <f t="shared" si="488"/>
        <v>0</v>
      </c>
      <c r="AC745" s="39"/>
      <c r="AD745" s="39"/>
      <c r="AE745" s="39"/>
      <c r="AF745" s="39"/>
      <c r="AG745" s="39"/>
      <c r="AH745" s="39">
        <f t="shared" si="483"/>
        <v>0</v>
      </c>
      <c r="AI745" s="39"/>
      <c r="AJ745" s="39"/>
      <c r="AK745" s="39"/>
      <c r="AL745" s="39"/>
      <c r="AM745" s="39"/>
      <c r="AN745" s="39">
        <f t="shared" si="489"/>
        <v>0</v>
      </c>
      <c r="AO745" s="39"/>
      <c r="AP745" s="39"/>
      <c r="AQ745" s="39"/>
      <c r="AR745" s="39"/>
      <c r="AS745" s="39"/>
      <c r="AT745" s="39">
        <f t="shared" si="367"/>
        <v>0</v>
      </c>
      <c r="AU745" s="39"/>
      <c r="AV745" s="39"/>
      <c r="AW745" s="39"/>
      <c r="AX745" s="39"/>
      <c r="AY745" s="39"/>
      <c r="AZ745" s="39">
        <f t="shared" si="368"/>
        <v>0</v>
      </c>
      <c r="BA745" s="39"/>
      <c r="BB745" s="39"/>
      <c r="BC745" s="39"/>
      <c r="BD745" s="39"/>
      <c r="BE745" s="39"/>
      <c r="BF745" s="39">
        <f t="shared" si="369"/>
        <v>0</v>
      </c>
      <c r="BG745" s="39"/>
      <c r="BH745" s="39"/>
      <c r="BI745" s="39"/>
      <c r="BJ745" s="39"/>
      <c r="BK745" s="39"/>
      <c r="BL745" s="39">
        <f t="shared" si="484"/>
        <v>0</v>
      </c>
      <c r="BM745" s="54">
        <f t="shared" ca="1" si="371"/>
        <v>46283</v>
      </c>
      <c r="BN745" s="58">
        <v>46275</v>
      </c>
      <c r="BO745" s="57">
        <v>46288</v>
      </c>
      <c r="BP745" s="36"/>
      <c r="BQ745" s="36"/>
      <c r="BR745" s="39"/>
      <c r="BS745" s="39"/>
      <c r="BT745" s="39"/>
      <c r="BU745" s="39"/>
      <c r="BV745" s="39"/>
      <c r="BW745" s="39"/>
      <c r="BX745" s="39"/>
      <c r="BY745" s="39"/>
      <c r="BZ745" s="39">
        <f t="shared" si="485"/>
        <v>0</v>
      </c>
      <c r="CA745" s="39">
        <f t="shared" si="373"/>
        <v>-170</v>
      </c>
      <c r="CB745" s="39">
        <f t="shared" si="374"/>
        <v>0</v>
      </c>
      <c r="CC745" s="39">
        <f t="shared" si="375"/>
        <v>0</v>
      </c>
      <c r="CD745" s="39">
        <f t="shared" si="376"/>
        <v>-170</v>
      </c>
      <c r="CE745" s="102">
        <f t="shared" si="377"/>
        <v>-1</v>
      </c>
      <c r="CF745" s="36" t="s">
        <v>294</v>
      </c>
      <c r="CG745" s="39" t="s">
        <v>231</v>
      </c>
      <c r="CH745" s="39"/>
      <c r="CI745" s="25">
        <v>1</v>
      </c>
    </row>
    <row r="746" spans="1:87" ht="24.75" customHeight="1">
      <c r="A746" s="36" t="s">
        <v>388</v>
      </c>
      <c r="B746" s="27" t="s">
        <v>2487</v>
      </c>
      <c r="C746" s="240"/>
      <c r="D746" s="36"/>
      <c r="E746" s="39"/>
      <c r="F746" s="39"/>
      <c r="G746" s="36" t="s">
        <v>198</v>
      </c>
      <c r="H746" s="36">
        <f>300+250+1300</f>
        <v>1850</v>
      </c>
      <c r="I746" s="39" t="s">
        <v>90</v>
      </c>
      <c r="J746" s="39"/>
      <c r="K746" s="39"/>
      <c r="L746" s="39">
        <f t="shared" si="490"/>
        <v>0</v>
      </c>
      <c r="M746" s="117">
        <v>46266</v>
      </c>
      <c r="N746" s="117">
        <v>46270</v>
      </c>
      <c r="O746" s="39"/>
      <c r="P746" s="39"/>
      <c r="Q746" s="39"/>
      <c r="R746" s="39">
        <f t="shared" si="487"/>
        <v>0</v>
      </c>
      <c r="S746" s="39" t="s">
        <v>100</v>
      </c>
      <c r="T746" s="39"/>
      <c r="U746" s="39"/>
      <c r="V746" s="117">
        <v>46273</v>
      </c>
      <c r="W746" s="39">
        <v>8</v>
      </c>
      <c r="X746" s="39"/>
      <c r="Y746" s="39"/>
      <c r="Z746" s="39"/>
      <c r="AA746" s="39"/>
      <c r="AB746" s="39">
        <f t="shared" si="488"/>
        <v>0</v>
      </c>
      <c r="AC746" s="39"/>
      <c r="AD746" s="39"/>
      <c r="AE746" s="39"/>
      <c r="AF746" s="39"/>
      <c r="AG746" s="39"/>
      <c r="AH746" s="39">
        <f t="shared" si="483"/>
        <v>0</v>
      </c>
      <c r="AI746" s="39"/>
      <c r="AJ746" s="39"/>
      <c r="AK746" s="39"/>
      <c r="AL746" s="39"/>
      <c r="AM746" s="39"/>
      <c r="AN746" s="39">
        <f t="shared" si="489"/>
        <v>0</v>
      </c>
      <c r="AO746" s="39"/>
      <c r="AP746" s="39"/>
      <c r="AQ746" s="39"/>
      <c r="AR746" s="39"/>
      <c r="AS746" s="39"/>
      <c r="AT746" s="39">
        <f t="shared" si="367"/>
        <v>0</v>
      </c>
      <c r="AU746" s="39"/>
      <c r="AV746" s="39"/>
      <c r="AW746" s="39"/>
      <c r="AX746" s="39"/>
      <c r="AY746" s="39"/>
      <c r="AZ746" s="39">
        <f t="shared" si="368"/>
        <v>0</v>
      </c>
      <c r="BA746" s="39"/>
      <c r="BB746" s="39"/>
      <c r="BC746" s="39"/>
      <c r="BD746" s="39"/>
      <c r="BE746" s="39"/>
      <c r="BF746" s="39">
        <f t="shared" si="369"/>
        <v>0</v>
      </c>
      <c r="BG746" s="39"/>
      <c r="BH746" s="39"/>
      <c r="BI746" s="39"/>
      <c r="BJ746" s="39"/>
      <c r="BK746" s="39"/>
      <c r="BL746" s="39">
        <f t="shared" si="484"/>
        <v>0</v>
      </c>
      <c r="BM746" s="54" t="e">
        <f t="shared" si="371"/>
        <v>#DIV/0!</v>
      </c>
      <c r="BN746" s="58">
        <v>46275</v>
      </c>
      <c r="BO746" s="57">
        <v>46288</v>
      </c>
      <c r="BP746" s="36"/>
      <c r="BQ746" s="36"/>
      <c r="BR746" s="39"/>
      <c r="BS746" s="39"/>
      <c r="BT746" s="39"/>
      <c r="BU746" s="39"/>
      <c r="BV746" s="39"/>
      <c r="BW746" s="39"/>
      <c r="BX746" s="39"/>
      <c r="BY746" s="39"/>
      <c r="BZ746" s="39">
        <f t="shared" si="485"/>
        <v>0</v>
      </c>
      <c r="CA746" s="39" t="e">
        <f t="shared" si="373"/>
        <v>#VALUE!</v>
      </c>
      <c r="CB746" s="39">
        <f t="shared" si="374"/>
        <v>0</v>
      </c>
      <c r="CC746" s="39">
        <f t="shared" si="375"/>
        <v>0</v>
      </c>
      <c r="CD746" s="39">
        <f t="shared" si="376"/>
        <v>0</v>
      </c>
      <c r="CE746" s="102" t="e">
        <f t="shared" si="377"/>
        <v>#DIV/0!</v>
      </c>
      <c r="CF746" s="36" t="s">
        <v>294</v>
      </c>
      <c r="CG746" s="39" t="s">
        <v>231</v>
      </c>
      <c r="CH746" s="39"/>
      <c r="CI746" s="25">
        <v>1</v>
      </c>
    </row>
    <row r="747" spans="1:87" ht="24.75" customHeight="1">
      <c r="A747" s="36" t="s">
        <v>388</v>
      </c>
      <c r="B747" s="27" t="s">
        <v>2487</v>
      </c>
      <c r="C747" s="236"/>
      <c r="D747" s="36"/>
      <c r="E747" s="39"/>
      <c r="F747" s="39"/>
      <c r="G747" s="36" t="s">
        <v>2483</v>
      </c>
      <c r="H747" s="36">
        <f>600+480+2400</f>
        <v>3480</v>
      </c>
      <c r="I747" s="39" t="s">
        <v>90</v>
      </c>
      <c r="J747" s="39"/>
      <c r="K747" s="39"/>
      <c r="L747" s="39">
        <f t="shared" si="490"/>
        <v>0</v>
      </c>
      <c r="M747" s="117">
        <v>46266</v>
      </c>
      <c r="N747" s="117">
        <v>46270</v>
      </c>
      <c r="O747" s="39"/>
      <c r="P747" s="39"/>
      <c r="Q747" s="39"/>
      <c r="R747" s="39">
        <f t="shared" si="487"/>
        <v>0</v>
      </c>
      <c r="S747" s="39" t="s">
        <v>100</v>
      </c>
      <c r="T747" s="39"/>
      <c r="U747" s="39"/>
      <c r="V747" s="117">
        <v>46273</v>
      </c>
      <c r="W747" s="39">
        <v>40</v>
      </c>
      <c r="X747" s="39"/>
      <c r="Y747" s="39"/>
      <c r="Z747" s="39"/>
      <c r="AA747" s="39"/>
      <c r="AB747" s="39">
        <f t="shared" si="488"/>
        <v>0</v>
      </c>
      <c r="AC747" s="39"/>
      <c r="AD747" s="39"/>
      <c r="AE747" s="39"/>
      <c r="AF747" s="39"/>
      <c r="AG747" s="39"/>
      <c r="AH747" s="39">
        <f t="shared" si="483"/>
        <v>0</v>
      </c>
      <c r="AI747" s="39"/>
      <c r="AJ747" s="39"/>
      <c r="AK747" s="39"/>
      <c r="AL747" s="39"/>
      <c r="AM747" s="39"/>
      <c r="AN747" s="39">
        <f t="shared" si="489"/>
        <v>0</v>
      </c>
      <c r="AO747" s="39"/>
      <c r="AP747" s="39"/>
      <c r="AQ747" s="39"/>
      <c r="AR747" s="39"/>
      <c r="AS747" s="39"/>
      <c r="AT747" s="39">
        <f t="shared" si="367"/>
        <v>0</v>
      </c>
      <c r="AU747" s="39"/>
      <c r="AV747" s="39"/>
      <c r="AW747" s="39"/>
      <c r="AX747" s="39"/>
      <c r="AY747" s="39"/>
      <c r="AZ747" s="39">
        <f t="shared" si="368"/>
        <v>0</v>
      </c>
      <c r="BA747" s="39"/>
      <c r="BB747" s="39"/>
      <c r="BC747" s="39"/>
      <c r="BD747" s="39"/>
      <c r="BE747" s="39"/>
      <c r="BF747" s="39">
        <f t="shared" si="369"/>
        <v>0</v>
      </c>
      <c r="BG747" s="39"/>
      <c r="BH747" s="39"/>
      <c r="BI747" s="39"/>
      <c r="BJ747" s="39"/>
      <c r="BK747" s="39"/>
      <c r="BL747" s="39">
        <f t="shared" si="484"/>
        <v>0</v>
      </c>
      <c r="BM747" s="54" t="e">
        <f t="shared" si="371"/>
        <v>#DIV/0!</v>
      </c>
      <c r="BN747" s="58">
        <v>46275</v>
      </c>
      <c r="BO747" s="57">
        <v>46288</v>
      </c>
      <c r="BP747" s="36"/>
      <c r="BQ747" s="36"/>
      <c r="BR747" s="39"/>
      <c r="BS747" s="39"/>
      <c r="BT747" s="39"/>
      <c r="BU747" s="39"/>
      <c r="BV747" s="39"/>
      <c r="BW747" s="39"/>
      <c r="BX747" s="39"/>
      <c r="BY747" s="39"/>
      <c r="BZ747" s="39">
        <f t="shared" si="485"/>
        <v>0</v>
      </c>
      <c r="CA747" s="39" t="e">
        <f t="shared" si="373"/>
        <v>#VALUE!</v>
      </c>
      <c r="CB747" s="39">
        <f t="shared" si="374"/>
        <v>0</v>
      </c>
      <c r="CC747" s="39">
        <f t="shared" si="375"/>
        <v>0</v>
      </c>
      <c r="CD747" s="39">
        <f t="shared" si="376"/>
        <v>0</v>
      </c>
      <c r="CE747" s="102" t="e">
        <f t="shared" si="377"/>
        <v>#DIV/0!</v>
      </c>
      <c r="CF747" s="36" t="s">
        <v>294</v>
      </c>
      <c r="CG747" s="39" t="s">
        <v>231</v>
      </c>
      <c r="CH747" s="39"/>
      <c r="CI747" s="25">
        <v>1</v>
      </c>
    </row>
    <row r="748" spans="1:87" ht="24.75" customHeight="1">
      <c r="A748" s="36" t="s">
        <v>388</v>
      </c>
      <c r="B748" s="27" t="s">
        <v>2489</v>
      </c>
      <c r="C748" s="235" t="s">
        <v>2490</v>
      </c>
      <c r="D748" s="36"/>
      <c r="E748" s="39">
        <v>180</v>
      </c>
      <c r="F748" s="39" t="s">
        <v>55</v>
      </c>
      <c r="G748" s="36" t="s">
        <v>439</v>
      </c>
      <c r="H748" s="36" t="s">
        <v>87</v>
      </c>
      <c r="I748" s="39">
        <v>80</v>
      </c>
      <c r="J748" s="39"/>
      <c r="K748" s="39"/>
      <c r="L748" s="39">
        <f t="shared" si="490"/>
        <v>80</v>
      </c>
      <c r="M748" s="117">
        <v>46258</v>
      </c>
      <c r="N748" s="117">
        <v>46261</v>
      </c>
      <c r="O748" s="39"/>
      <c r="P748" s="39"/>
      <c r="Q748" s="39"/>
      <c r="R748" s="39">
        <f t="shared" si="487"/>
        <v>0</v>
      </c>
      <c r="S748" s="39" t="s">
        <v>130</v>
      </c>
      <c r="T748" s="39">
        <v>109160</v>
      </c>
      <c r="U748" s="117">
        <v>46273</v>
      </c>
      <c r="V748" s="39"/>
      <c r="W748" s="39"/>
      <c r="X748" s="39"/>
      <c r="Y748" s="39">
        <v>102</v>
      </c>
      <c r="Z748" s="39"/>
      <c r="AA748" s="39"/>
      <c r="AB748" s="119">
        <f t="shared" si="488"/>
        <v>102</v>
      </c>
      <c r="AC748" s="39"/>
      <c r="AD748" s="39"/>
      <c r="AE748" s="39"/>
      <c r="AF748" s="39"/>
      <c r="AG748" s="39"/>
      <c r="AH748" s="39">
        <f t="shared" si="483"/>
        <v>0</v>
      </c>
      <c r="AI748" s="39"/>
      <c r="AJ748" s="39"/>
      <c r="AK748" s="39"/>
      <c r="AL748" s="39"/>
      <c r="AM748" s="39"/>
      <c r="AN748" s="39">
        <f t="shared" si="489"/>
        <v>0</v>
      </c>
      <c r="AO748" s="39"/>
      <c r="AP748" s="39"/>
      <c r="AQ748" s="39"/>
      <c r="AR748" s="39"/>
      <c r="AS748" s="39"/>
      <c r="AT748" s="39">
        <f t="shared" si="367"/>
        <v>0</v>
      </c>
      <c r="AU748" s="39"/>
      <c r="AV748" s="39"/>
      <c r="AW748" s="39"/>
      <c r="AX748" s="39"/>
      <c r="AY748" s="39"/>
      <c r="AZ748" s="39">
        <f t="shared" si="368"/>
        <v>0</v>
      </c>
      <c r="BA748" s="39"/>
      <c r="BB748" s="39"/>
      <c r="BC748" s="39"/>
      <c r="BD748" s="39"/>
      <c r="BE748" s="39"/>
      <c r="BF748" s="39">
        <f t="shared" si="369"/>
        <v>0</v>
      </c>
      <c r="BG748" s="39"/>
      <c r="BH748" s="39"/>
      <c r="BI748" s="39"/>
      <c r="BJ748" s="39"/>
      <c r="BK748" s="39"/>
      <c r="BL748" s="39">
        <f t="shared" si="484"/>
        <v>0</v>
      </c>
      <c r="BM748" s="54" t="str">
        <f t="shared" si="371"/>
        <v/>
      </c>
      <c r="BN748" s="58">
        <v>46266</v>
      </c>
      <c r="BO748" s="57">
        <v>46274</v>
      </c>
      <c r="BP748" s="36"/>
      <c r="BQ748" s="36"/>
      <c r="BR748" s="117">
        <v>46276</v>
      </c>
      <c r="BS748" s="117">
        <v>46276</v>
      </c>
      <c r="BT748" s="39">
        <v>784</v>
      </c>
      <c r="BU748" s="39">
        <v>93</v>
      </c>
      <c r="BV748" s="39"/>
      <c r="BW748" s="39"/>
      <c r="BX748" s="39"/>
      <c r="BY748" s="39"/>
      <c r="BZ748" s="39">
        <f t="shared" si="485"/>
        <v>93</v>
      </c>
      <c r="CA748" s="39">
        <f t="shared" si="373"/>
        <v>13</v>
      </c>
      <c r="CB748" s="39">
        <f t="shared" si="374"/>
        <v>0</v>
      </c>
      <c r="CC748" s="39">
        <f t="shared" si="375"/>
        <v>0</v>
      </c>
      <c r="CD748" s="39">
        <f t="shared" si="376"/>
        <v>0</v>
      </c>
      <c r="CE748" s="102">
        <f t="shared" si="377"/>
        <v>0</v>
      </c>
      <c r="CF748" s="36" t="s">
        <v>295</v>
      </c>
      <c r="CG748" s="39" t="s">
        <v>224</v>
      </c>
      <c r="CH748" s="39"/>
      <c r="CI748" s="25">
        <v>1</v>
      </c>
    </row>
    <row r="749" spans="1:87" ht="24.75" customHeight="1">
      <c r="A749" s="36" t="s">
        <v>388</v>
      </c>
      <c r="B749" s="27" t="s">
        <v>2489</v>
      </c>
      <c r="C749" s="236"/>
      <c r="D749" s="36"/>
      <c r="E749" s="39">
        <v>180</v>
      </c>
      <c r="F749" s="39" t="s">
        <v>55</v>
      </c>
      <c r="G749" s="36" t="s">
        <v>23</v>
      </c>
      <c r="H749" s="36" t="s">
        <v>87</v>
      </c>
      <c r="I749" s="39">
        <v>80</v>
      </c>
      <c r="J749" s="39"/>
      <c r="K749" s="39"/>
      <c r="L749" s="39">
        <f t="shared" si="490"/>
        <v>80</v>
      </c>
      <c r="M749" s="117">
        <v>46258</v>
      </c>
      <c r="N749" s="117">
        <v>46261</v>
      </c>
      <c r="O749" s="39"/>
      <c r="P749" s="39"/>
      <c r="Q749" s="39"/>
      <c r="R749" s="39">
        <f t="shared" si="487"/>
        <v>0</v>
      </c>
      <c r="S749" s="39" t="s">
        <v>100</v>
      </c>
      <c r="T749" s="39"/>
      <c r="U749" s="39"/>
      <c r="V749" s="117">
        <v>46263</v>
      </c>
      <c r="W749" s="39">
        <v>97</v>
      </c>
      <c r="X749" s="39"/>
      <c r="Y749" s="39"/>
      <c r="Z749" s="39"/>
      <c r="AA749" s="39"/>
      <c r="AB749" s="118">
        <f t="shared" si="488"/>
        <v>0</v>
      </c>
      <c r="AC749" s="39"/>
      <c r="AD749" s="39"/>
      <c r="AE749" s="39"/>
      <c r="AF749" s="39"/>
      <c r="AG749" s="39"/>
      <c r="AH749" s="39">
        <f t="shared" si="483"/>
        <v>0</v>
      </c>
      <c r="AI749" s="39"/>
      <c r="AJ749" s="39"/>
      <c r="AK749" s="39"/>
      <c r="AL749" s="39"/>
      <c r="AM749" s="39"/>
      <c r="AN749" s="39">
        <f t="shared" si="489"/>
        <v>0</v>
      </c>
      <c r="AO749" s="39"/>
      <c r="AP749" s="39"/>
      <c r="AQ749" s="39"/>
      <c r="AR749" s="39"/>
      <c r="AS749" s="39"/>
      <c r="AT749" s="39">
        <f t="shared" si="367"/>
        <v>0</v>
      </c>
      <c r="AU749" s="39"/>
      <c r="AV749" s="39"/>
      <c r="AW749" s="39"/>
      <c r="AX749" s="39"/>
      <c r="AY749" s="39"/>
      <c r="AZ749" s="39">
        <f t="shared" si="368"/>
        <v>0</v>
      </c>
      <c r="BA749" s="39"/>
      <c r="BB749" s="39"/>
      <c r="BC749" s="39"/>
      <c r="BD749" s="39"/>
      <c r="BE749" s="39"/>
      <c r="BF749" s="39">
        <f t="shared" si="369"/>
        <v>0</v>
      </c>
      <c r="BG749" s="39"/>
      <c r="BH749" s="39"/>
      <c r="BI749" s="39"/>
      <c r="BJ749" s="39"/>
      <c r="BK749" s="39"/>
      <c r="BL749" s="39">
        <f t="shared" si="484"/>
        <v>0</v>
      </c>
      <c r="BM749" s="54" t="str">
        <f t="shared" si="371"/>
        <v/>
      </c>
      <c r="BN749" s="58">
        <v>46266</v>
      </c>
      <c r="BO749" s="57">
        <v>46274</v>
      </c>
      <c r="BP749" s="36"/>
      <c r="BQ749" s="36"/>
      <c r="BR749" s="117">
        <v>46268</v>
      </c>
      <c r="BS749" s="117">
        <v>46268</v>
      </c>
      <c r="BT749" s="39">
        <v>742</v>
      </c>
      <c r="BU749" s="39">
        <v>88</v>
      </c>
      <c r="BV749" s="39"/>
      <c r="BW749" s="39"/>
      <c r="BX749" s="39"/>
      <c r="BY749" s="39"/>
      <c r="BZ749" s="39">
        <f t="shared" si="485"/>
        <v>88</v>
      </c>
      <c r="CA749" s="39">
        <f t="shared" si="373"/>
        <v>8</v>
      </c>
      <c r="CB749" s="39">
        <f t="shared" si="374"/>
        <v>0</v>
      </c>
      <c r="CC749" s="39">
        <f t="shared" si="375"/>
        <v>0</v>
      </c>
      <c r="CD749" s="39">
        <f t="shared" si="376"/>
        <v>0</v>
      </c>
      <c r="CE749" s="102">
        <f t="shared" si="377"/>
        <v>0</v>
      </c>
      <c r="CF749" s="36" t="s">
        <v>295</v>
      </c>
      <c r="CG749" s="39" t="s">
        <v>224</v>
      </c>
      <c r="CH749" s="39"/>
      <c r="CI749" s="25">
        <v>1</v>
      </c>
    </row>
    <row r="750" spans="1:87" ht="24.75" customHeight="1">
      <c r="A750" s="36" t="s">
        <v>388</v>
      </c>
      <c r="B750" s="27" t="s">
        <v>2491</v>
      </c>
      <c r="C750" s="41">
        <v>15326481</v>
      </c>
      <c r="D750" s="36"/>
      <c r="E750" s="39">
        <v>150</v>
      </c>
      <c r="F750" s="39" t="s">
        <v>65</v>
      </c>
      <c r="G750" s="36" t="s">
        <v>23</v>
      </c>
      <c r="H750" s="36" t="s">
        <v>22</v>
      </c>
      <c r="I750" s="39">
        <v>525</v>
      </c>
      <c r="J750" s="39"/>
      <c r="K750" s="39"/>
      <c r="L750" s="39">
        <f t="shared" si="490"/>
        <v>525</v>
      </c>
      <c r="M750" s="117">
        <v>46266</v>
      </c>
      <c r="N750" s="117">
        <v>46269</v>
      </c>
      <c r="O750" s="39"/>
      <c r="P750" s="39"/>
      <c r="Q750" s="39"/>
      <c r="R750" s="39">
        <f t="shared" si="487"/>
        <v>0</v>
      </c>
      <c r="S750" s="39" t="s">
        <v>100</v>
      </c>
      <c r="T750" s="39"/>
      <c r="U750" s="39"/>
      <c r="V750" s="117">
        <v>46263</v>
      </c>
      <c r="W750" s="39">
        <v>570</v>
      </c>
      <c r="X750" s="39"/>
      <c r="Y750" s="39"/>
      <c r="Z750" s="39"/>
      <c r="AA750" s="39"/>
      <c r="AB750" s="118">
        <f t="shared" si="488"/>
        <v>0</v>
      </c>
      <c r="AC750" s="39"/>
      <c r="AD750" s="39"/>
      <c r="AE750" s="39"/>
      <c r="AF750" s="39"/>
      <c r="AG750" s="39"/>
      <c r="AH750" s="39">
        <f t="shared" si="483"/>
        <v>0</v>
      </c>
      <c r="AI750" s="39"/>
      <c r="AJ750" s="39"/>
      <c r="AK750" s="39"/>
      <c r="AL750" s="39"/>
      <c r="AM750" s="39"/>
      <c r="AN750" s="39">
        <f t="shared" si="489"/>
        <v>0</v>
      </c>
      <c r="AO750" s="39"/>
      <c r="AP750" s="39"/>
      <c r="AQ750" s="39"/>
      <c r="AR750" s="39"/>
      <c r="AS750" s="39"/>
      <c r="AT750" s="39">
        <f t="shared" si="367"/>
        <v>0</v>
      </c>
      <c r="AU750" s="39"/>
      <c r="AV750" s="39"/>
      <c r="AW750" s="39"/>
      <c r="AX750" s="39"/>
      <c r="AY750" s="39"/>
      <c r="AZ750" s="39">
        <f t="shared" si="368"/>
        <v>0</v>
      </c>
      <c r="BA750" s="39"/>
      <c r="BB750" s="39"/>
      <c r="BC750" s="39"/>
      <c r="BD750" s="39"/>
      <c r="BE750" s="39"/>
      <c r="BF750" s="39">
        <f t="shared" si="369"/>
        <v>0</v>
      </c>
      <c r="BG750" s="39"/>
      <c r="BH750" s="39"/>
      <c r="BI750" s="39"/>
      <c r="BJ750" s="39"/>
      <c r="BK750" s="39"/>
      <c r="BL750" s="39">
        <f t="shared" si="484"/>
        <v>0</v>
      </c>
      <c r="BM750" s="54">
        <f t="shared" ca="1" si="371"/>
        <v>46283</v>
      </c>
      <c r="BN750" s="58">
        <v>46275</v>
      </c>
      <c r="BO750" s="57">
        <v>46287</v>
      </c>
      <c r="BP750" s="36"/>
      <c r="BQ750" s="36"/>
      <c r="BR750" s="39"/>
      <c r="BS750" s="39"/>
      <c r="BT750" s="39"/>
      <c r="BU750" s="39"/>
      <c r="BV750" s="39"/>
      <c r="BW750" s="39"/>
      <c r="BX750" s="39"/>
      <c r="BY750" s="39"/>
      <c r="BZ750" s="39">
        <f t="shared" si="485"/>
        <v>0</v>
      </c>
      <c r="CA750" s="39">
        <f t="shared" si="373"/>
        <v>-525</v>
      </c>
      <c r="CB750" s="39">
        <f t="shared" si="374"/>
        <v>0</v>
      </c>
      <c r="CC750" s="39">
        <f t="shared" si="375"/>
        <v>0</v>
      </c>
      <c r="CD750" s="39">
        <f t="shared" si="376"/>
        <v>-525</v>
      </c>
      <c r="CE750" s="102">
        <f t="shared" si="377"/>
        <v>-1</v>
      </c>
      <c r="CF750" s="36" t="s">
        <v>295</v>
      </c>
      <c r="CG750" s="39" t="s">
        <v>224</v>
      </c>
      <c r="CH750" s="39"/>
      <c r="CI750" s="25">
        <v>1</v>
      </c>
    </row>
    <row r="751" spans="1:87" ht="24.75" customHeight="1">
      <c r="A751" s="36" t="s">
        <v>388</v>
      </c>
      <c r="B751" s="27" t="s">
        <v>2492</v>
      </c>
      <c r="C751" s="235">
        <v>15318138</v>
      </c>
      <c r="D751" s="36"/>
      <c r="E751" s="39">
        <v>240</v>
      </c>
      <c r="F751" s="39" t="s">
        <v>53</v>
      </c>
      <c r="G751" s="36" t="s">
        <v>2493</v>
      </c>
      <c r="H751" s="36" t="s">
        <v>206</v>
      </c>
      <c r="I751" s="39">
        <v>225</v>
      </c>
      <c r="J751" s="39">
        <v>70</v>
      </c>
      <c r="K751" s="39"/>
      <c r="L751" s="39">
        <f t="shared" si="490"/>
        <v>295</v>
      </c>
      <c r="M751" s="117">
        <v>46266</v>
      </c>
      <c r="N751" s="117">
        <v>46272</v>
      </c>
      <c r="O751" s="39"/>
      <c r="P751" s="39"/>
      <c r="Q751" s="39"/>
      <c r="R751" s="39">
        <f t="shared" si="487"/>
        <v>0</v>
      </c>
      <c r="S751" s="39" t="s">
        <v>31</v>
      </c>
      <c r="T751" s="39"/>
      <c r="U751" s="39"/>
      <c r="V751" s="117">
        <v>46268</v>
      </c>
      <c r="W751" s="39">
        <f>248+83</f>
        <v>331</v>
      </c>
      <c r="X751" s="39"/>
      <c r="Y751" s="39"/>
      <c r="Z751" s="39"/>
      <c r="AA751" s="39"/>
      <c r="AB751" s="118">
        <f t="shared" si="488"/>
        <v>0</v>
      </c>
      <c r="AC751" s="39"/>
      <c r="AD751" s="39"/>
      <c r="AE751" s="39"/>
      <c r="AF751" s="39"/>
      <c r="AG751" s="39"/>
      <c r="AH751" s="39">
        <f t="shared" si="483"/>
        <v>0</v>
      </c>
      <c r="AI751" s="39"/>
      <c r="AJ751" s="39"/>
      <c r="AK751" s="39"/>
      <c r="AL751" s="39"/>
      <c r="AM751" s="39"/>
      <c r="AN751" s="39">
        <f t="shared" si="489"/>
        <v>0</v>
      </c>
      <c r="AO751" s="39"/>
      <c r="AP751" s="39"/>
      <c r="AQ751" s="39"/>
      <c r="AR751" s="39"/>
      <c r="AS751" s="39"/>
      <c r="AT751" s="39">
        <f t="shared" si="367"/>
        <v>0</v>
      </c>
      <c r="AU751" s="39"/>
      <c r="AV751" s="39"/>
      <c r="AW751" s="39"/>
      <c r="AX751" s="39"/>
      <c r="AY751" s="39"/>
      <c r="AZ751" s="39">
        <f t="shared" si="368"/>
        <v>0</v>
      </c>
      <c r="BA751" s="39"/>
      <c r="BB751" s="39"/>
      <c r="BC751" s="39"/>
      <c r="BD751" s="39"/>
      <c r="BE751" s="39"/>
      <c r="BF751" s="39">
        <f t="shared" si="369"/>
        <v>0</v>
      </c>
      <c r="BG751" s="39"/>
      <c r="BH751" s="39"/>
      <c r="BI751" s="39"/>
      <c r="BJ751" s="39"/>
      <c r="BK751" s="39"/>
      <c r="BL751" s="39">
        <f t="shared" si="484"/>
        <v>0</v>
      </c>
      <c r="BM751" s="54">
        <f t="shared" ca="1" si="371"/>
        <v>46283</v>
      </c>
      <c r="BN751" s="58">
        <v>46275</v>
      </c>
      <c r="BO751" s="57">
        <v>46286</v>
      </c>
      <c r="BP751" s="36"/>
      <c r="BQ751" s="36"/>
      <c r="BR751" s="39"/>
      <c r="BS751" s="39"/>
      <c r="BT751" s="39"/>
      <c r="BU751" s="39"/>
      <c r="BV751" s="39"/>
      <c r="BW751" s="39"/>
      <c r="BX751" s="39"/>
      <c r="BY751" s="39"/>
      <c r="BZ751" s="39">
        <f t="shared" si="485"/>
        <v>0</v>
      </c>
      <c r="CA751" s="39">
        <f t="shared" si="373"/>
        <v>-225</v>
      </c>
      <c r="CB751" s="39">
        <f t="shared" si="374"/>
        <v>-70</v>
      </c>
      <c r="CC751" s="39">
        <f t="shared" si="375"/>
        <v>0</v>
      </c>
      <c r="CD751" s="39">
        <f t="shared" si="376"/>
        <v>-295</v>
      </c>
      <c r="CE751" s="102">
        <f t="shared" si="377"/>
        <v>-1</v>
      </c>
      <c r="CF751" s="36" t="s">
        <v>295</v>
      </c>
      <c r="CG751" s="39" t="s">
        <v>224</v>
      </c>
      <c r="CH751" s="39"/>
      <c r="CI751" s="25">
        <v>1</v>
      </c>
    </row>
    <row r="752" spans="1:87" ht="24.75" customHeight="1">
      <c r="A752" s="36" t="s">
        <v>388</v>
      </c>
      <c r="B752" s="27" t="s">
        <v>2492</v>
      </c>
      <c r="C752" s="236"/>
      <c r="D752" s="36"/>
      <c r="E752" s="39"/>
      <c r="F752" s="39"/>
      <c r="G752" s="36" t="s">
        <v>198</v>
      </c>
      <c r="H752" s="36">
        <v>250</v>
      </c>
      <c r="I752" s="39" t="s">
        <v>90</v>
      </c>
      <c r="J752" s="39"/>
      <c r="K752" s="39"/>
      <c r="L752" s="39">
        <f t="shared" si="490"/>
        <v>0</v>
      </c>
      <c r="M752" s="117">
        <v>46266</v>
      </c>
      <c r="N752" s="117">
        <v>46272</v>
      </c>
      <c r="O752" s="39"/>
      <c r="P752" s="39"/>
      <c r="Q752" s="39"/>
      <c r="R752" s="39">
        <f t="shared" si="487"/>
        <v>0</v>
      </c>
      <c r="S752" s="39" t="s">
        <v>31</v>
      </c>
      <c r="T752" s="39"/>
      <c r="U752" s="39"/>
      <c r="V752" s="117">
        <v>46270</v>
      </c>
      <c r="W752" s="39">
        <v>1</v>
      </c>
      <c r="X752" s="39"/>
      <c r="Y752" s="39"/>
      <c r="Z752" s="39"/>
      <c r="AA752" s="39"/>
      <c r="AB752" s="39">
        <f t="shared" si="488"/>
        <v>0</v>
      </c>
      <c r="AC752" s="39"/>
      <c r="AD752" s="39"/>
      <c r="AE752" s="39"/>
      <c r="AF752" s="39"/>
      <c r="AG752" s="39"/>
      <c r="AH752" s="39">
        <f t="shared" si="483"/>
        <v>0</v>
      </c>
      <c r="AI752" s="39"/>
      <c r="AJ752" s="39"/>
      <c r="AK752" s="39"/>
      <c r="AL752" s="39"/>
      <c r="AM752" s="39"/>
      <c r="AN752" s="39">
        <f t="shared" si="489"/>
        <v>0</v>
      </c>
      <c r="AO752" s="39"/>
      <c r="AP752" s="39"/>
      <c r="AQ752" s="39"/>
      <c r="AR752" s="39"/>
      <c r="AS752" s="39"/>
      <c r="AT752" s="39">
        <f t="shared" si="367"/>
        <v>0</v>
      </c>
      <c r="AU752" s="39"/>
      <c r="AV752" s="39"/>
      <c r="AW752" s="39"/>
      <c r="AX752" s="39"/>
      <c r="AY752" s="39"/>
      <c r="AZ752" s="39">
        <f t="shared" si="368"/>
        <v>0</v>
      </c>
      <c r="BA752" s="39"/>
      <c r="BB752" s="39"/>
      <c r="BC752" s="39"/>
      <c r="BD752" s="39"/>
      <c r="BE752" s="39"/>
      <c r="BF752" s="39">
        <f t="shared" si="369"/>
        <v>0</v>
      </c>
      <c r="BG752" s="39"/>
      <c r="BH752" s="39"/>
      <c r="BI752" s="39"/>
      <c r="BJ752" s="39"/>
      <c r="BK752" s="39"/>
      <c r="BL752" s="39">
        <f t="shared" si="484"/>
        <v>0</v>
      </c>
      <c r="BM752" s="54" t="e">
        <f t="shared" si="371"/>
        <v>#DIV/0!</v>
      </c>
      <c r="BN752" s="58">
        <v>46275</v>
      </c>
      <c r="BO752" s="57">
        <v>46286</v>
      </c>
      <c r="BP752" s="36"/>
      <c r="BQ752" s="36"/>
      <c r="BR752" s="39"/>
      <c r="BS752" s="39"/>
      <c r="BT752" s="39"/>
      <c r="BU752" s="39"/>
      <c r="BV752" s="39"/>
      <c r="BW752" s="39"/>
      <c r="BX752" s="39"/>
      <c r="BY752" s="39"/>
      <c r="BZ752" s="39">
        <f t="shared" si="485"/>
        <v>0</v>
      </c>
      <c r="CA752" s="39" t="e">
        <f t="shared" si="373"/>
        <v>#VALUE!</v>
      </c>
      <c r="CB752" s="39">
        <f t="shared" si="374"/>
        <v>0</v>
      </c>
      <c r="CC752" s="39">
        <f t="shared" si="375"/>
        <v>0</v>
      </c>
      <c r="CD752" s="39">
        <f t="shared" si="376"/>
        <v>0</v>
      </c>
      <c r="CE752" s="102" t="e">
        <f t="shared" si="377"/>
        <v>#DIV/0!</v>
      </c>
      <c r="CF752" s="36" t="s">
        <v>295</v>
      </c>
      <c r="CG752" s="39" t="s">
        <v>224</v>
      </c>
      <c r="CH752" s="39"/>
      <c r="CI752" s="25">
        <v>1</v>
      </c>
    </row>
    <row r="753" spans="1:87" ht="24.75" customHeight="1">
      <c r="A753" s="36" t="s">
        <v>388</v>
      </c>
      <c r="B753" s="27">
        <v>48692</v>
      </c>
      <c r="C753" s="41">
        <v>15388356</v>
      </c>
      <c r="D753" s="36"/>
      <c r="E753" s="39">
        <v>140</v>
      </c>
      <c r="F753" s="39" t="s">
        <v>55</v>
      </c>
      <c r="G753" s="36" t="s">
        <v>21</v>
      </c>
      <c r="H753" s="36" t="s">
        <v>22</v>
      </c>
      <c r="I753" s="39">
        <v>51</v>
      </c>
      <c r="J753" s="39">
        <v>6</v>
      </c>
      <c r="K753" s="39"/>
      <c r="L753" s="39">
        <f t="shared" si="490"/>
        <v>57</v>
      </c>
      <c r="M753" s="117">
        <v>46267</v>
      </c>
      <c r="N753" s="117">
        <v>46270</v>
      </c>
      <c r="O753" s="39"/>
      <c r="P753" s="39"/>
      <c r="Q753" s="39"/>
      <c r="R753" s="39">
        <f t="shared" ref="R753:R773" si="491">SUM(O753:Q753)</f>
        <v>0</v>
      </c>
      <c r="S753" s="39" t="s">
        <v>130</v>
      </c>
      <c r="T753" s="39">
        <v>109400</v>
      </c>
      <c r="U753" s="117">
        <v>46279</v>
      </c>
      <c r="V753" s="39"/>
      <c r="W753" s="39"/>
      <c r="X753" s="39"/>
      <c r="Y753" s="39">
        <v>68</v>
      </c>
      <c r="Z753" s="39">
        <v>9</v>
      </c>
      <c r="AA753" s="39"/>
      <c r="AB753" s="119">
        <f t="shared" ref="AB753:AB773" si="492">SUM(Y753:AA753)</f>
        <v>77</v>
      </c>
      <c r="AC753" s="39"/>
      <c r="AD753" s="39"/>
      <c r="AE753" s="39"/>
      <c r="AF753" s="39"/>
      <c r="AG753" s="39"/>
      <c r="AH753" s="39">
        <f t="shared" si="483"/>
        <v>0</v>
      </c>
      <c r="AI753" s="39"/>
      <c r="AJ753" s="39"/>
      <c r="AK753" s="39"/>
      <c r="AL753" s="39"/>
      <c r="AM753" s="39"/>
      <c r="AN753" s="39">
        <f t="shared" si="489"/>
        <v>0</v>
      </c>
      <c r="AO753" s="39"/>
      <c r="AP753" s="39"/>
      <c r="AQ753" s="39"/>
      <c r="AR753" s="39"/>
      <c r="AS753" s="39"/>
      <c r="AT753" s="39">
        <f t="shared" ref="AT753:AT773" si="493">AS753-AQ753</f>
        <v>0</v>
      </c>
      <c r="AU753" s="39"/>
      <c r="AV753" s="39"/>
      <c r="AW753" s="39"/>
      <c r="AX753" s="39"/>
      <c r="AY753" s="39"/>
      <c r="AZ753" s="39">
        <f t="shared" ref="AZ753:AZ773" si="494">AY753-AW753</f>
        <v>0</v>
      </c>
      <c r="BA753" s="39"/>
      <c r="BB753" s="39"/>
      <c r="BC753" s="39"/>
      <c r="BD753" s="39"/>
      <c r="BE753" s="39"/>
      <c r="BF753" s="39">
        <f t="shared" ref="BF753:BF773" si="495">BE753-BC753</f>
        <v>0</v>
      </c>
      <c r="BG753" s="39"/>
      <c r="BH753" s="39"/>
      <c r="BI753" s="39"/>
      <c r="BJ753" s="39"/>
      <c r="BK753" s="39"/>
      <c r="BL753" s="39">
        <f t="shared" si="484"/>
        <v>0</v>
      </c>
      <c r="BM753" s="54" t="str">
        <f t="shared" ref="BM753:BM773" si="496">IF((BZ753/L753)&lt;0.9,$CO$1-U753,"")</f>
        <v/>
      </c>
      <c r="BN753" s="58">
        <v>46275</v>
      </c>
      <c r="BO753" s="57">
        <v>46283</v>
      </c>
      <c r="BP753" s="36"/>
      <c r="BQ753" s="36"/>
      <c r="BR753" s="117">
        <v>46281</v>
      </c>
      <c r="BS753" s="39"/>
      <c r="BT753" s="39">
        <v>906</v>
      </c>
      <c r="BU753" s="39">
        <v>61</v>
      </c>
      <c r="BV753" s="39"/>
      <c r="BW753" s="39"/>
      <c r="BX753" s="39"/>
      <c r="BY753" s="39"/>
      <c r="BZ753" s="39">
        <f t="shared" si="485"/>
        <v>61</v>
      </c>
      <c r="CA753" s="39">
        <f t="shared" ref="CA753:CA773" si="497">BU753-I753</f>
        <v>10</v>
      </c>
      <c r="CB753" s="39">
        <f t="shared" ref="CB753:CB773" si="498">BW753-J753</f>
        <v>-6</v>
      </c>
      <c r="CC753" s="39">
        <f t="shared" ref="CC753:CC773" si="499">BY753-K753</f>
        <v>0</v>
      </c>
      <c r="CD753" s="39">
        <f t="shared" ref="CD753:CD773" si="500">SUMIF(CA753:CC753,"&lt;0")</f>
        <v>-6</v>
      </c>
      <c r="CE753" s="102">
        <f t="shared" ref="CE753:CE773" si="501">CD753/L753</f>
        <v>-0.10526315789473684</v>
      </c>
      <c r="CF753" s="36" t="s">
        <v>294</v>
      </c>
      <c r="CG753" s="39" t="s">
        <v>231</v>
      </c>
      <c r="CH753" s="39" t="s">
        <v>114</v>
      </c>
      <c r="CI753" s="25">
        <v>1</v>
      </c>
    </row>
    <row r="754" spans="1:87" ht="24.75" customHeight="1">
      <c r="A754" s="36" t="s">
        <v>388</v>
      </c>
      <c r="B754" s="27">
        <v>48694</v>
      </c>
      <c r="C754" s="235" t="s">
        <v>2534</v>
      </c>
      <c r="D754" s="36"/>
      <c r="E754" s="39">
        <v>200</v>
      </c>
      <c r="F754" s="39" t="s">
        <v>58</v>
      </c>
      <c r="G754" s="36" t="s">
        <v>21</v>
      </c>
      <c r="H754" s="36" t="s">
        <v>212</v>
      </c>
      <c r="I754" s="39">
        <v>142</v>
      </c>
      <c r="J754" s="39">
        <v>9</v>
      </c>
      <c r="K754" s="39"/>
      <c r="L754" s="39">
        <f t="shared" si="490"/>
        <v>151</v>
      </c>
      <c r="M754" s="117">
        <v>46266</v>
      </c>
      <c r="N754" s="117">
        <v>46269</v>
      </c>
      <c r="O754" s="39"/>
      <c r="P754" s="39"/>
      <c r="Q754" s="39"/>
      <c r="R754" s="39">
        <f t="shared" si="491"/>
        <v>0</v>
      </c>
      <c r="S754" s="39" t="s">
        <v>130</v>
      </c>
      <c r="T754" s="39"/>
      <c r="U754" s="39"/>
      <c r="V754" s="39"/>
      <c r="W754" s="39"/>
      <c r="X754" s="39"/>
      <c r="Y754" s="39"/>
      <c r="Z754" s="39"/>
      <c r="AA754" s="39"/>
      <c r="AB754" s="118">
        <f t="shared" si="492"/>
        <v>0</v>
      </c>
      <c r="AC754" s="39"/>
      <c r="AD754" s="39"/>
      <c r="AE754" s="39"/>
      <c r="AF754" s="39"/>
      <c r="AG754" s="39"/>
      <c r="AH754" s="39">
        <f t="shared" si="483"/>
        <v>0</v>
      </c>
      <c r="AI754" s="39"/>
      <c r="AJ754" s="39"/>
      <c r="AK754" s="39"/>
      <c r="AL754" s="39"/>
      <c r="AM754" s="39"/>
      <c r="AN754" s="39">
        <f t="shared" si="489"/>
        <v>0</v>
      </c>
      <c r="AO754" s="39"/>
      <c r="AP754" s="39"/>
      <c r="AQ754" s="39"/>
      <c r="AR754" s="39"/>
      <c r="AS754" s="39"/>
      <c r="AT754" s="39">
        <f t="shared" si="493"/>
        <v>0</v>
      </c>
      <c r="AU754" s="39"/>
      <c r="AV754" s="39"/>
      <c r="AW754" s="39"/>
      <c r="AX754" s="39"/>
      <c r="AY754" s="39"/>
      <c r="AZ754" s="39">
        <f t="shared" si="494"/>
        <v>0</v>
      </c>
      <c r="BA754" s="39"/>
      <c r="BB754" s="39"/>
      <c r="BC754" s="39"/>
      <c r="BD754" s="39"/>
      <c r="BE754" s="39"/>
      <c r="BF754" s="39">
        <f t="shared" si="495"/>
        <v>0</v>
      </c>
      <c r="BG754" s="39"/>
      <c r="BH754" s="39"/>
      <c r="BI754" s="39"/>
      <c r="BJ754" s="39"/>
      <c r="BK754" s="39"/>
      <c r="BL754" s="39">
        <f t="shared" si="484"/>
        <v>0</v>
      </c>
      <c r="BM754" s="54">
        <f t="shared" ca="1" si="496"/>
        <v>46283</v>
      </c>
      <c r="BN754" s="58">
        <v>46270</v>
      </c>
      <c r="BO754" s="57">
        <v>46284</v>
      </c>
      <c r="BP754" s="36"/>
      <c r="BQ754" s="36"/>
      <c r="BR754" s="39"/>
      <c r="BS754" s="39"/>
      <c r="BT754" s="39"/>
      <c r="BU754" s="39"/>
      <c r="BV754" s="39"/>
      <c r="BW754" s="39"/>
      <c r="BX754" s="39"/>
      <c r="BY754" s="39"/>
      <c r="BZ754" s="39">
        <f t="shared" si="485"/>
        <v>0</v>
      </c>
      <c r="CA754" s="39">
        <f t="shared" si="497"/>
        <v>-142</v>
      </c>
      <c r="CB754" s="39">
        <f t="shared" si="498"/>
        <v>-9</v>
      </c>
      <c r="CC754" s="39">
        <f t="shared" si="499"/>
        <v>0</v>
      </c>
      <c r="CD754" s="39">
        <f t="shared" si="500"/>
        <v>-151</v>
      </c>
      <c r="CE754" s="102">
        <f t="shared" si="501"/>
        <v>-1</v>
      </c>
      <c r="CF754" s="36" t="s">
        <v>2481</v>
      </c>
      <c r="CG754" s="39" t="s">
        <v>231</v>
      </c>
      <c r="CH754" s="39"/>
      <c r="CI754" s="25">
        <v>1</v>
      </c>
    </row>
    <row r="755" spans="1:87" ht="24.75" customHeight="1">
      <c r="A755" s="36" t="s">
        <v>388</v>
      </c>
      <c r="B755" s="27">
        <v>48694</v>
      </c>
      <c r="C755" s="236"/>
      <c r="D755" s="36"/>
      <c r="E755" s="39">
        <v>200</v>
      </c>
      <c r="F755" s="39" t="s">
        <v>58</v>
      </c>
      <c r="G755" s="36" t="s">
        <v>23</v>
      </c>
      <c r="H755" s="36" t="s">
        <v>212</v>
      </c>
      <c r="I755" s="39">
        <v>140</v>
      </c>
      <c r="J755" s="39">
        <v>9</v>
      </c>
      <c r="K755" s="39"/>
      <c r="L755" s="39">
        <f t="shared" si="490"/>
        <v>149</v>
      </c>
      <c r="M755" s="117">
        <v>46266</v>
      </c>
      <c r="N755" s="117">
        <v>46269</v>
      </c>
      <c r="O755" s="39"/>
      <c r="P755" s="39"/>
      <c r="Q755" s="39"/>
      <c r="R755" s="39">
        <f t="shared" si="491"/>
        <v>0</v>
      </c>
      <c r="S755" s="39" t="s">
        <v>130</v>
      </c>
      <c r="T755" s="39"/>
      <c r="U755" s="39"/>
      <c r="V755" s="39"/>
      <c r="W755" s="39"/>
      <c r="X755" s="39"/>
      <c r="Y755" s="39"/>
      <c r="Z755" s="39"/>
      <c r="AA755" s="39"/>
      <c r="AB755" s="118">
        <f t="shared" si="492"/>
        <v>0</v>
      </c>
      <c r="AC755" s="39"/>
      <c r="AD755" s="39"/>
      <c r="AE755" s="39"/>
      <c r="AF755" s="39"/>
      <c r="AG755" s="39"/>
      <c r="AH755" s="39">
        <f t="shared" si="483"/>
        <v>0</v>
      </c>
      <c r="AI755" s="39"/>
      <c r="AJ755" s="39"/>
      <c r="AK755" s="39"/>
      <c r="AL755" s="39"/>
      <c r="AM755" s="39"/>
      <c r="AN755" s="39">
        <f t="shared" si="489"/>
        <v>0</v>
      </c>
      <c r="AO755" s="39"/>
      <c r="AP755" s="39"/>
      <c r="AQ755" s="39"/>
      <c r="AR755" s="39"/>
      <c r="AS755" s="39"/>
      <c r="AT755" s="39">
        <f t="shared" si="493"/>
        <v>0</v>
      </c>
      <c r="AU755" s="39"/>
      <c r="AV755" s="39"/>
      <c r="AW755" s="39"/>
      <c r="AX755" s="39"/>
      <c r="AY755" s="39"/>
      <c r="AZ755" s="39">
        <f t="shared" si="494"/>
        <v>0</v>
      </c>
      <c r="BA755" s="39"/>
      <c r="BB755" s="39"/>
      <c r="BC755" s="39"/>
      <c r="BD755" s="39"/>
      <c r="BE755" s="39"/>
      <c r="BF755" s="39">
        <f t="shared" si="495"/>
        <v>0</v>
      </c>
      <c r="BG755" s="39"/>
      <c r="BH755" s="39"/>
      <c r="BI755" s="39"/>
      <c r="BJ755" s="39"/>
      <c r="BK755" s="39"/>
      <c r="BL755" s="39">
        <f t="shared" si="484"/>
        <v>0</v>
      </c>
      <c r="BM755" s="54">
        <f t="shared" ca="1" si="496"/>
        <v>46283</v>
      </c>
      <c r="BN755" s="58">
        <v>46270</v>
      </c>
      <c r="BO755" s="57">
        <v>46284</v>
      </c>
      <c r="BP755" s="36"/>
      <c r="BQ755" s="36"/>
      <c r="BR755" s="39"/>
      <c r="BS755" s="39"/>
      <c r="BT755" s="39"/>
      <c r="BU755" s="39"/>
      <c r="BV755" s="39"/>
      <c r="BW755" s="39"/>
      <c r="BX755" s="39"/>
      <c r="BY755" s="39"/>
      <c r="BZ755" s="39">
        <f t="shared" si="485"/>
        <v>0</v>
      </c>
      <c r="CA755" s="39">
        <f t="shared" si="497"/>
        <v>-140</v>
      </c>
      <c r="CB755" s="39">
        <f t="shared" si="498"/>
        <v>-9</v>
      </c>
      <c r="CC755" s="39">
        <f t="shared" si="499"/>
        <v>0</v>
      </c>
      <c r="CD755" s="39">
        <f t="shared" si="500"/>
        <v>-149</v>
      </c>
      <c r="CE755" s="102">
        <f t="shared" si="501"/>
        <v>-1</v>
      </c>
      <c r="CF755" s="36" t="s">
        <v>2481</v>
      </c>
      <c r="CG755" s="39" t="s">
        <v>231</v>
      </c>
      <c r="CH755" s="39"/>
      <c r="CI755" s="25">
        <v>1</v>
      </c>
    </row>
    <row r="756" spans="1:87" ht="24.75" customHeight="1">
      <c r="A756" s="36" t="s">
        <v>388</v>
      </c>
      <c r="B756" s="27">
        <v>48696</v>
      </c>
      <c r="C756" s="235">
        <v>15385912</v>
      </c>
      <c r="D756" s="36"/>
      <c r="E756" s="39">
        <v>180</v>
      </c>
      <c r="F756" s="39" t="s">
        <v>55</v>
      </c>
      <c r="G756" s="36" t="s">
        <v>21</v>
      </c>
      <c r="H756" s="36" t="s">
        <v>2535</v>
      </c>
      <c r="I756" s="39">
        <v>136</v>
      </c>
      <c r="J756" s="39"/>
      <c r="K756" s="39"/>
      <c r="L756" s="39">
        <f t="shared" si="490"/>
        <v>136</v>
      </c>
      <c r="M756" s="117">
        <v>46262</v>
      </c>
      <c r="N756" s="117">
        <v>46272</v>
      </c>
      <c r="O756" s="39"/>
      <c r="P756" s="39"/>
      <c r="Q756" s="39"/>
      <c r="R756" s="39">
        <f t="shared" si="491"/>
        <v>0</v>
      </c>
      <c r="S756" s="39" t="s">
        <v>130</v>
      </c>
      <c r="T756" s="39"/>
      <c r="U756" s="39"/>
      <c r="V756" s="39"/>
      <c r="W756" s="39"/>
      <c r="X756" s="39"/>
      <c r="Y756" s="39"/>
      <c r="Z756" s="39"/>
      <c r="AA756" s="39"/>
      <c r="AB756" s="118">
        <f t="shared" si="492"/>
        <v>0</v>
      </c>
      <c r="AC756" s="39"/>
      <c r="AD756" s="39"/>
      <c r="AE756" s="39"/>
      <c r="AF756" s="39"/>
      <c r="AG756" s="39"/>
      <c r="AH756" s="39">
        <f t="shared" si="483"/>
        <v>0</v>
      </c>
      <c r="AI756" s="39"/>
      <c r="AJ756" s="39"/>
      <c r="AK756" s="39"/>
      <c r="AL756" s="39"/>
      <c r="AM756" s="39"/>
      <c r="AN756" s="39">
        <f t="shared" si="489"/>
        <v>0</v>
      </c>
      <c r="AO756" s="39"/>
      <c r="AP756" s="39"/>
      <c r="AQ756" s="39"/>
      <c r="AR756" s="39"/>
      <c r="AS756" s="39"/>
      <c r="AT756" s="39">
        <f t="shared" si="493"/>
        <v>0</v>
      </c>
      <c r="AU756" s="39"/>
      <c r="AV756" s="39"/>
      <c r="AW756" s="39"/>
      <c r="AX756" s="39"/>
      <c r="AY756" s="39"/>
      <c r="AZ756" s="39">
        <f t="shared" si="494"/>
        <v>0</v>
      </c>
      <c r="BA756" s="39"/>
      <c r="BB756" s="39"/>
      <c r="BC756" s="39"/>
      <c r="BD756" s="39"/>
      <c r="BE756" s="39"/>
      <c r="BF756" s="39">
        <f t="shared" si="495"/>
        <v>0</v>
      </c>
      <c r="BG756" s="39"/>
      <c r="BH756" s="39"/>
      <c r="BI756" s="39"/>
      <c r="BJ756" s="39"/>
      <c r="BK756" s="39"/>
      <c r="BL756" s="39">
        <f t="shared" si="484"/>
        <v>0</v>
      </c>
      <c r="BM756" s="54">
        <f t="shared" ca="1" si="496"/>
        <v>46283</v>
      </c>
      <c r="BN756" s="58">
        <v>46273</v>
      </c>
      <c r="BO756" s="57">
        <v>46282</v>
      </c>
      <c r="BP756" s="36"/>
      <c r="BQ756" s="36"/>
      <c r="BR756" s="39"/>
      <c r="BS756" s="39"/>
      <c r="BT756" s="39"/>
      <c r="BU756" s="39"/>
      <c r="BV756" s="39"/>
      <c r="BW756" s="39"/>
      <c r="BX756" s="39"/>
      <c r="BY756" s="39"/>
      <c r="BZ756" s="39">
        <f t="shared" si="485"/>
        <v>0</v>
      </c>
      <c r="CA756" s="39">
        <f t="shared" si="497"/>
        <v>-136</v>
      </c>
      <c r="CB756" s="39">
        <f t="shared" si="498"/>
        <v>0</v>
      </c>
      <c r="CC756" s="39">
        <f t="shared" si="499"/>
        <v>0</v>
      </c>
      <c r="CD756" s="39">
        <f t="shared" si="500"/>
        <v>-136</v>
      </c>
      <c r="CE756" s="102">
        <f t="shared" si="501"/>
        <v>-1</v>
      </c>
      <c r="CF756" s="36" t="s">
        <v>2481</v>
      </c>
      <c r="CG756" s="39" t="s">
        <v>231</v>
      </c>
      <c r="CH756" s="39"/>
      <c r="CI756" s="25">
        <v>1</v>
      </c>
    </row>
    <row r="757" spans="1:87" ht="24.75" customHeight="1">
      <c r="A757" s="36" t="s">
        <v>388</v>
      </c>
      <c r="B757" s="27">
        <v>48696</v>
      </c>
      <c r="C757" s="240"/>
      <c r="D757" s="36"/>
      <c r="E757" s="39">
        <v>180</v>
      </c>
      <c r="F757" s="39" t="s">
        <v>55</v>
      </c>
      <c r="G757" s="36" t="s">
        <v>324</v>
      </c>
      <c r="H757" s="36" t="s">
        <v>2535</v>
      </c>
      <c r="I757" s="39">
        <v>130</v>
      </c>
      <c r="J757" s="39"/>
      <c r="K757" s="39"/>
      <c r="L757" s="39">
        <f t="shared" si="490"/>
        <v>130</v>
      </c>
      <c r="M757" s="117">
        <v>46262</v>
      </c>
      <c r="N757" s="117">
        <v>46272</v>
      </c>
      <c r="O757" s="39"/>
      <c r="P757" s="39"/>
      <c r="Q757" s="39"/>
      <c r="R757" s="39">
        <f t="shared" si="491"/>
        <v>0</v>
      </c>
      <c r="S757" s="39" t="s">
        <v>130</v>
      </c>
      <c r="T757" s="39"/>
      <c r="U757" s="39"/>
      <c r="V757" s="39"/>
      <c r="W757" s="39"/>
      <c r="X757" s="39"/>
      <c r="Y757" s="39"/>
      <c r="Z757" s="39"/>
      <c r="AA757" s="39"/>
      <c r="AB757" s="118">
        <f t="shared" si="492"/>
        <v>0</v>
      </c>
      <c r="AC757" s="39"/>
      <c r="AD757" s="39"/>
      <c r="AE757" s="39"/>
      <c r="AF757" s="39"/>
      <c r="AG757" s="39"/>
      <c r="AH757" s="39">
        <f t="shared" si="483"/>
        <v>0</v>
      </c>
      <c r="AI757" s="39"/>
      <c r="AJ757" s="39"/>
      <c r="AK757" s="39"/>
      <c r="AL757" s="39"/>
      <c r="AM757" s="39"/>
      <c r="AN757" s="39">
        <f t="shared" si="489"/>
        <v>0</v>
      </c>
      <c r="AO757" s="39"/>
      <c r="AP757" s="39"/>
      <c r="AQ757" s="39"/>
      <c r="AR757" s="39"/>
      <c r="AS757" s="39"/>
      <c r="AT757" s="39">
        <f t="shared" si="493"/>
        <v>0</v>
      </c>
      <c r="AU757" s="39"/>
      <c r="AV757" s="39"/>
      <c r="AW757" s="39"/>
      <c r="AX757" s="39"/>
      <c r="AY757" s="39"/>
      <c r="AZ757" s="39">
        <f t="shared" si="494"/>
        <v>0</v>
      </c>
      <c r="BA757" s="39"/>
      <c r="BB757" s="39"/>
      <c r="BC757" s="39"/>
      <c r="BD757" s="39"/>
      <c r="BE757" s="39"/>
      <c r="BF757" s="39">
        <f t="shared" si="495"/>
        <v>0</v>
      </c>
      <c r="BG757" s="39"/>
      <c r="BH757" s="39"/>
      <c r="BI757" s="39"/>
      <c r="BJ757" s="39"/>
      <c r="BK757" s="39"/>
      <c r="BL757" s="39">
        <f t="shared" si="484"/>
        <v>0</v>
      </c>
      <c r="BM757" s="54">
        <f t="shared" ca="1" si="496"/>
        <v>46283</v>
      </c>
      <c r="BN757" s="58">
        <v>46273</v>
      </c>
      <c r="BO757" s="57">
        <v>46282</v>
      </c>
      <c r="BP757" s="36"/>
      <c r="BQ757" s="36"/>
      <c r="BR757" s="39"/>
      <c r="BS757" s="39"/>
      <c r="BT757" s="39"/>
      <c r="BU757" s="39"/>
      <c r="BV757" s="39"/>
      <c r="BW757" s="39"/>
      <c r="BX757" s="39"/>
      <c r="BY757" s="39"/>
      <c r="BZ757" s="39">
        <f t="shared" si="485"/>
        <v>0</v>
      </c>
      <c r="CA757" s="39">
        <f t="shared" si="497"/>
        <v>-130</v>
      </c>
      <c r="CB757" s="39">
        <f t="shared" si="498"/>
        <v>0</v>
      </c>
      <c r="CC757" s="39">
        <f t="shared" si="499"/>
        <v>0</v>
      </c>
      <c r="CD757" s="39">
        <f t="shared" si="500"/>
        <v>-130</v>
      </c>
      <c r="CE757" s="102">
        <f t="shared" si="501"/>
        <v>-1</v>
      </c>
      <c r="CF757" s="36" t="s">
        <v>2481</v>
      </c>
      <c r="CG757" s="39" t="s">
        <v>231</v>
      </c>
      <c r="CH757" s="39"/>
      <c r="CI757" s="25">
        <v>1</v>
      </c>
    </row>
    <row r="758" spans="1:87" ht="24.75" customHeight="1">
      <c r="A758" s="36" t="s">
        <v>388</v>
      </c>
      <c r="B758" s="27">
        <v>48696</v>
      </c>
      <c r="C758" s="236"/>
      <c r="D758" s="36"/>
      <c r="E758" s="39">
        <v>180</v>
      </c>
      <c r="F758" s="39" t="s">
        <v>55</v>
      </c>
      <c r="G758" s="36" t="s">
        <v>2536</v>
      </c>
      <c r="H758" s="36" t="s">
        <v>2535</v>
      </c>
      <c r="I758" s="39">
        <v>147</v>
      </c>
      <c r="J758" s="39"/>
      <c r="K758" s="39"/>
      <c r="L758" s="39">
        <f t="shared" ref="L758:L765" si="502">SUM(I758:K758)</f>
        <v>147</v>
      </c>
      <c r="M758" s="117">
        <v>46262</v>
      </c>
      <c r="N758" s="117">
        <v>46272</v>
      </c>
      <c r="O758" s="39"/>
      <c r="P758" s="39"/>
      <c r="Q758" s="39"/>
      <c r="R758" s="39">
        <f t="shared" si="491"/>
        <v>0</v>
      </c>
      <c r="S758" s="39" t="s">
        <v>130</v>
      </c>
      <c r="T758" s="39"/>
      <c r="U758" s="39"/>
      <c r="V758" s="39"/>
      <c r="W758" s="39"/>
      <c r="X758" s="39"/>
      <c r="Y758" s="39"/>
      <c r="Z758" s="39"/>
      <c r="AA758" s="39"/>
      <c r="AB758" s="118">
        <f t="shared" si="492"/>
        <v>0</v>
      </c>
      <c r="AC758" s="39"/>
      <c r="AD758" s="39"/>
      <c r="AE758" s="39"/>
      <c r="AF758" s="39"/>
      <c r="AG758" s="39"/>
      <c r="AH758" s="39">
        <f t="shared" si="483"/>
        <v>0</v>
      </c>
      <c r="AI758" s="39"/>
      <c r="AJ758" s="39"/>
      <c r="AK758" s="39"/>
      <c r="AL758" s="39"/>
      <c r="AM758" s="39"/>
      <c r="AN758" s="39">
        <f t="shared" si="489"/>
        <v>0</v>
      </c>
      <c r="AO758" s="39"/>
      <c r="AP758" s="39"/>
      <c r="AQ758" s="39"/>
      <c r="AR758" s="39"/>
      <c r="AS758" s="39"/>
      <c r="AT758" s="39">
        <f t="shared" si="493"/>
        <v>0</v>
      </c>
      <c r="AU758" s="39"/>
      <c r="AV758" s="39"/>
      <c r="AW758" s="39"/>
      <c r="AX758" s="39"/>
      <c r="AY758" s="39"/>
      <c r="AZ758" s="39">
        <f t="shared" si="494"/>
        <v>0</v>
      </c>
      <c r="BA758" s="39"/>
      <c r="BB758" s="39"/>
      <c r="BC758" s="39"/>
      <c r="BD758" s="39"/>
      <c r="BE758" s="39"/>
      <c r="BF758" s="39">
        <f t="shared" si="495"/>
        <v>0</v>
      </c>
      <c r="BG758" s="39"/>
      <c r="BH758" s="39"/>
      <c r="BI758" s="39"/>
      <c r="BJ758" s="39"/>
      <c r="BK758" s="39"/>
      <c r="BL758" s="39">
        <f t="shared" si="484"/>
        <v>0</v>
      </c>
      <c r="BM758" s="54">
        <f t="shared" ca="1" si="496"/>
        <v>46283</v>
      </c>
      <c r="BN758" s="58">
        <v>46273</v>
      </c>
      <c r="BO758" s="57">
        <v>46282</v>
      </c>
      <c r="BP758" s="36"/>
      <c r="BQ758" s="36"/>
      <c r="BR758" s="39"/>
      <c r="BS758" s="39"/>
      <c r="BT758" s="39"/>
      <c r="BU758" s="39"/>
      <c r="BV758" s="39"/>
      <c r="BW758" s="39"/>
      <c r="BX758" s="39"/>
      <c r="BY758" s="39"/>
      <c r="BZ758" s="39">
        <f t="shared" si="485"/>
        <v>0</v>
      </c>
      <c r="CA758" s="39">
        <f t="shared" si="497"/>
        <v>-147</v>
      </c>
      <c r="CB758" s="39">
        <f t="shared" si="498"/>
        <v>0</v>
      </c>
      <c r="CC758" s="39">
        <f t="shared" si="499"/>
        <v>0</v>
      </c>
      <c r="CD758" s="39">
        <f t="shared" si="500"/>
        <v>-147</v>
      </c>
      <c r="CE758" s="102">
        <f t="shared" si="501"/>
        <v>-1</v>
      </c>
      <c r="CF758" s="36" t="s">
        <v>2481</v>
      </c>
      <c r="CG758" s="39" t="s">
        <v>231</v>
      </c>
      <c r="CH758" s="39"/>
      <c r="CI758" s="25">
        <v>1</v>
      </c>
    </row>
    <row r="759" spans="1:87" ht="24.75" customHeight="1">
      <c r="A759" s="36" t="s">
        <v>388</v>
      </c>
      <c r="B759" s="27" t="s">
        <v>2537</v>
      </c>
      <c r="C759" s="235">
        <v>15371058</v>
      </c>
      <c r="D759" s="36"/>
      <c r="E759" s="39">
        <v>160</v>
      </c>
      <c r="F759" s="39" t="s">
        <v>54</v>
      </c>
      <c r="G759" s="36" t="s">
        <v>340</v>
      </c>
      <c r="H759" s="36" t="s">
        <v>22</v>
      </c>
      <c r="I759" s="39">
        <v>415</v>
      </c>
      <c r="J759" s="39"/>
      <c r="K759" s="39"/>
      <c r="L759" s="39">
        <f t="shared" si="502"/>
        <v>415</v>
      </c>
      <c r="M759" s="117">
        <v>46266</v>
      </c>
      <c r="N759" s="117">
        <v>46270</v>
      </c>
      <c r="O759" s="39"/>
      <c r="P759" s="39"/>
      <c r="Q759" s="39"/>
      <c r="R759" s="39">
        <f t="shared" si="491"/>
        <v>0</v>
      </c>
      <c r="S759" s="39" t="s">
        <v>28</v>
      </c>
      <c r="T759" s="39"/>
      <c r="U759" s="39"/>
      <c r="V759" s="117">
        <v>46267</v>
      </c>
      <c r="W759" s="39">
        <v>466</v>
      </c>
      <c r="X759" s="117">
        <v>46275</v>
      </c>
      <c r="Y759" s="39">
        <v>419</v>
      </c>
      <c r="Z759" s="39"/>
      <c r="AA759" s="39"/>
      <c r="AB759" s="119">
        <f t="shared" si="492"/>
        <v>419</v>
      </c>
      <c r="AC759" s="39"/>
      <c r="AD759" s="39"/>
      <c r="AE759" s="39"/>
      <c r="AF759" s="39"/>
      <c r="AG759" s="39"/>
      <c r="AH759" s="39">
        <f t="shared" si="483"/>
        <v>0</v>
      </c>
      <c r="AI759" s="39"/>
      <c r="AJ759" s="39"/>
      <c r="AK759" s="39"/>
      <c r="AL759" s="39"/>
      <c r="AM759" s="39"/>
      <c r="AN759" s="39">
        <f t="shared" si="489"/>
        <v>0</v>
      </c>
      <c r="AO759" s="39"/>
      <c r="AP759" s="39"/>
      <c r="AQ759" s="39"/>
      <c r="AR759" s="39"/>
      <c r="AS759" s="39"/>
      <c r="AT759" s="39">
        <f t="shared" si="493"/>
        <v>0</v>
      </c>
      <c r="AU759" s="39"/>
      <c r="AV759" s="39"/>
      <c r="AW759" s="39"/>
      <c r="AX759" s="39"/>
      <c r="AY759" s="39"/>
      <c r="AZ759" s="39">
        <f t="shared" si="494"/>
        <v>0</v>
      </c>
      <c r="BA759" s="39"/>
      <c r="BB759" s="39"/>
      <c r="BC759" s="39"/>
      <c r="BD759" s="39"/>
      <c r="BE759" s="39"/>
      <c r="BF759" s="39">
        <f t="shared" si="495"/>
        <v>0</v>
      </c>
      <c r="BG759" s="39"/>
      <c r="BH759" s="39"/>
      <c r="BI759" s="39"/>
      <c r="BJ759" s="39"/>
      <c r="BK759" s="39"/>
      <c r="BL759" s="39">
        <f t="shared" si="484"/>
        <v>0</v>
      </c>
      <c r="BM759" s="54" t="str">
        <f t="shared" si="496"/>
        <v/>
      </c>
      <c r="BN759" s="58">
        <v>46273</v>
      </c>
      <c r="BO759" s="57">
        <v>46286</v>
      </c>
      <c r="BP759" s="36"/>
      <c r="BQ759" s="36"/>
      <c r="BR759" s="117">
        <v>46272</v>
      </c>
      <c r="BS759" s="117">
        <v>46272</v>
      </c>
      <c r="BT759" s="39">
        <v>967</v>
      </c>
      <c r="BU759" s="39">
        <v>419</v>
      </c>
      <c r="BV759" s="39"/>
      <c r="BW759" s="39"/>
      <c r="BX759" s="39"/>
      <c r="BY759" s="39"/>
      <c r="BZ759" s="39">
        <f t="shared" si="485"/>
        <v>419</v>
      </c>
      <c r="CA759" s="39">
        <f t="shared" si="497"/>
        <v>4</v>
      </c>
      <c r="CB759" s="39">
        <f t="shared" si="498"/>
        <v>0</v>
      </c>
      <c r="CC759" s="39">
        <f t="shared" si="499"/>
        <v>0</v>
      </c>
      <c r="CD759" s="39">
        <f t="shared" si="500"/>
        <v>0</v>
      </c>
      <c r="CE759" s="102">
        <f t="shared" si="501"/>
        <v>0</v>
      </c>
      <c r="CF759" s="36" t="s">
        <v>295</v>
      </c>
      <c r="CG759" s="39" t="s">
        <v>224</v>
      </c>
      <c r="CH759" s="39"/>
      <c r="CI759" s="25">
        <v>1</v>
      </c>
    </row>
    <row r="760" spans="1:87" ht="24.75" customHeight="1">
      <c r="A760" s="36" t="s">
        <v>388</v>
      </c>
      <c r="B760" s="27" t="s">
        <v>2537</v>
      </c>
      <c r="C760" s="236"/>
      <c r="D760" s="36"/>
      <c r="E760" s="39">
        <v>160</v>
      </c>
      <c r="F760" s="39" t="s">
        <v>54</v>
      </c>
      <c r="G760" s="36" t="s">
        <v>47</v>
      </c>
      <c r="H760" s="36" t="s">
        <v>22</v>
      </c>
      <c r="I760" s="39">
        <v>160</v>
      </c>
      <c r="J760" s="39"/>
      <c r="K760" s="39"/>
      <c r="L760" s="39">
        <f t="shared" si="502"/>
        <v>160</v>
      </c>
      <c r="M760" s="117">
        <v>46266</v>
      </c>
      <c r="N760" s="117">
        <v>46270</v>
      </c>
      <c r="O760" s="39"/>
      <c r="P760" s="39"/>
      <c r="Q760" s="39"/>
      <c r="R760" s="39">
        <f t="shared" si="491"/>
        <v>0</v>
      </c>
      <c r="S760" s="39" t="s">
        <v>130</v>
      </c>
      <c r="T760" s="39"/>
      <c r="U760" s="39"/>
      <c r="V760" s="39"/>
      <c r="W760" s="39"/>
      <c r="X760" s="39"/>
      <c r="Y760" s="39"/>
      <c r="Z760" s="39"/>
      <c r="AA760" s="39"/>
      <c r="AB760" s="118">
        <f t="shared" si="492"/>
        <v>0</v>
      </c>
      <c r="AC760" s="39"/>
      <c r="AD760" s="39"/>
      <c r="AE760" s="39"/>
      <c r="AF760" s="39"/>
      <c r="AG760" s="39"/>
      <c r="AH760" s="39">
        <f t="shared" si="483"/>
        <v>0</v>
      </c>
      <c r="AI760" s="39"/>
      <c r="AJ760" s="39"/>
      <c r="AK760" s="39"/>
      <c r="AL760" s="39"/>
      <c r="AM760" s="39"/>
      <c r="AN760" s="39">
        <f t="shared" si="489"/>
        <v>0</v>
      </c>
      <c r="AO760" s="39"/>
      <c r="AP760" s="39"/>
      <c r="AQ760" s="39"/>
      <c r="AR760" s="39"/>
      <c r="AS760" s="39"/>
      <c r="AT760" s="39">
        <f t="shared" si="493"/>
        <v>0</v>
      </c>
      <c r="AU760" s="39"/>
      <c r="AV760" s="39"/>
      <c r="AW760" s="39"/>
      <c r="AX760" s="39"/>
      <c r="AY760" s="39"/>
      <c r="AZ760" s="39">
        <f t="shared" si="494"/>
        <v>0</v>
      </c>
      <c r="BA760" s="39"/>
      <c r="BB760" s="39"/>
      <c r="BC760" s="39"/>
      <c r="BD760" s="39"/>
      <c r="BE760" s="39"/>
      <c r="BF760" s="39">
        <f t="shared" si="495"/>
        <v>0</v>
      </c>
      <c r="BG760" s="39"/>
      <c r="BH760" s="39"/>
      <c r="BI760" s="39"/>
      <c r="BJ760" s="39"/>
      <c r="BK760" s="39"/>
      <c r="BL760" s="39">
        <f t="shared" si="484"/>
        <v>0</v>
      </c>
      <c r="BM760" s="54">
        <f t="shared" ca="1" si="496"/>
        <v>46283</v>
      </c>
      <c r="BN760" s="58">
        <v>46273</v>
      </c>
      <c r="BO760" s="57">
        <v>46286</v>
      </c>
      <c r="BP760" s="36"/>
      <c r="BQ760" s="36"/>
      <c r="BR760" s="39"/>
      <c r="BS760" s="39"/>
      <c r="BT760" s="39"/>
      <c r="BU760" s="39"/>
      <c r="BV760" s="39"/>
      <c r="BW760" s="39"/>
      <c r="BX760" s="39"/>
      <c r="BY760" s="39"/>
      <c r="BZ760" s="39">
        <f t="shared" si="485"/>
        <v>0</v>
      </c>
      <c r="CA760" s="39">
        <f t="shared" si="497"/>
        <v>-160</v>
      </c>
      <c r="CB760" s="39">
        <f t="shared" si="498"/>
        <v>0</v>
      </c>
      <c r="CC760" s="39">
        <f t="shared" si="499"/>
        <v>0</v>
      </c>
      <c r="CD760" s="39">
        <f t="shared" si="500"/>
        <v>-160</v>
      </c>
      <c r="CE760" s="102">
        <f t="shared" si="501"/>
        <v>-1</v>
      </c>
      <c r="CF760" s="36" t="s">
        <v>295</v>
      </c>
      <c r="CG760" s="39" t="s">
        <v>224</v>
      </c>
      <c r="CH760" s="39"/>
      <c r="CI760" s="25">
        <v>1</v>
      </c>
    </row>
    <row r="761" spans="1:87" ht="24.75" customHeight="1">
      <c r="A761" s="36" t="s">
        <v>388</v>
      </c>
      <c r="B761" s="27" t="s">
        <v>2538</v>
      </c>
      <c r="C761" s="41" t="s">
        <v>2064</v>
      </c>
      <c r="D761" s="36"/>
      <c r="E761" s="39">
        <v>220</v>
      </c>
      <c r="F761" s="39" t="s">
        <v>55</v>
      </c>
      <c r="G761" s="36" t="s">
        <v>23</v>
      </c>
      <c r="H761" s="36" t="s">
        <v>210</v>
      </c>
      <c r="I761" s="39">
        <v>361</v>
      </c>
      <c r="J761" s="39"/>
      <c r="K761" s="39"/>
      <c r="L761" s="39">
        <f t="shared" si="502"/>
        <v>361</v>
      </c>
      <c r="M761" s="117">
        <v>46266</v>
      </c>
      <c r="N761" s="117">
        <v>46270</v>
      </c>
      <c r="O761" s="39"/>
      <c r="P761" s="39"/>
      <c r="Q761" s="39"/>
      <c r="R761" s="39">
        <f t="shared" si="491"/>
        <v>0</v>
      </c>
      <c r="S761" s="39" t="s">
        <v>100</v>
      </c>
      <c r="T761" s="39"/>
      <c r="U761" s="39"/>
      <c r="V761" s="117">
        <v>46268</v>
      </c>
      <c r="W761" s="39">
        <v>395</v>
      </c>
      <c r="X761" s="39"/>
      <c r="Y761" s="39"/>
      <c r="Z761" s="39"/>
      <c r="AA761" s="39"/>
      <c r="AB761" s="118">
        <f t="shared" si="492"/>
        <v>0</v>
      </c>
      <c r="AC761" s="39"/>
      <c r="AD761" s="39"/>
      <c r="AE761" s="39"/>
      <c r="AF761" s="39"/>
      <c r="AG761" s="39"/>
      <c r="AH761" s="39">
        <f t="shared" si="483"/>
        <v>0</v>
      </c>
      <c r="AI761" s="39"/>
      <c r="AJ761" s="39"/>
      <c r="AK761" s="39"/>
      <c r="AL761" s="39"/>
      <c r="AM761" s="39"/>
      <c r="AN761" s="39">
        <f t="shared" si="489"/>
        <v>0</v>
      </c>
      <c r="AO761" s="39"/>
      <c r="AP761" s="39"/>
      <c r="AQ761" s="39"/>
      <c r="AR761" s="39"/>
      <c r="AS761" s="39"/>
      <c r="AT761" s="39">
        <f t="shared" si="493"/>
        <v>0</v>
      </c>
      <c r="AU761" s="39"/>
      <c r="AV761" s="39"/>
      <c r="AW761" s="39"/>
      <c r="AX761" s="39"/>
      <c r="AY761" s="39"/>
      <c r="AZ761" s="39">
        <f t="shared" si="494"/>
        <v>0</v>
      </c>
      <c r="BA761" s="39"/>
      <c r="BB761" s="39"/>
      <c r="BC761" s="39"/>
      <c r="BD761" s="39"/>
      <c r="BE761" s="39"/>
      <c r="BF761" s="39">
        <f t="shared" si="495"/>
        <v>0</v>
      </c>
      <c r="BG761" s="39"/>
      <c r="BH761" s="39"/>
      <c r="BI761" s="39"/>
      <c r="BJ761" s="39"/>
      <c r="BK761" s="39"/>
      <c r="BL761" s="39">
        <f t="shared" si="484"/>
        <v>0</v>
      </c>
      <c r="BM761" s="54">
        <f t="shared" ca="1" si="496"/>
        <v>46283</v>
      </c>
      <c r="BN761" s="58">
        <v>46275</v>
      </c>
      <c r="BO761" s="57">
        <v>46288</v>
      </c>
      <c r="BP761" s="36"/>
      <c r="BQ761" s="36"/>
      <c r="BR761" s="39"/>
      <c r="BS761" s="39"/>
      <c r="BT761" s="39"/>
      <c r="BU761" s="39"/>
      <c r="BV761" s="39"/>
      <c r="BW761" s="39"/>
      <c r="BX761" s="39"/>
      <c r="BY761" s="39"/>
      <c r="BZ761" s="39">
        <f t="shared" si="485"/>
        <v>0</v>
      </c>
      <c r="CA761" s="39">
        <f t="shared" si="497"/>
        <v>-361</v>
      </c>
      <c r="CB761" s="39">
        <f t="shared" si="498"/>
        <v>0</v>
      </c>
      <c r="CC761" s="39">
        <f t="shared" si="499"/>
        <v>0</v>
      </c>
      <c r="CD761" s="39">
        <f t="shared" si="500"/>
        <v>-361</v>
      </c>
      <c r="CE761" s="102">
        <f t="shared" si="501"/>
        <v>-1</v>
      </c>
      <c r="CF761" s="36" t="s">
        <v>294</v>
      </c>
      <c r="CG761" s="39" t="s">
        <v>231</v>
      </c>
      <c r="CH761" s="39"/>
      <c r="CI761" s="25">
        <v>1</v>
      </c>
    </row>
    <row r="762" spans="1:87" ht="24.75" customHeight="1">
      <c r="A762" s="36" t="s">
        <v>388</v>
      </c>
      <c r="B762" s="27" t="s">
        <v>2585</v>
      </c>
      <c r="C762" s="41" t="s">
        <v>2539</v>
      </c>
      <c r="D762" s="36"/>
      <c r="E762" s="39">
        <v>220</v>
      </c>
      <c r="F762" s="39" t="s">
        <v>55</v>
      </c>
      <c r="G762" s="36" t="s">
        <v>23</v>
      </c>
      <c r="H762" s="36" t="s">
        <v>210</v>
      </c>
      <c r="I762" s="39">
        <v>310</v>
      </c>
      <c r="J762" s="39"/>
      <c r="K762" s="39"/>
      <c r="L762" s="39">
        <f t="shared" si="502"/>
        <v>310</v>
      </c>
      <c r="M762" s="117">
        <v>46266</v>
      </c>
      <c r="N762" s="117">
        <v>46270</v>
      </c>
      <c r="O762" s="39"/>
      <c r="P762" s="39"/>
      <c r="Q762" s="39"/>
      <c r="R762" s="39">
        <f t="shared" si="491"/>
        <v>0</v>
      </c>
      <c r="S762" s="39" t="s">
        <v>100</v>
      </c>
      <c r="T762" s="39"/>
      <c r="U762" s="39"/>
      <c r="V762" s="117">
        <v>46268</v>
      </c>
      <c r="W762" s="39">
        <v>338</v>
      </c>
      <c r="X762" s="39"/>
      <c r="Y762" s="39"/>
      <c r="Z762" s="39"/>
      <c r="AA762" s="39"/>
      <c r="AB762" s="118">
        <f t="shared" si="492"/>
        <v>0</v>
      </c>
      <c r="AC762" s="39"/>
      <c r="AD762" s="39"/>
      <c r="AE762" s="39"/>
      <c r="AF762" s="39"/>
      <c r="AG762" s="39"/>
      <c r="AH762" s="39">
        <f t="shared" si="483"/>
        <v>0</v>
      </c>
      <c r="AI762" s="39"/>
      <c r="AJ762" s="39"/>
      <c r="AK762" s="39"/>
      <c r="AL762" s="39"/>
      <c r="AM762" s="39"/>
      <c r="AN762" s="39">
        <f t="shared" si="489"/>
        <v>0</v>
      </c>
      <c r="AO762" s="39"/>
      <c r="AP762" s="39"/>
      <c r="AQ762" s="39"/>
      <c r="AR762" s="39"/>
      <c r="AS762" s="39"/>
      <c r="AT762" s="39">
        <f t="shared" si="493"/>
        <v>0</v>
      </c>
      <c r="AU762" s="39"/>
      <c r="AV762" s="39"/>
      <c r="AW762" s="39"/>
      <c r="AX762" s="39"/>
      <c r="AY762" s="39"/>
      <c r="AZ762" s="39">
        <f t="shared" si="494"/>
        <v>0</v>
      </c>
      <c r="BA762" s="39"/>
      <c r="BB762" s="39"/>
      <c r="BC762" s="39"/>
      <c r="BD762" s="39"/>
      <c r="BE762" s="39"/>
      <c r="BF762" s="39">
        <f t="shared" si="495"/>
        <v>0</v>
      </c>
      <c r="BG762" s="39"/>
      <c r="BH762" s="39"/>
      <c r="BI762" s="39"/>
      <c r="BJ762" s="39"/>
      <c r="BK762" s="39"/>
      <c r="BL762" s="39">
        <f t="shared" si="484"/>
        <v>0</v>
      </c>
      <c r="BM762" s="54">
        <f t="shared" ca="1" si="496"/>
        <v>46283</v>
      </c>
      <c r="BN762" s="58">
        <v>46275</v>
      </c>
      <c r="BO762" s="57">
        <v>46284</v>
      </c>
      <c r="BP762" s="36"/>
      <c r="BQ762" s="36"/>
      <c r="BR762" s="39"/>
      <c r="BS762" s="39"/>
      <c r="BT762" s="39"/>
      <c r="BU762" s="39"/>
      <c r="BV762" s="39"/>
      <c r="BW762" s="39"/>
      <c r="BX762" s="39"/>
      <c r="BY762" s="39"/>
      <c r="BZ762" s="39">
        <f t="shared" si="485"/>
        <v>0</v>
      </c>
      <c r="CA762" s="39">
        <f t="shared" si="497"/>
        <v>-310</v>
      </c>
      <c r="CB762" s="39">
        <f t="shared" si="498"/>
        <v>0</v>
      </c>
      <c r="CC762" s="39">
        <f t="shared" si="499"/>
        <v>0</v>
      </c>
      <c r="CD762" s="39">
        <f t="shared" si="500"/>
        <v>-310</v>
      </c>
      <c r="CE762" s="102">
        <f t="shared" si="501"/>
        <v>-1</v>
      </c>
      <c r="CF762" s="36" t="s">
        <v>294</v>
      </c>
      <c r="CG762" s="39" t="s">
        <v>231</v>
      </c>
      <c r="CH762" s="39"/>
      <c r="CI762" s="25">
        <v>1</v>
      </c>
    </row>
    <row r="763" spans="1:87" ht="24.75" customHeight="1">
      <c r="A763" s="36" t="s">
        <v>388</v>
      </c>
      <c r="B763" s="27" t="s">
        <v>2540</v>
      </c>
      <c r="C763" s="235" t="s">
        <v>2541</v>
      </c>
      <c r="D763" s="36"/>
      <c r="E763" s="39">
        <v>220</v>
      </c>
      <c r="F763" s="39" t="s">
        <v>55</v>
      </c>
      <c r="G763" s="36" t="s">
        <v>23</v>
      </c>
      <c r="H763" s="36" t="s">
        <v>210</v>
      </c>
      <c r="I763" s="39">
        <v>114</v>
      </c>
      <c r="J763" s="39"/>
      <c r="K763" s="39"/>
      <c r="L763" s="39">
        <f t="shared" si="502"/>
        <v>114</v>
      </c>
      <c r="M763" s="117">
        <v>46266</v>
      </c>
      <c r="N763" s="117">
        <v>46270</v>
      </c>
      <c r="O763" s="39"/>
      <c r="P763" s="39"/>
      <c r="Q763" s="39"/>
      <c r="R763" s="39">
        <f t="shared" si="491"/>
        <v>0</v>
      </c>
      <c r="S763" s="39" t="s">
        <v>100</v>
      </c>
      <c r="T763" s="39"/>
      <c r="U763" s="39"/>
      <c r="V763" s="117">
        <v>46268</v>
      </c>
      <c r="W763" s="39">
        <v>135</v>
      </c>
      <c r="X763" s="39"/>
      <c r="Y763" s="39"/>
      <c r="Z763" s="39"/>
      <c r="AA763" s="39"/>
      <c r="AB763" s="118">
        <f t="shared" si="492"/>
        <v>0</v>
      </c>
      <c r="AC763" s="39"/>
      <c r="AD763" s="39"/>
      <c r="AE763" s="39"/>
      <c r="AF763" s="39"/>
      <c r="AG763" s="39"/>
      <c r="AH763" s="39">
        <f t="shared" si="483"/>
        <v>0</v>
      </c>
      <c r="AI763" s="39"/>
      <c r="AJ763" s="39"/>
      <c r="AK763" s="39"/>
      <c r="AL763" s="39"/>
      <c r="AM763" s="39"/>
      <c r="AN763" s="39">
        <f t="shared" si="489"/>
        <v>0</v>
      </c>
      <c r="AO763" s="39"/>
      <c r="AP763" s="39"/>
      <c r="AQ763" s="39"/>
      <c r="AR763" s="39"/>
      <c r="AS763" s="39"/>
      <c r="AT763" s="39">
        <f t="shared" si="493"/>
        <v>0</v>
      </c>
      <c r="AU763" s="39"/>
      <c r="AV763" s="39"/>
      <c r="AW763" s="39"/>
      <c r="AX763" s="39"/>
      <c r="AY763" s="39"/>
      <c r="AZ763" s="39">
        <f t="shared" si="494"/>
        <v>0</v>
      </c>
      <c r="BA763" s="39"/>
      <c r="BB763" s="39"/>
      <c r="BC763" s="39"/>
      <c r="BD763" s="39"/>
      <c r="BE763" s="39"/>
      <c r="BF763" s="39">
        <f t="shared" si="495"/>
        <v>0</v>
      </c>
      <c r="BG763" s="39"/>
      <c r="BH763" s="39"/>
      <c r="BI763" s="39"/>
      <c r="BJ763" s="39"/>
      <c r="BK763" s="39"/>
      <c r="BL763" s="39">
        <f t="shared" si="484"/>
        <v>0</v>
      </c>
      <c r="BM763" s="54">
        <f t="shared" ca="1" si="496"/>
        <v>46283</v>
      </c>
      <c r="BN763" s="58">
        <v>46275</v>
      </c>
      <c r="BO763" s="57">
        <v>46287</v>
      </c>
      <c r="BP763" s="36"/>
      <c r="BQ763" s="36"/>
      <c r="BR763" s="39"/>
      <c r="BS763" s="39"/>
      <c r="BT763" s="39"/>
      <c r="BU763" s="39"/>
      <c r="BV763" s="39"/>
      <c r="BW763" s="39"/>
      <c r="BX763" s="39"/>
      <c r="BY763" s="39"/>
      <c r="BZ763" s="39">
        <f t="shared" si="485"/>
        <v>0</v>
      </c>
      <c r="CA763" s="39">
        <f t="shared" si="497"/>
        <v>-114</v>
      </c>
      <c r="CB763" s="39">
        <f t="shared" si="498"/>
        <v>0</v>
      </c>
      <c r="CC763" s="39">
        <f t="shared" si="499"/>
        <v>0</v>
      </c>
      <c r="CD763" s="39">
        <f t="shared" si="500"/>
        <v>-114</v>
      </c>
      <c r="CE763" s="102">
        <f t="shared" si="501"/>
        <v>-1</v>
      </c>
      <c r="CF763" s="36" t="s">
        <v>294</v>
      </c>
      <c r="CG763" s="39" t="s">
        <v>231</v>
      </c>
      <c r="CH763" s="39"/>
      <c r="CI763" s="25">
        <v>1</v>
      </c>
    </row>
    <row r="764" spans="1:87" ht="24.75" customHeight="1">
      <c r="A764" s="36" t="s">
        <v>388</v>
      </c>
      <c r="B764" s="27" t="s">
        <v>2540</v>
      </c>
      <c r="C764" s="236"/>
      <c r="D764" s="36"/>
      <c r="E764" s="39">
        <v>220</v>
      </c>
      <c r="F764" s="39" t="s">
        <v>55</v>
      </c>
      <c r="G764" s="36" t="s">
        <v>23</v>
      </c>
      <c r="H764" s="36" t="s">
        <v>210</v>
      </c>
      <c r="I764" s="39">
        <v>42</v>
      </c>
      <c r="J764" s="39"/>
      <c r="K764" s="39"/>
      <c r="L764" s="39">
        <f t="shared" si="502"/>
        <v>42</v>
      </c>
      <c r="M764" s="117">
        <v>46266</v>
      </c>
      <c r="N764" s="117">
        <v>46270</v>
      </c>
      <c r="O764" s="39"/>
      <c r="P764" s="39"/>
      <c r="Q764" s="39"/>
      <c r="R764" s="39">
        <f t="shared" si="491"/>
        <v>0</v>
      </c>
      <c r="S764" s="39" t="s">
        <v>100</v>
      </c>
      <c r="T764" s="39"/>
      <c r="U764" s="39"/>
      <c r="V764" s="117">
        <v>46268</v>
      </c>
      <c r="W764" s="39">
        <v>50</v>
      </c>
      <c r="X764" s="39"/>
      <c r="Y764" s="39"/>
      <c r="Z764" s="39"/>
      <c r="AA764" s="39"/>
      <c r="AB764" s="118">
        <f t="shared" si="492"/>
        <v>0</v>
      </c>
      <c r="AC764" s="39"/>
      <c r="AD764" s="39"/>
      <c r="AE764" s="39"/>
      <c r="AF764" s="39"/>
      <c r="AG764" s="39"/>
      <c r="AH764" s="39">
        <f t="shared" si="483"/>
        <v>0</v>
      </c>
      <c r="AI764" s="39"/>
      <c r="AJ764" s="39"/>
      <c r="AK764" s="39"/>
      <c r="AL764" s="39"/>
      <c r="AM764" s="39"/>
      <c r="AN764" s="39">
        <f t="shared" si="489"/>
        <v>0</v>
      </c>
      <c r="AO764" s="39"/>
      <c r="AP764" s="39"/>
      <c r="AQ764" s="39"/>
      <c r="AR764" s="39"/>
      <c r="AS764" s="39"/>
      <c r="AT764" s="39">
        <f t="shared" si="493"/>
        <v>0</v>
      </c>
      <c r="AU764" s="39"/>
      <c r="AV764" s="39"/>
      <c r="AW764" s="39"/>
      <c r="AX764" s="39"/>
      <c r="AY764" s="39"/>
      <c r="AZ764" s="39">
        <f t="shared" si="494"/>
        <v>0</v>
      </c>
      <c r="BA764" s="39"/>
      <c r="BB764" s="39"/>
      <c r="BC764" s="39"/>
      <c r="BD764" s="39"/>
      <c r="BE764" s="39"/>
      <c r="BF764" s="39">
        <f t="shared" si="495"/>
        <v>0</v>
      </c>
      <c r="BG764" s="39"/>
      <c r="BH764" s="39"/>
      <c r="BI764" s="39"/>
      <c r="BJ764" s="39"/>
      <c r="BK764" s="39"/>
      <c r="BL764" s="39">
        <f t="shared" si="484"/>
        <v>0</v>
      </c>
      <c r="BM764" s="54">
        <f t="shared" ca="1" si="496"/>
        <v>46283</v>
      </c>
      <c r="BN764" s="58">
        <v>46275</v>
      </c>
      <c r="BO764" s="57">
        <v>46287</v>
      </c>
      <c r="BP764" s="36"/>
      <c r="BQ764" s="36"/>
      <c r="BR764" s="39"/>
      <c r="BS764" s="39"/>
      <c r="BT764" s="39"/>
      <c r="BU764" s="39"/>
      <c r="BV764" s="39"/>
      <c r="BW764" s="39"/>
      <c r="BX764" s="39"/>
      <c r="BY764" s="39"/>
      <c r="BZ764" s="39">
        <f t="shared" si="485"/>
        <v>0</v>
      </c>
      <c r="CA764" s="39">
        <f t="shared" si="497"/>
        <v>-42</v>
      </c>
      <c r="CB764" s="39">
        <f t="shared" si="498"/>
        <v>0</v>
      </c>
      <c r="CC764" s="39">
        <f t="shared" si="499"/>
        <v>0</v>
      </c>
      <c r="CD764" s="39">
        <f t="shared" si="500"/>
        <v>-42</v>
      </c>
      <c r="CE764" s="102">
        <f t="shared" si="501"/>
        <v>-1</v>
      </c>
      <c r="CF764" s="36" t="s">
        <v>294</v>
      </c>
      <c r="CG764" s="39" t="s">
        <v>231</v>
      </c>
      <c r="CH764" s="39"/>
      <c r="CI764" s="25">
        <v>1</v>
      </c>
    </row>
    <row r="765" spans="1:87" ht="24.75" customHeight="1">
      <c r="A765" s="36" t="s">
        <v>388</v>
      </c>
      <c r="B765" s="27" t="s">
        <v>2542</v>
      </c>
      <c r="C765" s="235" t="s">
        <v>2543</v>
      </c>
      <c r="D765" s="36"/>
      <c r="E765" s="39">
        <v>140</v>
      </c>
      <c r="F765" s="39" t="s">
        <v>56</v>
      </c>
      <c r="G765" s="36" t="s">
        <v>23</v>
      </c>
      <c r="H765" s="36" t="s">
        <v>22</v>
      </c>
      <c r="I765" s="39">
        <v>951</v>
      </c>
      <c r="J765" s="39"/>
      <c r="K765" s="39"/>
      <c r="L765" s="39">
        <f t="shared" si="502"/>
        <v>951</v>
      </c>
      <c r="M765" s="117">
        <v>46260</v>
      </c>
      <c r="N765" s="117">
        <v>46269</v>
      </c>
      <c r="O765" s="39"/>
      <c r="P765" s="39"/>
      <c r="Q765" s="39"/>
      <c r="R765" s="39">
        <f t="shared" si="491"/>
        <v>0</v>
      </c>
      <c r="S765" s="39" t="s">
        <v>100</v>
      </c>
      <c r="T765" s="39"/>
      <c r="U765" s="39"/>
      <c r="V765" s="117">
        <v>46273</v>
      </c>
      <c r="W765" s="39">
        <v>1044</v>
      </c>
      <c r="X765" s="39"/>
      <c r="Y765" s="39"/>
      <c r="Z765" s="39"/>
      <c r="AA765" s="39"/>
      <c r="AB765" s="118">
        <f t="shared" si="492"/>
        <v>0</v>
      </c>
      <c r="AC765" s="39"/>
      <c r="AD765" s="39"/>
      <c r="AE765" s="39"/>
      <c r="AF765" s="39"/>
      <c r="AG765" s="39"/>
      <c r="AH765" s="39">
        <f t="shared" si="483"/>
        <v>0</v>
      </c>
      <c r="AI765" s="39"/>
      <c r="AJ765" s="39"/>
      <c r="AK765" s="39"/>
      <c r="AL765" s="39"/>
      <c r="AM765" s="39"/>
      <c r="AN765" s="39">
        <f t="shared" si="489"/>
        <v>0</v>
      </c>
      <c r="AO765" s="39"/>
      <c r="AP765" s="39"/>
      <c r="AQ765" s="39"/>
      <c r="AR765" s="39"/>
      <c r="AS765" s="39"/>
      <c r="AT765" s="39">
        <f t="shared" si="493"/>
        <v>0</v>
      </c>
      <c r="AU765" s="39"/>
      <c r="AV765" s="39"/>
      <c r="AW765" s="39"/>
      <c r="AX765" s="39"/>
      <c r="AY765" s="39"/>
      <c r="AZ765" s="39">
        <f t="shared" si="494"/>
        <v>0</v>
      </c>
      <c r="BA765" s="39"/>
      <c r="BB765" s="39"/>
      <c r="BC765" s="39"/>
      <c r="BD765" s="39"/>
      <c r="BE765" s="39"/>
      <c r="BF765" s="39">
        <f t="shared" si="495"/>
        <v>0</v>
      </c>
      <c r="BG765" s="39"/>
      <c r="BH765" s="39"/>
      <c r="BI765" s="39"/>
      <c r="BJ765" s="39"/>
      <c r="BK765" s="39"/>
      <c r="BL765" s="39">
        <f t="shared" si="484"/>
        <v>0</v>
      </c>
      <c r="BM765" s="54">
        <f t="shared" ca="1" si="496"/>
        <v>46283</v>
      </c>
      <c r="BN765" s="58">
        <v>46272</v>
      </c>
      <c r="BO765" s="57">
        <v>46282</v>
      </c>
      <c r="BP765" s="36"/>
      <c r="BQ765" s="36"/>
      <c r="BR765" s="39"/>
      <c r="BS765" s="39"/>
      <c r="BT765" s="39"/>
      <c r="BU765" s="39"/>
      <c r="BV765" s="39"/>
      <c r="BW765" s="39"/>
      <c r="BX765" s="39"/>
      <c r="BY765" s="39"/>
      <c r="BZ765" s="39">
        <f t="shared" si="485"/>
        <v>0</v>
      </c>
      <c r="CA765" s="39">
        <f t="shared" si="497"/>
        <v>-951</v>
      </c>
      <c r="CB765" s="39">
        <f t="shared" si="498"/>
        <v>0</v>
      </c>
      <c r="CC765" s="39">
        <f t="shared" si="499"/>
        <v>0</v>
      </c>
      <c r="CD765" s="39">
        <f t="shared" si="500"/>
        <v>-951</v>
      </c>
      <c r="CE765" s="102">
        <f t="shared" si="501"/>
        <v>-1</v>
      </c>
      <c r="CF765" s="36" t="s">
        <v>294</v>
      </c>
      <c r="CG765" s="39" t="s">
        <v>231</v>
      </c>
      <c r="CH765" s="39"/>
      <c r="CI765" s="25">
        <v>1</v>
      </c>
    </row>
    <row r="766" spans="1:87" ht="24.75" customHeight="1">
      <c r="A766" s="36" t="s">
        <v>388</v>
      </c>
      <c r="B766" s="27" t="s">
        <v>2542</v>
      </c>
      <c r="C766" s="240"/>
      <c r="D766" s="36"/>
      <c r="E766" s="39">
        <v>140</v>
      </c>
      <c r="F766" s="39" t="s">
        <v>56</v>
      </c>
      <c r="G766" s="36" t="s">
        <v>21</v>
      </c>
      <c r="H766" s="36" t="s">
        <v>22</v>
      </c>
      <c r="I766" s="39">
        <v>1078</v>
      </c>
      <c r="J766" s="39"/>
      <c r="K766" s="39"/>
      <c r="L766" s="39">
        <f t="shared" si="490"/>
        <v>1078</v>
      </c>
      <c r="M766" s="117">
        <v>46260</v>
      </c>
      <c r="N766" s="117">
        <v>46269</v>
      </c>
      <c r="O766" s="39"/>
      <c r="P766" s="39"/>
      <c r="Q766" s="39"/>
      <c r="R766" s="39">
        <f t="shared" si="491"/>
        <v>0</v>
      </c>
      <c r="S766" s="39" t="s">
        <v>130</v>
      </c>
      <c r="T766" s="39" t="s">
        <v>3030</v>
      </c>
      <c r="U766" s="117" t="s">
        <v>3031</v>
      </c>
      <c r="V766" s="39"/>
      <c r="W766" s="39"/>
      <c r="X766" s="39"/>
      <c r="Y766" s="39">
        <f>733+737-160</f>
        <v>1310</v>
      </c>
      <c r="Z766" s="39"/>
      <c r="AA766" s="39"/>
      <c r="AB766" s="119">
        <f t="shared" si="492"/>
        <v>1310</v>
      </c>
      <c r="AC766" s="39"/>
      <c r="AD766" s="39"/>
      <c r="AE766" s="39"/>
      <c r="AF766" s="39"/>
      <c r="AG766" s="39"/>
      <c r="AH766" s="39">
        <f t="shared" si="483"/>
        <v>0</v>
      </c>
      <c r="AI766" s="39"/>
      <c r="AJ766" s="39"/>
      <c r="AK766" s="39"/>
      <c r="AL766" s="39"/>
      <c r="AM766" s="39"/>
      <c r="AN766" s="39">
        <f t="shared" si="489"/>
        <v>0</v>
      </c>
      <c r="AO766" s="39"/>
      <c r="AP766" s="39"/>
      <c r="AQ766" s="39"/>
      <c r="AR766" s="39"/>
      <c r="AS766" s="39"/>
      <c r="AT766" s="39">
        <f t="shared" si="493"/>
        <v>0</v>
      </c>
      <c r="AU766" s="39"/>
      <c r="AV766" s="39"/>
      <c r="AW766" s="39"/>
      <c r="AX766" s="39"/>
      <c r="AY766" s="39"/>
      <c r="AZ766" s="39">
        <f t="shared" si="494"/>
        <v>0</v>
      </c>
      <c r="BA766" s="39"/>
      <c r="BB766" s="39"/>
      <c r="BC766" s="39"/>
      <c r="BD766" s="39"/>
      <c r="BE766" s="39"/>
      <c r="BF766" s="39">
        <f t="shared" si="495"/>
        <v>0</v>
      </c>
      <c r="BG766" s="39"/>
      <c r="BH766" s="39"/>
      <c r="BI766" s="39"/>
      <c r="BJ766" s="39"/>
      <c r="BK766" s="39"/>
      <c r="BL766" s="39">
        <f t="shared" si="484"/>
        <v>0</v>
      </c>
      <c r="BM766" s="54" t="str">
        <f t="shared" si="496"/>
        <v/>
      </c>
      <c r="BN766" s="58">
        <v>46272</v>
      </c>
      <c r="BO766" s="57">
        <v>46282</v>
      </c>
      <c r="BP766" s="36"/>
      <c r="BQ766" s="36"/>
      <c r="BR766" s="57">
        <v>46272</v>
      </c>
      <c r="BS766" s="117">
        <v>46282</v>
      </c>
      <c r="BT766" s="39" t="s">
        <v>3092</v>
      </c>
      <c r="BU766" s="39">
        <f>659+440</f>
        <v>1099</v>
      </c>
      <c r="BV766" s="39"/>
      <c r="BW766" s="39"/>
      <c r="BX766" s="39"/>
      <c r="BY766" s="39"/>
      <c r="BZ766" s="39">
        <f t="shared" si="485"/>
        <v>1099</v>
      </c>
      <c r="CA766" s="39">
        <f t="shared" si="497"/>
        <v>21</v>
      </c>
      <c r="CB766" s="39">
        <f t="shared" si="498"/>
        <v>0</v>
      </c>
      <c r="CC766" s="39">
        <f t="shared" si="499"/>
        <v>0</v>
      </c>
      <c r="CD766" s="39">
        <f t="shared" si="500"/>
        <v>0</v>
      </c>
      <c r="CE766" s="102">
        <f t="shared" si="501"/>
        <v>0</v>
      </c>
      <c r="CF766" s="36" t="s">
        <v>294</v>
      </c>
      <c r="CG766" s="39" t="s">
        <v>231</v>
      </c>
      <c r="CH766" s="39"/>
      <c r="CI766" s="25">
        <v>1</v>
      </c>
    </row>
    <row r="767" spans="1:87" ht="24.75" customHeight="1">
      <c r="A767" s="36" t="s">
        <v>388</v>
      </c>
      <c r="B767" s="27" t="s">
        <v>2542</v>
      </c>
      <c r="C767" s="240"/>
      <c r="D767" s="36"/>
      <c r="E767" s="39">
        <v>140</v>
      </c>
      <c r="F767" s="39" t="s">
        <v>55</v>
      </c>
      <c r="G767" s="36" t="s">
        <v>23</v>
      </c>
      <c r="H767" s="36" t="s">
        <v>22</v>
      </c>
      <c r="I767" s="39">
        <v>172</v>
      </c>
      <c r="J767" s="39"/>
      <c r="K767" s="39"/>
      <c r="L767" s="39">
        <f t="shared" si="490"/>
        <v>172</v>
      </c>
      <c r="M767" s="117">
        <v>46260</v>
      </c>
      <c r="N767" s="117">
        <v>46269</v>
      </c>
      <c r="O767" s="39"/>
      <c r="P767" s="39"/>
      <c r="Q767" s="39"/>
      <c r="R767" s="39">
        <f t="shared" si="491"/>
        <v>0</v>
      </c>
      <c r="S767" s="39" t="s">
        <v>100</v>
      </c>
      <c r="T767" s="39"/>
      <c r="U767" s="39"/>
      <c r="V767" s="117">
        <v>46273</v>
      </c>
      <c r="W767" s="39">
        <v>203</v>
      </c>
      <c r="X767" s="39"/>
      <c r="Y767" s="39"/>
      <c r="Z767" s="39"/>
      <c r="AA767" s="39"/>
      <c r="AB767" s="118">
        <f t="shared" si="492"/>
        <v>0</v>
      </c>
      <c r="AC767" s="39"/>
      <c r="AD767" s="39"/>
      <c r="AE767" s="39"/>
      <c r="AF767" s="39"/>
      <c r="AG767" s="39"/>
      <c r="AH767" s="39">
        <f t="shared" si="483"/>
        <v>0</v>
      </c>
      <c r="AI767" s="39"/>
      <c r="AJ767" s="39"/>
      <c r="AK767" s="39"/>
      <c r="AL767" s="39"/>
      <c r="AM767" s="39"/>
      <c r="AN767" s="39">
        <f t="shared" si="489"/>
        <v>0</v>
      </c>
      <c r="AO767" s="39"/>
      <c r="AP767" s="39"/>
      <c r="AQ767" s="39"/>
      <c r="AR767" s="39"/>
      <c r="AS767" s="39"/>
      <c r="AT767" s="39">
        <f t="shared" si="493"/>
        <v>0</v>
      </c>
      <c r="AU767" s="39"/>
      <c r="AV767" s="39"/>
      <c r="AW767" s="39"/>
      <c r="AX767" s="39"/>
      <c r="AY767" s="39"/>
      <c r="AZ767" s="39">
        <f t="shared" si="494"/>
        <v>0</v>
      </c>
      <c r="BA767" s="39"/>
      <c r="BB767" s="39"/>
      <c r="BC767" s="39"/>
      <c r="BD767" s="39"/>
      <c r="BE767" s="39"/>
      <c r="BF767" s="39">
        <f t="shared" si="495"/>
        <v>0</v>
      </c>
      <c r="BG767" s="39"/>
      <c r="BH767" s="39"/>
      <c r="BI767" s="39"/>
      <c r="BJ767" s="39"/>
      <c r="BK767" s="39"/>
      <c r="BL767" s="39">
        <f t="shared" si="484"/>
        <v>0</v>
      </c>
      <c r="BM767" s="54">
        <f t="shared" ca="1" si="496"/>
        <v>46283</v>
      </c>
      <c r="BN767" s="58">
        <v>46272</v>
      </c>
      <c r="BO767" s="57">
        <v>46282</v>
      </c>
      <c r="BP767" s="36"/>
      <c r="BQ767" s="36"/>
      <c r="BR767" s="39"/>
      <c r="BS767" s="39"/>
      <c r="BT767" s="39"/>
      <c r="BU767" s="39"/>
      <c r="BV767" s="39"/>
      <c r="BW767" s="39"/>
      <c r="BX767" s="39"/>
      <c r="BY767" s="39"/>
      <c r="BZ767" s="39">
        <f t="shared" si="485"/>
        <v>0</v>
      </c>
      <c r="CA767" s="39">
        <f t="shared" si="497"/>
        <v>-172</v>
      </c>
      <c r="CB767" s="39">
        <f t="shared" si="498"/>
        <v>0</v>
      </c>
      <c r="CC767" s="39">
        <f t="shared" si="499"/>
        <v>0</v>
      </c>
      <c r="CD767" s="39">
        <f t="shared" si="500"/>
        <v>-172</v>
      </c>
      <c r="CE767" s="102">
        <f t="shared" si="501"/>
        <v>-1</v>
      </c>
      <c r="CF767" s="36" t="s">
        <v>294</v>
      </c>
      <c r="CG767" s="39" t="s">
        <v>231</v>
      </c>
      <c r="CH767" s="39"/>
      <c r="CI767" s="25">
        <v>1</v>
      </c>
    </row>
    <row r="768" spans="1:87" ht="24.75" customHeight="1">
      <c r="A768" s="36" t="s">
        <v>388</v>
      </c>
      <c r="B768" s="27" t="s">
        <v>2542</v>
      </c>
      <c r="C768" s="240"/>
      <c r="D768" s="36"/>
      <c r="E768" s="39">
        <v>140</v>
      </c>
      <c r="F768" s="39" t="s">
        <v>55</v>
      </c>
      <c r="G768" s="36" t="s">
        <v>21</v>
      </c>
      <c r="H768" s="36" t="s">
        <v>22</v>
      </c>
      <c r="I768" s="39">
        <v>133</v>
      </c>
      <c r="J768" s="39"/>
      <c r="K768" s="39"/>
      <c r="L768" s="39">
        <f t="shared" ref="L768:L773" si="503">SUM(I768:K768)</f>
        <v>133</v>
      </c>
      <c r="M768" s="117">
        <v>46260</v>
      </c>
      <c r="N768" s="117">
        <v>46269</v>
      </c>
      <c r="O768" s="39"/>
      <c r="P768" s="39"/>
      <c r="Q768" s="39"/>
      <c r="R768" s="39">
        <f t="shared" si="491"/>
        <v>0</v>
      </c>
      <c r="S768" s="39" t="s">
        <v>130</v>
      </c>
      <c r="T768" s="39">
        <v>109399</v>
      </c>
      <c r="U768" s="117">
        <v>46279</v>
      </c>
      <c r="V768" s="39"/>
      <c r="W768" s="39"/>
      <c r="X768" s="39"/>
      <c r="Y768" s="39">
        <v>160</v>
      </c>
      <c r="Z768" s="39"/>
      <c r="AA768" s="39"/>
      <c r="AB768" s="119">
        <f t="shared" si="492"/>
        <v>160</v>
      </c>
      <c r="AC768" s="39"/>
      <c r="AD768" s="39"/>
      <c r="AE768" s="39"/>
      <c r="AF768" s="39"/>
      <c r="AG768" s="39"/>
      <c r="AH768" s="39">
        <f t="shared" si="483"/>
        <v>0</v>
      </c>
      <c r="AI768" s="39"/>
      <c r="AJ768" s="39"/>
      <c r="AK768" s="39"/>
      <c r="AL768" s="39"/>
      <c r="AM768" s="39"/>
      <c r="AN768" s="39">
        <f t="shared" si="489"/>
        <v>0</v>
      </c>
      <c r="AO768" s="39"/>
      <c r="AP768" s="39"/>
      <c r="AQ768" s="39"/>
      <c r="AR768" s="39"/>
      <c r="AS768" s="39"/>
      <c r="AT768" s="39">
        <f t="shared" si="493"/>
        <v>0</v>
      </c>
      <c r="AU768" s="39"/>
      <c r="AV768" s="39"/>
      <c r="AW768" s="39"/>
      <c r="AX768" s="39"/>
      <c r="AY768" s="39"/>
      <c r="AZ768" s="39">
        <f t="shared" si="494"/>
        <v>0</v>
      </c>
      <c r="BA768" s="39"/>
      <c r="BB768" s="39"/>
      <c r="BC768" s="39"/>
      <c r="BD768" s="39"/>
      <c r="BE768" s="39"/>
      <c r="BF768" s="39">
        <f t="shared" si="495"/>
        <v>0</v>
      </c>
      <c r="BG768" s="39"/>
      <c r="BH768" s="39"/>
      <c r="BI768" s="39"/>
      <c r="BJ768" s="39"/>
      <c r="BK768" s="39"/>
      <c r="BL768" s="39">
        <f t="shared" si="484"/>
        <v>0</v>
      </c>
      <c r="BM768" s="54" t="str">
        <f t="shared" si="496"/>
        <v/>
      </c>
      <c r="BN768" s="58">
        <v>46272</v>
      </c>
      <c r="BO768" s="57">
        <v>46282</v>
      </c>
      <c r="BP768" s="36"/>
      <c r="BQ768" s="36"/>
      <c r="BR768" s="117">
        <v>46282</v>
      </c>
      <c r="BS768" s="117">
        <v>46282</v>
      </c>
      <c r="BT768" s="39">
        <v>910</v>
      </c>
      <c r="BU768" s="39">
        <v>133</v>
      </c>
      <c r="BV768" s="39"/>
      <c r="BW768" s="39"/>
      <c r="BX768" s="39"/>
      <c r="BY768" s="39"/>
      <c r="BZ768" s="39">
        <f t="shared" si="485"/>
        <v>133</v>
      </c>
      <c r="CA768" s="39">
        <f t="shared" si="497"/>
        <v>0</v>
      </c>
      <c r="CB768" s="39">
        <f t="shared" si="498"/>
        <v>0</v>
      </c>
      <c r="CC768" s="39">
        <f t="shared" si="499"/>
        <v>0</v>
      </c>
      <c r="CD768" s="39">
        <f t="shared" si="500"/>
        <v>0</v>
      </c>
      <c r="CE768" s="102">
        <f t="shared" si="501"/>
        <v>0</v>
      </c>
      <c r="CF768" s="36" t="s">
        <v>294</v>
      </c>
      <c r="CG768" s="39" t="s">
        <v>231</v>
      </c>
      <c r="CH768" s="39"/>
      <c r="CI768" s="25">
        <v>1</v>
      </c>
    </row>
    <row r="769" spans="1:87" ht="24.75" customHeight="1">
      <c r="A769" s="36" t="s">
        <v>388</v>
      </c>
      <c r="B769" s="27" t="s">
        <v>2542</v>
      </c>
      <c r="C769" s="236"/>
      <c r="D769" s="36"/>
      <c r="E769" s="39">
        <v>140</v>
      </c>
      <c r="F769" s="39" t="s">
        <v>55</v>
      </c>
      <c r="G769" s="36" t="s">
        <v>21</v>
      </c>
      <c r="H769" s="36" t="s">
        <v>22</v>
      </c>
      <c r="I769" s="39">
        <v>74</v>
      </c>
      <c r="J769" s="39"/>
      <c r="K769" s="39"/>
      <c r="L769" s="39">
        <f t="shared" si="503"/>
        <v>74</v>
      </c>
      <c r="M769" s="117">
        <v>46260</v>
      </c>
      <c r="N769" s="117">
        <v>46269</v>
      </c>
      <c r="O769" s="39"/>
      <c r="P769" s="39"/>
      <c r="Q769" s="39"/>
      <c r="R769" s="39">
        <f t="shared" si="491"/>
        <v>0</v>
      </c>
      <c r="S769" s="39" t="s">
        <v>130</v>
      </c>
      <c r="T769" s="39"/>
      <c r="U769" s="39"/>
      <c r="V769" s="39"/>
      <c r="W769" s="39"/>
      <c r="X769" s="39"/>
      <c r="Y769" s="39"/>
      <c r="Z769" s="39"/>
      <c r="AA769" s="39"/>
      <c r="AB769" s="118">
        <f t="shared" si="492"/>
        <v>0</v>
      </c>
      <c r="AC769" s="39"/>
      <c r="AD769" s="39"/>
      <c r="AE769" s="39"/>
      <c r="AF769" s="39"/>
      <c r="AG769" s="39"/>
      <c r="AH769" s="39">
        <f t="shared" si="483"/>
        <v>0</v>
      </c>
      <c r="AI769" s="39"/>
      <c r="AJ769" s="39"/>
      <c r="AK769" s="39"/>
      <c r="AL769" s="39"/>
      <c r="AM769" s="39"/>
      <c r="AN769" s="39">
        <f t="shared" si="489"/>
        <v>0</v>
      </c>
      <c r="AO769" s="39"/>
      <c r="AP769" s="39"/>
      <c r="AQ769" s="39"/>
      <c r="AR769" s="39"/>
      <c r="AS769" s="39"/>
      <c r="AT769" s="39">
        <f t="shared" si="493"/>
        <v>0</v>
      </c>
      <c r="AU769" s="39"/>
      <c r="AV769" s="39"/>
      <c r="AW769" s="39"/>
      <c r="AX769" s="39"/>
      <c r="AY769" s="39"/>
      <c r="AZ769" s="39">
        <f t="shared" si="494"/>
        <v>0</v>
      </c>
      <c r="BA769" s="39"/>
      <c r="BB769" s="39"/>
      <c r="BC769" s="39"/>
      <c r="BD769" s="39"/>
      <c r="BE769" s="39"/>
      <c r="BF769" s="39">
        <f t="shared" si="495"/>
        <v>0</v>
      </c>
      <c r="BG769" s="39"/>
      <c r="BH769" s="39"/>
      <c r="BI769" s="39"/>
      <c r="BJ769" s="39"/>
      <c r="BK769" s="39"/>
      <c r="BL769" s="39">
        <f t="shared" si="484"/>
        <v>0</v>
      </c>
      <c r="BM769" s="54" t="str">
        <f t="shared" si="496"/>
        <v/>
      </c>
      <c r="BN769" s="58">
        <v>46272</v>
      </c>
      <c r="BO769" s="57">
        <v>46282</v>
      </c>
      <c r="BP769" s="36"/>
      <c r="BQ769" s="36"/>
      <c r="BR769" s="117">
        <v>46282</v>
      </c>
      <c r="BS769" s="117">
        <v>46282</v>
      </c>
      <c r="BT769" s="39">
        <v>910</v>
      </c>
      <c r="BU769" s="39">
        <v>75</v>
      </c>
      <c r="BV769" s="39"/>
      <c r="BW769" s="39"/>
      <c r="BX769" s="39"/>
      <c r="BY769" s="39"/>
      <c r="BZ769" s="39">
        <f t="shared" si="485"/>
        <v>75</v>
      </c>
      <c r="CA769" s="39">
        <f t="shared" si="497"/>
        <v>1</v>
      </c>
      <c r="CB769" s="39">
        <f t="shared" si="498"/>
        <v>0</v>
      </c>
      <c r="CC769" s="39">
        <f t="shared" si="499"/>
        <v>0</v>
      </c>
      <c r="CD769" s="39">
        <f t="shared" si="500"/>
        <v>0</v>
      </c>
      <c r="CE769" s="102">
        <f t="shared" si="501"/>
        <v>0</v>
      </c>
      <c r="CF769" s="36" t="s">
        <v>294</v>
      </c>
      <c r="CG769" s="39" t="s">
        <v>231</v>
      </c>
      <c r="CH769" s="39"/>
      <c r="CI769" s="25">
        <v>1</v>
      </c>
    </row>
    <row r="770" spans="1:87" ht="24.75" customHeight="1">
      <c r="A770" s="36" t="s">
        <v>388</v>
      </c>
      <c r="B770" s="27" t="s">
        <v>2544</v>
      </c>
      <c r="C770" s="235" t="s">
        <v>2545</v>
      </c>
      <c r="D770" s="36"/>
      <c r="E770" s="39">
        <v>220</v>
      </c>
      <c r="F770" s="39" t="s">
        <v>55</v>
      </c>
      <c r="G770" s="36" t="s">
        <v>23</v>
      </c>
      <c r="H770" s="36" t="s">
        <v>210</v>
      </c>
      <c r="I770" s="39">
        <v>1629</v>
      </c>
      <c r="J770" s="39"/>
      <c r="K770" s="39"/>
      <c r="L770" s="39">
        <f t="shared" si="503"/>
        <v>1629</v>
      </c>
      <c r="M770" s="117">
        <v>46261</v>
      </c>
      <c r="N770" s="117">
        <v>46272</v>
      </c>
      <c r="O770" s="39"/>
      <c r="P770" s="39"/>
      <c r="Q770" s="39"/>
      <c r="R770" s="39">
        <f t="shared" si="491"/>
        <v>0</v>
      </c>
      <c r="S770" s="39" t="s">
        <v>100</v>
      </c>
      <c r="T770" s="39"/>
      <c r="U770" s="39"/>
      <c r="V770" s="117" t="s">
        <v>2857</v>
      </c>
      <c r="W770" s="39">
        <f>660+1212-125</f>
        <v>1747</v>
      </c>
      <c r="X770" s="39"/>
      <c r="Y770" s="39"/>
      <c r="Z770" s="39"/>
      <c r="AA770" s="39"/>
      <c r="AB770" s="118">
        <f t="shared" si="492"/>
        <v>0</v>
      </c>
      <c r="AC770" s="39"/>
      <c r="AD770" s="39"/>
      <c r="AE770" s="39"/>
      <c r="AF770" s="39"/>
      <c r="AG770" s="39"/>
      <c r="AH770" s="39">
        <f t="shared" si="483"/>
        <v>0</v>
      </c>
      <c r="AI770" s="39"/>
      <c r="AJ770" s="39"/>
      <c r="AK770" s="39"/>
      <c r="AL770" s="39"/>
      <c r="AM770" s="39"/>
      <c r="AN770" s="39">
        <f t="shared" si="489"/>
        <v>0</v>
      </c>
      <c r="AO770" s="39"/>
      <c r="AP770" s="39"/>
      <c r="AQ770" s="39"/>
      <c r="AR770" s="39"/>
      <c r="AS770" s="39"/>
      <c r="AT770" s="39">
        <f t="shared" si="493"/>
        <v>0</v>
      </c>
      <c r="AU770" s="39"/>
      <c r="AV770" s="39"/>
      <c r="AW770" s="39"/>
      <c r="AX770" s="39"/>
      <c r="AY770" s="39"/>
      <c r="AZ770" s="39">
        <f t="shared" si="494"/>
        <v>0</v>
      </c>
      <c r="BA770" s="39"/>
      <c r="BB770" s="39"/>
      <c r="BC770" s="39"/>
      <c r="BD770" s="39"/>
      <c r="BE770" s="39"/>
      <c r="BF770" s="39">
        <f t="shared" si="495"/>
        <v>0</v>
      </c>
      <c r="BG770" s="39"/>
      <c r="BH770" s="39"/>
      <c r="BI770" s="39"/>
      <c r="BJ770" s="39"/>
      <c r="BK770" s="39"/>
      <c r="BL770" s="39">
        <f t="shared" si="484"/>
        <v>0</v>
      </c>
      <c r="BM770" s="54">
        <f t="shared" ca="1" si="496"/>
        <v>46283</v>
      </c>
      <c r="BN770" s="58">
        <v>46275</v>
      </c>
      <c r="BO770" s="57">
        <v>46286</v>
      </c>
      <c r="BP770" s="36"/>
      <c r="BQ770" s="36"/>
      <c r="BR770" s="39"/>
      <c r="BS770" s="39"/>
      <c r="BT770" s="39"/>
      <c r="BU770" s="39"/>
      <c r="BV770" s="39"/>
      <c r="BW770" s="39"/>
      <c r="BX770" s="39"/>
      <c r="BY770" s="39"/>
      <c r="BZ770" s="39">
        <f t="shared" si="485"/>
        <v>0</v>
      </c>
      <c r="CA770" s="39">
        <f t="shared" si="497"/>
        <v>-1629</v>
      </c>
      <c r="CB770" s="39">
        <f t="shared" si="498"/>
        <v>0</v>
      </c>
      <c r="CC770" s="39">
        <f t="shared" si="499"/>
        <v>0</v>
      </c>
      <c r="CD770" s="39">
        <f t="shared" si="500"/>
        <v>-1629</v>
      </c>
      <c r="CE770" s="102">
        <f t="shared" si="501"/>
        <v>-1</v>
      </c>
      <c r="CF770" s="36" t="s">
        <v>294</v>
      </c>
      <c r="CG770" s="39" t="s">
        <v>231</v>
      </c>
      <c r="CH770" s="39"/>
      <c r="CI770" s="25">
        <v>1</v>
      </c>
    </row>
    <row r="771" spans="1:87" ht="24.75" customHeight="1">
      <c r="A771" s="36" t="s">
        <v>388</v>
      </c>
      <c r="B771" s="27" t="s">
        <v>2544</v>
      </c>
      <c r="C771" s="236"/>
      <c r="D771" s="36"/>
      <c r="E771" s="39">
        <v>220</v>
      </c>
      <c r="F771" s="39" t="s">
        <v>55</v>
      </c>
      <c r="G771" s="36" t="s">
        <v>23</v>
      </c>
      <c r="H771" s="36" t="s">
        <v>210</v>
      </c>
      <c r="I771" s="39">
        <v>109</v>
      </c>
      <c r="J771" s="39"/>
      <c r="K771" s="39"/>
      <c r="L771" s="39">
        <f t="shared" si="503"/>
        <v>109</v>
      </c>
      <c r="M771" s="117">
        <v>46261</v>
      </c>
      <c r="N771" s="117">
        <v>46272</v>
      </c>
      <c r="O771" s="39"/>
      <c r="P771" s="39"/>
      <c r="Q771" s="39"/>
      <c r="R771" s="39">
        <f t="shared" si="491"/>
        <v>0</v>
      </c>
      <c r="S771" s="39" t="s">
        <v>100</v>
      </c>
      <c r="T771" s="39"/>
      <c r="U771" s="39"/>
      <c r="V771" s="117">
        <v>46273</v>
      </c>
      <c r="W771" s="39">
        <v>125</v>
      </c>
      <c r="X771" s="39"/>
      <c r="Y771" s="39"/>
      <c r="Z771" s="39"/>
      <c r="AA771" s="39"/>
      <c r="AB771" s="118">
        <f t="shared" si="492"/>
        <v>0</v>
      </c>
      <c r="AC771" s="39"/>
      <c r="AD771" s="39"/>
      <c r="AE771" s="39"/>
      <c r="AF771" s="39"/>
      <c r="AG771" s="39"/>
      <c r="AH771" s="39">
        <f t="shared" si="483"/>
        <v>0</v>
      </c>
      <c r="AI771" s="39"/>
      <c r="AJ771" s="39"/>
      <c r="AK771" s="39"/>
      <c r="AL771" s="39"/>
      <c r="AM771" s="39"/>
      <c r="AN771" s="39">
        <f t="shared" si="489"/>
        <v>0</v>
      </c>
      <c r="AO771" s="39"/>
      <c r="AP771" s="39"/>
      <c r="AQ771" s="39"/>
      <c r="AR771" s="39"/>
      <c r="AS771" s="39"/>
      <c r="AT771" s="39">
        <f t="shared" si="493"/>
        <v>0</v>
      </c>
      <c r="AU771" s="39"/>
      <c r="AV771" s="39"/>
      <c r="AW771" s="39"/>
      <c r="AX771" s="39"/>
      <c r="AY771" s="39"/>
      <c r="AZ771" s="39">
        <f t="shared" si="494"/>
        <v>0</v>
      </c>
      <c r="BA771" s="39"/>
      <c r="BB771" s="39"/>
      <c r="BC771" s="39"/>
      <c r="BD771" s="39"/>
      <c r="BE771" s="39"/>
      <c r="BF771" s="39">
        <f t="shared" si="495"/>
        <v>0</v>
      </c>
      <c r="BG771" s="39"/>
      <c r="BH771" s="39"/>
      <c r="BI771" s="39"/>
      <c r="BJ771" s="39"/>
      <c r="BK771" s="39"/>
      <c r="BL771" s="39">
        <f t="shared" si="484"/>
        <v>0</v>
      </c>
      <c r="BM771" s="54">
        <f t="shared" ca="1" si="496"/>
        <v>46283</v>
      </c>
      <c r="BN771" s="58">
        <v>46275</v>
      </c>
      <c r="BO771" s="57">
        <v>46286</v>
      </c>
      <c r="BP771" s="36"/>
      <c r="BQ771" s="36"/>
      <c r="BR771" s="39"/>
      <c r="BS771" s="39"/>
      <c r="BT771" s="39"/>
      <c r="BU771" s="39"/>
      <c r="BV771" s="39"/>
      <c r="BW771" s="39"/>
      <c r="BX771" s="39"/>
      <c r="BY771" s="39"/>
      <c r="BZ771" s="39">
        <f t="shared" si="485"/>
        <v>0</v>
      </c>
      <c r="CA771" s="39">
        <f t="shared" si="497"/>
        <v>-109</v>
      </c>
      <c r="CB771" s="39">
        <f t="shared" si="498"/>
        <v>0</v>
      </c>
      <c r="CC771" s="39">
        <f t="shared" si="499"/>
        <v>0</v>
      </c>
      <c r="CD771" s="39">
        <f t="shared" si="500"/>
        <v>-109</v>
      </c>
      <c r="CE771" s="102">
        <f t="shared" si="501"/>
        <v>-1</v>
      </c>
      <c r="CF771" s="36" t="s">
        <v>294</v>
      </c>
      <c r="CG771" s="39" t="s">
        <v>231</v>
      </c>
      <c r="CH771" s="39"/>
      <c r="CI771" s="25">
        <v>1</v>
      </c>
    </row>
    <row r="772" spans="1:87" ht="24.75" customHeight="1">
      <c r="A772" s="36" t="s">
        <v>388</v>
      </c>
      <c r="B772" s="27" t="s">
        <v>2559</v>
      </c>
      <c r="C772" s="41">
        <v>15370919</v>
      </c>
      <c r="D772" s="36"/>
      <c r="E772" s="39">
        <v>180</v>
      </c>
      <c r="F772" s="39" t="s">
        <v>55</v>
      </c>
      <c r="G772" s="36" t="s">
        <v>23</v>
      </c>
      <c r="H772" s="36" t="s">
        <v>87</v>
      </c>
      <c r="I772" s="39">
        <v>160</v>
      </c>
      <c r="J772" s="39"/>
      <c r="K772" s="39"/>
      <c r="L772" s="39">
        <f t="shared" si="503"/>
        <v>160</v>
      </c>
      <c r="M772" s="117">
        <v>46266</v>
      </c>
      <c r="N772" s="117">
        <v>46270</v>
      </c>
      <c r="O772" s="39"/>
      <c r="P772" s="39"/>
      <c r="Q772" s="39"/>
      <c r="R772" s="39">
        <f t="shared" si="491"/>
        <v>0</v>
      </c>
      <c r="S772" s="39" t="s">
        <v>31</v>
      </c>
      <c r="T772" s="39"/>
      <c r="U772" s="39"/>
      <c r="V772" s="117">
        <v>46267</v>
      </c>
      <c r="W772" s="39">
        <v>190</v>
      </c>
      <c r="X772" s="39"/>
      <c r="Y772" s="39"/>
      <c r="Z772" s="39"/>
      <c r="AA772" s="39"/>
      <c r="AB772" s="118">
        <f t="shared" si="492"/>
        <v>0</v>
      </c>
      <c r="AC772" s="39"/>
      <c r="AD772" s="39"/>
      <c r="AE772" s="39"/>
      <c r="AF772" s="39"/>
      <c r="AG772" s="39"/>
      <c r="AH772" s="39">
        <f t="shared" si="483"/>
        <v>0</v>
      </c>
      <c r="AI772" s="39"/>
      <c r="AJ772" s="39"/>
      <c r="AK772" s="39"/>
      <c r="AL772" s="39"/>
      <c r="AM772" s="39"/>
      <c r="AN772" s="39">
        <f t="shared" si="489"/>
        <v>0</v>
      </c>
      <c r="AO772" s="39"/>
      <c r="AP772" s="39"/>
      <c r="AQ772" s="39"/>
      <c r="AR772" s="39"/>
      <c r="AS772" s="39"/>
      <c r="AT772" s="39">
        <f t="shared" si="493"/>
        <v>0</v>
      </c>
      <c r="AU772" s="39"/>
      <c r="AV772" s="39"/>
      <c r="AW772" s="39"/>
      <c r="AX772" s="39"/>
      <c r="AY772" s="39"/>
      <c r="AZ772" s="39">
        <f t="shared" si="494"/>
        <v>0</v>
      </c>
      <c r="BA772" s="39"/>
      <c r="BB772" s="39"/>
      <c r="BC772" s="39"/>
      <c r="BD772" s="39"/>
      <c r="BE772" s="39"/>
      <c r="BF772" s="39">
        <f t="shared" si="495"/>
        <v>0</v>
      </c>
      <c r="BG772" s="39"/>
      <c r="BH772" s="39"/>
      <c r="BI772" s="39"/>
      <c r="BJ772" s="39"/>
      <c r="BK772" s="39"/>
      <c r="BL772" s="39">
        <f t="shared" si="484"/>
        <v>0</v>
      </c>
      <c r="BM772" s="54">
        <f t="shared" ca="1" si="496"/>
        <v>46283</v>
      </c>
      <c r="BN772" s="58">
        <v>46275</v>
      </c>
      <c r="BO772" s="57">
        <v>46286</v>
      </c>
      <c r="BP772" s="36"/>
      <c r="BQ772" s="36"/>
      <c r="BR772" s="39"/>
      <c r="BS772" s="39"/>
      <c r="BT772" s="39"/>
      <c r="BU772" s="39"/>
      <c r="BV772" s="39"/>
      <c r="BW772" s="39"/>
      <c r="BX772" s="39"/>
      <c r="BY772" s="39"/>
      <c r="BZ772" s="39">
        <f t="shared" si="485"/>
        <v>0</v>
      </c>
      <c r="CA772" s="39">
        <f t="shared" si="497"/>
        <v>-160</v>
      </c>
      <c r="CB772" s="39">
        <f t="shared" si="498"/>
        <v>0</v>
      </c>
      <c r="CC772" s="39">
        <f t="shared" si="499"/>
        <v>0</v>
      </c>
      <c r="CD772" s="39">
        <f t="shared" si="500"/>
        <v>-160</v>
      </c>
      <c r="CE772" s="102">
        <f t="shared" si="501"/>
        <v>-1</v>
      </c>
      <c r="CF772" s="36" t="s">
        <v>266</v>
      </c>
      <c r="CG772" s="39" t="s">
        <v>224</v>
      </c>
      <c r="CH772" s="39"/>
      <c r="CI772" s="25">
        <v>1</v>
      </c>
    </row>
    <row r="773" spans="1:87" ht="24.75" customHeight="1">
      <c r="A773" s="36" t="s">
        <v>388</v>
      </c>
      <c r="B773" s="27" t="s">
        <v>2560</v>
      </c>
      <c r="C773" s="41">
        <v>15368742</v>
      </c>
      <c r="D773" s="36"/>
      <c r="E773" s="39">
        <v>140</v>
      </c>
      <c r="F773" s="39" t="s">
        <v>54</v>
      </c>
      <c r="G773" s="36" t="s">
        <v>2443</v>
      </c>
      <c r="H773" s="36" t="s">
        <v>22</v>
      </c>
      <c r="I773" s="39">
        <v>380</v>
      </c>
      <c r="J773" s="39"/>
      <c r="K773" s="39"/>
      <c r="L773" s="39">
        <f t="shared" si="503"/>
        <v>380</v>
      </c>
      <c r="M773" s="117">
        <v>46266</v>
      </c>
      <c r="N773" s="117">
        <v>46270</v>
      </c>
      <c r="O773" s="39"/>
      <c r="P773" s="39"/>
      <c r="Q773" s="39"/>
      <c r="R773" s="39">
        <f t="shared" si="491"/>
        <v>0</v>
      </c>
      <c r="S773" s="39" t="s">
        <v>28</v>
      </c>
      <c r="T773" s="39"/>
      <c r="U773" s="39"/>
      <c r="V773" s="39"/>
      <c r="W773" s="39"/>
      <c r="X773" s="39"/>
      <c r="Y773" s="39"/>
      <c r="Z773" s="39"/>
      <c r="AA773" s="39"/>
      <c r="AB773" s="118">
        <f t="shared" si="492"/>
        <v>0</v>
      </c>
      <c r="AC773" s="39"/>
      <c r="AD773" s="39"/>
      <c r="AE773" s="39"/>
      <c r="AF773" s="39"/>
      <c r="AG773" s="39"/>
      <c r="AH773" s="39">
        <f t="shared" si="483"/>
        <v>0</v>
      </c>
      <c r="AI773" s="39"/>
      <c r="AJ773" s="39"/>
      <c r="AK773" s="39"/>
      <c r="AL773" s="39"/>
      <c r="AM773" s="39"/>
      <c r="AN773" s="39">
        <f t="shared" si="489"/>
        <v>0</v>
      </c>
      <c r="AO773" s="39"/>
      <c r="AP773" s="39"/>
      <c r="AQ773" s="39"/>
      <c r="AR773" s="39"/>
      <c r="AS773" s="39"/>
      <c r="AT773" s="39">
        <f t="shared" si="493"/>
        <v>0</v>
      </c>
      <c r="AU773" s="39"/>
      <c r="AV773" s="39"/>
      <c r="AW773" s="39"/>
      <c r="AX773" s="39"/>
      <c r="AY773" s="39"/>
      <c r="AZ773" s="39">
        <f t="shared" si="494"/>
        <v>0</v>
      </c>
      <c r="BA773" s="39"/>
      <c r="BB773" s="39"/>
      <c r="BC773" s="39"/>
      <c r="BD773" s="39"/>
      <c r="BE773" s="39"/>
      <c r="BF773" s="39">
        <f t="shared" si="495"/>
        <v>0</v>
      </c>
      <c r="BG773" s="39"/>
      <c r="BH773" s="39"/>
      <c r="BI773" s="39"/>
      <c r="BJ773" s="39"/>
      <c r="BK773" s="39"/>
      <c r="BL773" s="39">
        <f t="shared" si="484"/>
        <v>0</v>
      </c>
      <c r="BM773" s="54">
        <f t="shared" ca="1" si="496"/>
        <v>46283</v>
      </c>
      <c r="BN773" s="58">
        <v>46275</v>
      </c>
      <c r="BO773" s="57">
        <v>46286</v>
      </c>
      <c r="BP773" s="36"/>
      <c r="BQ773" s="36"/>
      <c r="BR773" s="39"/>
      <c r="BS773" s="39"/>
      <c r="BT773" s="39"/>
      <c r="BU773" s="39"/>
      <c r="BV773" s="39"/>
      <c r="BW773" s="39"/>
      <c r="BX773" s="39"/>
      <c r="BY773" s="39"/>
      <c r="BZ773" s="39">
        <f t="shared" si="485"/>
        <v>0</v>
      </c>
      <c r="CA773" s="39">
        <f t="shared" si="497"/>
        <v>-380</v>
      </c>
      <c r="CB773" s="39">
        <f t="shared" si="498"/>
        <v>0</v>
      </c>
      <c r="CC773" s="39">
        <f t="shared" si="499"/>
        <v>0</v>
      </c>
      <c r="CD773" s="39">
        <f t="shared" si="500"/>
        <v>-380</v>
      </c>
      <c r="CE773" s="102">
        <f t="shared" si="501"/>
        <v>-1</v>
      </c>
      <c r="CF773" s="36" t="s">
        <v>295</v>
      </c>
      <c r="CG773" s="39" t="s">
        <v>224</v>
      </c>
      <c r="CH773" s="39"/>
      <c r="CI773" s="25">
        <v>1</v>
      </c>
    </row>
    <row r="774" spans="1:87" ht="24.75" customHeight="1">
      <c r="A774" s="36" t="s">
        <v>388</v>
      </c>
      <c r="B774" s="27"/>
      <c r="C774" s="36"/>
      <c r="D774" s="36"/>
      <c r="E774" s="39"/>
      <c r="F774" s="39"/>
      <c r="G774" s="36"/>
      <c r="H774" s="39"/>
      <c r="I774" s="39"/>
      <c r="J774" s="39"/>
      <c r="K774" s="39"/>
      <c r="L774" s="39">
        <f t="shared" si="480"/>
        <v>0</v>
      </c>
      <c r="M774" s="39"/>
      <c r="N774" s="39"/>
      <c r="O774" s="39"/>
      <c r="P774" s="39"/>
      <c r="Q774" s="39"/>
      <c r="R774" s="39">
        <f t="shared" si="481"/>
        <v>0</v>
      </c>
      <c r="S774" s="39"/>
      <c r="T774" s="39"/>
      <c r="U774" s="39"/>
      <c r="V774" s="39"/>
      <c r="W774" s="39"/>
      <c r="X774" s="39"/>
      <c r="Y774" s="39"/>
      <c r="Z774" s="39"/>
      <c r="AA774" s="39"/>
      <c r="AB774" s="39">
        <f t="shared" si="482"/>
        <v>0</v>
      </c>
      <c r="AC774" s="39"/>
      <c r="AD774" s="39"/>
      <c r="AE774" s="39"/>
      <c r="AF774" s="39"/>
      <c r="AG774" s="39"/>
      <c r="AH774" s="39">
        <f t="shared" si="483"/>
        <v>0</v>
      </c>
      <c r="AI774" s="39"/>
      <c r="AJ774" s="39"/>
      <c r="AK774" s="39"/>
      <c r="AL774" s="39"/>
      <c r="AM774" s="39"/>
      <c r="AN774" s="39">
        <f t="shared" si="196"/>
        <v>0</v>
      </c>
      <c r="AO774" s="39"/>
      <c r="AP774" s="39"/>
      <c r="AQ774" s="39"/>
      <c r="AR774" s="39"/>
      <c r="AS774" s="39"/>
      <c r="AT774" s="39">
        <f t="shared" si="367"/>
        <v>0</v>
      </c>
      <c r="AU774" s="39"/>
      <c r="AV774" s="39"/>
      <c r="AW774" s="39"/>
      <c r="AX774" s="39"/>
      <c r="AY774" s="39"/>
      <c r="AZ774" s="39">
        <f t="shared" si="368"/>
        <v>0</v>
      </c>
      <c r="BA774" s="39"/>
      <c r="BB774" s="39"/>
      <c r="BC774" s="39"/>
      <c r="BD774" s="39"/>
      <c r="BE774" s="39"/>
      <c r="BF774" s="39">
        <f t="shared" si="369"/>
        <v>0</v>
      </c>
      <c r="BG774" s="39"/>
      <c r="BH774" s="39"/>
      <c r="BI774" s="39"/>
      <c r="BJ774" s="39"/>
      <c r="BK774" s="39"/>
      <c r="BL774" s="39">
        <f t="shared" si="484"/>
        <v>0</v>
      </c>
      <c r="BM774" s="54" t="e">
        <f t="shared" si="371"/>
        <v>#DIV/0!</v>
      </c>
      <c r="BN774" s="42"/>
      <c r="BO774" s="39"/>
      <c r="BP774" s="39"/>
      <c r="BQ774" s="39"/>
      <c r="BR774" s="39"/>
      <c r="BS774" s="39"/>
      <c r="BT774" s="39"/>
      <c r="BU774" s="39"/>
      <c r="BV774" s="39"/>
      <c r="BW774" s="39"/>
      <c r="BX774" s="39"/>
      <c r="BY774" s="39"/>
      <c r="BZ774" s="39">
        <f t="shared" si="485"/>
        <v>0</v>
      </c>
      <c r="CA774" s="39">
        <f t="shared" si="373"/>
        <v>0</v>
      </c>
      <c r="CB774" s="39">
        <f t="shared" si="374"/>
        <v>0</v>
      </c>
      <c r="CC774" s="39">
        <f t="shared" si="375"/>
        <v>0</v>
      </c>
      <c r="CD774" s="39">
        <f t="shared" si="376"/>
        <v>0</v>
      </c>
      <c r="CE774" s="47" t="e">
        <f t="shared" si="377"/>
        <v>#DIV/0!</v>
      </c>
      <c r="CF774" s="36"/>
      <c r="CG774" s="39"/>
      <c r="CH774" s="39"/>
      <c r="CI774" s="25">
        <v>1</v>
      </c>
    </row>
    <row r="775" spans="1:87" ht="24.75" customHeight="1">
      <c r="A775" s="36" t="s">
        <v>388</v>
      </c>
      <c r="B775" s="27"/>
      <c r="C775" s="36"/>
      <c r="D775" s="36"/>
      <c r="E775" s="39"/>
      <c r="F775" s="39"/>
      <c r="G775" s="36"/>
      <c r="H775" s="39"/>
      <c r="I775" s="39"/>
      <c r="J775" s="39"/>
      <c r="K775" s="39"/>
      <c r="L775" s="39">
        <f t="shared" si="480"/>
        <v>0</v>
      </c>
      <c r="M775" s="39"/>
      <c r="N775" s="39"/>
      <c r="O775" s="39"/>
      <c r="P775" s="39"/>
      <c r="Q775" s="39"/>
      <c r="R775" s="39">
        <f t="shared" si="481"/>
        <v>0</v>
      </c>
      <c r="S775" s="39"/>
      <c r="T775" s="39"/>
      <c r="U775" s="39"/>
      <c r="V775" s="39"/>
      <c r="W775" s="39"/>
      <c r="X775" s="39"/>
      <c r="Y775" s="39"/>
      <c r="Z775" s="39"/>
      <c r="AA775" s="39"/>
      <c r="AB775" s="39">
        <f t="shared" si="482"/>
        <v>0</v>
      </c>
      <c r="AC775" s="39"/>
      <c r="AD775" s="39"/>
      <c r="AE775" s="39"/>
      <c r="AF775" s="39"/>
      <c r="AG775" s="39"/>
      <c r="AH775" s="39">
        <f t="shared" si="483"/>
        <v>0</v>
      </c>
      <c r="AI775" s="39"/>
      <c r="AJ775" s="39"/>
      <c r="AK775" s="39"/>
      <c r="AL775" s="39"/>
      <c r="AM775" s="39"/>
      <c r="AN775" s="39">
        <f t="shared" si="196"/>
        <v>0</v>
      </c>
      <c r="AO775" s="39"/>
      <c r="AP775" s="39"/>
      <c r="AQ775" s="39"/>
      <c r="AR775" s="39"/>
      <c r="AS775" s="39"/>
      <c r="AT775" s="39">
        <f t="shared" si="367"/>
        <v>0</v>
      </c>
      <c r="AU775" s="39"/>
      <c r="AV775" s="39"/>
      <c r="AW775" s="39"/>
      <c r="AX775" s="39"/>
      <c r="AY775" s="39"/>
      <c r="AZ775" s="39">
        <f t="shared" si="368"/>
        <v>0</v>
      </c>
      <c r="BA775" s="39"/>
      <c r="BB775" s="39"/>
      <c r="BC775" s="39"/>
      <c r="BD775" s="39"/>
      <c r="BE775" s="39"/>
      <c r="BF775" s="39">
        <f t="shared" si="369"/>
        <v>0</v>
      </c>
      <c r="BG775" s="39"/>
      <c r="BH775" s="39"/>
      <c r="BI775" s="39"/>
      <c r="BJ775" s="39"/>
      <c r="BK775" s="39"/>
      <c r="BL775" s="39">
        <f t="shared" si="484"/>
        <v>0</v>
      </c>
      <c r="BM775" s="54" t="e">
        <f t="shared" si="371"/>
        <v>#DIV/0!</v>
      </c>
      <c r="BN775" s="42"/>
      <c r="BO775" s="39"/>
      <c r="BP775" s="39"/>
      <c r="BQ775" s="39"/>
      <c r="BR775" s="39"/>
      <c r="BS775" s="39"/>
      <c r="BT775" s="39"/>
      <c r="BU775" s="39"/>
      <c r="BV775" s="39"/>
      <c r="BW775" s="39"/>
      <c r="BX775" s="39"/>
      <c r="BY775" s="39"/>
      <c r="BZ775" s="39">
        <f t="shared" si="485"/>
        <v>0</v>
      </c>
      <c r="CA775" s="39">
        <f t="shared" si="373"/>
        <v>0</v>
      </c>
      <c r="CB775" s="39">
        <f t="shared" si="374"/>
        <v>0</v>
      </c>
      <c r="CC775" s="39">
        <f t="shared" si="375"/>
        <v>0</v>
      </c>
      <c r="CD775" s="39">
        <f t="shared" si="376"/>
        <v>0</v>
      </c>
      <c r="CE775" s="47" t="e">
        <f t="shared" si="377"/>
        <v>#DIV/0!</v>
      </c>
      <c r="CF775" s="36"/>
      <c r="CG775" s="39"/>
      <c r="CH775" s="39"/>
      <c r="CI775" s="25">
        <v>1</v>
      </c>
    </row>
    <row r="776" spans="1:87" ht="24.75" customHeight="1">
      <c r="A776" s="36" t="s">
        <v>388</v>
      </c>
      <c r="B776" s="27"/>
      <c r="C776" s="36"/>
      <c r="D776" s="36"/>
      <c r="E776" s="39"/>
      <c r="F776" s="39"/>
      <c r="G776" s="36"/>
      <c r="H776" s="39"/>
      <c r="I776" s="39"/>
      <c r="J776" s="39"/>
      <c r="K776" s="39"/>
      <c r="L776" s="39">
        <f t="shared" si="480"/>
        <v>0</v>
      </c>
      <c r="M776" s="39"/>
      <c r="N776" s="39"/>
      <c r="O776" s="39"/>
      <c r="P776" s="39"/>
      <c r="Q776" s="39"/>
      <c r="R776" s="39">
        <f t="shared" si="481"/>
        <v>0</v>
      </c>
      <c r="S776" s="39"/>
      <c r="T776" s="39"/>
      <c r="U776" s="39"/>
      <c r="V776" s="39"/>
      <c r="W776" s="39"/>
      <c r="X776" s="39"/>
      <c r="Y776" s="39"/>
      <c r="Z776" s="39"/>
      <c r="AA776" s="39"/>
      <c r="AB776" s="39">
        <f t="shared" si="482"/>
        <v>0</v>
      </c>
      <c r="AC776" s="39"/>
      <c r="AD776" s="39"/>
      <c r="AE776" s="39"/>
      <c r="AF776" s="39"/>
      <c r="AG776" s="39"/>
      <c r="AH776" s="39">
        <f t="shared" si="483"/>
        <v>0</v>
      </c>
      <c r="AI776" s="39"/>
      <c r="AJ776" s="39"/>
      <c r="AK776" s="39"/>
      <c r="AL776" s="39"/>
      <c r="AM776" s="39"/>
      <c r="AN776" s="39">
        <f t="shared" si="196"/>
        <v>0</v>
      </c>
      <c r="AO776" s="39"/>
      <c r="AP776" s="39"/>
      <c r="AQ776" s="39"/>
      <c r="AR776" s="39"/>
      <c r="AS776" s="39"/>
      <c r="AT776" s="39">
        <f t="shared" si="367"/>
        <v>0</v>
      </c>
      <c r="AU776" s="39"/>
      <c r="AV776" s="39"/>
      <c r="AW776" s="39"/>
      <c r="AX776" s="39"/>
      <c r="AY776" s="39"/>
      <c r="AZ776" s="39">
        <f t="shared" si="368"/>
        <v>0</v>
      </c>
      <c r="BA776" s="39"/>
      <c r="BB776" s="39"/>
      <c r="BC776" s="39"/>
      <c r="BD776" s="39"/>
      <c r="BE776" s="39"/>
      <c r="BF776" s="39">
        <f t="shared" si="369"/>
        <v>0</v>
      </c>
      <c r="BG776" s="39"/>
      <c r="BH776" s="39"/>
      <c r="BI776" s="39"/>
      <c r="BJ776" s="39"/>
      <c r="BK776" s="39"/>
      <c r="BL776" s="39">
        <f t="shared" si="484"/>
        <v>0</v>
      </c>
      <c r="BM776" s="54" t="e">
        <f t="shared" si="371"/>
        <v>#DIV/0!</v>
      </c>
      <c r="BN776" s="42"/>
      <c r="BO776" s="39"/>
      <c r="BP776" s="39"/>
      <c r="BQ776" s="39"/>
      <c r="BR776" s="39"/>
      <c r="BS776" s="39"/>
      <c r="BT776" s="39"/>
      <c r="BU776" s="39"/>
      <c r="BV776" s="39"/>
      <c r="BW776" s="39"/>
      <c r="BX776" s="39"/>
      <c r="BY776" s="39"/>
      <c r="BZ776" s="39">
        <f t="shared" si="485"/>
        <v>0</v>
      </c>
      <c r="CA776" s="39">
        <f t="shared" si="373"/>
        <v>0</v>
      </c>
      <c r="CB776" s="39">
        <f t="shared" si="374"/>
        <v>0</v>
      </c>
      <c r="CC776" s="39">
        <f t="shared" si="375"/>
        <v>0</v>
      </c>
      <c r="CD776" s="39">
        <f t="shared" si="376"/>
        <v>0</v>
      </c>
      <c r="CE776" s="47" t="e">
        <f t="shared" si="377"/>
        <v>#DIV/0!</v>
      </c>
      <c r="CF776" s="36"/>
      <c r="CG776" s="39"/>
      <c r="CH776" s="39"/>
      <c r="CI776" s="25">
        <v>1</v>
      </c>
    </row>
    <row r="777" spans="1:87" ht="24.75" customHeight="1">
      <c r="A777" s="36" t="s">
        <v>388</v>
      </c>
      <c r="B777" s="27"/>
      <c r="C777" s="36"/>
      <c r="D777" s="36"/>
      <c r="E777" s="39"/>
      <c r="F777" s="39"/>
      <c r="G777" s="36"/>
      <c r="H777" s="39"/>
      <c r="I777" s="39"/>
      <c r="J777" s="39"/>
      <c r="K777" s="39"/>
      <c r="L777" s="39">
        <f t="shared" si="480"/>
        <v>0</v>
      </c>
      <c r="M777" s="39"/>
      <c r="N777" s="39"/>
      <c r="O777" s="39"/>
      <c r="P777" s="39"/>
      <c r="Q777" s="39"/>
      <c r="R777" s="39">
        <f t="shared" si="481"/>
        <v>0</v>
      </c>
      <c r="S777" s="39"/>
      <c r="T777" s="39"/>
      <c r="U777" s="39"/>
      <c r="V777" s="39"/>
      <c r="W777" s="39"/>
      <c r="X777" s="39"/>
      <c r="Y777" s="39"/>
      <c r="Z777" s="39"/>
      <c r="AA777" s="39"/>
      <c r="AB777" s="39">
        <f t="shared" si="482"/>
        <v>0</v>
      </c>
      <c r="AC777" s="39"/>
      <c r="AD777" s="39"/>
      <c r="AE777" s="39"/>
      <c r="AF777" s="39"/>
      <c r="AG777" s="39"/>
      <c r="AH777" s="39">
        <f t="shared" si="483"/>
        <v>0</v>
      </c>
      <c r="AI777" s="39"/>
      <c r="AJ777" s="39"/>
      <c r="AK777" s="39"/>
      <c r="AL777" s="39"/>
      <c r="AM777" s="39"/>
      <c r="AN777" s="39">
        <f t="shared" si="196"/>
        <v>0</v>
      </c>
      <c r="AO777" s="39"/>
      <c r="AP777" s="39"/>
      <c r="AQ777" s="39"/>
      <c r="AR777" s="39"/>
      <c r="AS777" s="39"/>
      <c r="AT777" s="39">
        <f t="shared" si="367"/>
        <v>0</v>
      </c>
      <c r="AU777" s="39"/>
      <c r="AV777" s="39"/>
      <c r="AW777" s="39"/>
      <c r="AX777" s="39"/>
      <c r="AY777" s="39"/>
      <c r="AZ777" s="39">
        <f t="shared" si="368"/>
        <v>0</v>
      </c>
      <c r="BA777" s="39"/>
      <c r="BB777" s="39"/>
      <c r="BC777" s="39"/>
      <c r="BD777" s="39"/>
      <c r="BE777" s="39"/>
      <c r="BF777" s="39">
        <f t="shared" si="369"/>
        <v>0</v>
      </c>
      <c r="BG777" s="39"/>
      <c r="BH777" s="39"/>
      <c r="BI777" s="39"/>
      <c r="BJ777" s="39"/>
      <c r="BK777" s="39"/>
      <c r="BL777" s="39">
        <f t="shared" si="484"/>
        <v>0</v>
      </c>
      <c r="BM777" s="54" t="e">
        <f t="shared" si="371"/>
        <v>#DIV/0!</v>
      </c>
      <c r="BN777" s="42"/>
      <c r="BO777" s="39"/>
      <c r="BP777" s="39"/>
      <c r="BQ777" s="39"/>
      <c r="BR777" s="39"/>
      <c r="BS777" s="39"/>
      <c r="BT777" s="39"/>
      <c r="BU777" s="39"/>
      <c r="BV777" s="39"/>
      <c r="BW777" s="39"/>
      <c r="BX777" s="39"/>
      <c r="BY777" s="39"/>
      <c r="BZ777" s="39">
        <f t="shared" si="485"/>
        <v>0</v>
      </c>
      <c r="CA777" s="39">
        <f t="shared" si="373"/>
        <v>0</v>
      </c>
      <c r="CB777" s="39">
        <f t="shared" si="374"/>
        <v>0</v>
      </c>
      <c r="CC777" s="39">
        <f t="shared" si="375"/>
        <v>0</v>
      </c>
      <c r="CD777" s="39">
        <f t="shared" si="376"/>
        <v>0</v>
      </c>
      <c r="CE777" s="47" t="e">
        <f t="shared" si="377"/>
        <v>#DIV/0!</v>
      </c>
      <c r="CF777" s="36"/>
      <c r="CG777" s="39"/>
      <c r="CH777" s="39"/>
      <c r="CI777" s="25">
        <v>1</v>
      </c>
    </row>
    <row r="778" spans="1:87" ht="24.75" customHeight="1">
      <c r="A778" s="36" t="s">
        <v>388</v>
      </c>
      <c r="B778" s="27"/>
      <c r="C778" s="36"/>
      <c r="D778" s="36"/>
      <c r="E778" s="39"/>
      <c r="F778" s="39"/>
      <c r="G778" s="36"/>
      <c r="H778" s="39"/>
      <c r="I778" s="39"/>
      <c r="J778" s="39"/>
      <c r="K778" s="39"/>
      <c r="L778" s="39">
        <f t="shared" si="480"/>
        <v>0</v>
      </c>
      <c r="M778" s="39"/>
      <c r="N778" s="39"/>
      <c r="O778" s="39"/>
      <c r="P778" s="39"/>
      <c r="Q778" s="39"/>
      <c r="R778" s="39">
        <f t="shared" si="481"/>
        <v>0</v>
      </c>
      <c r="S778" s="39"/>
      <c r="T778" s="39"/>
      <c r="U778" s="39"/>
      <c r="V778" s="39"/>
      <c r="W778" s="39"/>
      <c r="X778" s="39"/>
      <c r="Y778" s="39"/>
      <c r="Z778" s="39"/>
      <c r="AA778" s="39"/>
      <c r="AB778" s="39">
        <f t="shared" si="482"/>
        <v>0</v>
      </c>
      <c r="AC778" s="39"/>
      <c r="AD778" s="39"/>
      <c r="AE778" s="39"/>
      <c r="AF778" s="39"/>
      <c r="AG778" s="39"/>
      <c r="AH778" s="39">
        <f t="shared" si="483"/>
        <v>0</v>
      </c>
      <c r="AI778" s="39"/>
      <c r="AJ778" s="39"/>
      <c r="AK778" s="39"/>
      <c r="AL778" s="39"/>
      <c r="AM778" s="39"/>
      <c r="AN778" s="39">
        <f t="shared" si="196"/>
        <v>0</v>
      </c>
      <c r="AO778" s="39"/>
      <c r="AP778" s="39"/>
      <c r="AQ778" s="39"/>
      <c r="AR778" s="39"/>
      <c r="AS778" s="39"/>
      <c r="AT778" s="39">
        <f t="shared" si="367"/>
        <v>0</v>
      </c>
      <c r="AU778" s="39"/>
      <c r="AV778" s="39"/>
      <c r="AW778" s="39"/>
      <c r="AX778" s="39"/>
      <c r="AY778" s="39"/>
      <c r="AZ778" s="39">
        <f t="shared" si="368"/>
        <v>0</v>
      </c>
      <c r="BA778" s="39"/>
      <c r="BB778" s="39"/>
      <c r="BC778" s="39"/>
      <c r="BD778" s="39"/>
      <c r="BE778" s="39"/>
      <c r="BF778" s="39">
        <f t="shared" si="369"/>
        <v>0</v>
      </c>
      <c r="BG778" s="39"/>
      <c r="BH778" s="39"/>
      <c r="BI778" s="39"/>
      <c r="BJ778" s="39"/>
      <c r="BK778" s="39"/>
      <c r="BL778" s="39">
        <f t="shared" si="484"/>
        <v>0</v>
      </c>
      <c r="BM778" s="54" t="e">
        <f t="shared" si="371"/>
        <v>#DIV/0!</v>
      </c>
      <c r="BN778" s="42"/>
      <c r="BO778" s="39"/>
      <c r="BP778" s="39"/>
      <c r="BQ778" s="39"/>
      <c r="BR778" s="39"/>
      <c r="BS778" s="39"/>
      <c r="BT778" s="39"/>
      <c r="BU778" s="39"/>
      <c r="BV778" s="39"/>
      <c r="BW778" s="39"/>
      <c r="BX778" s="39"/>
      <c r="BY778" s="39"/>
      <c r="BZ778" s="39">
        <f t="shared" si="485"/>
        <v>0</v>
      </c>
      <c r="CA778" s="39">
        <f t="shared" si="373"/>
        <v>0</v>
      </c>
      <c r="CB778" s="39">
        <f t="shared" si="374"/>
        <v>0</v>
      </c>
      <c r="CC778" s="39">
        <f t="shared" si="375"/>
        <v>0</v>
      </c>
      <c r="CD778" s="39">
        <f t="shared" si="376"/>
        <v>0</v>
      </c>
      <c r="CE778" s="47" t="e">
        <f t="shared" si="377"/>
        <v>#DIV/0!</v>
      </c>
      <c r="CF778" s="36"/>
      <c r="CG778" s="39"/>
      <c r="CH778" s="39"/>
      <c r="CI778" s="25">
        <v>1</v>
      </c>
    </row>
    <row r="779" spans="1:87" ht="24.75" customHeight="1">
      <c r="A779" s="36" t="s">
        <v>388</v>
      </c>
      <c r="B779" s="27"/>
      <c r="C779" s="36"/>
      <c r="D779" s="36"/>
      <c r="E779" s="39"/>
      <c r="F779" s="39"/>
      <c r="G779" s="36"/>
      <c r="H779" s="39"/>
      <c r="I779" s="39"/>
      <c r="J779" s="39"/>
      <c r="K779" s="39"/>
      <c r="L779" s="39">
        <f t="shared" si="480"/>
        <v>0</v>
      </c>
      <c r="M779" s="39"/>
      <c r="N779" s="39"/>
      <c r="O779" s="39"/>
      <c r="P779" s="39"/>
      <c r="Q779" s="39"/>
      <c r="R779" s="39">
        <f t="shared" si="481"/>
        <v>0</v>
      </c>
      <c r="S779" s="39"/>
      <c r="T779" s="39"/>
      <c r="U779" s="39"/>
      <c r="V779" s="39"/>
      <c r="W779" s="39"/>
      <c r="X779" s="39"/>
      <c r="Y779" s="39"/>
      <c r="Z779" s="39"/>
      <c r="AA779" s="39"/>
      <c r="AB779" s="39">
        <f t="shared" si="482"/>
        <v>0</v>
      </c>
      <c r="AC779" s="39"/>
      <c r="AD779" s="39"/>
      <c r="AE779" s="39"/>
      <c r="AF779" s="39"/>
      <c r="AG779" s="39"/>
      <c r="AH779" s="39">
        <f t="shared" si="483"/>
        <v>0</v>
      </c>
      <c r="AI779" s="39"/>
      <c r="AJ779" s="39"/>
      <c r="AK779" s="39"/>
      <c r="AL779" s="39"/>
      <c r="AM779" s="39"/>
      <c r="AN779" s="39">
        <f t="shared" si="196"/>
        <v>0</v>
      </c>
      <c r="AO779" s="39"/>
      <c r="AP779" s="39"/>
      <c r="AQ779" s="39"/>
      <c r="AR779" s="39"/>
      <c r="AS779" s="39"/>
      <c r="AT779" s="39">
        <f t="shared" si="367"/>
        <v>0</v>
      </c>
      <c r="AU779" s="39"/>
      <c r="AV779" s="39"/>
      <c r="AW779" s="39"/>
      <c r="AX779" s="39"/>
      <c r="AY779" s="39"/>
      <c r="AZ779" s="39">
        <f t="shared" si="368"/>
        <v>0</v>
      </c>
      <c r="BA779" s="39"/>
      <c r="BB779" s="39"/>
      <c r="BC779" s="39"/>
      <c r="BD779" s="39"/>
      <c r="BE779" s="39"/>
      <c r="BF779" s="39">
        <f t="shared" si="369"/>
        <v>0</v>
      </c>
      <c r="BG779" s="39"/>
      <c r="BH779" s="39"/>
      <c r="BI779" s="39"/>
      <c r="BJ779" s="39"/>
      <c r="BK779" s="39"/>
      <c r="BL779" s="39">
        <f t="shared" si="484"/>
        <v>0</v>
      </c>
      <c r="BM779" s="54" t="e">
        <f t="shared" si="371"/>
        <v>#DIV/0!</v>
      </c>
      <c r="BN779" s="42"/>
      <c r="BO779" s="39"/>
      <c r="BP779" s="39"/>
      <c r="BQ779" s="39"/>
      <c r="BR779" s="39"/>
      <c r="BS779" s="39"/>
      <c r="BT779" s="39"/>
      <c r="BU779" s="39"/>
      <c r="BV779" s="39"/>
      <c r="BW779" s="39"/>
      <c r="BX779" s="39"/>
      <c r="BY779" s="39"/>
      <c r="BZ779" s="39">
        <f t="shared" si="485"/>
        <v>0</v>
      </c>
      <c r="CA779" s="39">
        <f t="shared" si="373"/>
        <v>0</v>
      </c>
      <c r="CB779" s="39">
        <f t="shared" si="374"/>
        <v>0</v>
      </c>
      <c r="CC779" s="39">
        <f t="shared" si="375"/>
        <v>0</v>
      </c>
      <c r="CD779" s="39">
        <f t="shared" si="376"/>
        <v>0</v>
      </c>
      <c r="CE779" s="47" t="e">
        <f t="shared" si="377"/>
        <v>#DIV/0!</v>
      </c>
      <c r="CF779" s="36"/>
      <c r="CG779" s="39"/>
      <c r="CH779" s="39"/>
      <c r="CI779" s="25">
        <v>1</v>
      </c>
    </row>
    <row r="780" spans="1:87" ht="24.75" customHeight="1">
      <c r="A780" s="36" t="s">
        <v>388</v>
      </c>
      <c r="B780" s="27"/>
      <c r="C780" s="36"/>
      <c r="D780" s="36"/>
      <c r="E780" s="39"/>
      <c r="F780" s="39"/>
      <c r="G780" s="36"/>
      <c r="H780" s="39"/>
      <c r="I780" s="39"/>
      <c r="J780" s="39"/>
      <c r="K780" s="39"/>
      <c r="L780" s="39">
        <f t="shared" si="480"/>
        <v>0</v>
      </c>
      <c r="M780" s="39"/>
      <c r="N780" s="39"/>
      <c r="O780" s="39"/>
      <c r="P780" s="39"/>
      <c r="Q780" s="39"/>
      <c r="R780" s="39">
        <f t="shared" si="481"/>
        <v>0</v>
      </c>
      <c r="S780" s="39"/>
      <c r="T780" s="39"/>
      <c r="U780" s="39"/>
      <c r="V780" s="39"/>
      <c r="W780" s="39"/>
      <c r="X780" s="39"/>
      <c r="Y780" s="39"/>
      <c r="Z780" s="39"/>
      <c r="AA780" s="39"/>
      <c r="AB780" s="39">
        <f t="shared" si="482"/>
        <v>0</v>
      </c>
      <c r="AC780" s="39"/>
      <c r="AD780" s="39"/>
      <c r="AE780" s="39"/>
      <c r="AF780" s="39"/>
      <c r="AG780" s="39"/>
      <c r="AH780" s="39">
        <f t="shared" si="483"/>
        <v>0</v>
      </c>
      <c r="AI780" s="39"/>
      <c r="AJ780" s="39"/>
      <c r="AK780" s="39"/>
      <c r="AL780" s="39"/>
      <c r="AM780" s="39"/>
      <c r="AN780" s="39">
        <f t="shared" si="196"/>
        <v>0</v>
      </c>
      <c r="AO780" s="39"/>
      <c r="AP780" s="39"/>
      <c r="AQ780" s="39"/>
      <c r="AR780" s="39"/>
      <c r="AS780" s="39"/>
      <c r="AT780" s="39">
        <f t="shared" si="367"/>
        <v>0</v>
      </c>
      <c r="AU780" s="39"/>
      <c r="AV780" s="39"/>
      <c r="AW780" s="39"/>
      <c r="AX780" s="39"/>
      <c r="AY780" s="39"/>
      <c r="AZ780" s="39">
        <f t="shared" si="368"/>
        <v>0</v>
      </c>
      <c r="BA780" s="39"/>
      <c r="BB780" s="39"/>
      <c r="BC780" s="39"/>
      <c r="BD780" s="39"/>
      <c r="BE780" s="39"/>
      <c r="BF780" s="39">
        <f t="shared" si="369"/>
        <v>0</v>
      </c>
      <c r="BG780" s="39"/>
      <c r="BH780" s="39"/>
      <c r="BI780" s="39"/>
      <c r="BJ780" s="39"/>
      <c r="BK780" s="39"/>
      <c r="BL780" s="39">
        <f t="shared" si="484"/>
        <v>0</v>
      </c>
      <c r="BM780" s="54" t="e">
        <f t="shared" si="371"/>
        <v>#DIV/0!</v>
      </c>
      <c r="BN780" s="42"/>
      <c r="BO780" s="39"/>
      <c r="BP780" s="39"/>
      <c r="BQ780" s="39"/>
      <c r="BR780" s="39"/>
      <c r="BS780" s="39"/>
      <c r="BT780" s="39"/>
      <c r="BU780" s="39"/>
      <c r="BV780" s="39"/>
      <c r="BW780" s="39"/>
      <c r="BX780" s="39"/>
      <c r="BY780" s="39"/>
      <c r="BZ780" s="39">
        <f t="shared" si="485"/>
        <v>0</v>
      </c>
      <c r="CA780" s="39">
        <f t="shared" si="373"/>
        <v>0</v>
      </c>
      <c r="CB780" s="39">
        <f t="shared" si="374"/>
        <v>0</v>
      </c>
      <c r="CC780" s="39">
        <f t="shared" si="375"/>
        <v>0</v>
      </c>
      <c r="CD780" s="39">
        <f t="shared" si="376"/>
        <v>0</v>
      </c>
      <c r="CE780" s="47" t="e">
        <f t="shared" si="377"/>
        <v>#DIV/0!</v>
      </c>
      <c r="CF780" s="36"/>
      <c r="CG780" s="39"/>
      <c r="CH780" s="39"/>
      <c r="CI780" s="25">
        <v>1</v>
      </c>
    </row>
    <row r="781" spans="1:87" ht="24.75" customHeight="1">
      <c r="A781" s="36" t="s">
        <v>388</v>
      </c>
      <c r="B781" s="27"/>
      <c r="C781" s="36"/>
      <c r="D781" s="36"/>
      <c r="E781" s="39"/>
      <c r="F781" s="39"/>
      <c r="G781" s="36"/>
      <c r="H781" s="39"/>
      <c r="I781" s="39"/>
      <c r="J781" s="39"/>
      <c r="K781" s="39"/>
      <c r="L781" s="39">
        <f t="shared" si="480"/>
        <v>0</v>
      </c>
      <c r="M781" s="39"/>
      <c r="N781" s="39"/>
      <c r="O781" s="39"/>
      <c r="P781" s="39"/>
      <c r="Q781" s="39"/>
      <c r="R781" s="39">
        <f t="shared" si="481"/>
        <v>0</v>
      </c>
      <c r="S781" s="39"/>
      <c r="T781" s="39"/>
      <c r="U781" s="39"/>
      <c r="V781" s="39"/>
      <c r="W781" s="39"/>
      <c r="X781" s="39"/>
      <c r="Y781" s="39"/>
      <c r="Z781" s="39"/>
      <c r="AA781" s="39"/>
      <c r="AB781" s="39">
        <f t="shared" si="482"/>
        <v>0</v>
      </c>
      <c r="AC781" s="39"/>
      <c r="AD781" s="39"/>
      <c r="AE781" s="39"/>
      <c r="AF781" s="39"/>
      <c r="AG781" s="39"/>
      <c r="AH781" s="39">
        <f t="shared" si="483"/>
        <v>0</v>
      </c>
      <c r="AI781" s="39"/>
      <c r="AJ781" s="39"/>
      <c r="AK781" s="39"/>
      <c r="AL781" s="39"/>
      <c r="AM781" s="39"/>
      <c r="AN781" s="39">
        <f t="shared" si="196"/>
        <v>0</v>
      </c>
      <c r="AO781" s="39"/>
      <c r="AP781" s="39"/>
      <c r="AQ781" s="39"/>
      <c r="AR781" s="39"/>
      <c r="AS781" s="39"/>
      <c r="AT781" s="39">
        <f t="shared" si="367"/>
        <v>0</v>
      </c>
      <c r="AU781" s="39"/>
      <c r="AV781" s="39"/>
      <c r="AW781" s="39"/>
      <c r="AX781" s="39"/>
      <c r="AY781" s="39"/>
      <c r="AZ781" s="39">
        <f t="shared" si="368"/>
        <v>0</v>
      </c>
      <c r="BA781" s="39"/>
      <c r="BB781" s="39"/>
      <c r="BC781" s="39"/>
      <c r="BD781" s="39"/>
      <c r="BE781" s="39"/>
      <c r="BF781" s="39">
        <f t="shared" si="369"/>
        <v>0</v>
      </c>
      <c r="BG781" s="39"/>
      <c r="BH781" s="39"/>
      <c r="BI781" s="39"/>
      <c r="BJ781" s="39"/>
      <c r="BK781" s="39"/>
      <c r="BL781" s="39">
        <f t="shared" si="484"/>
        <v>0</v>
      </c>
      <c r="BM781" s="54" t="e">
        <f t="shared" si="371"/>
        <v>#DIV/0!</v>
      </c>
      <c r="BN781" s="42"/>
      <c r="BO781" s="39"/>
      <c r="BP781" s="39"/>
      <c r="BQ781" s="39"/>
      <c r="BR781" s="39"/>
      <c r="BS781" s="39"/>
      <c r="BT781" s="39"/>
      <c r="BU781" s="39"/>
      <c r="BV781" s="39"/>
      <c r="BW781" s="39"/>
      <c r="BX781" s="39"/>
      <c r="BY781" s="39"/>
      <c r="BZ781" s="39">
        <f t="shared" si="485"/>
        <v>0</v>
      </c>
      <c r="CA781" s="39">
        <f t="shared" si="373"/>
        <v>0</v>
      </c>
      <c r="CB781" s="39">
        <f t="shared" si="374"/>
        <v>0</v>
      </c>
      <c r="CC781" s="39">
        <f t="shared" si="375"/>
        <v>0</v>
      </c>
      <c r="CD781" s="39">
        <f t="shared" si="376"/>
        <v>0</v>
      </c>
      <c r="CE781" s="47" t="e">
        <f t="shared" si="377"/>
        <v>#DIV/0!</v>
      </c>
      <c r="CF781" s="36"/>
      <c r="CG781" s="39"/>
      <c r="CH781" s="39"/>
      <c r="CI781" s="25">
        <v>1</v>
      </c>
    </row>
    <row r="782" spans="1:87" ht="24.75" customHeight="1">
      <c r="A782" s="36" t="s">
        <v>388</v>
      </c>
      <c r="B782" s="27"/>
      <c r="C782" s="41"/>
      <c r="D782" s="36"/>
      <c r="E782" s="39"/>
      <c r="F782" s="39"/>
      <c r="G782" s="36"/>
      <c r="H782" s="39"/>
      <c r="I782" s="39"/>
      <c r="J782" s="39"/>
      <c r="K782" s="39"/>
      <c r="L782" s="39">
        <f t="shared" si="480"/>
        <v>0</v>
      </c>
      <c r="M782" s="39"/>
      <c r="N782" s="39"/>
      <c r="O782" s="39"/>
      <c r="P782" s="39"/>
      <c r="Q782" s="39"/>
      <c r="R782" s="39">
        <f t="shared" si="481"/>
        <v>0</v>
      </c>
      <c r="S782" s="39"/>
      <c r="T782" s="39"/>
      <c r="U782" s="39"/>
      <c r="V782" s="39"/>
      <c r="W782" s="39"/>
      <c r="X782" s="39"/>
      <c r="Y782" s="39"/>
      <c r="Z782" s="39"/>
      <c r="AA782" s="39"/>
      <c r="AB782" s="39">
        <f t="shared" si="482"/>
        <v>0</v>
      </c>
      <c r="AC782" s="39"/>
      <c r="AD782" s="39"/>
      <c r="AE782" s="39"/>
      <c r="AF782" s="39"/>
      <c r="AG782" s="39"/>
      <c r="AH782" s="39">
        <f t="shared" si="483"/>
        <v>0</v>
      </c>
      <c r="AI782" s="39"/>
      <c r="AJ782" s="39"/>
      <c r="AK782" s="39"/>
      <c r="AL782" s="39"/>
      <c r="AM782" s="39"/>
      <c r="AN782" s="39">
        <f t="shared" si="196"/>
        <v>0</v>
      </c>
      <c r="AO782" s="39"/>
      <c r="AP782" s="39"/>
      <c r="AQ782" s="39"/>
      <c r="AR782" s="39"/>
      <c r="AS782" s="39"/>
      <c r="AT782" s="39">
        <f t="shared" si="367"/>
        <v>0</v>
      </c>
      <c r="AU782" s="39"/>
      <c r="AV782" s="39"/>
      <c r="AW782" s="39"/>
      <c r="AX782" s="39"/>
      <c r="AY782" s="39"/>
      <c r="AZ782" s="39">
        <f t="shared" si="368"/>
        <v>0</v>
      </c>
      <c r="BA782" s="39"/>
      <c r="BB782" s="39"/>
      <c r="BC782" s="39"/>
      <c r="BD782" s="39"/>
      <c r="BE782" s="39"/>
      <c r="BF782" s="39">
        <f t="shared" si="369"/>
        <v>0</v>
      </c>
      <c r="BG782" s="39"/>
      <c r="BH782" s="39"/>
      <c r="BI782" s="39"/>
      <c r="BJ782" s="39"/>
      <c r="BK782" s="39"/>
      <c r="BL782" s="39">
        <f t="shared" si="484"/>
        <v>0</v>
      </c>
      <c r="BM782" s="54" t="e">
        <f t="shared" si="371"/>
        <v>#DIV/0!</v>
      </c>
      <c r="BN782" s="64"/>
      <c r="BO782" s="36"/>
      <c r="BP782" s="36"/>
      <c r="BQ782" s="36"/>
      <c r="BR782" s="39"/>
      <c r="BS782" s="39"/>
      <c r="BT782" s="39"/>
      <c r="BU782" s="39"/>
      <c r="BV782" s="39"/>
      <c r="BW782" s="39"/>
      <c r="BX782" s="39"/>
      <c r="BY782" s="39"/>
      <c r="BZ782" s="39">
        <f t="shared" si="485"/>
        <v>0</v>
      </c>
      <c r="CA782" s="39">
        <f t="shared" si="373"/>
        <v>0</v>
      </c>
      <c r="CB782" s="39">
        <f t="shared" si="374"/>
        <v>0</v>
      </c>
      <c r="CC782" s="39">
        <f t="shared" si="375"/>
        <v>0</v>
      </c>
      <c r="CD782" s="39">
        <f t="shared" si="376"/>
        <v>0</v>
      </c>
      <c r="CE782" s="47" t="e">
        <f t="shared" si="377"/>
        <v>#DIV/0!</v>
      </c>
      <c r="CF782" s="36"/>
      <c r="CG782" s="39"/>
      <c r="CH782" s="39"/>
      <c r="CI782" s="25">
        <v>1</v>
      </c>
    </row>
    <row r="783" spans="1:87" ht="24.75" customHeight="1">
      <c r="A783" s="36" t="s">
        <v>388</v>
      </c>
      <c r="B783" s="27"/>
      <c r="C783" s="41"/>
      <c r="D783" s="36"/>
      <c r="E783" s="39"/>
      <c r="F783" s="39"/>
      <c r="G783" s="36"/>
      <c r="H783" s="39"/>
      <c r="I783" s="39"/>
      <c r="J783" s="39"/>
      <c r="K783" s="39"/>
      <c r="L783" s="39">
        <f t="shared" si="480"/>
        <v>0</v>
      </c>
      <c r="M783" s="39"/>
      <c r="N783" s="39"/>
      <c r="O783" s="39"/>
      <c r="P783" s="39"/>
      <c r="Q783" s="39"/>
      <c r="R783" s="39">
        <f t="shared" si="481"/>
        <v>0</v>
      </c>
      <c r="S783" s="39"/>
      <c r="T783" s="39"/>
      <c r="U783" s="39"/>
      <c r="V783" s="39"/>
      <c r="W783" s="39"/>
      <c r="X783" s="39"/>
      <c r="Y783" s="39"/>
      <c r="Z783" s="39"/>
      <c r="AA783" s="39"/>
      <c r="AB783" s="39">
        <f t="shared" si="482"/>
        <v>0</v>
      </c>
      <c r="AC783" s="39"/>
      <c r="AD783" s="39"/>
      <c r="AE783" s="39"/>
      <c r="AF783" s="39"/>
      <c r="AG783" s="39"/>
      <c r="AH783" s="39">
        <f t="shared" si="483"/>
        <v>0</v>
      </c>
      <c r="AI783" s="39"/>
      <c r="AJ783" s="39"/>
      <c r="AK783" s="39"/>
      <c r="AL783" s="39"/>
      <c r="AM783" s="39"/>
      <c r="AN783" s="39">
        <f t="shared" si="196"/>
        <v>0</v>
      </c>
      <c r="AO783" s="39"/>
      <c r="AP783" s="39"/>
      <c r="AQ783" s="39"/>
      <c r="AR783" s="39"/>
      <c r="AS783" s="39"/>
      <c r="AT783" s="39">
        <f t="shared" si="367"/>
        <v>0</v>
      </c>
      <c r="AU783" s="39"/>
      <c r="AV783" s="39"/>
      <c r="AW783" s="39"/>
      <c r="AX783" s="39"/>
      <c r="AY783" s="39"/>
      <c r="AZ783" s="39">
        <f t="shared" si="368"/>
        <v>0</v>
      </c>
      <c r="BA783" s="39"/>
      <c r="BB783" s="39"/>
      <c r="BC783" s="39"/>
      <c r="BD783" s="39"/>
      <c r="BE783" s="39"/>
      <c r="BF783" s="39">
        <f t="shared" si="369"/>
        <v>0</v>
      </c>
      <c r="BG783" s="39"/>
      <c r="BH783" s="39"/>
      <c r="BI783" s="39"/>
      <c r="BJ783" s="39"/>
      <c r="BK783" s="39"/>
      <c r="BL783" s="39">
        <f t="shared" si="484"/>
        <v>0</v>
      </c>
      <c r="BM783" s="54" t="e">
        <f t="shared" si="371"/>
        <v>#DIV/0!</v>
      </c>
      <c r="BN783" s="64"/>
      <c r="BO783" s="36"/>
      <c r="BP783" s="36"/>
      <c r="BQ783" s="36"/>
      <c r="BR783" s="39"/>
      <c r="BS783" s="39"/>
      <c r="BT783" s="39"/>
      <c r="BU783" s="39"/>
      <c r="BV783" s="39"/>
      <c r="BW783" s="39"/>
      <c r="BX783" s="39"/>
      <c r="BY783" s="39"/>
      <c r="BZ783" s="39">
        <f t="shared" si="485"/>
        <v>0</v>
      </c>
      <c r="CA783" s="39">
        <f t="shared" si="373"/>
        <v>0</v>
      </c>
      <c r="CB783" s="39">
        <f t="shared" si="374"/>
        <v>0</v>
      </c>
      <c r="CC783" s="39">
        <f t="shared" si="375"/>
        <v>0</v>
      </c>
      <c r="CD783" s="39">
        <f t="shared" si="376"/>
        <v>0</v>
      </c>
      <c r="CE783" s="47" t="e">
        <f t="shared" si="377"/>
        <v>#DIV/0!</v>
      </c>
      <c r="CF783" s="36"/>
      <c r="CG783" s="39"/>
      <c r="CH783" s="39"/>
      <c r="CI783" s="25">
        <v>1</v>
      </c>
    </row>
    <row r="784" spans="1:87" ht="24.75" customHeight="1">
      <c r="A784" s="36" t="s">
        <v>388</v>
      </c>
      <c r="B784" s="27"/>
      <c r="C784" s="41"/>
      <c r="D784" s="36"/>
      <c r="E784" s="39"/>
      <c r="F784" s="39"/>
      <c r="G784" s="36"/>
      <c r="H784" s="39"/>
      <c r="I784" s="39"/>
      <c r="J784" s="39"/>
      <c r="K784" s="39"/>
      <c r="L784" s="39">
        <f t="shared" si="480"/>
        <v>0</v>
      </c>
      <c r="M784" s="39"/>
      <c r="N784" s="39"/>
      <c r="O784" s="39"/>
      <c r="P784" s="39"/>
      <c r="Q784" s="39"/>
      <c r="R784" s="39">
        <f t="shared" si="481"/>
        <v>0</v>
      </c>
      <c r="S784" s="39"/>
      <c r="T784" s="39"/>
      <c r="U784" s="39"/>
      <c r="V784" s="39"/>
      <c r="W784" s="39"/>
      <c r="X784" s="39"/>
      <c r="Y784" s="39"/>
      <c r="Z784" s="39"/>
      <c r="AA784" s="39"/>
      <c r="AB784" s="39">
        <f t="shared" si="482"/>
        <v>0</v>
      </c>
      <c r="AC784" s="39"/>
      <c r="AD784" s="39"/>
      <c r="AE784" s="39"/>
      <c r="AF784" s="39"/>
      <c r="AG784" s="39"/>
      <c r="AH784" s="39">
        <f t="shared" si="483"/>
        <v>0</v>
      </c>
      <c r="AI784" s="39"/>
      <c r="AJ784" s="39"/>
      <c r="AK784" s="39"/>
      <c r="AL784" s="39"/>
      <c r="AM784" s="39"/>
      <c r="AN784" s="39">
        <f t="shared" si="196"/>
        <v>0</v>
      </c>
      <c r="AO784" s="39"/>
      <c r="AP784" s="39"/>
      <c r="AQ784" s="39"/>
      <c r="AR784" s="39"/>
      <c r="AS784" s="39"/>
      <c r="AT784" s="39">
        <f t="shared" si="367"/>
        <v>0</v>
      </c>
      <c r="AU784" s="39"/>
      <c r="AV784" s="39"/>
      <c r="AW784" s="39"/>
      <c r="AX784" s="39"/>
      <c r="AY784" s="39"/>
      <c r="AZ784" s="39">
        <f t="shared" si="368"/>
        <v>0</v>
      </c>
      <c r="BA784" s="39"/>
      <c r="BB784" s="39"/>
      <c r="BC784" s="39"/>
      <c r="BD784" s="39"/>
      <c r="BE784" s="39"/>
      <c r="BF784" s="39">
        <f t="shared" si="369"/>
        <v>0</v>
      </c>
      <c r="BG784" s="39"/>
      <c r="BH784" s="39"/>
      <c r="BI784" s="39"/>
      <c r="BJ784" s="39"/>
      <c r="BK784" s="39"/>
      <c r="BL784" s="39">
        <f t="shared" si="484"/>
        <v>0</v>
      </c>
      <c r="BM784" s="54" t="e">
        <f t="shared" si="371"/>
        <v>#DIV/0!</v>
      </c>
      <c r="BN784" s="64"/>
      <c r="BO784" s="36"/>
      <c r="BP784" s="36"/>
      <c r="BQ784" s="36"/>
      <c r="BR784" s="39"/>
      <c r="BS784" s="39"/>
      <c r="BT784" s="39"/>
      <c r="BU784" s="39"/>
      <c r="BV784" s="39"/>
      <c r="BW784" s="39"/>
      <c r="BX784" s="39"/>
      <c r="BY784" s="39"/>
      <c r="BZ784" s="39">
        <f t="shared" si="485"/>
        <v>0</v>
      </c>
      <c r="CA784" s="39">
        <f t="shared" si="373"/>
        <v>0</v>
      </c>
      <c r="CB784" s="39">
        <f t="shared" si="374"/>
        <v>0</v>
      </c>
      <c r="CC784" s="39">
        <f t="shared" si="375"/>
        <v>0</v>
      </c>
      <c r="CD784" s="39">
        <f t="shared" si="376"/>
        <v>0</v>
      </c>
      <c r="CE784" s="47" t="e">
        <f t="shared" si="377"/>
        <v>#DIV/0!</v>
      </c>
      <c r="CF784" s="36"/>
      <c r="CG784" s="39"/>
      <c r="CH784" s="39"/>
      <c r="CI784" s="25">
        <v>1</v>
      </c>
    </row>
    <row r="785" spans="1:87" ht="24.75" customHeight="1">
      <c r="A785" s="36" t="s">
        <v>388</v>
      </c>
      <c r="B785" s="27"/>
      <c r="C785" s="41"/>
      <c r="D785" s="36"/>
      <c r="E785" s="39"/>
      <c r="F785" s="39"/>
      <c r="G785" s="36"/>
      <c r="H785" s="39"/>
      <c r="I785" s="39"/>
      <c r="J785" s="39"/>
      <c r="K785" s="39"/>
      <c r="L785" s="39">
        <f t="shared" si="480"/>
        <v>0</v>
      </c>
      <c r="M785" s="39"/>
      <c r="N785" s="39"/>
      <c r="O785" s="39"/>
      <c r="P785" s="39"/>
      <c r="Q785" s="39"/>
      <c r="R785" s="39">
        <f t="shared" si="481"/>
        <v>0</v>
      </c>
      <c r="S785" s="39"/>
      <c r="T785" s="39"/>
      <c r="U785" s="39"/>
      <c r="V785" s="39"/>
      <c r="W785" s="39"/>
      <c r="X785" s="39"/>
      <c r="Y785" s="39"/>
      <c r="Z785" s="39"/>
      <c r="AA785" s="39"/>
      <c r="AB785" s="39">
        <f t="shared" si="482"/>
        <v>0</v>
      </c>
      <c r="AC785" s="39"/>
      <c r="AD785" s="39"/>
      <c r="AE785" s="39"/>
      <c r="AF785" s="39"/>
      <c r="AG785" s="39"/>
      <c r="AH785" s="39">
        <f t="shared" si="483"/>
        <v>0</v>
      </c>
      <c r="AI785" s="39"/>
      <c r="AJ785" s="39"/>
      <c r="AK785" s="39"/>
      <c r="AL785" s="39"/>
      <c r="AM785" s="39"/>
      <c r="AN785" s="39">
        <f t="shared" si="196"/>
        <v>0</v>
      </c>
      <c r="AO785" s="39"/>
      <c r="AP785" s="39"/>
      <c r="AQ785" s="39"/>
      <c r="AR785" s="39"/>
      <c r="AS785" s="39"/>
      <c r="AT785" s="39">
        <f t="shared" si="367"/>
        <v>0</v>
      </c>
      <c r="AU785" s="39"/>
      <c r="AV785" s="39"/>
      <c r="AW785" s="39"/>
      <c r="AX785" s="39"/>
      <c r="AY785" s="39"/>
      <c r="AZ785" s="39">
        <f t="shared" si="368"/>
        <v>0</v>
      </c>
      <c r="BA785" s="39"/>
      <c r="BB785" s="39"/>
      <c r="BC785" s="39"/>
      <c r="BD785" s="39"/>
      <c r="BE785" s="39"/>
      <c r="BF785" s="39">
        <f t="shared" si="369"/>
        <v>0</v>
      </c>
      <c r="BG785" s="39"/>
      <c r="BH785" s="39"/>
      <c r="BI785" s="39"/>
      <c r="BJ785" s="39"/>
      <c r="BK785" s="39"/>
      <c r="BL785" s="39">
        <f t="shared" si="484"/>
        <v>0</v>
      </c>
      <c r="BM785" s="54" t="e">
        <f t="shared" si="371"/>
        <v>#DIV/0!</v>
      </c>
      <c r="BN785" s="64"/>
      <c r="BO785" s="36"/>
      <c r="BP785" s="36"/>
      <c r="BQ785" s="36"/>
      <c r="BR785" s="39"/>
      <c r="BS785" s="39"/>
      <c r="BT785" s="39"/>
      <c r="BU785" s="39"/>
      <c r="BV785" s="39"/>
      <c r="BW785" s="39"/>
      <c r="BX785" s="39"/>
      <c r="BY785" s="39"/>
      <c r="BZ785" s="39">
        <f t="shared" si="485"/>
        <v>0</v>
      </c>
      <c r="CA785" s="39">
        <f t="shared" si="373"/>
        <v>0</v>
      </c>
      <c r="CB785" s="39">
        <f t="shared" si="374"/>
        <v>0</v>
      </c>
      <c r="CC785" s="39">
        <f t="shared" si="375"/>
        <v>0</v>
      </c>
      <c r="CD785" s="39">
        <f t="shared" si="376"/>
        <v>0</v>
      </c>
      <c r="CE785" s="47" t="e">
        <f t="shared" si="377"/>
        <v>#DIV/0!</v>
      </c>
      <c r="CF785" s="36"/>
      <c r="CG785" s="39"/>
      <c r="CH785" s="39"/>
      <c r="CI785" s="25">
        <v>1</v>
      </c>
    </row>
    <row r="786" spans="1:87" ht="24.75" customHeight="1">
      <c r="A786" s="36" t="s">
        <v>388</v>
      </c>
      <c r="B786" s="27" t="s">
        <v>2342</v>
      </c>
      <c r="C786" s="36">
        <v>15384652</v>
      </c>
      <c r="D786" s="36"/>
      <c r="E786" s="39">
        <v>230</v>
      </c>
      <c r="F786" s="39" t="s">
        <v>58</v>
      </c>
      <c r="G786" s="36" t="s">
        <v>47</v>
      </c>
      <c r="H786" s="36" t="s">
        <v>96</v>
      </c>
      <c r="I786" s="39">
        <v>220</v>
      </c>
      <c r="J786" s="39"/>
      <c r="K786" s="39"/>
      <c r="L786" s="39">
        <f t="shared" si="480"/>
        <v>220</v>
      </c>
      <c r="M786" s="117">
        <v>46270</v>
      </c>
      <c r="N786" s="117">
        <v>46273</v>
      </c>
      <c r="O786" s="39"/>
      <c r="P786" s="39"/>
      <c r="Q786" s="39"/>
      <c r="R786" s="39">
        <f t="shared" si="481"/>
        <v>0</v>
      </c>
      <c r="S786" s="39" t="s">
        <v>130</v>
      </c>
      <c r="T786" s="39"/>
      <c r="U786" s="39"/>
      <c r="V786" s="39"/>
      <c r="W786" s="39"/>
      <c r="X786" s="39"/>
      <c r="Y786" s="39"/>
      <c r="Z786" s="39"/>
      <c r="AA786" s="39"/>
      <c r="AB786" s="118">
        <f t="shared" si="482"/>
        <v>0</v>
      </c>
      <c r="AC786" s="39"/>
      <c r="AD786" s="39"/>
      <c r="AE786" s="39"/>
      <c r="AF786" s="39"/>
      <c r="AG786" s="39"/>
      <c r="AH786" s="39">
        <f t="shared" si="483"/>
        <v>0</v>
      </c>
      <c r="AI786" s="39"/>
      <c r="AJ786" s="39"/>
      <c r="AK786" s="39"/>
      <c r="AL786" s="39"/>
      <c r="AM786" s="39"/>
      <c r="AN786" s="39">
        <f t="shared" si="196"/>
        <v>0</v>
      </c>
      <c r="AO786" s="39"/>
      <c r="AP786" s="39"/>
      <c r="AQ786" s="39"/>
      <c r="AR786" s="39"/>
      <c r="AS786" s="39"/>
      <c r="AT786" s="39">
        <f t="shared" si="367"/>
        <v>0</v>
      </c>
      <c r="AU786" s="39"/>
      <c r="AV786" s="39"/>
      <c r="AW786" s="39"/>
      <c r="AX786" s="39"/>
      <c r="AY786" s="39"/>
      <c r="AZ786" s="39">
        <f t="shared" si="368"/>
        <v>0</v>
      </c>
      <c r="BA786" s="39"/>
      <c r="BB786" s="39"/>
      <c r="BC786" s="39"/>
      <c r="BD786" s="39"/>
      <c r="BE786" s="39"/>
      <c r="BF786" s="39">
        <f t="shared" si="369"/>
        <v>0</v>
      </c>
      <c r="BG786" s="39"/>
      <c r="BH786" s="39"/>
      <c r="BI786" s="39"/>
      <c r="BJ786" s="39"/>
      <c r="BK786" s="39"/>
      <c r="BL786" s="39">
        <f t="shared" si="484"/>
        <v>0</v>
      </c>
      <c r="BM786" s="54">
        <f t="shared" ca="1" si="371"/>
        <v>46283</v>
      </c>
      <c r="BN786" s="66">
        <v>46279</v>
      </c>
      <c r="BO786" s="117">
        <v>46289</v>
      </c>
      <c r="BP786" s="39"/>
      <c r="BQ786" s="39"/>
      <c r="BR786" s="39"/>
      <c r="BS786" s="39"/>
      <c r="BT786" s="39"/>
      <c r="BU786" s="39"/>
      <c r="BV786" s="39"/>
      <c r="BW786" s="39"/>
      <c r="BX786" s="39"/>
      <c r="BY786" s="39"/>
      <c r="BZ786" s="39">
        <f t="shared" si="485"/>
        <v>0</v>
      </c>
      <c r="CA786" s="39">
        <f t="shared" si="373"/>
        <v>-220</v>
      </c>
      <c r="CB786" s="39">
        <f t="shared" si="374"/>
        <v>0</v>
      </c>
      <c r="CC786" s="39">
        <f t="shared" si="375"/>
        <v>0</v>
      </c>
      <c r="CD786" s="39">
        <f t="shared" si="376"/>
        <v>-220</v>
      </c>
      <c r="CE786" s="102">
        <f t="shared" si="377"/>
        <v>-1</v>
      </c>
      <c r="CF786" s="36" t="s">
        <v>295</v>
      </c>
      <c r="CG786" s="39" t="s">
        <v>224</v>
      </c>
      <c r="CH786" s="39"/>
      <c r="CI786" s="25">
        <v>2</v>
      </c>
    </row>
    <row r="787" spans="1:87" ht="24.75" customHeight="1">
      <c r="A787" s="36" t="s">
        <v>388</v>
      </c>
      <c r="B787" s="27" t="s">
        <v>2343</v>
      </c>
      <c r="C787" s="227">
        <v>15368855</v>
      </c>
      <c r="D787" s="36"/>
      <c r="E787" s="39">
        <v>140</v>
      </c>
      <c r="F787" s="39" t="s">
        <v>54</v>
      </c>
      <c r="G787" s="36" t="s">
        <v>1222</v>
      </c>
      <c r="H787" s="36" t="s">
        <v>22</v>
      </c>
      <c r="I787" s="39">
        <v>190</v>
      </c>
      <c r="J787" s="39">
        <v>20</v>
      </c>
      <c r="K787" s="39"/>
      <c r="L787" s="39">
        <f t="shared" si="480"/>
        <v>210</v>
      </c>
      <c r="M787" s="117">
        <v>46267</v>
      </c>
      <c r="N787" s="117">
        <v>46273</v>
      </c>
      <c r="O787" s="39"/>
      <c r="P787" s="39"/>
      <c r="Q787" s="39"/>
      <c r="R787" s="39">
        <f t="shared" si="481"/>
        <v>0</v>
      </c>
      <c r="S787" s="39" t="s">
        <v>100</v>
      </c>
      <c r="T787" s="39"/>
      <c r="U787" s="39"/>
      <c r="V787" s="117">
        <v>46261</v>
      </c>
      <c r="W787" s="39">
        <f>233+23</f>
        <v>256</v>
      </c>
      <c r="X787" s="117" t="s">
        <v>3016</v>
      </c>
      <c r="Y787" s="39">
        <v>190</v>
      </c>
      <c r="Z787" s="39">
        <v>20</v>
      </c>
      <c r="AA787" s="39"/>
      <c r="AB787" s="119">
        <f t="shared" si="482"/>
        <v>210</v>
      </c>
      <c r="AC787" s="39"/>
      <c r="AD787" s="39"/>
      <c r="AE787" s="39"/>
      <c r="AF787" s="39"/>
      <c r="AG787" s="39"/>
      <c r="AH787" s="39">
        <f t="shared" si="483"/>
        <v>0</v>
      </c>
      <c r="AI787" s="39"/>
      <c r="AJ787" s="39"/>
      <c r="AK787" s="39"/>
      <c r="AL787" s="39"/>
      <c r="AM787" s="39"/>
      <c r="AN787" s="39">
        <f t="shared" si="196"/>
        <v>0</v>
      </c>
      <c r="AO787" s="39"/>
      <c r="AP787" s="39"/>
      <c r="AQ787" s="39"/>
      <c r="AR787" s="39"/>
      <c r="AS787" s="39"/>
      <c r="AT787" s="39">
        <f t="shared" si="367"/>
        <v>0</v>
      </c>
      <c r="AU787" s="39"/>
      <c r="AV787" s="39"/>
      <c r="AW787" s="39"/>
      <c r="AX787" s="39"/>
      <c r="AY787" s="39"/>
      <c r="AZ787" s="39">
        <f t="shared" si="368"/>
        <v>0</v>
      </c>
      <c r="BA787" s="39"/>
      <c r="BB787" s="39"/>
      <c r="BC787" s="39"/>
      <c r="BD787" s="39"/>
      <c r="BE787" s="39"/>
      <c r="BF787" s="39">
        <f t="shared" si="369"/>
        <v>0</v>
      </c>
      <c r="BG787" s="39"/>
      <c r="BH787" s="39"/>
      <c r="BI787" s="39"/>
      <c r="BJ787" s="39"/>
      <c r="BK787" s="39"/>
      <c r="BL787" s="39">
        <f t="shared" si="484"/>
        <v>0</v>
      </c>
      <c r="BM787" s="54" t="str">
        <f t="shared" si="371"/>
        <v/>
      </c>
      <c r="BN787" s="66">
        <v>46279</v>
      </c>
      <c r="BO787" s="117">
        <v>46293</v>
      </c>
      <c r="BP787" s="39"/>
      <c r="BQ787" s="39"/>
      <c r="BR787" s="117">
        <v>46279</v>
      </c>
      <c r="BS787" s="117">
        <v>46282</v>
      </c>
      <c r="BT787" s="39">
        <v>861</v>
      </c>
      <c r="BU787" s="39">
        <v>190</v>
      </c>
      <c r="BV787" s="39">
        <v>974</v>
      </c>
      <c r="BW787" s="39">
        <v>20</v>
      </c>
      <c r="BX787" s="39"/>
      <c r="BY787" s="39"/>
      <c r="BZ787" s="39">
        <f t="shared" si="485"/>
        <v>210</v>
      </c>
      <c r="CA787" s="39">
        <f t="shared" si="373"/>
        <v>0</v>
      </c>
      <c r="CB787" s="39">
        <f t="shared" si="374"/>
        <v>0</v>
      </c>
      <c r="CC787" s="39">
        <f t="shared" si="375"/>
        <v>0</v>
      </c>
      <c r="CD787" s="39">
        <f t="shared" si="376"/>
        <v>0</v>
      </c>
      <c r="CE787" s="102">
        <f t="shared" si="377"/>
        <v>0</v>
      </c>
      <c r="CF787" s="36" t="s">
        <v>295</v>
      </c>
      <c r="CG787" s="39" t="s">
        <v>224</v>
      </c>
      <c r="CH787" s="39"/>
      <c r="CI787" s="25">
        <v>2</v>
      </c>
    </row>
    <row r="788" spans="1:87" ht="24.75" customHeight="1">
      <c r="A788" s="36" t="s">
        <v>388</v>
      </c>
      <c r="B788" s="27" t="s">
        <v>2343</v>
      </c>
      <c r="C788" s="228"/>
      <c r="D788" s="36"/>
      <c r="E788" s="39">
        <v>140</v>
      </c>
      <c r="F788" s="39" t="s">
        <v>54</v>
      </c>
      <c r="G788" s="36" t="s">
        <v>23</v>
      </c>
      <c r="H788" s="36" t="s">
        <v>22</v>
      </c>
      <c r="I788" s="39">
        <v>210</v>
      </c>
      <c r="J788" s="39">
        <v>25</v>
      </c>
      <c r="K788" s="39"/>
      <c r="L788" s="39">
        <f t="shared" si="480"/>
        <v>235</v>
      </c>
      <c r="M788" s="117">
        <v>46267</v>
      </c>
      <c r="N788" s="117">
        <v>46273</v>
      </c>
      <c r="O788" s="39"/>
      <c r="P788" s="39"/>
      <c r="Q788" s="39"/>
      <c r="R788" s="39">
        <f t="shared" si="481"/>
        <v>0</v>
      </c>
      <c r="S788" s="39" t="s">
        <v>100</v>
      </c>
      <c r="T788" s="39"/>
      <c r="U788" s="39"/>
      <c r="V788" s="117">
        <v>46261</v>
      </c>
      <c r="W788" s="39">
        <f>232+29</f>
        <v>261</v>
      </c>
      <c r="X788" s="39"/>
      <c r="Y788" s="39"/>
      <c r="Z788" s="39"/>
      <c r="AA788" s="39"/>
      <c r="AB788" s="118">
        <f t="shared" si="482"/>
        <v>0</v>
      </c>
      <c r="AC788" s="39"/>
      <c r="AD788" s="39"/>
      <c r="AE788" s="39"/>
      <c r="AF788" s="39"/>
      <c r="AG788" s="39"/>
      <c r="AH788" s="39">
        <f t="shared" si="483"/>
        <v>0</v>
      </c>
      <c r="AI788" s="39"/>
      <c r="AJ788" s="39"/>
      <c r="AK788" s="39"/>
      <c r="AL788" s="39"/>
      <c r="AM788" s="39"/>
      <c r="AN788" s="39">
        <f t="shared" si="196"/>
        <v>0</v>
      </c>
      <c r="AO788" s="39"/>
      <c r="AP788" s="39"/>
      <c r="AQ788" s="39"/>
      <c r="AR788" s="39"/>
      <c r="AS788" s="39"/>
      <c r="AT788" s="39">
        <f t="shared" si="367"/>
        <v>0</v>
      </c>
      <c r="AU788" s="39"/>
      <c r="AV788" s="39"/>
      <c r="AW788" s="39"/>
      <c r="AX788" s="39"/>
      <c r="AY788" s="39"/>
      <c r="AZ788" s="39">
        <f t="shared" si="368"/>
        <v>0</v>
      </c>
      <c r="BA788" s="39"/>
      <c r="BB788" s="39"/>
      <c r="BC788" s="39"/>
      <c r="BD788" s="39"/>
      <c r="BE788" s="39"/>
      <c r="BF788" s="39">
        <f t="shared" si="369"/>
        <v>0</v>
      </c>
      <c r="BG788" s="39"/>
      <c r="BH788" s="39"/>
      <c r="BI788" s="39"/>
      <c r="BJ788" s="39"/>
      <c r="BK788" s="39"/>
      <c r="BL788" s="39">
        <f t="shared" si="484"/>
        <v>0</v>
      </c>
      <c r="BM788" s="54">
        <f t="shared" ca="1" si="371"/>
        <v>46283</v>
      </c>
      <c r="BN788" s="66">
        <v>46279</v>
      </c>
      <c r="BO788" s="117">
        <v>46293</v>
      </c>
      <c r="BP788" s="39"/>
      <c r="BQ788" s="39"/>
      <c r="BR788" s="39"/>
      <c r="BS788" s="39"/>
      <c r="BT788" s="39"/>
      <c r="BU788" s="39"/>
      <c r="BV788" s="39"/>
      <c r="BW788" s="39"/>
      <c r="BX788" s="39"/>
      <c r="BY788" s="39"/>
      <c r="BZ788" s="39">
        <f t="shared" si="485"/>
        <v>0</v>
      </c>
      <c r="CA788" s="39">
        <f t="shared" si="373"/>
        <v>-210</v>
      </c>
      <c r="CB788" s="39">
        <f t="shared" si="374"/>
        <v>-25</v>
      </c>
      <c r="CC788" s="39">
        <f t="shared" si="375"/>
        <v>0</v>
      </c>
      <c r="CD788" s="39">
        <f t="shared" si="376"/>
        <v>-235</v>
      </c>
      <c r="CE788" s="102">
        <f t="shared" si="377"/>
        <v>-1</v>
      </c>
      <c r="CF788" s="36" t="s">
        <v>295</v>
      </c>
      <c r="CG788" s="39" t="s">
        <v>224</v>
      </c>
      <c r="CH788" s="39"/>
      <c r="CI788" s="25">
        <v>2</v>
      </c>
    </row>
    <row r="789" spans="1:87" ht="24.75" customHeight="1">
      <c r="A789" s="36" t="s">
        <v>388</v>
      </c>
      <c r="B789" s="27" t="s">
        <v>2439</v>
      </c>
      <c r="C789" s="227">
        <v>15343893</v>
      </c>
      <c r="D789" s="36"/>
      <c r="E789" s="39">
        <v>230</v>
      </c>
      <c r="F789" s="39" t="s">
        <v>58</v>
      </c>
      <c r="G789" s="36" t="s">
        <v>1367</v>
      </c>
      <c r="H789" s="39" t="s">
        <v>96</v>
      </c>
      <c r="I789" s="39">
        <v>1612</v>
      </c>
      <c r="J789" s="39"/>
      <c r="K789" s="39"/>
      <c r="L789" s="39">
        <f t="shared" ref="L789:L835" si="504">SUM(I789:K789)</f>
        <v>1612</v>
      </c>
      <c r="M789" s="117">
        <v>46266</v>
      </c>
      <c r="N789" s="117">
        <v>46279</v>
      </c>
      <c r="O789" s="39"/>
      <c r="P789" s="39"/>
      <c r="Q789" s="39"/>
      <c r="R789" s="39">
        <f t="shared" ref="R789:R849" si="505">SUM(O789:Q789)</f>
        <v>0</v>
      </c>
      <c r="S789" s="39" t="s">
        <v>28</v>
      </c>
      <c r="T789" s="39"/>
      <c r="U789" s="39"/>
      <c r="V789" s="117" t="s">
        <v>2778</v>
      </c>
      <c r="W789" s="39">
        <f>855+931</f>
        <v>1786</v>
      </c>
      <c r="X789" s="117" t="s">
        <v>2985</v>
      </c>
      <c r="Y789" s="39">
        <f>767+714</f>
        <v>1481</v>
      </c>
      <c r="Z789" s="39"/>
      <c r="AA789" s="39"/>
      <c r="AB789" s="120">
        <f t="shared" ref="AB789:AB851" si="506">SUM(Y789:AA789)</f>
        <v>1481</v>
      </c>
      <c r="AC789" s="39"/>
      <c r="AD789" s="39"/>
      <c r="AE789" s="39"/>
      <c r="AF789" s="39"/>
      <c r="AG789" s="39"/>
      <c r="AH789" s="39">
        <f t="shared" si="483"/>
        <v>0</v>
      </c>
      <c r="AI789" s="39"/>
      <c r="AJ789" s="39"/>
      <c r="AK789" s="39"/>
      <c r="AL789" s="39"/>
      <c r="AM789" s="39"/>
      <c r="AN789" s="39">
        <f t="shared" si="196"/>
        <v>0</v>
      </c>
      <c r="AO789" s="39"/>
      <c r="AP789" s="39"/>
      <c r="AQ789" s="39"/>
      <c r="AR789" s="39"/>
      <c r="AS789" s="39"/>
      <c r="AT789" s="39">
        <f t="shared" si="367"/>
        <v>0</v>
      </c>
      <c r="AU789" s="39"/>
      <c r="AV789" s="39"/>
      <c r="AW789" s="39"/>
      <c r="AX789" s="39"/>
      <c r="AY789" s="39"/>
      <c r="AZ789" s="39">
        <f t="shared" si="368"/>
        <v>0</v>
      </c>
      <c r="BA789" s="39"/>
      <c r="BB789" s="39"/>
      <c r="BC789" s="39"/>
      <c r="BD789" s="39"/>
      <c r="BE789" s="39"/>
      <c r="BF789" s="39">
        <f t="shared" si="369"/>
        <v>0</v>
      </c>
      <c r="BG789" s="39"/>
      <c r="BH789" s="39"/>
      <c r="BI789" s="39"/>
      <c r="BJ789" s="39"/>
      <c r="BK789" s="39"/>
      <c r="BL789" s="39">
        <f t="shared" si="484"/>
        <v>0</v>
      </c>
      <c r="BM789" s="54" t="str">
        <f t="shared" si="371"/>
        <v/>
      </c>
      <c r="BN789" s="66">
        <v>46279</v>
      </c>
      <c r="BO789" s="117">
        <v>46298</v>
      </c>
      <c r="BP789" s="39"/>
      <c r="BQ789" s="39"/>
      <c r="BR789" s="117">
        <v>46272</v>
      </c>
      <c r="BS789" s="39"/>
      <c r="BT789" s="39" t="s">
        <v>3010</v>
      </c>
      <c r="BU789" s="39">
        <f>767+714</f>
        <v>1481</v>
      </c>
      <c r="BV789" s="39"/>
      <c r="BW789" s="39"/>
      <c r="BX789" s="39"/>
      <c r="BY789" s="39"/>
      <c r="BZ789" s="39">
        <f t="shared" si="485"/>
        <v>1481</v>
      </c>
      <c r="CA789" s="39">
        <f t="shared" si="373"/>
        <v>-131</v>
      </c>
      <c r="CB789" s="39">
        <f t="shared" si="374"/>
        <v>0</v>
      </c>
      <c r="CC789" s="39">
        <f t="shared" si="375"/>
        <v>0</v>
      </c>
      <c r="CD789" s="39">
        <f t="shared" si="376"/>
        <v>-131</v>
      </c>
      <c r="CE789" s="102">
        <f t="shared" si="377"/>
        <v>-8.1265508684863527E-2</v>
      </c>
      <c r="CF789" s="36" t="s">
        <v>252</v>
      </c>
      <c r="CG789" s="39" t="s">
        <v>223</v>
      </c>
      <c r="CH789" s="39"/>
      <c r="CI789" s="25">
        <v>2</v>
      </c>
    </row>
    <row r="790" spans="1:87" ht="24.75" customHeight="1">
      <c r="A790" s="36" t="s">
        <v>388</v>
      </c>
      <c r="B790" s="27" t="s">
        <v>2439</v>
      </c>
      <c r="C790" s="231"/>
      <c r="D790" s="36"/>
      <c r="E790" s="39">
        <v>230</v>
      </c>
      <c r="F790" s="39" t="s">
        <v>58</v>
      </c>
      <c r="G790" s="36" t="s">
        <v>21</v>
      </c>
      <c r="H790" s="39" t="s">
        <v>96</v>
      </c>
      <c r="I790" s="39">
        <v>1851</v>
      </c>
      <c r="J790" s="39"/>
      <c r="K790" s="39"/>
      <c r="L790" s="39">
        <f t="shared" si="504"/>
        <v>1851</v>
      </c>
      <c r="M790" s="117">
        <v>46266</v>
      </c>
      <c r="N790" s="117">
        <v>46279</v>
      </c>
      <c r="O790" s="39"/>
      <c r="P790" s="39"/>
      <c r="Q790" s="39"/>
      <c r="R790" s="39">
        <f t="shared" si="505"/>
        <v>0</v>
      </c>
      <c r="S790" s="39" t="s">
        <v>130</v>
      </c>
      <c r="T790" s="39" t="s">
        <v>3055</v>
      </c>
      <c r="U790" s="117">
        <v>46280</v>
      </c>
      <c r="V790" s="39"/>
      <c r="W790" s="39"/>
      <c r="X790" s="39"/>
      <c r="Y790" s="39">
        <f>720+638+720</f>
        <v>2078</v>
      </c>
      <c r="Z790" s="39"/>
      <c r="AA790" s="39"/>
      <c r="AB790" s="119">
        <f t="shared" si="506"/>
        <v>2078</v>
      </c>
      <c r="AC790" s="39"/>
      <c r="AD790" s="39"/>
      <c r="AE790" s="39"/>
      <c r="AF790" s="39"/>
      <c r="AG790" s="39"/>
      <c r="AH790" s="39">
        <f t="shared" si="483"/>
        <v>0</v>
      </c>
      <c r="AI790" s="39"/>
      <c r="AJ790" s="39"/>
      <c r="AK790" s="39"/>
      <c r="AL790" s="39"/>
      <c r="AM790" s="39"/>
      <c r="AN790" s="39">
        <f t="shared" si="196"/>
        <v>0</v>
      </c>
      <c r="AO790" s="39"/>
      <c r="AP790" s="39"/>
      <c r="AQ790" s="39"/>
      <c r="AR790" s="39"/>
      <c r="AS790" s="39"/>
      <c r="AT790" s="39">
        <f t="shared" si="367"/>
        <v>0</v>
      </c>
      <c r="AU790" s="39"/>
      <c r="AV790" s="39"/>
      <c r="AW790" s="39"/>
      <c r="AX790" s="39"/>
      <c r="AY790" s="39"/>
      <c r="AZ790" s="39">
        <f t="shared" si="368"/>
        <v>0</v>
      </c>
      <c r="BA790" s="39"/>
      <c r="BB790" s="39"/>
      <c r="BC790" s="39"/>
      <c r="BD790" s="39"/>
      <c r="BE790" s="39"/>
      <c r="BF790" s="39">
        <f t="shared" si="369"/>
        <v>0</v>
      </c>
      <c r="BG790" s="39"/>
      <c r="BH790" s="39"/>
      <c r="BI790" s="39"/>
      <c r="BJ790" s="39"/>
      <c r="BK790" s="39"/>
      <c r="BL790" s="39">
        <f t="shared" si="484"/>
        <v>0</v>
      </c>
      <c r="BM790" s="54" t="str">
        <f t="shared" si="371"/>
        <v/>
      </c>
      <c r="BN790" s="66">
        <v>46279</v>
      </c>
      <c r="BO790" s="117">
        <v>46298</v>
      </c>
      <c r="BP790" s="39"/>
      <c r="BQ790" s="39"/>
      <c r="BR790" s="117">
        <v>46282</v>
      </c>
      <c r="BS790" s="39"/>
      <c r="BT790" s="39" t="s">
        <v>3093</v>
      </c>
      <c r="BU790" s="39">
        <f>661+566+576</f>
        <v>1803</v>
      </c>
      <c r="BV790" s="39"/>
      <c r="BW790" s="39"/>
      <c r="BX790" s="39"/>
      <c r="BY790" s="39"/>
      <c r="BZ790" s="39">
        <f t="shared" si="485"/>
        <v>1803</v>
      </c>
      <c r="CA790" s="39">
        <f t="shared" si="373"/>
        <v>-48</v>
      </c>
      <c r="CB790" s="39">
        <f t="shared" si="374"/>
        <v>0</v>
      </c>
      <c r="CC790" s="39">
        <f t="shared" si="375"/>
        <v>0</v>
      </c>
      <c r="CD790" s="39">
        <f t="shared" si="376"/>
        <v>-48</v>
      </c>
      <c r="CE790" s="102">
        <f t="shared" si="377"/>
        <v>-2.5931928687196109E-2</v>
      </c>
      <c r="CF790" s="36" t="s">
        <v>252</v>
      </c>
      <c r="CG790" s="39" t="s">
        <v>223</v>
      </c>
      <c r="CH790" s="39" t="s">
        <v>561</v>
      </c>
      <c r="CI790" s="25">
        <v>2</v>
      </c>
    </row>
    <row r="791" spans="1:87" ht="24.75" customHeight="1">
      <c r="A791" s="36" t="s">
        <v>388</v>
      </c>
      <c r="B791" s="27" t="s">
        <v>2439</v>
      </c>
      <c r="C791" s="231"/>
      <c r="D791" s="36"/>
      <c r="E791" s="39">
        <v>230</v>
      </c>
      <c r="F791" s="39" t="s">
        <v>58</v>
      </c>
      <c r="G791" s="36" t="s">
        <v>1257</v>
      </c>
      <c r="H791" s="39" t="s">
        <v>96</v>
      </c>
      <c r="I791" s="39">
        <v>606</v>
      </c>
      <c r="J791" s="39"/>
      <c r="K791" s="39"/>
      <c r="L791" s="39">
        <f t="shared" si="504"/>
        <v>606</v>
      </c>
      <c r="M791" s="117">
        <v>46266</v>
      </c>
      <c r="N791" s="117">
        <v>46279</v>
      </c>
      <c r="O791" s="39"/>
      <c r="P791" s="39"/>
      <c r="Q791" s="39"/>
      <c r="R791" s="39">
        <f t="shared" si="505"/>
        <v>0</v>
      </c>
      <c r="S791" s="39" t="s">
        <v>270</v>
      </c>
      <c r="T791" s="39"/>
      <c r="U791" s="39"/>
      <c r="V791" s="117">
        <v>46261</v>
      </c>
      <c r="W791" s="39">
        <v>680</v>
      </c>
      <c r="X791" s="39"/>
      <c r="Y791" s="39"/>
      <c r="Z791" s="39"/>
      <c r="AA791" s="39"/>
      <c r="AB791" s="118">
        <f t="shared" si="506"/>
        <v>0</v>
      </c>
      <c r="AC791" s="39"/>
      <c r="AD791" s="39"/>
      <c r="AE791" s="39"/>
      <c r="AF791" s="39"/>
      <c r="AG791" s="39"/>
      <c r="AH791" s="39">
        <f t="shared" si="483"/>
        <v>0</v>
      </c>
      <c r="AI791" s="39"/>
      <c r="AJ791" s="39"/>
      <c r="AK791" s="39"/>
      <c r="AL791" s="39"/>
      <c r="AM791" s="39"/>
      <c r="AN791" s="39">
        <f t="shared" si="196"/>
        <v>0</v>
      </c>
      <c r="AO791" s="39"/>
      <c r="AP791" s="39"/>
      <c r="AQ791" s="39"/>
      <c r="AR791" s="39"/>
      <c r="AS791" s="39"/>
      <c r="AT791" s="39">
        <f t="shared" si="367"/>
        <v>0</v>
      </c>
      <c r="AU791" s="39"/>
      <c r="AV791" s="39"/>
      <c r="AW791" s="39"/>
      <c r="AX791" s="39"/>
      <c r="AY791" s="39"/>
      <c r="AZ791" s="39">
        <f t="shared" si="368"/>
        <v>0</v>
      </c>
      <c r="BA791" s="39"/>
      <c r="BB791" s="39"/>
      <c r="BC791" s="39"/>
      <c r="BD791" s="39"/>
      <c r="BE791" s="39"/>
      <c r="BF791" s="39">
        <f t="shared" si="369"/>
        <v>0</v>
      </c>
      <c r="BG791" s="39"/>
      <c r="BH791" s="39"/>
      <c r="BI791" s="39"/>
      <c r="BJ791" s="39"/>
      <c r="BK791" s="39"/>
      <c r="BL791" s="39">
        <f t="shared" si="484"/>
        <v>0</v>
      </c>
      <c r="BM791" s="54">
        <f t="shared" ca="1" si="371"/>
        <v>46283</v>
      </c>
      <c r="BN791" s="66">
        <v>46279</v>
      </c>
      <c r="BO791" s="117">
        <v>46298</v>
      </c>
      <c r="BP791" s="39"/>
      <c r="BQ791" s="39"/>
      <c r="BR791" s="39"/>
      <c r="BS791" s="39"/>
      <c r="BT791" s="39"/>
      <c r="BU791" s="39"/>
      <c r="BV791" s="39"/>
      <c r="BW791" s="39"/>
      <c r="BX791" s="39"/>
      <c r="BY791" s="39"/>
      <c r="BZ791" s="39">
        <f t="shared" si="485"/>
        <v>0</v>
      </c>
      <c r="CA791" s="39">
        <f t="shared" si="373"/>
        <v>-606</v>
      </c>
      <c r="CB791" s="39">
        <f t="shared" si="374"/>
        <v>0</v>
      </c>
      <c r="CC791" s="39">
        <f t="shared" si="375"/>
        <v>0</v>
      </c>
      <c r="CD791" s="39">
        <f t="shared" si="376"/>
        <v>-606</v>
      </c>
      <c r="CE791" s="102">
        <f t="shared" si="377"/>
        <v>-1</v>
      </c>
      <c r="CF791" s="36" t="s">
        <v>252</v>
      </c>
      <c r="CG791" s="39" t="s">
        <v>223</v>
      </c>
      <c r="CH791" s="39"/>
      <c r="CI791" s="25">
        <v>2</v>
      </c>
    </row>
    <row r="792" spans="1:87" ht="24.75" customHeight="1">
      <c r="A792" s="36" t="s">
        <v>388</v>
      </c>
      <c r="B792" s="27" t="s">
        <v>2439</v>
      </c>
      <c r="C792" s="231"/>
      <c r="D792" s="36"/>
      <c r="E792" s="39">
        <v>230</v>
      </c>
      <c r="F792" s="39" t="s">
        <v>58</v>
      </c>
      <c r="G792" s="36" t="s">
        <v>2440</v>
      </c>
      <c r="H792" s="39" t="s">
        <v>96</v>
      </c>
      <c r="I792" s="39">
        <v>1573</v>
      </c>
      <c r="J792" s="39"/>
      <c r="K792" s="39"/>
      <c r="L792" s="39">
        <f t="shared" si="504"/>
        <v>1573</v>
      </c>
      <c r="M792" s="117">
        <v>46266</v>
      </c>
      <c r="N792" s="117">
        <v>46279</v>
      </c>
      <c r="O792" s="39"/>
      <c r="P792" s="39"/>
      <c r="Q792" s="39"/>
      <c r="R792" s="39">
        <f t="shared" si="505"/>
        <v>0</v>
      </c>
      <c r="S792" s="39" t="s">
        <v>270</v>
      </c>
      <c r="T792" s="39"/>
      <c r="U792" s="39"/>
      <c r="V792" s="117" t="s">
        <v>2743</v>
      </c>
      <c r="W792" s="39">
        <f>1236+514</f>
        <v>1750</v>
      </c>
      <c r="X792" s="39"/>
      <c r="Y792" s="39"/>
      <c r="Z792" s="39"/>
      <c r="AA792" s="39"/>
      <c r="AB792" s="118">
        <f t="shared" si="506"/>
        <v>0</v>
      </c>
      <c r="AC792" s="39"/>
      <c r="AD792" s="39"/>
      <c r="AE792" s="39"/>
      <c r="AF792" s="39"/>
      <c r="AG792" s="39"/>
      <c r="AH792" s="39">
        <f t="shared" si="483"/>
        <v>0</v>
      </c>
      <c r="AI792" s="39"/>
      <c r="AJ792" s="39"/>
      <c r="AK792" s="39"/>
      <c r="AL792" s="39"/>
      <c r="AM792" s="39"/>
      <c r="AN792" s="39">
        <f t="shared" si="196"/>
        <v>0</v>
      </c>
      <c r="AO792" s="39"/>
      <c r="AP792" s="39"/>
      <c r="AQ792" s="39"/>
      <c r="AR792" s="39"/>
      <c r="AS792" s="39"/>
      <c r="AT792" s="39">
        <f t="shared" si="367"/>
        <v>0</v>
      </c>
      <c r="AU792" s="39"/>
      <c r="AV792" s="39"/>
      <c r="AW792" s="39"/>
      <c r="AX792" s="39"/>
      <c r="AY792" s="39"/>
      <c r="AZ792" s="39">
        <f t="shared" si="368"/>
        <v>0</v>
      </c>
      <c r="BA792" s="39"/>
      <c r="BB792" s="39"/>
      <c r="BC792" s="39"/>
      <c r="BD792" s="39"/>
      <c r="BE792" s="39"/>
      <c r="BF792" s="39">
        <f t="shared" si="369"/>
        <v>0</v>
      </c>
      <c r="BG792" s="39"/>
      <c r="BH792" s="39"/>
      <c r="BI792" s="39"/>
      <c r="BJ792" s="39"/>
      <c r="BK792" s="39"/>
      <c r="BL792" s="39">
        <f t="shared" si="484"/>
        <v>0</v>
      </c>
      <c r="BM792" s="54">
        <f t="shared" ca="1" si="371"/>
        <v>46283</v>
      </c>
      <c r="BN792" s="66">
        <v>46279</v>
      </c>
      <c r="BO792" s="117">
        <v>46298</v>
      </c>
      <c r="BP792" s="39"/>
      <c r="BQ792" s="39"/>
      <c r="BR792" s="39"/>
      <c r="BS792" s="39"/>
      <c r="BT792" s="39"/>
      <c r="BU792" s="39"/>
      <c r="BV792" s="39"/>
      <c r="BW792" s="39"/>
      <c r="BX792" s="39"/>
      <c r="BY792" s="39"/>
      <c r="BZ792" s="39">
        <f t="shared" si="485"/>
        <v>0</v>
      </c>
      <c r="CA792" s="39">
        <f t="shared" si="373"/>
        <v>-1573</v>
      </c>
      <c r="CB792" s="39">
        <f t="shared" si="374"/>
        <v>0</v>
      </c>
      <c r="CC792" s="39">
        <f t="shared" si="375"/>
        <v>0</v>
      </c>
      <c r="CD792" s="39">
        <f t="shared" si="376"/>
        <v>-1573</v>
      </c>
      <c r="CE792" s="102">
        <f t="shared" si="377"/>
        <v>-1</v>
      </c>
      <c r="CF792" s="36" t="s">
        <v>252</v>
      </c>
      <c r="CG792" s="39" t="s">
        <v>223</v>
      </c>
      <c r="CH792" s="39"/>
      <c r="CI792" s="25">
        <v>2</v>
      </c>
    </row>
    <row r="793" spans="1:87" ht="24.75" customHeight="1">
      <c r="A793" s="36" t="s">
        <v>388</v>
      </c>
      <c r="B793" s="27" t="s">
        <v>2439</v>
      </c>
      <c r="C793" s="231"/>
      <c r="D793" s="36"/>
      <c r="E793" s="39">
        <v>230</v>
      </c>
      <c r="F793" s="39" t="s">
        <v>58</v>
      </c>
      <c r="G793" s="36" t="s">
        <v>1221</v>
      </c>
      <c r="H793" s="39" t="s">
        <v>96</v>
      </c>
      <c r="I793" s="39">
        <v>648</v>
      </c>
      <c r="J793" s="39"/>
      <c r="K793" s="39"/>
      <c r="L793" s="39">
        <f t="shared" si="504"/>
        <v>648</v>
      </c>
      <c r="M793" s="117">
        <v>46266</v>
      </c>
      <c r="N793" s="117">
        <v>46279</v>
      </c>
      <c r="O793" s="39"/>
      <c r="P793" s="39"/>
      <c r="Q793" s="39"/>
      <c r="R793" s="39">
        <f t="shared" si="505"/>
        <v>0</v>
      </c>
      <c r="S793" s="39" t="s">
        <v>100</v>
      </c>
      <c r="T793" s="39"/>
      <c r="U793" s="39"/>
      <c r="V793" s="117">
        <v>46273</v>
      </c>
      <c r="W793" s="39">
        <v>728</v>
      </c>
      <c r="X793" s="39"/>
      <c r="Y793" s="39"/>
      <c r="Z793" s="39"/>
      <c r="AA793" s="39"/>
      <c r="AB793" s="118">
        <f t="shared" si="506"/>
        <v>0</v>
      </c>
      <c r="AC793" s="39"/>
      <c r="AD793" s="39"/>
      <c r="AE793" s="39"/>
      <c r="AF793" s="39"/>
      <c r="AG793" s="39"/>
      <c r="AH793" s="39">
        <f t="shared" si="483"/>
        <v>0</v>
      </c>
      <c r="AI793" s="39"/>
      <c r="AJ793" s="39"/>
      <c r="AK793" s="39"/>
      <c r="AL793" s="39"/>
      <c r="AM793" s="39"/>
      <c r="AN793" s="39">
        <f t="shared" si="196"/>
        <v>0</v>
      </c>
      <c r="AO793" s="39"/>
      <c r="AP793" s="39"/>
      <c r="AQ793" s="39"/>
      <c r="AR793" s="39"/>
      <c r="AS793" s="39"/>
      <c r="AT793" s="39">
        <f t="shared" si="367"/>
        <v>0</v>
      </c>
      <c r="AU793" s="39"/>
      <c r="AV793" s="39"/>
      <c r="AW793" s="39"/>
      <c r="AX793" s="39"/>
      <c r="AY793" s="39"/>
      <c r="AZ793" s="39">
        <f t="shared" si="368"/>
        <v>0</v>
      </c>
      <c r="BA793" s="39"/>
      <c r="BB793" s="39"/>
      <c r="BC793" s="39"/>
      <c r="BD793" s="39"/>
      <c r="BE793" s="39"/>
      <c r="BF793" s="39">
        <f t="shared" si="369"/>
        <v>0</v>
      </c>
      <c r="BG793" s="39"/>
      <c r="BH793" s="39"/>
      <c r="BI793" s="39"/>
      <c r="BJ793" s="39"/>
      <c r="BK793" s="39"/>
      <c r="BL793" s="39">
        <f t="shared" si="484"/>
        <v>0</v>
      </c>
      <c r="BM793" s="54">
        <f t="shared" ca="1" si="371"/>
        <v>46283</v>
      </c>
      <c r="BN793" s="66">
        <v>46279</v>
      </c>
      <c r="BO793" s="117">
        <v>46298</v>
      </c>
      <c r="BP793" s="39"/>
      <c r="BQ793" s="39"/>
      <c r="BR793" s="39"/>
      <c r="BS793" s="39"/>
      <c r="BT793" s="39"/>
      <c r="BU793" s="39"/>
      <c r="BV793" s="39"/>
      <c r="BW793" s="39"/>
      <c r="BX793" s="39"/>
      <c r="BY793" s="39"/>
      <c r="BZ793" s="39">
        <f t="shared" si="485"/>
        <v>0</v>
      </c>
      <c r="CA793" s="39">
        <f t="shared" si="373"/>
        <v>-648</v>
      </c>
      <c r="CB793" s="39">
        <f t="shared" si="374"/>
        <v>0</v>
      </c>
      <c r="CC793" s="39">
        <f t="shared" si="375"/>
        <v>0</v>
      </c>
      <c r="CD793" s="39">
        <f t="shared" si="376"/>
        <v>-648</v>
      </c>
      <c r="CE793" s="102">
        <f t="shared" si="377"/>
        <v>-1</v>
      </c>
      <c r="CF793" s="36" t="s">
        <v>252</v>
      </c>
      <c r="CG793" s="39" t="s">
        <v>223</v>
      </c>
      <c r="CH793" s="39"/>
      <c r="CI793" s="25">
        <v>2</v>
      </c>
    </row>
    <row r="794" spans="1:87" ht="24.75" customHeight="1">
      <c r="A794" s="36" t="s">
        <v>388</v>
      </c>
      <c r="B794" s="27" t="s">
        <v>2439</v>
      </c>
      <c r="C794" s="231"/>
      <c r="D794" s="36"/>
      <c r="E794" s="39">
        <v>230</v>
      </c>
      <c r="F794" s="39" t="s">
        <v>58</v>
      </c>
      <c r="G794" s="36" t="s">
        <v>23</v>
      </c>
      <c r="H794" s="39" t="s">
        <v>96</v>
      </c>
      <c r="I794" s="39">
        <v>801</v>
      </c>
      <c r="J794" s="39"/>
      <c r="K794" s="39"/>
      <c r="L794" s="39">
        <f t="shared" si="504"/>
        <v>801</v>
      </c>
      <c r="M794" s="117">
        <v>46266</v>
      </c>
      <c r="N794" s="117">
        <v>46279</v>
      </c>
      <c r="O794" s="39"/>
      <c r="P794" s="39"/>
      <c r="Q794" s="39"/>
      <c r="R794" s="39">
        <f t="shared" si="505"/>
        <v>0</v>
      </c>
      <c r="S794" s="39" t="s">
        <v>130</v>
      </c>
      <c r="T794" s="39">
        <v>109087</v>
      </c>
      <c r="U794" s="117">
        <v>46268</v>
      </c>
      <c r="V794" s="39"/>
      <c r="W794" s="39"/>
      <c r="X794" s="39"/>
      <c r="Y794" s="39">
        <v>873</v>
      </c>
      <c r="Z794" s="39"/>
      <c r="AA794" s="39"/>
      <c r="AB794" s="119">
        <f t="shared" si="506"/>
        <v>873</v>
      </c>
      <c r="AC794" s="39"/>
      <c r="AD794" s="39"/>
      <c r="AE794" s="39"/>
      <c r="AF794" s="39"/>
      <c r="AG794" s="39"/>
      <c r="AH794" s="39">
        <f t="shared" si="483"/>
        <v>0</v>
      </c>
      <c r="AI794" s="39"/>
      <c r="AJ794" s="39"/>
      <c r="AK794" s="39"/>
      <c r="AL794" s="39"/>
      <c r="AM794" s="39"/>
      <c r="AN794" s="39">
        <f t="shared" si="196"/>
        <v>0</v>
      </c>
      <c r="AO794" s="39"/>
      <c r="AP794" s="39"/>
      <c r="AQ794" s="39"/>
      <c r="AR794" s="39"/>
      <c r="AS794" s="39"/>
      <c r="AT794" s="39">
        <f t="shared" si="367"/>
        <v>0</v>
      </c>
      <c r="AU794" s="39"/>
      <c r="AV794" s="39"/>
      <c r="AW794" s="39"/>
      <c r="AX794" s="39"/>
      <c r="AY794" s="39"/>
      <c r="AZ794" s="39">
        <f t="shared" si="368"/>
        <v>0</v>
      </c>
      <c r="BA794" s="39"/>
      <c r="BB794" s="39"/>
      <c r="BC794" s="39"/>
      <c r="BD794" s="39"/>
      <c r="BE794" s="39"/>
      <c r="BF794" s="39">
        <f t="shared" si="369"/>
        <v>0</v>
      </c>
      <c r="BG794" s="39"/>
      <c r="BH794" s="39"/>
      <c r="BI794" s="39"/>
      <c r="BJ794" s="39"/>
      <c r="BK794" s="39"/>
      <c r="BL794" s="39">
        <f t="shared" si="484"/>
        <v>0</v>
      </c>
      <c r="BM794" s="54" t="str">
        <f t="shared" si="371"/>
        <v/>
      </c>
      <c r="BN794" s="66">
        <v>46279</v>
      </c>
      <c r="BO794" s="117">
        <v>46298</v>
      </c>
      <c r="BP794" s="39"/>
      <c r="BQ794" s="39"/>
      <c r="BR794" s="117">
        <v>46272</v>
      </c>
      <c r="BS794" s="117">
        <v>46272</v>
      </c>
      <c r="BT794" s="39" t="s">
        <v>2926</v>
      </c>
      <c r="BU794" s="39">
        <f>788+56</f>
        <v>844</v>
      </c>
      <c r="BV794" s="39"/>
      <c r="BW794" s="39"/>
      <c r="BX794" s="39"/>
      <c r="BY794" s="39"/>
      <c r="BZ794" s="39">
        <f t="shared" si="485"/>
        <v>844</v>
      </c>
      <c r="CA794" s="39">
        <f t="shared" si="373"/>
        <v>43</v>
      </c>
      <c r="CB794" s="39">
        <f t="shared" si="374"/>
        <v>0</v>
      </c>
      <c r="CC794" s="39">
        <f t="shared" si="375"/>
        <v>0</v>
      </c>
      <c r="CD794" s="39">
        <f t="shared" si="376"/>
        <v>0</v>
      </c>
      <c r="CE794" s="102">
        <f t="shared" si="377"/>
        <v>0</v>
      </c>
      <c r="CF794" s="36" t="s">
        <v>252</v>
      </c>
      <c r="CG794" s="39" t="s">
        <v>223</v>
      </c>
      <c r="CH794" s="39" t="s">
        <v>561</v>
      </c>
      <c r="CI794" s="25">
        <v>2</v>
      </c>
    </row>
    <row r="795" spans="1:87" ht="24.75" customHeight="1">
      <c r="A795" s="36" t="s">
        <v>388</v>
      </c>
      <c r="B795" s="27" t="s">
        <v>2439</v>
      </c>
      <c r="C795" s="231"/>
      <c r="D795" s="36"/>
      <c r="E795" s="39">
        <v>230</v>
      </c>
      <c r="F795" s="39" t="s">
        <v>58</v>
      </c>
      <c r="G795" s="36" t="s">
        <v>2441</v>
      </c>
      <c r="H795" s="39" t="s">
        <v>96</v>
      </c>
      <c r="I795" s="39">
        <v>1618</v>
      </c>
      <c r="J795" s="39"/>
      <c r="K795" s="39"/>
      <c r="L795" s="39">
        <f t="shared" si="504"/>
        <v>1618</v>
      </c>
      <c r="M795" s="117">
        <v>46266</v>
      </c>
      <c r="N795" s="117">
        <v>46279</v>
      </c>
      <c r="O795" s="39"/>
      <c r="P795" s="39"/>
      <c r="Q795" s="39"/>
      <c r="R795" s="39">
        <f t="shared" si="505"/>
        <v>0</v>
      </c>
      <c r="S795" s="39" t="s">
        <v>28</v>
      </c>
      <c r="T795" s="39"/>
      <c r="U795" s="39"/>
      <c r="V795" s="117" t="s">
        <v>3063</v>
      </c>
      <c r="W795" s="39">
        <f>745+735</f>
        <v>1480</v>
      </c>
      <c r="X795" s="39"/>
      <c r="Y795" s="39"/>
      <c r="Z795" s="39"/>
      <c r="AA795" s="39"/>
      <c r="AB795" s="118">
        <f t="shared" si="506"/>
        <v>0</v>
      </c>
      <c r="AC795" s="39"/>
      <c r="AD795" s="39"/>
      <c r="AE795" s="39"/>
      <c r="AF795" s="39"/>
      <c r="AG795" s="39"/>
      <c r="AH795" s="39">
        <f t="shared" si="483"/>
        <v>0</v>
      </c>
      <c r="AI795" s="39"/>
      <c r="AJ795" s="39"/>
      <c r="AK795" s="39"/>
      <c r="AL795" s="39"/>
      <c r="AM795" s="39"/>
      <c r="AN795" s="39">
        <f t="shared" si="196"/>
        <v>0</v>
      </c>
      <c r="AO795" s="39"/>
      <c r="AP795" s="39"/>
      <c r="AQ795" s="39"/>
      <c r="AR795" s="39"/>
      <c r="AS795" s="39"/>
      <c r="AT795" s="39">
        <f t="shared" si="367"/>
        <v>0</v>
      </c>
      <c r="AU795" s="39"/>
      <c r="AV795" s="39"/>
      <c r="AW795" s="39"/>
      <c r="AX795" s="39"/>
      <c r="AY795" s="39"/>
      <c r="AZ795" s="39">
        <f t="shared" si="368"/>
        <v>0</v>
      </c>
      <c r="BA795" s="39"/>
      <c r="BB795" s="39"/>
      <c r="BC795" s="39"/>
      <c r="BD795" s="39"/>
      <c r="BE795" s="39"/>
      <c r="BF795" s="39">
        <f t="shared" si="369"/>
        <v>0</v>
      </c>
      <c r="BG795" s="39"/>
      <c r="BH795" s="39"/>
      <c r="BI795" s="39"/>
      <c r="BJ795" s="39"/>
      <c r="BK795" s="39"/>
      <c r="BL795" s="39">
        <f t="shared" si="484"/>
        <v>0</v>
      </c>
      <c r="BM795" s="54">
        <f t="shared" ca="1" si="371"/>
        <v>46283</v>
      </c>
      <c r="BN795" s="66">
        <v>46279</v>
      </c>
      <c r="BO795" s="117">
        <v>46298</v>
      </c>
      <c r="BP795" s="39"/>
      <c r="BQ795" s="39"/>
      <c r="BR795" s="39"/>
      <c r="BS795" s="39"/>
      <c r="BT795" s="39"/>
      <c r="BU795" s="39"/>
      <c r="BV795" s="39"/>
      <c r="BW795" s="39"/>
      <c r="BX795" s="39"/>
      <c r="BY795" s="39"/>
      <c r="BZ795" s="39">
        <f t="shared" si="485"/>
        <v>0</v>
      </c>
      <c r="CA795" s="39">
        <f t="shared" si="373"/>
        <v>-1618</v>
      </c>
      <c r="CB795" s="39">
        <f t="shared" si="374"/>
        <v>0</v>
      </c>
      <c r="CC795" s="39">
        <f t="shared" si="375"/>
        <v>0</v>
      </c>
      <c r="CD795" s="39">
        <f t="shared" si="376"/>
        <v>-1618</v>
      </c>
      <c r="CE795" s="102">
        <f t="shared" si="377"/>
        <v>-1</v>
      </c>
      <c r="CF795" s="36" t="s">
        <v>252</v>
      </c>
      <c r="CG795" s="39" t="s">
        <v>223</v>
      </c>
      <c r="CH795" s="39"/>
      <c r="CI795" s="25">
        <v>2</v>
      </c>
    </row>
    <row r="796" spans="1:87" ht="24.75" customHeight="1">
      <c r="A796" s="36" t="s">
        <v>388</v>
      </c>
      <c r="B796" s="27" t="s">
        <v>2439</v>
      </c>
      <c r="C796" s="228"/>
      <c r="D796" s="36"/>
      <c r="E796" s="39">
        <v>230</v>
      </c>
      <c r="F796" s="39" t="s">
        <v>58</v>
      </c>
      <c r="G796" s="36" t="s">
        <v>187</v>
      </c>
      <c r="H796" s="39" t="s">
        <v>96</v>
      </c>
      <c r="I796" s="39">
        <v>546</v>
      </c>
      <c r="J796" s="39"/>
      <c r="K796" s="39"/>
      <c r="L796" s="39">
        <f t="shared" si="504"/>
        <v>546</v>
      </c>
      <c r="M796" s="117">
        <v>46266</v>
      </c>
      <c r="N796" s="117">
        <v>46279</v>
      </c>
      <c r="O796" s="39"/>
      <c r="P796" s="39"/>
      <c r="Q796" s="39"/>
      <c r="R796" s="39">
        <f t="shared" si="505"/>
        <v>0</v>
      </c>
      <c r="S796" s="39" t="s">
        <v>28</v>
      </c>
      <c r="T796" s="39"/>
      <c r="U796" s="39"/>
      <c r="V796" s="117">
        <v>46280</v>
      </c>
      <c r="W796" s="39">
        <v>621</v>
      </c>
      <c r="X796" s="39"/>
      <c r="Y796" s="39"/>
      <c r="Z796" s="39"/>
      <c r="AA796" s="39"/>
      <c r="AB796" s="118">
        <f t="shared" si="506"/>
        <v>0</v>
      </c>
      <c r="AC796" s="39"/>
      <c r="AD796" s="39"/>
      <c r="AE796" s="39"/>
      <c r="AF796" s="39"/>
      <c r="AG796" s="39"/>
      <c r="AH796" s="39">
        <f t="shared" si="483"/>
        <v>0</v>
      </c>
      <c r="AI796" s="39"/>
      <c r="AJ796" s="39"/>
      <c r="AK796" s="39"/>
      <c r="AL796" s="39"/>
      <c r="AM796" s="39"/>
      <c r="AN796" s="39">
        <f t="shared" si="196"/>
        <v>0</v>
      </c>
      <c r="AO796" s="39"/>
      <c r="AP796" s="39"/>
      <c r="AQ796" s="39"/>
      <c r="AR796" s="39"/>
      <c r="AS796" s="39"/>
      <c r="AT796" s="39">
        <f t="shared" si="367"/>
        <v>0</v>
      </c>
      <c r="AU796" s="39"/>
      <c r="AV796" s="39"/>
      <c r="AW796" s="39"/>
      <c r="AX796" s="39"/>
      <c r="AY796" s="39"/>
      <c r="AZ796" s="39">
        <f t="shared" si="368"/>
        <v>0</v>
      </c>
      <c r="BA796" s="39"/>
      <c r="BB796" s="39"/>
      <c r="BC796" s="39"/>
      <c r="BD796" s="39"/>
      <c r="BE796" s="39"/>
      <c r="BF796" s="39">
        <f t="shared" si="369"/>
        <v>0</v>
      </c>
      <c r="BG796" s="39"/>
      <c r="BH796" s="39"/>
      <c r="BI796" s="39"/>
      <c r="BJ796" s="39"/>
      <c r="BK796" s="39"/>
      <c r="BL796" s="39">
        <f t="shared" si="484"/>
        <v>0</v>
      </c>
      <c r="BM796" s="54">
        <f t="shared" ca="1" si="371"/>
        <v>46283</v>
      </c>
      <c r="BN796" s="66">
        <v>46279</v>
      </c>
      <c r="BO796" s="117">
        <v>46298</v>
      </c>
      <c r="BP796" s="39"/>
      <c r="BQ796" s="39"/>
      <c r="BR796" s="39"/>
      <c r="BS796" s="39"/>
      <c r="BT796" s="39"/>
      <c r="BU796" s="39"/>
      <c r="BV796" s="39"/>
      <c r="BW796" s="39"/>
      <c r="BX796" s="39"/>
      <c r="BY796" s="39"/>
      <c r="BZ796" s="39">
        <f t="shared" si="485"/>
        <v>0</v>
      </c>
      <c r="CA796" s="39">
        <f t="shared" si="373"/>
        <v>-546</v>
      </c>
      <c r="CB796" s="39">
        <f t="shared" si="374"/>
        <v>0</v>
      </c>
      <c r="CC796" s="39">
        <f t="shared" si="375"/>
        <v>0</v>
      </c>
      <c r="CD796" s="39">
        <f t="shared" si="376"/>
        <v>-546</v>
      </c>
      <c r="CE796" s="102">
        <f t="shared" si="377"/>
        <v>-1</v>
      </c>
      <c r="CF796" s="36" t="s">
        <v>252</v>
      </c>
      <c r="CG796" s="39" t="s">
        <v>223</v>
      </c>
      <c r="CH796" s="39"/>
      <c r="CI796" s="25">
        <v>2</v>
      </c>
    </row>
    <row r="797" spans="1:87" ht="24.75" customHeight="1">
      <c r="A797" s="36" t="s">
        <v>388</v>
      </c>
      <c r="B797" s="27" t="s">
        <v>2442</v>
      </c>
      <c r="C797" s="227">
        <v>15323159</v>
      </c>
      <c r="D797" s="36"/>
      <c r="E797" s="39">
        <v>230</v>
      </c>
      <c r="F797" s="39" t="s">
        <v>53</v>
      </c>
      <c r="G797" s="36" t="s">
        <v>1367</v>
      </c>
      <c r="H797" s="39" t="s">
        <v>96</v>
      </c>
      <c r="I797" s="39">
        <v>18</v>
      </c>
      <c r="J797" s="39"/>
      <c r="K797" s="39"/>
      <c r="L797" s="39">
        <f t="shared" si="504"/>
        <v>18</v>
      </c>
      <c r="M797" s="117">
        <v>46266</v>
      </c>
      <c r="N797" s="117">
        <v>46277</v>
      </c>
      <c r="O797" s="39"/>
      <c r="P797" s="39"/>
      <c r="Q797" s="39"/>
      <c r="R797" s="39">
        <f t="shared" si="505"/>
        <v>0</v>
      </c>
      <c r="S797" s="39" t="s">
        <v>28</v>
      </c>
      <c r="T797" s="39"/>
      <c r="U797" s="39"/>
      <c r="V797" s="117">
        <v>46270</v>
      </c>
      <c r="W797" s="39">
        <v>28</v>
      </c>
      <c r="X797" s="39"/>
      <c r="Y797" s="39"/>
      <c r="Z797" s="39"/>
      <c r="AA797" s="39"/>
      <c r="AB797" s="118">
        <f t="shared" si="506"/>
        <v>0</v>
      </c>
      <c r="AC797" s="39"/>
      <c r="AD797" s="39"/>
      <c r="AE797" s="39"/>
      <c r="AF797" s="39"/>
      <c r="AG797" s="39"/>
      <c r="AH797" s="39">
        <f t="shared" si="483"/>
        <v>0</v>
      </c>
      <c r="AI797" s="39"/>
      <c r="AJ797" s="39"/>
      <c r="AK797" s="39"/>
      <c r="AL797" s="39"/>
      <c r="AM797" s="39"/>
      <c r="AN797" s="39">
        <f t="shared" si="196"/>
        <v>0</v>
      </c>
      <c r="AO797" s="39"/>
      <c r="AP797" s="39"/>
      <c r="AQ797" s="39"/>
      <c r="AR797" s="39"/>
      <c r="AS797" s="39"/>
      <c r="AT797" s="39">
        <f t="shared" si="367"/>
        <v>0</v>
      </c>
      <c r="AU797" s="39"/>
      <c r="AV797" s="39"/>
      <c r="AW797" s="39"/>
      <c r="AX797" s="39"/>
      <c r="AY797" s="39"/>
      <c r="AZ797" s="39">
        <f t="shared" si="368"/>
        <v>0</v>
      </c>
      <c r="BA797" s="39"/>
      <c r="BB797" s="39"/>
      <c r="BC797" s="39"/>
      <c r="BD797" s="39"/>
      <c r="BE797" s="39"/>
      <c r="BF797" s="39">
        <f t="shared" si="369"/>
        <v>0</v>
      </c>
      <c r="BG797" s="39"/>
      <c r="BH797" s="39"/>
      <c r="BI797" s="39"/>
      <c r="BJ797" s="39"/>
      <c r="BK797" s="39"/>
      <c r="BL797" s="39">
        <f t="shared" si="484"/>
        <v>0</v>
      </c>
      <c r="BM797" s="54">
        <f t="shared" ca="1" si="371"/>
        <v>46283</v>
      </c>
      <c r="BN797" s="66">
        <v>46280</v>
      </c>
      <c r="BO797" s="117">
        <v>46297</v>
      </c>
      <c r="BP797" s="39"/>
      <c r="BQ797" s="39"/>
      <c r="BR797" s="39"/>
      <c r="BS797" s="39"/>
      <c r="BT797" s="39"/>
      <c r="BU797" s="39"/>
      <c r="BV797" s="39"/>
      <c r="BW797" s="39"/>
      <c r="BX797" s="39"/>
      <c r="BY797" s="39"/>
      <c r="BZ797" s="39">
        <f t="shared" si="485"/>
        <v>0</v>
      </c>
      <c r="CA797" s="39">
        <f t="shared" si="373"/>
        <v>-18</v>
      </c>
      <c r="CB797" s="39">
        <f t="shared" si="374"/>
        <v>0</v>
      </c>
      <c r="CC797" s="39">
        <f t="shared" si="375"/>
        <v>0</v>
      </c>
      <c r="CD797" s="39">
        <f t="shared" si="376"/>
        <v>-18</v>
      </c>
      <c r="CE797" s="102">
        <f t="shared" si="377"/>
        <v>-1</v>
      </c>
      <c r="CF797" s="36" t="s">
        <v>252</v>
      </c>
      <c r="CG797" s="39" t="s">
        <v>223</v>
      </c>
      <c r="CH797" s="39"/>
      <c r="CI797" s="25">
        <v>2</v>
      </c>
    </row>
    <row r="798" spans="1:87" ht="24.75" customHeight="1">
      <c r="A798" s="36" t="s">
        <v>388</v>
      </c>
      <c r="B798" s="27" t="s">
        <v>2442</v>
      </c>
      <c r="C798" s="231"/>
      <c r="D798" s="36"/>
      <c r="E798" s="39">
        <v>230</v>
      </c>
      <c r="F798" s="39" t="s">
        <v>53</v>
      </c>
      <c r="G798" s="36" t="s">
        <v>2429</v>
      </c>
      <c r="H798" s="39" t="s">
        <v>96</v>
      </c>
      <c r="I798" s="39">
        <v>268</v>
      </c>
      <c r="J798" s="39"/>
      <c r="K798" s="39"/>
      <c r="L798" s="39">
        <f t="shared" si="504"/>
        <v>268</v>
      </c>
      <c r="M798" s="117">
        <v>46266</v>
      </c>
      <c r="N798" s="117">
        <v>46277</v>
      </c>
      <c r="O798" s="39"/>
      <c r="P798" s="39"/>
      <c r="Q798" s="39"/>
      <c r="R798" s="39">
        <f t="shared" si="505"/>
        <v>0</v>
      </c>
      <c r="S798" s="39" t="s">
        <v>28</v>
      </c>
      <c r="T798" s="39"/>
      <c r="U798" s="39"/>
      <c r="V798" s="117">
        <v>46268</v>
      </c>
      <c r="W798" s="39">
        <v>300</v>
      </c>
      <c r="X798" s="117">
        <v>46280</v>
      </c>
      <c r="Y798" s="39">
        <v>266</v>
      </c>
      <c r="Z798" s="39"/>
      <c r="AA798" s="39"/>
      <c r="AB798" s="119">
        <f t="shared" si="506"/>
        <v>266</v>
      </c>
      <c r="AC798" s="39"/>
      <c r="AD798" s="39"/>
      <c r="AE798" s="39"/>
      <c r="AF798" s="39"/>
      <c r="AG798" s="39"/>
      <c r="AH798" s="39">
        <f t="shared" si="483"/>
        <v>0</v>
      </c>
      <c r="AI798" s="39"/>
      <c r="AJ798" s="39"/>
      <c r="AK798" s="39"/>
      <c r="AL798" s="39"/>
      <c r="AM798" s="39"/>
      <c r="AN798" s="39">
        <f t="shared" si="196"/>
        <v>0</v>
      </c>
      <c r="AO798" s="39"/>
      <c r="AP798" s="39"/>
      <c r="AQ798" s="39"/>
      <c r="AR798" s="39"/>
      <c r="AS798" s="39"/>
      <c r="AT798" s="39">
        <f t="shared" si="367"/>
        <v>0</v>
      </c>
      <c r="AU798" s="39"/>
      <c r="AV798" s="39"/>
      <c r="AW798" s="39"/>
      <c r="AX798" s="39"/>
      <c r="AY798" s="39"/>
      <c r="AZ798" s="39">
        <f t="shared" si="368"/>
        <v>0</v>
      </c>
      <c r="BA798" s="39"/>
      <c r="BB798" s="39"/>
      <c r="BC798" s="39"/>
      <c r="BD798" s="39"/>
      <c r="BE798" s="39"/>
      <c r="BF798" s="39">
        <f t="shared" si="369"/>
        <v>0</v>
      </c>
      <c r="BG798" s="39"/>
      <c r="BH798" s="39"/>
      <c r="BI798" s="39"/>
      <c r="BJ798" s="39"/>
      <c r="BK798" s="39"/>
      <c r="BL798" s="39">
        <f t="shared" si="484"/>
        <v>0</v>
      </c>
      <c r="BM798" s="54" t="str">
        <f t="shared" si="371"/>
        <v/>
      </c>
      <c r="BN798" s="66">
        <v>46280</v>
      </c>
      <c r="BO798" s="117">
        <v>46297</v>
      </c>
      <c r="BP798" s="39"/>
      <c r="BQ798" s="39"/>
      <c r="BR798" s="117">
        <v>46281</v>
      </c>
      <c r="BS798" s="117">
        <v>46281</v>
      </c>
      <c r="BT798" s="39">
        <v>865</v>
      </c>
      <c r="BU798" s="39">
        <v>266</v>
      </c>
      <c r="BV798" s="39"/>
      <c r="BW798" s="39"/>
      <c r="BX798" s="39"/>
      <c r="BY798" s="39"/>
      <c r="BZ798" s="39">
        <f t="shared" si="485"/>
        <v>266</v>
      </c>
      <c r="CA798" s="39">
        <f t="shared" si="373"/>
        <v>-2</v>
      </c>
      <c r="CB798" s="39">
        <f t="shared" si="374"/>
        <v>0</v>
      </c>
      <c r="CC798" s="39">
        <f t="shared" si="375"/>
        <v>0</v>
      </c>
      <c r="CD798" s="39">
        <v>0</v>
      </c>
      <c r="CE798" s="102">
        <f t="shared" si="377"/>
        <v>0</v>
      </c>
      <c r="CF798" s="36" t="s">
        <v>252</v>
      </c>
      <c r="CG798" s="39" t="s">
        <v>223</v>
      </c>
      <c r="CH798" s="39"/>
      <c r="CI798" s="25">
        <v>2</v>
      </c>
    </row>
    <row r="799" spans="1:87" ht="24.75" customHeight="1">
      <c r="A799" s="36" t="s">
        <v>388</v>
      </c>
      <c r="B799" s="27" t="s">
        <v>2442</v>
      </c>
      <c r="C799" s="231"/>
      <c r="D799" s="36"/>
      <c r="E799" s="39">
        <v>230</v>
      </c>
      <c r="F799" s="39" t="s">
        <v>53</v>
      </c>
      <c r="G799" s="36" t="s">
        <v>47</v>
      </c>
      <c r="H799" s="39" t="s">
        <v>96</v>
      </c>
      <c r="I799" s="39">
        <v>1733</v>
      </c>
      <c r="J799" s="39"/>
      <c r="K799" s="39"/>
      <c r="L799" s="39">
        <f t="shared" si="504"/>
        <v>1733</v>
      </c>
      <c r="M799" s="117">
        <v>46266</v>
      </c>
      <c r="N799" s="117">
        <v>46277</v>
      </c>
      <c r="O799" s="39"/>
      <c r="P799" s="39"/>
      <c r="Q799" s="39"/>
      <c r="R799" s="39">
        <f t="shared" si="505"/>
        <v>0</v>
      </c>
      <c r="S799" s="39" t="s">
        <v>130</v>
      </c>
      <c r="T799" s="39"/>
      <c r="U799" s="39"/>
      <c r="V799" s="39"/>
      <c r="W799" s="39"/>
      <c r="X799" s="39"/>
      <c r="Y799" s="39"/>
      <c r="Z799" s="39"/>
      <c r="AA799" s="39"/>
      <c r="AB799" s="118">
        <f t="shared" si="506"/>
        <v>0</v>
      </c>
      <c r="AC799" s="39"/>
      <c r="AD799" s="39"/>
      <c r="AE799" s="39"/>
      <c r="AF799" s="39"/>
      <c r="AG799" s="39"/>
      <c r="AH799" s="39">
        <f t="shared" si="483"/>
        <v>0</v>
      </c>
      <c r="AI799" s="39"/>
      <c r="AJ799" s="39"/>
      <c r="AK799" s="39"/>
      <c r="AL799" s="39"/>
      <c r="AM799" s="39"/>
      <c r="AN799" s="39">
        <f t="shared" si="196"/>
        <v>0</v>
      </c>
      <c r="AO799" s="39"/>
      <c r="AP799" s="39"/>
      <c r="AQ799" s="39"/>
      <c r="AR799" s="39"/>
      <c r="AS799" s="39"/>
      <c r="AT799" s="39">
        <f t="shared" si="367"/>
        <v>0</v>
      </c>
      <c r="AU799" s="39"/>
      <c r="AV799" s="39"/>
      <c r="AW799" s="39"/>
      <c r="AX799" s="39"/>
      <c r="AY799" s="39"/>
      <c r="AZ799" s="39">
        <f t="shared" si="368"/>
        <v>0</v>
      </c>
      <c r="BA799" s="39"/>
      <c r="BB799" s="39"/>
      <c r="BC799" s="39"/>
      <c r="BD799" s="39"/>
      <c r="BE799" s="39"/>
      <c r="BF799" s="39">
        <f t="shared" si="369"/>
        <v>0</v>
      </c>
      <c r="BG799" s="39"/>
      <c r="BH799" s="39"/>
      <c r="BI799" s="39"/>
      <c r="BJ799" s="39"/>
      <c r="BK799" s="39"/>
      <c r="BL799" s="39">
        <f t="shared" si="484"/>
        <v>0</v>
      </c>
      <c r="BM799" s="54">
        <f t="shared" ca="1" si="371"/>
        <v>46283</v>
      </c>
      <c r="BN799" s="66">
        <v>46280</v>
      </c>
      <c r="BO799" s="117">
        <v>46297</v>
      </c>
      <c r="BP799" s="39"/>
      <c r="BQ799" s="39"/>
      <c r="BR799" s="39"/>
      <c r="BS799" s="39"/>
      <c r="BT799" s="39"/>
      <c r="BU799" s="39"/>
      <c r="BV799" s="39"/>
      <c r="BW799" s="39"/>
      <c r="BX799" s="39"/>
      <c r="BY799" s="39"/>
      <c r="BZ799" s="39">
        <f t="shared" si="485"/>
        <v>0</v>
      </c>
      <c r="CA799" s="39">
        <f t="shared" si="373"/>
        <v>-1733</v>
      </c>
      <c r="CB799" s="39">
        <f t="shared" si="374"/>
        <v>0</v>
      </c>
      <c r="CC799" s="39">
        <f t="shared" si="375"/>
        <v>0</v>
      </c>
      <c r="CD799" s="39">
        <f t="shared" si="376"/>
        <v>-1733</v>
      </c>
      <c r="CE799" s="102">
        <f t="shared" si="377"/>
        <v>-1</v>
      </c>
      <c r="CF799" s="36" t="s">
        <v>252</v>
      </c>
      <c r="CG799" s="39" t="s">
        <v>223</v>
      </c>
      <c r="CH799" s="39"/>
      <c r="CI799" s="25">
        <v>2</v>
      </c>
    </row>
    <row r="800" spans="1:87" ht="24.75" customHeight="1">
      <c r="A800" s="36" t="s">
        <v>388</v>
      </c>
      <c r="B800" s="27" t="s">
        <v>2442</v>
      </c>
      <c r="C800" s="231"/>
      <c r="D800" s="36"/>
      <c r="E800" s="39">
        <v>230</v>
      </c>
      <c r="F800" s="39" t="s">
        <v>53</v>
      </c>
      <c r="G800" s="36" t="s">
        <v>547</v>
      </c>
      <c r="H800" s="39" t="s">
        <v>96</v>
      </c>
      <c r="I800" s="39">
        <v>315</v>
      </c>
      <c r="J800" s="39"/>
      <c r="K800" s="39"/>
      <c r="L800" s="39">
        <f t="shared" si="504"/>
        <v>315</v>
      </c>
      <c r="M800" s="117">
        <v>46266</v>
      </c>
      <c r="N800" s="117">
        <v>46277</v>
      </c>
      <c r="O800" s="39"/>
      <c r="P800" s="39"/>
      <c r="Q800" s="39"/>
      <c r="R800" s="39">
        <f t="shared" si="505"/>
        <v>0</v>
      </c>
      <c r="S800" s="39" t="s">
        <v>31</v>
      </c>
      <c r="T800" s="39"/>
      <c r="U800" s="39"/>
      <c r="V800" s="117">
        <v>46267</v>
      </c>
      <c r="W800" s="39">
        <v>353</v>
      </c>
      <c r="X800" s="39"/>
      <c r="Y800" s="39"/>
      <c r="Z800" s="39"/>
      <c r="AA800" s="39"/>
      <c r="AB800" s="118">
        <f t="shared" si="506"/>
        <v>0</v>
      </c>
      <c r="AC800" s="39"/>
      <c r="AD800" s="39"/>
      <c r="AE800" s="39"/>
      <c r="AF800" s="39"/>
      <c r="AG800" s="39"/>
      <c r="AH800" s="39">
        <f t="shared" si="483"/>
        <v>0</v>
      </c>
      <c r="AI800" s="39"/>
      <c r="AJ800" s="39"/>
      <c r="AK800" s="39"/>
      <c r="AL800" s="39"/>
      <c r="AM800" s="39"/>
      <c r="AN800" s="39">
        <f t="shared" si="196"/>
        <v>0</v>
      </c>
      <c r="AO800" s="39"/>
      <c r="AP800" s="39"/>
      <c r="AQ800" s="39"/>
      <c r="AR800" s="39"/>
      <c r="AS800" s="39"/>
      <c r="AT800" s="39">
        <f t="shared" si="367"/>
        <v>0</v>
      </c>
      <c r="AU800" s="39"/>
      <c r="AV800" s="39"/>
      <c r="AW800" s="39"/>
      <c r="AX800" s="39"/>
      <c r="AY800" s="39"/>
      <c r="AZ800" s="39">
        <f t="shared" si="368"/>
        <v>0</v>
      </c>
      <c r="BA800" s="39"/>
      <c r="BB800" s="39"/>
      <c r="BC800" s="39"/>
      <c r="BD800" s="39"/>
      <c r="BE800" s="39"/>
      <c r="BF800" s="39">
        <f t="shared" si="369"/>
        <v>0</v>
      </c>
      <c r="BG800" s="39"/>
      <c r="BH800" s="39"/>
      <c r="BI800" s="39"/>
      <c r="BJ800" s="39"/>
      <c r="BK800" s="39"/>
      <c r="BL800" s="39">
        <f t="shared" si="484"/>
        <v>0</v>
      </c>
      <c r="BM800" s="54">
        <f t="shared" ca="1" si="371"/>
        <v>46283</v>
      </c>
      <c r="BN800" s="66">
        <v>46280</v>
      </c>
      <c r="BO800" s="117">
        <v>46297</v>
      </c>
      <c r="BP800" s="39"/>
      <c r="BQ800" s="39"/>
      <c r="BR800" s="39"/>
      <c r="BS800" s="39"/>
      <c r="BT800" s="39"/>
      <c r="BU800" s="39"/>
      <c r="BV800" s="39"/>
      <c r="BW800" s="39"/>
      <c r="BX800" s="39"/>
      <c r="BY800" s="39"/>
      <c r="BZ800" s="39">
        <f t="shared" si="485"/>
        <v>0</v>
      </c>
      <c r="CA800" s="39">
        <f t="shared" si="373"/>
        <v>-315</v>
      </c>
      <c r="CB800" s="39">
        <f t="shared" si="374"/>
        <v>0</v>
      </c>
      <c r="CC800" s="39">
        <f t="shared" si="375"/>
        <v>0</v>
      </c>
      <c r="CD800" s="39">
        <f t="shared" si="376"/>
        <v>-315</v>
      </c>
      <c r="CE800" s="102">
        <f t="shared" si="377"/>
        <v>-1</v>
      </c>
      <c r="CF800" s="36" t="s">
        <v>252</v>
      </c>
      <c r="CG800" s="39" t="s">
        <v>223</v>
      </c>
      <c r="CH800" s="39"/>
      <c r="CI800" s="25">
        <v>2</v>
      </c>
    </row>
    <row r="801" spans="1:87" ht="24.75" customHeight="1">
      <c r="A801" s="36" t="s">
        <v>388</v>
      </c>
      <c r="B801" s="27" t="s">
        <v>2442</v>
      </c>
      <c r="C801" s="231"/>
      <c r="D801" s="36"/>
      <c r="E801" s="39">
        <v>230</v>
      </c>
      <c r="F801" s="39" t="s">
        <v>53</v>
      </c>
      <c r="G801" s="36" t="s">
        <v>2440</v>
      </c>
      <c r="H801" s="39" t="s">
        <v>96</v>
      </c>
      <c r="I801" s="39">
        <v>155</v>
      </c>
      <c r="J801" s="39"/>
      <c r="K801" s="39"/>
      <c r="L801" s="39">
        <f t="shared" si="504"/>
        <v>155</v>
      </c>
      <c r="M801" s="117">
        <v>46266</v>
      </c>
      <c r="N801" s="117">
        <v>46277</v>
      </c>
      <c r="O801" s="39"/>
      <c r="P801" s="39"/>
      <c r="Q801" s="39"/>
      <c r="R801" s="39">
        <f t="shared" si="505"/>
        <v>0</v>
      </c>
      <c r="S801" s="39" t="s">
        <v>270</v>
      </c>
      <c r="T801" s="39"/>
      <c r="U801" s="39"/>
      <c r="V801" s="39"/>
      <c r="W801" s="39"/>
      <c r="X801" s="39"/>
      <c r="Y801" s="39"/>
      <c r="Z801" s="39"/>
      <c r="AA801" s="39"/>
      <c r="AB801" s="118">
        <f t="shared" si="506"/>
        <v>0</v>
      </c>
      <c r="AC801" s="39"/>
      <c r="AD801" s="39"/>
      <c r="AE801" s="39"/>
      <c r="AF801" s="39"/>
      <c r="AG801" s="39"/>
      <c r="AH801" s="39">
        <f t="shared" si="483"/>
        <v>0</v>
      </c>
      <c r="AI801" s="39"/>
      <c r="AJ801" s="39"/>
      <c r="AK801" s="39"/>
      <c r="AL801" s="39"/>
      <c r="AM801" s="39"/>
      <c r="AN801" s="39">
        <f t="shared" si="196"/>
        <v>0</v>
      </c>
      <c r="AO801" s="39"/>
      <c r="AP801" s="39"/>
      <c r="AQ801" s="39"/>
      <c r="AR801" s="39"/>
      <c r="AS801" s="39"/>
      <c r="AT801" s="39">
        <f t="shared" si="367"/>
        <v>0</v>
      </c>
      <c r="AU801" s="39"/>
      <c r="AV801" s="39"/>
      <c r="AW801" s="39"/>
      <c r="AX801" s="39"/>
      <c r="AY801" s="39"/>
      <c r="AZ801" s="39">
        <f t="shared" si="368"/>
        <v>0</v>
      </c>
      <c r="BA801" s="39"/>
      <c r="BB801" s="39"/>
      <c r="BC801" s="39"/>
      <c r="BD801" s="39"/>
      <c r="BE801" s="39"/>
      <c r="BF801" s="39">
        <f t="shared" si="369"/>
        <v>0</v>
      </c>
      <c r="BG801" s="39"/>
      <c r="BH801" s="39"/>
      <c r="BI801" s="39"/>
      <c r="BJ801" s="39"/>
      <c r="BK801" s="39"/>
      <c r="BL801" s="39">
        <f t="shared" si="484"/>
        <v>0</v>
      </c>
      <c r="BM801" s="54">
        <f t="shared" ca="1" si="371"/>
        <v>46283</v>
      </c>
      <c r="BN801" s="66">
        <v>46280</v>
      </c>
      <c r="BO801" s="117">
        <v>46297</v>
      </c>
      <c r="BP801" s="39"/>
      <c r="BQ801" s="39"/>
      <c r="BR801" s="39"/>
      <c r="BS801" s="39"/>
      <c r="BT801" s="39"/>
      <c r="BU801" s="39"/>
      <c r="BV801" s="39"/>
      <c r="BW801" s="39"/>
      <c r="BX801" s="39"/>
      <c r="BY801" s="39"/>
      <c r="BZ801" s="39">
        <f t="shared" si="485"/>
        <v>0</v>
      </c>
      <c r="CA801" s="39">
        <f t="shared" si="373"/>
        <v>-155</v>
      </c>
      <c r="CB801" s="39">
        <f t="shared" si="374"/>
        <v>0</v>
      </c>
      <c r="CC801" s="39">
        <f t="shared" si="375"/>
        <v>0</v>
      </c>
      <c r="CD801" s="39">
        <f t="shared" si="376"/>
        <v>-155</v>
      </c>
      <c r="CE801" s="102">
        <f t="shared" si="377"/>
        <v>-1</v>
      </c>
      <c r="CF801" s="36" t="s">
        <v>252</v>
      </c>
      <c r="CG801" s="39" t="s">
        <v>223</v>
      </c>
      <c r="CH801" s="39"/>
      <c r="CI801" s="25">
        <v>2</v>
      </c>
    </row>
    <row r="802" spans="1:87" ht="24.75" customHeight="1">
      <c r="A802" s="36" t="s">
        <v>388</v>
      </c>
      <c r="B802" s="27" t="s">
        <v>2442</v>
      </c>
      <c r="C802" s="231"/>
      <c r="D802" s="36"/>
      <c r="E802" s="39">
        <v>230</v>
      </c>
      <c r="F802" s="39" t="s">
        <v>53</v>
      </c>
      <c r="G802" s="36" t="s">
        <v>39</v>
      </c>
      <c r="H802" s="39" t="s">
        <v>96</v>
      </c>
      <c r="I802" s="39">
        <v>318</v>
      </c>
      <c r="J802" s="39"/>
      <c r="K802" s="39"/>
      <c r="L802" s="39">
        <f t="shared" si="504"/>
        <v>318</v>
      </c>
      <c r="M802" s="117">
        <v>46266</v>
      </c>
      <c r="N802" s="117">
        <v>46277</v>
      </c>
      <c r="O802" s="39"/>
      <c r="P802" s="39"/>
      <c r="Q802" s="39"/>
      <c r="R802" s="39">
        <f t="shared" si="505"/>
        <v>0</v>
      </c>
      <c r="S802" s="39" t="s">
        <v>130</v>
      </c>
      <c r="T802" s="39"/>
      <c r="U802" s="39"/>
      <c r="V802" s="39"/>
      <c r="W802" s="39"/>
      <c r="X802" s="39"/>
      <c r="Y802" s="39"/>
      <c r="Z802" s="39"/>
      <c r="AA802" s="39"/>
      <c r="AB802" s="118">
        <f t="shared" si="506"/>
        <v>0</v>
      </c>
      <c r="AC802" s="39"/>
      <c r="AD802" s="39"/>
      <c r="AE802" s="39"/>
      <c r="AF802" s="39"/>
      <c r="AG802" s="39"/>
      <c r="AH802" s="39">
        <f t="shared" si="483"/>
        <v>0</v>
      </c>
      <c r="AI802" s="39"/>
      <c r="AJ802" s="39"/>
      <c r="AK802" s="39"/>
      <c r="AL802" s="39"/>
      <c r="AM802" s="39"/>
      <c r="AN802" s="39">
        <f t="shared" si="196"/>
        <v>0</v>
      </c>
      <c r="AO802" s="39"/>
      <c r="AP802" s="39"/>
      <c r="AQ802" s="39"/>
      <c r="AR802" s="39"/>
      <c r="AS802" s="39"/>
      <c r="AT802" s="39">
        <f t="shared" si="367"/>
        <v>0</v>
      </c>
      <c r="AU802" s="39"/>
      <c r="AV802" s="39"/>
      <c r="AW802" s="39"/>
      <c r="AX802" s="39"/>
      <c r="AY802" s="39"/>
      <c r="AZ802" s="39">
        <f t="shared" si="368"/>
        <v>0</v>
      </c>
      <c r="BA802" s="39"/>
      <c r="BB802" s="39"/>
      <c r="BC802" s="39"/>
      <c r="BD802" s="39"/>
      <c r="BE802" s="39"/>
      <c r="BF802" s="39">
        <f t="shared" si="369"/>
        <v>0</v>
      </c>
      <c r="BG802" s="39"/>
      <c r="BH802" s="39"/>
      <c r="BI802" s="39"/>
      <c r="BJ802" s="39"/>
      <c r="BK802" s="39"/>
      <c r="BL802" s="39">
        <f t="shared" si="484"/>
        <v>0</v>
      </c>
      <c r="BM802" s="54">
        <f t="shared" ca="1" si="371"/>
        <v>46283</v>
      </c>
      <c r="BN802" s="66">
        <v>46280</v>
      </c>
      <c r="BO802" s="117">
        <v>46297</v>
      </c>
      <c r="BP802" s="39"/>
      <c r="BQ802" s="39"/>
      <c r="BR802" s="39"/>
      <c r="BS802" s="39"/>
      <c r="BT802" s="39"/>
      <c r="BU802" s="39"/>
      <c r="BV802" s="39"/>
      <c r="BW802" s="39"/>
      <c r="BX802" s="39"/>
      <c r="BY802" s="39"/>
      <c r="BZ802" s="39">
        <f t="shared" si="485"/>
        <v>0</v>
      </c>
      <c r="CA802" s="39">
        <f t="shared" si="373"/>
        <v>-318</v>
      </c>
      <c r="CB802" s="39">
        <f t="shared" si="374"/>
        <v>0</v>
      </c>
      <c r="CC802" s="39">
        <f t="shared" si="375"/>
        <v>0</v>
      </c>
      <c r="CD802" s="39">
        <f t="shared" si="376"/>
        <v>-318</v>
      </c>
      <c r="CE802" s="102">
        <f t="shared" si="377"/>
        <v>-1</v>
      </c>
      <c r="CF802" s="36" t="s">
        <v>252</v>
      </c>
      <c r="CG802" s="39" t="s">
        <v>223</v>
      </c>
      <c r="CH802" s="39"/>
      <c r="CI802" s="25">
        <v>2</v>
      </c>
    </row>
    <row r="803" spans="1:87" ht="24.75" customHeight="1">
      <c r="A803" s="36" t="s">
        <v>388</v>
      </c>
      <c r="B803" s="27" t="s">
        <v>2442</v>
      </c>
      <c r="C803" s="231"/>
      <c r="D803" s="36"/>
      <c r="E803" s="39">
        <v>230</v>
      </c>
      <c r="F803" s="39" t="s">
        <v>53</v>
      </c>
      <c r="G803" s="36" t="s">
        <v>2435</v>
      </c>
      <c r="H803" s="39" t="s">
        <v>96</v>
      </c>
      <c r="I803" s="39">
        <v>268</v>
      </c>
      <c r="J803" s="39"/>
      <c r="K803" s="39"/>
      <c r="L803" s="39">
        <f t="shared" si="504"/>
        <v>268</v>
      </c>
      <c r="M803" s="117">
        <v>46266</v>
      </c>
      <c r="N803" s="117">
        <v>46277</v>
      </c>
      <c r="O803" s="39"/>
      <c r="P803" s="39"/>
      <c r="Q803" s="39"/>
      <c r="R803" s="39">
        <f t="shared" si="505"/>
        <v>0</v>
      </c>
      <c r="S803" s="39" t="s">
        <v>28</v>
      </c>
      <c r="T803" s="39"/>
      <c r="U803" s="39"/>
      <c r="V803" s="117">
        <v>46270</v>
      </c>
      <c r="W803" s="39">
        <v>301</v>
      </c>
      <c r="X803" s="39"/>
      <c r="Y803" s="39"/>
      <c r="Z803" s="39"/>
      <c r="AA803" s="39"/>
      <c r="AB803" s="118">
        <f t="shared" si="506"/>
        <v>0</v>
      </c>
      <c r="AC803" s="39"/>
      <c r="AD803" s="39"/>
      <c r="AE803" s="39"/>
      <c r="AF803" s="39"/>
      <c r="AG803" s="39"/>
      <c r="AH803" s="39">
        <f t="shared" si="483"/>
        <v>0</v>
      </c>
      <c r="AI803" s="39"/>
      <c r="AJ803" s="39"/>
      <c r="AK803" s="39"/>
      <c r="AL803" s="39"/>
      <c r="AM803" s="39"/>
      <c r="AN803" s="39">
        <f t="shared" si="196"/>
        <v>0</v>
      </c>
      <c r="AO803" s="39"/>
      <c r="AP803" s="39"/>
      <c r="AQ803" s="39"/>
      <c r="AR803" s="39"/>
      <c r="AS803" s="39"/>
      <c r="AT803" s="39">
        <f t="shared" si="367"/>
        <v>0</v>
      </c>
      <c r="AU803" s="39"/>
      <c r="AV803" s="39"/>
      <c r="AW803" s="39"/>
      <c r="AX803" s="39"/>
      <c r="AY803" s="39"/>
      <c r="AZ803" s="39">
        <f t="shared" si="368"/>
        <v>0</v>
      </c>
      <c r="BA803" s="39"/>
      <c r="BB803" s="39"/>
      <c r="BC803" s="39"/>
      <c r="BD803" s="39"/>
      <c r="BE803" s="39"/>
      <c r="BF803" s="39">
        <f t="shared" si="369"/>
        <v>0</v>
      </c>
      <c r="BG803" s="39"/>
      <c r="BH803" s="39"/>
      <c r="BI803" s="39"/>
      <c r="BJ803" s="39"/>
      <c r="BK803" s="39"/>
      <c r="BL803" s="39">
        <f t="shared" si="484"/>
        <v>0</v>
      </c>
      <c r="BM803" s="54">
        <f t="shared" ca="1" si="371"/>
        <v>46283</v>
      </c>
      <c r="BN803" s="66">
        <v>46280</v>
      </c>
      <c r="BO803" s="117">
        <v>46297</v>
      </c>
      <c r="BP803" s="39"/>
      <c r="BQ803" s="39"/>
      <c r="BR803" s="39"/>
      <c r="BS803" s="39"/>
      <c r="BT803" s="39"/>
      <c r="BU803" s="39"/>
      <c r="BV803" s="39"/>
      <c r="BW803" s="39"/>
      <c r="BX803" s="39"/>
      <c r="BY803" s="39"/>
      <c r="BZ803" s="39">
        <f t="shared" si="485"/>
        <v>0</v>
      </c>
      <c r="CA803" s="39">
        <f t="shared" si="373"/>
        <v>-268</v>
      </c>
      <c r="CB803" s="39">
        <f t="shared" si="374"/>
        <v>0</v>
      </c>
      <c r="CC803" s="39">
        <f t="shared" si="375"/>
        <v>0</v>
      </c>
      <c r="CD803" s="39">
        <f t="shared" si="376"/>
        <v>-268</v>
      </c>
      <c r="CE803" s="102">
        <f t="shared" si="377"/>
        <v>-1</v>
      </c>
      <c r="CF803" s="36" t="s">
        <v>252</v>
      </c>
      <c r="CG803" s="39" t="s">
        <v>223</v>
      </c>
      <c r="CH803" s="39"/>
      <c r="CI803" s="25">
        <v>2</v>
      </c>
    </row>
    <row r="804" spans="1:87" ht="24.75" customHeight="1">
      <c r="A804" s="36" t="s">
        <v>388</v>
      </c>
      <c r="B804" s="27" t="s">
        <v>2442</v>
      </c>
      <c r="C804" s="231"/>
      <c r="D804" s="36"/>
      <c r="E804" s="39">
        <v>230</v>
      </c>
      <c r="F804" s="39" t="s">
        <v>53</v>
      </c>
      <c r="G804" s="36" t="s">
        <v>2430</v>
      </c>
      <c r="H804" s="39" t="s">
        <v>96</v>
      </c>
      <c r="I804" s="39">
        <v>285</v>
      </c>
      <c r="J804" s="39"/>
      <c r="K804" s="39"/>
      <c r="L804" s="39">
        <f t="shared" si="504"/>
        <v>285</v>
      </c>
      <c r="M804" s="117">
        <v>46266</v>
      </c>
      <c r="N804" s="117">
        <v>46277</v>
      </c>
      <c r="O804" s="39"/>
      <c r="P804" s="39"/>
      <c r="Q804" s="39"/>
      <c r="R804" s="39">
        <f t="shared" si="505"/>
        <v>0</v>
      </c>
      <c r="S804" s="39" t="s">
        <v>31</v>
      </c>
      <c r="T804" s="39"/>
      <c r="U804" s="39"/>
      <c r="V804" s="117">
        <v>46267</v>
      </c>
      <c r="W804" s="39">
        <v>319</v>
      </c>
      <c r="X804" s="117">
        <v>46278</v>
      </c>
      <c r="Y804" s="39">
        <f>276+7</f>
        <v>283</v>
      </c>
      <c r="Z804" s="39"/>
      <c r="AA804" s="39"/>
      <c r="AB804" s="119">
        <f t="shared" si="506"/>
        <v>283</v>
      </c>
      <c r="AC804" s="39"/>
      <c r="AD804" s="39"/>
      <c r="AE804" s="39"/>
      <c r="AF804" s="39"/>
      <c r="AG804" s="39"/>
      <c r="AH804" s="39">
        <f t="shared" si="483"/>
        <v>0</v>
      </c>
      <c r="AI804" s="39"/>
      <c r="AJ804" s="39"/>
      <c r="AK804" s="39"/>
      <c r="AL804" s="39"/>
      <c r="AM804" s="39"/>
      <c r="AN804" s="39">
        <f t="shared" si="196"/>
        <v>0</v>
      </c>
      <c r="AO804" s="39"/>
      <c r="AP804" s="39"/>
      <c r="AQ804" s="39"/>
      <c r="AR804" s="39"/>
      <c r="AS804" s="39"/>
      <c r="AT804" s="39">
        <f t="shared" si="367"/>
        <v>0</v>
      </c>
      <c r="AU804" s="39"/>
      <c r="AV804" s="39"/>
      <c r="AW804" s="39"/>
      <c r="AX804" s="39"/>
      <c r="AY804" s="39"/>
      <c r="AZ804" s="39">
        <f t="shared" si="368"/>
        <v>0</v>
      </c>
      <c r="BA804" s="39"/>
      <c r="BB804" s="39"/>
      <c r="BC804" s="39"/>
      <c r="BD804" s="39"/>
      <c r="BE804" s="39"/>
      <c r="BF804" s="39">
        <f t="shared" si="369"/>
        <v>0</v>
      </c>
      <c r="BG804" s="39"/>
      <c r="BH804" s="39"/>
      <c r="BI804" s="39"/>
      <c r="BJ804" s="39"/>
      <c r="BK804" s="39"/>
      <c r="BL804" s="39">
        <f t="shared" si="484"/>
        <v>0</v>
      </c>
      <c r="BM804" s="54" t="str">
        <f t="shared" si="371"/>
        <v/>
      </c>
      <c r="BN804" s="66">
        <v>46280</v>
      </c>
      <c r="BO804" s="117">
        <v>46297</v>
      </c>
      <c r="BP804" s="39"/>
      <c r="BQ804" s="39"/>
      <c r="BR804" s="117">
        <v>46279</v>
      </c>
      <c r="BS804" s="117">
        <v>46279</v>
      </c>
      <c r="BT804" s="39">
        <v>862</v>
      </c>
      <c r="BU804" s="39">
        <v>283</v>
      </c>
      <c r="BV804" s="39"/>
      <c r="BW804" s="39"/>
      <c r="BX804" s="39"/>
      <c r="BY804" s="39"/>
      <c r="BZ804" s="39">
        <f t="shared" si="485"/>
        <v>283</v>
      </c>
      <c r="CA804" s="39">
        <f t="shared" si="373"/>
        <v>-2</v>
      </c>
      <c r="CB804" s="39">
        <f t="shared" si="374"/>
        <v>0</v>
      </c>
      <c r="CC804" s="39">
        <f t="shared" si="375"/>
        <v>0</v>
      </c>
      <c r="CD804" s="39">
        <v>0</v>
      </c>
      <c r="CE804" s="102">
        <f t="shared" si="377"/>
        <v>0</v>
      </c>
      <c r="CF804" s="36" t="s">
        <v>252</v>
      </c>
      <c r="CG804" s="39" t="s">
        <v>223</v>
      </c>
      <c r="CH804" s="39"/>
      <c r="CI804" s="25">
        <v>2</v>
      </c>
    </row>
    <row r="805" spans="1:87" ht="24.75" customHeight="1">
      <c r="A805" s="36" t="s">
        <v>388</v>
      </c>
      <c r="B805" s="27" t="s">
        <v>2442</v>
      </c>
      <c r="C805" s="231"/>
      <c r="D805" s="36"/>
      <c r="E805" s="39">
        <v>230</v>
      </c>
      <c r="F805" s="39" t="s">
        <v>53</v>
      </c>
      <c r="G805" s="36" t="s">
        <v>23</v>
      </c>
      <c r="H805" s="39" t="s">
        <v>96</v>
      </c>
      <c r="I805" s="39">
        <v>1071</v>
      </c>
      <c r="J805" s="39"/>
      <c r="K805" s="39"/>
      <c r="L805" s="39">
        <f t="shared" si="504"/>
        <v>1071</v>
      </c>
      <c r="M805" s="117">
        <v>46266</v>
      </c>
      <c r="N805" s="117">
        <v>46277</v>
      </c>
      <c r="O805" s="39"/>
      <c r="P805" s="39"/>
      <c r="Q805" s="39"/>
      <c r="R805" s="39">
        <f t="shared" si="505"/>
        <v>0</v>
      </c>
      <c r="S805" s="39" t="s">
        <v>100</v>
      </c>
      <c r="T805" s="39"/>
      <c r="U805" s="39"/>
      <c r="V805" s="117">
        <v>46277</v>
      </c>
      <c r="W805" s="39">
        <v>1168</v>
      </c>
      <c r="X805" s="39"/>
      <c r="Y805" s="39"/>
      <c r="Z805" s="39"/>
      <c r="AA805" s="39"/>
      <c r="AB805" s="118">
        <f t="shared" si="506"/>
        <v>0</v>
      </c>
      <c r="AC805" s="39"/>
      <c r="AD805" s="39"/>
      <c r="AE805" s="39"/>
      <c r="AF805" s="39"/>
      <c r="AG805" s="39"/>
      <c r="AH805" s="39">
        <f t="shared" si="483"/>
        <v>0</v>
      </c>
      <c r="AI805" s="39"/>
      <c r="AJ805" s="39"/>
      <c r="AK805" s="39"/>
      <c r="AL805" s="39"/>
      <c r="AM805" s="39"/>
      <c r="AN805" s="39">
        <f t="shared" si="196"/>
        <v>0</v>
      </c>
      <c r="AO805" s="39"/>
      <c r="AP805" s="39"/>
      <c r="AQ805" s="39"/>
      <c r="AR805" s="39"/>
      <c r="AS805" s="39"/>
      <c r="AT805" s="39">
        <f t="shared" si="367"/>
        <v>0</v>
      </c>
      <c r="AU805" s="39"/>
      <c r="AV805" s="39"/>
      <c r="AW805" s="39"/>
      <c r="AX805" s="39"/>
      <c r="AY805" s="39"/>
      <c r="AZ805" s="39">
        <f t="shared" si="368"/>
        <v>0</v>
      </c>
      <c r="BA805" s="39"/>
      <c r="BB805" s="39"/>
      <c r="BC805" s="39"/>
      <c r="BD805" s="39"/>
      <c r="BE805" s="39"/>
      <c r="BF805" s="39">
        <f t="shared" si="369"/>
        <v>0</v>
      </c>
      <c r="BG805" s="39"/>
      <c r="BH805" s="39"/>
      <c r="BI805" s="39"/>
      <c r="BJ805" s="39"/>
      <c r="BK805" s="39"/>
      <c r="BL805" s="39">
        <f t="shared" si="484"/>
        <v>0</v>
      </c>
      <c r="BM805" s="54">
        <f t="shared" ca="1" si="371"/>
        <v>46283</v>
      </c>
      <c r="BN805" s="66">
        <v>46280</v>
      </c>
      <c r="BO805" s="117">
        <v>46297</v>
      </c>
      <c r="BP805" s="39"/>
      <c r="BQ805" s="39"/>
      <c r="BR805" s="39"/>
      <c r="BS805" s="39"/>
      <c r="BT805" s="39"/>
      <c r="BU805" s="39"/>
      <c r="BV805" s="39"/>
      <c r="BW805" s="39"/>
      <c r="BX805" s="39"/>
      <c r="BY805" s="39"/>
      <c r="BZ805" s="39">
        <f t="shared" si="485"/>
        <v>0</v>
      </c>
      <c r="CA805" s="39">
        <f t="shared" si="373"/>
        <v>-1071</v>
      </c>
      <c r="CB805" s="39">
        <f t="shared" si="374"/>
        <v>0</v>
      </c>
      <c r="CC805" s="39">
        <f t="shared" si="375"/>
        <v>0</v>
      </c>
      <c r="CD805" s="39">
        <f t="shared" si="376"/>
        <v>-1071</v>
      </c>
      <c r="CE805" s="102">
        <f t="shared" si="377"/>
        <v>-1</v>
      </c>
      <c r="CF805" s="36" t="s">
        <v>252</v>
      </c>
      <c r="CG805" s="39" t="s">
        <v>223</v>
      </c>
      <c r="CH805" s="39"/>
      <c r="CI805" s="25">
        <v>2</v>
      </c>
    </row>
    <row r="806" spans="1:87" ht="24.75" customHeight="1">
      <c r="A806" s="36" t="s">
        <v>388</v>
      </c>
      <c r="B806" s="27" t="s">
        <v>2442</v>
      </c>
      <c r="C806" s="231"/>
      <c r="D806" s="36"/>
      <c r="E806" s="39">
        <v>230</v>
      </c>
      <c r="F806" s="39" t="s">
        <v>53</v>
      </c>
      <c r="G806" s="36" t="s">
        <v>2443</v>
      </c>
      <c r="H806" s="39" t="s">
        <v>96</v>
      </c>
      <c r="I806" s="39">
        <v>244</v>
      </c>
      <c r="J806" s="39"/>
      <c r="K806" s="39"/>
      <c r="L806" s="39">
        <f t="shared" si="504"/>
        <v>244</v>
      </c>
      <c r="M806" s="117">
        <v>46266</v>
      </c>
      <c r="N806" s="117">
        <v>46277</v>
      </c>
      <c r="O806" s="39"/>
      <c r="P806" s="39"/>
      <c r="Q806" s="39"/>
      <c r="R806" s="39">
        <f t="shared" si="505"/>
        <v>0</v>
      </c>
      <c r="S806" s="39" t="s">
        <v>28</v>
      </c>
      <c r="T806" s="39"/>
      <c r="U806" s="39"/>
      <c r="V806" s="117">
        <v>46270</v>
      </c>
      <c r="W806" s="39">
        <v>275</v>
      </c>
      <c r="X806" s="39"/>
      <c r="Y806" s="39"/>
      <c r="Z806" s="39"/>
      <c r="AA806" s="39"/>
      <c r="AB806" s="118">
        <f t="shared" si="506"/>
        <v>0</v>
      </c>
      <c r="AC806" s="39"/>
      <c r="AD806" s="39"/>
      <c r="AE806" s="39"/>
      <c r="AF806" s="39"/>
      <c r="AG806" s="39"/>
      <c r="AH806" s="39">
        <f t="shared" si="483"/>
        <v>0</v>
      </c>
      <c r="AI806" s="39"/>
      <c r="AJ806" s="39"/>
      <c r="AK806" s="39"/>
      <c r="AL806" s="39"/>
      <c r="AM806" s="39"/>
      <c r="AN806" s="39">
        <f t="shared" si="196"/>
        <v>0</v>
      </c>
      <c r="AO806" s="39"/>
      <c r="AP806" s="39"/>
      <c r="AQ806" s="39"/>
      <c r="AR806" s="39"/>
      <c r="AS806" s="39"/>
      <c r="AT806" s="39">
        <f t="shared" si="367"/>
        <v>0</v>
      </c>
      <c r="AU806" s="39"/>
      <c r="AV806" s="39"/>
      <c r="AW806" s="39"/>
      <c r="AX806" s="39"/>
      <c r="AY806" s="39"/>
      <c r="AZ806" s="39">
        <f t="shared" si="368"/>
        <v>0</v>
      </c>
      <c r="BA806" s="39"/>
      <c r="BB806" s="39"/>
      <c r="BC806" s="39"/>
      <c r="BD806" s="39"/>
      <c r="BE806" s="39"/>
      <c r="BF806" s="39">
        <f t="shared" si="369"/>
        <v>0</v>
      </c>
      <c r="BG806" s="39"/>
      <c r="BH806" s="39"/>
      <c r="BI806" s="39"/>
      <c r="BJ806" s="39"/>
      <c r="BK806" s="39"/>
      <c r="BL806" s="39">
        <f t="shared" si="484"/>
        <v>0</v>
      </c>
      <c r="BM806" s="54">
        <f t="shared" ca="1" si="371"/>
        <v>46283</v>
      </c>
      <c r="BN806" s="66">
        <v>46280</v>
      </c>
      <c r="BO806" s="117">
        <v>46297</v>
      </c>
      <c r="BP806" s="39"/>
      <c r="BQ806" s="39"/>
      <c r="BR806" s="39"/>
      <c r="BS806" s="39"/>
      <c r="BT806" s="39"/>
      <c r="BU806" s="39"/>
      <c r="BV806" s="39"/>
      <c r="BW806" s="39"/>
      <c r="BX806" s="39"/>
      <c r="BY806" s="39"/>
      <c r="BZ806" s="39">
        <f t="shared" si="485"/>
        <v>0</v>
      </c>
      <c r="CA806" s="39">
        <f t="shared" si="373"/>
        <v>-244</v>
      </c>
      <c r="CB806" s="39">
        <f t="shared" si="374"/>
        <v>0</v>
      </c>
      <c r="CC806" s="39">
        <f t="shared" si="375"/>
        <v>0</v>
      </c>
      <c r="CD806" s="39">
        <f t="shared" si="376"/>
        <v>-244</v>
      </c>
      <c r="CE806" s="102">
        <f t="shared" si="377"/>
        <v>-1</v>
      </c>
      <c r="CF806" s="36" t="s">
        <v>252</v>
      </c>
      <c r="CG806" s="39" t="s">
        <v>223</v>
      </c>
      <c r="CH806" s="39"/>
      <c r="CI806" s="25">
        <v>2</v>
      </c>
    </row>
    <row r="807" spans="1:87" ht="24.75" customHeight="1">
      <c r="A807" s="36" t="s">
        <v>388</v>
      </c>
      <c r="B807" s="27" t="s">
        <v>2442</v>
      </c>
      <c r="C807" s="231"/>
      <c r="D807" s="36"/>
      <c r="E807" s="39">
        <v>230</v>
      </c>
      <c r="F807" s="39" t="s">
        <v>53</v>
      </c>
      <c r="G807" s="36" t="s">
        <v>2441</v>
      </c>
      <c r="H807" s="39" t="s">
        <v>96</v>
      </c>
      <c r="I807" s="39">
        <v>18</v>
      </c>
      <c r="J807" s="39"/>
      <c r="K807" s="39"/>
      <c r="L807" s="39">
        <f t="shared" si="504"/>
        <v>18</v>
      </c>
      <c r="M807" s="117">
        <v>46266</v>
      </c>
      <c r="N807" s="117">
        <v>46277</v>
      </c>
      <c r="O807" s="39"/>
      <c r="P807" s="39"/>
      <c r="Q807" s="39"/>
      <c r="R807" s="39">
        <f t="shared" si="505"/>
        <v>0</v>
      </c>
      <c r="S807" s="39" t="s">
        <v>28</v>
      </c>
      <c r="T807" s="39"/>
      <c r="U807" s="39"/>
      <c r="V807" s="117">
        <v>46276</v>
      </c>
      <c r="W807" s="39">
        <v>26</v>
      </c>
      <c r="X807" s="39"/>
      <c r="Y807" s="39"/>
      <c r="Z807" s="39"/>
      <c r="AA807" s="39"/>
      <c r="AB807" s="118">
        <f t="shared" si="506"/>
        <v>0</v>
      </c>
      <c r="AC807" s="39"/>
      <c r="AD807" s="39"/>
      <c r="AE807" s="39"/>
      <c r="AF807" s="39"/>
      <c r="AG807" s="39"/>
      <c r="AH807" s="39">
        <f t="shared" si="483"/>
        <v>0</v>
      </c>
      <c r="AI807" s="39"/>
      <c r="AJ807" s="39"/>
      <c r="AK807" s="39"/>
      <c r="AL807" s="39"/>
      <c r="AM807" s="39"/>
      <c r="AN807" s="39">
        <f t="shared" si="196"/>
        <v>0</v>
      </c>
      <c r="AO807" s="39"/>
      <c r="AP807" s="39"/>
      <c r="AQ807" s="39"/>
      <c r="AR807" s="39"/>
      <c r="AS807" s="39"/>
      <c r="AT807" s="39">
        <f t="shared" si="367"/>
        <v>0</v>
      </c>
      <c r="AU807" s="39"/>
      <c r="AV807" s="39"/>
      <c r="AW807" s="39"/>
      <c r="AX807" s="39"/>
      <c r="AY807" s="39"/>
      <c r="AZ807" s="39">
        <f t="shared" si="368"/>
        <v>0</v>
      </c>
      <c r="BA807" s="39"/>
      <c r="BB807" s="39"/>
      <c r="BC807" s="39"/>
      <c r="BD807" s="39"/>
      <c r="BE807" s="39"/>
      <c r="BF807" s="39">
        <f t="shared" si="369"/>
        <v>0</v>
      </c>
      <c r="BG807" s="39"/>
      <c r="BH807" s="39"/>
      <c r="BI807" s="39"/>
      <c r="BJ807" s="39"/>
      <c r="BK807" s="39"/>
      <c r="BL807" s="39">
        <f t="shared" si="484"/>
        <v>0</v>
      </c>
      <c r="BM807" s="54">
        <f t="shared" ca="1" si="371"/>
        <v>46283</v>
      </c>
      <c r="BN807" s="66">
        <v>46280</v>
      </c>
      <c r="BO807" s="117">
        <v>46297</v>
      </c>
      <c r="BP807" s="39"/>
      <c r="BQ807" s="39"/>
      <c r="BR807" s="39"/>
      <c r="BS807" s="39"/>
      <c r="BT807" s="39"/>
      <c r="BU807" s="39"/>
      <c r="BV807" s="39"/>
      <c r="BW807" s="39"/>
      <c r="BX807" s="39"/>
      <c r="BY807" s="39"/>
      <c r="BZ807" s="39">
        <f t="shared" si="485"/>
        <v>0</v>
      </c>
      <c r="CA807" s="39">
        <f t="shared" si="373"/>
        <v>-18</v>
      </c>
      <c r="CB807" s="39">
        <f t="shared" si="374"/>
        <v>0</v>
      </c>
      <c r="CC807" s="39">
        <f t="shared" si="375"/>
        <v>0</v>
      </c>
      <c r="CD807" s="39">
        <f t="shared" si="376"/>
        <v>-18</v>
      </c>
      <c r="CE807" s="102">
        <f t="shared" si="377"/>
        <v>-1</v>
      </c>
      <c r="CF807" s="36" t="s">
        <v>252</v>
      </c>
      <c r="CG807" s="39" t="s">
        <v>223</v>
      </c>
      <c r="CH807" s="39"/>
      <c r="CI807" s="25">
        <v>2</v>
      </c>
    </row>
    <row r="808" spans="1:87" ht="24.75" customHeight="1">
      <c r="A808" s="36" t="s">
        <v>388</v>
      </c>
      <c r="B808" s="27" t="s">
        <v>2442</v>
      </c>
      <c r="C808" s="228"/>
      <c r="D808" s="36"/>
      <c r="E808" s="39">
        <v>230</v>
      </c>
      <c r="F808" s="39" t="s">
        <v>53</v>
      </c>
      <c r="G808" s="36" t="s">
        <v>187</v>
      </c>
      <c r="H808" s="39" t="s">
        <v>96</v>
      </c>
      <c r="I808" s="39">
        <v>125</v>
      </c>
      <c r="J808" s="39"/>
      <c r="K808" s="39"/>
      <c r="L808" s="39">
        <f t="shared" si="504"/>
        <v>125</v>
      </c>
      <c r="M808" s="117">
        <v>46266</v>
      </c>
      <c r="N808" s="117">
        <v>46277</v>
      </c>
      <c r="O808" s="39"/>
      <c r="P808" s="39"/>
      <c r="Q808" s="39"/>
      <c r="R808" s="39">
        <f t="shared" si="505"/>
        <v>0</v>
      </c>
      <c r="S808" s="39" t="s">
        <v>130</v>
      </c>
      <c r="T808" s="39">
        <v>109450</v>
      </c>
      <c r="U808" s="117">
        <v>46281</v>
      </c>
      <c r="V808" s="39"/>
      <c r="W808" s="39"/>
      <c r="X808" s="39"/>
      <c r="Y808" s="39">
        <v>154</v>
      </c>
      <c r="Z808" s="39"/>
      <c r="AA808" s="39"/>
      <c r="AB808" s="119">
        <f t="shared" si="506"/>
        <v>154</v>
      </c>
      <c r="AC808" s="39"/>
      <c r="AD808" s="39"/>
      <c r="AE808" s="39"/>
      <c r="AF808" s="39"/>
      <c r="AG808" s="39"/>
      <c r="AH808" s="39">
        <f t="shared" si="483"/>
        <v>0</v>
      </c>
      <c r="AI808" s="39"/>
      <c r="AJ808" s="39"/>
      <c r="AK808" s="39"/>
      <c r="AL808" s="39"/>
      <c r="AM808" s="39"/>
      <c r="AN808" s="39">
        <f t="shared" si="196"/>
        <v>0</v>
      </c>
      <c r="AO808" s="39"/>
      <c r="AP808" s="39"/>
      <c r="AQ808" s="39"/>
      <c r="AR808" s="39"/>
      <c r="AS808" s="39"/>
      <c r="AT808" s="39">
        <f t="shared" si="367"/>
        <v>0</v>
      </c>
      <c r="AU808" s="39"/>
      <c r="AV808" s="39"/>
      <c r="AW808" s="39"/>
      <c r="AX808" s="39"/>
      <c r="AY808" s="39"/>
      <c r="AZ808" s="39">
        <f t="shared" si="368"/>
        <v>0</v>
      </c>
      <c r="BA808" s="39"/>
      <c r="BB808" s="39"/>
      <c r="BC808" s="39"/>
      <c r="BD808" s="39"/>
      <c r="BE808" s="39"/>
      <c r="BF808" s="39">
        <f t="shared" si="369"/>
        <v>0</v>
      </c>
      <c r="BG808" s="39"/>
      <c r="BH808" s="39"/>
      <c r="BI808" s="39"/>
      <c r="BJ808" s="39"/>
      <c r="BK808" s="39"/>
      <c r="BL808" s="39">
        <f t="shared" si="484"/>
        <v>0</v>
      </c>
      <c r="BM808" s="54">
        <f t="shared" ca="1" si="371"/>
        <v>2</v>
      </c>
      <c r="BN808" s="66">
        <v>46280</v>
      </c>
      <c r="BO808" s="117">
        <v>46297</v>
      </c>
      <c r="BP808" s="39"/>
      <c r="BQ808" s="39"/>
      <c r="BR808" s="39"/>
      <c r="BS808" s="39"/>
      <c r="BT808" s="39"/>
      <c r="BU808" s="39"/>
      <c r="BV808" s="39"/>
      <c r="BW808" s="39"/>
      <c r="BX808" s="39"/>
      <c r="BY808" s="39"/>
      <c r="BZ808" s="39">
        <f t="shared" si="485"/>
        <v>0</v>
      </c>
      <c r="CA808" s="39">
        <f t="shared" si="373"/>
        <v>-125</v>
      </c>
      <c r="CB808" s="39">
        <f t="shared" si="374"/>
        <v>0</v>
      </c>
      <c r="CC808" s="39">
        <f t="shared" si="375"/>
        <v>0</v>
      </c>
      <c r="CD808" s="39">
        <f t="shared" si="376"/>
        <v>-125</v>
      </c>
      <c r="CE808" s="102">
        <f t="shared" si="377"/>
        <v>-1</v>
      </c>
      <c r="CF808" s="36" t="s">
        <v>252</v>
      </c>
      <c r="CG808" s="39" t="s">
        <v>223</v>
      </c>
      <c r="CH808" s="39"/>
      <c r="CI808" s="25">
        <v>2</v>
      </c>
    </row>
    <row r="809" spans="1:87" ht="24.75" customHeight="1">
      <c r="A809" s="36" t="s">
        <v>388</v>
      </c>
      <c r="B809" s="27" t="s">
        <v>2444</v>
      </c>
      <c r="C809" s="270" t="s">
        <v>3091</v>
      </c>
      <c r="D809" s="36"/>
      <c r="E809" s="39">
        <v>150</v>
      </c>
      <c r="F809" s="39" t="s">
        <v>69</v>
      </c>
      <c r="G809" s="36" t="s">
        <v>401</v>
      </c>
      <c r="H809" s="39" t="s">
        <v>22</v>
      </c>
      <c r="I809" s="39">
        <v>585</v>
      </c>
      <c r="J809" s="39"/>
      <c r="K809" s="39"/>
      <c r="L809" s="39">
        <f t="shared" si="504"/>
        <v>585</v>
      </c>
      <c r="M809" s="117">
        <v>46268</v>
      </c>
      <c r="N809" s="117">
        <v>46287</v>
      </c>
      <c r="O809" s="39"/>
      <c r="P809" s="39"/>
      <c r="Q809" s="39"/>
      <c r="R809" s="39">
        <f t="shared" si="505"/>
        <v>0</v>
      </c>
      <c r="S809" s="39" t="s">
        <v>100</v>
      </c>
      <c r="T809" s="39"/>
      <c r="U809" s="39"/>
      <c r="V809" s="117">
        <v>46277</v>
      </c>
      <c r="W809" s="39">
        <v>656</v>
      </c>
      <c r="X809" s="39"/>
      <c r="Y809" s="39"/>
      <c r="Z809" s="39"/>
      <c r="AA809" s="39"/>
      <c r="AB809" s="118">
        <f t="shared" si="506"/>
        <v>0</v>
      </c>
      <c r="AC809" s="39"/>
      <c r="AD809" s="39"/>
      <c r="AE809" s="39"/>
      <c r="AF809" s="39"/>
      <c r="AG809" s="39"/>
      <c r="AH809" s="39">
        <f t="shared" si="483"/>
        <v>0</v>
      </c>
      <c r="AI809" s="39"/>
      <c r="AJ809" s="39"/>
      <c r="AK809" s="39"/>
      <c r="AL809" s="39"/>
      <c r="AM809" s="39"/>
      <c r="AN809" s="39">
        <f t="shared" si="196"/>
        <v>0</v>
      </c>
      <c r="AO809" s="39"/>
      <c r="AP809" s="39"/>
      <c r="AQ809" s="39"/>
      <c r="AR809" s="39"/>
      <c r="AS809" s="39"/>
      <c r="AT809" s="39">
        <f t="shared" si="367"/>
        <v>0</v>
      </c>
      <c r="AU809" s="39"/>
      <c r="AV809" s="39"/>
      <c r="AW809" s="39"/>
      <c r="AX809" s="39"/>
      <c r="AY809" s="39"/>
      <c r="AZ809" s="39">
        <f t="shared" si="368"/>
        <v>0</v>
      </c>
      <c r="BA809" s="39"/>
      <c r="BB809" s="39"/>
      <c r="BC809" s="39"/>
      <c r="BD809" s="39"/>
      <c r="BE809" s="39"/>
      <c r="BF809" s="39">
        <f t="shared" si="369"/>
        <v>0</v>
      </c>
      <c r="BG809" s="39"/>
      <c r="BH809" s="39"/>
      <c r="BI809" s="39"/>
      <c r="BJ809" s="39"/>
      <c r="BK809" s="39"/>
      <c r="BL809" s="39">
        <f t="shared" si="484"/>
        <v>0</v>
      </c>
      <c r="BM809" s="54">
        <f t="shared" ca="1" si="371"/>
        <v>46283</v>
      </c>
      <c r="BN809" s="66">
        <v>46277</v>
      </c>
      <c r="BO809" s="117">
        <v>46297</v>
      </c>
      <c r="BP809" s="39"/>
      <c r="BQ809" s="39"/>
      <c r="BR809" s="39"/>
      <c r="BS809" s="39"/>
      <c r="BT809" s="39"/>
      <c r="BU809" s="39"/>
      <c r="BV809" s="39"/>
      <c r="BW809" s="39"/>
      <c r="BX809" s="39"/>
      <c r="BY809" s="39"/>
      <c r="BZ809" s="39">
        <f t="shared" si="485"/>
        <v>0</v>
      </c>
      <c r="CA809" s="39">
        <f t="shared" si="373"/>
        <v>-585</v>
      </c>
      <c r="CB809" s="39">
        <f t="shared" si="374"/>
        <v>0</v>
      </c>
      <c r="CC809" s="39">
        <f t="shared" si="375"/>
        <v>0</v>
      </c>
      <c r="CD809" s="39">
        <f t="shared" si="376"/>
        <v>-585</v>
      </c>
      <c r="CE809" s="102">
        <f t="shared" si="377"/>
        <v>-1</v>
      </c>
      <c r="CF809" s="36" t="s">
        <v>252</v>
      </c>
      <c r="CG809" s="39" t="s">
        <v>223</v>
      </c>
      <c r="CH809" s="39"/>
      <c r="CI809" s="25">
        <v>2</v>
      </c>
    </row>
    <row r="810" spans="1:87" ht="24.75" customHeight="1">
      <c r="A810" s="36" t="s">
        <v>388</v>
      </c>
      <c r="B810" s="27" t="s">
        <v>2444</v>
      </c>
      <c r="C810" s="231"/>
      <c r="D810" s="36"/>
      <c r="E810" s="39">
        <v>150</v>
      </c>
      <c r="F810" s="39" t="s">
        <v>69</v>
      </c>
      <c r="G810" s="36" t="s">
        <v>193</v>
      </c>
      <c r="H810" s="39" t="s">
        <v>22</v>
      </c>
      <c r="I810" s="39">
        <f>293-164</f>
        <v>129</v>
      </c>
      <c r="J810" s="39"/>
      <c r="K810" s="39"/>
      <c r="L810" s="39">
        <f t="shared" si="504"/>
        <v>129</v>
      </c>
      <c r="M810" s="117">
        <v>46268</v>
      </c>
      <c r="N810" s="117">
        <v>46287</v>
      </c>
      <c r="O810" s="39"/>
      <c r="P810" s="39"/>
      <c r="Q810" s="39"/>
      <c r="R810" s="39">
        <f t="shared" si="505"/>
        <v>0</v>
      </c>
      <c r="S810" s="39" t="s">
        <v>130</v>
      </c>
      <c r="T810" s="39">
        <v>109258</v>
      </c>
      <c r="U810" s="117">
        <v>46272</v>
      </c>
      <c r="V810" s="39"/>
      <c r="W810" s="39"/>
      <c r="X810" s="39"/>
      <c r="Y810" s="39">
        <v>328</v>
      </c>
      <c r="Z810" s="39"/>
      <c r="AA810" s="39"/>
      <c r="AB810" s="119">
        <f t="shared" si="506"/>
        <v>328</v>
      </c>
      <c r="AC810" s="39"/>
      <c r="AD810" s="39"/>
      <c r="AE810" s="39"/>
      <c r="AF810" s="39"/>
      <c r="AG810" s="39"/>
      <c r="AH810" s="39">
        <f t="shared" si="483"/>
        <v>0</v>
      </c>
      <c r="AI810" s="39"/>
      <c r="AJ810" s="39"/>
      <c r="AK810" s="39"/>
      <c r="AL810" s="39"/>
      <c r="AM810" s="39"/>
      <c r="AN810" s="39">
        <f t="shared" si="196"/>
        <v>0</v>
      </c>
      <c r="AO810" s="39"/>
      <c r="AP810" s="39"/>
      <c r="AQ810" s="39"/>
      <c r="AR810" s="39"/>
      <c r="AS810" s="39"/>
      <c r="AT810" s="39">
        <f t="shared" si="367"/>
        <v>0</v>
      </c>
      <c r="AU810" s="39"/>
      <c r="AV810" s="39"/>
      <c r="AW810" s="39"/>
      <c r="AX810" s="39"/>
      <c r="AY810" s="39"/>
      <c r="AZ810" s="39">
        <f t="shared" si="368"/>
        <v>0</v>
      </c>
      <c r="BA810" s="39"/>
      <c r="BB810" s="39"/>
      <c r="BC810" s="39"/>
      <c r="BD810" s="39"/>
      <c r="BE810" s="39"/>
      <c r="BF810" s="39">
        <f t="shared" si="369"/>
        <v>0</v>
      </c>
      <c r="BG810" s="39"/>
      <c r="BH810" s="39"/>
      <c r="BI810" s="39"/>
      <c r="BJ810" s="39"/>
      <c r="BK810" s="39"/>
      <c r="BL810" s="39">
        <f t="shared" si="484"/>
        <v>0</v>
      </c>
      <c r="BM810" s="54" t="str">
        <f t="shared" si="371"/>
        <v/>
      </c>
      <c r="BN810" s="66">
        <v>46277</v>
      </c>
      <c r="BO810" s="117">
        <v>46297</v>
      </c>
      <c r="BP810" s="39"/>
      <c r="BQ810" s="39"/>
      <c r="BR810" s="117">
        <v>46276</v>
      </c>
      <c r="BS810" s="117">
        <v>46276</v>
      </c>
      <c r="BT810" s="39">
        <v>781</v>
      </c>
      <c r="BU810" s="39">
        <v>291</v>
      </c>
      <c r="BV810" s="39"/>
      <c r="BW810" s="39"/>
      <c r="BX810" s="39"/>
      <c r="BY810" s="39"/>
      <c r="BZ810" s="39">
        <f t="shared" si="485"/>
        <v>291</v>
      </c>
      <c r="CA810" s="39">
        <f t="shared" si="373"/>
        <v>162</v>
      </c>
      <c r="CB810" s="39">
        <f t="shared" si="374"/>
        <v>0</v>
      </c>
      <c r="CC810" s="39">
        <f t="shared" si="375"/>
        <v>0</v>
      </c>
      <c r="CD810" s="39">
        <v>0</v>
      </c>
      <c r="CE810" s="102">
        <f t="shared" si="377"/>
        <v>0</v>
      </c>
      <c r="CF810" s="36" t="s">
        <v>252</v>
      </c>
      <c r="CG810" s="39" t="s">
        <v>223</v>
      </c>
      <c r="CH810" s="39"/>
      <c r="CI810" s="25">
        <v>2</v>
      </c>
    </row>
    <row r="811" spans="1:87" ht="24.75" customHeight="1">
      <c r="A811" s="36" t="s">
        <v>388</v>
      </c>
      <c r="B811" s="27" t="s">
        <v>2444</v>
      </c>
      <c r="C811" s="231"/>
      <c r="D811" s="36"/>
      <c r="E811" s="39">
        <v>150</v>
      </c>
      <c r="F811" s="39" t="s">
        <v>69</v>
      </c>
      <c r="G811" s="36" t="s">
        <v>1654</v>
      </c>
      <c r="H811" s="39" t="s">
        <v>22</v>
      </c>
      <c r="I811" s="39">
        <v>164</v>
      </c>
      <c r="J811" s="39"/>
      <c r="K811" s="39"/>
      <c r="L811" s="39">
        <f t="shared" si="504"/>
        <v>164</v>
      </c>
      <c r="M811" s="117">
        <v>46268</v>
      </c>
      <c r="N811" s="117">
        <v>46287</v>
      </c>
      <c r="O811" s="39"/>
      <c r="P811" s="39"/>
      <c r="Q811" s="39"/>
      <c r="R811" s="39">
        <f t="shared" si="505"/>
        <v>0</v>
      </c>
      <c r="S811" s="39" t="s">
        <v>28</v>
      </c>
      <c r="T811" s="39"/>
      <c r="U811" s="39"/>
      <c r="V811" s="117">
        <v>46258</v>
      </c>
      <c r="W811" s="39">
        <v>195</v>
      </c>
      <c r="X811" s="117">
        <v>46277</v>
      </c>
      <c r="Y811" s="39">
        <v>169</v>
      </c>
      <c r="Z811" s="39"/>
      <c r="AA811" s="39"/>
      <c r="AB811" s="119">
        <f t="shared" si="506"/>
        <v>169</v>
      </c>
      <c r="AC811" s="39"/>
      <c r="AD811" s="39"/>
      <c r="AE811" s="39"/>
      <c r="AF811" s="39"/>
      <c r="AG811" s="39"/>
      <c r="AH811" s="39">
        <f t="shared" si="483"/>
        <v>0</v>
      </c>
      <c r="AI811" s="39"/>
      <c r="AJ811" s="39"/>
      <c r="AK811" s="39"/>
      <c r="AL811" s="39"/>
      <c r="AM811" s="39"/>
      <c r="AN811" s="39">
        <f t="shared" si="196"/>
        <v>0</v>
      </c>
      <c r="AO811" s="39"/>
      <c r="AP811" s="39"/>
      <c r="AQ811" s="39"/>
      <c r="AR811" s="39"/>
      <c r="AS811" s="39"/>
      <c r="AT811" s="39">
        <f t="shared" si="367"/>
        <v>0</v>
      </c>
      <c r="AU811" s="39"/>
      <c r="AV811" s="39"/>
      <c r="AW811" s="39"/>
      <c r="AX811" s="39"/>
      <c r="AY811" s="39"/>
      <c r="AZ811" s="39">
        <f t="shared" si="368"/>
        <v>0</v>
      </c>
      <c r="BA811" s="39"/>
      <c r="BB811" s="39"/>
      <c r="BC811" s="39"/>
      <c r="BD811" s="39"/>
      <c r="BE811" s="39"/>
      <c r="BF811" s="39">
        <f t="shared" si="369"/>
        <v>0</v>
      </c>
      <c r="BG811" s="39"/>
      <c r="BH811" s="39"/>
      <c r="BI811" s="39"/>
      <c r="BJ811" s="39"/>
      <c r="BK811" s="39"/>
      <c r="BL811" s="39">
        <f t="shared" si="484"/>
        <v>0</v>
      </c>
      <c r="BM811" s="54" t="str">
        <f t="shared" si="371"/>
        <v/>
      </c>
      <c r="BN811" s="66">
        <v>46277</v>
      </c>
      <c r="BO811" s="117">
        <v>46297</v>
      </c>
      <c r="BP811" s="39"/>
      <c r="BQ811" s="39"/>
      <c r="BR811" s="117">
        <v>46277</v>
      </c>
      <c r="BS811" s="117">
        <v>46277</v>
      </c>
      <c r="BT811" s="39">
        <v>968</v>
      </c>
      <c r="BU811" s="39">
        <v>169</v>
      </c>
      <c r="BV811" s="39"/>
      <c r="BW811" s="39"/>
      <c r="BX811" s="39"/>
      <c r="BY811" s="39"/>
      <c r="BZ811" s="39">
        <f t="shared" si="485"/>
        <v>169</v>
      </c>
      <c r="CA811" s="39">
        <f t="shared" si="373"/>
        <v>5</v>
      </c>
      <c r="CB811" s="39">
        <f t="shared" si="374"/>
        <v>0</v>
      </c>
      <c r="CC811" s="39">
        <f t="shared" si="375"/>
        <v>0</v>
      </c>
      <c r="CD811" s="39">
        <f t="shared" si="376"/>
        <v>0</v>
      </c>
      <c r="CE811" s="102">
        <f t="shared" si="377"/>
        <v>0</v>
      </c>
      <c r="CF811" s="36" t="s">
        <v>252</v>
      </c>
      <c r="CG811" s="39" t="s">
        <v>223</v>
      </c>
      <c r="CH811" s="39"/>
      <c r="CI811" s="25">
        <v>2</v>
      </c>
    </row>
    <row r="812" spans="1:87" ht="24.75" customHeight="1">
      <c r="A812" s="36" t="s">
        <v>388</v>
      </c>
      <c r="B812" s="27" t="s">
        <v>2444</v>
      </c>
      <c r="C812" s="231"/>
      <c r="D812" s="36"/>
      <c r="E812" s="39">
        <v>150</v>
      </c>
      <c r="F812" s="39" t="s">
        <v>69</v>
      </c>
      <c r="G812" s="36" t="s">
        <v>21</v>
      </c>
      <c r="H812" s="39" t="s">
        <v>22</v>
      </c>
      <c r="I812" s="39">
        <v>733</v>
      </c>
      <c r="J812" s="39"/>
      <c r="K812" s="39"/>
      <c r="L812" s="39">
        <f t="shared" si="504"/>
        <v>733</v>
      </c>
      <c r="M812" s="117">
        <v>46268</v>
      </c>
      <c r="N812" s="117">
        <v>46287</v>
      </c>
      <c r="O812" s="39"/>
      <c r="P812" s="39"/>
      <c r="Q812" s="39"/>
      <c r="R812" s="39">
        <f t="shared" si="505"/>
        <v>0</v>
      </c>
      <c r="S812" s="39" t="s">
        <v>130</v>
      </c>
      <c r="T812" s="39">
        <v>108998</v>
      </c>
      <c r="U812" s="117">
        <v>46263</v>
      </c>
      <c r="V812" s="39"/>
      <c r="W812" s="39"/>
      <c r="X812" s="39"/>
      <c r="Y812" s="39">
        <v>822</v>
      </c>
      <c r="Z812" s="39"/>
      <c r="AA812" s="39"/>
      <c r="AB812" s="119">
        <f t="shared" si="506"/>
        <v>822</v>
      </c>
      <c r="AC812" s="39"/>
      <c r="AD812" s="39"/>
      <c r="AE812" s="39"/>
      <c r="AF812" s="39"/>
      <c r="AG812" s="39"/>
      <c r="AH812" s="39">
        <f t="shared" si="483"/>
        <v>0</v>
      </c>
      <c r="AI812" s="39"/>
      <c r="AJ812" s="39"/>
      <c r="AK812" s="39"/>
      <c r="AL812" s="39"/>
      <c r="AM812" s="39"/>
      <c r="AN812" s="39">
        <f t="shared" si="196"/>
        <v>0</v>
      </c>
      <c r="AO812" s="39"/>
      <c r="AP812" s="39"/>
      <c r="AQ812" s="39"/>
      <c r="AR812" s="39"/>
      <c r="AS812" s="39"/>
      <c r="AT812" s="39">
        <f t="shared" si="367"/>
        <v>0</v>
      </c>
      <c r="AU812" s="39"/>
      <c r="AV812" s="39"/>
      <c r="AW812" s="39"/>
      <c r="AX812" s="39"/>
      <c r="AY812" s="39"/>
      <c r="AZ812" s="39">
        <f t="shared" si="368"/>
        <v>0</v>
      </c>
      <c r="BA812" s="39"/>
      <c r="BB812" s="39"/>
      <c r="BC812" s="39"/>
      <c r="BD812" s="39"/>
      <c r="BE812" s="39"/>
      <c r="BF812" s="39">
        <f t="shared" si="369"/>
        <v>0</v>
      </c>
      <c r="BG812" s="39"/>
      <c r="BH812" s="39"/>
      <c r="BI812" s="39"/>
      <c r="BJ812" s="39"/>
      <c r="BK812" s="39"/>
      <c r="BL812" s="39">
        <f t="shared" si="484"/>
        <v>0</v>
      </c>
      <c r="BM812" s="54" t="str">
        <f t="shared" si="371"/>
        <v/>
      </c>
      <c r="BN812" s="66">
        <v>46277</v>
      </c>
      <c r="BO812" s="117">
        <v>46297</v>
      </c>
      <c r="BP812" s="39"/>
      <c r="BQ812" s="39"/>
      <c r="BR812" s="117">
        <v>46268</v>
      </c>
      <c r="BS812" s="117">
        <v>46268</v>
      </c>
      <c r="BT812" s="39">
        <v>744</v>
      </c>
      <c r="BU812" s="39">
        <v>730</v>
      </c>
      <c r="BV812" s="39"/>
      <c r="BW812" s="39"/>
      <c r="BX812" s="39"/>
      <c r="BY812" s="39"/>
      <c r="BZ812" s="39">
        <f t="shared" si="485"/>
        <v>730</v>
      </c>
      <c r="CA812" s="39">
        <f t="shared" si="373"/>
        <v>-3</v>
      </c>
      <c r="CB812" s="39">
        <f t="shared" si="374"/>
        <v>0</v>
      </c>
      <c r="CC812" s="39">
        <f t="shared" si="375"/>
        <v>0</v>
      </c>
      <c r="CD812" s="39">
        <v>0</v>
      </c>
      <c r="CE812" s="102">
        <f t="shared" si="377"/>
        <v>0</v>
      </c>
      <c r="CF812" s="36" t="s">
        <v>252</v>
      </c>
      <c r="CG812" s="39" t="s">
        <v>223</v>
      </c>
      <c r="CH812" s="39"/>
      <c r="CI812" s="25">
        <v>2</v>
      </c>
    </row>
    <row r="813" spans="1:87" ht="24.75" customHeight="1">
      <c r="A813" s="36" t="s">
        <v>388</v>
      </c>
      <c r="B813" s="27" t="s">
        <v>2444</v>
      </c>
      <c r="C813" s="231"/>
      <c r="D813" s="36"/>
      <c r="E813" s="39">
        <v>150</v>
      </c>
      <c r="F813" s="39" t="s">
        <v>69</v>
      </c>
      <c r="G813" s="36" t="s">
        <v>2433</v>
      </c>
      <c r="H813" s="39" t="s">
        <v>22</v>
      </c>
      <c r="I813" s="39">
        <f>196+164</f>
        <v>360</v>
      </c>
      <c r="J813" s="39"/>
      <c r="K813" s="39"/>
      <c r="L813" s="39">
        <f t="shared" si="504"/>
        <v>360</v>
      </c>
      <c r="M813" s="117">
        <v>46268</v>
      </c>
      <c r="N813" s="117">
        <v>46287</v>
      </c>
      <c r="O813" s="39"/>
      <c r="P813" s="39"/>
      <c r="Q813" s="39"/>
      <c r="R813" s="39">
        <f t="shared" si="505"/>
        <v>0</v>
      </c>
      <c r="S813" s="39" t="s">
        <v>31</v>
      </c>
      <c r="T813" s="39"/>
      <c r="U813" s="39"/>
      <c r="V813" s="117">
        <v>46273</v>
      </c>
      <c r="W813" s="39">
        <v>232</v>
      </c>
      <c r="X813" s="39"/>
      <c r="Y813" s="39"/>
      <c r="Z813" s="39"/>
      <c r="AA813" s="39"/>
      <c r="AB813" s="118">
        <f t="shared" si="506"/>
        <v>0</v>
      </c>
      <c r="AC813" s="39"/>
      <c r="AD813" s="39"/>
      <c r="AE813" s="39"/>
      <c r="AF813" s="39"/>
      <c r="AG813" s="39"/>
      <c r="AH813" s="39">
        <f t="shared" si="483"/>
        <v>0</v>
      </c>
      <c r="AI813" s="39"/>
      <c r="AJ813" s="39"/>
      <c r="AK813" s="39"/>
      <c r="AL813" s="39"/>
      <c r="AM813" s="39"/>
      <c r="AN813" s="39">
        <f t="shared" si="196"/>
        <v>0</v>
      </c>
      <c r="AO813" s="39"/>
      <c r="AP813" s="39"/>
      <c r="AQ813" s="39"/>
      <c r="AR813" s="39"/>
      <c r="AS813" s="39"/>
      <c r="AT813" s="39">
        <f t="shared" si="367"/>
        <v>0</v>
      </c>
      <c r="AU813" s="39"/>
      <c r="AV813" s="39"/>
      <c r="AW813" s="39"/>
      <c r="AX813" s="39"/>
      <c r="AY813" s="39"/>
      <c r="AZ813" s="39">
        <f t="shared" si="368"/>
        <v>0</v>
      </c>
      <c r="BA813" s="39"/>
      <c r="BB813" s="39"/>
      <c r="BC813" s="39"/>
      <c r="BD813" s="39"/>
      <c r="BE813" s="39"/>
      <c r="BF813" s="39">
        <f t="shared" si="369"/>
        <v>0</v>
      </c>
      <c r="BG813" s="39"/>
      <c r="BH813" s="39"/>
      <c r="BI813" s="39"/>
      <c r="BJ813" s="39"/>
      <c r="BK813" s="39"/>
      <c r="BL813" s="39">
        <f t="shared" si="484"/>
        <v>0</v>
      </c>
      <c r="BM813" s="54">
        <f t="shared" ca="1" si="371"/>
        <v>46283</v>
      </c>
      <c r="BN813" s="66">
        <v>46277</v>
      </c>
      <c r="BO813" s="117">
        <v>46297</v>
      </c>
      <c r="BP813" s="39"/>
      <c r="BQ813" s="39"/>
      <c r="BR813" s="117"/>
      <c r="BS813" s="39"/>
      <c r="BT813" s="39"/>
      <c r="BU813" s="39"/>
      <c r="BV813" s="39"/>
      <c r="BW813" s="39"/>
      <c r="BX813" s="39"/>
      <c r="BY813" s="39"/>
      <c r="BZ813" s="39">
        <f t="shared" si="485"/>
        <v>0</v>
      </c>
      <c r="CA813" s="39">
        <f t="shared" si="373"/>
        <v>-360</v>
      </c>
      <c r="CB813" s="39">
        <f t="shared" si="374"/>
        <v>0</v>
      </c>
      <c r="CC813" s="39">
        <f t="shared" si="375"/>
        <v>0</v>
      </c>
      <c r="CD813" s="39">
        <f t="shared" si="376"/>
        <v>-360</v>
      </c>
      <c r="CE813" s="102">
        <f t="shared" si="377"/>
        <v>-1</v>
      </c>
      <c r="CF813" s="36" t="s">
        <v>252</v>
      </c>
      <c r="CG813" s="39" t="s">
        <v>223</v>
      </c>
      <c r="CH813" s="39"/>
      <c r="CI813" s="25">
        <v>2</v>
      </c>
    </row>
    <row r="814" spans="1:87" ht="24.75" customHeight="1">
      <c r="A814" s="36" t="s">
        <v>388</v>
      </c>
      <c r="B814" s="27" t="s">
        <v>2444</v>
      </c>
      <c r="C814" s="231"/>
      <c r="D814" s="36"/>
      <c r="E814" s="39">
        <v>150</v>
      </c>
      <c r="F814" s="39" t="s">
        <v>69</v>
      </c>
      <c r="G814" s="36" t="s">
        <v>1215</v>
      </c>
      <c r="H814" s="39" t="s">
        <v>22</v>
      </c>
      <c r="I814" s="39">
        <v>549</v>
      </c>
      <c r="J814" s="39"/>
      <c r="K814" s="39"/>
      <c r="L814" s="39">
        <f t="shared" si="504"/>
        <v>549</v>
      </c>
      <c r="M814" s="117">
        <v>46268</v>
      </c>
      <c r="N814" s="117">
        <v>46287</v>
      </c>
      <c r="O814" s="39"/>
      <c r="P814" s="39"/>
      <c r="Q814" s="39"/>
      <c r="R814" s="39">
        <f t="shared" si="505"/>
        <v>0</v>
      </c>
      <c r="S814" s="39" t="s">
        <v>130</v>
      </c>
      <c r="T814" s="39">
        <v>108996</v>
      </c>
      <c r="U814" s="117">
        <v>46261</v>
      </c>
      <c r="V814" s="39"/>
      <c r="W814" s="39"/>
      <c r="X814" s="39"/>
      <c r="Y814" s="39">
        <f>455</f>
        <v>455</v>
      </c>
      <c r="Z814" s="39"/>
      <c r="AA814" s="39"/>
      <c r="AB814" s="118">
        <f t="shared" si="506"/>
        <v>455</v>
      </c>
      <c r="AC814" s="39"/>
      <c r="AD814" s="39"/>
      <c r="AE814" s="39"/>
      <c r="AF814" s="39"/>
      <c r="AG814" s="39"/>
      <c r="AH814" s="39">
        <f t="shared" si="483"/>
        <v>0</v>
      </c>
      <c r="AI814" s="39"/>
      <c r="AJ814" s="39"/>
      <c r="AK814" s="39"/>
      <c r="AL814" s="39"/>
      <c r="AM814" s="39"/>
      <c r="AN814" s="39">
        <f t="shared" si="196"/>
        <v>0</v>
      </c>
      <c r="AO814" s="39"/>
      <c r="AP814" s="39"/>
      <c r="AQ814" s="39"/>
      <c r="AR814" s="39"/>
      <c r="AS814" s="39"/>
      <c r="AT814" s="39">
        <f t="shared" si="367"/>
        <v>0</v>
      </c>
      <c r="AU814" s="39"/>
      <c r="AV814" s="39"/>
      <c r="AW814" s="39"/>
      <c r="AX814" s="39"/>
      <c r="AY814" s="39"/>
      <c r="AZ814" s="39">
        <f t="shared" si="368"/>
        <v>0</v>
      </c>
      <c r="BA814" s="39"/>
      <c r="BB814" s="39"/>
      <c r="BC814" s="39"/>
      <c r="BD814" s="39"/>
      <c r="BE814" s="39"/>
      <c r="BF814" s="39">
        <f t="shared" si="369"/>
        <v>0</v>
      </c>
      <c r="BG814" s="39"/>
      <c r="BH814" s="39"/>
      <c r="BI814" s="39"/>
      <c r="BJ814" s="39"/>
      <c r="BK814" s="39"/>
      <c r="BL814" s="39">
        <f t="shared" si="484"/>
        <v>0</v>
      </c>
      <c r="BM814" s="54">
        <f t="shared" ca="1" si="371"/>
        <v>22</v>
      </c>
      <c r="BN814" s="66">
        <v>46277</v>
      </c>
      <c r="BO814" s="117">
        <v>46297</v>
      </c>
      <c r="BP814" s="39"/>
      <c r="BQ814" s="39"/>
      <c r="BR814" s="117">
        <v>46265</v>
      </c>
      <c r="BS814" s="39"/>
      <c r="BT814" s="39">
        <v>723</v>
      </c>
      <c r="BU814" s="39">
        <f>420</f>
        <v>420</v>
      </c>
      <c r="BV814" s="39"/>
      <c r="BW814" s="39"/>
      <c r="BX814" s="39"/>
      <c r="BY814" s="39"/>
      <c r="BZ814" s="39">
        <f t="shared" si="485"/>
        <v>420</v>
      </c>
      <c r="CA814" s="39">
        <f t="shared" si="373"/>
        <v>-129</v>
      </c>
      <c r="CB814" s="39">
        <f t="shared" si="374"/>
        <v>0</v>
      </c>
      <c r="CC814" s="39">
        <f t="shared" si="375"/>
        <v>0</v>
      </c>
      <c r="CD814" s="39">
        <f t="shared" si="376"/>
        <v>-129</v>
      </c>
      <c r="CE814" s="102">
        <f t="shared" si="377"/>
        <v>-0.23497267759562843</v>
      </c>
      <c r="CF814" s="36" t="s">
        <v>252</v>
      </c>
      <c r="CG814" s="39" t="s">
        <v>223</v>
      </c>
      <c r="CH814" s="39"/>
      <c r="CI814" s="25">
        <v>2</v>
      </c>
    </row>
    <row r="815" spans="1:87" ht="24.75" customHeight="1">
      <c r="A815" s="36" t="s">
        <v>388</v>
      </c>
      <c r="B815" s="27" t="s">
        <v>2444</v>
      </c>
      <c r="C815" s="231"/>
      <c r="D815" s="36"/>
      <c r="E815" s="39">
        <v>150</v>
      </c>
      <c r="F815" s="39" t="s">
        <v>69</v>
      </c>
      <c r="G815" s="36" t="s">
        <v>23</v>
      </c>
      <c r="H815" s="39" t="s">
        <v>22</v>
      </c>
      <c r="I815" s="39">
        <v>677</v>
      </c>
      <c r="J815" s="39"/>
      <c r="K815" s="39"/>
      <c r="L815" s="39">
        <f t="shared" si="504"/>
        <v>677</v>
      </c>
      <c r="M815" s="117">
        <v>46268</v>
      </c>
      <c r="N815" s="117">
        <v>46287</v>
      </c>
      <c r="O815" s="39"/>
      <c r="P815" s="39"/>
      <c r="Q815" s="39"/>
      <c r="R815" s="39">
        <f t="shared" si="505"/>
        <v>0</v>
      </c>
      <c r="S815" s="39" t="s">
        <v>130</v>
      </c>
      <c r="T815" s="39">
        <v>109018</v>
      </c>
      <c r="U815" s="117">
        <v>46261</v>
      </c>
      <c r="V815" s="39"/>
      <c r="W815" s="39"/>
      <c r="X815" s="39"/>
      <c r="Y815" s="39">
        <v>732</v>
      </c>
      <c r="Z815" s="39"/>
      <c r="AA815" s="39"/>
      <c r="AB815" s="119">
        <f t="shared" si="506"/>
        <v>732</v>
      </c>
      <c r="AC815" s="39"/>
      <c r="AD815" s="39"/>
      <c r="AE815" s="39"/>
      <c r="AF815" s="39"/>
      <c r="AG815" s="39"/>
      <c r="AH815" s="39">
        <f t="shared" si="483"/>
        <v>0</v>
      </c>
      <c r="AI815" s="39"/>
      <c r="AJ815" s="39"/>
      <c r="AK815" s="39"/>
      <c r="AL815" s="39"/>
      <c r="AM815" s="39"/>
      <c r="AN815" s="39">
        <f t="shared" si="196"/>
        <v>0</v>
      </c>
      <c r="AO815" s="39"/>
      <c r="AP815" s="39"/>
      <c r="AQ815" s="39"/>
      <c r="AR815" s="39"/>
      <c r="AS815" s="39"/>
      <c r="AT815" s="39">
        <f t="shared" si="367"/>
        <v>0</v>
      </c>
      <c r="AU815" s="39"/>
      <c r="AV815" s="39"/>
      <c r="AW815" s="39"/>
      <c r="AX815" s="39"/>
      <c r="AY815" s="39"/>
      <c r="AZ815" s="39">
        <f t="shared" si="368"/>
        <v>0</v>
      </c>
      <c r="BA815" s="39"/>
      <c r="BB815" s="39"/>
      <c r="BC815" s="39"/>
      <c r="BD815" s="39"/>
      <c r="BE815" s="39"/>
      <c r="BF815" s="39">
        <f t="shared" si="369"/>
        <v>0</v>
      </c>
      <c r="BG815" s="39"/>
      <c r="BH815" s="39"/>
      <c r="BI815" s="39"/>
      <c r="BJ815" s="39"/>
      <c r="BK815" s="39"/>
      <c r="BL815" s="39">
        <f t="shared" si="484"/>
        <v>0</v>
      </c>
      <c r="BM815" s="54" t="str">
        <f t="shared" si="371"/>
        <v/>
      </c>
      <c r="BN815" s="66">
        <v>46277</v>
      </c>
      <c r="BO815" s="117">
        <v>46297</v>
      </c>
      <c r="BP815" s="39"/>
      <c r="BQ815" s="39"/>
      <c r="BR815" s="117">
        <v>46263</v>
      </c>
      <c r="BS815" s="117">
        <v>46263</v>
      </c>
      <c r="BT815" s="39" t="s">
        <v>2667</v>
      </c>
      <c r="BU815" s="39">
        <f>651+28</f>
        <v>679</v>
      </c>
      <c r="BV815" s="39"/>
      <c r="BW815" s="39"/>
      <c r="BX815" s="39"/>
      <c r="BY815" s="39"/>
      <c r="BZ815" s="39">
        <f t="shared" si="485"/>
        <v>679</v>
      </c>
      <c r="CA815" s="39">
        <f t="shared" si="373"/>
        <v>2</v>
      </c>
      <c r="CB815" s="39">
        <f t="shared" si="374"/>
        <v>0</v>
      </c>
      <c r="CC815" s="39">
        <f t="shared" si="375"/>
        <v>0</v>
      </c>
      <c r="CD815" s="39">
        <f t="shared" si="376"/>
        <v>0</v>
      </c>
      <c r="CE815" s="102">
        <f t="shared" si="377"/>
        <v>0</v>
      </c>
      <c r="CF815" s="36" t="s">
        <v>252</v>
      </c>
      <c r="CG815" s="39" t="s">
        <v>223</v>
      </c>
      <c r="CH815" s="39"/>
      <c r="CI815" s="25">
        <v>2</v>
      </c>
    </row>
    <row r="816" spans="1:87" ht="24.75" customHeight="1">
      <c r="A816" s="36" t="s">
        <v>388</v>
      </c>
      <c r="B816" s="27" t="s">
        <v>2444</v>
      </c>
      <c r="C816" s="228"/>
      <c r="D816" s="36"/>
      <c r="E816" s="39">
        <v>150</v>
      </c>
      <c r="F816" s="39" t="s">
        <v>69</v>
      </c>
      <c r="G816" s="36" t="s">
        <v>1061</v>
      </c>
      <c r="H816" s="39" t="s">
        <v>22</v>
      </c>
      <c r="I816" s="39">
        <v>129</v>
      </c>
      <c r="J816" s="39"/>
      <c r="K816" s="39"/>
      <c r="L816" s="39">
        <f t="shared" si="504"/>
        <v>129</v>
      </c>
      <c r="M816" s="117">
        <v>46268</v>
      </c>
      <c r="N816" s="117">
        <v>46287</v>
      </c>
      <c r="O816" s="39"/>
      <c r="P816" s="39"/>
      <c r="Q816" s="39"/>
      <c r="R816" s="39">
        <f t="shared" si="505"/>
        <v>0</v>
      </c>
      <c r="S816" s="39" t="s">
        <v>130</v>
      </c>
      <c r="T816" s="39"/>
      <c r="U816" s="39"/>
      <c r="V816" s="39"/>
      <c r="W816" s="39"/>
      <c r="X816" s="39"/>
      <c r="Y816" s="39"/>
      <c r="Z816" s="39"/>
      <c r="AA816" s="39"/>
      <c r="AB816" s="118">
        <f t="shared" si="506"/>
        <v>0</v>
      </c>
      <c r="AC816" s="39"/>
      <c r="AD816" s="39"/>
      <c r="AE816" s="39"/>
      <c r="AF816" s="39"/>
      <c r="AG816" s="39"/>
      <c r="AH816" s="39">
        <f t="shared" si="483"/>
        <v>0</v>
      </c>
      <c r="AI816" s="39"/>
      <c r="AJ816" s="39"/>
      <c r="AK816" s="39"/>
      <c r="AL816" s="39"/>
      <c r="AM816" s="39"/>
      <c r="AN816" s="39">
        <f t="shared" si="196"/>
        <v>0</v>
      </c>
      <c r="AO816" s="39"/>
      <c r="AP816" s="39"/>
      <c r="AQ816" s="39"/>
      <c r="AR816" s="39"/>
      <c r="AS816" s="39"/>
      <c r="AT816" s="39">
        <f t="shared" si="367"/>
        <v>0</v>
      </c>
      <c r="AU816" s="39"/>
      <c r="AV816" s="39"/>
      <c r="AW816" s="39"/>
      <c r="AX816" s="39"/>
      <c r="AY816" s="39"/>
      <c r="AZ816" s="39">
        <f t="shared" si="368"/>
        <v>0</v>
      </c>
      <c r="BA816" s="39"/>
      <c r="BB816" s="39"/>
      <c r="BC816" s="39"/>
      <c r="BD816" s="39"/>
      <c r="BE816" s="39"/>
      <c r="BF816" s="39">
        <f t="shared" si="369"/>
        <v>0</v>
      </c>
      <c r="BG816" s="39"/>
      <c r="BH816" s="39"/>
      <c r="BI816" s="39"/>
      <c r="BJ816" s="39"/>
      <c r="BK816" s="39"/>
      <c r="BL816" s="39">
        <f t="shared" si="484"/>
        <v>0</v>
      </c>
      <c r="BM816" s="54">
        <f t="shared" ca="1" si="371"/>
        <v>46283</v>
      </c>
      <c r="BN816" s="66">
        <v>46277</v>
      </c>
      <c r="BO816" s="117">
        <v>46297</v>
      </c>
      <c r="BP816" s="39"/>
      <c r="BQ816" s="39"/>
      <c r="BR816" s="39"/>
      <c r="BS816" s="39"/>
      <c r="BT816" s="39"/>
      <c r="BU816" s="39"/>
      <c r="BV816" s="39"/>
      <c r="BW816" s="39"/>
      <c r="BX816" s="39"/>
      <c r="BY816" s="39"/>
      <c r="BZ816" s="39">
        <f t="shared" si="485"/>
        <v>0</v>
      </c>
      <c r="CA816" s="39">
        <f t="shared" si="373"/>
        <v>-129</v>
      </c>
      <c r="CB816" s="39">
        <f t="shared" si="374"/>
        <v>0</v>
      </c>
      <c r="CC816" s="39">
        <f t="shared" si="375"/>
        <v>0</v>
      </c>
      <c r="CD816" s="39">
        <f t="shared" si="376"/>
        <v>-129</v>
      </c>
      <c r="CE816" s="102">
        <f t="shared" si="377"/>
        <v>-1</v>
      </c>
      <c r="CF816" s="36" t="s">
        <v>252</v>
      </c>
      <c r="CG816" s="39" t="s">
        <v>223</v>
      </c>
      <c r="CH816" s="39"/>
      <c r="CI816" s="25">
        <v>2</v>
      </c>
    </row>
    <row r="817" spans="1:87" ht="24.75" customHeight="1">
      <c r="A817" s="36" t="s">
        <v>388</v>
      </c>
      <c r="B817" s="27" t="s">
        <v>2445</v>
      </c>
      <c r="C817" s="227">
        <v>15308926</v>
      </c>
      <c r="D817" s="36"/>
      <c r="E817" s="39">
        <v>230</v>
      </c>
      <c r="F817" s="39" t="s">
        <v>2437</v>
      </c>
      <c r="G817" s="36" t="s">
        <v>401</v>
      </c>
      <c r="H817" s="39" t="s">
        <v>212</v>
      </c>
      <c r="I817" s="39">
        <v>422</v>
      </c>
      <c r="J817" s="39"/>
      <c r="K817" s="39"/>
      <c r="L817" s="39">
        <f t="shared" si="504"/>
        <v>422</v>
      </c>
      <c r="M817" s="117">
        <v>46275</v>
      </c>
      <c r="N817" s="117">
        <v>46282</v>
      </c>
      <c r="O817" s="39"/>
      <c r="P817" s="39"/>
      <c r="Q817" s="39"/>
      <c r="R817" s="39">
        <f t="shared" si="505"/>
        <v>0</v>
      </c>
      <c r="S817" s="39" t="s">
        <v>31</v>
      </c>
      <c r="T817" s="39"/>
      <c r="U817" s="39"/>
      <c r="V817" s="117">
        <v>46280</v>
      </c>
      <c r="W817" s="39">
        <v>478</v>
      </c>
      <c r="X817" s="39"/>
      <c r="Y817" s="39"/>
      <c r="Z817" s="39"/>
      <c r="AA817" s="39"/>
      <c r="AB817" s="118">
        <f t="shared" si="506"/>
        <v>0</v>
      </c>
      <c r="AC817" s="39"/>
      <c r="AD817" s="39"/>
      <c r="AE817" s="39"/>
      <c r="AF817" s="39"/>
      <c r="AG817" s="39"/>
      <c r="AH817" s="39">
        <f t="shared" si="483"/>
        <v>0</v>
      </c>
      <c r="AI817" s="39"/>
      <c r="AJ817" s="39"/>
      <c r="AK817" s="39"/>
      <c r="AL817" s="39"/>
      <c r="AM817" s="39"/>
      <c r="AN817" s="39">
        <f t="shared" si="196"/>
        <v>0</v>
      </c>
      <c r="AO817" s="39"/>
      <c r="AP817" s="39"/>
      <c r="AQ817" s="39"/>
      <c r="AR817" s="39"/>
      <c r="AS817" s="39"/>
      <c r="AT817" s="39">
        <f t="shared" si="367"/>
        <v>0</v>
      </c>
      <c r="AU817" s="39"/>
      <c r="AV817" s="39"/>
      <c r="AW817" s="39"/>
      <c r="AX817" s="39"/>
      <c r="AY817" s="39"/>
      <c r="AZ817" s="39">
        <f t="shared" si="368"/>
        <v>0</v>
      </c>
      <c r="BA817" s="39"/>
      <c r="BB817" s="39"/>
      <c r="BC817" s="39"/>
      <c r="BD817" s="39"/>
      <c r="BE817" s="39"/>
      <c r="BF817" s="39">
        <f t="shared" si="369"/>
        <v>0</v>
      </c>
      <c r="BG817" s="39"/>
      <c r="BH817" s="39"/>
      <c r="BI817" s="39"/>
      <c r="BJ817" s="39"/>
      <c r="BK817" s="39"/>
      <c r="BL817" s="39">
        <f t="shared" si="484"/>
        <v>0</v>
      </c>
      <c r="BM817" s="54">
        <f t="shared" ca="1" si="371"/>
        <v>46283</v>
      </c>
      <c r="BN817" s="66">
        <v>46285</v>
      </c>
      <c r="BO817" s="117">
        <v>46298</v>
      </c>
      <c r="BP817" s="39"/>
      <c r="BQ817" s="39"/>
      <c r="BR817" s="39"/>
      <c r="BS817" s="39"/>
      <c r="BT817" s="39"/>
      <c r="BU817" s="39"/>
      <c r="BV817" s="39"/>
      <c r="BW817" s="39"/>
      <c r="BX817" s="39"/>
      <c r="BY817" s="39"/>
      <c r="BZ817" s="39">
        <f t="shared" si="485"/>
        <v>0</v>
      </c>
      <c r="CA817" s="39">
        <f t="shared" si="373"/>
        <v>-422</v>
      </c>
      <c r="CB817" s="39">
        <f t="shared" si="374"/>
        <v>0</v>
      </c>
      <c r="CC817" s="39">
        <f t="shared" si="375"/>
        <v>0</v>
      </c>
      <c r="CD817" s="39">
        <f t="shared" si="376"/>
        <v>-422</v>
      </c>
      <c r="CE817" s="102">
        <f t="shared" si="377"/>
        <v>-1</v>
      </c>
      <c r="CF817" s="36" t="s">
        <v>252</v>
      </c>
      <c r="CG817" s="39" t="s">
        <v>223</v>
      </c>
      <c r="CH817" s="39"/>
      <c r="CI817" s="25">
        <v>2</v>
      </c>
    </row>
    <row r="818" spans="1:87" ht="24.75" customHeight="1">
      <c r="A818" s="36" t="s">
        <v>388</v>
      </c>
      <c r="B818" s="27" t="s">
        <v>2445</v>
      </c>
      <c r="C818" s="231"/>
      <c r="D818" s="36"/>
      <c r="E818" s="39">
        <v>230</v>
      </c>
      <c r="F818" s="39" t="s">
        <v>2437</v>
      </c>
      <c r="G818" s="36" t="s">
        <v>1654</v>
      </c>
      <c r="H818" s="39" t="s">
        <v>212</v>
      </c>
      <c r="I818" s="39">
        <v>527</v>
      </c>
      <c r="J818" s="39"/>
      <c r="K818" s="39"/>
      <c r="L818" s="39">
        <f t="shared" si="504"/>
        <v>527</v>
      </c>
      <c r="M818" s="117">
        <v>46275</v>
      </c>
      <c r="N818" s="117">
        <v>46282</v>
      </c>
      <c r="O818" s="39"/>
      <c r="P818" s="39"/>
      <c r="Q818" s="39"/>
      <c r="R818" s="39">
        <f t="shared" si="505"/>
        <v>0</v>
      </c>
      <c r="S818" s="39" t="s">
        <v>28</v>
      </c>
      <c r="T818" s="39"/>
      <c r="U818" s="39"/>
      <c r="V818" s="117">
        <v>46281</v>
      </c>
      <c r="W818" s="39">
        <v>592</v>
      </c>
      <c r="X818" s="39"/>
      <c r="Y818" s="39"/>
      <c r="Z818" s="39"/>
      <c r="AA818" s="39"/>
      <c r="AB818" s="118">
        <f t="shared" si="506"/>
        <v>0</v>
      </c>
      <c r="AC818" s="39"/>
      <c r="AD818" s="39"/>
      <c r="AE818" s="39"/>
      <c r="AF818" s="39"/>
      <c r="AG818" s="39"/>
      <c r="AH818" s="39">
        <f t="shared" si="483"/>
        <v>0</v>
      </c>
      <c r="AI818" s="39"/>
      <c r="AJ818" s="39"/>
      <c r="AK818" s="39"/>
      <c r="AL818" s="39"/>
      <c r="AM818" s="39"/>
      <c r="AN818" s="39">
        <f t="shared" si="196"/>
        <v>0</v>
      </c>
      <c r="AO818" s="39"/>
      <c r="AP818" s="39"/>
      <c r="AQ818" s="39"/>
      <c r="AR818" s="39"/>
      <c r="AS818" s="39"/>
      <c r="AT818" s="39">
        <f t="shared" si="367"/>
        <v>0</v>
      </c>
      <c r="AU818" s="39"/>
      <c r="AV818" s="39"/>
      <c r="AW818" s="39"/>
      <c r="AX818" s="39"/>
      <c r="AY818" s="39"/>
      <c r="AZ818" s="39">
        <f t="shared" si="368"/>
        <v>0</v>
      </c>
      <c r="BA818" s="39"/>
      <c r="BB818" s="39"/>
      <c r="BC818" s="39"/>
      <c r="BD818" s="39"/>
      <c r="BE818" s="39"/>
      <c r="BF818" s="39">
        <f t="shared" si="369"/>
        <v>0</v>
      </c>
      <c r="BG818" s="39"/>
      <c r="BH818" s="39"/>
      <c r="BI818" s="39"/>
      <c r="BJ818" s="39"/>
      <c r="BK818" s="39"/>
      <c r="BL818" s="39">
        <f t="shared" si="484"/>
        <v>0</v>
      </c>
      <c r="BM818" s="54">
        <f t="shared" ca="1" si="371"/>
        <v>46283</v>
      </c>
      <c r="BN818" s="66">
        <v>46285</v>
      </c>
      <c r="BO818" s="117">
        <v>46298</v>
      </c>
      <c r="BP818" s="39"/>
      <c r="BQ818" s="39"/>
      <c r="BR818" s="39"/>
      <c r="BS818" s="39"/>
      <c r="BT818" s="39"/>
      <c r="BU818" s="39"/>
      <c r="BV818" s="39"/>
      <c r="BW818" s="39"/>
      <c r="BX818" s="39"/>
      <c r="BY818" s="39"/>
      <c r="BZ818" s="39">
        <f t="shared" si="485"/>
        <v>0</v>
      </c>
      <c r="CA818" s="39">
        <f t="shared" si="373"/>
        <v>-527</v>
      </c>
      <c r="CB818" s="39">
        <f t="shared" si="374"/>
        <v>0</v>
      </c>
      <c r="CC818" s="39">
        <f t="shared" si="375"/>
        <v>0</v>
      </c>
      <c r="CD818" s="39">
        <f t="shared" si="376"/>
        <v>-527</v>
      </c>
      <c r="CE818" s="102">
        <f t="shared" si="377"/>
        <v>-1</v>
      </c>
      <c r="CF818" s="36" t="s">
        <v>252</v>
      </c>
      <c r="CG818" s="39" t="s">
        <v>223</v>
      </c>
      <c r="CH818" s="39"/>
      <c r="CI818" s="25">
        <v>2</v>
      </c>
    </row>
    <row r="819" spans="1:87" ht="24.75" customHeight="1">
      <c r="A819" s="36" t="s">
        <v>388</v>
      </c>
      <c r="B819" s="27" t="s">
        <v>2445</v>
      </c>
      <c r="C819" s="231"/>
      <c r="D819" s="36"/>
      <c r="E819" s="39">
        <v>230</v>
      </c>
      <c r="F819" s="39" t="s">
        <v>2437</v>
      </c>
      <c r="G819" s="36" t="s">
        <v>47</v>
      </c>
      <c r="H819" s="39" t="s">
        <v>212</v>
      </c>
      <c r="I819" s="39">
        <v>623</v>
      </c>
      <c r="J819" s="39"/>
      <c r="K819" s="39"/>
      <c r="L819" s="39">
        <f t="shared" si="504"/>
        <v>623</v>
      </c>
      <c r="M819" s="117">
        <v>46275</v>
      </c>
      <c r="N819" s="117">
        <v>46282</v>
      </c>
      <c r="O819" s="39"/>
      <c r="P819" s="39"/>
      <c r="Q819" s="39"/>
      <c r="R819" s="39">
        <f t="shared" si="505"/>
        <v>0</v>
      </c>
      <c r="S819" s="39" t="s">
        <v>28</v>
      </c>
      <c r="T819" s="39"/>
      <c r="U819" s="39"/>
      <c r="V819" s="117">
        <v>46280</v>
      </c>
      <c r="W819" s="39">
        <v>696</v>
      </c>
      <c r="X819" s="39"/>
      <c r="Y819" s="39"/>
      <c r="Z819" s="39"/>
      <c r="AA819" s="39"/>
      <c r="AB819" s="118">
        <f t="shared" si="506"/>
        <v>0</v>
      </c>
      <c r="AC819" s="39"/>
      <c r="AD819" s="39"/>
      <c r="AE819" s="39"/>
      <c r="AF819" s="39"/>
      <c r="AG819" s="39"/>
      <c r="AH819" s="39">
        <f t="shared" si="483"/>
        <v>0</v>
      </c>
      <c r="AI819" s="39"/>
      <c r="AJ819" s="39"/>
      <c r="AK819" s="39"/>
      <c r="AL819" s="39"/>
      <c r="AM819" s="39"/>
      <c r="AN819" s="39">
        <f t="shared" si="196"/>
        <v>0</v>
      </c>
      <c r="AO819" s="39"/>
      <c r="AP819" s="39"/>
      <c r="AQ819" s="39"/>
      <c r="AR819" s="39"/>
      <c r="AS819" s="39"/>
      <c r="AT819" s="39">
        <f t="shared" si="367"/>
        <v>0</v>
      </c>
      <c r="AU819" s="39"/>
      <c r="AV819" s="39"/>
      <c r="AW819" s="39"/>
      <c r="AX819" s="39"/>
      <c r="AY819" s="39"/>
      <c r="AZ819" s="39">
        <f t="shared" si="368"/>
        <v>0</v>
      </c>
      <c r="BA819" s="39"/>
      <c r="BB819" s="39"/>
      <c r="BC819" s="39"/>
      <c r="BD819" s="39"/>
      <c r="BE819" s="39"/>
      <c r="BF819" s="39">
        <f t="shared" si="369"/>
        <v>0</v>
      </c>
      <c r="BG819" s="39"/>
      <c r="BH819" s="39"/>
      <c r="BI819" s="39"/>
      <c r="BJ819" s="39"/>
      <c r="BK819" s="39"/>
      <c r="BL819" s="39">
        <f t="shared" si="484"/>
        <v>0</v>
      </c>
      <c r="BM819" s="54">
        <f t="shared" ca="1" si="371"/>
        <v>46283</v>
      </c>
      <c r="BN819" s="66">
        <v>46285</v>
      </c>
      <c r="BO819" s="117">
        <v>46298</v>
      </c>
      <c r="BP819" s="39"/>
      <c r="BQ819" s="39"/>
      <c r="BR819" s="39"/>
      <c r="BS819" s="39"/>
      <c r="BT819" s="39"/>
      <c r="BU819" s="39"/>
      <c r="BV819" s="39"/>
      <c r="BW819" s="39"/>
      <c r="BX819" s="39"/>
      <c r="BY819" s="39"/>
      <c r="BZ819" s="39">
        <f t="shared" si="485"/>
        <v>0</v>
      </c>
      <c r="CA819" s="39">
        <f t="shared" si="373"/>
        <v>-623</v>
      </c>
      <c r="CB819" s="39">
        <f t="shared" si="374"/>
        <v>0</v>
      </c>
      <c r="CC819" s="39">
        <f t="shared" si="375"/>
        <v>0</v>
      </c>
      <c r="CD819" s="39">
        <f t="shared" si="376"/>
        <v>-623</v>
      </c>
      <c r="CE819" s="102">
        <f t="shared" si="377"/>
        <v>-1</v>
      </c>
      <c r="CF819" s="36" t="s">
        <v>252</v>
      </c>
      <c r="CG819" s="39" t="s">
        <v>223</v>
      </c>
      <c r="CH819" s="39"/>
      <c r="CI819" s="25">
        <v>2</v>
      </c>
    </row>
    <row r="820" spans="1:87" ht="24.75" customHeight="1">
      <c r="A820" s="36" t="s">
        <v>388</v>
      </c>
      <c r="B820" s="27" t="s">
        <v>2445</v>
      </c>
      <c r="C820" s="231"/>
      <c r="D820" s="36"/>
      <c r="E820" s="39">
        <v>230</v>
      </c>
      <c r="F820" s="39" t="s">
        <v>2437</v>
      </c>
      <c r="G820" s="36" t="s">
        <v>2433</v>
      </c>
      <c r="H820" s="39" t="s">
        <v>212</v>
      </c>
      <c r="I820" s="39">
        <v>127</v>
      </c>
      <c r="J820" s="39"/>
      <c r="K820" s="39"/>
      <c r="L820" s="39">
        <f t="shared" si="504"/>
        <v>127</v>
      </c>
      <c r="M820" s="117">
        <v>46275</v>
      </c>
      <c r="N820" s="117">
        <v>46282</v>
      </c>
      <c r="O820" s="39"/>
      <c r="P820" s="39"/>
      <c r="Q820" s="39"/>
      <c r="R820" s="39">
        <f t="shared" si="505"/>
        <v>0</v>
      </c>
      <c r="S820" s="39" t="s">
        <v>31</v>
      </c>
      <c r="T820" s="39"/>
      <c r="U820" s="39"/>
      <c r="V820" s="117">
        <v>46274</v>
      </c>
      <c r="W820" s="39">
        <v>155</v>
      </c>
      <c r="X820" s="39"/>
      <c r="Y820" s="39"/>
      <c r="Z820" s="39"/>
      <c r="AA820" s="39"/>
      <c r="AB820" s="118">
        <f t="shared" si="506"/>
        <v>0</v>
      </c>
      <c r="AC820" s="39"/>
      <c r="AD820" s="39"/>
      <c r="AE820" s="39"/>
      <c r="AF820" s="39"/>
      <c r="AG820" s="39"/>
      <c r="AH820" s="39">
        <f t="shared" si="483"/>
        <v>0</v>
      </c>
      <c r="AI820" s="39"/>
      <c r="AJ820" s="39"/>
      <c r="AK820" s="39"/>
      <c r="AL820" s="39"/>
      <c r="AM820" s="39"/>
      <c r="AN820" s="39">
        <f t="shared" ref="AN820:AN851" si="507">AM820-AK820</f>
        <v>0</v>
      </c>
      <c r="AO820" s="39"/>
      <c r="AP820" s="39"/>
      <c r="AQ820" s="39"/>
      <c r="AR820" s="39"/>
      <c r="AS820" s="39"/>
      <c r="AT820" s="39">
        <f t="shared" si="367"/>
        <v>0</v>
      </c>
      <c r="AU820" s="39"/>
      <c r="AV820" s="39"/>
      <c r="AW820" s="39"/>
      <c r="AX820" s="39"/>
      <c r="AY820" s="39"/>
      <c r="AZ820" s="39">
        <f t="shared" si="368"/>
        <v>0</v>
      </c>
      <c r="BA820" s="39"/>
      <c r="BB820" s="39"/>
      <c r="BC820" s="39"/>
      <c r="BD820" s="39"/>
      <c r="BE820" s="39"/>
      <c r="BF820" s="39">
        <f t="shared" si="369"/>
        <v>0</v>
      </c>
      <c r="BG820" s="39"/>
      <c r="BH820" s="39"/>
      <c r="BI820" s="39"/>
      <c r="BJ820" s="39"/>
      <c r="BK820" s="39"/>
      <c r="BL820" s="39">
        <f t="shared" si="484"/>
        <v>0</v>
      </c>
      <c r="BM820" s="54">
        <f t="shared" ca="1" si="371"/>
        <v>46283</v>
      </c>
      <c r="BN820" s="66">
        <v>46285</v>
      </c>
      <c r="BO820" s="117">
        <v>46298</v>
      </c>
      <c r="BP820" s="39"/>
      <c r="BQ820" s="39"/>
      <c r="BR820" s="39"/>
      <c r="BS820" s="39"/>
      <c r="BT820" s="39"/>
      <c r="BU820" s="39"/>
      <c r="BV820" s="39"/>
      <c r="BW820" s="39"/>
      <c r="BX820" s="39"/>
      <c r="BY820" s="39"/>
      <c r="BZ820" s="39">
        <f t="shared" si="485"/>
        <v>0</v>
      </c>
      <c r="CA820" s="39">
        <f t="shared" si="373"/>
        <v>-127</v>
      </c>
      <c r="CB820" s="39">
        <f t="shared" si="374"/>
        <v>0</v>
      </c>
      <c r="CC820" s="39">
        <f t="shared" si="375"/>
        <v>0</v>
      </c>
      <c r="CD820" s="39">
        <f t="shared" si="376"/>
        <v>-127</v>
      </c>
      <c r="CE820" s="102">
        <f t="shared" si="377"/>
        <v>-1</v>
      </c>
      <c r="CF820" s="36" t="s">
        <v>252</v>
      </c>
      <c r="CG820" s="39" t="s">
        <v>223</v>
      </c>
      <c r="CH820" s="39"/>
      <c r="CI820" s="25">
        <v>2</v>
      </c>
    </row>
    <row r="821" spans="1:87" ht="24.75" customHeight="1">
      <c r="A821" s="36" t="s">
        <v>388</v>
      </c>
      <c r="B821" s="27" t="s">
        <v>2445</v>
      </c>
      <c r="C821" s="228"/>
      <c r="D821" s="36"/>
      <c r="E821" s="39">
        <v>230</v>
      </c>
      <c r="F821" s="39" t="s">
        <v>2437</v>
      </c>
      <c r="G821" s="36" t="s">
        <v>2435</v>
      </c>
      <c r="H821" s="39" t="s">
        <v>212</v>
      </c>
      <c r="I821" s="39">
        <v>15</v>
      </c>
      <c r="J821" s="39"/>
      <c r="K821" s="39"/>
      <c r="L821" s="39">
        <f t="shared" si="504"/>
        <v>15</v>
      </c>
      <c r="M821" s="117">
        <v>46275</v>
      </c>
      <c r="N821" s="117">
        <v>46282</v>
      </c>
      <c r="O821" s="39"/>
      <c r="P821" s="39"/>
      <c r="Q821" s="39"/>
      <c r="R821" s="39">
        <f t="shared" si="505"/>
        <v>0</v>
      </c>
      <c r="S821" s="39" t="s">
        <v>28</v>
      </c>
      <c r="T821" s="39"/>
      <c r="U821" s="39"/>
      <c r="V821" s="117">
        <v>46267</v>
      </c>
      <c r="W821" s="39">
        <v>27</v>
      </c>
      <c r="X821" s="117">
        <v>46277</v>
      </c>
      <c r="Y821" s="39">
        <v>26</v>
      </c>
      <c r="Z821" s="39"/>
      <c r="AA821" s="39"/>
      <c r="AB821" s="119">
        <f t="shared" si="506"/>
        <v>26</v>
      </c>
      <c r="AC821" s="39"/>
      <c r="AD821" s="39"/>
      <c r="AE821" s="39"/>
      <c r="AF821" s="39"/>
      <c r="AG821" s="39"/>
      <c r="AH821" s="39">
        <f t="shared" si="483"/>
        <v>0</v>
      </c>
      <c r="AI821" s="39"/>
      <c r="AJ821" s="39"/>
      <c r="AK821" s="39"/>
      <c r="AL821" s="39"/>
      <c r="AM821" s="39"/>
      <c r="AN821" s="39">
        <f t="shared" si="507"/>
        <v>0</v>
      </c>
      <c r="AO821" s="39"/>
      <c r="AP821" s="39"/>
      <c r="AQ821" s="39"/>
      <c r="AR821" s="39"/>
      <c r="AS821" s="39"/>
      <c r="AT821" s="39">
        <f t="shared" si="367"/>
        <v>0</v>
      </c>
      <c r="AU821" s="39"/>
      <c r="AV821" s="39"/>
      <c r="AW821" s="39"/>
      <c r="AX821" s="39"/>
      <c r="AY821" s="39"/>
      <c r="AZ821" s="39">
        <f t="shared" si="368"/>
        <v>0</v>
      </c>
      <c r="BA821" s="39"/>
      <c r="BB821" s="39"/>
      <c r="BC821" s="39"/>
      <c r="BD821" s="39"/>
      <c r="BE821" s="39"/>
      <c r="BF821" s="39">
        <f t="shared" si="369"/>
        <v>0</v>
      </c>
      <c r="BG821" s="39"/>
      <c r="BH821" s="39"/>
      <c r="BI821" s="39"/>
      <c r="BJ821" s="39"/>
      <c r="BK821" s="39"/>
      <c r="BL821" s="39">
        <f t="shared" si="484"/>
        <v>0</v>
      </c>
      <c r="BM821" s="54">
        <f t="shared" ca="1" si="371"/>
        <v>46283</v>
      </c>
      <c r="BN821" s="66">
        <v>46285</v>
      </c>
      <c r="BO821" s="117">
        <v>46298</v>
      </c>
      <c r="BP821" s="39"/>
      <c r="BQ821" s="39"/>
      <c r="BR821" s="39"/>
      <c r="BS821" s="39"/>
      <c r="BT821" s="39"/>
      <c r="BU821" s="39"/>
      <c r="BV821" s="39"/>
      <c r="BW821" s="39"/>
      <c r="BX821" s="39"/>
      <c r="BY821" s="39"/>
      <c r="BZ821" s="39">
        <f t="shared" si="485"/>
        <v>0</v>
      </c>
      <c r="CA821" s="39">
        <f t="shared" si="373"/>
        <v>-15</v>
      </c>
      <c r="CB821" s="39">
        <f t="shared" si="374"/>
        <v>0</v>
      </c>
      <c r="CC821" s="39">
        <f t="shared" si="375"/>
        <v>0</v>
      </c>
      <c r="CD821" s="39">
        <f t="shared" si="376"/>
        <v>-15</v>
      </c>
      <c r="CE821" s="102">
        <f t="shared" si="377"/>
        <v>-1</v>
      </c>
      <c r="CF821" s="36" t="s">
        <v>252</v>
      </c>
      <c r="CG821" s="39" t="s">
        <v>223</v>
      </c>
      <c r="CH821" s="39"/>
      <c r="CI821" s="25">
        <v>2</v>
      </c>
    </row>
    <row r="822" spans="1:87" ht="24.75" customHeight="1">
      <c r="A822" s="36" t="s">
        <v>388</v>
      </c>
      <c r="B822" s="27" t="s">
        <v>2494</v>
      </c>
      <c r="C822" s="227">
        <v>15366549</v>
      </c>
      <c r="D822" s="36"/>
      <c r="E822" s="39">
        <v>220</v>
      </c>
      <c r="F822" s="39" t="s">
        <v>53</v>
      </c>
      <c r="G822" s="36" t="s">
        <v>2495</v>
      </c>
      <c r="H822" s="36" t="s">
        <v>2496</v>
      </c>
      <c r="I822" s="39">
        <v>1017</v>
      </c>
      <c r="J822" s="39"/>
      <c r="K822" s="39">
        <v>97</v>
      </c>
      <c r="L822" s="39">
        <f t="shared" si="504"/>
        <v>1114</v>
      </c>
      <c r="M822" s="117">
        <v>46266</v>
      </c>
      <c r="N822" s="117">
        <v>46275</v>
      </c>
      <c r="O822" s="39"/>
      <c r="P822" s="39"/>
      <c r="Q822" s="39"/>
      <c r="R822" s="39">
        <f t="shared" si="505"/>
        <v>0</v>
      </c>
      <c r="S822" s="39" t="s">
        <v>130</v>
      </c>
      <c r="T822" s="39"/>
      <c r="U822" s="39"/>
      <c r="V822" s="39"/>
      <c r="W822" s="39"/>
      <c r="X822" s="39"/>
      <c r="Y822" s="39"/>
      <c r="Z822" s="39"/>
      <c r="AA822" s="39"/>
      <c r="AB822" s="118">
        <f t="shared" si="506"/>
        <v>0</v>
      </c>
      <c r="AC822" s="39"/>
      <c r="AD822" s="39"/>
      <c r="AE822" s="39"/>
      <c r="AF822" s="39"/>
      <c r="AG822" s="39"/>
      <c r="AH822" s="39">
        <f t="shared" si="483"/>
        <v>0</v>
      </c>
      <c r="AI822" s="39"/>
      <c r="AJ822" s="39"/>
      <c r="AK822" s="39"/>
      <c r="AL822" s="39"/>
      <c r="AM822" s="39"/>
      <c r="AN822" s="39">
        <f t="shared" si="507"/>
        <v>0</v>
      </c>
      <c r="AO822" s="39"/>
      <c r="AP822" s="39"/>
      <c r="AQ822" s="39"/>
      <c r="AR822" s="39"/>
      <c r="AS822" s="39"/>
      <c r="AT822" s="39">
        <f t="shared" si="367"/>
        <v>0</v>
      </c>
      <c r="AU822" s="39"/>
      <c r="AV822" s="39"/>
      <c r="AW822" s="39"/>
      <c r="AX822" s="39"/>
      <c r="AY822" s="39"/>
      <c r="AZ822" s="39">
        <f t="shared" si="368"/>
        <v>0</v>
      </c>
      <c r="BA822" s="39"/>
      <c r="BB822" s="39"/>
      <c r="BC822" s="39"/>
      <c r="BD822" s="39"/>
      <c r="BE822" s="39"/>
      <c r="BF822" s="39">
        <f t="shared" si="369"/>
        <v>0</v>
      </c>
      <c r="BG822" s="39"/>
      <c r="BH822" s="39"/>
      <c r="BI822" s="39"/>
      <c r="BJ822" s="39"/>
      <c r="BK822" s="39"/>
      <c r="BL822" s="39">
        <f t="shared" si="484"/>
        <v>0</v>
      </c>
      <c r="BM822" s="54">
        <f t="shared" ca="1" si="371"/>
        <v>46283</v>
      </c>
      <c r="BN822" s="66">
        <v>46277</v>
      </c>
      <c r="BO822" s="117">
        <v>46296</v>
      </c>
      <c r="BP822" s="39"/>
      <c r="BQ822" s="39"/>
      <c r="BR822" s="39"/>
      <c r="BS822" s="39"/>
      <c r="BT822" s="39"/>
      <c r="BU822" s="39"/>
      <c r="BV822" s="39"/>
      <c r="BW822" s="39"/>
      <c r="BX822" s="39"/>
      <c r="BY822" s="39"/>
      <c r="BZ822" s="39">
        <f t="shared" si="485"/>
        <v>0</v>
      </c>
      <c r="CA822" s="39">
        <f t="shared" si="373"/>
        <v>-1017</v>
      </c>
      <c r="CB822" s="39">
        <f t="shared" si="374"/>
        <v>0</v>
      </c>
      <c r="CC822" s="39">
        <f t="shared" si="375"/>
        <v>-97</v>
      </c>
      <c r="CD822" s="39">
        <f t="shared" si="376"/>
        <v>-1114</v>
      </c>
      <c r="CE822" s="102">
        <f t="shared" si="377"/>
        <v>-1</v>
      </c>
      <c r="CF822" s="36" t="s">
        <v>294</v>
      </c>
      <c r="CG822" s="39" t="s">
        <v>231</v>
      </c>
      <c r="CH822" s="39"/>
      <c r="CI822" s="25">
        <v>2</v>
      </c>
    </row>
    <row r="823" spans="1:87" ht="24.75" customHeight="1">
      <c r="A823" s="36" t="s">
        <v>388</v>
      </c>
      <c r="B823" s="27" t="s">
        <v>2494</v>
      </c>
      <c r="C823" s="231"/>
      <c r="D823" s="36"/>
      <c r="E823" s="39">
        <v>220</v>
      </c>
      <c r="F823" s="39" t="s">
        <v>53</v>
      </c>
      <c r="G823" s="36" t="s">
        <v>353</v>
      </c>
      <c r="H823" s="36" t="s">
        <v>2496</v>
      </c>
      <c r="I823" s="39">
        <v>1122</v>
      </c>
      <c r="J823" s="39"/>
      <c r="K823" s="39">
        <v>108</v>
      </c>
      <c r="L823" s="39">
        <f t="shared" si="504"/>
        <v>1230</v>
      </c>
      <c r="M823" s="117">
        <v>46266</v>
      </c>
      <c r="N823" s="117">
        <v>46275</v>
      </c>
      <c r="O823" s="39"/>
      <c r="P823" s="39"/>
      <c r="Q823" s="39"/>
      <c r="R823" s="39">
        <f t="shared" si="505"/>
        <v>0</v>
      </c>
      <c r="S823" s="39" t="s">
        <v>130</v>
      </c>
      <c r="T823" s="39"/>
      <c r="U823" s="39"/>
      <c r="V823" s="39"/>
      <c r="W823" s="39"/>
      <c r="X823" s="39"/>
      <c r="Y823" s="39"/>
      <c r="Z823" s="39"/>
      <c r="AA823" s="39"/>
      <c r="AB823" s="118">
        <f t="shared" si="506"/>
        <v>0</v>
      </c>
      <c r="AC823" s="39"/>
      <c r="AD823" s="39"/>
      <c r="AE823" s="39"/>
      <c r="AF823" s="39"/>
      <c r="AG823" s="39"/>
      <c r="AH823" s="39">
        <f t="shared" si="483"/>
        <v>0</v>
      </c>
      <c r="AI823" s="39"/>
      <c r="AJ823" s="39"/>
      <c r="AK823" s="39"/>
      <c r="AL823" s="39"/>
      <c r="AM823" s="39"/>
      <c r="AN823" s="39">
        <f t="shared" si="507"/>
        <v>0</v>
      </c>
      <c r="AO823" s="39"/>
      <c r="AP823" s="39"/>
      <c r="AQ823" s="39"/>
      <c r="AR823" s="39"/>
      <c r="AS823" s="39"/>
      <c r="AT823" s="39">
        <f t="shared" si="367"/>
        <v>0</v>
      </c>
      <c r="AU823" s="39"/>
      <c r="AV823" s="39"/>
      <c r="AW823" s="39"/>
      <c r="AX823" s="39"/>
      <c r="AY823" s="39"/>
      <c r="AZ823" s="39">
        <f t="shared" si="368"/>
        <v>0</v>
      </c>
      <c r="BA823" s="39"/>
      <c r="BB823" s="39"/>
      <c r="BC823" s="39"/>
      <c r="BD823" s="39"/>
      <c r="BE823" s="39"/>
      <c r="BF823" s="39">
        <f t="shared" si="369"/>
        <v>0</v>
      </c>
      <c r="BG823" s="39"/>
      <c r="BH823" s="39"/>
      <c r="BI823" s="39"/>
      <c r="BJ823" s="39"/>
      <c r="BK823" s="39"/>
      <c r="BL823" s="39">
        <f t="shared" si="484"/>
        <v>0</v>
      </c>
      <c r="BM823" s="54">
        <f t="shared" ca="1" si="371"/>
        <v>46283</v>
      </c>
      <c r="BN823" s="66">
        <v>46277</v>
      </c>
      <c r="BO823" s="117">
        <v>46296</v>
      </c>
      <c r="BP823" s="39"/>
      <c r="BQ823" s="39"/>
      <c r="BR823" s="39"/>
      <c r="BS823" s="39"/>
      <c r="BT823" s="39"/>
      <c r="BU823" s="39"/>
      <c r="BV823" s="39"/>
      <c r="BW823" s="39"/>
      <c r="BX823" s="39"/>
      <c r="BY823" s="39"/>
      <c r="BZ823" s="39">
        <f t="shared" si="485"/>
        <v>0</v>
      </c>
      <c r="CA823" s="39">
        <f t="shared" si="373"/>
        <v>-1122</v>
      </c>
      <c r="CB823" s="39">
        <f t="shared" si="374"/>
        <v>0</v>
      </c>
      <c r="CC823" s="39">
        <f t="shared" si="375"/>
        <v>-108</v>
      </c>
      <c r="CD823" s="39">
        <f t="shared" si="376"/>
        <v>-1230</v>
      </c>
      <c r="CE823" s="102">
        <f t="shared" si="377"/>
        <v>-1</v>
      </c>
      <c r="CF823" s="36" t="s">
        <v>294</v>
      </c>
      <c r="CG823" s="39" t="s">
        <v>231</v>
      </c>
      <c r="CH823" s="39"/>
      <c r="CI823" s="25">
        <v>2</v>
      </c>
    </row>
    <row r="824" spans="1:87" ht="24.75" customHeight="1">
      <c r="A824" s="36" t="s">
        <v>388</v>
      </c>
      <c r="B824" s="27" t="s">
        <v>2494</v>
      </c>
      <c r="C824" s="228"/>
      <c r="D824" s="36"/>
      <c r="E824" s="39">
        <v>220</v>
      </c>
      <c r="F824" s="39" t="s">
        <v>53</v>
      </c>
      <c r="G824" s="36" t="s">
        <v>2497</v>
      </c>
      <c r="H824" s="36" t="s">
        <v>2496</v>
      </c>
      <c r="I824" s="39">
        <v>767</v>
      </c>
      <c r="J824" s="39"/>
      <c r="K824" s="39">
        <v>74</v>
      </c>
      <c r="L824" s="39">
        <f t="shared" si="504"/>
        <v>841</v>
      </c>
      <c r="M824" s="117">
        <v>46266</v>
      </c>
      <c r="N824" s="117">
        <v>46275</v>
      </c>
      <c r="O824" s="39"/>
      <c r="P824" s="39"/>
      <c r="Q824" s="39"/>
      <c r="R824" s="39">
        <f t="shared" si="505"/>
        <v>0</v>
      </c>
      <c r="S824" s="39" t="s">
        <v>130</v>
      </c>
      <c r="T824" s="39"/>
      <c r="U824" s="39"/>
      <c r="V824" s="39"/>
      <c r="W824" s="39"/>
      <c r="X824" s="39"/>
      <c r="Y824" s="39"/>
      <c r="Z824" s="39"/>
      <c r="AA824" s="39"/>
      <c r="AB824" s="118">
        <f t="shared" si="506"/>
        <v>0</v>
      </c>
      <c r="AC824" s="39"/>
      <c r="AD824" s="39"/>
      <c r="AE824" s="39"/>
      <c r="AF824" s="39"/>
      <c r="AG824" s="39"/>
      <c r="AH824" s="39">
        <f t="shared" si="483"/>
        <v>0</v>
      </c>
      <c r="AI824" s="39"/>
      <c r="AJ824" s="39"/>
      <c r="AK824" s="39"/>
      <c r="AL824" s="39"/>
      <c r="AM824" s="39"/>
      <c r="AN824" s="39">
        <f t="shared" si="507"/>
        <v>0</v>
      </c>
      <c r="AO824" s="39"/>
      <c r="AP824" s="39"/>
      <c r="AQ824" s="39"/>
      <c r="AR824" s="39"/>
      <c r="AS824" s="39"/>
      <c r="AT824" s="39">
        <f t="shared" si="367"/>
        <v>0</v>
      </c>
      <c r="AU824" s="39"/>
      <c r="AV824" s="39"/>
      <c r="AW824" s="39"/>
      <c r="AX824" s="39"/>
      <c r="AY824" s="39"/>
      <c r="AZ824" s="39">
        <f t="shared" si="368"/>
        <v>0</v>
      </c>
      <c r="BA824" s="39"/>
      <c r="BB824" s="39"/>
      <c r="BC824" s="39"/>
      <c r="BD824" s="39"/>
      <c r="BE824" s="39"/>
      <c r="BF824" s="39">
        <f t="shared" si="369"/>
        <v>0</v>
      </c>
      <c r="BG824" s="39"/>
      <c r="BH824" s="39"/>
      <c r="BI824" s="39"/>
      <c r="BJ824" s="39"/>
      <c r="BK824" s="39"/>
      <c r="BL824" s="39">
        <f t="shared" si="484"/>
        <v>0</v>
      </c>
      <c r="BM824" s="54">
        <f t="shared" ca="1" si="371"/>
        <v>46283</v>
      </c>
      <c r="BN824" s="66">
        <v>46277</v>
      </c>
      <c r="BO824" s="117">
        <v>46296</v>
      </c>
      <c r="BP824" s="39"/>
      <c r="BQ824" s="39"/>
      <c r="BR824" s="39"/>
      <c r="BS824" s="39"/>
      <c r="BT824" s="39"/>
      <c r="BU824" s="39"/>
      <c r="BV824" s="39"/>
      <c r="BW824" s="39"/>
      <c r="BX824" s="39"/>
      <c r="BY824" s="39"/>
      <c r="BZ824" s="39">
        <f t="shared" si="485"/>
        <v>0</v>
      </c>
      <c r="CA824" s="39">
        <f t="shared" si="373"/>
        <v>-767</v>
      </c>
      <c r="CB824" s="39">
        <f t="shared" si="374"/>
        <v>0</v>
      </c>
      <c r="CC824" s="39">
        <f t="shared" si="375"/>
        <v>-74</v>
      </c>
      <c r="CD824" s="39">
        <f t="shared" si="376"/>
        <v>-841</v>
      </c>
      <c r="CE824" s="102">
        <f t="shared" si="377"/>
        <v>-1</v>
      </c>
      <c r="CF824" s="36" t="s">
        <v>294</v>
      </c>
      <c r="CG824" s="39" t="s">
        <v>231</v>
      </c>
      <c r="CH824" s="39"/>
      <c r="CI824" s="25">
        <v>2</v>
      </c>
    </row>
    <row r="825" spans="1:87" ht="24.75" customHeight="1">
      <c r="A825" s="36" t="s">
        <v>388</v>
      </c>
      <c r="B825" s="27">
        <v>48643</v>
      </c>
      <c r="C825" s="227" t="s">
        <v>2498</v>
      </c>
      <c r="D825" s="36"/>
      <c r="E825" s="39">
        <v>180</v>
      </c>
      <c r="F825" s="39" t="s">
        <v>55</v>
      </c>
      <c r="G825" s="36" t="s">
        <v>807</v>
      </c>
      <c r="H825" s="36" t="s">
        <v>87</v>
      </c>
      <c r="I825" s="39">
        <v>125</v>
      </c>
      <c r="J825" s="39"/>
      <c r="K825" s="39"/>
      <c r="L825" s="39">
        <f t="shared" si="504"/>
        <v>125</v>
      </c>
      <c r="M825" s="117">
        <v>46272</v>
      </c>
      <c r="N825" s="117">
        <v>46275</v>
      </c>
      <c r="O825" s="39"/>
      <c r="P825" s="39"/>
      <c r="Q825" s="39"/>
      <c r="R825" s="39">
        <f t="shared" si="505"/>
        <v>0</v>
      </c>
      <c r="S825" s="39" t="s">
        <v>100</v>
      </c>
      <c r="T825" s="39"/>
      <c r="U825" s="39"/>
      <c r="V825" s="117">
        <v>46266</v>
      </c>
      <c r="W825" s="39">
        <v>155</v>
      </c>
      <c r="X825" s="39"/>
      <c r="Y825" s="39"/>
      <c r="Z825" s="39"/>
      <c r="AA825" s="39"/>
      <c r="AB825" s="118">
        <f t="shared" si="506"/>
        <v>0</v>
      </c>
      <c r="AC825" s="39"/>
      <c r="AD825" s="39"/>
      <c r="AE825" s="39"/>
      <c r="AF825" s="39"/>
      <c r="AG825" s="39"/>
      <c r="AH825" s="39">
        <f t="shared" si="483"/>
        <v>0</v>
      </c>
      <c r="AI825" s="39"/>
      <c r="AJ825" s="39"/>
      <c r="AK825" s="39"/>
      <c r="AL825" s="39"/>
      <c r="AM825" s="39"/>
      <c r="AN825" s="39">
        <f t="shared" si="507"/>
        <v>0</v>
      </c>
      <c r="AO825" s="39"/>
      <c r="AP825" s="39"/>
      <c r="AQ825" s="39"/>
      <c r="AR825" s="39"/>
      <c r="AS825" s="39"/>
      <c r="AT825" s="39">
        <f t="shared" si="367"/>
        <v>0</v>
      </c>
      <c r="AU825" s="39"/>
      <c r="AV825" s="39"/>
      <c r="AW825" s="39"/>
      <c r="AX825" s="39"/>
      <c r="AY825" s="39"/>
      <c r="AZ825" s="39">
        <f t="shared" si="368"/>
        <v>0</v>
      </c>
      <c r="BA825" s="39"/>
      <c r="BB825" s="39"/>
      <c r="BC825" s="39"/>
      <c r="BD825" s="39"/>
      <c r="BE825" s="39"/>
      <c r="BF825" s="39">
        <f t="shared" si="369"/>
        <v>0</v>
      </c>
      <c r="BG825" s="39"/>
      <c r="BH825" s="39"/>
      <c r="BI825" s="39"/>
      <c r="BJ825" s="39"/>
      <c r="BK825" s="39"/>
      <c r="BL825" s="39">
        <f t="shared" si="484"/>
        <v>0</v>
      </c>
      <c r="BM825" s="54">
        <f t="shared" ca="1" si="371"/>
        <v>46283</v>
      </c>
      <c r="BN825" s="66">
        <v>46283</v>
      </c>
      <c r="BO825" s="117">
        <v>46295</v>
      </c>
      <c r="BP825" s="39"/>
      <c r="BQ825" s="39"/>
      <c r="BR825" s="39"/>
      <c r="BS825" s="39"/>
      <c r="BT825" s="39"/>
      <c r="BU825" s="39"/>
      <c r="BV825" s="39"/>
      <c r="BW825" s="39"/>
      <c r="BX825" s="39"/>
      <c r="BY825" s="39"/>
      <c r="BZ825" s="39">
        <f t="shared" si="485"/>
        <v>0</v>
      </c>
      <c r="CA825" s="39">
        <f t="shared" si="373"/>
        <v>-125</v>
      </c>
      <c r="CB825" s="39">
        <f t="shared" si="374"/>
        <v>0</v>
      </c>
      <c r="CC825" s="39">
        <f t="shared" si="375"/>
        <v>0</v>
      </c>
      <c r="CD825" s="39">
        <f t="shared" si="376"/>
        <v>-125</v>
      </c>
      <c r="CE825" s="102">
        <f t="shared" si="377"/>
        <v>-1</v>
      </c>
      <c r="CF825" s="36" t="s">
        <v>295</v>
      </c>
      <c r="CG825" s="39" t="s">
        <v>224</v>
      </c>
      <c r="CH825" s="39"/>
      <c r="CI825" s="25">
        <v>2</v>
      </c>
    </row>
    <row r="826" spans="1:87" ht="24.75" customHeight="1">
      <c r="A826" s="36" t="s">
        <v>388</v>
      </c>
      <c r="B826" s="27">
        <v>48643</v>
      </c>
      <c r="C826" s="228"/>
      <c r="D826" s="36"/>
      <c r="E826" s="39">
        <v>180</v>
      </c>
      <c r="F826" s="39" t="s">
        <v>55</v>
      </c>
      <c r="G826" s="36" t="s">
        <v>1215</v>
      </c>
      <c r="H826" s="36" t="s">
        <v>87</v>
      </c>
      <c r="I826" s="39">
        <v>125</v>
      </c>
      <c r="J826" s="39"/>
      <c r="K826" s="39"/>
      <c r="L826" s="39">
        <f t="shared" si="504"/>
        <v>125</v>
      </c>
      <c r="M826" s="117">
        <v>46272</v>
      </c>
      <c r="N826" s="117">
        <v>46275</v>
      </c>
      <c r="O826" s="39"/>
      <c r="P826" s="39"/>
      <c r="Q826" s="39"/>
      <c r="R826" s="39">
        <f t="shared" si="505"/>
        <v>0</v>
      </c>
      <c r="S826" s="39" t="s">
        <v>100</v>
      </c>
      <c r="T826" s="39"/>
      <c r="U826" s="39"/>
      <c r="V826" s="117">
        <v>46266</v>
      </c>
      <c r="W826" s="39">
        <v>156</v>
      </c>
      <c r="X826" s="39"/>
      <c r="Y826" s="39"/>
      <c r="Z826" s="39"/>
      <c r="AA826" s="39"/>
      <c r="AB826" s="118">
        <f t="shared" si="506"/>
        <v>0</v>
      </c>
      <c r="AC826" s="39"/>
      <c r="AD826" s="39"/>
      <c r="AE826" s="39"/>
      <c r="AF826" s="39"/>
      <c r="AG826" s="39"/>
      <c r="AH826" s="39">
        <f t="shared" si="483"/>
        <v>0</v>
      </c>
      <c r="AI826" s="39"/>
      <c r="AJ826" s="39"/>
      <c r="AK826" s="39"/>
      <c r="AL826" s="39"/>
      <c r="AM826" s="39"/>
      <c r="AN826" s="39">
        <f t="shared" si="507"/>
        <v>0</v>
      </c>
      <c r="AO826" s="39"/>
      <c r="AP826" s="39"/>
      <c r="AQ826" s="39"/>
      <c r="AR826" s="39"/>
      <c r="AS826" s="39"/>
      <c r="AT826" s="39">
        <f t="shared" si="367"/>
        <v>0</v>
      </c>
      <c r="AU826" s="39"/>
      <c r="AV826" s="39"/>
      <c r="AW826" s="39"/>
      <c r="AX826" s="39"/>
      <c r="AY826" s="39"/>
      <c r="AZ826" s="39">
        <f t="shared" si="368"/>
        <v>0</v>
      </c>
      <c r="BA826" s="39"/>
      <c r="BB826" s="39"/>
      <c r="BC826" s="39"/>
      <c r="BD826" s="39"/>
      <c r="BE826" s="39"/>
      <c r="BF826" s="39">
        <f t="shared" si="369"/>
        <v>0</v>
      </c>
      <c r="BG826" s="39"/>
      <c r="BH826" s="39"/>
      <c r="BI826" s="39"/>
      <c r="BJ826" s="39"/>
      <c r="BK826" s="39"/>
      <c r="BL826" s="39">
        <f t="shared" si="484"/>
        <v>0</v>
      </c>
      <c r="BM826" s="54">
        <f t="shared" ca="1" si="371"/>
        <v>46283</v>
      </c>
      <c r="BN826" s="66">
        <v>46283</v>
      </c>
      <c r="BO826" s="117">
        <v>46295</v>
      </c>
      <c r="BP826" s="39"/>
      <c r="BQ826" s="39"/>
      <c r="BR826" s="39"/>
      <c r="BS826" s="39"/>
      <c r="BT826" s="39"/>
      <c r="BU826" s="39"/>
      <c r="BV826" s="39"/>
      <c r="BW826" s="39"/>
      <c r="BX826" s="39"/>
      <c r="BY826" s="39"/>
      <c r="BZ826" s="39">
        <f t="shared" si="485"/>
        <v>0</v>
      </c>
      <c r="CA826" s="39">
        <f t="shared" si="373"/>
        <v>-125</v>
      </c>
      <c r="CB826" s="39">
        <f t="shared" si="374"/>
        <v>0</v>
      </c>
      <c r="CC826" s="39">
        <f t="shared" si="375"/>
        <v>0</v>
      </c>
      <c r="CD826" s="39">
        <f t="shared" si="376"/>
        <v>-125</v>
      </c>
      <c r="CE826" s="102">
        <f t="shared" si="377"/>
        <v>-1</v>
      </c>
      <c r="CF826" s="36" t="s">
        <v>295</v>
      </c>
      <c r="CG826" s="39" t="s">
        <v>224</v>
      </c>
      <c r="CH826" s="39"/>
      <c r="CI826" s="25">
        <v>2</v>
      </c>
    </row>
    <row r="827" spans="1:87" ht="24.75" customHeight="1">
      <c r="A827" s="36" t="s">
        <v>388</v>
      </c>
      <c r="B827" s="27" t="s">
        <v>2546</v>
      </c>
      <c r="C827" s="227" t="s">
        <v>2547</v>
      </c>
      <c r="D827" s="36"/>
      <c r="E827" s="39">
        <v>180</v>
      </c>
      <c r="F827" s="39" t="s">
        <v>55</v>
      </c>
      <c r="G827" s="36" t="s">
        <v>439</v>
      </c>
      <c r="H827" s="36" t="s">
        <v>87</v>
      </c>
      <c r="I827" s="39">
        <v>65</v>
      </c>
      <c r="J827" s="39"/>
      <c r="K827" s="39"/>
      <c r="L827" s="39">
        <f t="shared" si="504"/>
        <v>65</v>
      </c>
      <c r="M827" s="117">
        <v>46273</v>
      </c>
      <c r="N827" s="117">
        <v>46277</v>
      </c>
      <c r="O827" s="39"/>
      <c r="P827" s="39"/>
      <c r="Q827" s="39"/>
      <c r="R827" s="39">
        <f t="shared" si="505"/>
        <v>0</v>
      </c>
      <c r="S827" s="39" t="s">
        <v>31</v>
      </c>
      <c r="T827" s="39"/>
      <c r="U827" s="39"/>
      <c r="V827" s="117">
        <v>46270</v>
      </c>
      <c r="W827" s="39">
        <v>83</v>
      </c>
      <c r="X827" s="39"/>
      <c r="Y827" s="39"/>
      <c r="Z827" s="39"/>
      <c r="AA827" s="39"/>
      <c r="AB827" s="118">
        <f t="shared" si="506"/>
        <v>0</v>
      </c>
      <c r="AC827" s="39"/>
      <c r="AD827" s="39"/>
      <c r="AE827" s="39"/>
      <c r="AF827" s="39"/>
      <c r="AG827" s="39"/>
      <c r="AH827" s="39">
        <f t="shared" si="483"/>
        <v>0</v>
      </c>
      <c r="AI827" s="39"/>
      <c r="AJ827" s="39"/>
      <c r="AK827" s="39"/>
      <c r="AL827" s="39"/>
      <c r="AM827" s="39"/>
      <c r="AN827" s="39">
        <f t="shared" si="507"/>
        <v>0</v>
      </c>
      <c r="AO827" s="39"/>
      <c r="AP827" s="39"/>
      <c r="AQ827" s="39"/>
      <c r="AR827" s="39"/>
      <c r="AS827" s="39"/>
      <c r="AT827" s="39">
        <f t="shared" ref="AT827:AT851" si="508">AS827-AQ827</f>
        <v>0</v>
      </c>
      <c r="AU827" s="39"/>
      <c r="AV827" s="39"/>
      <c r="AW827" s="39"/>
      <c r="AX827" s="39"/>
      <c r="AY827" s="39"/>
      <c r="AZ827" s="39">
        <f t="shared" ref="AZ827:AZ851" si="509">AY827-AW827</f>
        <v>0</v>
      </c>
      <c r="BA827" s="39"/>
      <c r="BB827" s="39"/>
      <c r="BC827" s="39"/>
      <c r="BD827" s="39"/>
      <c r="BE827" s="39"/>
      <c r="BF827" s="39">
        <f t="shared" ref="BF827:BF851" si="510">BE827-BC827</f>
        <v>0</v>
      </c>
      <c r="BG827" s="39"/>
      <c r="BH827" s="39"/>
      <c r="BI827" s="39"/>
      <c r="BJ827" s="39"/>
      <c r="BK827" s="39"/>
      <c r="BL827" s="39">
        <f t="shared" si="484"/>
        <v>0</v>
      </c>
      <c r="BM827" s="54">
        <f t="shared" ref="BM827:BM851" ca="1" si="511">IF((BZ827/L827)&lt;0.9,$CO$1-U827,"")</f>
        <v>46283</v>
      </c>
      <c r="BN827" s="66">
        <v>46282</v>
      </c>
      <c r="BO827" s="117">
        <v>46295</v>
      </c>
      <c r="BP827" s="39"/>
      <c r="BQ827" s="39"/>
      <c r="BR827" s="39"/>
      <c r="BS827" s="39"/>
      <c r="BT827" s="39"/>
      <c r="BU827" s="39"/>
      <c r="BV827" s="39"/>
      <c r="BW827" s="39"/>
      <c r="BX827" s="39"/>
      <c r="BY827" s="39"/>
      <c r="BZ827" s="39">
        <f t="shared" si="485"/>
        <v>0</v>
      </c>
      <c r="CA827" s="39">
        <f t="shared" ref="CA827:CA851" si="512">BU827-I827</f>
        <v>-65</v>
      </c>
      <c r="CB827" s="39">
        <f t="shared" ref="CB827:CB851" si="513">BW827-J827</f>
        <v>0</v>
      </c>
      <c r="CC827" s="39">
        <f t="shared" ref="CC827:CC851" si="514">BY827-K827</f>
        <v>0</v>
      </c>
      <c r="CD827" s="39">
        <f t="shared" ref="CD827:CD851" si="515">SUMIF(CA827:CC827,"&lt;0")</f>
        <v>-65</v>
      </c>
      <c r="CE827" s="102">
        <f t="shared" ref="CE827:CE851" si="516">CD827/L827</f>
        <v>-1</v>
      </c>
      <c r="CF827" s="36" t="s">
        <v>266</v>
      </c>
      <c r="CG827" s="39" t="s">
        <v>224</v>
      </c>
      <c r="CH827" s="39"/>
      <c r="CI827" s="25">
        <v>2</v>
      </c>
    </row>
    <row r="828" spans="1:87" ht="24.75" customHeight="1">
      <c r="A828" s="36" t="s">
        <v>388</v>
      </c>
      <c r="B828" s="27" t="s">
        <v>2546</v>
      </c>
      <c r="C828" s="228"/>
      <c r="D828" s="36"/>
      <c r="E828" s="39">
        <v>180</v>
      </c>
      <c r="F828" s="39" t="s">
        <v>55</v>
      </c>
      <c r="G828" s="36" t="s">
        <v>21</v>
      </c>
      <c r="H828" s="36" t="s">
        <v>87</v>
      </c>
      <c r="I828" s="39">
        <v>65</v>
      </c>
      <c r="J828" s="39"/>
      <c r="K828" s="39"/>
      <c r="L828" s="39">
        <f t="shared" si="504"/>
        <v>65</v>
      </c>
      <c r="M828" s="117">
        <v>46273</v>
      </c>
      <c r="N828" s="117">
        <v>46277</v>
      </c>
      <c r="O828" s="39"/>
      <c r="P828" s="39"/>
      <c r="Q828" s="39"/>
      <c r="R828" s="39">
        <f t="shared" si="505"/>
        <v>0</v>
      </c>
      <c r="S828" s="39" t="s">
        <v>130</v>
      </c>
      <c r="T828" s="39"/>
      <c r="U828" s="39"/>
      <c r="V828" s="39"/>
      <c r="W828" s="39"/>
      <c r="X828" s="39"/>
      <c r="Y828" s="39"/>
      <c r="Z828" s="39"/>
      <c r="AA828" s="39"/>
      <c r="AB828" s="118">
        <f t="shared" si="506"/>
        <v>0</v>
      </c>
      <c r="AC828" s="39"/>
      <c r="AD828" s="39"/>
      <c r="AE828" s="39"/>
      <c r="AF828" s="39"/>
      <c r="AG828" s="39"/>
      <c r="AH828" s="39">
        <f t="shared" si="483"/>
        <v>0</v>
      </c>
      <c r="AI828" s="39"/>
      <c r="AJ828" s="39"/>
      <c r="AK828" s="39"/>
      <c r="AL828" s="39"/>
      <c r="AM828" s="39"/>
      <c r="AN828" s="39">
        <f t="shared" si="507"/>
        <v>0</v>
      </c>
      <c r="AO828" s="39"/>
      <c r="AP828" s="39"/>
      <c r="AQ828" s="39"/>
      <c r="AR828" s="39"/>
      <c r="AS828" s="39"/>
      <c r="AT828" s="39">
        <f t="shared" si="508"/>
        <v>0</v>
      </c>
      <c r="AU828" s="39"/>
      <c r="AV828" s="39"/>
      <c r="AW828" s="39"/>
      <c r="AX828" s="39"/>
      <c r="AY828" s="39"/>
      <c r="AZ828" s="39">
        <f t="shared" si="509"/>
        <v>0</v>
      </c>
      <c r="BA828" s="39"/>
      <c r="BB828" s="39"/>
      <c r="BC828" s="39"/>
      <c r="BD828" s="39"/>
      <c r="BE828" s="39"/>
      <c r="BF828" s="39">
        <f t="shared" si="510"/>
        <v>0</v>
      </c>
      <c r="BG828" s="39"/>
      <c r="BH828" s="39"/>
      <c r="BI828" s="39"/>
      <c r="BJ828" s="39"/>
      <c r="BK828" s="39"/>
      <c r="BL828" s="39">
        <f t="shared" si="484"/>
        <v>0</v>
      </c>
      <c r="BM828" s="54">
        <f t="shared" ca="1" si="511"/>
        <v>46283</v>
      </c>
      <c r="BN828" s="66">
        <v>46282</v>
      </c>
      <c r="BO828" s="117">
        <v>46295</v>
      </c>
      <c r="BP828" s="39"/>
      <c r="BQ828" s="39"/>
      <c r="BR828" s="39"/>
      <c r="BS828" s="39"/>
      <c r="BT828" s="39"/>
      <c r="BU828" s="39"/>
      <c r="BV828" s="39"/>
      <c r="BW828" s="39"/>
      <c r="BX828" s="39"/>
      <c r="BY828" s="39"/>
      <c r="BZ828" s="39">
        <f t="shared" si="485"/>
        <v>0</v>
      </c>
      <c r="CA828" s="39">
        <f t="shared" si="512"/>
        <v>-65</v>
      </c>
      <c r="CB828" s="39">
        <f t="shared" si="513"/>
        <v>0</v>
      </c>
      <c r="CC828" s="39">
        <f t="shared" si="514"/>
        <v>0</v>
      </c>
      <c r="CD828" s="39">
        <f t="shared" si="515"/>
        <v>-65</v>
      </c>
      <c r="CE828" s="102">
        <f t="shared" si="516"/>
        <v>-1</v>
      </c>
      <c r="CF828" s="36" t="s">
        <v>266</v>
      </c>
      <c r="CG828" s="39" t="s">
        <v>224</v>
      </c>
      <c r="CH828" s="39"/>
      <c r="CI828" s="25">
        <v>2</v>
      </c>
    </row>
    <row r="829" spans="1:87" ht="24.75" customHeight="1">
      <c r="A829" s="36" t="s">
        <v>388</v>
      </c>
      <c r="B829" s="27" t="s">
        <v>2548</v>
      </c>
      <c r="C829" s="227">
        <v>15303953</v>
      </c>
      <c r="D829" s="36"/>
      <c r="E829" s="39">
        <v>260</v>
      </c>
      <c r="F829" s="39" t="s">
        <v>67</v>
      </c>
      <c r="G829" s="36" t="s">
        <v>324</v>
      </c>
      <c r="H829" s="36" t="s">
        <v>355</v>
      </c>
      <c r="I829" s="39">
        <v>332</v>
      </c>
      <c r="J829" s="39">
        <v>23</v>
      </c>
      <c r="K829" s="39">
        <v>25</v>
      </c>
      <c r="L829" s="39">
        <f t="shared" si="504"/>
        <v>380</v>
      </c>
      <c r="M829" s="117">
        <v>46267</v>
      </c>
      <c r="N829" s="117">
        <v>46273</v>
      </c>
      <c r="O829" s="39"/>
      <c r="P829" s="39"/>
      <c r="Q829" s="39"/>
      <c r="R829" s="39">
        <f t="shared" si="505"/>
        <v>0</v>
      </c>
      <c r="S829" s="39" t="s">
        <v>100</v>
      </c>
      <c r="T829" s="39"/>
      <c r="U829" s="39"/>
      <c r="V829" s="117">
        <v>46277</v>
      </c>
      <c r="W829" s="39">
        <f>359+29+28</f>
        <v>416</v>
      </c>
      <c r="X829" s="39"/>
      <c r="Y829" s="39"/>
      <c r="Z829" s="39"/>
      <c r="AA829" s="39"/>
      <c r="AB829" s="118">
        <f t="shared" si="506"/>
        <v>0</v>
      </c>
      <c r="AC829" s="39"/>
      <c r="AD829" s="39"/>
      <c r="AE829" s="39"/>
      <c r="AF829" s="39"/>
      <c r="AG829" s="39"/>
      <c r="AH829" s="39">
        <f t="shared" si="483"/>
        <v>0</v>
      </c>
      <c r="AI829" s="39"/>
      <c r="AJ829" s="39"/>
      <c r="AK829" s="39"/>
      <c r="AL829" s="39"/>
      <c r="AM829" s="39"/>
      <c r="AN829" s="39">
        <f t="shared" si="507"/>
        <v>0</v>
      </c>
      <c r="AO829" s="39"/>
      <c r="AP829" s="39"/>
      <c r="AQ829" s="39"/>
      <c r="AR829" s="39"/>
      <c r="AS829" s="39"/>
      <c r="AT829" s="39">
        <f t="shared" si="508"/>
        <v>0</v>
      </c>
      <c r="AU829" s="39"/>
      <c r="AV829" s="39"/>
      <c r="AW829" s="39"/>
      <c r="AX829" s="39"/>
      <c r="AY829" s="39"/>
      <c r="AZ829" s="39">
        <f t="shared" si="509"/>
        <v>0</v>
      </c>
      <c r="BA829" s="39"/>
      <c r="BB829" s="39"/>
      <c r="BC829" s="39"/>
      <c r="BD829" s="39"/>
      <c r="BE829" s="39"/>
      <c r="BF829" s="39">
        <f t="shared" si="510"/>
        <v>0</v>
      </c>
      <c r="BG829" s="39"/>
      <c r="BH829" s="39"/>
      <c r="BI829" s="39"/>
      <c r="BJ829" s="39"/>
      <c r="BK829" s="39"/>
      <c r="BL829" s="39">
        <f t="shared" si="484"/>
        <v>0</v>
      </c>
      <c r="BM829" s="54">
        <f t="shared" ca="1" si="511"/>
        <v>46283</v>
      </c>
      <c r="BN829" s="66">
        <v>46277</v>
      </c>
      <c r="BO829" s="117">
        <v>46290</v>
      </c>
      <c r="BP829" s="39"/>
      <c r="BQ829" s="39"/>
      <c r="BR829" s="39"/>
      <c r="BS829" s="39"/>
      <c r="BT829" s="39"/>
      <c r="BU829" s="39"/>
      <c r="BV829" s="39"/>
      <c r="BW829" s="39"/>
      <c r="BX829" s="39"/>
      <c r="BY829" s="39"/>
      <c r="BZ829" s="39">
        <f t="shared" si="485"/>
        <v>0</v>
      </c>
      <c r="CA829" s="39">
        <f t="shared" si="512"/>
        <v>-332</v>
      </c>
      <c r="CB829" s="39">
        <f t="shared" si="513"/>
        <v>-23</v>
      </c>
      <c r="CC829" s="39">
        <f t="shared" si="514"/>
        <v>-25</v>
      </c>
      <c r="CD829" s="39">
        <f t="shared" si="515"/>
        <v>-380</v>
      </c>
      <c r="CE829" s="102">
        <f t="shared" si="516"/>
        <v>-1</v>
      </c>
      <c r="CF829" s="36" t="s">
        <v>294</v>
      </c>
      <c r="CG829" s="39" t="s">
        <v>231</v>
      </c>
      <c r="CH829" s="39"/>
      <c r="CI829" s="25">
        <v>2</v>
      </c>
    </row>
    <row r="830" spans="1:87" ht="24.75" customHeight="1">
      <c r="A830" s="36" t="s">
        <v>388</v>
      </c>
      <c r="B830" s="27" t="s">
        <v>2548</v>
      </c>
      <c r="C830" s="228"/>
      <c r="D830" s="36"/>
      <c r="E830" s="39"/>
      <c r="F830" s="39"/>
      <c r="G830" s="36" t="s">
        <v>198</v>
      </c>
      <c r="H830" s="36">
        <v>500</v>
      </c>
      <c r="I830" s="39" t="s">
        <v>90</v>
      </c>
      <c r="J830" s="39"/>
      <c r="K830" s="39"/>
      <c r="L830" s="39">
        <f t="shared" si="504"/>
        <v>0</v>
      </c>
      <c r="M830" s="117">
        <v>46267</v>
      </c>
      <c r="N830" s="117">
        <v>46273</v>
      </c>
      <c r="O830" s="39"/>
      <c r="P830" s="39"/>
      <c r="Q830" s="39"/>
      <c r="R830" s="39">
        <f t="shared" si="505"/>
        <v>0</v>
      </c>
      <c r="S830" s="39" t="s">
        <v>130</v>
      </c>
      <c r="T830" s="39"/>
      <c r="U830" s="39"/>
      <c r="V830" s="117">
        <v>46277</v>
      </c>
      <c r="W830" s="39">
        <v>2</v>
      </c>
      <c r="X830" s="39"/>
      <c r="Y830" s="39"/>
      <c r="Z830" s="39"/>
      <c r="AA830" s="39"/>
      <c r="AB830" s="39">
        <f t="shared" si="506"/>
        <v>0</v>
      </c>
      <c r="AC830" s="39"/>
      <c r="AD830" s="39"/>
      <c r="AE830" s="39"/>
      <c r="AF830" s="39"/>
      <c r="AG830" s="39"/>
      <c r="AH830" s="39">
        <f t="shared" si="483"/>
        <v>0</v>
      </c>
      <c r="AI830" s="39"/>
      <c r="AJ830" s="39"/>
      <c r="AK830" s="39"/>
      <c r="AL830" s="39"/>
      <c r="AM830" s="39"/>
      <c r="AN830" s="39">
        <f t="shared" si="507"/>
        <v>0</v>
      </c>
      <c r="AO830" s="39"/>
      <c r="AP830" s="39"/>
      <c r="AQ830" s="39"/>
      <c r="AR830" s="39"/>
      <c r="AS830" s="39"/>
      <c r="AT830" s="39">
        <f t="shared" si="508"/>
        <v>0</v>
      </c>
      <c r="AU830" s="39"/>
      <c r="AV830" s="39"/>
      <c r="AW830" s="39"/>
      <c r="AX830" s="39"/>
      <c r="AY830" s="39"/>
      <c r="AZ830" s="39">
        <f t="shared" si="509"/>
        <v>0</v>
      </c>
      <c r="BA830" s="39"/>
      <c r="BB830" s="39"/>
      <c r="BC830" s="39"/>
      <c r="BD830" s="39"/>
      <c r="BE830" s="39"/>
      <c r="BF830" s="39">
        <f t="shared" si="510"/>
        <v>0</v>
      </c>
      <c r="BG830" s="39"/>
      <c r="BH830" s="39"/>
      <c r="BI830" s="39"/>
      <c r="BJ830" s="39"/>
      <c r="BK830" s="39"/>
      <c r="BL830" s="39">
        <f t="shared" si="484"/>
        <v>0</v>
      </c>
      <c r="BM830" s="54" t="e">
        <f t="shared" si="511"/>
        <v>#DIV/0!</v>
      </c>
      <c r="BN830" s="66">
        <v>46277</v>
      </c>
      <c r="BO830" s="117">
        <v>46290</v>
      </c>
      <c r="BP830" s="39"/>
      <c r="BQ830" s="39"/>
      <c r="BR830" s="39"/>
      <c r="BS830" s="39"/>
      <c r="BT830" s="39"/>
      <c r="BU830" s="39"/>
      <c r="BV830" s="39"/>
      <c r="BW830" s="39"/>
      <c r="BX830" s="39"/>
      <c r="BY830" s="39"/>
      <c r="BZ830" s="39">
        <f t="shared" si="485"/>
        <v>0</v>
      </c>
      <c r="CA830" s="39" t="e">
        <f t="shared" si="512"/>
        <v>#VALUE!</v>
      </c>
      <c r="CB830" s="39">
        <f t="shared" si="513"/>
        <v>0</v>
      </c>
      <c r="CC830" s="39">
        <f t="shared" si="514"/>
        <v>0</v>
      </c>
      <c r="CD830" s="39">
        <f t="shared" si="515"/>
        <v>0</v>
      </c>
      <c r="CE830" s="102" t="e">
        <f t="shared" si="516"/>
        <v>#DIV/0!</v>
      </c>
      <c r="CF830" s="36" t="s">
        <v>294</v>
      </c>
      <c r="CG830" s="39" t="s">
        <v>231</v>
      </c>
      <c r="CH830" s="39"/>
      <c r="CI830" s="25">
        <v>2</v>
      </c>
    </row>
    <row r="831" spans="1:87" ht="24.75" customHeight="1">
      <c r="A831" s="36" t="s">
        <v>388</v>
      </c>
      <c r="B831" s="27">
        <v>48640</v>
      </c>
      <c r="C831" s="227">
        <v>15397791</v>
      </c>
      <c r="D831" s="36"/>
      <c r="E831" s="39">
        <v>190</v>
      </c>
      <c r="F831" s="39" t="s">
        <v>59</v>
      </c>
      <c r="G831" s="36" t="s">
        <v>1215</v>
      </c>
      <c r="H831" s="36" t="s">
        <v>96</v>
      </c>
      <c r="I831" s="39">
        <v>100</v>
      </c>
      <c r="J831" s="39"/>
      <c r="K831" s="39"/>
      <c r="L831" s="39">
        <f t="shared" si="504"/>
        <v>100</v>
      </c>
      <c r="M831" s="117">
        <v>46267</v>
      </c>
      <c r="N831" s="117">
        <v>46272</v>
      </c>
      <c r="O831" s="39"/>
      <c r="P831" s="39"/>
      <c r="Q831" s="39"/>
      <c r="R831" s="39">
        <f t="shared" si="505"/>
        <v>0</v>
      </c>
      <c r="S831" s="39" t="s">
        <v>326</v>
      </c>
      <c r="T831" s="39"/>
      <c r="U831" s="39"/>
      <c r="V831" s="117">
        <v>46281</v>
      </c>
      <c r="W831" s="39">
        <v>127</v>
      </c>
      <c r="X831" s="39"/>
      <c r="Y831" s="39"/>
      <c r="Z831" s="39"/>
      <c r="AA831" s="39"/>
      <c r="AB831" s="118">
        <f t="shared" si="506"/>
        <v>0</v>
      </c>
      <c r="AC831" s="39"/>
      <c r="AD831" s="39"/>
      <c r="AE831" s="39"/>
      <c r="AF831" s="39"/>
      <c r="AG831" s="39"/>
      <c r="AH831" s="39">
        <f t="shared" si="483"/>
        <v>0</v>
      </c>
      <c r="AI831" s="39"/>
      <c r="AJ831" s="39"/>
      <c r="AK831" s="39"/>
      <c r="AL831" s="39"/>
      <c r="AM831" s="39"/>
      <c r="AN831" s="39">
        <f t="shared" si="507"/>
        <v>0</v>
      </c>
      <c r="AO831" s="39"/>
      <c r="AP831" s="39"/>
      <c r="AQ831" s="39"/>
      <c r="AR831" s="39"/>
      <c r="AS831" s="39"/>
      <c r="AT831" s="39">
        <f t="shared" si="508"/>
        <v>0</v>
      </c>
      <c r="AU831" s="39"/>
      <c r="AV831" s="39"/>
      <c r="AW831" s="39"/>
      <c r="AX831" s="39"/>
      <c r="AY831" s="39"/>
      <c r="AZ831" s="39">
        <f t="shared" si="509"/>
        <v>0</v>
      </c>
      <c r="BA831" s="39"/>
      <c r="BB831" s="39"/>
      <c r="BC831" s="39"/>
      <c r="BD831" s="39"/>
      <c r="BE831" s="39"/>
      <c r="BF831" s="39">
        <f t="shared" si="510"/>
        <v>0</v>
      </c>
      <c r="BG831" s="39"/>
      <c r="BH831" s="39"/>
      <c r="BI831" s="39"/>
      <c r="BJ831" s="39"/>
      <c r="BK831" s="39"/>
      <c r="BL831" s="39">
        <f t="shared" si="484"/>
        <v>0</v>
      </c>
      <c r="BM831" s="54">
        <f t="shared" ca="1" si="511"/>
        <v>46283</v>
      </c>
      <c r="BN831" s="66">
        <v>46277</v>
      </c>
      <c r="BO831" s="117">
        <v>46289</v>
      </c>
      <c r="BP831" s="39"/>
      <c r="BQ831" s="39"/>
      <c r="BR831" s="39"/>
      <c r="BS831" s="39"/>
      <c r="BT831" s="39"/>
      <c r="BU831" s="39"/>
      <c r="BV831" s="39"/>
      <c r="BW831" s="39"/>
      <c r="BX831" s="39"/>
      <c r="BY831" s="39"/>
      <c r="BZ831" s="39">
        <f t="shared" si="485"/>
        <v>0</v>
      </c>
      <c r="CA831" s="39">
        <f t="shared" si="512"/>
        <v>-100</v>
      </c>
      <c r="CB831" s="39">
        <f t="shared" si="513"/>
        <v>0</v>
      </c>
      <c r="CC831" s="39">
        <f t="shared" si="514"/>
        <v>0</v>
      </c>
      <c r="CD831" s="39">
        <f t="shared" si="515"/>
        <v>-100</v>
      </c>
      <c r="CE831" s="102">
        <f t="shared" si="516"/>
        <v>-1</v>
      </c>
      <c r="CF831" s="36" t="s">
        <v>295</v>
      </c>
      <c r="CG831" s="39" t="s">
        <v>224</v>
      </c>
      <c r="CH831" s="39"/>
      <c r="CI831" s="25">
        <v>2</v>
      </c>
    </row>
    <row r="832" spans="1:87" ht="24.75" customHeight="1">
      <c r="A832" s="36" t="s">
        <v>388</v>
      </c>
      <c r="B832" s="27">
        <v>48640</v>
      </c>
      <c r="C832" s="231"/>
      <c r="D832" s="36"/>
      <c r="E832" s="39">
        <v>190</v>
      </c>
      <c r="F832" s="39" t="s">
        <v>59</v>
      </c>
      <c r="G832" s="36" t="s">
        <v>23</v>
      </c>
      <c r="H832" s="36" t="s">
        <v>96</v>
      </c>
      <c r="I832" s="39">
        <v>100</v>
      </c>
      <c r="J832" s="39"/>
      <c r="K832" s="39"/>
      <c r="L832" s="39">
        <f t="shared" si="504"/>
        <v>100</v>
      </c>
      <c r="M832" s="117">
        <v>46267</v>
      </c>
      <c r="N832" s="117">
        <v>46272</v>
      </c>
      <c r="O832" s="39"/>
      <c r="P832" s="39"/>
      <c r="Q832" s="39"/>
      <c r="R832" s="39">
        <f t="shared" si="505"/>
        <v>0</v>
      </c>
      <c r="S832" s="39" t="s">
        <v>31</v>
      </c>
      <c r="T832" s="39"/>
      <c r="U832" s="39"/>
      <c r="V832" s="117">
        <v>46274</v>
      </c>
      <c r="W832" s="39">
        <v>119</v>
      </c>
      <c r="X832" s="117">
        <v>46281</v>
      </c>
      <c r="Y832" s="39">
        <v>105</v>
      </c>
      <c r="Z832" s="39"/>
      <c r="AA832" s="39"/>
      <c r="AB832" s="119">
        <f t="shared" si="506"/>
        <v>105</v>
      </c>
      <c r="AC832" s="39"/>
      <c r="AD832" s="39"/>
      <c r="AE832" s="39"/>
      <c r="AF832" s="39"/>
      <c r="AG832" s="39"/>
      <c r="AH832" s="39">
        <f t="shared" si="483"/>
        <v>0</v>
      </c>
      <c r="AI832" s="39"/>
      <c r="AJ832" s="39"/>
      <c r="AK832" s="39"/>
      <c r="AL832" s="39"/>
      <c r="AM832" s="39"/>
      <c r="AN832" s="39">
        <f t="shared" si="507"/>
        <v>0</v>
      </c>
      <c r="AO832" s="39"/>
      <c r="AP832" s="39"/>
      <c r="AQ832" s="39"/>
      <c r="AR832" s="39"/>
      <c r="AS832" s="39"/>
      <c r="AT832" s="39">
        <f t="shared" si="508"/>
        <v>0</v>
      </c>
      <c r="AU832" s="39"/>
      <c r="AV832" s="39"/>
      <c r="AW832" s="39"/>
      <c r="AX832" s="39"/>
      <c r="AY832" s="39"/>
      <c r="AZ832" s="39">
        <f t="shared" si="509"/>
        <v>0</v>
      </c>
      <c r="BA832" s="39"/>
      <c r="BB832" s="39"/>
      <c r="BC832" s="39"/>
      <c r="BD832" s="39"/>
      <c r="BE832" s="39"/>
      <c r="BF832" s="39">
        <f t="shared" si="510"/>
        <v>0</v>
      </c>
      <c r="BG832" s="39"/>
      <c r="BH832" s="39"/>
      <c r="BI832" s="39"/>
      <c r="BJ832" s="39"/>
      <c r="BK832" s="39"/>
      <c r="BL832" s="39">
        <f t="shared" si="484"/>
        <v>0</v>
      </c>
      <c r="BM832" s="54" t="str">
        <f t="shared" si="511"/>
        <v/>
      </c>
      <c r="BN832" s="66">
        <v>46277</v>
      </c>
      <c r="BO832" s="117">
        <v>46289</v>
      </c>
      <c r="BP832" s="39"/>
      <c r="BQ832" s="39"/>
      <c r="BR832" s="117">
        <v>46281</v>
      </c>
      <c r="BS832" s="117">
        <v>46281</v>
      </c>
      <c r="BT832" s="39">
        <v>867</v>
      </c>
      <c r="BU832" s="39">
        <v>105</v>
      </c>
      <c r="BV832" s="39"/>
      <c r="BW832" s="39"/>
      <c r="BX832" s="39"/>
      <c r="BY832" s="39"/>
      <c r="BZ832" s="39">
        <f t="shared" si="485"/>
        <v>105</v>
      </c>
      <c r="CA832" s="39">
        <f t="shared" si="512"/>
        <v>5</v>
      </c>
      <c r="CB832" s="39">
        <f t="shared" si="513"/>
        <v>0</v>
      </c>
      <c r="CC832" s="39">
        <f t="shared" si="514"/>
        <v>0</v>
      </c>
      <c r="CD832" s="39">
        <f t="shared" si="515"/>
        <v>0</v>
      </c>
      <c r="CE832" s="102">
        <f t="shared" si="516"/>
        <v>0</v>
      </c>
      <c r="CF832" s="36" t="s">
        <v>295</v>
      </c>
      <c r="CG832" s="39" t="s">
        <v>224</v>
      </c>
      <c r="CH832" s="39"/>
      <c r="CI832" s="25">
        <v>2</v>
      </c>
    </row>
    <row r="833" spans="1:87" ht="24.75" customHeight="1">
      <c r="A833" s="36" t="s">
        <v>388</v>
      </c>
      <c r="B833" s="27">
        <v>48640</v>
      </c>
      <c r="C833" s="231"/>
      <c r="D833" s="36"/>
      <c r="E833" s="39">
        <v>190</v>
      </c>
      <c r="F833" s="39" t="s">
        <v>59</v>
      </c>
      <c r="G833" s="36" t="s">
        <v>93</v>
      </c>
      <c r="H833" s="36" t="s">
        <v>96</v>
      </c>
      <c r="I833" s="39">
        <v>100</v>
      </c>
      <c r="J833" s="39"/>
      <c r="K833" s="39"/>
      <c r="L833" s="39">
        <f t="shared" si="504"/>
        <v>100</v>
      </c>
      <c r="M833" s="117">
        <v>46267</v>
      </c>
      <c r="N833" s="117">
        <v>46272</v>
      </c>
      <c r="O833" s="39"/>
      <c r="P833" s="39"/>
      <c r="Q833" s="39"/>
      <c r="R833" s="39">
        <f t="shared" si="505"/>
        <v>0</v>
      </c>
      <c r="S833" s="39" t="s">
        <v>130</v>
      </c>
      <c r="T833" s="39"/>
      <c r="U833" s="39"/>
      <c r="V833" s="39"/>
      <c r="W833" s="39"/>
      <c r="X833" s="39"/>
      <c r="Y833" s="39"/>
      <c r="Z833" s="39"/>
      <c r="AA833" s="39"/>
      <c r="AB833" s="118">
        <f t="shared" si="506"/>
        <v>0</v>
      </c>
      <c r="AC833" s="39"/>
      <c r="AD833" s="39"/>
      <c r="AE833" s="39"/>
      <c r="AF833" s="39"/>
      <c r="AG833" s="39"/>
      <c r="AH833" s="39">
        <f t="shared" si="483"/>
        <v>0</v>
      </c>
      <c r="AI833" s="39"/>
      <c r="AJ833" s="39"/>
      <c r="AK833" s="39"/>
      <c r="AL833" s="39"/>
      <c r="AM833" s="39"/>
      <c r="AN833" s="39">
        <f t="shared" si="507"/>
        <v>0</v>
      </c>
      <c r="AO833" s="39"/>
      <c r="AP833" s="39"/>
      <c r="AQ833" s="39"/>
      <c r="AR833" s="39"/>
      <c r="AS833" s="39"/>
      <c r="AT833" s="39">
        <f t="shared" si="508"/>
        <v>0</v>
      </c>
      <c r="AU833" s="39"/>
      <c r="AV833" s="39"/>
      <c r="AW833" s="39"/>
      <c r="AX833" s="39"/>
      <c r="AY833" s="39"/>
      <c r="AZ833" s="39">
        <f t="shared" si="509"/>
        <v>0</v>
      </c>
      <c r="BA833" s="39"/>
      <c r="BB833" s="39"/>
      <c r="BC833" s="39"/>
      <c r="BD833" s="39"/>
      <c r="BE833" s="39"/>
      <c r="BF833" s="39">
        <f t="shared" si="510"/>
        <v>0</v>
      </c>
      <c r="BG833" s="39"/>
      <c r="BH833" s="39"/>
      <c r="BI833" s="39"/>
      <c r="BJ833" s="39"/>
      <c r="BK833" s="39"/>
      <c r="BL833" s="39">
        <f t="shared" si="484"/>
        <v>0</v>
      </c>
      <c r="BM833" s="54">
        <f t="shared" ca="1" si="511"/>
        <v>46283</v>
      </c>
      <c r="BN833" s="66">
        <v>46277</v>
      </c>
      <c r="BO833" s="117">
        <v>46289</v>
      </c>
      <c r="BP833" s="39"/>
      <c r="BQ833" s="39"/>
      <c r="BR833" s="39"/>
      <c r="BS833" s="39"/>
      <c r="BT833" s="39"/>
      <c r="BU833" s="39"/>
      <c r="BV833" s="39"/>
      <c r="BW833" s="39"/>
      <c r="BX833" s="39"/>
      <c r="BY833" s="39"/>
      <c r="BZ833" s="39">
        <f t="shared" si="485"/>
        <v>0</v>
      </c>
      <c r="CA833" s="39">
        <f t="shared" si="512"/>
        <v>-100</v>
      </c>
      <c r="CB833" s="39">
        <f t="shared" si="513"/>
        <v>0</v>
      </c>
      <c r="CC833" s="39">
        <f t="shared" si="514"/>
        <v>0</v>
      </c>
      <c r="CD833" s="39">
        <f t="shared" si="515"/>
        <v>-100</v>
      </c>
      <c r="CE833" s="102">
        <f t="shared" si="516"/>
        <v>-1</v>
      </c>
      <c r="CF833" s="36" t="s">
        <v>295</v>
      </c>
      <c r="CG833" s="39" t="s">
        <v>224</v>
      </c>
      <c r="CH833" s="39"/>
      <c r="CI833" s="25">
        <v>2</v>
      </c>
    </row>
    <row r="834" spans="1:87" ht="24.75" customHeight="1">
      <c r="A834" s="36" t="s">
        <v>388</v>
      </c>
      <c r="B834" s="27">
        <v>48640</v>
      </c>
      <c r="C834" s="228"/>
      <c r="D834" s="36"/>
      <c r="E834" s="39">
        <v>190</v>
      </c>
      <c r="F834" s="39" t="s">
        <v>59</v>
      </c>
      <c r="G834" s="36" t="s">
        <v>486</v>
      </c>
      <c r="H834" s="36" t="s">
        <v>96</v>
      </c>
      <c r="I834" s="39">
        <v>95</v>
      </c>
      <c r="J834" s="39"/>
      <c r="K834" s="39"/>
      <c r="L834" s="39">
        <f t="shared" si="504"/>
        <v>95</v>
      </c>
      <c r="M834" s="117">
        <v>46267</v>
      </c>
      <c r="N834" s="117">
        <v>46272</v>
      </c>
      <c r="O834" s="39"/>
      <c r="P834" s="39"/>
      <c r="Q834" s="39"/>
      <c r="R834" s="39">
        <f t="shared" si="505"/>
        <v>0</v>
      </c>
      <c r="S834" s="39" t="s">
        <v>31</v>
      </c>
      <c r="T834" s="39"/>
      <c r="U834" s="39"/>
      <c r="V834" s="117">
        <v>46274</v>
      </c>
      <c r="W834" s="39">
        <v>118</v>
      </c>
      <c r="X834" s="39"/>
      <c r="Y834" s="39"/>
      <c r="Z834" s="39"/>
      <c r="AA834" s="39"/>
      <c r="AB834" s="118">
        <f t="shared" si="506"/>
        <v>0</v>
      </c>
      <c r="AC834" s="39"/>
      <c r="AD834" s="39"/>
      <c r="AE834" s="39"/>
      <c r="AF834" s="39"/>
      <c r="AG834" s="39"/>
      <c r="AH834" s="39">
        <f t="shared" si="483"/>
        <v>0</v>
      </c>
      <c r="AI834" s="39"/>
      <c r="AJ834" s="39"/>
      <c r="AK834" s="39"/>
      <c r="AL834" s="39"/>
      <c r="AM834" s="39"/>
      <c r="AN834" s="39">
        <f t="shared" si="507"/>
        <v>0</v>
      </c>
      <c r="AO834" s="39"/>
      <c r="AP834" s="39"/>
      <c r="AQ834" s="39"/>
      <c r="AR834" s="39"/>
      <c r="AS834" s="39"/>
      <c r="AT834" s="39">
        <f t="shared" si="508"/>
        <v>0</v>
      </c>
      <c r="AU834" s="39"/>
      <c r="AV834" s="39"/>
      <c r="AW834" s="39"/>
      <c r="AX834" s="39"/>
      <c r="AY834" s="39"/>
      <c r="AZ834" s="39">
        <f t="shared" si="509"/>
        <v>0</v>
      </c>
      <c r="BA834" s="39"/>
      <c r="BB834" s="39"/>
      <c r="BC834" s="39"/>
      <c r="BD834" s="39"/>
      <c r="BE834" s="39"/>
      <c r="BF834" s="39">
        <f t="shared" si="510"/>
        <v>0</v>
      </c>
      <c r="BG834" s="39"/>
      <c r="BH834" s="39"/>
      <c r="BI834" s="39"/>
      <c r="BJ834" s="39"/>
      <c r="BK834" s="39"/>
      <c r="BL834" s="39">
        <f t="shared" si="484"/>
        <v>0</v>
      </c>
      <c r="BM834" s="54">
        <f t="shared" ca="1" si="511"/>
        <v>46283</v>
      </c>
      <c r="BN834" s="66">
        <v>46277</v>
      </c>
      <c r="BO834" s="117">
        <v>46289</v>
      </c>
      <c r="BP834" s="39"/>
      <c r="BQ834" s="39"/>
      <c r="BR834" s="39"/>
      <c r="BS834" s="39"/>
      <c r="BT834" s="39"/>
      <c r="BU834" s="39"/>
      <c r="BV834" s="39"/>
      <c r="BW834" s="39"/>
      <c r="BX834" s="39"/>
      <c r="BY834" s="39"/>
      <c r="BZ834" s="39">
        <f t="shared" si="485"/>
        <v>0</v>
      </c>
      <c r="CA834" s="39">
        <f t="shared" si="512"/>
        <v>-95</v>
      </c>
      <c r="CB834" s="39">
        <f t="shared" si="513"/>
        <v>0</v>
      </c>
      <c r="CC834" s="39">
        <f t="shared" si="514"/>
        <v>0</v>
      </c>
      <c r="CD834" s="39">
        <f t="shared" si="515"/>
        <v>-95</v>
      </c>
      <c r="CE834" s="102">
        <f t="shared" si="516"/>
        <v>-1</v>
      </c>
      <c r="CF834" s="36" t="s">
        <v>295</v>
      </c>
      <c r="CG834" s="39" t="s">
        <v>224</v>
      </c>
      <c r="CH834" s="39"/>
      <c r="CI834" s="25">
        <v>2</v>
      </c>
    </row>
    <row r="835" spans="1:87" ht="24.75" customHeight="1">
      <c r="A835" s="36" t="s">
        <v>388</v>
      </c>
      <c r="B835" s="27">
        <v>48633</v>
      </c>
      <c r="C835" s="49">
        <v>15396849</v>
      </c>
      <c r="D835" s="36"/>
      <c r="E835" s="39">
        <v>180</v>
      </c>
      <c r="F835" s="39" t="s">
        <v>54</v>
      </c>
      <c r="G835" s="36" t="s">
        <v>47</v>
      </c>
      <c r="H835" s="36" t="s">
        <v>22</v>
      </c>
      <c r="I835" s="39">
        <v>160</v>
      </c>
      <c r="J835" s="39">
        <v>10</v>
      </c>
      <c r="K835" s="39"/>
      <c r="L835" s="39">
        <f t="shared" si="504"/>
        <v>170</v>
      </c>
      <c r="M835" s="117">
        <v>46272</v>
      </c>
      <c r="N835" s="117">
        <v>46275</v>
      </c>
      <c r="O835" s="39"/>
      <c r="P835" s="39"/>
      <c r="Q835" s="39"/>
      <c r="R835" s="39">
        <f t="shared" si="505"/>
        <v>0</v>
      </c>
      <c r="S835" s="39" t="s">
        <v>28</v>
      </c>
      <c r="T835" s="39"/>
      <c r="U835" s="39"/>
      <c r="V835" s="117">
        <v>46281</v>
      </c>
      <c r="W835" s="39">
        <f>193+13</f>
        <v>206</v>
      </c>
      <c r="X835" s="39"/>
      <c r="Y835" s="39"/>
      <c r="Z835" s="39"/>
      <c r="AA835" s="39"/>
      <c r="AB835" s="118">
        <f t="shared" si="506"/>
        <v>0</v>
      </c>
      <c r="AC835" s="39"/>
      <c r="AD835" s="39"/>
      <c r="AE835" s="39"/>
      <c r="AF835" s="39"/>
      <c r="AG835" s="39"/>
      <c r="AH835" s="39">
        <f t="shared" si="483"/>
        <v>0</v>
      </c>
      <c r="AI835" s="39"/>
      <c r="AJ835" s="39"/>
      <c r="AK835" s="39"/>
      <c r="AL835" s="39"/>
      <c r="AM835" s="39"/>
      <c r="AN835" s="39">
        <f t="shared" si="507"/>
        <v>0</v>
      </c>
      <c r="AO835" s="39"/>
      <c r="AP835" s="39"/>
      <c r="AQ835" s="39"/>
      <c r="AR835" s="39"/>
      <c r="AS835" s="39"/>
      <c r="AT835" s="39">
        <f t="shared" si="508"/>
        <v>0</v>
      </c>
      <c r="AU835" s="39"/>
      <c r="AV835" s="39"/>
      <c r="AW835" s="39"/>
      <c r="AX835" s="39"/>
      <c r="AY835" s="39"/>
      <c r="AZ835" s="39">
        <f t="shared" si="509"/>
        <v>0</v>
      </c>
      <c r="BA835" s="39"/>
      <c r="BB835" s="39"/>
      <c r="BC835" s="39"/>
      <c r="BD835" s="39"/>
      <c r="BE835" s="39"/>
      <c r="BF835" s="39">
        <f t="shared" si="510"/>
        <v>0</v>
      </c>
      <c r="BG835" s="39"/>
      <c r="BH835" s="39"/>
      <c r="BI835" s="39"/>
      <c r="BJ835" s="39"/>
      <c r="BK835" s="39"/>
      <c r="BL835" s="39">
        <f t="shared" si="484"/>
        <v>0</v>
      </c>
      <c r="BM835" s="54">
        <f t="shared" ca="1" si="511"/>
        <v>46283</v>
      </c>
      <c r="BN835" s="66">
        <v>46281</v>
      </c>
      <c r="BO835" s="117">
        <v>46291</v>
      </c>
      <c r="BP835" s="39"/>
      <c r="BQ835" s="39"/>
      <c r="BR835" s="39"/>
      <c r="BS835" s="39"/>
      <c r="BT835" s="39"/>
      <c r="BU835" s="39"/>
      <c r="BV835" s="39"/>
      <c r="BW835" s="39"/>
      <c r="BX835" s="39"/>
      <c r="BY835" s="39"/>
      <c r="BZ835" s="39">
        <f t="shared" si="485"/>
        <v>0</v>
      </c>
      <c r="CA835" s="39">
        <f t="shared" si="512"/>
        <v>-160</v>
      </c>
      <c r="CB835" s="39">
        <f t="shared" si="513"/>
        <v>-10</v>
      </c>
      <c r="CC835" s="39">
        <f t="shared" si="514"/>
        <v>0</v>
      </c>
      <c r="CD835" s="39">
        <f t="shared" si="515"/>
        <v>-170</v>
      </c>
      <c r="CE835" s="102">
        <f t="shared" si="516"/>
        <v>-1</v>
      </c>
      <c r="CF835" s="36" t="s">
        <v>295</v>
      </c>
      <c r="CG835" s="39" t="s">
        <v>224</v>
      </c>
      <c r="CH835" s="39"/>
      <c r="CI835" s="25">
        <v>2</v>
      </c>
    </row>
    <row r="836" spans="1:87" ht="24.75" customHeight="1">
      <c r="A836" s="36" t="s">
        <v>388</v>
      </c>
      <c r="B836" s="27">
        <v>48639</v>
      </c>
      <c r="C836" s="227">
        <v>15395986</v>
      </c>
      <c r="D836" s="36"/>
      <c r="E836" s="39">
        <v>160</v>
      </c>
      <c r="F836" s="39" t="s">
        <v>54</v>
      </c>
      <c r="G836" s="36" t="s">
        <v>93</v>
      </c>
      <c r="H836" s="36" t="s">
        <v>22</v>
      </c>
      <c r="I836" s="39">
        <v>365</v>
      </c>
      <c r="J836" s="39">
        <v>20</v>
      </c>
      <c r="K836" s="39"/>
      <c r="L836" s="39">
        <f t="shared" ref="L836:L843" si="517">SUM(I836:K836)</f>
        <v>385</v>
      </c>
      <c r="M836" s="117">
        <v>46272</v>
      </c>
      <c r="N836" s="117">
        <v>46276</v>
      </c>
      <c r="O836" s="39"/>
      <c r="P836" s="39"/>
      <c r="Q836" s="39"/>
      <c r="R836" s="39">
        <f t="shared" si="505"/>
        <v>0</v>
      </c>
      <c r="S836" s="39" t="s">
        <v>326</v>
      </c>
      <c r="T836" s="39"/>
      <c r="U836" s="39"/>
      <c r="V836" s="117">
        <v>46281</v>
      </c>
      <c r="W836" s="39">
        <f>411+24</f>
        <v>435</v>
      </c>
      <c r="X836" s="39"/>
      <c r="Y836" s="39"/>
      <c r="Z836" s="39"/>
      <c r="AA836" s="39"/>
      <c r="AB836" s="118">
        <f t="shared" si="506"/>
        <v>0</v>
      </c>
      <c r="AC836" s="39"/>
      <c r="AD836" s="39"/>
      <c r="AE836" s="39"/>
      <c r="AF836" s="39"/>
      <c r="AG836" s="39"/>
      <c r="AH836" s="39">
        <f t="shared" si="483"/>
        <v>0</v>
      </c>
      <c r="AI836" s="39"/>
      <c r="AJ836" s="39"/>
      <c r="AK836" s="39"/>
      <c r="AL836" s="39"/>
      <c r="AM836" s="39"/>
      <c r="AN836" s="39">
        <f t="shared" si="507"/>
        <v>0</v>
      </c>
      <c r="AO836" s="39"/>
      <c r="AP836" s="39"/>
      <c r="AQ836" s="39"/>
      <c r="AR836" s="39"/>
      <c r="AS836" s="39"/>
      <c r="AT836" s="39">
        <f t="shared" si="508"/>
        <v>0</v>
      </c>
      <c r="AU836" s="39"/>
      <c r="AV836" s="39"/>
      <c r="AW836" s="39"/>
      <c r="AX836" s="39"/>
      <c r="AY836" s="39"/>
      <c r="AZ836" s="39">
        <f t="shared" si="509"/>
        <v>0</v>
      </c>
      <c r="BA836" s="39"/>
      <c r="BB836" s="39"/>
      <c r="BC836" s="39"/>
      <c r="BD836" s="39"/>
      <c r="BE836" s="39"/>
      <c r="BF836" s="39">
        <f t="shared" si="510"/>
        <v>0</v>
      </c>
      <c r="BG836" s="39"/>
      <c r="BH836" s="39"/>
      <c r="BI836" s="39"/>
      <c r="BJ836" s="39"/>
      <c r="BK836" s="39"/>
      <c r="BL836" s="39">
        <f t="shared" si="484"/>
        <v>0</v>
      </c>
      <c r="BM836" s="54">
        <f t="shared" ca="1" si="511"/>
        <v>46283</v>
      </c>
      <c r="BN836" s="66">
        <v>46279</v>
      </c>
      <c r="BO836" s="117">
        <v>46291</v>
      </c>
      <c r="BP836" s="39"/>
      <c r="BQ836" s="39"/>
      <c r="BR836" s="39"/>
      <c r="BS836" s="39"/>
      <c r="BT836" s="39"/>
      <c r="BU836" s="39"/>
      <c r="BV836" s="39"/>
      <c r="BW836" s="39"/>
      <c r="BX836" s="39"/>
      <c r="BY836" s="39"/>
      <c r="BZ836" s="39">
        <f t="shared" si="485"/>
        <v>0</v>
      </c>
      <c r="CA836" s="39">
        <f t="shared" si="512"/>
        <v>-365</v>
      </c>
      <c r="CB836" s="39">
        <f t="shared" si="513"/>
        <v>-20</v>
      </c>
      <c r="CC836" s="39">
        <f t="shared" si="514"/>
        <v>0</v>
      </c>
      <c r="CD836" s="39">
        <f t="shared" si="515"/>
        <v>-385</v>
      </c>
      <c r="CE836" s="102">
        <f t="shared" si="516"/>
        <v>-1</v>
      </c>
      <c r="CF836" s="36" t="s">
        <v>295</v>
      </c>
      <c r="CG836" s="39" t="s">
        <v>224</v>
      </c>
      <c r="CH836" s="39"/>
      <c r="CI836" s="25">
        <v>2</v>
      </c>
    </row>
    <row r="837" spans="1:87" ht="24.75" customHeight="1">
      <c r="A837" s="36" t="s">
        <v>388</v>
      </c>
      <c r="B837" s="27">
        <v>48639</v>
      </c>
      <c r="C837" s="231"/>
      <c r="D837" s="36"/>
      <c r="E837" s="39">
        <v>160</v>
      </c>
      <c r="F837" s="39" t="s">
        <v>54</v>
      </c>
      <c r="G837" s="36" t="s">
        <v>2373</v>
      </c>
      <c r="H837" s="36" t="s">
        <v>22</v>
      </c>
      <c r="I837" s="39">
        <v>130</v>
      </c>
      <c r="J837" s="39">
        <v>10</v>
      </c>
      <c r="K837" s="39"/>
      <c r="L837" s="39">
        <f t="shared" si="517"/>
        <v>140</v>
      </c>
      <c r="M837" s="117">
        <v>46272</v>
      </c>
      <c r="N837" s="117">
        <v>46276</v>
      </c>
      <c r="O837" s="39"/>
      <c r="P837" s="39"/>
      <c r="Q837" s="39"/>
      <c r="R837" s="39">
        <f t="shared" si="505"/>
        <v>0</v>
      </c>
      <c r="S837" s="39" t="s">
        <v>100</v>
      </c>
      <c r="T837" s="39"/>
      <c r="U837" s="39"/>
      <c r="V837" s="117">
        <v>46281</v>
      </c>
      <c r="W837" s="39">
        <f>158+13</f>
        <v>171</v>
      </c>
      <c r="X837" s="39"/>
      <c r="Y837" s="39"/>
      <c r="Z837" s="39"/>
      <c r="AA837" s="39"/>
      <c r="AB837" s="118">
        <f t="shared" si="506"/>
        <v>0</v>
      </c>
      <c r="AC837" s="39"/>
      <c r="AD837" s="39"/>
      <c r="AE837" s="39"/>
      <c r="AF837" s="39"/>
      <c r="AG837" s="39"/>
      <c r="AH837" s="39">
        <f t="shared" si="483"/>
        <v>0</v>
      </c>
      <c r="AI837" s="39"/>
      <c r="AJ837" s="39"/>
      <c r="AK837" s="39"/>
      <c r="AL837" s="39"/>
      <c r="AM837" s="39"/>
      <c r="AN837" s="39">
        <f t="shared" si="507"/>
        <v>0</v>
      </c>
      <c r="AO837" s="39"/>
      <c r="AP837" s="39"/>
      <c r="AQ837" s="39"/>
      <c r="AR837" s="39"/>
      <c r="AS837" s="39"/>
      <c r="AT837" s="39">
        <f t="shared" si="508"/>
        <v>0</v>
      </c>
      <c r="AU837" s="39"/>
      <c r="AV837" s="39"/>
      <c r="AW837" s="39"/>
      <c r="AX837" s="39"/>
      <c r="AY837" s="39"/>
      <c r="AZ837" s="39">
        <f t="shared" si="509"/>
        <v>0</v>
      </c>
      <c r="BA837" s="39"/>
      <c r="BB837" s="39"/>
      <c r="BC837" s="39"/>
      <c r="BD837" s="39"/>
      <c r="BE837" s="39"/>
      <c r="BF837" s="39">
        <f t="shared" si="510"/>
        <v>0</v>
      </c>
      <c r="BG837" s="39"/>
      <c r="BH837" s="39"/>
      <c r="BI837" s="39"/>
      <c r="BJ837" s="39"/>
      <c r="BK837" s="39"/>
      <c r="BL837" s="39">
        <f t="shared" si="484"/>
        <v>0</v>
      </c>
      <c r="BM837" s="54">
        <f t="shared" ca="1" si="511"/>
        <v>46283</v>
      </c>
      <c r="BN837" s="66">
        <v>46279</v>
      </c>
      <c r="BO837" s="117">
        <v>46291</v>
      </c>
      <c r="BP837" s="39"/>
      <c r="BQ837" s="39"/>
      <c r="BR837" s="39"/>
      <c r="BS837" s="39"/>
      <c r="BT837" s="39"/>
      <c r="BU837" s="39"/>
      <c r="BV837" s="39"/>
      <c r="BW837" s="39"/>
      <c r="BX837" s="39"/>
      <c r="BY837" s="39"/>
      <c r="BZ837" s="39">
        <f t="shared" si="485"/>
        <v>0</v>
      </c>
      <c r="CA837" s="39">
        <f t="shared" si="512"/>
        <v>-130</v>
      </c>
      <c r="CB837" s="39">
        <f t="shared" si="513"/>
        <v>-10</v>
      </c>
      <c r="CC837" s="39">
        <f t="shared" si="514"/>
        <v>0</v>
      </c>
      <c r="CD837" s="39">
        <f t="shared" si="515"/>
        <v>-140</v>
      </c>
      <c r="CE837" s="102">
        <f t="shared" si="516"/>
        <v>-1</v>
      </c>
      <c r="CF837" s="36" t="s">
        <v>295</v>
      </c>
      <c r="CG837" s="39" t="s">
        <v>224</v>
      </c>
      <c r="CH837" s="39"/>
      <c r="CI837" s="25">
        <v>2</v>
      </c>
    </row>
    <row r="838" spans="1:87" ht="24.75" customHeight="1">
      <c r="A838" s="36" t="s">
        <v>388</v>
      </c>
      <c r="B838" s="27">
        <v>48639</v>
      </c>
      <c r="C838" s="228"/>
      <c r="D838" s="36"/>
      <c r="E838" s="39">
        <v>160</v>
      </c>
      <c r="F838" s="39" t="s">
        <v>54</v>
      </c>
      <c r="G838" s="36" t="s">
        <v>1222</v>
      </c>
      <c r="H838" s="36" t="s">
        <v>22</v>
      </c>
      <c r="I838" s="39">
        <v>120</v>
      </c>
      <c r="J838" s="39">
        <v>10</v>
      </c>
      <c r="K838" s="39"/>
      <c r="L838" s="39">
        <f t="shared" si="517"/>
        <v>130</v>
      </c>
      <c r="M838" s="117">
        <v>46272</v>
      </c>
      <c r="N838" s="117">
        <v>46276</v>
      </c>
      <c r="O838" s="39"/>
      <c r="P838" s="39"/>
      <c r="Q838" s="39"/>
      <c r="R838" s="39">
        <f t="shared" si="505"/>
        <v>0</v>
      </c>
      <c r="S838" s="39" t="s">
        <v>100</v>
      </c>
      <c r="T838" s="39"/>
      <c r="U838" s="39"/>
      <c r="V838" s="117">
        <v>46274</v>
      </c>
      <c r="W838" s="39">
        <f>146+14</f>
        <v>160</v>
      </c>
      <c r="X838" s="39"/>
      <c r="Y838" s="39"/>
      <c r="Z838" s="39"/>
      <c r="AA838" s="39"/>
      <c r="AB838" s="118">
        <f t="shared" si="506"/>
        <v>0</v>
      </c>
      <c r="AC838" s="39"/>
      <c r="AD838" s="39"/>
      <c r="AE838" s="39"/>
      <c r="AF838" s="39"/>
      <c r="AG838" s="39"/>
      <c r="AH838" s="39">
        <f t="shared" si="483"/>
        <v>0</v>
      </c>
      <c r="AI838" s="39"/>
      <c r="AJ838" s="39"/>
      <c r="AK838" s="39"/>
      <c r="AL838" s="39"/>
      <c r="AM838" s="39"/>
      <c r="AN838" s="39">
        <f t="shared" si="507"/>
        <v>0</v>
      </c>
      <c r="AO838" s="39"/>
      <c r="AP838" s="39"/>
      <c r="AQ838" s="39"/>
      <c r="AR838" s="39"/>
      <c r="AS838" s="39"/>
      <c r="AT838" s="39">
        <f t="shared" si="508"/>
        <v>0</v>
      </c>
      <c r="AU838" s="39"/>
      <c r="AV838" s="39"/>
      <c r="AW838" s="39"/>
      <c r="AX838" s="39"/>
      <c r="AY838" s="39"/>
      <c r="AZ838" s="39">
        <f t="shared" si="509"/>
        <v>0</v>
      </c>
      <c r="BA838" s="39"/>
      <c r="BB838" s="39"/>
      <c r="BC838" s="39"/>
      <c r="BD838" s="39"/>
      <c r="BE838" s="39"/>
      <c r="BF838" s="39">
        <f t="shared" si="510"/>
        <v>0</v>
      </c>
      <c r="BG838" s="39"/>
      <c r="BH838" s="39"/>
      <c r="BI838" s="39"/>
      <c r="BJ838" s="39"/>
      <c r="BK838" s="39"/>
      <c r="BL838" s="39">
        <f t="shared" si="484"/>
        <v>0</v>
      </c>
      <c r="BM838" s="54">
        <f t="shared" ca="1" si="511"/>
        <v>46283</v>
      </c>
      <c r="BN838" s="66">
        <v>46279</v>
      </c>
      <c r="BO838" s="117">
        <v>46291</v>
      </c>
      <c r="BP838" s="39"/>
      <c r="BQ838" s="39"/>
      <c r="BR838" s="39"/>
      <c r="BS838" s="39"/>
      <c r="BT838" s="39"/>
      <c r="BU838" s="39"/>
      <c r="BV838" s="39"/>
      <c r="BW838" s="39"/>
      <c r="BX838" s="39"/>
      <c r="BY838" s="39"/>
      <c r="BZ838" s="39">
        <f t="shared" si="485"/>
        <v>0</v>
      </c>
      <c r="CA838" s="39">
        <f t="shared" si="512"/>
        <v>-120</v>
      </c>
      <c r="CB838" s="39">
        <f t="shared" si="513"/>
        <v>-10</v>
      </c>
      <c r="CC838" s="39">
        <f t="shared" si="514"/>
        <v>0</v>
      </c>
      <c r="CD838" s="39">
        <f t="shared" si="515"/>
        <v>-130</v>
      </c>
      <c r="CE838" s="102">
        <f t="shared" si="516"/>
        <v>-1</v>
      </c>
      <c r="CF838" s="36" t="s">
        <v>295</v>
      </c>
      <c r="CG838" s="39" t="s">
        <v>224</v>
      </c>
      <c r="CH838" s="39"/>
      <c r="CI838" s="25">
        <v>2</v>
      </c>
    </row>
    <row r="839" spans="1:87" ht="24.75" customHeight="1">
      <c r="A839" s="36" t="s">
        <v>388</v>
      </c>
      <c r="B839" s="27">
        <v>48632</v>
      </c>
      <c r="C839" s="227">
        <v>15395966</v>
      </c>
      <c r="D839" s="36"/>
      <c r="E839" s="39">
        <v>230</v>
      </c>
      <c r="F839" s="39" t="s">
        <v>59</v>
      </c>
      <c r="G839" s="36" t="s">
        <v>21</v>
      </c>
      <c r="H839" s="36" t="s">
        <v>96</v>
      </c>
      <c r="I839" s="39">
        <v>185</v>
      </c>
      <c r="J839" s="39"/>
      <c r="K839" s="39"/>
      <c r="L839" s="39">
        <f t="shared" si="517"/>
        <v>185</v>
      </c>
      <c r="M839" s="117">
        <v>46272</v>
      </c>
      <c r="N839" s="117">
        <v>46277</v>
      </c>
      <c r="O839" s="39"/>
      <c r="P839" s="39"/>
      <c r="Q839" s="39"/>
      <c r="R839" s="39">
        <f t="shared" si="505"/>
        <v>0</v>
      </c>
      <c r="S839" s="39" t="s">
        <v>130</v>
      </c>
      <c r="T839" s="39"/>
      <c r="U839" s="39"/>
      <c r="V839" s="39"/>
      <c r="W839" s="39"/>
      <c r="X839" s="39"/>
      <c r="Y839" s="39"/>
      <c r="Z839" s="39"/>
      <c r="AA839" s="39"/>
      <c r="AB839" s="118">
        <f t="shared" si="506"/>
        <v>0</v>
      </c>
      <c r="AC839" s="39"/>
      <c r="AD839" s="39"/>
      <c r="AE839" s="39"/>
      <c r="AF839" s="39"/>
      <c r="AG839" s="39"/>
      <c r="AH839" s="39">
        <f t="shared" si="483"/>
        <v>0</v>
      </c>
      <c r="AI839" s="39"/>
      <c r="AJ839" s="39"/>
      <c r="AK839" s="39"/>
      <c r="AL839" s="39"/>
      <c r="AM839" s="39"/>
      <c r="AN839" s="39">
        <f t="shared" si="507"/>
        <v>0</v>
      </c>
      <c r="AO839" s="39"/>
      <c r="AP839" s="39"/>
      <c r="AQ839" s="39"/>
      <c r="AR839" s="39"/>
      <c r="AS839" s="39"/>
      <c r="AT839" s="39">
        <f t="shared" si="508"/>
        <v>0</v>
      </c>
      <c r="AU839" s="39"/>
      <c r="AV839" s="39"/>
      <c r="AW839" s="39"/>
      <c r="AX839" s="39"/>
      <c r="AY839" s="39"/>
      <c r="AZ839" s="39">
        <f t="shared" si="509"/>
        <v>0</v>
      </c>
      <c r="BA839" s="39"/>
      <c r="BB839" s="39"/>
      <c r="BC839" s="39"/>
      <c r="BD839" s="39"/>
      <c r="BE839" s="39"/>
      <c r="BF839" s="39">
        <f t="shared" si="510"/>
        <v>0</v>
      </c>
      <c r="BG839" s="39"/>
      <c r="BH839" s="39"/>
      <c r="BI839" s="39"/>
      <c r="BJ839" s="39"/>
      <c r="BK839" s="39"/>
      <c r="BL839" s="39">
        <f t="shared" si="484"/>
        <v>0</v>
      </c>
      <c r="BM839" s="54">
        <f t="shared" ca="1" si="511"/>
        <v>46283</v>
      </c>
      <c r="BN839" s="66">
        <v>46280</v>
      </c>
      <c r="BO839" s="117">
        <v>46293</v>
      </c>
      <c r="BP839" s="39"/>
      <c r="BQ839" s="39"/>
      <c r="BR839" s="39"/>
      <c r="BS839" s="39"/>
      <c r="BT839" s="39"/>
      <c r="BU839" s="39"/>
      <c r="BV839" s="39"/>
      <c r="BW839" s="39"/>
      <c r="BX839" s="39"/>
      <c r="BY839" s="39"/>
      <c r="BZ839" s="39">
        <f t="shared" si="485"/>
        <v>0</v>
      </c>
      <c r="CA839" s="39">
        <f t="shared" si="512"/>
        <v>-185</v>
      </c>
      <c r="CB839" s="39">
        <f t="shared" si="513"/>
        <v>0</v>
      </c>
      <c r="CC839" s="39">
        <f t="shared" si="514"/>
        <v>0</v>
      </c>
      <c r="CD839" s="39">
        <f t="shared" si="515"/>
        <v>-185</v>
      </c>
      <c r="CE839" s="102">
        <f t="shared" si="516"/>
        <v>-1</v>
      </c>
      <c r="CF839" s="36" t="s">
        <v>295</v>
      </c>
      <c r="CG839" s="39" t="s">
        <v>224</v>
      </c>
      <c r="CH839" s="39"/>
      <c r="CI839" s="25">
        <v>2</v>
      </c>
    </row>
    <row r="840" spans="1:87" ht="24.75" customHeight="1">
      <c r="A840" s="36" t="s">
        <v>388</v>
      </c>
      <c r="B840" s="27">
        <v>48632</v>
      </c>
      <c r="C840" s="228"/>
      <c r="D840" s="36"/>
      <c r="E840" s="39">
        <v>230</v>
      </c>
      <c r="F840" s="39" t="s">
        <v>59</v>
      </c>
      <c r="G840" s="36" t="s">
        <v>23</v>
      </c>
      <c r="H840" s="36" t="s">
        <v>96</v>
      </c>
      <c r="I840" s="39">
        <v>160</v>
      </c>
      <c r="J840" s="39"/>
      <c r="K840" s="39"/>
      <c r="L840" s="39">
        <f t="shared" si="517"/>
        <v>160</v>
      </c>
      <c r="M840" s="117">
        <v>46272</v>
      </c>
      <c r="N840" s="117">
        <v>46277</v>
      </c>
      <c r="O840" s="39"/>
      <c r="P840" s="39"/>
      <c r="Q840" s="39"/>
      <c r="R840" s="39">
        <f t="shared" si="505"/>
        <v>0</v>
      </c>
      <c r="S840" s="39" t="s">
        <v>100</v>
      </c>
      <c r="T840" s="39"/>
      <c r="U840" s="39"/>
      <c r="V840" s="117">
        <v>46274</v>
      </c>
      <c r="W840" s="39">
        <v>186</v>
      </c>
      <c r="X840" s="39"/>
      <c r="Y840" s="39"/>
      <c r="Z840" s="39"/>
      <c r="AA840" s="39"/>
      <c r="AB840" s="118">
        <f t="shared" si="506"/>
        <v>0</v>
      </c>
      <c r="AC840" s="39"/>
      <c r="AD840" s="39"/>
      <c r="AE840" s="39"/>
      <c r="AF840" s="39"/>
      <c r="AG840" s="39"/>
      <c r="AH840" s="39">
        <f t="shared" si="483"/>
        <v>0</v>
      </c>
      <c r="AI840" s="39"/>
      <c r="AJ840" s="39"/>
      <c r="AK840" s="39"/>
      <c r="AL840" s="39"/>
      <c r="AM840" s="39"/>
      <c r="AN840" s="39">
        <f t="shared" si="507"/>
        <v>0</v>
      </c>
      <c r="AO840" s="39"/>
      <c r="AP840" s="39"/>
      <c r="AQ840" s="39"/>
      <c r="AR840" s="39"/>
      <c r="AS840" s="39"/>
      <c r="AT840" s="39">
        <f t="shared" si="508"/>
        <v>0</v>
      </c>
      <c r="AU840" s="39"/>
      <c r="AV840" s="39"/>
      <c r="AW840" s="39"/>
      <c r="AX840" s="39"/>
      <c r="AY840" s="39"/>
      <c r="AZ840" s="39">
        <f t="shared" si="509"/>
        <v>0</v>
      </c>
      <c r="BA840" s="39"/>
      <c r="BB840" s="39"/>
      <c r="BC840" s="39"/>
      <c r="BD840" s="39"/>
      <c r="BE840" s="39"/>
      <c r="BF840" s="39">
        <f t="shared" si="510"/>
        <v>0</v>
      </c>
      <c r="BG840" s="39"/>
      <c r="BH840" s="39"/>
      <c r="BI840" s="39"/>
      <c r="BJ840" s="39"/>
      <c r="BK840" s="39"/>
      <c r="BL840" s="39">
        <f t="shared" si="484"/>
        <v>0</v>
      </c>
      <c r="BM840" s="54">
        <f t="shared" ca="1" si="511"/>
        <v>46283</v>
      </c>
      <c r="BN840" s="66">
        <v>46280</v>
      </c>
      <c r="BO840" s="117">
        <v>46293</v>
      </c>
      <c r="BP840" s="39"/>
      <c r="BQ840" s="39"/>
      <c r="BR840" s="39"/>
      <c r="BS840" s="39"/>
      <c r="BT840" s="39"/>
      <c r="BU840" s="39"/>
      <c r="BV840" s="39"/>
      <c r="BW840" s="39"/>
      <c r="BX840" s="39"/>
      <c r="BY840" s="39"/>
      <c r="BZ840" s="39">
        <f t="shared" si="485"/>
        <v>0</v>
      </c>
      <c r="CA840" s="39">
        <f t="shared" si="512"/>
        <v>-160</v>
      </c>
      <c r="CB840" s="39">
        <f t="shared" si="513"/>
        <v>0</v>
      </c>
      <c r="CC840" s="39">
        <f t="shared" si="514"/>
        <v>0</v>
      </c>
      <c r="CD840" s="39">
        <f t="shared" si="515"/>
        <v>-160</v>
      </c>
      <c r="CE840" s="102">
        <f t="shared" si="516"/>
        <v>-1</v>
      </c>
      <c r="CF840" s="36" t="s">
        <v>295</v>
      </c>
      <c r="CG840" s="39" t="s">
        <v>224</v>
      </c>
      <c r="CH840" s="39"/>
      <c r="CI840" s="25">
        <v>2</v>
      </c>
    </row>
    <row r="841" spans="1:87" ht="24.75" customHeight="1">
      <c r="A841" s="36" t="s">
        <v>388</v>
      </c>
      <c r="B841" s="27">
        <v>48637</v>
      </c>
      <c r="C841" s="227">
        <v>15392804</v>
      </c>
      <c r="D841" s="36"/>
      <c r="E841" s="39">
        <v>240</v>
      </c>
      <c r="F841" s="39" t="s">
        <v>53</v>
      </c>
      <c r="G841" s="36" t="s">
        <v>2729</v>
      </c>
      <c r="H841" s="36" t="s">
        <v>355</v>
      </c>
      <c r="I841" s="39">
        <v>330</v>
      </c>
      <c r="J841" s="39">
        <v>95</v>
      </c>
      <c r="K841" s="39"/>
      <c r="L841" s="39">
        <f t="shared" si="517"/>
        <v>425</v>
      </c>
      <c r="M841" s="117">
        <v>46268</v>
      </c>
      <c r="N841" s="117">
        <v>46274</v>
      </c>
      <c r="O841" s="39"/>
      <c r="P841" s="39"/>
      <c r="Q841" s="39"/>
      <c r="R841" s="39">
        <f t="shared" si="505"/>
        <v>0</v>
      </c>
      <c r="S841" s="39" t="s">
        <v>31</v>
      </c>
      <c r="T841" s="39"/>
      <c r="U841" s="39"/>
      <c r="V841" s="117">
        <v>46277</v>
      </c>
      <c r="W841" s="39">
        <f>364+110</f>
        <v>474</v>
      </c>
      <c r="X841" s="39"/>
      <c r="Y841" s="39"/>
      <c r="Z841" s="39"/>
      <c r="AA841" s="39"/>
      <c r="AB841" s="118">
        <f t="shared" si="506"/>
        <v>0</v>
      </c>
      <c r="AC841" s="39"/>
      <c r="AD841" s="39"/>
      <c r="AE841" s="39"/>
      <c r="AF841" s="39"/>
      <c r="AG841" s="39"/>
      <c r="AH841" s="39">
        <f t="shared" si="483"/>
        <v>0</v>
      </c>
      <c r="AI841" s="39"/>
      <c r="AJ841" s="39"/>
      <c r="AK841" s="39"/>
      <c r="AL841" s="39"/>
      <c r="AM841" s="39"/>
      <c r="AN841" s="39">
        <f t="shared" si="507"/>
        <v>0</v>
      </c>
      <c r="AO841" s="39"/>
      <c r="AP841" s="39"/>
      <c r="AQ841" s="39"/>
      <c r="AR841" s="39"/>
      <c r="AS841" s="39"/>
      <c r="AT841" s="39">
        <f t="shared" si="508"/>
        <v>0</v>
      </c>
      <c r="AU841" s="39"/>
      <c r="AV841" s="39"/>
      <c r="AW841" s="39"/>
      <c r="AX841" s="39"/>
      <c r="AY841" s="39"/>
      <c r="AZ841" s="39">
        <f t="shared" si="509"/>
        <v>0</v>
      </c>
      <c r="BA841" s="39"/>
      <c r="BB841" s="39"/>
      <c r="BC841" s="39"/>
      <c r="BD841" s="39"/>
      <c r="BE841" s="39"/>
      <c r="BF841" s="39">
        <f t="shared" si="510"/>
        <v>0</v>
      </c>
      <c r="BG841" s="39"/>
      <c r="BH841" s="39"/>
      <c r="BI841" s="39"/>
      <c r="BJ841" s="39"/>
      <c r="BK841" s="39"/>
      <c r="BL841" s="39">
        <f t="shared" si="484"/>
        <v>0</v>
      </c>
      <c r="BM841" s="54">
        <f t="shared" ca="1" si="511"/>
        <v>46283</v>
      </c>
      <c r="BN841" s="66">
        <v>46276</v>
      </c>
      <c r="BO841" s="117">
        <v>46291</v>
      </c>
      <c r="BP841" s="39"/>
      <c r="BQ841" s="39"/>
      <c r="BR841" s="39"/>
      <c r="BS841" s="39"/>
      <c r="BT841" s="39"/>
      <c r="BU841" s="39"/>
      <c r="BV841" s="39"/>
      <c r="BW841" s="39"/>
      <c r="BX841" s="39"/>
      <c r="BY841" s="39"/>
      <c r="BZ841" s="39">
        <f t="shared" si="485"/>
        <v>0</v>
      </c>
      <c r="CA841" s="39">
        <f t="shared" si="512"/>
        <v>-330</v>
      </c>
      <c r="CB841" s="39">
        <f t="shared" si="513"/>
        <v>-95</v>
      </c>
      <c r="CC841" s="39">
        <f t="shared" si="514"/>
        <v>0</v>
      </c>
      <c r="CD841" s="39">
        <f t="shared" si="515"/>
        <v>-425</v>
      </c>
      <c r="CE841" s="102">
        <f t="shared" si="516"/>
        <v>-1</v>
      </c>
      <c r="CF841" s="36" t="s">
        <v>295</v>
      </c>
      <c r="CG841" s="39" t="s">
        <v>224</v>
      </c>
      <c r="CH841" s="39"/>
      <c r="CI841" s="25">
        <v>2</v>
      </c>
    </row>
    <row r="842" spans="1:87" ht="24.75" customHeight="1">
      <c r="A842" s="36" t="s">
        <v>388</v>
      </c>
      <c r="B842" s="27">
        <v>48637</v>
      </c>
      <c r="C842" s="231"/>
      <c r="D842" s="36"/>
      <c r="E842" s="39">
        <v>240</v>
      </c>
      <c r="F842" s="39" t="s">
        <v>53</v>
      </c>
      <c r="G842" s="36" t="s">
        <v>324</v>
      </c>
      <c r="H842" s="36" t="s">
        <v>355</v>
      </c>
      <c r="I842" s="39">
        <v>710</v>
      </c>
      <c r="J842" s="39">
        <v>140</v>
      </c>
      <c r="K842" s="39"/>
      <c r="L842" s="39">
        <f t="shared" si="517"/>
        <v>850</v>
      </c>
      <c r="M842" s="117">
        <v>46268</v>
      </c>
      <c r="N842" s="117">
        <v>46274</v>
      </c>
      <c r="O842" s="39"/>
      <c r="P842" s="39"/>
      <c r="Q842" s="39"/>
      <c r="R842" s="39">
        <f t="shared" si="505"/>
        <v>0</v>
      </c>
      <c r="S842" s="39" t="s">
        <v>100</v>
      </c>
      <c r="T842" s="39">
        <v>109467</v>
      </c>
      <c r="U842" s="117">
        <v>46281</v>
      </c>
      <c r="V842" s="39"/>
      <c r="W842" s="39"/>
      <c r="X842" s="39"/>
      <c r="Y842" s="39">
        <v>760</v>
      </c>
      <c r="Z842" s="39">
        <v>165</v>
      </c>
      <c r="AA842" s="39"/>
      <c r="AB842" s="119">
        <f t="shared" si="506"/>
        <v>925</v>
      </c>
      <c r="AC842" s="39"/>
      <c r="AD842" s="39"/>
      <c r="AE842" s="39"/>
      <c r="AF842" s="39"/>
      <c r="AG842" s="39"/>
      <c r="AH842" s="39">
        <f t="shared" si="483"/>
        <v>0</v>
      </c>
      <c r="AI842" s="39"/>
      <c r="AJ842" s="39"/>
      <c r="AK842" s="39"/>
      <c r="AL842" s="39"/>
      <c r="AM842" s="39"/>
      <c r="AN842" s="39">
        <f t="shared" si="507"/>
        <v>0</v>
      </c>
      <c r="AO842" s="39"/>
      <c r="AP842" s="39"/>
      <c r="AQ842" s="39"/>
      <c r="AR842" s="39"/>
      <c r="AS842" s="39"/>
      <c r="AT842" s="39">
        <f t="shared" si="508"/>
        <v>0</v>
      </c>
      <c r="AU842" s="39"/>
      <c r="AV842" s="39"/>
      <c r="AW842" s="39"/>
      <c r="AX842" s="39"/>
      <c r="AY842" s="39"/>
      <c r="AZ842" s="39">
        <f t="shared" si="509"/>
        <v>0</v>
      </c>
      <c r="BA842" s="39"/>
      <c r="BB842" s="39"/>
      <c r="BC842" s="39"/>
      <c r="BD842" s="39"/>
      <c r="BE842" s="39"/>
      <c r="BF842" s="39">
        <f t="shared" si="510"/>
        <v>0</v>
      </c>
      <c r="BG842" s="39"/>
      <c r="BH842" s="39"/>
      <c r="BI842" s="39"/>
      <c r="BJ842" s="39"/>
      <c r="BK842" s="39"/>
      <c r="BL842" s="39">
        <f t="shared" si="484"/>
        <v>0</v>
      </c>
      <c r="BM842" s="54">
        <f t="shared" ca="1" si="511"/>
        <v>2</v>
      </c>
      <c r="BN842" s="66">
        <v>46276</v>
      </c>
      <c r="BO842" s="117">
        <v>46291</v>
      </c>
      <c r="BP842" s="39"/>
      <c r="BQ842" s="39"/>
      <c r="BR842" s="39"/>
      <c r="BS842" s="39"/>
      <c r="BT842" s="39"/>
      <c r="BU842" s="39"/>
      <c r="BV842" s="39"/>
      <c r="BW842" s="39"/>
      <c r="BX842" s="39"/>
      <c r="BY842" s="39"/>
      <c r="BZ842" s="39">
        <f t="shared" si="485"/>
        <v>0</v>
      </c>
      <c r="CA842" s="39">
        <f t="shared" si="512"/>
        <v>-710</v>
      </c>
      <c r="CB842" s="39">
        <f t="shared" si="513"/>
        <v>-140</v>
      </c>
      <c r="CC842" s="39">
        <f t="shared" si="514"/>
        <v>0</v>
      </c>
      <c r="CD842" s="39">
        <f t="shared" si="515"/>
        <v>-850</v>
      </c>
      <c r="CE842" s="102">
        <f t="shared" si="516"/>
        <v>-1</v>
      </c>
      <c r="CF842" s="36" t="s">
        <v>295</v>
      </c>
      <c r="CG842" s="39" t="s">
        <v>224</v>
      </c>
      <c r="CH842" s="39"/>
      <c r="CI842" s="25">
        <v>2</v>
      </c>
    </row>
    <row r="843" spans="1:87" ht="24.75" customHeight="1">
      <c r="A843" s="36" t="s">
        <v>388</v>
      </c>
      <c r="B843" s="27">
        <v>48637</v>
      </c>
      <c r="C843" s="228"/>
      <c r="D843" s="36"/>
      <c r="E843" s="39"/>
      <c r="F843" s="39"/>
      <c r="G843" s="36" t="s">
        <v>198</v>
      </c>
      <c r="H843" s="36">
        <f>300+650</f>
        <v>950</v>
      </c>
      <c r="I843" s="39" t="s">
        <v>90</v>
      </c>
      <c r="J843" s="39"/>
      <c r="K843" s="39"/>
      <c r="L843" s="39">
        <f t="shared" si="517"/>
        <v>0</v>
      </c>
      <c r="M843" s="117">
        <v>46268</v>
      </c>
      <c r="N843" s="117">
        <v>46274</v>
      </c>
      <c r="O843" s="39"/>
      <c r="P843" s="39"/>
      <c r="Q843" s="39"/>
      <c r="R843" s="39">
        <f t="shared" si="505"/>
        <v>0</v>
      </c>
      <c r="S843" s="39" t="s">
        <v>130</v>
      </c>
      <c r="T843" s="39">
        <v>109467</v>
      </c>
      <c r="U843" s="117">
        <v>46281</v>
      </c>
      <c r="V843" s="117">
        <v>46277</v>
      </c>
      <c r="W843" s="39">
        <v>1</v>
      </c>
      <c r="X843" s="39"/>
      <c r="Y843" s="39">
        <f>3</f>
        <v>3</v>
      </c>
      <c r="Z843" s="39"/>
      <c r="AA843" s="39"/>
      <c r="AB843" s="39">
        <f t="shared" si="506"/>
        <v>3</v>
      </c>
      <c r="AC843" s="39"/>
      <c r="AD843" s="39"/>
      <c r="AE843" s="39"/>
      <c r="AF843" s="39"/>
      <c r="AG843" s="39"/>
      <c r="AH843" s="39">
        <f t="shared" si="483"/>
        <v>0</v>
      </c>
      <c r="AI843" s="39"/>
      <c r="AJ843" s="39"/>
      <c r="AK843" s="39"/>
      <c r="AL843" s="39"/>
      <c r="AM843" s="39"/>
      <c r="AN843" s="39">
        <f t="shared" si="507"/>
        <v>0</v>
      </c>
      <c r="AO843" s="39"/>
      <c r="AP843" s="39"/>
      <c r="AQ843" s="39"/>
      <c r="AR843" s="39"/>
      <c r="AS843" s="39"/>
      <c r="AT843" s="39">
        <f t="shared" si="508"/>
        <v>0</v>
      </c>
      <c r="AU843" s="39"/>
      <c r="AV843" s="39"/>
      <c r="AW843" s="39"/>
      <c r="AX843" s="39"/>
      <c r="AY843" s="39"/>
      <c r="AZ843" s="39">
        <f t="shared" si="509"/>
        <v>0</v>
      </c>
      <c r="BA843" s="39"/>
      <c r="BB843" s="39"/>
      <c r="BC843" s="39"/>
      <c r="BD843" s="39"/>
      <c r="BE843" s="39"/>
      <c r="BF843" s="39">
        <f t="shared" si="510"/>
        <v>0</v>
      </c>
      <c r="BG843" s="39"/>
      <c r="BH843" s="39"/>
      <c r="BI843" s="39"/>
      <c r="BJ843" s="39"/>
      <c r="BK843" s="39"/>
      <c r="BL843" s="39">
        <f t="shared" si="484"/>
        <v>0</v>
      </c>
      <c r="BM843" s="54" t="e">
        <f t="shared" si="511"/>
        <v>#DIV/0!</v>
      </c>
      <c r="BN843" s="66">
        <v>46276</v>
      </c>
      <c r="BO843" s="117">
        <v>46291</v>
      </c>
      <c r="BP843" s="39"/>
      <c r="BQ843" s="39"/>
      <c r="BR843" s="39"/>
      <c r="BS843" s="39"/>
      <c r="BT843" s="39"/>
      <c r="BU843" s="39"/>
      <c r="BV843" s="39"/>
      <c r="BW843" s="39"/>
      <c r="BX843" s="39"/>
      <c r="BY843" s="39"/>
      <c r="BZ843" s="39">
        <f t="shared" si="485"/>
        <v>0</v>
      </c>
      <c r="CA843" s="39" t="e">
        <f t="shared" si="512"/>
        <v>#VALUE!</v>
      </c>
      <c r="CB843" s="39">
        <f t="shared" si="513"/>
        <v>0</v>
      </c>
      <c r="CC843" s="39">
        <f t="shared" si="514"/>
        <v>0</v>
      </c>
      <c r="CD843" s="39">
        <f t="shared" si="515"/>
        <v>0</v>
      </c>
      <c r="CE843" s="102" t="e">
        <f t="shared" si="516"/>
        <v>#DIV/0!</v>
      </c>
      <c r="CF843" s="36" t="s">
        <v>295</v>
      </c>
      <c r="CG843" s="39" t="s">
        <v>224</v>
      </c>
      <c r="CH843" s="39"/>
      <c r="CI843" s="25">
        <v>2</v>
      </c>
    </row>
    <row r="844" spans="1:87" ht="24.75" customHeight="1">
      <c r="A844" s="36" t="s">
        <v>388</v>
      </c>
      <c r="B844" s="27" t="s">
        <v>2760</v>
      </c>
      <c r="C844" s="253">
        <v>15323159</v>
      </c>
      <c r="D844" s="36"/>
      <c r="E844" s="39">
        <v>230</v>
      </c>
      <c r="F844" s="39" t="s">
        <v>53</v>
      </c>
      <c r="G844" s="36" t="s">
        <v>47</v>
      </c>
      <c r="H844" s="36" t="s">
        <v>96</v>
      </c>
      <c r="I844" s="39">
        <v>1214</v>
      </c>
      <c r="J844" s="39"/>
      <c r="K844" s="39"/>
      <c r="L844" s="39">
        <f t="shared" ref="L844:L849" si="518">SUM(I844:K844)</f>
        <v>1214</v>
      </c>
      <c r="M844" s="117">
        <v>46270</v>
      </c>
      <c r="N844" s="117">
        <v>46277</v>
      </c>
      <c r="O844" s="39"/>
      <c r="P844" s="39"/>
      <c r="Q844" s="39"/>
      <c r="R844" s="39">
        <f t="shared" si="505"/>
        <v>0</v>
      </c>
      <c r="S844" s="39" t="s">
        <v>130</v>
      </c>
      <c r="T844" s="39"/>
      <c r="U844" s="39"/>
      <c r="V844" s="39"/>
      <c r="W844" s="39"/>
      <c r="X844" s="39"/>
      <c r="Y844" s="39"/>
      <c r="Z844" s="39"/>
      <c r="AA844" s="39"/>
      <c r="AB844" s="118">
        <f t="shared" si="506"/>
        <v>0</v>
      </c>
      <c r="AC844" s="39"/>
      <c r="AD844" s="39"/>
      <c r="AE844" s="39"/>
      <c r="AF844" s="39"/>
      <c r="AG844" s="39"/>
      <c r="AH844" s="39">
        <f t="shared" si="483"/>
        <v>0</v>
      </c>
      <c r="AI844" s="39"/>
      <c r="AJ844" s="39"/>
      <c r="AK844" s="39"/>
      <c r="AL844" s="39"/>
      <c r="AM844" s="39"/>
      <c r="AN844" s="39">
        <f t="shared" si="507"/>
        <v>0</v>
      </c>
      <c r="AO844" s="39"/>
      <c r="AP844" s="39"/>
      <c r="AQ844" s="39"/>
      <c r="AR844" s="39"/>
      <c r="AS844" s="39"/>
      <c r="AT844" s="39">
        <f t="shared" si="508"/>
        <v>0</v>
      </c>
      <c r="AU844" s="39"/>
      <c r="AV844" s="39"/>
      <c r="AW844" s="39"/>
      <c r="AX844" s="39"/>
      <c r="AY844" s="39"/>
      <c r="AZ844" s="39">
        <f t="shared" si="509"/>
        <v>0</v>
      </c>
      <c r="BA844" s="39"/>
      <c r="BB844" s="39"/>
      <c r="BC844" s="39"/>
      <c r="BD844" s="39"/>
      <c r="BE844" s="39"/>
      <c r="BF844" s="39">
        <f t="shared" si="510"/>
        <v>0</v>
      </c>
      <c r="BG844" s="39"/>
      <c r="BH844" s="39"/>
      <c r="BI844" s="39"/>
      <c r="BJ844" s="39"/>
      <c r="BK844" s="39"/>
      <c r="BL844" s="39">
        <f t="shared" si="484"/>
        <v>0</v>
      </c>
      <c r="BM844" s="54">
        <f t="shared" ca="1" si="511"/>
        <v>46283</v>
      </c>
      <c r="BN844" s="66">
        <v>46277</v>
      </c>
      <c r="BO844" s="117">
        <v>46287</v>
      </c>
      <c r="BP844" s="39"/>
      <c r="BQ844" s="39"/>
      <c r="BR844" s="39"/>
      <c r="BS844" s="39"/>
      <c r="BT844" s="39"/>
      <c r="BU844" s="39"/>
      <c r="BV844" s="39"/>
      <c r="BW844" s="39"/>
      <c r="BX844" s="39"/>
      <c r="BY844" s="39"/>
      <c r="BZ844" s="39">
        <f t="shared" si="485"/>
        <v>0</v>
      </c>
      <c r="CA844" s="39">
        <f t="shared" si="512"/>
        <v>-1214</v>
      </c>
      <c r="CB844" s="39">
        <f t="shared" si="513"/>
        <v>0</v>
      </c>
      <c r="CC844" s="39">
        <f t="shared" si="514"/>
        <v>0</v>
      </c>
      <c r="CD844" s="39">
        <f t="shared" si="515"/>
        <v>-1214</v>
      </c>
      <c r="CE844" s="102">
        <f t="shared" si="516"/>
        <v>-1</v>
      </c>
      <c r="CF844" s="36" t="s">
        <v>252</v>
      </c>
      <c r="CG844" s="39" t="s">
        <v>223</v>
      </c>
      <c r="CH844" s="39"/>
      <c r="CI844" s="25">
        <v>2</v>
      </c>
    </row>
    <row r="845" spans="1:87" ht="24.75" customHeight="1">
      <c r="A845" s="36" t="s">
        <v>388</v>
      </c>
      <c r="B845" s="27" t="s">
        <v>2760</v>
      </c>
      <c r="C845" s="254"/>
      <c r="D845" s="36"/>
      <c r="E845" s="39">
        <v>230</v>
      </c>
      <c r="F845" s="39" t="s">
        <v>53</v>
      </c>
      <c r="G845" s="36" t="s">
        <v>23</v>
      </c>
      <c r="H845" s="36" t="s">
        <v>96</v>
      </c>
      <c r="I845" s="39">
        <v>1455</v>
      </c>
      <c r="J845" s="39"/>
      <c r="K845" s="39"/>
      <c r="L845" s="39">
        <f t="shared" si="518"/>
        <v>1455</v>
      </c>
      <c r="M845" s="117">
        <v>46270</v>
      </c>
      <c r="N845" s="117">
        <v>46277</v>
      </c>
      <c r="O845" s="39"/>
      <c r="P845" s="39"/>
      <c r="Q845" s="39"/>
      <c r="R845" s="39">
        <f t="shared" si="505"/>
        <v>0</v>
      </c>
      <c r="S845" s="39" t="s">
        <v>100</v>
      </c>
      <c r="T845" s="39"/>
      <c r="U845" s="39"/>
      <c r="V845" s="39"/>
      <c r="W845" s="39"/>
      <c r="X845" s="39"/>
      <c r="Y845" s="39"/>
      <c r="Z845" s="39"/>
      <c r="AA845" s="39"/>
      <c r="AB845" s="118">
        <f t="shared" si="506"/>
        <v>0</v>
      </c>
      <c r="AC845" s="39"/>
      <c r="AD845" s="39"/>
      <c r="AE845" s="39"/>
      <c r="AF845" s="39"/>
      <c r="AG845" s="39"/>
      <c r="AH845" s="39">
        <f t="shared" si="483"/>
        <v>0</v>
      </c>
      <c r="AI845" s="39"/>
      <c r="AJ845" s="39"/>
      <c r="AK845" s="39"/>
      <c r="AL845" s="39"/>
      <c r="AM845" s="39"/>
      <c r="AN845" s="39">
        <f t="shared" si="507"/>
        <v>0</v>
      </c>
      <c r="AO845" s="39"/>
      <c r="AP845" s="39"/>
      <c r="AQ845" s="39"/>
      <c r="AR845" s="39"/>
      <c r="AS845" s="39"/>
      <c r="AT845" s="39">
        <f t="shared" si="508"/>
        <v>0</v>
      </c>
      <c r="AU845" s="39"/>
      <c r="AV845" s="39"/>
      <c r="AW845" s="39"/>
      <c r="AX845" s="39"/>
      <c r="AY845" s="39"/>
      <c r="AZ845" s="39">
        <f t="shared" si="509"/>
        <v>0</v>
      </c>
      <c r="BA845" s="39"/>
      <c r="BB845" s="39"/>
      <c r="BC845" s="39"/>
      <c r="BD845" s="39"/>
      <c r="BE845" s="39"/>
      <c r="BF845" s="39">
        <f t="shared" si="510"/>
        <v>0</v>
      </c>
      <c r="BG845" s="39"/>
      <c r="BH845" s="39"/>
      <c r="BI845" s="39"/>
      <c r="BJ845" s="39"/>
      <c r="BK845" s="39"/>
      <c r="BL845" s="39">
        <f t="shared" si="484"/>
        <v>0</v>
      </c>
      <c r="BM845" s="54">
        <f t="shared" ca="1" si="511"/>
        <v>46283</v>
      </c>
      <c r="BN845" s="66">
        <v>46277</v>
      </c>
      <c r="BO845" s="117">
        <v>46287</v>
      </c>
      <c r="BP845" s="39"/>
      <c r="BQ845" s="39"/>
      <c r="BR845" s="39"/>
      <c r="BS845" s="39"/>
      <c r="BT845" s="39"/>
      <c r="BU845" s="39"/>
      <c r="BV845" s="39"/>
      <c r="BW845" s="39"/>
      <c r="BX845" s="39"/>
      <c r="BY845" s="39"/>
      <c r="BZ845" s="39">
        <f t="shared" si="485"/>
        <v>0</v>
      </c>
      <c r="CA845" s="39">
        <f t="shared" si="512"/>
        <v>-1455</v>
      </c>
      <c r="CB845" s="39">
        <f t="shared" si="513"/>
        <v>0</v>
      </c>
      <c r="CC845" s="39">
        <f t="shared" si="514"/>
        <v>0</v>
      </c>
      <c r="CD845" s="39">
        <f t="shared" si="515"/>
        <v>-1455</v>
      </c>
      <c r="CE845" s="102">
        <f t="shared" si="516"/>
        <v>-1</v>
      </c>
      <c r="CF845" s="36" t="s">
        <v>252</v>
      </c>
      <c r="CG845" s="39" t="s">
        <v>223</v>
      </c>
      <c r="CH845" s="39"/>
      <c r="CI845" s="25">
        <v>2</v>
      </c>
    </row>
    <row r="846" spans="1:87" ht="24.75" customHeight="1">
      <c r="A846" s="36" t="s">
        <v>388</v>
      </c>
      <c r="B846" s="27">
        <v>48182</v>
      </c>
      <c r="C846" s="227" t="s">
        <v>2798</v>
      </c>
      <c r="D846" s="36"/>
      <c r="E846" s="39">
        <v>300</v>
      </c>
      <c r="F846" s="39" t="s">
        <v>58</v>
      </c>
      <c r="G846" s="36" t="s">
        <v>23</v>
      </c>
      <c r="H846" s="36" t="s">
        <v>1304</v>
      </c>
      <c r="I846" s="39">
        <f>775+110</f>
        <v>885</v>
      </c>
      <c r="J846" s="39"/>
      <c r="K846" s="39"/>
      <c r="L846" s="39">
        <f t="shared" si="518"/>
        <v>885</v>
      </c>
      <c r="M846" s="117">
        <v>46270</v>
      </c>
      <c r="N846" s="117">
        <v>46277</v>
      </c>
      <c r="O846" s="39"/>
      <c r="P846" s="39"/>
      <c r="Q846" s="39"/>
      <c r="R846" s="39">
        <f t="shared" si="505"/>
        <v>0</v>
      </c>
      <c r="S846" s="39" t="s">
        <v>130</v>
      </c>
      <c r="T846" s="39"/>
      <c r="U846" s="39"/>
      <c r="V846" s="39"/>
      <c r="W846" s="39"/>
      <c r="X846" s="39"/>
      <c r="Y846" s="39"/>
      <c r="Z846" s="39"/>
      <c r="AA846" s="39"/>
      <c r="AB846" s="118">
        <f t="shared" si="506"/>
        <v>0</v>
      </c>
      <c r="AC846" s="39"/>
      <c r="AD846" s="39"/>
      <c r="AE846" s="39"/>
      <c r="AF846" s="39"/>
      <c r="AG846" s="39"/>
      <c r="AH846" s="39">
        <f t="shared" si="483"/>
        <v>0</v>
      </c>
      <c r="AI846" s="39"/>
      <c r="AJ846" s="39"/>
      <c r="AK846" s="39"/>
      <c r="AL846" s="39"/>
      <c r="AM846" s="39"/>
      <c r="AN846" s="39">
        <f t="shared" si="507"/>
        <v>0</v>
      </c>
      <c r="AO846" s="39"/>
      <c r="AP846" s="39"/>
      <c r="AQ846" s="39"/>
      <c r="AR846" s="39"/>
      <c r="AS846" s="39"/>
      <c r="AT846" s="39">
        <f t="shared" si="508"/>
        <v>0</v>
      </c>
      <c r="AU846" s="39"/>
      <c r="AV846" s="39"/>
      <c r="AW846" s="39"/>
      <c r="AX846" s="39"/>
      <c r="AY846" s="39"/>
      <c r="AZ846" s="39">
        <f t="shared" si="509"/>
        <v>0</v>
      </c>
      <c r="BA846" s="39"/>
      <c r="BB846" s="39"/>
      <c r="BC846" s="39"/>
      <c r="BD846" s="39"/>
      <c r="BE846" s="39"/>
      <c r="BF846" s="39">
        <f t="shared" si="510"/>
        <v>0</v>
      </c>
      <c r="BG846" s="39"/>
      <c r="BH846" s="39"/>
      <c r="BI846" s="39"/>
      <c r="BJ846" s="39"/>
      <c r="BK846" s="39"/>
      <c r="BL846" s="39">
        <f t="shared" si="484"/>
        <v>0</v>
      </c>
      <c r="BM846" s="54">
        <f t="shared" ca="1" si="511"/>
        <v>46283</v>
      </c>
      <c r="BN846" s="66">
        <v>46280</v>
      </c>
      <c r="BO846" s="117">
        <v>46291</v>
      </c>
      <c r="BP846" s="39"/>
      <c r="BQ846" s="39"/>
      <c r="BR846" s="36"/>
      <c r="BS846" s="36"/>
      <c r="BT846" s="39"/>
      <c r="BU846" s="39"/>
      <c r="BV846" s="39"/>
      <c r="BW846" s="39"/>
      <c r="BX846" s="39"/>
      <c r="BY846" s="39"/>
      <c r="BZ846" s="39">
        <f t="shared" si="485"/>
        <v>0</v>
      </c>
      <c r="CA846" s="39">
        <f t="shared" si="512"/>
        <v>-885</v>
      </c>
      <c r="CB846" s="39">
        <f t="shared" si="513"/>
        <v>0</v>
      </c>
      <c r="CC846" s="39">
        <f t="shared" si="514"/>
        <v>0</v>
      </c>
      <c r="CD846" s="39">
        <f t="shared" si="515"/>
        <v>-885</v>
      </c>
      <c r="CE846" s="102">
        <f t="shared" si="516"/>
        <v>-1</v>
      </c>
      <c r="CF846" s="36" t="s">
        <v>295</v>
      </c>
      <c r="CG846" s="39" t="s">
        <v>224</v>
      </c>
      <c r="CH846" s="39"/>
      <c r="CI846" s="25">
        <v>2</v>
      </c>
    </row>
    <row r="847" spans="1:87" ht="24.75" customHeight="1">
      <c r="A847" s="36" t="s">
        <v>388</v>
      </c>
      <c r="B847" s="27">
        <v>48182</v>
      </c>
      <c r="C847" s="228"/>
      <c r="D847" s="36"/>
      <c r="E847" s="39">
        <v>300</v>
      </c>
      <c r="F847" s="39" t="s">
        <v>58</v>
      </c>
      <c r="G847" s="36" t="s">
        <v>354</v>
      </c>
      <c r="H847" s="36" t="s">
        <v>1304</v>
      </c>
      <c r="I847" s="39">
        <f>395+55</f>
        <v>450</v>
      </c>
      <c r="J847" s="39"/>
      <c r="K847" s="39"/>
      <c r="L847" s="39">
        <f t="shared" si="518"/>
        <v>450</v>
      </c>
      <c r="M847" s="117">
        <v>46270</v>
      </c>
      <c r="N847" s="117">
        <v>46277</v>
      </c>
      <c r="O847" s="39"/>
      <c r="P847" s="39"/>
      <c r="Q847" s="39"/>
      <c r="R847" s="39">
        <f t="shared" si="505"/>
        <v>0</v>
      </c>
      <c r="S847" s="39" t="s">
        <v>130</v>
      </c>
      <c r="T847" s="39" t="s">
        <v>3083</v>
      </c>
      <c r="U847" s="117">
        <v>46281</v>
      </c>
      <c r="V847" s="39"/>
      <c r="W847" s="39"/>
      <c r="X847" s="39"/>
      <c r="Y847" s="39">
        <f>83+147+92+112+61</f>
        <v>495</v>
      </c>
      <c r="Z847" s="39"/>
      <c r="AA847" s="39"/>
      <c r="AB847" s="119">
        <f t="shared" si="506"/>
        <v>495</v>
      </c>
      <c r="AC847" s="39"/>
      <c r="AD847" s="39"/>
      <c r="AE847" s="39"/>
      <c r="AF847" s="39"/>
      <c r="AG847" s="39"/>
      <c r="AH847" s="39">
        <f t="shared" si="483"/>
        <v>0</v>
      </c>
      <c r="AI847" s="39"/>
      <c r="AJ847" s="39"/>
      <c r="AK847" s="39"/>
      <c r="AL847" s="39"/>
      <c r="AM847" s="39"/>
      <c r="AN847" s="39">
        <f t="shared" si="507"/>
        <v>0</v>
      </c>
      <c r="AO847" s="39"/>
      <c r="AP847" s="39"/>
      <c r="AQ847" s="39"/>
      <c r="AR847" s="39"/>
      <c r="AS847" s="39"/>
      <c r="AT847" s="39">
        <f t="shared" si="508"/>
        <v>0</v>
      </c>
      <c r="AU847" s="39"/>
      <c r="AV847" s="39"/>
      <c r="AW847" s="39"/>
      <c r="AX847" s="39"/>
      <c r="AY847" s="39"/>
      <c r="AZ847" s="39">
        <f t="shared" si="509"/>
        <v>0</v>
      </c>
      <c r="BA847" s="39"/>
      <c r="BB847" s="39"/>
      <c r="BC847" s="39"/>
      <c r="BD847" s="39"/>
      <c r="BE847" s="39"/>
      <c r="BF847" s="39">
        <f t="shared" si="510"/>
        <v>0</v>
      </c>
      <c r="BG847" s="39"/>
      <c r="BH847" s="39"/>
      <c r="BI847" s="39"/>
      <c r="BJ847" s="39"/>
      <c r="BK847" s="39"/>
      <c r="BL847" s="39">
        <f t="shared" si="484"/>
        <v>0</v>
      </c>
      <c r="BM847" s="54">
        <f t="shared" ca="1" si="511"/>
        <v>2</v>
      </c>
      <c r="BN847" s="66">
        <v>46280</v>
      </c>
      <c r="BO847" s="117">
        <v>46291</v>
      </c>
      <c r="BP847" s="39"/>
      <c r="BQ847" s="39"/>
      <c r="BR847" s="36"/>
      <c r="BS847" s="36"/>
      <c r="BT847" s="39"/>
      <c r="BU847" s="39"/>
      <c r="BV847" s="39"/>
      <c r="BW847" s="39"/>
      <c r="BX847" s="39"/>
      <c r="BY847" s="39"/>
      <c r="BZ847" s="39">
        <f t="shared" si="485"/>
        <v>0</v>
      </c>
      <c r="CA847" s="39">
        <f t="shared" si="512"/>
        <v>-450</v>
      </c>
      <c r="CB847" s="39">
        <f t="shared" si="513"/>
        <v>0</v>
      </c>
      <c r="CC847" s="39">
        <f t="shared" si="514"/>
        <v>0</v>
      </c>
      <c r="CD847" s="39">
        <f t="shared" si="515"/>
        <v>-450</v>
      </c>
      <c r="CE847" s="102">
        <f t="shared" si="516"/>
        <v>-1</v>
      </c>
      <c r="CF847" s="36" t="s">
        <v>295</v>
      </c>
      <c r="CG847" s="39" t="s">
        <v>224</v>
      </c>
      <c r="CH847" s="39"/>
      <c r="CI847" s="25">
        <v>2</v>
      </c>
    </row>
    <row r="848" spans="1:87" ht="24.75" customHeight="1">
      <c r="A848" s="36" t="s">
        <v>388</v>
      </c>
      <c r="B848" s="27" t="s">
        <v>2801</v>
      </c>
      <c r="C848" s="253">
        <v>15384474</v>
      </c>
      <c r="D848" s="36"/>
      <c r="E848" s="39">
        <v>220</v>
      </c>
      <c r="F848" s="39" t="s">
        <v>60</v>
      </c>
      <c r="G848" s="36" t="s">
        <v>47</v>
      </c>
      <c r="H848" s="36" t="s">
        <v>89</v>
      </c>
      <c r="I848" s="39">
        <v>94</v>
      </c>
      <c r="J848" s="39"/>
      <c r="K848" s="39"/>
      <c r="L848" s="39">
        <f t="shared" si="518"/>
        <v>94</v>
      </c>
      <c r="M848" s="117">
        <v>46272</v>
      </c>
      <c r="N848" s="117">
        <v>46275</v>
      </c>
      <c r="O848" s="39"/>
      <c r="P848" s="39"/>
      <c r="Q848" s="39"/>
      <c r="R848" s="39">
        <f t="shared" si="505"/>
        <v>0</v>
      </c>
      <c r="S848" s="39" t="s">
        <v>130</v>
      </c>
      <c r="T848" s="39"/>
      <c r="U848" s="39"/>
      <c r="V848" s="39"/>
      <c r="W848" s="39"/>
      <c r="X848" s="39"/>
      <c r="Y848" s="39"/>
      <c r="Z848" s="39"/>
      <c r="AA848" s="39"/>
      <c r="AB848" s="118">
        <f t="shared" si="506"/>
        <v>0</v>
      </c>
      <c r="AC848" s="39"/>
      <c r="AD848" s="39"/>
      <c r="AE848" s="39"/>
      <c r="AF848" s="39"/>
      <c r="AG848" s="39"/>
      <c r="AH848" s="39">
        <f t="shared" si="483"/>
        <v>0</v>
      </c>
      <c r="AI848" s="39"/>
      <c r="AJ848" s="39"/>
      <c r="AK848" s="39"/>
      <c r="AL848" s="39"/>
      <c r="AM848" s="39"/>
      <c r="AN848" s="39">
        <f t="shared" si="507"/>
        <v>0</v>
      </c>
      <c r="AO848" s="39"/>
      <c r="AP848" s="39"/>
      <c r="AQ848" s="39"/>
      <c r="AR848" s="39"/>
      <c r="AS848" s="39"/>
      <c r="AT848" s="39">
        <f t="shared" si="508"/>
        <v>0</v>
      </c>
      <c r="AU848" s="39"/>
      <c r="AV848" s="39"/>
      <c r="AW848" s="39"/>
      <c r="AX848" s="39"/>
      <c r="AY848" s="39"/>
      <c r="AZ848" s="39">
        <f t="shared" si="509"/>
        <v>0</v>
      </c>
      <c r="BA848" s="39"/>
      <c r="BB848" s="39"/>
      <c r="BC848" s="39"/>
      <c r="BD848" s="39"/>
      <c r="BE848" s="39"/>
      <c r="BF848" s="39">
        <f t="shared" si="510"/>
        <v>0</v>
      </c>
      <c r="BG848" s="39"/>
      <c r="BH848" s="39"/>
      <c r="BI848" s="39"/>
      <c r="BJ848" s="39"/>
      <c r="BK848" s="39"/>
      <c r="BL848" s="39">
        <f t="shared" si="484"/>
        <v>0</v>
      </c>
      <c r="BM848" s="54">
        <f t="shared" ca="1" si="511"/>
        <v>46283</v>
      </c>
      <c r="BN848" s="66">
        <v>46279</v>
      </c>
      <c r="BO848" s="117">
        <v>46290</v>
      </c>
      <c r="BP848" s="39"/>
      <c r="BQ848" s="39"/>
      <c r="BR848" s="39"/>
      <c r="BS848" s="39"/>
      <c r="BT848" s="39"/>
      <c r="BU848" s="39"/>
      <c r="BV848" s="39"/>
      <c r="BW848" s="39"/>
      <c r="BX848" s="39"/>
      <c r="BY848" s="39"/>
      <c r="BZ848" s="39">
        <f t="shared" si="485"/>
        <v>0</v>
      </c>
      <c r="CA848" s="39">
        <f t="shared" si="512"/>
        <v>-94</v>
      </c>
      <c r="CB848" s="39">
        <f t="shared" si="513"/>
        <v>0</v>
      </c>
      <c r="CC848" s="39">
        <f t="shared" si="514"/>
        <v>0</v>
      </c>
      <c r="CD848" s="39">
        <f t="shared" si="515"/>
        <v>-94</v>
      </c>
      <c r="CE848" s="102">
        <f t="shared" si="516"/>
        <v>-1</v>
      </c>
      <c r="CF848" s="36" t="s">
        <v>295</v>
      </c>
      <c r="CG848" s="39" t="s">
        <v>224</v>
      </c>
      <c r="CH848" s="39"/>
      <c r="CI848" s="25">
        <v>2</v>
      </c>
    </row>
    <row r="849" spans="1:87" ht="24.75" customHeight="1">
      <c r="A849" s="36" t="s">
        <v>388</v>
      </c>
      <c r="B849" s="27" t="s">
        <v>2801</v>
      </c>
      <c r="C849" s="254"/>
      <c r="D849" s="36"/>
      <c r="E849" s="39">
        <v>220</v>
      </c>
      <c r="F849" s="39" t="s">
        <v>60</v>
      </c>
      <c r="G849" s="36" t="s">
        <v>23</v>
      </c>
      <c r="H849" s="36" t="s">
        <v>89</v>
      </c>
      <c r="I849" s="39">
        <v>94</v>
      </c>
      <c r="J849" s="39"/>
      <c r="K849" s="39"/>
      <c r="L849" s="39">
        <f t="shared" si="518"/>
        <v>94</v>
      </c>
      <c r="M849" s="117">
        <v>46272</v>
      </c>
      <c r="N849" s="117">
        <v>46275</v>
      </c>
      <c r="O849" s="39"/>
      <c r="P849" s="39"/>
      <c r="Q849" s="39"/>
      <c r="R849" s="39">
        <f t="shared" si="505"/>
        <v>0</v>
      </c>
      <c r="S849" s="39" t="s">
        <v>31</v>
      </c>
      <c r="T849" s="39"/>
      <c r="U849" s="39"/>
      <c r="V849" s="117">
        <v>46281</v>
      </c>
      <c r="W849" s="39">
        <v>116</v>
      </c>
      <c r="X849" s="39"/>
      <c r="Y849" s="39"/>
      <c r="Z849" s="39"/>
      <c r="AA849" s="39"/>
      <c r="AB849" s="118">
        <f t="shared" si="506"/>
        <v>0</v>
      </c>
      <c r="AC849" s="39"/>
      <c r="AD849" s="39"/>
      <c r="AE849" s="39"/>
      <c r="AF849" s="39"/>
      <c r="AG849" s="39"/>
      <c r="AH849" s="39">
        <f t="shared" si="483"/>
        <v>0</v>
      </c>
      <c r="AI849" s="39"/>
      <c r="AJ849" s="39"/>
      <c r="AK849" s="39"/>
      <c r="AL849" s="39"/>
      <c r="AM849" s="39"/>
      <c r="AN849" s="39">
        <f t="shared" si="507"/>
        <v>0</v>
      </c>
      <c r="AO849" s="39"/>
      <c r="AP849" s="39"/>
      <c r="AQ849" s="39"/>
      <c r="AR849" s="39"/>
      <c r="AS849" s="39"/>
      <c r="AT849" s="39">
        <f t="shared" si="508"/>
        <v>0</v>
      </c>
      <c r="AU849" s="39"/>
      <c r="AV849" s="39"/>
      <c r="AW849" s="39"/>
      <c r="AX849" s="39"/>
      <c r="AY849" s="39"/>
      <c r="AZ849" s="39">
        <f t="shared" si="509"/>
        <v>0</v>
      </c>
      <c r="BA849" s="39"/>
      <c r="BB849" s="39"/>
      <c r="BC849" s="39"/>
      <c r="BD849" s="39"/>
      <c r="BE849" s="39"/>
      <c r="BF849" s="39">
        <f t="shared" si="510"/>
        <v>0</v>
      </c>
      <c r="BG849" s="39"/>
      <c r="BH849" s="39"/>
      <c r="BI849" s="39"/>
      <c r="BJ849" s="39"/>
      <c r="BK849" s="39"/>
      <c r="BL849" s="39">
        <f t="shared" si="484"/>
        <v>0</v>
      </c>
      <c r="BM849" s="54">
        <f t="shared" ca="1" si="511"/>
        <v>46283</v>
      </c>
      <c r="BN849" s="66">
        <v>46279</v>
      </c>
      <c r="BO849" s="117">
        <v>46290</v>
      </c>
      <c r="BP849" s="39"/>
      <c r="BQ849" s="39"/>
      <c r="BR849" s="39"/>
      <c r="BS849" s="39"/>
      <c r="BT849" s="39"/>
      <c r="BU849" s="39"/>
      <c r="BV849" s="39"/>
      <c r="BW849" s="39"/>
      <c r="BX849" s="39"/>
      <c r="BY849" s="39"/>
      <c r="BZ849" s="39">
        <f t="shared" si="485"/>
        <v>0</v>
      </c>
      <c r="CA849" s="39">
        <f t="shared" si="512"/>
        <v>-94</v>
      </c>
      <c r="CB849" s="39">
        <f t="shared" si="513"/>
        <v>0</v>
      </c>
      <c r="CC849" s="39">
        <f t="shared" si="514"/>
        <v>0</v>
      </c>
      <c r="CD849" s="39">
        <f t="shared" si="515"/>
        <v>-94</v>
      </c>
      <c r="CE849" s="102">
        <f t="shared" si="516"/>
        <v>-1</v>
      </c>
      <c r="CF849" s="36" t="s">
        <v>295</v>
      </c>
      <c r="CG849" s="39" t="s">
        <v>224</v>
      </c>
      <c r="CH849" s="39"/>
      <c r="CI849" s="25">
        <v>2</v>
      </c>
    </row>
    <row r="850" spans="1:87" ht="24.75" customHeight="1">
      <c r="A850" s="36" t="s">
        <v>388</v>
      </c>
      <c r="B850" s="27" t="s">
        <v>2802</v>
      </c>
      <c r="C850" s="253">
        <v>15381948</v>
      </c>
      <c r="D850" s="36"/>
      <c r="E850" s="39">
        <v>220</v>
      </c>
      <c r="F850" s="39" t="s">
        <v>60</v>
      </c>
      <c r="G850" s="36" t="s">
        <v>309</v>
      </c>
      <c r="H850" s="36" t="s">
        <v>89</v>
      </c>
      <c r="I850" s="39">
        <v>135</v>
      </c>
      <c r="J850" s="39"/>
      <c r="K850" s="39"/>
      <c r="L850" s="39">
        <f t="shared" ref="L850:L851" si="519">SUM(I850:K850)</f>
        <v>135</v>
      </c>
      <c r="M850" s="117">
        <v>46272</v>
      </c>
      <c r="N850" s="117">
        <v>46275</v>
      </c>
      <c r="O850" s="39"/>
      <c r="P850" s="39"/>
      <c r="Q850" s="39"/>
      <c r="R850" s="39">
        <f t="shared" ref="R850:R851" si="520">SUM(O850:Q850)</f>
        <v>0</v>
      </c>
      <c r="S850" s="39" t="s">
        <v>31</v>
      </c>
      <c r="T850" s="39"/>
      <c r="U850" s="39"/>
      <c r="V850" s="117">
        <v>46277</v>
      </c>
      <c r="W850" s="39">
        <v>165</v>
      </c>
      <c r="X850" s="39"/>
      <c r="Y850" s="39"/>
      <c r="Z850" s="39"/>
      <c r="AA850" s="39"/>
      <c r="AB850" s="118">
        <f t="shared" si="506"/>
        <v>0</v>
      </c>
      <c r="AC850" s="39"/>
      <c r="AD850" s="39"/>
      <c r="AE850" s="39"/>
      <c r="AF850" s="39"/>
      <c r="AG850" s="39"/>
      <c r="AH850" s="39">
        <f t="shared" si="483"/>
        <v>0</v>
      </c>
      <c r="AI850" s="39"/>
      <c r="AJ850" s="39"/>
      <c r="AK850" s="39"/>
      <c r="AL850" s="39"/>
      <c r="AM850" s="39"/>
      <c r="AN850" s="39">
        <f t="shared" si="507"/>
        <v>0</v>
      </c>
      <c r="AO850" s="39"/>
      <c r="AP850" s="39"/>
      <c r="AQ850" s="39"/>
      <c r="AR850" s="39"/>
      <c r="AS850" s="39"/>
      <c r="AT850" s="39">
        <f t="shared" si="508"/>
        <v>0</v>
      </c>
      <c r="AU850" s="39"/>
      <c r="AV850" s="39"/>
      <c r="AW850" s="39"/>
      <c r="AX850" s="39"/>
      <c r="AY850" s="39"/>
      <c r="AZ850" s="39">
        <f t="shared" si="509"/>
        <v>0</v>
      </c>
      <c r="BA850" s="39"/>
      <c r="BB850" s="39"/>
      <c r="BC850" s="39"/>
      <c r="BD850" s="39"/>
      <c r="BE850" s="39"/>
      <c r="BF850" s="39">
        <f t="shared" si="510"/>
        <v>0</v>
      </c>
      <c r="BG850" s="39"/>
      <c r="BH850" s="39"/>
      <c r="BI850" s="39"/>
      <c r="BJ850" s="39"/>
      <c r="BK850" s="39"/>
      <c r="BL850" s="39">
        <f t="shared" si="484"/>
        <v>0</v>
      </c>
      <c r="BM850" s="54">
        <f t="shared" ca="1" si="511"/>
        <v>46283</v>
      </c>
      <c r="BN850" s="66">
        <v>46278</v>
      </c>
      <c r="BO850" s="117">
        <v>46290</v>
      </c>
      <c r="BP850" s="39"/>
      <c r="BQ850" s="39"/>
      <c r="BR850" s="39"/>
      <c r="BS850" s="39"/>
      <c r="BT850" s="39"/>
      <c r="BU850" s="39"/>
      <c r="BV850" s="39"/>
      <c r="BW850" s="39"/>
      <c r="BX850" s="39"/>
      <c r="BY850" s="39"/>
      <c r="BZ850" s="39">
        <f t="shared" si="485"/>
        <v>0</v>
      </c>
      <c r="CA850" s="39">
        <f t="shared" si="512"/>
        <v>-135</v>
      </c>
      <c r="CB850" s="39">
        <f t="shared" si="513"/>
        <v>0</v>
      </c>
      <c r="CC850" s="39">
        <f t="shared" si="514"/>
        <v>0</v>
      </c>
      <c r="CD850" s="39">
        <f t="shared" si="515"/>
        <v>-135</v>
      </c>
      <c r="CE850" s="102">
        <f t="shared" si="516"/>
        <v>-1</v>
      </c>
      <c r="CF850" s="36" t="s">
        <v>295</v>
      </c>
      <c r="CG850" s="39" t="s">
        <v>224</v>
      </c>
      <c r="CH850" s="39"/>
      <c r="CI850" s="25">
        <v>2</v>
      </c>
    </row>
    <row r="851" spans="1:87" ht="24.75" customHeight="1">
      <c r="A851" s="36" t="s">
        <v>388</v>
      </c>
      <c r="B851" s="27" t="s">
        <v>2802</v>
      </c>
      <c r="C851" s="254"/>
      <c r="D851" s="36"/>
      <c r="E851" s="39">
        <v>220</v>
      </c>
      <c r="F851" s="39" t="s">
        <v>60</v>
      </c>
      <c r="G851" s="36" t="s">
        <v>47</v>
      </c>
      <c r="H851" s="36" t="s">
        <v>89</v>
      </c>
      <c r="I851" s="39">
        <v>135</v>
      </c>
      <c r="J851" s="39"/>
      <c r="K851" s="39"/>
      <c r="L851" s="39">
        <f t="shared" si="519"/>
        <v>135</v>
      </c>
      <c r="M851" s="117">
        <v>46272</v>
      </c>
      <c r="N851" s="117">
        <v>46275</v>
      </c>
      <c r="O851" s="39"/>
      <c r="P851" s="39"/>
      <c r="Q851" s="39"/>
      <c r="R851" s="39">
        <f t="shared" si="520"/>
        <v>0</v>
      </c>
      <c r="S851" s="39" t="s">
        <v>130</v>
      </c>
      <c r="T851" s="39"/>
      <c r="U851" s="39"/>
      <c r="V851" s="39"/>
      <c r="W851" s="39"/>
      <c r="X851" s="39"/>
      <c r="Y851" s="39"/>
      <c r="Z851" s="39"/>
      <c r="AA851" s="39"/>
      <c r="AB851" s="118">
        <f t="shared" si="506"/>
        <v>0</v>
      </c>
      <c r="AC851" s="39"/>
      <c r="AD851" s="39"/>
      <c r="AE851" s="39"/>
      <c r="AF851" s="39"/>
      <c r="AG851" s="39"/>
      <c r="AH851" s="39">
        <f t="shared" si="483"/>
        <v>0</v>
      </c>
      <c r="AI851" s="39"/>
      <c r="AJ851" s="39"/>
      <c r="AK851" s="39"/>
      <c r="AL851" s="39"/>
      <c r="AM851" s="39"/>
      <c r="AN851" s="39">
        <f t="shared" si="507"/>
        <v>0</v>
      </c>
      <c r="AO851" s="39"/>
      <c r="AP851" s="39"/>
      <c r="AQ851" s="39"/>
      <c r="AR851" s="39"/>
      <c r="AS851" s="39"/>
      <c r="AT851" s="39">
        <f t="shared" si="508"/>
        <v>0</v>
      </c>
      <c r="AU851" s="39"/>
      <c r="AV851" s="39"/>
      <c r="AW851" s="39"/>
      <c r="AX851" s="39"/>
      <c r="AY851" s="39"/>
      <c r="AZ851" s="39">
        <f t="shared" si="509"/>
        <v>0</v>
      </c>
      <c r="BA851" s="39"/>
      <c r="BB851" s="39"/>
      <c r="BC851" s="39"/>
      <c r="BD851" s="39"/>
      <c r="BE851" s="39"/>
      <c r="BF851" s="39">
        <f t="shared" si="510"/>
        <v>0</v>
      </c>
      <c r="BG851" s="39"/>
      <c r="BH851" s="39"/>
      <c r="BI851" s="39"/>
      <c r="BJ851" s="39"/>
      <c r="BK851" s="39"/>
      <c r="BL851" s="39">
        <f t="shared" si="484"/>
        <v>0</v>
      </c>
      <c r="BM851" s="54">
        <f t="shared" ca="1" si="511"/>
        <v>46283</v>
      </c>
      <c r="BN851" s="66">
        <v>46278</v>
      </c>
      <c r="BO851" s="117">
        <v>46290</v>
      </c>
      <c r="BP851" s="39"/>
      <c r="BQ851" s="39"/>
      <c r="BR851" s="39"/>
      <c r="BS851" s="39"/>
      <c r="BT851" s="39"/>
      <c r="BU851" s="39"/>
      <c r="BV851" s="39"/>
      <c r="BW851" s="39"/>
      <c r="BX851" s="39"/>
      <c r="BY851" s="39"/>
      <c r="BZ851" s="39">
        <f t="shared" si="485"/>
        <v>0</v>
      </c>
      <c r="CA851" s="39">
        <f t="shared" si="512"/>
        <v>-135</v>
      </c>
      <c r="CB851" s="39">
        <f t="shared" si="513"/>
        <v>0</v>
      </c>
      <c r="CC851" s="39">
        <f t="shared" si="514"/>
        <v>0</v>
      </c>
      <c r="CD851" s="39">
        <f t="shared" si="515"/>
        <v>-135</v>
      </c>
      <c r="CE851" s="102">
        <f t="shared" si="516"/>
        <v>-1</v>
      </c>
      <c r="CF851" s="36" t="s">
        <v>295</v>
      </c>
      <c r="CG851" s="39" t="s">
        <v>224</v>
      </c>
      <c r="CH851" s="39"/>
      <c r="CI851" s="25">
        <v>2</v>
      </c>
    </row>
    <row r="852" spans="1:87" ht="24.75" customHeight="1">
      <c r="A852" s="36" t="s">
        <v>388</v>
      </c>
      <c r="B852" s="27"/>
      <c r="C852" s="36"/>
      <c r="D852" s="36"/>
      <c r="E852" s="39"/>
      <c r="F852" s="39"/>
      <c r="G852" s="36"/>
      <c r="H852" s="39"/>
      <c r="I852" s="39"/>
      <c r="J852" s="39"/>
      <c r="K852" s="39"/>
      <c r="L852" s="39">
        <f t="shared" ref="L852:L861" si="521">SUM(I852:K852)</f>
        <v>0</v>
      </c>
      <c r="M852" s="39"/>
      <c r="N852" s="39"/>
      <c r="O852" s="39"/>
      <c r="P852" s="39"/>
      <c r="Q852" s="39"/>
      <c r="R852" s="39">
        <f t="shared" si="481"/>
        <v>0</v>
      </c>
      <c r="S852" s="39"/>
      <c r="T852" s="39"/>
      <c r="U852" s="39"/>
      <c r="V852" s="39"/>
      <c r="W852" s="39"/>
      <c r="X852" s="39"/>
      <c r="Y852" s="39"/>
      <c r="Z852" s="39"/>
      <c r="AA852" s="39"/>
      <c r="AB852" s="39">
        <f t="shared" si="482"/>
        <v>0</v>
      </c>
      <c r="AC852" s="39"/>
      <c r="AD852" s="39"/>
      <c r="AE852" s="39"/>
      <c r="AF852" s="39"/>
      <c r="AG852" s="39"/>
      <c r="AH852" s="39">
        <f t="shared" si="483"/>
        <v>0</v>
      </c>
      <c r="AI852" s="39"/>
      <c r="AJ852" s="39"/>
      <c r="AK852" s="39"/>
      <c r="AL852" s="39"/>
      <c r="AM852" s="39"/>
      <c r="AN852" s="39">
        <f t="shared" si="196"/>
        <v>0</v>
      </c>
      <c r="AO852" s="39"/>
      <c r="AP852" s="39"/>
      <c r="AQ852" s="39"/>
      <c r="AR852" s="39"/>
      <c r="AS852" s="39"/>
      <c r="AT852" s="39">
        <f t="shared" si="367"/>
        <v>0</v>
      </c>
      <c r="AU852" s="39"/>
      <c r="AV852" s="39"/>
      <c r="AW852" s="39"/>
      <c r="AX852" s="39"/>
      <c r="AY852" s="39"/>
      <c r="AZ852" s="39">
        <f t="shared" si="368"/>
        <v>0</v>
      </c>
      <c r="BA852" s="39"/>
      <c r="BB852" s="39"/>
      <c r="BC852" s="39"/>
      <c r="BD852" s="39"/>
      <c r="BE852" s="39"/>
      <c r="BF852" s="39">
        <f t="shared" si="369"/>
        <v>0</v>
      </c>
      <c r="BG852" s="39"/>
      <c r="BH852" s="39"/>
      <c r="BI852" s="39"/>
      <c r="BJ852" s="39"/>
      <c r="BK852" s="39"/>
      <c r="BL852" s="39">
        <f t="shared" si="484"/>
        <v>0</v>
      </c>
      <c r="BM852" s="54" t="e">
        <f t="shared" si="371"/>
        <v>#DIV/0!</v>
      </c>
      <c r="BN852" s="67"/>
      <c r="BO852" s="39"/>
      <c r="BP852" s="39"/>
      <c r="BQ852" s="39"/>
      <c r="BR852" s="39"/>
      <c r="BS852" s="39"/>
      <c r="BT852" s="39"/>
      <c r="BU852" s="39"/>
      <c r="BV852" s="39"/>
      <c r="BW852" s="39"/>
      <c r="BX852" s="39"/>
      <c r="BY852" s="39"/>
      <c r="BZ852" s="39">
        <f t="shared" si="485"/>
        <v>0</v>
      </c>
      <c r="CA852" s="39">
        <f t="shared" si="373"/>
        <v>0</v>
      </c>
      <c r="CB852" s="39">
        <f t="shared" si="374"/>
        <v>0</v>
      </c>
      <c r="CC852" s="39">
        <f t="shared" si="375"/>
        <v>0</v>
      </c>
      <c r="CD852" s="39">
        <f t="shared" si="376"/>
        <v>0</v>
      </c>
      <c r="CE852" s="47" t="e">
        <f t="shared" si="377"/>
        <v>#DIV/0!</v>
      </c>
      <c r="CF852" s="36"/>
      <c r="CG852" s="39"/>
      <c r="CH852" s="39"/>
      <c r="CI852" s="25">
        <v>2</v>
      </c>
    </row>
    <row r="853" spans="1:87" ht="24.75" customHeight="1">
      <c r="A853" s="36" t="s">
        <v>388</v>
      </c>
      <c r="B853" s="27"/>
      <c r="C853" s="36"/>
      <c r="D853" s="36"/>
      <c r="E853" s="39"/>
      <c r="F853" s="39"/>
      <c r="G853" s="36"/>
      <c r="H853" s="39"/>
      <c r="I853" s="39"/>
      <c r="J853" s="39"/>
      <c r="K853" s="39"/>
      <c r="L853" s="39">
        <f t="shared" si="521"/>
        <v>0</v>
      </c>
      <c r="M853" s="39"/>
      <c r="N853" s="39"/>
      <c r="O853" s="39"/>
      <c r="P853" s="39"/>
      <c r="Q853" s="39"/>
      <c r="R853" s="39">
        <f t="shared" si="481"/>
        <v>0</v>
      </c>
      <c r="S853" s="39"/>
      <c r="T853" s="39"/>
      <c r="U853" s="39"/>
      <c r="V853" s="39"/>
      <c r="W853" s="39"/>
      <c r="X853" s="39"/>
      <c r="Y853" s="39"/>
      <c r="Z853" s="39"/>
      <c r="AA853" s="39"/>
      <c r="AB853" s="39">
        <f t="shared" si="482"/>
        <v>0</v>
      </c>
      <c r="AC853" s="39"/>
      <c r="AD853" s="39"/>
      <c r="AE853" s="39"/>
      <c r="AF853" s="39"/>
      <c r="AG853" s="39"/>
      <c r="AH853" s="39">
        <f t="shared" si="483"/>
        <v>0</v>
      </c>
      <c r="AI853" s="39"/>
      <c r="AJ853" s="39"/>
      <c r="AK853" s="39"/>
      <c r="AL853" s="39"/>
      <c r="AM853" s="39"/>
      <c r="AN853" s="39">
        <f t="shared" si="196"/>
        <v>0</v>
      </c>
      <c r="AO853" s="39"/>
      <c r="AP853" s="39"/>
      <c r="AQ853" s="39"/>
      <c r="AR853" s="39"/>
      <c r="AS853" s="39"/>
      <c r="AT853" s="39">
        <f t="shared" si="367"/>
        <v>0</v>
      </c>
      <c r="AU853" s="39"/>
      <c r="AV853" s="39"/>
      <c r="AW853" s="39"/>
      <c r="AX853" s="39"/>
      <c r="AY853" s="39"/>
      <c r="AZ853" s="39">
        <f t="shared" si="368"/>
        <v>0</v>
      </c>
      <c r="BA853" s="39"/>
      <c r="BB853" s="39"/>
      <c r="BC853" s="39"/>
      <c r="BD853" s="39"/>
      <c r="BE853" s="39"/>
      <c r="BF853" s="39">
        <f t="shared" si="369"/>
        <v>0</v>
      </c>
      <c r="BG853" s="39"/>
      <c r="BH853" s="39"/>
      <c r="BI853" s="39"/>
      <c r="BJ853" s="39"/>
      <c r="BK853" s="39"/>
      <c r="BL853" s="39">
        <f t="shared" si="484"/>
        <v>0</v>
      </c>
      <c r="BM853" s="54" t="e">
        <f t="shared" si="371"/>
        <v>#DIV/0!</v>
      </c>
      <c r="BN853" s="67"/>
      <c r="BO853" s="39"/>
      <c r="BP853" s="39"/>
      <c r="BQ853" s="39"/>
      <c r="BR853" s="39"/>
      <c r="BS853" s="39"/>
      <c r="BT853" s="39"/>
      <c r="BU853" s="39"/>
      <c r="BV853" s="39"/>
      <c r="BW853" s="39"/>
      <c r="BX853" s="39"/>
      <c r="BY853" s="39"/>
      <c r="BZ853" s="39">
        <f t="shared" si="485"/>
        <v>0</v>
      </c>
      <c r="CA853" s="39">
        <f t="shared" si="373"/>
        <v>0</v>
      </c>
      <c r="CB853" s="39">
        <f t="shared" si="374"/>
        <v>0</v>
      </c>
      <c r="CC853" s="39">
        <f t="shared" si="375"/>
        <v>0</v>
      </c>
      <c r="CD853" s="39">
        <f t="shared" si="376"/>
        <v>0</v>
      </c>
      <c r="CE853" s="47" t="e">
        <f t="shared" si="377"/>
        <v>#DIV/0!</v>
      </c>
      <c r="CF853" s="36"/>
      <c r="CG853" s="39"/>
      <c r="CH853" s="39"/>
      <c r="CI853" s="25">
        <v>2</v>
      </c>
    </row>
    <row r="854" spans="1:87" ht="24.75" customHeight="1">
      <c r="A854" s="36" t="s">
        <v>388</v>
      </c>
      <c r="B854" s="27"/>
      <c r="C854" s="36"/>
      <c r="D854" s="36"/>
      <c r="E854" s="39"/>
      <c r="F854" s="39"/>
      <c r="G854" s="36"/>
      <c r="H854" s="39"/>
      <c r="I854" s="39"/>
      <c r="J854" s="39"/>
      <c r="K854" s="39"/>
      <c r="L854" s="39">
        <f t="shared" si="521"/>
        <v>0</v>
      </c>
      <c r="M854" s="39"/>
      <c r="N854" s="39"/>
      <c r="O854" s="39"/>
      <c r="P854" s="39"/>
      <c r="Q854" s="39"/>
      <c r="R854" s="39">
        <f t="shared" si="481"/>
        <v>0</v>
      </c>
      <c r="S854" s="39"/>
      <c r="T854" s="39"/>
      <c r="U854" s="39"/>
      <c r="V854" s="39"/>
      <c r="W854" s="39"/>
      <c r="X854" s="39"/>
      <c r="Y854" s="39"/>
      <c r="Z854" s="39"/>
      <c r="AA854" s="39"/>
      <c r="AB854" s="39">
        <f t="shared" si="482"/>
        <v>0</v>
      </c>
      <c r="AC854" s="39"/>
      <c r="AD854" s="39"/>
      <c r="AE854" s="39"/>
      <c r="AF854" s="39"/>
      <c r="AG854" s="39"/>
      <c r="AH854" s="39">
        <f t="shared" si="483"/>
        <v>0</v>
      </c>
      <c r="AI854" s="39"/>
      <c r="AJ854" s="39"/>
      <c r="AK854" s="39"/>
      <c r="AL854" s="39"/>
      <c r="AM854" s="39"/>
      <c r="AN854" s="39">
        <f t="shared" si="196"/>
        <v>0</v>
      </c>
      <c r="AO854" s="39"/>
      <c r="AP854" s="39"/>
      <c r="AQ854" s="39"/>
      <c r="AR854" s="39"/>
      <c r="AS854" s="39"/>
      <c r="AT854" s="39">
        <f t="shared" si="367"/>
        <v>0</v>
      </c>
      <c r="AU854" s="39"/>
      <c r="AV854" s="39"/>
      <c r="AW854" s="39"/>
      <c r="AX854" s="39"/>
      <c r="AY854" s="39"/>
      <c r="AZ854" s="39">
        <f t="shared" si="368"/>
        <v>0</v>
      </c>
      <c r="BA854" s="39"/>
      <c r="BB854" s="39"/>
      <c r="BC854" s="39"/>
      <c r="BD854" s="39"/>
      <c r="BE854" s="39"/>
      <c r="BF854" s="39">
        <f t="shared" si="369"/>
        <v>0</v>
      </c>
      <c r="BG854" s="39"/>
      <c r="BH854" s="39"/>
      <c r="BI854" s="39"/>
      <c r="BJ854" s="39"/>
      <c r="BK854" s="39"/>
      <c r="BL854" s="39">
        <f t="shared" si="484"/>
        <v>0</v>
      </c>
      <c r="BM854" s="54" t="e">
        <f t="shared" si="371"/>
        <v>#DIV/0!</v>
      </c>
      <c r="BN854" s="67"/>
      <c r="BO854" s="39"/>
      <c r="BP854" s="39"/>
      <c r="BQ854" s="39"/>
      <c r="BR854" s="39"/>
      <c r="BS854" s="39"/>
      <c r="BT854" s="39"/>
      <c r="BU854" s="39"/>
      <c r="BV854" s="39"/>
      <c r="BW854" s="39"/>
      <c r="BX854" s="39"/>
      <c r="BY854" s="39"/>
      <c r="BZ854" s="39">
        <f t="shared" si="485"/>
        <v>0</v>
      </c>
      <c r="CA854" s="39">
        <f t="shared" si="373"/>
        <v>0</v>
      </c>
      <c r="CB854" s="39">
        <f t="shared" si="374"/>
        <v>0</v>
      </c>
      <c r="CC854" s="39">
        <f t="shared" si="375"/>
        <v>0</v>
      </c>
      <c r="CD854" s="39">
        <f t="shared" si="376"/>
        <v>0</v>
      </c>
      <c r="CE854" s="47" t="e">
        <f t="shared" si="377"/>
        <v>#DIV/0!</v>
      </c>
      <c r="CF854" s="36"/>
      <c r="CG854" s="39"/>
      <c r="CH854" s="39"/>
      <c r="CI854" s="25">
        <v>2</v>
      </c>
    </row>
    <row r="855" spans="1:87" ht="24.75" customHeight="1">
      <c r="A855" s="36" t="s">
        <v>388</v>
      </c>
      <c r="B855" s="27"/>
      <c r="C855" s="36"/>
      <c r="D855" s="36"/>
      <c r="E855" s="39"/>
      <c r="F855" s="39"/>
      <c r="G855" s="36"/>
      <c r="H855" s="39"/>
      <c r="I855" s="39"/>
      <c r="J855" s="39"/>
      <c r="K855" s="39"/>
      <c r="L855" s="39">
        <f t="shared" si="521"/>
        <v>0</v>
      </c>
      <c r="M855" s="39"/>
      <c r="N855" s="39"/>
      <c r="O855" s="39"/>
      <c r="P855" s="39"/>
      <c r="Q855" s="39"/>
      <c r="R855" s="39">
        <f t="shared" si="481"/>
        <v>0</v>
      </c>
      <c r="S855" s="39"/>
      <c r="T855" s="39"/>
      <c r="U855" s="39"/>
      <c r="V855" s="39"/>
      <c r="W855" s="39"/>
      <c r="X855" s="39"/>
      <c r="Y855" s="39"/>
      <c r="Z855" s="39"/>
      <c r="AA855" s="39"/>
      <c r="AB855" s="39">
        <f t="shared" si="482"/>
        <v>0</v>
      </c>
      <c r="AC855" s="39"/>
      <c r="AD855" s="39"/>
      <c r="AE855" s="39"/>
      <c r="AF855" s="39"/>
      <c r="AG855" s="39"/>
      <c r="AH855" s="39">
        <f t="shared" si="483"/>
        <v>0</v>
      </c>
      <c r="AI855" s="39"/>
      <c r="AJ855" s="39"/>
      <c r="AK855" s="39"/>
      <c r="AL855" s="39"/>
      <c r="AM855" s="39"/>
      <c r="AN855" s="39">
        <f t="shared" ref="AN855:AN975" si="522">AM855-AK855</f>
        <v>0</v>
      </c>
      <c r="AO855" s="39"/>
      <c r="AP855" s="39"/>
      <c r="AQ855" s="39"/>
      <c r="AR855" s="39"/>
      <c r="AS855" s="39"/>
      <c r="AT855" s="39">
        <f t="shared" si="367"/>
        <v>0</v>
      </c>
      <c r="AU855" s="39"/>
      <c r="AV855" s="39"/>
      <c r="AW855" s="39"/>
      <c r="AX855" s="39"/>
      <c r="AY855" s="39"/>
      <c r="AZ855" s="39">
        <f t="shared" si="368"/>
        <v>0</v>
      </c>
      <c r="BA855" s="39"/>
      <c r="BB855" s="39"/>
      <c r="BC855" s="39"/>
      <c r="BD855" s="39"/>
      <c r="BE855" s="39"/>
      <c r="BF855" s="39">
        <f t="shared" si="369"/>
        <v>0</v>
      </c>
      <c r="BG855" s="39"/>
      <c r="BH855" s="39"/>
      <c r="BI855" s="39"/>
      <c r="BJ855" s="39"/>
      <c r="BK855" s="39"/>
      <c r="BL855" s="39">
        <f t="shared" si="484"/>
        <v>0</v>
      </c>
      <c r="BM855" s="54" t="e">
        <f t="shared" si="371"/>
        <v>#DIV/0!</v>
      </c>
      <c r="BN855" s="67"/>
      <c r="BO855" s="39"/>
      <c r="BP855" s="39"/>
      <c r="BQ855" s="39"/>
      <c r="BR855" s="39"/>
      <c r="BS855" s="39"/>
      <c r="BT855" s="39"/>
      <c r="BU855" s="39"/>
      <c r="BV855" s="39"/>
      <c r="BW855" s="39"/>
      <c r="BX855" s="39"/>
      <c r="BY855" s="39"/>
      <c r="BZ855" s="39">
        <f t="shared" si="485"/>
        <v>0</v>
      </c>
      <c r="CA855" s="39">
        <f t="shared" si="373"/>
        <v>0</v>
      </c>
      <c r="CB855" s="39">
        <f t="shared" si="374"/>
        <v>0</v>
      </c>
      <c r="CC855" s="39">
        <f t="shared" si="375"/>
        <v>0</v>
      </c>
      <c r="CD855" s="39">
        <f t="shared" si="376"/>
        <v>0</v>
      </c>
      <c r="CE855" s="47" t="e">
        <f t="shared" si="377"/>
        <v>#DIV/0!</v>
      </c>
      <c r="CF855" s="36"/>
      <c r="CG855" s="39"/>
      <c r="CH855" s="39"/>
      <c r="CI855" s="25">
        <v>2</v>
      </c>
    </row>
    <row r="856" spans="1:87" ht="24.75" customHeight="1">
      <c r="A856" s="36" t="s">
        <v>388</v>
      </c>
      <c r="B856" s="27"/>
      <c r="C856" s="36"/>
      <c r="D856" s="36"/>
      <c r="E856" s="39"/>
      <c r="F856" s="39"/>
      <c r="G856" s="36"/>
      <c r="H856" s="39"/>
      <c r="I856" s="39"/>
      <c r="J856" s="39"/>
      <c r="K856" s="39"/>
      <c r="L856" s="39">
        <f t="shared" si="521"/>
        <v>0</v>
      </c>
      <c r="M856" s="39"/>
      <c r="N856" s="39"/>
      <c r="O856" s="39"/>
      <c r="P856" s="39"/>
      <c r="Q856" s="39"/>
      <c r="R856" s="39">
        <f t="shared" si="481"/>
        <v>0</v>
      </c>
      <c r="S856" s="39"/>
      <c r="T856" s="39"/>
      <c r="U856" s="39"/>
      <c r="V856" s="39"/>
      <c r="W856" s="39"/>
      <c r="X856" s="39"/>
      <c r="Y856" s="39"/>
      <c r="Z856" s="39"/>
      <c r="AA856" s="39"/>
      <c r="AB856" s="39">
        <f t="shared" si="482"/>
        <v>0</v>
      </c>
      <c r="AC856" s="39"/>
      <c r="AD856" s="39"/>
      <c r="AE856" s="39"/>
      <c r="AF856" s="39"/>
      <c r="AG856" s="39"/>
      <c r="AH856" s="39">
        <f t="shared" si="483"/>
        <v>0</v>
      </c>
      <c r="AI856" s="39"/>
      <c r="AJ856" s="39"/>
      <c r="AK856" s="39"/>
      <c r="AL856" s="39"/>
      <c r="AM856" s="39"/>
      <c r="AN856" s="39">
        <f t="shared" si="522"/>
        <v>0</v>
      </c>
      <c r="AO856" s="39"/>
      <c r="AP856" s="39"/>
      <c r="AQ856" s="39"/>
      <c r="AR856" s="39"/>
      <c r="AS856" s="39"/>
      <c r="AT856" s="39">
        <f t="shared" si="367"/>
        <v>0</v>
      </c>
      <c r="AU856" s="39"/>
      <c r="AV856" s="39"/>
      <c r="AW856" s="39"/>
      <c r="AX856" s="39"/>
      <c r="AY856" s="39"/>
      <c r="AZ856" s="39">
        <f t="shared" si="368"/>
        <v>0</v>
      </c>
      <c r="BA856" s="39"/>
      <c r="BB856" s="39"/>
      <c r="BC856" s="39"/>
      <c r="BD856" s="39"/>
      <c r="BE856" s="39"/>
      <c r="BF856" s="39">
        <f t="shared" si="369"/>
        <v>0</v>
      </c>
      <c r="BG856" s="39"/>
      <c r="BH856" s="39"/>
      <c r="BI856" s="39"/>
      <c r="BJ856" s="39"/>
      <c r="BK856" s="39"/>
      <c r="BL856" s="39">
        <f t="shared" si="484"/>
        <v>0</v>
      </c>
      <c r="BM856" s="54" t="e">
        <f t="shared" si="371"/>
        <v>#DIV/0!</v>
      </c>
      <c r="BN856" s="67"/>
      <c r="BO856" s="39"/>
      <c r="BP856" s="39"/>
      <c r="BQ856" s="39"/>
      <c r="BR856" s="39"/>
      <c r="BS856" s="39"/>
      <c r="BT856" s="39"/>
      <c r="BU856" s="39"/>
      <c r="BV856" s="39"/>
      <c r="BW856" s="39"/>
      <c r="BX856" s="39"/>
      <c r="BY856" s="39"/>
      <c r="BZ856" s="39">
        <f t="shared" si="485"/>
        <v>0</v>
      </c>
      <c r="CA856" s="39">
        <f t="shared" si="373"/>
        <v>0</v>
      </c>
      <c r="CB856" s="39">
        <f t="shared" si="374"/>
        <v>0</v>
      </c>
      <c r="CC856" s="39">
        <f t="shared" si="375"/>
        <v>0</v>
      </c>
      <c r="CD856" s="39">
        <f t="shared" si="376"/>
        <v>0</v>
      </c>
      <c r="CE856" s="47" t="e">
        <f t="shared" si="377"/>
        <v>#DIV/0!</v>
      </c>
      <c r="CF856" s="36"/>
      <c r="CG856" s="39"/>
      <c r="CH856" s="39"/>
      <c r="CI856" s="25">
        <v>2</v>
      </c>
    </row>
    <row r="857" spans="1:87" ht="24.75" customHeight="1">
      <c r="A857" s="36" t="s">
        <v>388</v>
      </c>
      <c r="B857" s="27"/>
      <c r="C857" s="36"/>
      <c r="D857" s="36"/>
      <c r="E857" s="39"/>
      <c r="F857" s="39"/>
      <c r="G857" s="36"/>
      <c r="H857" s="39"/>
      <c r="I857" s="39"/>
      <c r="J857" s="39"/>
      <c r="K857" s="39"/>
      <c r="L857" s="39">
        <f t="shared" si="521"/>
        <v>0</v>
      </c>
      <c r="M857" s="39"/>
      <c r="N857" s="39"/>
      <c r="O857" s="39"/>
      <c r="P857" s="39"/>
      <c r="Q857" s="39"/>
      <c r="R857" s="39">
        <f t="shared" si="481"/>
        <v>0</v>
      </c>
      <c r="S857" s="39"/>
      <c r="T857" s="39"/>
      <c r="U857" s="39"/>
      <c r="V857" s="39"/>
      <c r="W857" s="39"/>
      <c r="X857" s="39"/>
      <c r="Y857" s="39"/>
      <c r="Z857" s="39"/>
      <c r="AA857" s="39"/>
      <c r="AB857" s="39">
        <f t="shared" si="482"/>
        <v>0</v>
      </c>
      <c r="AC857" s="39"/>
      <c r="AD857" s="39"/>
      <c r="AE857" s="39"/>
      <c r="AF857" s="39"/>
      <c r="AG857" s="39"/>
      <c r="AH857" s="39">
        <f t="shared" si="483"/>
        <v>0</v>
      </c>
      <c r="AI857" s="39"/>
      <c r="AJ857" s="39"/>
      <c r="AK857" s="39"/>
      <c r="AL857" s="39"/>
      <c r="AM857" s="39"/>
      <c r="AN857" s="39">
        <f t="shared" si="522"/>
        <v>0</v>
      </c>
      <c r="AO857" s="39"/>
      <c r="AP857" s="39"/>
      <c r="AQ857" s="39"/>
      <c r="AR857" s="39"/>
      <c r="AS857" s="39"/>
      <c r="AT857" s="39">
        <f t="shared" si="367"/>
        <v>0</v>
      </c>
      <c r="AU857" s="39"/>
      <c r="AV857" s="39"/>
      <c r="AW857" s="39"/>
      <c r="AX857" s="39"/>
      <c r="AY857" s="39"/>
      <c r="AZ857" s="39">
        <f t="shared" si="368"/>
        <v>0</v>
      </c>
      <c r="BA857" s="39"/>
      <c r="BB857" s="39"/>
      <c r="BC857" s="39"/>
      <c r="BD857" s="39"/>
      <c r="BE857" s="39"/>
      <c r="BF857" s="39">
        <f t="shared" si="369"/>
        <v>0</v>
      </c>
      <c r="BG857" s="39"/>
      <c r="BH857" s="39"/>
      <c r="BI857" s="39"/>
      <c r="BJ857" s="39"/>
      <c r="BK857" s="39"/>
      <c r="BL857" s="39">
        <f t="shared" si="484"/>
        <v>0</v>
      </c>
      <c r="BM857" s="54" t="e">
        <f t="shared" si="371"/>
        <v>#DIV/0!</v>
      </c>
      <c r="BN857" s="67"/>
      <c r="BO857" s="39"/>
      <c r="BP857" s="39"/>
      <c r="BQ857" s="39"/>
      <c r="BR857" s="39"/>
      <c r="BS857" s="39"/>
      <c r="BT857" s="39"/>
      <c r="BU857" s="39"/>
      <c r="BV857" s="39"/>
      <c r="BW857" s="39"/>
      <c r="BX857" s="39"/>
      <c r="BY857" s="39"/>
      <c r="BZ857" s="39">
        <f t="shared" si="485"/>
        <v>0</v>
      </c>
      <c r="CA857" s="39">
        <f t="shared" si="373"/>
        <v>0</v>
      </c>
      <c r="CB857" s="39">
        <f t="shared" si="374"/>
        <v>0</v>
      </c>
      <c r="CC857" s="39">
        <f t="shared" si="375"/>
        <v>0</v>
      </c>
      <c r="CD857" s="39">
        <f t="shared" si="376"/>
        <v>0</v>
      </c>
      <c r="CE857" s="47" t="e">
        <f t="shared" si="377"/>
        <v>#DIV/0!</v>
      </c>
      <c r="CF857" s="36"/>
      <c r="CG857" s="39"/>
      <c r="CH857" s="39"/>
      <c r="CI857" s="25">
        <v>2</v>
      </c>
    </row>
    <row r="858" spans="1:87" ht="24.75" customHeight="1">
      <c r="A858" s="36" t="s">
        <v>388</v>
      </c>
      <c r="B858" s="27"/>
      <c r="C858" s="36"/>
      <c r="D858" s="36"/>
      <c r="E858" s="39"/>
      <c r="F858" s="39"/>
      <c r="G858" s="36"/>
      <c r="H858" s="39"/>
      <c r="I858" s="39"/>
      <c r="J858" s="39"/>
      <c r="K858" s="39"/>
      <c r="L858" s="39">
        <f t="shared" si="521"/>
        <v>0</v>
      </c>
      <c r="M858" s="39"/>
      <c r="N858" s="39"/>
      <c r="O858" s="39"/>
      <c r="P858" s="39"/>
      <c r="Q858" s="39"/>
      <c r="R858" s="39">
        <f t="shared" si="481"/>
        <v>0</v>
      </c>
      <c r="S858" s="39"/>
      <c r="T858" s="39"/>
      <c r="U858" s="39"/>
      <c r="V858" s="39"/>
      <c r="W858" s="39"/>
      <c r="X858" s="39"/>
      <c r="Y858" s="39"/>
      <c r="Z858" s="39"/>
      <c r="AA858" s="39"/>
      <c r="AB858" s="39">
        <f t="shared" si="482"/>
        <v>0</v>
      </c>
      <c r="AC858" s="39"/>
      <c r="AD858" s="39"/>
      <c r="AE858" s="39"/>
      <c r="AF858" s="39"/>
      <c r="AG858" s="39"/>
      <c r="AH858" s="39">
        <f t="shared" si="483"/>
        <v>0</v>
      </c>
      <c r="AI858" s="39"/>
      <c r="AJ858" s="39"/>
      <c r="AK858" s="39"/>
      <c r="AL858" s="39"/>
      <c r="AM858" s="39"/>
      <c r="AN858" s="39">
        <f t="shared" si="522"/>
        <v>0</v>
      </c>
      <c r="AO858" s="39"/>
      <c r="AP858" s="39"/>
      <c r="AQ858" s="39"/>
      <c r="AR858" s="39"/>
      <c r="AS858" s="39"/>
      <c r="AT858" s="39">
        <f t="shared" si="367"/>
        <v>0</v>
      </c>
      <c r="AU858" s="39"/>
      <c r="AV858" s="39"/>
      <c r="AW858" s="39"/>
      <c r="AX858" s="39"/>
      <c r="AY858" s="39"/>
      <c r="AZ858" s="39">
        <f t="shared" si="368"/>
        <v>0</v>
      </c>
      <c r="BA858" s="39"/>
      <c r="BB858" s="39"/>
      <c r="BC858" s="39"/>
      <c r="BD858" s="39"/>
      <c r="BE858" s="39"/>
      <c r="BF858" s="39">
        <f t="shared" si="369"/>
        <v>0</v>
      </c>
      <c r="BG858" s="39"/>
      <c r="BH858" s="39"/>
      <c r="BI858" s="39"/>
      <c r="BJ858" s="39"/>
      <c r="BK858" s="39"/>
      <c r="BL858" s="39">
        <f t="shared" si="484"/>
        <v>0</v>
      </c>
      <c r="BM858" s="54" t="e">
        <f t="shared" si="371"/>
        <v>#DIV/0!</v>
      </c>
      <c r="BN858" s="67"/>
      <c r="BO858" s="39"/>
      <c r="BP858" s="39"/>
      <c r="BQ858" s="39"/>
      <c r="BR858" s="39"/>
      <c r="BS858" s="39"/>
      <c r="BT858" s="39"/>
      <c r="BU858" s="39"/>
      <c r="BV858" s="39"/>
      <c r="BW858" s="39"/>
      <c r="BX858" s="39"/>
      <c r="BY858" s="39"/>
      <c r="BZ858" s="39">
        <f t="shared" si="485"/>
        <v>0</v>
      </c>
      <c r="CA858" s="39">
        <f t="shared" si="373"/>
        <v>0</v>
      </c>
      <c r="CB858" s="39">
        <f t="shared" si="374"/>
        <v>0</v>
      </c>
      <c r="CC858" s="39">
        <f t="shared" si="375"/>
        <v>0</v>
      </c>
      <c r="CD858" s="39">
        <f t="shared" si="376"/>
        <v>0</v>
      </c>
      <c r="CE858" s="47" t="e">
        <f t="shared" si="377"/>
        <v>#DIV/0!</v>
      </c>
      <c r="CF858" s="36"/>
      <c r="CG858" s="39"/>
      <c r="CH858" s="39"/>
      <c r="CI858" s="25">
        <v>2</v>
      </c>
    </row>
    <row r="859" spans="1:87" ht="24.75" customHeight="1">
      <c r="A859" s="36" t="s">
        <v>388</v>
      </c>
      <c r="B859" s="27"/>
      <c r="C859" s="36"/>
      <c r="D859" s="36"/>
      <c r="E859" s="39"/>
      <c r="F859" s="39"/>
      <c r="G859" s="36"/>
      <c r="H859" s="39"/>
      <c r="I859" s="39"/>
      <c r="J859" s="39"/>
      <c r="K859" s="39"/>
      <c r="L859" s="39">
        <f t="shared" si="521"/>
        <v>0</v>
      </c>
      <c r="M859" s="39"/>
      <c r="N859" s="39"/>
      <c r="O859" s="39"/>
      <c r="P859" s="39"/>
      <c r="Q859" s="39"/>
      <c r="R859" s="39">
        <f t="shared" si="481"/>
        <v>0</v>
      </c>
      <c r="S859" s="39"/>
      <c r="T859" s="39"/>
      <c r="U859" s="39"/>
      <c r="V859" s="39"/>
      <c r="W859" s="39"/>
      <c r="X859" s="39"/>
      <c r="Y859" s="39"/>
      <c r="Z859" s="39"/>
      <c r="AA859" s="39"/>
      <c r="AB859" s="39">
        <f t="shared" si="482"/>
        <v>0</v>
      </c>
      <c r="AC859" s="39"/>
      <c r="AD859" s="39"/>
      <c r="AE859" s="39"/>
      <c r="AF859" s="39"/>
      <c r="AG859" s="39"/>
      <c r="AH859" s="39">
        <f t="shared" si="483"/>
        <v>0</v>
      </c>
      <c r="AI859" s="39"/>
      <c r="AJ859" s="39"/>
      <c r="AK859" s="39"/>
      <c r="AL859" s="39"/>
      <c r="AM859" s="39"/>
      <c r="AN859" s="39">
        <f t="shared" si="522"/>
        <v>0</v>
      </c>
      <c r="AO859" s="39"/>
      <c r="AP859" s="39"/>
      <c r="AQ859" s="39"/>
      <c r="AR859" s="39"/>
      <c r="AS859" s="39"/>
      <c r="AT859" s="39">
        <f t="shared" si="367"/>
        <v>0</v>
      </c>
      <c r="AU859" s="39"/>
      <c r="AV859" s="39"/>
      <c r="AW859" s="39"/>
      <c r="AX859" s="39"/>
      <c r="AY859" s="39"/>
      <c r="AZ859" s="39">
        <f t="shared" si="368"/>
        <v>0</v>
      </c>
      <c r="BA859" s="39"/>
      <c r="BB859" s="39"/>
      <c r="BC859" s="39"/>
      <c r="BD859" s="39"/>
      <c r="BE859" s="39"/>
      <c r="BF859" s="39">
        <f t="shared" si="369"/>
        <v>0</v>
      </c>
      <c r="BG859" s="39"/>
      <c r="BH859" s="39"/>
      <c r="BI859" s="39"/>
      <c r="BJ859" s="39"/>
      <c r="BK859" s="39"/>
      <c r="BL859" s="39">
        <f t="shared" si="484"/>
        <v>0</v>
      </c>
      <c r="BM859" s="54" t="e">
        <f t="shared" si="371"/>
        <v>#DIV/0!</v>
      </c>
      <c r="BN859" s="67"/>
      <c r="BO859" s="39"/>
      <c r="BP859" s="39"/>
      <c r="BQ859" s="39"/>
      <c r="BR859" s="39"/>
      <c r="BS859" s="39"/>
      <c r="BT859" s="39"/>
      <c r="BU859" s="39"/>
      <c r="BV859" s="39"/>
      <c r="BW859" s="39"/>
      <c r="BX859" s="39"/>
      <c r="BY859" s="39"/>
      <c r="BZ859" s="39">
        <f t="shared" si="485"/>
        <v>0</v>
      </c>
      <c r="CA859" s="39">
        <f t="shared" si="373"/>
        <v>0</v>
      </c>
      <c r="CB859" s="39">
        <f t="shared" si="374"/>
        <v>0</v>
      </c>
      <c r="CC859" s="39">
        <f t="shared" si="375"/>
        <v>0</v>
      </c>
      <c r="CD859" s="39">
        <f t="shared" si="376"/>
        <v>0</v>
      </c>
      <c r="CE859" s="47" t="e">
        <f t="shared" si="377"/>
        <v>#DIV/0!</v>
      </c>
      <c r="CF859" s="36"/>
      <c r="CG859" s="39"/>
      <c r="CH859" s="39"/>
      <c r="CI859" s="25">
        <v>2</v>
      </c>
    </row>
    <row r="860" spans="1:87" ht="24.75" customHeight="1">
      <c r="A860" s="36" t="s">
        <v>388</v>
      </c>
      <c r="B860" s="27"/>
      <c r="C860" s="36"/>
      <c r="D860" s="36"/>
      <c r="E860" s="39"/>
      <c r="F860" s="39"/>
      <c r="G860" s="36"/>
      <c r="H860" s="39"/>
      <c r="I860" s="39"/>
      <c r="J860" s="39"/>
      <c r="K860" s="39"/>
      <c r="L860" s="39">
        <f t="shared" si="521"/>
        <v>0</v>
      </c>
      <c r="M860" s="39"/>
      <c r="N860" s="39"/>
      <c r="O860" s="39"/>
      <c r="P860" s="39"/>
      <c r="Q860" s="39"/>
      <c r="R860" s="39">
        <f t="shared" si="481"/>
        <v>0</v>
      </c>
      <c r="S860" s="39"/>
      <c r="T860" s="39"/>
      <c r="U860" s="39"/>
      <c r="V860" s="39"/>
      <c r="W860" s="39"/>
      <c r="X860" s="39"/>
      <c r="Y860" s="39"/>
      <c r="Z860" s="39"/>
      <c r="AA860" s="39"/>
      <c r="AB860" s="39">
        <f t="shared" si="482"/>
        <v>0</v>
      </c>
      <c r="AC860" s="39"/>
      <c r="AD860" s="39"/>
      <c r="AE860" s="39"/>
      <c r="AF860" s="39"/>
      <c r="AG860" s="39"/>
      <c r="AH860" s="39">
        <f t="shared" si="483"/>
        <v>0</v>
      </c>
      <c r="AI860" s="39"/>
      <c r="AJ860" s="39"/>
      <c r="AK860" s="39"/>
      <c r="AL860" s="39"/>
      <c r="AM860" s="39"/>
      <c r="AN860" s="39">
        <f t="shared" si="522"/>
        <v>0</v>
      </c>
      <c r="AO860" s="39"/>
      <c r="AP860" s="39"/>
      <c r="AQ860" s="39"/>
      <c r="AR860" s="39"/>
      <c r="AS860" s="39"/>
      <c r="AT860" s="39">
        <f t="shared" si="367"/>
        <v>0</v>
      </c>
      <c r="AU860" s="39"/>
      <c r="AV860" s="39"/>
      <c r="AW860" s="39"/>
      <c r="AX860" s="39"/>
      <c r="AY860" s="39"/>
      <c r="AZ860" s="39">
        <f t="shared" si="368"/>
        <v>0</v>
      </c>
      <c r="BA860" s="39"/>
      <c r="BB860" s="39"/>
      <c r="BC860" s="39"/>
      <c r="BD860" s="39"/>
      <c r="BE860" s="39"/>
      <c r="BF860" s="39">
        <f t="shared" si="369"/>
        <v>0</v>
      </c>
      <c r="BG860" s="39"/>
      <c r="BH860" s="39"/>
      <c r="BI860" s="39"/>
      <c r="BJ860" s="39"/>
      <c r="BK860" s="39"/>
      <c r="BL860" s="39">
        <f t="shared" si="484"/>
        <v>0</v>
      </c>
      <c r="BM860" s="54" t="e">
        <f t="shared" si="371"/>
        <v>#DIV/0!</v>
      </c>
      <c r="BN860" s="67"/>
      <c r="BO860" s="39"/>
      <c r="BP860" s="39"/>
      <c r="BQ860" s="39"/>
      <c r="BR860" s="39"/>
      <c r="BS860" s="39"/>
      <c r="BT860" s="39"/>
      <c r="BU860" s="39"/>
      <c r="BV860" s="39"/>
      <c r="BW860" s="39"/>
      <c r="BX860" s="39"/>
      <c r="BY860" s="39"/>
      <c r="BZ860" s="39">
        <f t="shared" si="485"/>
        <v>0</v>
      </c>
      <c r="CA860" s="39">
        <f t="shared" si="373"/>
        <v>0</v>
      </c>
      <c r="CB860" s="39">
        <f t="shared" si="374"/>
        <v>0</v>
      </c>
      <c r="CC860" s="39">
        <f t="shared" si="375"/>
        <v>0</v>
      </c>
      <c r="CD860" s="39">
        <f t="shared" si="376"/>
        <v>0</v>
      </c>
      <c r="CE860" s="47" t="e">
        <f t="shared" si="377"/>
        <v>#DIV/0!</v>
      </c>
      <c r="CF860" s="36"/>
      <c r="CG860" s="39"/>
      <c r="CH860" s="39"/>
      <c r="CI860" s="25">
        <v>2</v>
      </c>
    </row>
    <row r="861" spans="1:87" ht="24.75" customHeight="1">
      <c r="A861" s="36" t="s">
        <v>388</v>
      </c>
      <c r="B861" s="27"/>
      <c r="C861" s="36"/>
      <c r="D861" s="36"/>
      <c r="E861" s="39"/>
      <c r="F861" s="39"/>
      <c r="G861" s="36"/>
      <c r="H861" s="39"/>
      <c r="I861" s="39"/>
      <c r="J861" s="39"/>
      <c r="K861" s="39"/>
      <c r="L861" s="39">
        <f t="shared" si="521"/>
        <v>0</v>
      </c>
      <c r="M861" s="39"/>
      <c r="N861" s="39"/>
      <c r="O861" s="39"/>
      <c r="P861" s="39"/>
      <c r="Q861" s="39"/>
      <c r="R861" s="39">
        <f t="shared" si="481"/>
        <v>0</v>
      </c>
      <c r="S861" s="39"/>
      <c r="T861" s="39"/>
      <c r="U861" s="39"/>
      <c r="V861" s="39"/>
      <c r="W861" s="39"/>
      <c r="X861" s="39"/>
      <c r="Y861" s="39"/>
      <c r="Z861" s="39"/>
      <c r="AA861" s="39"/>
      <c r="AB861" s="39">
        <f t="shared" si="482"/>
        <v>0</v>
      </c>
      <c r="AC861" s="39"/>
      <c r="AD861" s="39"/>
      <c r="AE861" s="39"/>
      <c r="AF861" s="39"/>
      <c r="AG861" s="39"/>
      <c r="AH861" s="39">
        <f t="shared" si="483"/>
        <v>0</v>
      </c>
      <c r="AI861" s="39"/>
      <c r="AJ861" s="39"/>
      <c r="AK861" s="39"/>
      <c r="AL861" s="39"/>
      <c r="AM861" s="39"/>
      <c r="AN861" s="39">
        <f t="shared" si="522"/>
        <v>0</v>
      </c>
      <c r="AO861" s="39"/>
      <c r="AP861" s="39"/>
      <c r="AQ861" s="39"/>
      <c r="AR861" s="39"/>
      <c r="AS861" s="39"/>
      <c r="AT861" s="39">
        <f t="shared" si="367"/>
        <v>0</v>
      </c>
      <c r="AU861" s="39"/>
      <c r="AV861" s="39"/>
      <c r="AW861" s="39"/>
      <c r="AX861" s="39"/>
      <c r="AY861" s="39"/>
      <c r="AZ861" s="39">
        <f t="shared" si="368"/>
        <v>0</v>
      </c>
      <c r="BA861" s="39"/>
      <c r="BB861" s="39"/>
      <c r="BC861" s="39"/>
      <c r="BD861" s="39"/>
      <c r="BE861" s="39"/>
      <c r="BF861" s="39">
        <f t="shared" si="369"/>
        <v>0</v>
      </c>
      <c r="BG861" s="39"/>
      <c r="BH861" s="39"/>
      <c r="BI861" s="39"/>
      <c r="BJ861" s="39"/>
      <c r="BK861" s="39"/>
      <c r="BL861" s="39">
        <f t="shared" si="484"/>
        <v>0</v>
      </c>
      <c r="BM861" s="54" t="e">
        <f t="shared" si="371"/>
        <v>#DIV/0!</v>
      </c>
      <c r="BN861" s="67"/>
      <c r="BO861" s="39"/>
      <c r="BP861" s="39"/>
      <c r="BQ861" s="39"/>
      <c r="BR861" s="39"/>
      <c r="BS861" s="39"/>
      <c r="BT861" s="39"/>
      <c r="BU861" s="39"/>
      <c r="BV861" s="39"/>
      <c r="BW861" s="39"/>
      <c r="BX861" s="39"/>
      <c r="BY861" s="39"/>
      <c r="BZ861" s="39">
        <f t="shared" si="485"/>
        <v>0</v>
      </c>
      <c r="CA861" s="39">
        <f t="shared" si="373"/>
        <v>0</v>
      </c>
      <c r="CB861" s="39">
        <f t="shared" si="374"/>
        <v>0</v>
      </c>
      <c r="CC861" s="39">
        <f t="shared" si="375"/>
        <v>0</v>
      </c>
      <c r="CD861" s="39">
        <f t="shared" si="376"/>
        <v>0</v>
      </c>
      <c r="CE861" s="47" t="e">
        <f t="shared" si="377"/>
        <v>#DIV/0!</v>
      </c>
      <c r="CF861" s="36"/>
      <c r="CG861" s="39"/>
      <c r="CH861" s="39"/>
      <c r="CI861" s="25">
        <v>2</v>
      </c>
    </row>
    <row r="862" spans="1:87" ht="24.75" customHeight="1">
      <c r="A862" s="36" t="s">
        <v>388</v>
      </c>
      <c r="B862" s="27" t="s">
        <v>2446</v>
      </c>
      <c r="C862" s="227">
        <v>15343893</v>
      </c>
      <c r="D862" s="36"/>
      <c r="E862" s="39">
        <v>230</v>
      </c>
      <c r="F862" s="39" t="s">
        <v>58</v>
      </c>
      <c r="G862" s="36" t="s">
        <v>1367</v>
      </c>
      <c r="H862" s="39" t="s">
        <v>96</v>
      </c>
      <c r="I862" s="39">
        <v>85</v>
      </c>
      <c r="J862" s="39"/>
      <c r="K862" s="39"/>
      <c r="L862" s="39">
        <f t="shared" ref="L862:L915" si="523">SUM(I862:K862)</f>
        <v>85</v>
      </c>
      <c r="M862" s="117">
        <v>46280</v>
      </c>
      <c r="N862" s="117">
        <v>46287</v>
      </c>
      <c r="O862" s="39"/>
      <c r="P862" s="39"/>
      <c r="Q862" s="39"/>
      <c r="R862" s="39">
        <f t="shared" ref="R862:R905" si="524">SUM(O862:Q862)</f>
        <v>0</v>
      </c>
      <c r="S862" s="39" t="s">
        <v>28</v>
      </c>
      <c r="T862" s="39"/>
      <c r="U862" s="39"/>
      <c r="V862" s="117">
        <v>46270</v>
      </c>
      <c r="W862" s="39">
        <v>104</v>
      </c>
      <c r="X862" s="39"/>
      <c r="Y862" s="39"/>
      <c r="Z862" s="39"/>
      <c r="AA862" s="39"/>
      <c r="AB862" s="118">
        <f t="shared" ref="AB862:AB905" si="525">SUM(Y862:AA862)</f>
        <v>0</v>
      </c>
      <c r="AC862" s="39"/>
      <c r="AD862" s="39"/>
      <c r="AE862" s="39"/>
      <c r="AF862" s="39"/>
      <c r="AG862" s="39"/>
      <c r="AH862" s="39">
        <f t="shared" si="483"/>
        <v>0</v>
      </c>
      <c r="AI862" s="39"/>
      <c r="AJ862" s="39"/>
      <c r="AK862" s="39"/>
      <c r="AL862" s="39"/>
      <c r="AM862" s="39"/>
      <c r="AN862" s="39">
        <f t="shared" si="522"/>
        <v>0</v>
      </c>
      <c r="AO862" s="39"/>
      <c r="AP862" s="39"/>
      <c r="AQ862" s="39"/>
      <c r="AR862" s="39"/>
      <c r="AS862" s="39"/>
      <c r="AT862" s="39">
        <f t="shared" si="367"/>
        <v>0</v>
      </c>
      <c r="AU862" s="39"/>
      <c r="AV862" s="39"/>
      <c r="AW862" s="39"/>
      <c r="AX862" s="39"/>
      <c r="AY862" s="39"/>
      <c r="AZ862" s="39">
        <f t="shared" si="368"/>
        <v>0</v>
      </c>
      <c r="BA862" s="39"/>
      <c r="BB862" s="39"/>
      <c r="BC862" s="39"/>
      <c r="BD862" s="39"/>
      <c r="BE862" s="39"/>
      <c r="BF862" s="39">
        <f t="shared" si="369"/>
        <v>0</v>
      </c>
      <c r="BG862" s="39"/>
      <c r="BH862" s="39"/>
      <c r="BI862" s="39"/>
      <c r="BJ862" s="39"/>
      <c r="BK862" s="39"/>
      <c r="BL862" s="39">
        <f t="shared" si="484"/>
        <v>0</v>
      </c>
      <c r="BM862" s="54">
        <f t="shared" ca="1" si="371"/>
        <v>46283</v>
      </c>
      <c r="BN862" s="60">
        <v>46290</v>
      </c>
      <c r="BO862" s="57">
        <v>46305</v>
      </c>
      <c r="BP862" s="36"/>
      <c r="BQ862" s="36"/>
      <c r="BR862" s="39"/>
      <c r="BS862" s="39"/>
      <c r="BT862" s="39"/>
      <c r="BU862" s="39"/>
      <c r="BV862" s="39"/>
      <c r="BW862" s="39"/>
      <c r="BX862" s="39"/>
      <c r="BY862" s="39"/>
      <c r="BZ862" s="39">
        <f t="shared" si="485"/>
        <v>0</v>
      </c>
      <c r="CA862" s="39">
        <f t="shared" si="373"/>
        <v>-85</v>
      </c>
      <c r="CB862" s="39">
        <f t="shared" si="374"/>
        <v>0</v>
      </c>
      <c r="CC862" s="39">
        <f t="shared" si="375"/>
        <v>0</v>
      </c>
      <c r="CD862" s="39">
        <f t="shared" si="376"/>
        <v>-85</v>
      </c>
      <c r="CE862" s="102">
        <f t="shared" si="377"/>
        <v>-1</v>
      </c>
      <c r="CF862" s="36" t="s">
        <v>252</v>
      </c>
      <c r="CG862" s="39" t="s">
        <v>223</v>
      </c>
      <c r="CH862" s="39"/>
      <c r="CI862" s="25">
        <v>3</v>
      </c>
    </row>
    <row r="863" spans="1:87" ht="24.75" customHeight="1">
      <c r="A863" s="36" t="s">
        <v>388</v>
      </c>
      <c r="B863" s="27" t="s">
        <v>2446</v>
      </c>
      <c r="C863" s="231"/>
      <c r="D863" s="36"/>
      <c r="E863" s="39">
        <v>230</v>
      </c>
      <c r="F863" s="39" t="s">
        <v>58</v>
      </c>
      <c r="G863" s="36" t="s">
        <v>847</v>
      </c>
      <c r="H863" s="39" t="s">
        <v>96</v>
      </c>
      <c r="I863" s="39">
        <v>123</v>
      </c>
      <c r="J863" s="39"/>
      <c r="K863" s="39"/>
      <c r="L863" s="39">
        <f t="shared" si="523"/>
        <v>123</v>
      </c>
      <c r="M863" s="117">
        <v>46280</v>
      </c>
      <c r="N863" s="117">
        <v>46287</v>
      </c>
      <c r="O863" s="39"/>
      <c r="P863" s="39"/>
      <c r="Q863" s="39"/>
      <c r="R863" s="39">
        <f t="shared" si="524"/>
        <v>0</v>
      </c>
      <c r="S863" s="39" t="s">
        <v>100</v>
      </c>
      <c r="T863" s="39"/>
      <c r="U863" s="39"/>
      <c r="V863" s="117">
        <v>46273</v>
      </c>
      <c r="W863" s="39">
        <v>150</v>
      </c>
      <c r="X863" s="39"/>
      <c r="Y863" s="39"/>
      <c r="Z863" s="39"/>
      <c r="AA863" s="39"/>
      <c r="AB863" s="118">
        <f t="shared" si="525"/>
        <v>0</v>
      </c>
      <c r="AC863" s="39"/>
      <c r="AD863" s="39"/>
      <c r="AE863" s="39"/>
      <c r="AF863" s="39"/>
      <c r="AG863" s="39"/>
      <c r="AH863" s="39">
        <f t="shared" si="483"/>
        <v>0</v>
      </c>
      <c r="AI863" s="39"/>
      <c r="AJ863" s="39"/>
      <c r="AK863" s="39"/>
      <c r="AL863" s="39"/>
      <c r="AM863" s="39"/>
      <c r="AN863" s="39">
        <f t="shared" si="522"/>
        <v>0</v>
      </c>
      <c r="AO863" s="39"/>
      <c r="AP863" s="39"/>
      <c r="AQ863" s="39"/>
      <c r="AR863" s="39"/>
      <c r="AS863" s="39"/>
      <c r="AT863" s="39">
        <f t="shared" si="367"/>
        <v>0</v>
      </c>
      <c r="AU863" s="39"/>
      <c r="AV863" s="39"/>
      <c r="AW863" s="39"/>
      <c r="AX863" s="39"/>
      <c r="AY863" s="39"/>
      <c r="AZ863" s="39">
        <f t="shared" si="368"/>
        <v>0</v>
      </c>
      <c r="BA863" s="39"/>
      <c r="BB863" s="39"/>
      <c r="BC863" s="39"/>
      <c r="BD863" s="39"/>
      <c r="BE863" s="39"/>
      <c r="BF863" s="39">
        <f t="shared" si="369"/>
        <v>0</v>
      </c>
      <c r="BG863" s="39"/>
      <c r="BH863" s="39"/>
      <c r="BI863" s="39"/>
      <c r="BJ863" s="39"/>
      <c r="BK863" s="39"/>
      <c r="BL863" s="39">
        <f t="shared" si="484"/>
        <v>0</v>
      </c>
      <c r="BM863" s="54">
        <f t="shared" ca="1" si="371"/>
        <v>46283</v>
      </c>
      <c r="BN863" s="60">
        <v>46290</v>
      </c>
      <c r="BO863" s="57">
        <v>46305</v>
      </c>
      <c r="BP863" s="36"/>
      <c r="BQ863" s="36"/>
      <c r="BR863" s="39"/>
      <c r="BS863" s="39"/>
      <c r="BT863" s="39"/>
      <c r="BU863" s="39"/>
      <c r="BV863" s="39"/>
      <c r="BW863" s="39"/>
      <c r="BX863" s="39"/>
      <c r="BY863" s="39"/>
      <c r="BZ863" s="39">
        <f t="shared" si="485"/>
        <v>0</v>
      </c>
      <c r="CA863" s="39">
        <f t="shared" si="373"/>
        <v>-123</v>
      </c>
      <c r="CB863" s="39">
        <f t="shared" si="374"/>
        <v>0</v>
      </c>
      <c r="CC863" s="39">
        <f t="shared" si="375"/>
        <v>0</v>
      </c>
      <c r="CD863" s="39">
        <f t="shared" si="376"/>
        <v>-123</v>
      </c>
      <c r="CE863" s="102">
        <f t="shared" si="377"/>
        <v>-1</v>
      </c>
      <c r="CF863" s="36" t="s">
        <v>252</v>
      </c>
      <c r="CG863" s="39" t="s">
        <v>223</v>
      </c>
      <c r="CH863" s="39"/>
      <c r="CI863" s="25">
        <v>3</v>
      </c>
    </row>
    <row r="864" spans="1:87" ht="24.75" customHeight="1">
      <c r="A864" s="36" t="s">
        <v>388</v>
      </c>
      <c r="B864" s="27" t="s">
        <v>2446</v>
      </c>
      <c r="C864" s="231"/>
      <c r="D864" s="36"/>
      <c r="E864" s="39">
        <v>230</v>
      </c>
      <c r="F864" s="39" t="s">
        <v>58</v>
      </c>
      <c r="G864" s="36" t="s">
        <v>351</v>
      </c>
      <c r="H864" s="39" t="s">
        <v>96</v>
      </c>
      <c r="I864" s="39">
        <v>176</v>
      </c>
      <c r="J864" s="39"/>
      <c r="K864" s="39"/>
      <c r="L864" s="39">
        <f t="shared" si="523"/>
        <v>176</v>
      </c>
      <c r="M864" s="117">
        <v>46280</v>
      </c>
      <c r="N864" s="117">
        <v>46287</v>
      </c>
      <c r="O864" s="39"/>
      <c r="P864" s="39"/>
      <c r="Q864" s="39"/>
      <c r="R864" s="39">
        <f t="shared" si="524"/>
        <v>0</v>
      </c>
      <c r="S864" s="39" t="s">
        <v>31</v>
      </c>
      <c r="T864" s="39"/>
      <c r="U864" s="39"/>
      <c r="V864" s="117">
        <v>46274</v>
      </c>
      <c r="W864" s="39">
        <v>207</v>
      </c>
      <c r="X864" s="39"/>
      <c r="Y864" s="39"/>
      <c r="Z864" s="39"/>
      <c r="AA864" s="39"/>
      <c r="AB864" s="118">
        <f t="shared" si="525"/>
        <v>0</v>
      </c>
      <c r="AC864" s="39"/>
      <c r="AD864" s="39"/>
      <c r="AE864" s="39"/>
      <c r="AF864" s="39"/>
      <c r="AG864" s="39"/>
      <c r="AH864" s="39">
        <f t="shared" si="483"/>
        <v>0</v>
      </c>
      <c r="AI864" s="39"/>
      <c r="AJ864" s="39"/>
      <c r="AK864" s="39"/>
      <c r="AL864" s="39"/>
      <c r="AM864" s="39"/>
      <c r="AN864" s="39">
        <f t="shared" si="522"/>
        <v>0</v>
      </c>
      <c r="AO864" s="39"/>
      <c r="AP864" s="39"/>
      <c r="AQ864" s="39"/>
      <c r="AR864" s="39"/>
      <c r="AS864" s="39"/>
      <c r="AT864" s="39">
        <f t="shared" si="367"/>
        <v>0</v>
      </c>
      <c r="AU864" s="39"/>
      <c r="AV864" s="39"/>
      <c r="AW864" s="39"/>
      <c r="AX864" s="39"/>
      <c r="AY864" s="39"/>
      <c r="AZ864" s="39">
        <f t="shared" si="368"/>
        <v>0</v>
      </c>
      <c r="BA864" s="39"/>
      <c r="BB864" s="39"/>
      <c r="BC864" s="39"/>
      <c r="BD864" s="39"/>
      <c r="BE864" s="39"/>
      <c r="BF864" s="39">
        <f t="shared" si="369"/>
        <v>0</v>
      </c>
      <c r="BG864" s="39"/>
      <c r="BH864" s="39"/>
      <c r="BI864" s="39"/>
      <c r="BJ864" s="39"/>
      <c r="BK864" s="39"/>
      <c r="BL864" s="39">
        <f t="shared" si="484"/>
        <v>0</v>
      </c>
      <c r="BM864" s="54">
        <f t="shared" ca="1" si="371"/>
        <v>46283</v>
      </c>
      <c r="BN864" s="60">
        <v>46290</v>
      </c>
      <c r="BO864" s="57">
        <v>46305</v>
      </c>
      <c r="BP864" s="36"/>
      <c r="BQ864" s="36"/>
      <c r="BR864" s="39"/>
      <c r="BS864" s="39"/>
      <c r="BT864" s="39"/>
      <c r="BU864" s="39"/>
      <c r="BV864" s="39"/>
      <c r="BW864" s="39"/>
      <c r="BX864" s="39"/>
      <c r="BY864" s="39"/>
      <c r="BZ864" s="39">
        <f t="shared" si="485"/>
        <v>0</v>
      </c>
      <c r="CA864" s="39">
        <f t="shared" si="373"/>
        <v>-176</v>
      </c>
      <c r="CB864" s="39">
        <f t="shared" si="374"/>
        <v>0</v>
      </c>
      <c r="CC864" s="39">
        <f t="shared" si="375"/>
        <v>0</v>
      </c>
      <c r="CD864" s="39">
        <f t="shared" si="376"/>
        <v>-176</v>
      </c>
      <c r="CE864" s="102">
        <f t="shared" si="377"/>
        <v>-1</v>
      </c>
      <c r="CF864" s="36" t="s">
        <v>252</v>
      </c>
      <c r="CG864" s="39" t="s">
        <v>223</v>
      </c>
      <c r="CH864" s="39"/>
      <c r="CI864" s="25">
        <v>3</v>
      </c>
    </row>
    <row r="865" spans="1:87" ht="24.75" customHeight="1">
      <c r="A865" s="36" t="s">
        <v>388</v>
      </c>
      <c r="B865" s="27" t="s">
        <v>2446</v>
      </c>
      <c r="C865" s="231"/>
      <c r="D865" s="36"/>
      <c r="E865" s="39">
        <v>230</v>
      </c>
      <c r="F865" s="39" t="s">
        <v>58</v>
      </c>
      <c r="G865" s="36" t="s">
        <v>21</v>
      </c>
      <c r="H865" s="39" t="s">
        <v>96</v>
      </c>
      <c r="I865" s="39">
        <v>54</v>
      </c>
      <c r="J865" s="39"/>
      <c r="K865" s="39"/>
      <c r="L865" s="39">
        <f t="shared" si="523"/>
        <v>54</v>
      </c>
      <c r="M865" s="117">
        <v>46280</v>
      </c>
      <c r="N865" s="117">
        <v>46287</v>
      </c>
      <c r="O865" s="39"/>
      <c r="P865" s="39"/>
      <c r="Q865" s="39"/>
      <c r="R865" s="39">
        <f t="shared" si="524"/>
        <v>0</v>
      </c>
      <c r="S865" s="39" t="s">
        <v>130</v>
      </c>
      <c r="T865" s="39">
        <v>109436</v>
      </c>
      <c r="U865" s="117">
        <v>46280</v>
      </c>
      <c r="V865" s="39"/>
      <c r="W865" s="39"/>
      <c r="X865" s="39"/>
      <c r="Y865" s="39">
        <v>79</v>
      </c>
      <c r="Z865" s="39"/>
      <c r="AA865" s="39"/>
      <c r="AB865" s="119">
        <f t="shared" si="525"/>
        <v>79</v>
      </c>
      <c r="AC865" s="39"/>
      <c r="AD865" s="39"/>
      <c r="AE865" s="39"/>
      <c r="AF865" s="39"/>
      <c r="AG865" s="39"/>
      <c r="AH865" s="39">
        <f t="shared" si="483"/>
        <v>0</v>
      </c>
      <c r="AI865" s="39"/>
      <c r="AJ865" s="39"/>
      <c r="AK865" s="39"/>
      <c r="AL865" s="39"/>
      <c r="AM865" s="39"/>
      <c r="AN865" s="39">
        <f t="shared" si="522"/>
        <v>0</v>
      </c>
      <c r="AO865" s="39"/>
      <c r="AP865" s="39"/>
      <c r="AQ865" s="39"/>
      <c r="AR865" s="39"/>
      <c r="AS865" s="39"/>
      <c r="AT865" s="39">
        <f t="shared" si="367"/>
        <v>0</v>
      </c>
      <c r="AU865" s="39"/>
      <c r="AV865" s="39"/>
      <c r="AW865" s="39"/>
      <c r="AX865" s="39"/>
      <c r="AY865" s="39"/>
      <c r="AZ865" s="39">
        <f t="shared" si="368"/>
        <v>0</v>
      </c>
      <c r="BA865" s="39"/>
      <c r="BB865" s="39"/>
      <c r="BC865" s="39"/>
      <c r="BD865" s="39"/>
      <c r="BE865" s="39"/>
      <c r="BF865" s="39">
        <f t="shared" si="369"/>
        <v>0</v>
      </c>
      <c r="BG865" s="39"/>
      <c r="BH865" s="39"/>
      <c r="BI865" s="39"/>
      <c r="BJ865" s="39"/>
      <c r="BK865" s="39"/>
      <c r="BL865" s="39">
        <f t="shared" si="484"/>
        <v>0</v>
      </c>
      <c r="BM865" s="54">
        <f t="shared" ca="1" si="371"/>
        <v>3</v>
      </c>
      <c r="BN865" s="60">
        <v>46290</v>
      </c>
      <c r="BO865" s="57">
        <v>46305</v>
      </c>
      <c r="BP865" s="36"/>
      <c r="BQ865" s="36"/>
      <c r="BR865" s="39"/>
      <c r="BS865" s="39"/>
      <c r="BT865" s="39"/>
      <c r="BU865" s="39"/>
      <c r="BV865" s="39"/>
      <c r="BW865" s="39"/>
      <c r="BX865" s="39"/>
      <c r="BY865" s="39"/>
      <c r="BZ865" s="39">
        <f t="shared" si="485"/>
        <v>0</v>
      </c>
      <c r="CA865" s="39">
        <f t="shared" si="373"/>
        <v>-54</v>
      </c>
      <c r="CB865" s="39">
        <f t="shared" si="374"/>
        <v>0</v>
      </c>
      <c r="CC865" s="39">
        <f t="shared" si="375"/>
        <v>0</v>
      </c>
      <c r="CD865" s="39">
        <f t="shared" si="376"/>
        <v>-54</v>
      </c>
      <c r="CE865" s="102">
        <f t="shared" si="377"/>
        <v>-1</v>
      </c>
      <c r="CF865" s="36" t="s">
        <v>252</v>
      </c>
      <c r="CG865" s="39" t="s">
        <v>223</v>
      </c>
      <c r="CH865" s="39"/>
      <c r="CI865" s="25">
        <v>3</v>
      </c>
    </row>
    <row r="866" spans="1:87" ht="24.75" customHeight="1">
      <c r="A866" s="36" t="s">
        <v>388</v>
      </c>
      <c r="B866" s="27" t="s">
        <v>2446</v>
      </c>
      <c r="C866" s="231"/>
      <c r="D866" s="36"/>
      <c r="E866" s="39">
        <v>230</v>
      </c>
      <c r="F866" s="39" t="s">
        <v>58</v>
      </c>
      <c r="G866" s="36" t="s">
        <v>2440</v>
      </c>
      <c r="H866" s="39" t="s">
        <v>96</v>
      </c>
      <c r="I866" s="39">
        <v>458</v>
      </c>
      <c r="J866" s="39"/>
      <c r="K866" s="39"/>
      <c r="L866" s="39">
        <f t="shared" si="523"/>
        <v>458</v>
      </c>
      <c r="M866" s="117">
        <v>46280</v>
      </c>
      <c r="N866" s="117">
        <v>46287</v>
      </c>
      <c r="O866" s="39"/>
      <c r="P866" s="39"/>
      <c r="Q866" s="39"/>
      <c r="R866" s="39">
        <f t="shared" si="524"/>
        <v>0</v>
      </c>
      <c r="S866" s="39" t="s">
        <v>270</v>
      </c>
      <c r="T866" s="39"/>
      <c r="U866" s="39"/>
      <c r="V866" s="117">
        <v>46272</v>
      </c>
      <c r="W866" s="39">
        <v>512</v>
      </c>
      <c r="X866" s="39"/>
      <c r="Y866" s="39"/>
      <c r="Z866" s="39"/>
      <c r="AA866" s="39"/>
      <c r="AB866" s="118">
        <f t="shared" si="525"/>
        <v>0</v>
      </c>
      <c r="AC866" s="39"/>
      <c r="AD866" s="39"/>
      <c r="AE866" s="39"/>
      <c r="AF866" s="39"/>
      <c r="AG866" s="39"/>
      <c r="AH866" s="39">
        <f t="shared" si="483"/>
        <v>0</v>
      </c>
      <c r="AI866" s="39"/>
      <c r="AJ866" s="39"/>
      <c r="AK866" s="39"/>
      <c r="AL866" s="39"/>
      <c r="AM866" s="39"/>
      <c r="AN866" s="39">
        <f t="shared" si="522"/>
        <v>0</v>
      </c>
      <c r="AO866" s="39"/>
      <c r="AP866" s="39"/>
      <c r="AQ866" s="39"/>
      <c r="AR866" s="39"/>
      <c r="AS866" s="39"/>
      <c r="AT866" s="39">
        <f t="shared" si="367"/>
        <v>0</v>
      </c>
      <c r="AU866" s="39"/>
      <c r="AV866" s="39"/>
      <c r="AW866" s="39"/>
      <c r="AX866" s="39"/>
      <c r="AY866" s="39"/>
      <c r="AZ866" s="39">
        <f t="shared" si="368"/>
        <v>0</v>
      </c>
      <c r="BA866" s="39"/>
      <c r="BB866" s="39"/>
      <c r="BC866" s="39"/>
      <c r="BD866" s="39"/>
      <c r="BE866" s="39"/>
      <c r="BF866" s="39">
        <f t="shared" si="369"/>
        <v>0</v>
      </c>
      <c r="BG866" s="39"/>
      <c r="BH866" s="39"/>
      <c r="BI866" s="39"/>
      <c r="BJ866" s="39"/>
      <c r="BK866" s="39"/>
      <c r="BL866" s="39">
        <f t="shared" si="484"/>
        <v>0</v>
      </c>
      <c r="BM866" s="54">
        <f t="shared" ca="1" si="371"/>
        <v>46283</v>
      </c>
      <c r="BN866" s="60">
        <v>46290</v>
      </c>
      <c r="BO866" s="57">
        <v>46305</v>
      </c>
      <c r="BP866" s="36"/>
      <c r="BQ866" s="36"/>
      <c r="BR866" s="39"/>
      <c r="BS866" s="39"/>
      <c r="BT866" s="39"/>
      <c r="BU866" s="39"/>
      <c r="BV866" s="39"/>
      <c r="BW866" s="39"/>
      <c r="BX866" s="39"/>
      <c r="BY866" s="39"/>
      <c r="BZ866" s="39">
        <f t="shared" si="485"/>
        <v>0</v>
      </c>
      <c r="CA866" s="39">
        <f t="shared" si="373"/>
        <v>-458</v>
      </c>
      <c r="CB866" s="39">
        <f t="shared" si="374"/>
        <v>0</v>
      </c>
      <c r="CC866" s="39">
        <f t="shared" si="375"/>
        <v>0</v>
      </c>
      <c r="CD866" s="39">
        <f t="shared" si="376"/>
        <v>-458</v>
      </c>
      <c r="CE866" s="102">
        <f t="shared" si="377"/>
        <v>-1</v>
      </c>
      <c r="CF866" s="36" t="s">
        <v>252</v>
      </c>
      <c r="CG866" s="39" t="s">
        <v>223</v>
      </c>
      <c r="CH866" s="39"/>
      <c r="CI866" s="25">
        <v>3</v>
      </c>
    </row>
    <row r="867" spans="1:87" ht="24.75" customHeight="1">
      <c r="A867" s="36" t="s">
        <v>388</v>
      </c>
      <c r="B867" s="27" t="s">
        <v>2446</v>
      </c>
      <c r="C867" s="231"/>
      <c r="D867" s="36"/>
      <c r="E867" s="39">
        <v>230</v>
      </c>
      <c r="F867" s="39" t="s">
        <v>58</v>
      </c>
      <c r="G867" s="36" t="s">
        <v>2434</v>
      </c>
      <c r="H867" s="39" t="s">
        <v>96</v>
      </c>
      <c r="I867" s="39">
        <v>161</v>
      </c>
      <c r="J867" s="39"/>
      <c r="K867" s="39"/>
      <c r="L867" s="39">
        <f t="shared" si="523"/>
        <v>161</v>
      </c>
      <c r="M867" s="117">
        <v>46280</v>
      </c>
      <c r="N867" s="117">
        <v>46287</v>
      </c>
      <c r="O867" s="39"/>
      <c r="P867" s="39"/>
      <c r="Q867" s="39"/>
      <c r="R867" s="39">
        <f t="shared" si="524"/>
        <v>0</v>
      </c>
      <c r="S867" s="39" t="s">
        <v>28</v>
      </c>
      <c r="T867" s="39"/>
      <c r="U867" s="39"/>
      <c r="V867" s="117">
        <v>46272</v>
      </c>
      <c r="W867" s="39">
        <v>195</v>
      </c>
      <c r="X867" s="39"/>
      <c r="Y867" s="39"/>
      <c r="Z867" s="39"/>
      <c r="AA867" s="39"/>
      <c r="AB867" s="118">
        <f t="shared" si="525"/>
        <v>0</v>
      </c>
      <c r="AC867" s="39"/>
      <c r="AD867" s="39"/>
      <c r="AE867" s="39"/>
      <c r="AF867" s="39"/>
      <c r="AG867" s="39"/>
      <c r="AH867" s="39">
        <f t="shared" si="483"/>
        <v>0</v>
      </c>
      <c r="AI867" s="39"/>
      <c r="AJ867" s="39"/>
      <c r="AK867" s="39"/>
      <c r="AL867" s="39"/>
      <c r="AM867" s="39"/>
      <c r="AN867" s="39">
        <f t="shared" si="522"/>
        <v>0</v>
      </c>
      <c r="AO867" s="39"/>
      <c r="AP867" s="39"/>
      <c r="AQ867" s="39"/>
      <c r="AR867" s="39"/>
      <c r="AS867" s="39"/>
      <c r="AT867" s="39">
        <f t="shared" si="367"/>
        <v>0</v>
      </c>
      <c r="AU867" s="39"/>
      <c r="AV867" s="39"/>
      <c r="AW867" s="39"/>
      <c r="AX867" s="39"/>
      <c r="AY867" s="39"/>
      <c r="AZ867" s="39">
        <f t="shared" si="368"/>
        <v>0</v>
      </c>
      <c r="BA867" s="39"/>
      <c r="BB867" s="39"/>
      <c r="BC867" s="39"/>
      <c r="BD867" s="39"/>
      <c r="BE867" s="39"/>
      <c r="BF867" s="39">
        <f t="shared" si="369"/>
        <v>0</v>
      </c>
      <c r="BG867" s="39"/>
      <c r="BH867" s="39"/>
      <c r="BI867" s="39"/>
      <c r="BJ867" s="39"/>
      <c r="BK867" s="39"/>
      <c r="BL867" s="39">
        <f t="shared" si="484"/>
        <v>0</v>
      </c>
      <c r="BM867" s="54">
        <f t="shared" ca="1" si="371"/>
        <v>46283</v>
      </c>
      <c r="BN867" s="60">
        <v>46290</v>
      </c>
      <c r="BO867" s="57">
        <v>46305</v>
      </c>
      <c r="BP867" s="36"/>
      <c r="BQ867" s="36"/>
      <c r="BR867" s="39"/>
      <c r="BS867" s="39"/>
      <c r="BT867" s="39"/>
      <c r="BU867" s="39"/>
      <c r="BV867" s="39"/>
      <c r="BW867" s="39"/>
      <c r="BX867" s="39"/>
      <c r="BY867" s="39"/>
      <c r="BZ867" s="39">
        <f t="shared" si="485"/>
        <v>0</v>
      </c>
      <c r="CA867" s="39">
        <f t="shared" si="373"/>
        <v>-161</v>
      </c>
      <c r="CB867" s="39">
        <f t="shared" si="374"/>
        <v>0</v>
      </c>
      <c r="CC867" s="39">
        <f t="shared" si="375"/>
        <v>0</v>
      </c>
      <c r="CD867" s="39">
        <f t="shared" si="376"/>
        <v>-161</v>
      </c>
      <c r="CE867" s="102">
        <f t="shared" si="377"/>
        <v>-1</v>
      </c>
      <c r="CF867" s="36" t="s">
        <v>252</v>
      </c>
      <c r="CG867" s="39" t="s">
        <v>223</v>
      </c>
      <c r="CH867" s="39"/>
      <c r="CI867" s="25">
        <v>3</v>
      </c>
    </row>
    <row r="868" spans="1:87" ht="24.75" customHeight="1">
      <c r="A868" s="36" t="s">
        <v>388</v>
      </c>
      <c r="B868" s="27" t="s">
        <v>2446</v>
      </c>
      <c r="C868" s="228"/>
      <c r="D868" s="36"/>
      <c r="E868" s="39">
        <v>230</v>
      </c>
      <c r="F868" s="39" t="s">
        <v>58</v>
      </c>
      <c r="G868" s="36" t="s">
        <v>2441</v>
      </c>
      <c r="H868" s="39" t="s">
        <v>96</v>
      </c>
      <c r="I868" s="39">
        <v>216</v>
      </c>
      <c r="J868" s="39"/>
      <c r="K868" s="39"/>
      <c r="L868" s="39">
        <f t="shared" si="523"/>
        <v>216</v>
      </c>
      <c r="M868" s="117">
        <v>46280</v>
      </c>
      <c r="N868" s="117">
        <v>46287</v>
      </c>
      <c r="O868" s="39"/>
      <c r="P868" s="39"/>
      <c r="Q868" s="39"/>
      <c r="R868" s="39">
        <f t="shared" si="524"/>
        <v>0</v>
      </c>
      <c r="S868" s="39" t="s">
        <v>28</v>
      </c>
      <c r="T868" s="39"/>
      <c r="U868" s="39"/>
      <c r="V868" s="117">
        <v>46274</v>
      </c>
      <c r="W868" s="39">
        <v>242</v>
      </c>
      <c r="X868" s="39"/>
      <c r="Y868" s="39"/>
      <c r="Z868" s="39"/>
      <c r="AA868" s="39"/>
      <c r="AB868" s="118">
        <f t="shared" si="525"/>
        <v>0</v>
      </c>
      <c r="AC868" s="39"/>
      <c r="AD868" s="39"/>
      <c r="AE868" s="39"/>
      <c r="AF868" s="39"/>
      <c r="AG868" s="39"/>
      <c r="AH868" s="39">
        <f t="shared" si="483"/>
        <v>0</v>
      </c>
      <c r="AI868" s="39"/>
      <c r="AJ868" s="39"/>
      <c r="AK868" s="39"/>
      <c r="AL868" s="39"/>
      <c r="AM868" s="39"/>
      <c r="AN868" s="39">
        <f t="shared" si="522"/>
        <v>0</v>
      </c>
      <c r="AO868" s="39"/>
      <c r="AP868" s="39"/>
      <c r="AQ868" s="39"/>
      <c r="AR868" s="39"/>
      <c r="AS868" s="39"/>
      <c r="AT868" s="39">
        <f t="shared" si="367"/>
        <v>0</v>
      </c>
      <c r="AU868" s="39"/>
      <c r="AV868" s="39"/>
      <c r="AW868" s="39"/>
      <c r="AX868" s="39"/>
      <c r="AY868" s="39"/>
      <c r="AZ868" s="39">
        <f t="shared" si="368"/>
        <v>0</v>
      </c>
      <c r="BA868" s="39"/>
      <c r="BB868" s="39"/>
      <c r="BC868" s="39"/>
      <c r="BD868" s="39"/>
      <c r="BE868" s="39"/>
      <c r="BF868" s="39">
        <f t="shared" si="369"/>
        <v>0</v>
      </c>
      <c r="BG868" s="39"/>
      <c r="BH868" s="39"/>
      <c r="BI868" s="39"/>
      <c r="BJ868" s="39"/>
      <c r="BK868" s="39"/>
      <c r="BL868" s="39">
        <f t="shared" si="484"/>
        <v>0</v>
      </c>
      <c r="BM868" s="54">
        <f t="shared" ca="1" si="371"/>
        <v>46283</v>
      </c>
      <c r="BN868" s="60">
        <v>46290</v>
      </c>
      <c r="BO868" s="57">
        <v>46305</v>
      </c>
      <c r="BP868" s="36"/>
      <c r="BQ868" s="36"/>
      <c r="BR868" s="39"/>
      <c r="BS868" s="39"/>
      <c r="BT868" s="39"/>
      <c r="BU868" s="39"/>
      <c r="BV868" s="39"/>
      <c r="BW868" s="39"/>
      <c r="BX868" s="39"/>
      <c r="BY868" s="39"/>
      <c r="BZ868" s="39">
        <f t="shared" si="485"/>
        <v>0</v>
      </c>
      <c r="CA868" s="39">
        <f t="shared" si="373"/>
        <v>-216</v>
      </c>
      <c r="CB868" s="39">
        <f t="shared" si="374"/>
        <v>0</v>
      </c>
      <c r="CC868" s="39">
        <f t="shared" si="375"/>
        <v>0</v>
      </c>
      <c r="CD868" s="39">
        <f t="shared" si="376"/>
        <v>-216</v>
      </c>
      <c r="CE868" s="102">
        <f t="shared" si="377"/>
        <v>-1</v>
      </c>
      <c r="CF868" s="36" t="s">
        <v>252</v>
      </c>
      <c r="CG868" s="39" t="s">
        <v>223</v>
      </c>
      <c r="CH868" s="39"/>
      <c r="CI868" s="25">
        <v>3</v>
      </c>
    </row>
    <row r="869" spans="1:87" ht="24.75" customHeight="1">
      <c r="A869" s="36" t="s">
        <v>388</v>
      </c>
      <c r="B869" s="27" t="s">
        <v>2447</v>
      </c>
      <c r="C869" s="227">
        <v>15323159</v>
      </c>
      <c r="D869" s="36"/>
      <c r="E869" s="39">
        <v>230</v>
      </c>
      <c r="F869" s="39" t="s">
        <v>53</v>
      </c>
      <c r="G869" s="36" t="s">
        <v>1367</v>
      </c>
      <c r="H869" s="39" t="s">
        <v>96</v>
      </c>
      <c r="I869" s="39">
        <v>830</v>
      </c>
      <c r="J869" s="39"/>
      <c r="K869" s="39"/>
      <c r="L869" s="39">
        <f t="shared" si="523"/>
        <v>830</v>
      </c>
      <c r="M869" s="117">
        <v>46277</v>
      </c>
      <c r="N869" s="117">
        <v>46285</v>
      </c>
      <c r="O869" s="39"/>
      <c r="P869" s="39"/>
      <c r="Q869" s="39"/>
      <c r="R869" s="39">
        <f t="shared" si="524"/>
        <v>0</v>
      </c>
      <c r="S869" s="39" t="s">
        <v>28</v>
      </c>
      <c r="T869" s="39"/>
      <c r="U869" s="39"/>
      <c r="V869" s="117">
        <v>46270</v>
      </c>
      <c r="W869" s="39">
        <v>931</v>
      </c>
      <c r="X869" s="39"/>
      <c r="Y869" s="39"/>
      <c r="Z869" s="39"/>
      <c r="AA869" s="39"/>
      <c r="AB869" s="118">
        <f t="shared" si="525"/>
        <v>0</v>
      </c>
      <c r="AC869" s="39"/>
      <c r="AD869" s="39"/>
      <c r="AE869" s="39"/>
      <c r="AF869" s="39"/>
      <c r="AG869" s="39"/>
      <c r="AH869" s="39">
        <f t="shared" si="483"/>
        <v>0</v>
      </c>
      <c r="AI869" s="39"/>
      <c r="AJ869" s="39"/>
      <c r="AK869" s="39"/>
      <c r="AL869" s="39"/>
      <c r="AM869" s="39"/>
      <c r="AN869" s="39">
        <f t="shared" si="522"/>
        <v>0</v>
      </c>
      <c r="AO869" s="39"/>
      <c r="AP869" s="39"/>
      <c r="AQ869" s="39"/>
      <c r="AR869" s="39"/>
      <c r="AS869" s="39"/>
      <c r="AT869" s="39">
        <f t="shared" si="367"/>
        <v>0</v>
      </c>
      <c r="AU869" s="39"/>
      <c r="AV869" s="39"/>
      <c r="AW869" s="39"/>
      <c r="AX869" s="39"/>
      <c r="AY869" s="39"/>
      <c r="AZ869" s="39">
        <f t="shared" si="368"/>
        <v>0</v>
      </c>
      <c r="BA869" s="39"/>
      <c r="BB869" s="39"/>
      <c r="BC869" s="39"/>
      <c r="BD869" s="39"/>
      <c r="BE869" s="39"/>
      <c r="BF869" s="39">
        <f t="shared" si="369"/>
        <v>0</v>
      </c>
      <c r="BG869" s="39"/>
      <c r="BH869" s="39"/>
      <c r="BI869" s="39"/>
      <c r="BJ869" s="39"/>
      <c r="BK869" s="39"/>
      <c r="BL869" s="39">
        <f t="shared" si="484"/>
        <v>0</v>
      </c>
      <c r="BM869" s="54">
        <f t="shared" ca="1" si="371"/>
        <v>46283</v>
      </c>
      <c r="BN869" s="60">
        <v>46290</v>
      </c>
      <c r="BO869" s="57">
        <v>46305</v>
      </c>
      <c r="BP869" s="36"/>
      <c r="BQ869" s="36"/>
      <c r="BR869" s="39"/>
      <c r="BS869" s="39"/>
      <c r="BT869" s="39"/>
      <c r="BU869" s="39"/>
      <c r="BV869" s="39"/>
      <c r="BW869" s="39"/>
      <c r="BX869" s="39"/>
      <c r="BY869" s="39"/>
      <c r="BZ869" s="39">
        <f t="shared" si="485"/>
        <v>0</v>
      </c>
      <c r="CA869" s="39">
        <f t="shared" si="373"/>
        <v>-830</v>
      </c>
      <c r="CB869" s="39">
        <f t="shared" si="374"/>
        <v>0</v>
      </c>
      <c r="CC869" s="39">
        <f t="shared" si="375"/>
        <v>0</v>
      </c>
      <c r="CD869" s="39">
        <f t="shared" si="376"/>
        <v>-830</v>
      </c>
      <c r="CE869" s="102">
        <f t="shared" si="377"/>
        <v>-1</v>
      </c>
      <c r="CF869" s="36" t="s">
        <v>252</v>
      </c>
      <c r="CG869" s="39" t="s">
        <v>223</v>
      </c>
      <c r="CH869" s="39"/>
      <c r="CI869" s="25">
        <v>3</v>
      </c>
    </row>
    <row r="870" spans="1:87" ht="24.75" customHeight="1">
      <c r="A870" s="36" t="s">
        <v>388</v>
      </c>
      <c r="B870" s="27" t="s">
        <v>2447</v>
      </c>
      <c r="C870" s="231"/>
      <c r="D870" s="36"/>
      <c r="E870" s="39">
        <v>230</v>
      </c>
      <c r="F870" s="39" t="s">
        <v>53</v>
      </c>
      <c r="G870" s="36" t="s">
        <v>1257</v>
      </c>
      <c r="H870" s="39" t="s">
        <v>96</v>
      </c>
      <c r="I870" s="39">
        <v>125</v>
      </c>
      <c r="J870" s="39"/>
      <c r="K870" s="39"/>
      <c r="L870" s="39">
        <f t="shared" si="523"/>
        <v>125</v>
      </c>
      <c r="M870" s="117">
        <v>46277</v>
      </c>
      <c r="N870" s="117">
        <v>46285</v>
      </c>
      <c r="O870" s="39"/>
      <c r="P870" s="39"/>
      <c r="Q870" s="39"/>
      <c r="R870" s="39">
        <f t="shared" si="524"/>
        <v>0</v>
      </c>
      <c r="S870" s="39" t="s">
        <v>270</v>
      </c>
      <c r="T870" s="39"/>
      <c r="U870" s="39"/>
      <c r="V870" s="117">
        <v>46275</v>
      </c>
      <c r="W870" s="39">
        <v>152</v>
      </c>
      <c r="X870" s="39"/>
      <c r="Y870" s="39"/>
      <c r="Z870" s="39"/>
      <c r="AA870" s="39"/>
      <c r="AB870" s="118">
        <f t="shared" si="525"/>
        <v>0</v>
      </c>
      <c r="AC870" s="39"/>
      <c r="AD870" s="39"/>
      <c r="AE870" s="39"/>
      <c r="AF870" s="39"/>
      <c r="AG870" s="39"/>
      <c r="AH870" s="39">
        <f t="shared" si="483"/>
        <v>0</v>
      </c>
      <c r="AI870" s="39"/>
      <c r="AJ870" s="39"/>
      <c r="AK870" s="39"/>
      <c r="AL870" s="39"/>
      <c r="AM870" s="39"/>
      <c r="AN870" s="39">
        <f t="shared" si="522"/>
        <v>0</v>
      </c>
      <c r="AO870" s="39"/>
      <c r="AP870" s="39"/>
      <c r="AQ870" s="39"/>
      <c r="AR870" s="39"/>
      <c r="AS870" s="39"/>
      <c r="AT870" s="39">
        <f t="shared" si="367"/>
        <v>0</v>
      </c>
      <c r="AU870" s="39"/>
      <c r="AV870" s="39"/>
      <c r="AW870" s="39"/>
      <c r="AX870" s="39"/>
      <c r="AY870" s="39"/>
      <c r="AZ870" s="39">
        <f t="shared" si="368"/>
        <v>0</v>
      </c>
      <c r="BA870" s="39"/>
      <c r="BB870" s="39"/>
      <c r="BC870" s="39"/>
      <c r="BD870" s="39"/>
      <c r="BE870" s="39"/>
      <c r="BF870" s="39">
        <f t="shared" si="369"/>
        <v>0</v>
      </c>
      <c r="BG870" s="39"/>
      <c r="BH870" s="39"/>
      <c r="BI870" s="39"/>
      <c r="BJ870" s="39"/>
      <c r="BK870" s="39"/>
      <c r="BL870" s="39">
        <f t="shared" si="484"/>
        <v>0</v>
      </c>
      <c r="BM870" s="54">
        <f t="shared" ca="1" si="371"/>
        <v>46283</v>
      </c>
      <c r="BN870" s="60">
        <v>46290</v>
      </c>
      <c r="BO870" s="57">
        <v>46305</v>
      </c>
      <c r="BP870" s="36"/>
      <c r="BQ870" s="36"/>
      <c r="BR870" s="39"/>
      <c r="BS870" s="39"/>
      <c r="BT870" s="39"/>
      <c r="BU870" s="39"/>
      <c r="BV870" s="39"/>
      <c r="BW870" s="39"/>
      <c r="BX870" s="39"/>
      <c r="BY870" s="39"/>
      <c r="BZ870" s="39">
        <f t="shared" si="485"/>
        <v>0</v>
      </c>
      <c r="CA870" s="39">
        <f t="shared" si="373"/>
        <v>-125</v>
      </c>
      <c r="CB870" s="39">
        <f t="shared" si="374"/>
        <v>0</v>
      </c>
      <c r="CC870" s="39">
        <f t="shared" si="375"/>
        <v>0</v>
      </c>
      <c r="CD870" s="39">
        <f t="shared" si="376"/>
        <v>-125</v>
      </c>
      <c r="CE870" s="102">
        <f t="shared" si="377"/>
        <v>-1</v>
      </c>
      <c r="CF870" s="36" t="s">
        <v>252</v>
      </c>
      <c r="CG870" s="39" t="s">
        <v>223</v>
      </c>
      <c r="CH870" s="39"/>
      <c r="CI870" s="25">
        <v>3</v>
      </c>
    </row>
    <row r="871" spans="1:87" ht="24.75" customHeight="1">
      <c r="A871" s="36" t="s">
        <v>388</v>
      </c>
      <c r="B871" s="27" t="s">
        <v>2447</v>
      </c>
      <c r="C871" s="231"/>
      <c r="D871" s="36"/>
      <c r="E871" s="39">
        <v>230</v>
      </c>
      <c r="F871" s="39" t="s">
        <v>53</v>
      </c>
      <c r="G871" s="36" t="s">
        <v>2440</v>
      </c>
      <c r="H871" s="39" t="s">
        <v>96</v>
      </c>
      <c r="I871" s="39">
        <v>705</v>
      </c>
      <c r="J871" s="39"/>
      <c r="K871" s="39"/>
      <c r="L871" s="39">
        <f t="shared" si="523"/>
        <v>705</v>
      </c>
      <c r="M871" s="117">
        <v>46277</v>
      </c>
      <c r="N871" s="117">
        <v>46285</v>
      </c>
      <c r="O871" s="39"/>
      <c r="P871" s="39"/>
      <c r="Q871" s="39"/>
      <c r="R871" s="39">
        <f t="shared" si="524"/>
        <v>0</v>
      </c>
      <c r="S871" s="39" t="s">
        <v>270</v>
      </c>
      <c r="T871" s="39"/>
      <c r="U871" s="39"/>
      <c r="V871" s="39"/>
      <c r="W871" s="39"/>
      <c r="X871" s="39"/>
      <c r="Y871" s="39"/>
      <c r="Z871" s="39"/>
      <c r="AA871" s="39"/>
      <c r="AB871" s="118">
        <f t="shared" si="525"/>
        <v>0</v>
      </c>
      <c r="AC871" s="39"/>
      <c r="AD871" s="39"/>
      <c r="AE871" s="39"/>
      <c r="AF871" s="39"/>
      <c r="AG871" s="39"/>
      <c r="AH871" s="39">
        <f t="shared" si="483"/>
        <v>0</v>
      </c>
      <c r="AI871" s="39"/>
      <c r="AJ871" s="39"/>
      <c r="AK871" s="39"/>
      <c r="AL871" s="39"/>
      <c r="AM871" s="39"/>
      <c r="AN871" s="39">
        <f t="shared" si="522"/>
        <v>0</v>
      </c>
      <c r="AO871" s="39"/>
      <c r="AP871" s="39"/>
      <c r="AQ871" s="39"/>
      <c r="AR871" s="39"/>
      <c r="AS871" s="39"/>
      <c r="AT871" s="39">
        <f t="shared" si="367"/>
        <v>0</v>
      </c>
      <c r="AU871" s="39"/>
      <c r="AV871" s="39"/>
      <c r="AW871" s="39"/>
      <c r="AX871" s="39"/>
      <c r="AY871" s="39"/>
      <c r="AZ871" s="39">
        <f t="shared" si="368"/>
        <v>0</v>
      </c>
      <c r="BA871" s="39"/>
      <c r="BB871" s="39"/>
      <c r="BC871" s="39"/>
      <c r="BD871" s="39"/>
      <c r="BE871" s="39"/>
      <c r="BF871" s="39">
        <f t="shared" si="369"/>
        <v>0</v>
      </c>
      <c r="BG871" s="39"/>
      <c r="BH871" s="39"/>
      <c r="BI871" s="39"/>
      <c r="BJ871" s="39"/>
      <c r="BK871" s="39"/>
      <c r="BL871" s="39">
        <f t="shared" si="484"/>
        <v>0</v>
      </c>
      <c r="BM871" s="54">
        <f t="shared" ca="1" si="371"/>
        <v>46283</v>
      </c>
      <c r="BN871" s="60">
        <v>46290</v>
      </c>
      <c r="BO871" s="57">
        <v>46305</v>
      </c>
      <c r="BP871" s="36"/>
      <c r="BQ871" s="36"/>
      <c r="BR871" s="39"/>
      <c r="BS871" s="39"/>
      <c r="BT871" s="39"/>
      <c r="BU871" s="39"/>
      <c r="BV871" s="39"/>
      <c r="BW871" s="39"/>
      <c r="BX871" s="39"/>
      <c r="BY871" s="39"/>
      <c r="BZ871" s="39">
        <f t="shared" si="485"/>
        <v>0</v>
      </c>
      <c r="CA871" s="39">
        <f t="shared" si="373"/>
        <v>-705</v>
      </c>
      <c r="CB871" s="39">
        <f t="shared" si="374"/>
        <v>0</v>
      </c>
      <c r="CC871" s="39">
        <f t="shared" si="375"/>
        <v>0</v>
      </c>
      <c r="CD871" s="39">
        <f t="shared" si="376"/>
        <v>-705</v>
      </c>
      <c r="CE871" s="102">
        <f t="shared" si="377"/>
        <v>-1</v>
      </c>
      <c r="CF871" s="36" t="s">
        <v>252</v>
      </c>
      <c r="CG871" s="39" t="s">
        <v>223</v>
      </c>
      <c r="CH871" s="39"/>
      <c r="CI871" s="25">
        <v>3</v>
      </c>
    </row>
    <row r="872" spans="1:87" ht="24.75" customHeight="1">
      <c r="A872" s="36" t="s">
        <v>388</v>
      </c>
      <c r="B872" s="27" t="s">
        <v>2447</v>
      </c>
      <c r="C872" s="228"/>
      <c r="D872" s="36"/>
      <c r="E872" s="39">
        <v>230</v>
      </c>
      <c r="F872" s="39" t="s">
        <v>53</v>
      </c>
      <c r="G872" s="36" t="s">
        <v>2441</v>
      </c>
      <c r="H872" s="39" t="s">
        <v>96</v>
      </c>
      <c r="I872" s="39">
        <v>705</v>
      </c>
      <c r="J872" s="39"/>
      <c r="K872" s="39"/>
      <c r="L872" s="39">
        <f t="shared" si="523"/>
        <v>705</v>
      </c>
      <c r="M872" s="117">
        <v>46277</v>
      </c>
      <c r="N872" s="117">
        <v>46285</v>
      </c>
      <c r="O872" s="39"/>
      <c r="P872" s="39"/>
      <c r="Q872" s="39"/>
      <c r="R872" s="39">
        <f t="shared" si="524"/>
        <v>0</v>
      </c>
      <c r="S872" s="39" t="s">
        <v>28</v>
      </c>
      <c r="T872" s="39"/>
      <c r="U872" s="39"/>
      <c r="V872" s="117">
        <v>46276</v>
      </c>
      <c r="W872" s="39">
        <v>790</v>
      </c>
      <c r="X872" s="39"/>
      <c r="Y872" s="39"/>
      <c r="Z872" s="39"/>
      <c r="AA872" s="39"/>
      <c r="AB872" s="118">
        <f t="shared" si="525"/>
        <v>0</v>
      </c>
      <c r="AC872" s="39"/>
      <c r="AD872" s="39"/>
      <c r="AE872" s="39"/>
      <c r="AF872" s="39"/>
      <c r="AG872" s="39"/>
      <c r="AH872" s="39">
        <f t="shared" si="483"/>
        <v>0</v>
      </c>
      <c r="AI872" s="39"/>
      <c r="AJ872" s="39"/>
      <c r="AK872" s="39"/>
      <c r="AL872" s="39"/>
      <c r="AM872" s="39"/>
      <c r="AN872" s="39">
        <f t="shared" si="522"/>
        <v>0</v>
      </c>
      <c r="AO872" s="39"/>
      <c r="AP872" s="39"/>
      <c r="AQ872" s="39"/>
      <c r="AR872" s="39"/>
      <c r="AS872" s="39"/>
      <c r="AT872" s="39">
        <f t="shared" si="367"/>
        <v>0</v>
      </c>
      <c r="AU872" s="39"/>
      <c r="AV872" s="39"/>
      <c r="AW872" s="39"/>
      <c r="AX872" s="39"/>
      <c r="AY872" s="39"/>
      <c r="AZ872" s="39">
        <f t="shared" si="368"/>
        <v>0</v>
      </c>
      <c r="BA872" s="39"/>
      <c r="BB872" s="39"/>
      <c r="BC872" s="39"/>
      <c r="BD872" s="39"/>
      <c r="BE872" s="39"/>
      <c r="BF872" s="39">
        <f t="shared" si="369"/>
        <v>0</v>
      </c>
      <c r="BG872" s="39"/>
      <c r="BH872" s="39"/>
      <c r="BI872" s="39"/>
      <c r="BJ872" s="39"/>
      <c r="BK872" s="39"/>
      <c r="BL872" s="39">
        <f t="shared" si="484"/>
        <v>0</v>
      </c>
      <c r="BM872" s="54">
        <f t="shared" ca="1" si="371"/>
        <v>46283</v>
      </c>
      <c r="BN872" s="60">
        <v>46290</v>
      </c>
      <c r="BO872" s="57">
        <v>46305</v>
      </c>
      <c r="BP872" s="36"/>
      <c r="BQ872" s="36"/>
      <c r="BR872" s="39"/>
      <c r="BS872" s="39"/>
      <c r="BT872" s="39"/>
      <c r="BU872" s="39"/>
      <c r="BV872" s="39"/>
      <c r="BW872" s="39"/>
      <c r="BX872" s="39"/>
      <c r="BY872" s="39"/>
      <c r="BZ872" s="39">
        <f t="shared" si="485"/>
        <v>0</v>
      </c>
      <c r="CA872" s="39">
        <f t="shared" si="373"/>
        <v>-705</v>
      </c>
      <c r="CB872" s="39">
        <f t="shared" si="374"/>
        <v>0</v>
      </c>
      <c r="CC872" s="39">
        <f t="shared" si="375"/>
        <v>0</v>
      </c>
      <c r="CD872" s="39">
        <f t="shared" si="376"/>
        <v>-705</v>
      </c>
      <c r="CE872" s="102">
        <f t="shared" si="377"/>
        <v>-1</v>
      </c>
      <c r="CF872" s="36" t="s">
        <v>252</v>
      </c>
      <c r="CG872" s="39" t="s">
        <v>223</v>
      </c>
      <c r="CH872" s="39"/>
      <c r="CI872" s="25">
        <v>3</v>
      </c>
    </row>
    <row r="873" spans="1:87" ht="24.75" customHeight="1">
      <c r="A873" s="36" t="s">
        <v>388</v>
      </c>
      <c r="B873" s="27" t="s">
        <v>2549</v>
      </c>
      <c r="C873" s="227">
        <v>15366480</v>
      </c>
      <c r="D873" s="36"/>
      <c r="E873" s="39">
        <v>140</v>
      </c>
      <c r="F873" s="39" t="s">
        <v>56</v>
      </c>
      <c r="G873" s="36" t="s">
        <v>2495</v>
      </c>
      <c r="H873" s="36" t="s">
        <v>2550</v>
      </c>
      <c r="I873" s="39">
        <v>1012</v>
      </c>
      <c r="J873" s="39"/>
      <c r="K873" s="39"/>
      <c r="L873" s="39">
        <f t="shared" si="523"/>
        <v>1012</v>
      </c>
      <c r="M873" s="117">
        <v>46277</v>
      </c>
      <c r="N873" s="117">
        <v>46287</v>
      </c>
      <c r="O873" s="39"/>
      <c r="P873" s="39"/>
      <c r="Q873" s="39"/>
      <c r="R873" s="39">
        <f t="shared" si="524"/>
        <v>0</v>
      </c>
      <c r="S873" s="39" t="s">
        <v>130</v>
      </c>
      <c r="T873" s="39" t="s">
        <v>2991</v>
      </c>
      <c r="U873" s="117">
        <v>46277</v>
      </c>
      <c r="V873" s="39"/>
      <c r="W873" s="39"/>
      <c r="X873" s="39"/>
      <c r="Y873" s="39">
        <f>1036+25</f>
        <v>1061</v>
      </c>
      <c r="Z873" s="39"/>
      <c r="AA873" s="39"/>
      <c r="AB873" s="119">
        <f t="shared" si="525"/>
        <v>1061</v>
      </c>
      <c r="AC873" s="39"/>
      <c r="AD873" s="39"/>
      <c r="AE873" s="39"/>
      <c r="AF873" s="39"/>
      <c r="AG873" s="39"/>
      <c r="AH873" s="39">
        <f t="shared" si="483"/>
        <v>0</v>
      </c>
      <c r="AI873" s="39"/>
      <c r="AJ873" s="39"/>
      <c r="AK873" s="39"/>
      <c r="AL873" s="39"/>
      <c r="AM873" s="39"/>
      <c r="AN873" s="39">
        <f t="shared" si="522"/>
        <v>0</v>
      </c>
      <c r="AO873" s="39"/>
      <c r="AP873" s="39"/>
      <c r="AQ873" s="39"/>
      <c r="AR873" s="39"/>
      <c r="AS873" s="39"/>
      <c r="AT873" s="39">
        <f t="shared" ref="AT873:AT905" si="526">AS873-AQ873</f>
        <v>0</v>
      </c>
      <c r="AU873" s="39"/>
      <c r="AV873" s="39"/>
      <c r="AW873" s="39"/>
      <c r="AX873" s="39"/>
      <c r="AY873" s="39"/>
      <c r="AZ873" s="39">
        <f t="shared" ref="AZ873:AZ905" si="527">AY873-AW873</f>
        <v>0</v>
      </c>
      <c r="BA873" s="39"/>
      <c r="BB873" s="39"/>
      <c r="BC873" s="39"/>
      <c r="BD873" s="39"/>
      <c r="BE873" s="39"/>
      <c r="BF873" s="39">
        <f t="shared" ref="BF873:BF905" si="528">BE873-BC873</f>
        <v>0</v>
      </c>
      <c r="BG873" s="39"/>
      <c r="BH873" s="39"/>
      <c r="BI873" s="39"/>
      <c r="BJ873" s="39"/>
      <c r="BK873" s="39"/>
      <c r="BL873" s="39">
        <f t="shared" si="484"/>
        <v>0</v>
      </c>
      <c r="BM873" s="54" t="str">
        <f t="shared" ref="BM873:BM905" si="529">IF((BZ873/L873)&lt;0.9,$CO$1-U873,"")</f>
        <v/>
      </c>
      <c r="BN873" s="60">
        <v>46287</v>
      </c>
      <c r="BO873" s="57">
        <v>46307</v>
      </c>
      <c r="BP873" s="36"/>
      <c r="BQ873" s="36"/>
      <c r="BR873" s="117">
        <v>46280</v>
      </c>
      <c r="BS873" s="39"/>
      <c r="BT873" s="39">
        <v>903</v>
      </c>
      <c r="BU873" s="39">
        <f>917+24</f>
        <v>941</v>
      </c>
      <c r="BV873" s="39"/>
      <c r="BW873" s="39"/>
      <c r="BX873" s="39"/>
      <c r="BY873" s="39"/>
      <c r="BZ873" s="39">
        <f t="shared" si="485"/>
        <v>941</v>
      </c>
      <c r="CA873" s="39">
        <f t="shared" ref="CA873:CA905" si="530">BU873-I873</f>
        <v>-71</v>
      </c>
      <c r="CB873" s="39">
        <f t="shared" ref="CB873:CB905" si="531">BW873-J873</f>
        <v>0</v>
      </c>
      <c r="CC873" s="39">
        <f t="shared" ref="CC873:CC905" si="532">BY873-K873</f>
        <v>0</v>
      </c>
      <c r="CD873" s="39">
        <f t="shared" ref="CD873:CD905" si="533">SUMIF(CA873:CC873,"&lt;0")</f>
        <v>-71</v>
      </c>
      <c r="CE873" s="102">
        <f t="shared" ref="CE873:CE905" si="534">CD873/L873</f>
        <v>-7.0158102766798416E-2</v>
      </c>
      <c r="CF873" s="36" t="s">
        <v>294</v>
      </c>
      <c r="CG873" s="39" t="s">
        <v>231</v>
      </c>
      <c r="CH873" s="39" t="s">
        <v>1197</v>
      </c>
      <c r="CI873" s="25">
        <v>3</v>
      </c>
    </row>
    <row r="874" spans="1:87" ht="24.75" customHeight="1">
      <c r="A874" s="36" t="s">
        <v>388</v>
      </c>
      <c r="B874" s="27" t="s">
        <v>2549</v>
      </c>
      <c r="C874" s="231"/>
      <c r="D874" s="36"/>
      <c r="E874" s="39">
        <v>140</v>
      </c>
      <c r="F874" s="39" t="s">
        <v>56</v>
      </c>
      <c r="G874" s="36" t="s">
        <v>353</v>
      </c>
      <c r="H874" s="36" t="s">
        <v>2550</v>
      </c>
      <c r="I874" s="39">
        <v>1203</v>
      </c>
      <c r="J874" s="39"/>
      <c r="K874" s="39"/>
      <c r="L874" s="39">
        <f t="shared" si="523"/>
        <v>1203</v>
      </c>
      <c r="M874" s="117">
        <v>46277</v>
      </c>
      <c r="N874" s="117">
        <v>46287</v>
      </c>
      <c r="O874" s="39"/>
      <c r="P874" s="39"/>
      <c r="Q874" s="39"/>
      <c r="R874" s="39">
        <f t="shared" si="524"/>
        <v>0</v>
      </c>
      <c r="S874" s="39" t="s">
        <v>130</v>
      </c>
      <c r="T874" s="39">
        <v>109448</v>
      </c>
      <c r="U874" s="117">
        <v>46280</v>
      </c>
      <c r="V874" s="39"/>
      <c r="W874" s="39"/>
      <c r="X874" s="39"/>
      <c r="Y874" s="39">
        <v>1268</v>
      </c>
      <c r="Z874" s="39"/>
      <c r="AA874" s="39"/>
      <c r="AB874" s="119">
        <f t="shared" si="525"/>
        <v>1268</v>
      </c>
      <c r="AC874" s="39"/>
      <c r="AD874" s="39"/>
      <c r="AE874" s="39"/>
      <c r="AF874" s="39"/>
      <c r="AG874" s="39"/>
      <c r="AH874" s="39">
        <f t="shared" si="483"/>
        <v>0</v>
      </c>
      <c r="AI874" s="39"/>
      <c r="AJ874" s="39"/>
      <c r="AK874" s="39"/>
      <c r="AL874" s="39"/>
      <c r="AM874" s="39"/>
      <c r="AN874" s="39">
        <f t="shared" si="522"/>
        <v>0</v>
      </c>
      <c r="AO874" s="39"/>
      <c r="AP874" s="39"/>
      <c r="AQ874" s="39"/>
      <c r="AR874" s="39"/>
      <c r="AS874" s="39"/>
      <c r="AT874" s="39">
        <f t="shared" si="526"/>
        <v>0</v>
      </c>
      <c r="AU874" s="39"/>
      <c r="AV874" s="39"/>
      <c r="AW874" s="39"/>
      <c r="AX874" s="39"/>
      <c r="AY874" s="39"/>
      <c r="AZ874" s="39">
        <f t="shared" si="527"/>
        <v>0</v>
      </c>
      <c r="BA874" s="39"/>
      <c r="BB874" s="39"/>
      <c r="BC874" s="39"/>
      <c r="BD874" s="39"/>
      <c r="BE874" s="39"/>
      <c r="BF874" s="39">
        <f t="shared" si="528"/>
        <v>0</v>
      </c>
      <c r="BG874" s="39"/>
      <c r="BH874" s="39"/>
      <c r="BI874" s="39"/>
      <c r="BJ874" s="39"/>
      <c r="BK874" s="39"/>
      <c r="BL874" s="39">
        <f t="shared" si="484"/>
        <v>0</v>
      </c>
      <c r="BM874" s="54">
        <f t="shared" ca="1" si="529"/>
        <v>3</v>
      </c>
      <c r="BN874" s="60">
        <v>46287</v>
      </c>
      <c r="BO874" s="57">
        <v>46307</v>
      </c>
      <c r="BP874" s="36"/>
      <c r="BQ874" s="36"/>
      <c r="BR874" s="39"/>
      <c r="BS874" s="39"/>
      <c r="BT874" s="39"/>
      <c r="BU874" s="39"/>
      <c r="BV874" s="39"/>
      <c r="BW874" s="39"/>
      <c r="BX874" s="39"/>
      <c r="BY874" s="39"/>
      <c r="BZ874" s="39">
        <f t="shared" si="485"/>
        <v>0</v>
      </c>
      <c r="CA874" s="39">
        <f t="shared" si="530"/>
        <v>-1203</v>
      </c>
      <c r="CB874" s="39">
        <f t="shared" si="531"/>
        <v>0</v>
      </c>
      <c r="CC874" s="39">
        <f t="shared" si="532"/>
        <v>0</v>
      </c>
      <c r="CD874" s="39">
        <f t="shared" si="533"/>
        <v>-1203</v>
      </c>
      <c r="CE874" s="102">
        <f t="shared" si="534"/>
        <v>-1</v>
      </c>
      <c r="CF874" s="36" t="s">
        <v>294</v>
      </c>
      <c r="CG874" s="39" t="s">
        <v>231</v>
      </c>
      <c r="CH874" s="39"/>
      <c r="CI874" s="25">
        <v>3</v>
      </c>
    </row>
    <row r="875" spans="1:87" ht="24.75" customHeight="1">
      <c r="A875" s="36" t="s">
        <v>388</v>
      </c>
      <c r="B875" s="27" t="s">
        <v>2549</v>
      </c>
      <c r="C875" s="228"/>
      <c r="D875" s="36"/>
      <c r="E875" s="39">
        <v>140</v>
      </c>
      <c r="F875" s="39" t="s">
        <v>56</v>
      </c>
      <c r="G875" s="36" t="s">
        <v>2497</v>
      </c>
      <c r="H875" s="36" t="s">
        <v>2550</v>
      </c>
      <c r="I875" s="39">
        <v>780</v>
      </c>
      <c r="J875" s="39"/>
      <c r="K875" s="39"/>
      <c r="L875" s="39">
        <f t="shared" si="523"/>
        <v>780</v>
      </c>
      <c r="M875" s="117">
        <v>46277</v>
      </c>
      <c r="N875" s="117">
        <v>46287</v>
      </c>
      <c r="O875" s="39"/>
      <c r="P875" s="39"/>
      <c r="Q875" s="39"/>
      <c r="R875" s="39">
        <f t="shared" si="524"/>
        <v>0</v>
      </c>
      <c r="S875" s="39" t="s">
        <v>130</v>
      </c>
      <c r="T875" s="39">
        <v>109388</v>
      </c>
      <c r="U875" s="117">
        <v>46278</v>
      </c>
      <c r="V875" s="39"/>
      <c r="W875" s="39"/>
      <c r="X875" s="39"/>
      <c r="Y875" s="39">
        <v>820</v>
      </c>
      <c r="Z875" s="39"/>
      <c r="AA875" s="39"/>
      <c r="AB875" s="119">
        <f t="shared" si="525"/>
        <v>820</v>
      </c>
      <c r="AC875" s="39"/>
      <c r="AD875" s="39"/>
      <c r="AE875" s="39"/>
      <c r="AF875" s="39"/>
      <c r="AG875" s="39"/>
      <c r="AH875" s="39">
        <f t="shared" si="483"/>
        <v>0</v>
      </c>
      <c r="AI875" s="39"/>
      <c r="AJ875" s="39"/>
      <c r="AK875" s="39"/>
      <c r="AL875" s="39"/>
      <c r="AM875" s="39"/>
      <c r="AN875" s="39">
        <f t="shared" si="522"/>
        <v>0</v>
      </c>
      <c r="AO875" s="39"/>
      <c r="AP875" s="39"/>
      <c r="AQ875" s="39"/>
      <c r="AR875" s="39"/>
      <c r="AS875" s="39"/>
      <c r="AT875" s="39">
        <f t="shared" si="526"/>
        <v>0</v>
      </c>
      <c r="AU875" s="39"/>
      <c r="AV875" s="39"/>
      <c r="AW875" s="39"/>
      <c r="AX875" s="39"/>
      <c r="AY875" s="39"/>
      <c r="AZ875" s="39">
        <f t="shared" si="527"/>
        <v>0</v>
      </c>
      <c r="BA875" s="39"/>
      <c r="BB875" s="39"/>
      <c r="BC875" s="39"/>
      <c r="BD875" s="39"/>
      <c r="BE875" s="39"/>
      <c r="BF875" s="39">
        <f t="shared" si="528"/>
        <v>0</v>
      </c>
      <c r="BG875" s="39"/>
      <c r="BH875" s="39"/>
      <c r="BI875" s="39"/>
      <c r="BJ875" s="39"/>
      <c r="BK875" s="39"/>
      <c r="BL875" s="39">
        <f t="shared" si="484"/>
        <v>0</v>
      </c>
      <c r="BM875" s="54" t="str">
        <f t="shared" si="529"/>
        <v/>
      </c>
      <c r="BN875" s="60">
        <v>46287</v>
      </c>
      <c r="BO875" s="57">
        <v>46307</v>
      </c>
      <c r="BP875" s="36"/>
      <c r="BQ875" s="36"/>
      <c r="BR875" s="117">
        <v>46280</v>
      </c>
      <c r="BS875" s="117">
        <v>46280</v>
      </c>
      <c r="BT875" s="39">
        <v>903</v>
      </c>
      <c r="BU875" s="39">
        <v>790</v>
      </c>
      <c r="BV875" s="39"/>
      <c r="BW875" s="39"/>
      <c r="BX875" s="39"/>
      <c r="BY875" s="39"/>
      <c r="BZ875" s="39">
        <f t="shared" si="485"/>
        <v>790</v>
      </c>
      <c r="CA875" s="39">
        <f t="shared" si="530"/>
        <v>10</v>
      </c>
      <c r="CB875" s="39">
        <f t="shared" si="531"/>
        <v>0</v>
      </c>
      <c r="CC875" s="39">
        <f t="shared" si="532"/>
        <v>0</v>
      </c>
      <c r="CD875" s="39">
        <f t="shared" si="533"/>
        <v>0</v>
      </c>
      <c r="CE875" s="102">
        <f t="shared" si="534"/>
        <v>0</v>
      </c>
      <c r="CF875" s="36" t="s">
        <v>294</v>
      </c>
      <c r="CG875" s="39" t="s">
        <v>231</v>
      </c>
      <c r="CH875" s="39"/>
      <c r="CI875" s="25">
        <v>3</v>
      </c>
    </row>
    <row r="876" spans="1:87" ht="24.75" customHeight="1">
      <c r="A876" s="36" t="s">
        <v>388</v>
      </c>
      <c r="B876" s="27" t="s">
        <v>2551</v>
      </c>
      <c r="C876" s="227">
        <v>15366481</v>
      </c>
      <c r="D876" s="36"/>
      <c r="E876" s="39">
        <v>220</v>
      </c>
      <c r="F876" s="39" t="s">
        <v>53</v>
      </c>
      <c r="G876" s="36" t="s">
        <v>2495</v>
      </c>
      <c r="H876" s="36" t="s">
        <v>2552</v>
      </c>
      <c r="I876" s="39">
        <v>440</v>
      </c>
      <c r="J876" s="39">
        <v>34</v>
      </c>
      <c r="K876" s="39">
        <v>23</v>
      </c>
      <c r="L876" s="39">
        <f t="shared" si="523"/>
        <v>497</v>
      </c>
      <c r="M876" s="117">
        <v>46275</v>
      </c>
      <c r="N876" s="117">
        <v>46286</v>
      </c>
      <c r="O876" s="39"/>
      <c r="P876" s="39"/>
      <c r="Q876" s="39"/>
      <c r="R876" s="39">
        <f t="shared" si="524"/>
        <v>0</v>
      </c>
      <c r="S876" s="39" t="s">
        <v>130</v>
      </c>
      <c r="T876" s="39"/>
      <c r="U876" s="39"/>
      <c r="V876" s="39"/>
      <c r="W876" s="39"/>
      <c r="X876" s="39"/>
      <c r="Y876" s="39"/>
      <c r="Z876" s="39"/>
      <c r="AA876" s="39"/>
      <c r="AB876" s="118">
        <f t="shared" si="525"/>
        <v>0</v>
      </c>
      <c r="AC876" s="39"/>
      <c r="AD876" s="39"/>
      <c r="AE876" s="39"/>
      <c r="AF876" s="39"/>
      <c r="AG876" s="39"/>
      <c r="AH876" s="39">
        <f t="shared" si="483"/>
        <v>0</v>
      </c>
      <c r="AI876" s="39"/>
      <c r="AJ876" s="39"/>
      <c r="AK876" s="39"/>
      <c r="AL876" s="39"/>
      <c r="AM876" s="39"/>
      <c r="AN876" s="39">
        <f t="shared" si="522"/>
        <v>0</v>
      </c>
      <c r="AO876" s="39"/>
      <c r="AP876" s="39"/>
      <c r="AQ876" s="39"/>
      <c r="AR876" s="39"/>
      <c r="AS876" s="39"/>
      <c r="AT876" s="39">
        <f t="shared" si="526"/>
        <v>0</v>
      </c>
      <c r="AU876" s="39"/>
      <c r="AV876" s="39"/>
      <c r="AW876" s="39"/>
      <c r="AX876" s="39"/>
      <c r="AY876" s="39"/>
      <c r="AZ876" s="39">
        <f t="shared" si="527"/>
        <v>0</v>
      </c>
      <c r="BA876" s="39"/>
      <c r="BB876" s="39"/>
      <c r="BC876" s="39"/>
      <c r="BD876" s="39"/>
      <c r="BE876" s="39"/>
      <c r="BF876" s="39">
        <f t="shared" si="528"/>
        <v>0</v>
      </c>
      <c r="BG876" s="39"/>
      <c r="BH876" s="39"/>
      <c r="BI876" s="39"/>
      <c r="BJ876" s="39"/>
      <c r="BK876" s="39"/>
      <c r="BL876" s="39">
        <f t="shared" si="484"/>
        <v>0</v>
      </c>
      <c r="BM876" s="54">
        <f t="shared" ca="1" si="529"/>
        <v>46283</v>
      </c>
      <c r="BN876" s="60">
        <v>46287</v>
      </c>
      <c r="BO876" s="57">
        <v>46305</v>
      </c>
      <c r="BP876" s="36"/>
      <c r="BQ876" s="36"/>
      <c r="BR876" s="39"/>
      <c r="BS876" s="39"/>
      <c r="BT876" s="39"/>
      <c r="BU876" s="39"/>
      <c r="BV876" s="39"/>
      <c r="BW876" s="39"/>
      <c r="BX876" s="39"/>
      <c r="BY876" s="39"/>
      <c r="BZ876" s="39">
        <f t="shared" si="485"/>
        <v>0</v>
      </c>
      <c r="CA876" s="39">
        <f t="shared" si="530"/>
        <v>-440</v>
      </c>
      <c r="CB876" s="39">
        <f t="shared" si="531"/>
        <v>-34</v>
      </c>
      <c r="CC876" s="39">
        <f t="shared" si="532"/>
        <v>-23</v>
      </c>
      <c r="CD876" s="39">
        <f t="shared" si="533"/>
        <v>-497</v>
      </c>
      <c r="CE876" s="102">
        <f t="shared" si="534"/>
        <v>-1</v>
      </c>
      <c r="CF876" s="36" t="s">
        <v>294</v>
      </c>
      <c r="CG876" s="39" t="s">
        <v>231</v>
      </c>
      <c r="CH876" s="39"/>
      <c r="CI876" s="25">
        <v>3</v>
      </c>
    </row>
    <row r="877" spans="1:87" ht="24.75" customHeight="1">
      <c r="A877" s="36" t="s">
        <v>388</v>
      </c>
      <c r="B877" s="27" t="s">
        <v>2551</v>
      </c>
      <c r="C877" s="231"/>
      <c r="D877" s="36"/>
      <c r="E877" s="39">
        <v>220</v>
      </c>
      <c r="F877" s="39" t="s">
        <v>53</v>
      </c>
      <c r="G877" s="36" t="s">
        <v>353</v>
      </c>
      <c r="H877" s="36" t="s">
        <v>2552</v>
      </c>
      <c r="I877" s="39">
        <v>926</v>
      </c>
      <c r="J877" s="39">
        <v>71</v>
      </c>
      <c r="K877" s="39">
        <v>48</v>
      </c>
      <c r="L877" s="39">
        <f t="shared" si="523"/>
        <v>1045</v>
      </c>
      <c r="M877" s="117">
        <v>46275</v>
      </c>
      <c r="N877" s="117">
        <v>46286</v>
      </c>
      <c r="O877" s="39"/>
      <c r="P877" s="39"/>
      <c r="Q877" s="39"/>
      <c r="R877" s="39">
        <f t="shared" si="524"/>
        <v>0</v>
      </c>
      <c r="S877" s="39" t="s">
        <v>130</v>
      </c>
      <c r="T877" s="39"/>
      <c r="U877" s="39"/>
      <c r="V877" s="39"/>
      <c r="W877" s="39"/>
      <c r="X877" s="39"/>
      <c r="Y877" s="39"/>
      <c r="Z877" s="39"/>
      <c r="AA877" s="39"/>
      <c r="AB877" s="118">
        <f t="shared" si="525"/>
        <v>0</v>
      </c>
      <c r="AC877" s="39"/>
      <c r="AD877" s="39"/>
      <c r="AE877" s="39"/>
      <c r="AF877" s="39"/>
      <c r="AG877" s="39"/>
      <c r="AH877" s="39">
        <f t="shared" si="483"/>
        <v>0</v>
      </c>
      <c r="AI877" s="39"/>
      <c r="AJ877" s="39"/>
      <c r="AK877" s="39"/>
      <c r="AL877" s="39"/>
      <c r="AM877" s="39"/>
      <c r="AN877" s="39">
        <f t="shared" si="522"/>
        <v>0</v>
      </c>
      <c r="AO877" s="39"/>
      <c r="AP877" s="39"/>
      <c r="AQ877" s="39"/>
      <c r="AR877" s="39"/>
      <c r="AS877" s="39"/>
      <c r="AT877" s="39">
        <f t="shared" si="526"/>
        <v>0</v>
      </c>
      <c r="AU877" s="39"/>
      <c r="AV877" s="39"/>
      <c r="AW877" s="39"/>
      <c r="AX877" s="39"/>
      <c r="AY877" s="39"/>
      <c r="AZ877" s="39">
        <f t="shared" si="527"/>
        <v>0</v>
      </c>
      <c r="BA877" s="39"/>
      <c r="BB877" s="39"/>
      <c r="BC877" s="39"/>
      <c r="BD877" s="39"/>
      <c r="BE877" s="39"/>
      <c r="BF877" s="39">
        <f t="shared" si="528"/>
        <v>0</v>
      </c>
      <c r="BG877" s="39"/>
      <c r="BH877" s="39"/>
      <c r="BI877" s="39"/>
      <c r="BJ877" s="39"/>
      <c r="BK877" s="39"/>
      <c r="BL877" s="39">
        <f t="shared" si="484"/>
        <v>0</v>
      </c>
      <c r="BM877" s="54">
        <f t="shared" ca="1" si="529"/>
        <v>46283</v>
      </c>
      <c r="BN877" s="60">
        <v>46287</v>
      </c>
      <c r="BO877" s="57">
        <v>46305</v>
      </c>
      <c r="BP877" s="36"/>
      <c r="BQ877" s="36"/>
      <c r="BR877" s="39"/>
      <c r="BS877" s="39"/>
      <c r="BT877" s="39"/>
      <c r="BU877" s="39"/>
      <c r="BV877" s="39"/>
      <c r="BW877" s="39"/>
      <c r="BX877" s="39"/>
      <c r="BY877" s="39"/>
      <c r="BZ877" s="39">
        <f t="shared" si="485"/>
        <v>0</v>
      </c>
      <c r="CA877" s="39">
        <f t="shared" si="530"/>
        <v>-926</v>
      </c>
      <c r="CB877" s="39">
        <f t="shared" si="531"/>
        <v>-71</v>
      </c>
      <c r="CC877" s="39">
        <f t="shared" si="532"/>
        <v>-48</v>
      </c>
      <c r="CD877" s="39">
        <f t="shared" si="533"/>
        <v>-1045</v>
      </c>
      <c r="CE877" s="102">
        <f t="shared" si="534"/>
        <v>-1</v>
      </c>
      <c r="CF877" s="36" t="s">
        <v>294</v>
      </c>
      <c r="CG877" s="39" t="s">
        <v>231</v>
      </c>
      <c r="CH877" s="39"/>
      <c r="CI877" s="25">
        <v>3</v>
      </c>
    </row>
    <row r="878" spans="1:87" ht="24.75" customHeight="1">
      <c r="A878" s="36" t="s">
        <v>388</v>
      </c>
      <c r="B878" s="27" t="s">
        <v>2551</v>
      </c>
      <c r="C878" s="228"/>
      <c r="D878" s="36"/>
      <c r="E878" s="39"/>
      <c r="F878" s="39"/>
      <c r="G878" s="36" t="s">
        <v>198</v>
      </c>
      <c r="H878" s="36">
        <f>800+1650</f>
        <v>2450</v>
      </c>
      <c r="I878" s="39" t="s">
        <v>90</v>
      </c>
      <c r="J878" s="39"/>
      <c r="K878" s="39"/>
      <c r="L878" s="39">
        <f t="shared" si="523"/>
        <v>0</v>
      </c>
      <c r="M878" s="117">
        <v>46275</v>
      </c>
      <c r="N878" s="117">
        <v>46286</v>
      </c>
      <c r="O878" s="39"/>
      <c r="P878" s="39"/>
      <c r="Q878" s="39"/>
      <c r="R878" s="39">
        <f t="shared" si="524"/>
        <v>0</v>
      </c>
      <c r="S878" s="39" t="s">
        <v>130</v>
      </c>
      <c r="T878" s="39"/>
      <c r="U878" s="39"/>
      <c r="V878" s="39"/>
      <c r="W878" s="39"/>
      <c r="X878" s="39"/>
      <c r="Y878" s="39"/>
      <c r="Z878" s="39"/>
      <c r="AA878" s="39"/>
      <c r="AB878" s="39">
        <f t="shared" si="525"/>
        <v>0</v>
      </c>
      <c r="AC878" s="39"/>
      <c r="AD878" s="39"/>
      <c r="AE878" s="39"/>
      <c r="AF878" s="39"/>
      <c r="AG878" s="39"/>
      <c r="AH878" s="39">
        <f t="shared" si="483"/>
        <v>0</v>
      </c>
      <c r="AI878" s="39"/>
      <c r="AJ878" s="39"/>
      <c r="AK878" s="39"/>
      <c r="AL878" s="39"/>
      <c r="AM878" s="39"/>
      <c r="AN878" s="39">
        <f t="shared" si="522"/>
        <v>0</v>
      </c>
      <c r="AO878" s="39"/>
      <c r="AP878" s="39"/>
      <c r="AQ878" s="39"/>
      <c r="AR878" s="39"/>
      <c r="AS878" s="39"/>
      <c r="AT878" s="39">
        <f t="shared" si="526"/>
        <v>0</v>
      </c>
      <c r="AU878" s="39"/>
      <c r="AV878" s="39"/>
      <c r="AW878" s="39"/>
      <c r="AX878" s="39"/>
      <c r="AY878" s="39"/>
      <c r="AZ878" s="39">
        <f t="shared" si="527"/>
        <v>0</v>
      </c>
      <c r="BA878" s="39"/>
      <c r="BB878" s="39"/>
      <c r="BC878" s="39"/>
      <c r="BD878" s="39"/>
      <c r="BE878" s="39"/>
      <c r="BF878" s="39">
        <f t="shared" si="528"/>
        <v>0</v>
      </c>
      <c r="BG878" s="39"/>
      <c r="BH878" s="39"/>
      <c r="BI878" s="39"/>
      <c r="BJ878" s="39"/>
      <c r="BK878" s="39"/>
      <c r="BL878" s="39">
        <f t="shared" si="484"/>
        <v>0</v>
      </c>
      <c r="BM878" s="54" t="e">
        <f t="shared" si="529"/>
        <v>#DIV/0!</v>
      </c>
      <c r="BN878" s="60">
        <v>46287</v>
      </c>
      <c r="BO878" s="57">
        <v>46305</v>
      </c>
      <c r="BP878" s="36"/>
      <c r="BQ878" s="36"/>
      <c r="BR878" s="39"/>
      <c r="BS878" s="39"/>
      <c r="BT878" s="39"/>
      <c r="BU878" s="39"/>
      <c r="BV878" s="39"/>
      <c r="BW878" s="39"/>
      <c r="BX878" s="39"/>
      <c r="BY878" s="39"/>
      <c r="BZ878" s="39">
        <f t="shared" si="485"/>
        <v>0</v>
      </c>
      <c r="CA878" s="39" t="e">
        <f t="shared" si="530"/>
        <v>#VALUE!</v>
      </c>
      <c r="CB878" s="39">
        <f t="shared" si="531"/>
        <v>0</v>
      </c>
      <c r="CC878" s="39">
        <f t="shared" si="532"/>
        <v>0</v>
      </c>
      <c r="CD878" s="39">
        <f t="shared" si="533"/>
        <v>0</v>
      </c>
      <c r="CE878" s="102" t="e">
        <f t="shared" si="534"/>
        <v>#DIV/0!</v>
      </c>
      <c r="CF878" s="36" t="s">
        <v>294</v>
      </c>
      <c r="CG878" s="39" t="s">
        <v>231</v>
      </c>
      <c r="CH878" s="39"/>
      <c r="CI878" s="25">
        <v>3</v>
      </c>
    </row>
    <row r="879" spans="1:87" ht="24.75" customHeight="1">
      <c r="A879" s="36" t="s">
        <v>388</v>
      </c>
      <c r="B879" s="27" t="s">
        <v>2553</v>
      </c>
      <c r="C879" s="227" t="s">
        <v>2583</v>
      </c>
      <c r="D879" s="36"/>
      <c r="E879" s="39">
        <v>300</v>
      </c>
      <c r="F879" s="39" t="s">
        <v>59</v>
      </c>
      <c r="G879" s="36" t="s">
        <v>2554</v>
      </c>
      <c r="H879" s="36" t="s">
        <v>2555</v>
      </c>
      <c r="I879" s="39">
        <v>355</v>
      </c>
      <c r="J879" s="39"/>
      <c r="K879" s="39">
        <v>13</v>
      </c>
      <c r="L879" s="39">
        <f t="shared" si="523"/>
        <v>368</v>
      </c>
      <c r="M879" s="117">
        <v>46275</v>
      </c>
      <c r="N879" s="117">
        <v>46282</v>
      </c>
      <c r="O879" s="39"/>
      <c r="P879" s="39"/>
      <c r="Q879" s="39"/>
      <c r="R879" s="39">
        <f t="shared" si="524"/>
        <v>0</v>
      </c>
      <c r="S879" s="39" t="s">
        <v>130</v>
      </c>
      <c r="T879" s="39"/>
      <c r="U879" s="39"/>
      <c r="V879" s="39"/>
      <c r="W879" s="39"/>
      <c r="X879" s="39"/>
      <c r="Y879" s="39"/>
      <c r="Z879" s="39"/>
      <c r="AA879" s="39"/>
      <c r="AB879" s="118">
        <f t="shared" si="525"/>
        <v>0</v>
      </c>
      <c r="AC879" s="39"/>
      <c r="AD879" s="39"/>
      <c r="AE879" s="39"/>
      <c r="AF879" s="39"/>
      <c r="AG879" s="39"/>
      <c r="AH879" s="39">
        <f t="shared" si="483"/>
        <v>0</v>
      </c>
      <c r="AI879" s="39"/>
      <c r="AJ879" s="39"/>
      <c r="AK879" s="39"/>
      <c r="AL879" s="39"/>
      <c r="AM879" s="39"/>
      <c r="AN879" s="39">
        <f t="shared" si="522"/>
        <v>0</v>
      </c>
      <c r="AO879" s="39"/>
      <c r="AP879" s="39"/>
      <c r="AQ879" s="39"/>
      <c r="AR879" s="39"/>
      <c r="AS879" s="39"/>
      <c r="AT879" s="39">
        <f t="shared" si="526"/>
        <v>0</v>
      </c>
      <c r="AU879" s="39"/>
      <c r="AV879" s="39"/>
      <c r="AW879" s="39"/>
      <c r="AX879" s="39"/>
      <c r="AY879" s="39"/>
      <c r="AZ879" s="39">
        <f t="shared" si="527"/>
        <v>0</v>
      </c>
      <c r="BA879" s="39"/>
      <c r="BB879" s="39"/>
      <c r="BC879" s="39"/>
      <c r="BD879" s="39"/>
      <c r="BE879" s="39"/>
      <c r="BF879" s="39">
        <f t="shared" si="528"/>
        <v>0</v>
      </c>
      <c r="BG879" s="39"/>
      <c r="BH879" s="39"/>
      <c r="BI879" s="39"/>
      <c r="BJ879" s="39"/>
      <c r="BK879" s="39"/>
      <c r="BL879" s="39">
        <f t="shared" si="484"/>
        <v>0</v>
      </c>
      <c r="BM879" s="54">
        <f t="shared" ca="1" si="529"/>
        <v>46283</v>
      </c>
      <c r="BN879" s="60">
        <v>46290</v>
      </c>
      <c r="BO879" s="57">
        <v>46304</v>
      </c>
      <c r="BP879" s="36"/>
      <c r="BQ879" s="36"/>
      <c r="BR879" s="39"/>
      <c r="BS879" s="39"/>
      <c r="BT879" s="39"/>
      <c r="BU879" s="39"/>
      <c r="BV879" s="39"/>
      <c r="BW879" s="39"/>
      <c r="BX879" s="39"/>
      <c r="BY879" s="39"/>
      <c r="BZ879" s="39">
        <f t="shared" si="485"/>
        <v>0</v>
      </c>
      <c r="CA879" s="39">
        <f t="shared" si="530"/>
        <v>-355</v>
      </c>
      <c r="CB879" s="39">
        <f t="shared" si="531"/>
        <v>0</v>
      </c>
      <c r="CC879" s="39">
        <f t="shared" si="532"/>
        <v>-13</v>
      </c>
      <c r="CD879" s="39">
        <f t="shared" si="533"/>
        <v>-368</v>
      </c>
      <c r="CE879" s="102">
        <f t="shared" si="534"/>
        <v>-1</v>
      </c>
      <c r="CF879" s="36" t="s">
        <v>294</v>
      </c>
      <c r="CG879" s="39" t="s">
        <v>231</v>
      </c>
      <c r="CH879" s="39"/>
      <c r="CI879" s="25">
        <v>3</v>
      </c>
    </row>
    <row r="880" spans="1:87" ht="24.75" customHeight="1">
      <c r="A880" s="36" t="s">
        <v>388</v>
      </c>
      <c r="B880" s="27" t="s">
        <v>2553</v>
      </c>
      <c r="C880" s="228"/>
      <c r="D880" s="36"/>
      <c r="E880" s="39">
        <v>160</v>
      </c>
      <c r="F880" s="39" t="s">
        <v>55</v>
      </c>
      <c r="G880" s="36" t="s">
        <v>21</v>
      </c>
      <c r="H880" s="36" t="s">
        <v>2550</v>
      </c>
      <c r="I880" s="39">
        <v>17</v>
      </c>
      <c r="J880" s="39"/>
      <c r="K880" s="39"/>
      <c r="L880" s="39">
        <f t="shared" si="523"/>
        <v>17</v>
      </c>
      <c r="M880" s="117">
        <v>46275</v>
      </c>
      <c r="N880" s="117">
        <v>46282</v>
      </c>
      <c r="O880" s="39"/>
      <c r="P880" s="39"/>
      <c r="Q880" s="39"/>
      <c r="R880" s="39">
        <f t="shared" si="524"/>
        <v>0</v>
      </c>
      <c r="S880" s="39" t="s">
        <v>130</v>
      </c>
      <c r="T880" s="39"/>
      <c r="U880" s="39"/>
      <c r="V880" s="39"/>
      <c r="W880" s="39"/>
      <c r="X880" s="39"/>
      <c r="Y880" s="39"/>
      <c r="Z880" s="39"/>
      <c r="AA880" s="39"/>
      <c r="AB880" s="118">
        <f t="shared" si="525"/>
        <v>0</v>
      </c>
      <c r="AC880" s="39"/>
      <c r="AD880" s="39"/>
      <c r="AE880" s="39"/>
      <c r="AF880" s="39"/>
      <c r="AG880" s="39"/>
      <c r="AH880" s="39">
        <f t="shared" si="483"/>
        <v>0</v>
      </c>
      <c r="AI880" s="39"/>
      <c r="AJ880" s="39"/>
      <c r="AK880" s="39"/>
      <c r="AL880" s="39"/>
      <c r="AM880" s="39"/>
      <c r="AN880" s="39">
        <f t="shared" si="522"/>
        <v>0</v>
      </c>
      <c r="AO880" s="39"/>
      <c r="AP880" s="39"/>
      <c r="AQ880" s="39"/>
      <c r="AR880" s="39"/>
      <c r="AS880" s="39"/>
      <c r="AT880" s="39">
        <f t="shared" si="526"/>
        <v>0</v>
      </c>
      <c r="AU880" s="39"/>
      <c r="AV880" s="39"/>
      <c r="AW880" s="39"/>
      <c r="AX880" s="39"/>
      <c r="AY880" s="39"/>
      <c r="AZ880" s="39">
        <f t="shared" si="527"/>
        <v>0</v>
      </c>
      <c r="BA880" s="39"/>
      <c r="BB880" s="39"/>
      <c r="BC880" s="39"/>
      <c r="BD880" s="39"/>
      <c r="BE880" s="39"/>
      <c r="BF880" s="39">
        <f t="shared" si="528"/>
        <v>0</v>
      </c>
      <c r="BG880" s="39"/>
      <c r="BH880" s="39"/>
      <c r="BI880" s="39"/>
      <c r="BJ880" s="39"/>
      <c r="BK880" s="39"/>
      <c r="BL880" s="39">
        <f t="shared" si="484"/>
        <v>0</v>
      </c>
      <c r="BM880" s="54">
        <f t="shared" ca="1" si="529"/>
        <v>46283</v>
      </c>
      <c r="BN880" s="60">
        <v>46290</v>
      </c>
      <c r="BO880" s="57">
        <v>46304</v>
      </c>
      <c r="BP880" s="36"/>
      <c r="BQ880" s="36"/>
      <c r="BR880" s="39"/>
      <c r="BS880" s="39"/>
      <c r="BT880" s="39"/>
      <c r="BU880" s="39"/>
      <c r="BV880" s="39"/>
      <c r="BW880" s="39"/>
      <c r="BX880" s="39"/>
      <c r="BY880" s="39"/>
      <c r="BZ880" s="39">
        <f t="shared" si="485"/>
        <v>0</v>
      </c>
      <c r="CA880" s="39">
        <f t="shared" si="530"/>
        <v>-17</v>
      </c>
      <c r="CB880" s="39">
        <f t="shared" si="531"/>
        <v>0</v>
      </c>
      <c r="CC880" s="39">
        <f t="shared" si="532"/>
        <v>0</v>
      </c>
      <c r="CD880" s="39">
        <f t="shared" si="533"/>
        <v>-17</v>
      </c>
      <c r="CE880" s="102">
        <f t="shared" si="534"/>
        <v>-1</v>
      </c>
      <c r="CF880" s="36" t="s">
        <v>294</v>
      </c>
      <c r="CG880" s="39" t="s">
        <v>231</v>
      </c>
      <c r="CH880" s="39"/>
      <c r="CI880" s="25">
        <v>3</v>
      </c>
    </row>
    <row r="881" spans="1:87" ht="24.75" customHeight="1">
      <c r="A881" s="36" t="s">
        <v>388</v>
      </c>
      <c r="B881" s="27" t="s">
        <v>2561</v>
      </c>
      <c r="C881" s="227">
        <v>15371984</v>
      </c>
      <c r="D881" s="36"/>
      <c r="E881" s="39">
        <v>230</v>
      </c>
      <c r="F881" s="39" t="s">
        <v>53</v>
      </c>
      <c r="G881" s="36" t="s">
        <v>324</v>
      </c>
      <c r="H881" s="36" t="s">
        <v>355</v>
      </c>
      <c r="I881" s="39">
        <v>578</v>
      </c>
      <c r="J881" s="39">
        <v>50</v>
      </c>
      <c r="K881" s="39"/>
      <c r="L881" s="39">
        <f t="shared" ref="L881:L905" si="535">SUM(I881:K881)</f>
        <v>628</v>
      </c>
      <c r="M881" s="117">
        <v>46275</v>
      </c>
      <c r="N881" s="117">
        <v>46280</v>
      </c>
      <c r="O881" s="39"/>
      <c r="P881" s="39"/>
      <c r="Q881" s="39"/>
      <c r="R881" s="39">
        <f t="shared" si="524"/>
        <v>0</v>
      </c>
      <c r="S881" s="39" t="s">
        <v>100</v>
      </c>
      <c r="T881" s="39"/>
      <c r="U881" s="39"/>
      <c r="V881" s="39"/>
      <c r="W881" s="39"/>
      <c r="X881" s="39"/>
      <c r="Y881" s="39"/>
      <c r="Z881" s="39"/>
      <c r="AA881" s="39"/>
      <c r="AB881" s="118">
        <f t="shared" si="525"/>
        <v>0</v>
      </c>
      <c r="AC881" s="39"/>
      <c r="AD881" s="39"/>
      <c r="AE881" s="39"/>
      <c r="AF881" s="39"/>
      <c r="AG881" s="39"/>
      <c r="AH881" s="39">
        <f t="shared" si="483"/>
        <v>0</v>
      </c>
      <c r="AI881" s="39"/>
      <c r="AJ881" s="39"/>
      <c r="AK881" s="39"/>
      <c r="AL881" s="39"/>
      <c r="AM881" s="39"/>
      <c r="AN881" s="39">
        <f t="shared" si="522"/>
        <v>0</v>
      </c>
      <c r="AO881" s="39"/>
      <c r="AP881" s="39"/>
      <c r="AQ881" s="39"/>
      <c r="AR881" s="39"/>
      <c r="AS881" s="39"/>
      <c r="AT881" s="39">
        <f t="shared" si="526"/>
        <v>0</v>
      </c>
      <c r="AU881" s="39"/>
      <c r="AV881" s="39"/>
      <c r="AW881" s="39"/>
      <c r="AX881" s="39"/>
      <c r="AY881" s="39"/>
      <c r="AZ881" s="39">
        <f t="shared" si="527"/>
        <v>0</v>
      </c>
      <c r="BA881" s="39"/>
      <c r="BB881" s="39"/>
      <c r="BC881" s="39"/>
      <c r="BD881" s="39"/>
      <c r="BE881" s="39"/>
      <c r="BF881" s="39">
        <f t="shared" si="528"/>
        <v>0</v>
      </c>
      <c r="BG881" s="39"/>
      <c r="BH881" s="39"/>
      <c r="BI881" s="39"/>
      <c r="BJ881" s="39"/>
      <c r="BK881" s="39"/>
      <c r="BL881" s="39">
        <f t="shared" si="484"/>
        <v>0</v>
      </c>
      <c r="BM881" s="54">
        <f t="shared" ca="1" si="529"/>
        <v>46283</v>
      </c>
      <c r="BN881" s="60">
        <v>46290</v>
      </c>
      <c r="BO881" s="57">
        <v>46305</v>
      </c>
      <c r="BP881" s="36"/>
      <c r="BQ881" s="36"/>
      <c r="BR881" s="39"/>
      <c r="BS881" s="39"/>
      <c r="BT881" s="39"/>
      <c r="BU881" s="39"/>
      <c r="BV881" s="39"/>
      <c r="BW881" s="39"/>
      <c r="BX881" s="39"/>
      <c r="BY881" s="39"/>
      <c r="BZ881" s="39">
        <f t="shared" si="485"/>
        <v>0</v>
      </c>
      <c r="CA881" s="39">
        <f t="shared" si="530"/>
        <v>-578</v>
      </c>
      <c r="CB881" s="39">
        <f t="shared" si="531"/>
        <v>-50</v>
      </c>
      <c r="CC881" s="39">
        <f t="shared" si="532"/>
        <v>0</v>
      </c>
      <c r="CD881" s="39">
        <f t="shared" si="533"/>
        <v>-628</v>
      </c>
      <c r="CE881" s="102">
        <f t="shared" si="534"/>
        <v>-1</v>
      </c>
      <c r="CF881" s="36" t="s">
        <v>295</v>
      </c>
      <c r="CG881" s="39" t="s">
        <v>224</v>
      </c>
      <c r="CH881" s="39"/>
      <c r="CI881" s="25">
        <v>3</v>
      </c>
    </row>
    <row r="882" spans="1:87" ht="24.75" customHeight="1">
      <c r="A882" s="36" t="s">
        <v>388</v>
      </c>
      <c r="B882" s="27" t="s">
        <v>2561</v>
      </c>
      <c r="C882" s="228"/>
      <c r="D882" s="36"/>
      <c r="E882" s="39"/>
      <c r="F882" s="39"/>
      <c r="G882" s="36" t="s">
        <v>198</v>
      </c>
      <c r="H882" s="36">
        <v>400</v>
      </c>
      <c r="I882" s="39" t="s">
        <v>90</v>
      </c>
      <c r="J882" s="39"/>
      <c r="K882" s="39"/>
      <c r="L882" s="39">
        <f t="shared" si="535"/>
        <v>0</v>
      </c>
      <c r="M882" s="117">
        <v>46275</v>
      </c>
      <c r="N882" s="117">
        <v>46280</v>
      </c>
      <c r="O882" s="39"/>
      <c r="P882" s="39"/>
      <c r="Q882" s="39"/>
      <c r="R882" s="39">
        <f t="shared" si="524"/>
        <v>0</v>
      </c>
      <c r="S882" s="39" t="s">
        <v>130</v>
      </c>
      <c r="T882" s="39"/>
      <c r="U882" s="39"/>
      <c r="V882" s="39"/>
      <c r="W882" s="39"/>
      <c r="X882" s="39"/>
      <c r="Y882" s="39"/>
      <c r="Z882" s="39"/>
      <c r="AA882" s="39"/>
      <c r="AB882" s="39">
        <f t="shared" si="525"/>
        <v>0</v>
      </c>
      <c r="AC882" s="39"/>
      <c r="AD882" s="39"/>
      <c r="AE882" s="39"/>
      <c r="AF882" s="39"/>
      <c r="AG882" s="39"/>
      <c r="AH882" s="39">
        <f t="shared" si="483"/>
        <v>0</v>
      </c>
      <c r="AI882" s="39"/>
      <c r="AJ882" s="39"/>
      <c r="AK882" s="39"/>
      <c r="AL882" s="39"/>
      <c r="AM882" s="39"/>
      <c r="AN882" s="39">
        <f t="shared" si="522"/>
        <v>0</v>
      </c>
      <c r="AO882" s="39"/>
      <c r="AP882" s="39"/>
      <c r="AQ882" s="39"/>
      <c r="AR882" s="39"/>
      <c r="AS882" s="39"/>
      <c r="AT882" s="39">
        <f t="shared" si="526"/>
        <v>0</v>
      </c>
      <c r="AU882" s="39"/>
      <c r="AV882" s="39"/>
      <c r="AW882" s="39"/>
      <c r="AX882" s="39"/>
      <c r="AY882" s="39"/>
      <c r="AZ882" s="39">
        <f t="shared" si="527"/>
        <v>0</v>
      </c>
      <c r="BA882" s="39"/>
      <c r="BB882" s="39"/>
      <c r="BC882" s="39"/>
      <c r="BD882" s="39"/>
      <c r="BE882" s="39"/>
      <c r="BF882" s="39">
        <f t="shared" si="528"/>
        <v>0</v>
      </c>
      <c r="BG882" s="39"/>
      <c r="BH882" s="39"/>
      <c r="BI882" s="39"/>
      <c r="BJ882" s="39"/>
      <c r="BK882" s="39"/>
      <c r="BL882" s="39">
        <f t="shared" si="484"/>
        <v>0</v>
      </c>
      <c r="BM882" s="54" t="e">
        <f t="shared" si="529"/>
        <v>#DIV/0!</v>
      </c>
      <c r="BN882" s="60">
        <v>46290</v>
      </c>
      <c r="BO882" s="57">
        <v>46305</v>
      </c>
      <c r="BP882" s="36"/>
      <c r="BQ882" s="36"/>
      <c r="BR882" s="39"/>
      <c r="BS882" s="39"/>
      <c r="BT882" s="39"/>
      <c r="BU882" s="39"/>
      <c r="BV882" s="39"/>
      <c r="BW882" s="39"/>
      <c r="BX882" s="39"/>
      <c r="BY882" s="39"/>
      <c r="BZ882" s="39">
        <f t="shared" si="485"/>
        <v>0</v>
      </c>
      <c r="CA882" s="39" t="e">
        <f t="shared" si="530"/>
        <v>#VALUE!</v>
      </c>
      <c r="CB882" s="39">
        <f t="shared" si="531"/>
        <v>0</v>
      </c>
      <c r="CC882" s="39">
        <f t="shared" si="532"/>
        <v>0</v>
      </c>
      <c r="CD882" s="39">
        <f t="shared" si="533"/>
        <v>0</v>
      </c>
      <c r="CE882" s="102" t="e">
        <f t="shared" si="534"/>
        <v>#DIV/0!</v>
      </c>
      <c r="CF882" s="36" t="s">
        <v>295</v>
      </c>
      <c r="CG882" s="39" t="s">
        <v>224</v>
      </c>
      <c r="CH882" s="39"/>
      <c r="CI882" s="25">
        <v>3</v>
      </c>
    </row>
    <row r="883" spans="1:87" ht="24.75" customHeight="1">
      <c r="A883" s="36" t="s">
        <v>388</v>
      </c>
      <c r="B883" s="27" t="s">
        <v>2562</v>
      </c>
      <c r="C883" s="36" t="s">
        <v>2563</v>
      </c>
      <c r="D883" s="36"/>
      <c r="E883" s="39">
        <v>180</v>
      </c>
      <c r="F883" s="39" t="s">
        <v>55</v>
      </c>
      <c r="G883" s="36" t="s">
        <v>23</v>
      </c>
      <c r="H883" s="36" t="s">
        <v>87</v>
      </c>
      <c r="I883" s="39">
        <v>520</v>
      </c>
      <c r="J883" s="39"/>
      <c r="K883" s="39"/>
      <c r="L883" s="39">
        <f t="shared" si="535"/>
        <v>520</v>
      </c>
      <c r="M883" s="117">
        <v>46272</v>
      </c>
      <c r="N883" s="117">
        <v>46277</v>
      </c>
      <c r="O883" s="39"/>
      <c r="P883" s="39"/>
      <c r="Q883" s="39"/>
      <c r="R883" s="39">
        <f t="shared" si="524"/>
        <v>0</v>
      </c>
      <c r="S883" s="39" t="s">
        <v>100</v>
      </c>
      <c r="T883" s="39"/>
      <c r="U883" s="39"/>
      <c r="V883" s="117">
        <v>46268</v>
      </c>
      <c r="W883" s="39">
        <v>568</v>
      </c>
      <c r="X883" s="39"/>
      <c r="Y883" s="39"/>
      <c r="Z883" s="39"/>
      <c r="AA883" s="39"/>
      <c r="AB883" s="118">
        <f t="shared" si="525"/>
        <v>0</v>
      </c>
      <c r="AC883" s="39"/>
      <c r="AD883" s="39"/>
      <c r="AE883" s="39"/>
      <c r="AF883" s="39"/>
      <c r="AG883" s="39"/>
      <c r="AH883" s="39">
        <f t="shared" si="483"/>
        <v>0</v>
      </c>
      <c r="AI883" s="39"/>
      <c r="AJ883" s="39"/>
      <c r="AK883" s="39"/>
      <c r="AL883" s="39"/>
      <c r="AM883" s="39"/>
      <c r="AN883" s="39">
        <f t="shared" si="522"/>
        <v>0</v>
      </c>
      <c r="AO883" s="39"/>
      <c r="AP883" s="39"/>
      <c r="AQ883" s="39"/>
      <c r="AR883" s="39"/>
      <c r="AS883" s="39"/>
      <c r="AT883" s="39">
        <f t="shared" si="526"/>
        <v>0</v>
      </c>
      <c r="AU883" s="39"/>
      <c r="AV883" s="39"/>
      <c r="AW883" s="39"/>
      <c r="AX883" s="39"/>
      <c r="AY883" s="39"/>
      <c r="AZ883" s="39">
        <f t="shared" si="527"/>
        <v>0</v>
      </c>
      <c r="BA883" s="39"/>
      <c r="BB883" s="39"/>
      <c r="BC883" s="39"/>
      <c r="BD883" s="39"/>
      <c r="BE883" s="39"/>
      <c r="BF883" s="39">
        <f t="shared" si="528"/>
        <v>0</v>
      </c>
      <c r="BG883" s="39"/>
      <c r="BH883" s="39"/>
      <c r="BI883" s="39"/>
      <c r="BJ883" s="39"/>
      <c r="BK883" s="39"/>
      <c r="BL883" s="39">
        <f t="shared" si="484"/>
        <v>0</v>
      </c>
      <c r="BM883" s="54">
        <f t="shared" ca="1" si="529"/>
        <v>46283</v>
      </c>
      <c r="BN883" s="60">
        <v>46286</v>
      </c>
      <c r="BO883" s="57">
        <v>46295</v>
      </c>
      <c r="BP883" s="36"/>
      <c r="BQ883" s="36"/>
      <c r="BR883" s="39"/>
      <c r="BS883" s="39"/>
      <c r="BT883" s="39"/>
      <c r="BU883" s="39"/>
      <c r="BV883" s="39"/>
      <c r="BW883" s="39"/>
      <c r="BX883" s="39"/>
      <c r="BY883" s="39"/>
      <c r="BZ883" s="39">
        <f t="shared" si="485"/>
        <v>0</v>
      </c>
      <c r="CA883" s="39">
        <f t="shared" si="530"/>
        <v>-520</v>
      </c>
      <c r="CB883" s="39">
        <f t="shared" si="531"/>
        <v>0</v>
      </c>
      <c r="CC883" s="39">
        <f t="shared" si="532"/>
        <v>0</v>
      </c>
      <c r="CD883" s="39">
        <f t="shared" si="533"/>
        <v>-520</v>
      </c>
      <c r="CE883" s="102">
        <f t="shared" si="534"/>
        <v>-1</v>
      </c>
      <c r="CF883" s="36" t="s">
        <v>295</v>
      </c>
      <c r="CG883" s="39" t="s">
        <v>224</v>
      </c>
      <c r="CH883" s="39"/>
      <c r="CI883" s="25">
        <v>3</v>
      </c>
    </row>
    <row r="884" spans="1:87" ht="24.75" customHeight="1">
      <c r="A884" s="36" t="s">
        <v>388</v>
      </c>
      <c r="B884" s="27">
        <v>48635</v>
      </c>
      <c r="C884" s="49" t="s">
        <v>2725</v>
      </c>
      <c r="D884" s="36"/>
      <c r="E884" s="39">
        <v>160</v>
      </c>
      <c r="F884" s="39" t="s">
        <v>53</v>
      </c>
      <c r="G884" s="36" t="s">
        <v>23</v>
      </c>
      <c r="H884" s="36" t="s">
        <v>87</v>
      </c>
      <c r="I884" s="39">
        <v>175</v>
      </c>
      <c r="J884" s="39"/>
      <c r="K884" s="39"/>
      <c r="L884" s="39">
        <f t="shared" si="535"/>
        <v>175</v>
      </c>
      <c r="M884" s="117">
        <v>46277</v>
      </c>
      <c r="N884" s="117">
        <v>46280</v>
      </c>
      <c r="O884" s="39"/>
      <c r="P884" s="39"/>
      <c r="Q884" s="39"/>
      <c r="R884" s="39">
        <f t="shared" si="524"/>
        <v>0</v>
      </c>
      <c r="S884" s="39" t="s">
        <v>130</v>
      </c>
      <c r="T884" s="39"/>
      <c r="U884" s="39"/>
      <c r="V884" s="39"/>
      <c r="W884" s="39"/>
      <c r="X884" s="39"/>
      <c r="Y884" s="39"/>
      <c r="Z884" s="39"/>
      <c r="AA884" s="39"/>
      <c r="AB884" s="118">
        <f t="shared" si="525"/>
        <v>0</v>
      </c>
      <c r="AC884" s="39"/>
      <c r="AD884" s="39"/>
      <c r="AE884" s="39"/>
      <c r="AF884" s="39"/>
      <c r="AG884" s="39"/>
      <c r="AH884" s="39">
        <f t="shared" si="483"/>
        <v>0</v>
      </c>
      <c r="AI884" s="39"/>
      <c r="AJ884" s="39"/>
      <c r="AK884" s="39"/>
      <c r="AL884" s="39"/>
      <c r="AM884" s="39"/>
      <c r="AN884" s="39">
        <f t="shared" si="522"/>
        <v>0</v>
      </c>
      <c r="AO884" s="39"/>
      <c r="AP884" s="39"/>
      <c r="AQ884" s="39"/>
      <c r="AR884" s="39"/>
      <c r="AS884" s="39"/>
      <c r="AT884" s="39">
        <f t="shared" si="526"/>
        <v>0</v>
      </c>
      <c r="AU884" s="39"/>
      <c r="AV884" s="39"/>
      <c r="AW884" s="39"/>
      <c r="AX884" s="39"/>
      <c r="AY884" s="39"/>
      <c r="AZ884" s="39">
        <f t="shared" si="527"/>
        <v>0</v>
      </c>
      <c r="BA884" s="39"/>
      <c r="BB884" s="39"/>
      <c r="BC884" s="39"/>
      <c r="BD884" s="39"/>
      <c r="BE884" s="39"/>
      <c r="BF884" s="39">
        <f t="shared" si="528"/>
        <v>0</v>
      </c>
      <c r="BG884" s="39"/>
      <c r="BH884" s="39"/>
      <c r="BI884" s="39"/>
      <c r="BJ884" s="39"/>
      <c r="BK884" s="39"/>
      <c r="BL884" s="39">
        <f t="shared" si="484"/>
        <v>0</v>
      </c>
      <c r="BM884" s="54">
        <f t="shared" ca="1" si="529"/>
        <v>46283</v>
      </c>
      <c r="BN884" s="60">
        <v>46286</v>
      </c>
      <c r="BO884" s="57">
        <v>46295</v>
      </c>
      <c r="BP884" s="36"/>
      <c r="BQ884" s="36"/>
      <c r="BR884" s="39"/>
      <c r="BS884" s="39"/>
      <c r="BT884" s="39"/>
      <c r="BU884" s="39"/>
      <c r="BV884" s="39"/>
      <c r="BW884" s="39"/>
      <c r="BX884" s="39"/>
      <c r="BY884" s="39"/>
      <c r="BZ884" s="39">
        <f t="shared" si="485"/>
        <v>0</v>
      </c>
      <c r="CA884" s="39">
        <f t="shared" si="530"/>
        <v>-175</v>
      </c>
      <c r="CB884" s="39">
        <f t="shared" si="531"/>
        <v>0</v>
      </c>
      <c r="CC884" s="39">
        <f t="shared" si="532"/>
        <v>0</v>
      </c>
      <c r="CD884" s="39">
        <f t="shared" si="533"/>
        <v>-175</v>
      </c>
      <c r="CE884" s="102">
        <f t="shared" si="534"/>
        <v>-1</v>
      </c>
      <c r="CF884" s="36" t="s">
        <v>295</v>
      </c>
      <c r="CG884" s="39" t="s">
        <v>224</v>
      </c>
      <c r="CH884" s="39"/>
      <c r="CI884" s="25">
        <v>3</v>
      </c>
    </row>
    <row r="885" spans="1:87" ht="24.75" customHeight="1">
      <c r="A885" s="36" t="s">
        <v>388</v>
      </c>
      <c r="B885" s="27">
        <v>48634</v>
      </c>
      <c r="C885" s="227" t="s">
        <v>2726</v>
      </c>
      <c r="D885" s="36"/>
      <c r="E885" s="39">
        <v>250</v>
      </c>
      <c r="F885" s="39" t="s">
        <v>67</v>
      </c>
      <c r="G885" s="36" t="s">
        <v>324</v>
      </c>
      <c r="H885" s="36" t="s">
        <v>2727</v>
      </c>
      <c r="I885" s="39">
        <v>240</v>
      </c>
      <c r="J885" s="39">
        <v>15</v>
      </c>
      <c r="K885" s="39"/>
      <c r="L885" s="39">
        <f t="shared" si="535"/>
        <v>255</v>
      </c>
      <c r="M885" s="117">
        <v>46272</v>
      </c>
      <c r="N885" s="117">
        <v>46278</v>
      </c>
      <c r="O885" s="39"/>
      <c r="P885" s="39"/>
      <c r="Q885" s="39"/>
      <c r="R885" s="39">
        <f t="shared" si="524"/>
        <v>0</v>
      </c>
      <c r="S885" s="39" t="s">
        <v>100</v>
      </c>
      <c r="T885" s="39"/>
      <c r="U885" s="39"/>
      <c r="V885" s="117">
        <v>46274</v>
      </c>
      <c r="W885" s="39">
        <f>262+17</f>
        <v>279</v>
      </c>
      <c r="X885" s="39"/>
      <c r="Y885" s="39"/>
      <c r="Z885" s="39"/>
      <c r="AA885" s="39"/>
      <c r="AB885" s="118">
        <f t="shared" si="525"/>
        <v>0</v>
      </c>
      <c r="AC885" s="39"/>
      <c r="AD885" s="39"/>
      <c r="AE885" s="39"/>
      <c r="AF885" s="39"/>
      <c r="AG885" s="39"/>
      <c r="AH885" s="39">
        <f t="shared" si="483"/>
        <v>0</v>
      </c>
      <c r="AI885" s="39"/>
      <c r="AJ885" s="39"/>
      <c r="AK885" s="39"/>
      <c r="AL885" s="39"/>
      <c r="AM885" s="39"/>
      <c r="AN885" s="39">
        <f t="shared" si="522"/>
        <v>0</v>
      </c>
      <c r="AO885" s="39"/>
      <c r="AP885" s="39"/>
      <c r="AQ885" s="39"/>
      <c r="AR885" s="39"/>
      <c r="AS885" s="39"/>
      <c r="AT885" s="39">
        <f t="shared" si="526"/>
        <v>0</v>
      </c>
      <c r="AU885" s="39"/>
      <c r="AV885" s="39"/>
      <c r="AW885" s="39"/>
      <c r="AX885" s="39"/>
      <c r="AY885" s="39"/>
      <c r="AZ885" s="39">
        <f t="shared" si="527"/>
        <v>0</v>
      </c>
      <c r="BA885" s="39"/>
      <c r="BB885" s="39"/>
      <c r="BC885" s="39"/>
      <c r="BD885" s="39"/>
      <c r="BE885" s="39"/>
      <c r="BF885" s="39">
        <f t="shared" si="528"/>
        <v>0</v>
      </c>
      <c r="BG885" s="39"/>
      <c r="BH885" s="39"/>
      <c r="BI885" s="39"/>
      <c r="BJ885" s="39"/>
      <c r="BK885" s="39"/>
      <c r="BL885" s="39">
        <f t="shared" si="484"/>
        <v>0</v>
      </c>
      <c r="BM885" s="54">
        <f t="shared" ca="1" si="529"/>
        <v>46283</v>
      </c>
      <c r="BN885" s="60">
        <v>46287</v>
      </c>
      <c r="BO885" s="57">
        <v>46297</v>
      </c>
      <c r="BP885" s="36"/>
      <c r="BQ885" s="36"/>
      <c r="BR885" s="39"/>
      <c r="BS885" s="39"/>
      <c r="BT885" s="39"/>
      <c r="BU885" s="39"/>
      <c r="BV885" s="39"/>
      <c r="BW885" s="39"/>
      <c r="BX885" s="39"/>
      <c r="BY885" s="39"/>
      <c r="BZ885" s="39">
        <f t="shared" si="485"/>
        <v>0</v>
      </c>
      <c r="CA885" s="39">
        <f t="shared" si="530"/>
        <v>-240</v>
      </c>
      <c r="CB885" s="39">
        <f t="shared" si="531"/>
        <v>-15</v>
      </c>
      <c r="CC885" s="39">
        <f t="shared" si="532"/>
        <v>0</v>
      </c>
      <c r="CD885" s="39">
        <f t="shared" si="533"/>
        <v>-255</v>
      </c>
      <c r="CE885" s="102">
        <f t="shared" si="534"/>
        <v>-1</v>
      </c>
      <c r="CF885" s="36" t="s">
        <v>295</v>
      </c>
      <c r="CG885" s="39" t="s">
        <v>224</v>
      </c>
      <c r="CH885" s="39"/>
      <c r="CI885" s="25">
        <v>3</v>
      </c>
    </row>
    <row r="886" spans="1:87" ht="24.75" customHeight="1">
      <c r="A886" s="36" t="s">
        <v>388</v>
      </c>
      <c r="B886" s="27">
        <v>48634</v>
      </c>
      <c r="C886" s="231"/>
      <c r="D886" s="36"/>
      <c r="E886" s="39"/>
      <c r="F886" s="39"/>
      <c r="G886" s="36" t="s">
        <v>198</v>
      </c>
      <c r="H886" s="36">
        <v>300</v>
      </c>
      <c r="I886" s="39" t="s">
        <v>90</v>
      </c>
      <c r="J886" s="39"/>
      <c r="K886" s="39"/>
      <c r="L886" s="39">
        <f t="shared" si="535"/>
        <v>0</v>
      </c>
      <c r="M886" s="117">
        <v>46272</v>
      </c>
      <c r="N886" s="117">
        <v>46278</v>
      </c>
      <c r="O886" s="39"/>
      <c r="P886" s="39"/>
      <c r="Q886" s="39"/>
      <c r="R886" s="39">
        <f t="shared" si="524"/>
        <v>0</v>
      </c>
      <c r="S886" s="39" t="s">
        <v>130</v>
      </c>
      <c r="T886" s="39"/>
      <c r="U886" s="39"/>
      <c r="V886" s="117">
        <v>46274</v>
      </c>
      <c r="W886" s="39">
        <f>2</f>
        <v>2</v>
      </c>
      <c r="X886" s="39"/>
      <c r="Y886" s="39"/>
      <c r="Z886" s="39"/>
      <c r="AA886" s="39"/>
      <c r="AB886" s="39">
        <f t="shared" si="525"/>
        <v>0</v>
      </c>
      <c r="AC886" s="39"/>
      <c r="AD886" s="39"/>
      <c r="AE886" s="39"/>
      <c r="AF886" s="39"/>
      <c r="AG886" s="39"/>
      <c r="AH886" s="39">
        <f t="shared" si="483"/>
        <v>0</v>
      </c>
      <c r="AI886" s="39"/>
      <c r="AJ886" s="39"/>
      <c r="AK886" s="39"/>
      <c r="AL886" s="39"/>
      <c r="AM886" s="39"/>
      <c r="AN886" s="39">
        <f t="shared" si="522"/>
        <v>0</v>
      </c>
      <c r="AO886" s="39"/>
      <c r="AP886" s="39"/>
      <c r="AQ886" s="39"/>
      <c r="AR886" s="39"/>
      <c r="AS886" s="39"/>
      <c r="AT886" s="39">
        <f t="shared" si="526"/>
        <v>0</v>
      </c>
      <c r="AU886" s="39"/>
      <c r="AV886" s="39"/>
      <c r="AW886" s="39"/>
      <c r="AX886" s="39"/>
      <c r="AY886" s="39"/>
      <c r="AZ886" s="39">
        <f t="shared" si="527"/>
        <v>0</v>
      </c>
      <c r="BA886" s="39"/>
      <c r="BB886" s="39"/>
      <c r="BC886" s="39"/>
      <c r="BD886" s="39"/>
      <c r="BE886" s="39"/>
      <c r="BF886" s="39">
        <f t="shared" si="528"/>
        <v>0</v>
      </c>
      <c r="BG886" s="39"/>
      <c r="BH886" s="39"/>
      <c r="BI886" s="39"/>
      <c r="BJ886" s="39"/>
      <c r="BK886" s="39"/>
      <c r="BL886" s="39">
        <f t="shared" si="484"/>
        <v>0</v>
      </c>
      <c r="BM886" s="54" t="e">
        <f t="shared" si="529"/>
        <v>#DIV/0!</v>
      </c>
      <c r="BN886" s="60">
        <v>46287</v>
      </c>
      <c r="BO886" s="57">
        <v>46297</v>
      </c>
      <c r="BP886" s="36"/>
      <c r="BQ886" s="36"/>
      <c r="BR886" s="39"/>
      <c r="BS886" s="39"/>
      <c r="BT886" s="39"/>
      <c r="BU886" s="39"/>
      <c r="BV886" s="39"/>
      <c r="BW886" s="39"/>
      <c r="BX886" s="39"/>
      <c r="BY886" s="39"/>
      <c r="BZ886" s="39">
        <f t="shared" si="485"/>
        <v>0</v>
      </c>
      <c r="CA886" s="39" t="e">
        <f t="shared" si="530"/>
        <v>#VALUE!</v>
      </c>
      <c r="CB886" s="39">
        <f t="shared" si="531"/>
        <v>0</v>
      </c>
      <c r="CC886" s="39">
        <f t="shared" si="532"/>
        <v>0</v>
      </c>
      <c r="CD886" s="39">
        <f t="shared" si="533"/>
        <v>0</v>
      </c>
      <c r="CE886" s="102" t="e">
        <f t="shared" si="534"/>
        <v>#DIV/0!</v>
      </c>
      <c r="CF886" s="36" t="s">
        <v>295</v>
      </c>
      <c r="CG886" s="39" t="s">
        <v>224</v>
      </c>
      <c r="CH886" s="39"/>
      <c r="CI886" s="25">
        <v>3</v>
      </c>
    </row>
    <row r="887" spans="1:87" ht="24.75" customHeight="1">
      <c r="A887" s="36" t="s">
        <v>388</v>
      </c>
      <c r="B887" s="27">
        <v>48634</v>
      </c>
      <c r="C887" s="228"/>
      <c r="D887" s="36"/>
      <c r="E887" s="39"/>
      <c r="F887" s="39"/>
      <c r="G887" s="36" t="s">
        <v>75</v>
      </c>
      <c r="H887" s="36">
        <v>580</v>
      </c>
      <c r="I887" s="39" t="s">
        <v>90</v>
      </c>
      <c r="J887" s="39"/>
      <c r="K887" s="39"/>
      <c r="L887" s="39">
        <f t="shared" si="535"/>
        <v>0</v>
      </c>
      <c r="M887" s="117">
        <v>46272</v>
      </c>
      <c r="N887" s="117">
        <v>46278</v>
      </c>
      <c r="O887" s="39"/>
      <c r="P887" s="39"/>
      <c r="Q887" s="39"/>
      <c r="R887" s="39">
        <f t="shared" si="524"/>
        <v>0</v>
      </c>
      <c r="S887" s="39" t="s">
        <v>130</v>
      </c>
      <c r="T887" s="39"/>
      <c r="U887" s="39"/>
      <c r="V887" s="39"/>
      <c r="W887" s="39"/>
      <c r="X887" s="39"/>
      <c r="Y887" s="39"/>
      <c r="Z887" s="39"/>
      <c r="AA887" s="39"/>
      <c r="AB887" s="39">
        <f t="shared" si="525"/>
        <v>0</v>
      </c>
      <c r="AC887" s="39"/>
      <c r="AD887" s="39"/>
      <c r="AE887" s="39"/>
      <c r="AF887" s="39"/>
      <c r="AG887" s="39"/>
      <c r="AH887" s="39">
        <f t="shared" si="483"/>
        <v>0</v>
      </c>
      <c r="AI887" s="39"/>
      <c r="AJ887" s="39"/>
      <c r="AK887" s="39"/>
      <c r="AL887" s="39"/>
      <c r="AM887" s="39"/>
      <c r="AN887" s="39">
        <f t="shared" si="522"/>
        <v>0</v>
      </c>
      <c r="AO887" s="39"/>
      <c r="AP887" s="39"/>
      <c r="AQ887" s="39"/>
      <c r="AR887" s="39"/>
      <c r="AS887" s="39"/>
      <c r="AT887" s="39">
        <f t="shared" si="526"/>
        <v>0</v>
      </c>
      <c r="AU887" s="39"/>
      <c r="AV887" s="39"/>
      <c r="AW887" s="39"/>
      <c r="AX887" s="39"/>
      <c r="AY887" s="39"/>
      <c r="AZ887" s="39">
        <f t="shared" si="527"/>
        <v>0</v>
      </c>
      <c r="BA887" s="39"/>
      <c r="BB887" s="39"/>
      <c r="BC887" s="39"/>
      <c r="BD887" s="39"/>
      <c r="BE887" s="39"/>
      <c r="BF887" s="39">
        <f t="shared" si="528"/>
        <v>0</v>
      </c>
      <c r="BG887" s="39"/>
      <c r="BH887" s="39"/>
      <c r="BI887" s="39"/>
      <c r="BJ887" s="39"/>
      <c r="BK887" s="39"/>
      <c r="BL887" s="39">
        <f t="shared" si="484"/>
        <v>0</v>
      </c>
      <c r="BM887" s="54" t="e">
        <f t="shared" si="529"/>
        <v>#DIV/0!</v>
      </c>
      <c r="BN887" s="60">
        <v>46287</v>
      </c>
      <c r="BO887" s="57">
        <v>46297</v>
      </c>
      <c r="BP887" s="36"/>
      <c r="BQ887" s="36"/>
      <c r="BR887" s="39"/>
      <c r="BS887" s="39"/>
      <c r="BT887" s="39"/>
      <c r="BU887" s="39"/>
      <c r="BV887" s="39"/>
      <c r="BW887" s="39"/>
      <c r="BX887" s="39"/>
      <c r="BY887" s="39"/>
      <c r="BZ887" s="39">
        <f t="shared" si="485"/>
        <v>0</v>
      </c>
      <c r="CA887" s="39" t="e">
        <f t="shared" si="530"/>
        <v>#VALUE!</v>
      </c>
      <c r="CB887" s="39">
        <f t="shared" si="531"/>
        <v>0</v>
      </c>
      <c r="CC887" s="39">
        <f t="shared" si="532"/>
        <v>0</v>
      </c>
      <c r="CD887" s="39">
        <f t="shared" si="533"/>
        <v>0</v>
      </c>
      <c r="CE887" s="102" t="e">
        <f t="shared" si="534"/>
        <v>#DIV/0!</v>
      </c>
      <c r="CF887" s="36" t="s">
        <v>295</v>
      </c>
      <c r="CG887" s="39" t="s">
        <v>224</v>
      </c>
      <c r="CH887" s="39"/>
      <c r="CI887" s="25">
        <v>3</v>
      </c>
    </row>
    <row r="888" spans="1:87" ht="24.75" customHeight="1">
      <c r="A888" s="36" t="s">
        <v>388</v>
      </c>
      <c r="B888" s="27">
        <v>48638</v>
      </c>
      <c r="C888" s="227" t="s">
        <v>2728</v>
      </c>
      <c r="D888" s="36"/>
      <c r="E888" s="39">
        <v>220</v>
      </c>
      <c r="F888" s="39" t="s">
        <v>55</v>
      </c>
      <c r="G888" s="36" t="s">
        <v>23</v>
      </c>
      <c r="H888" s="36" t="s">
        <v>210</v>
      </c>
      <c r="I888" s="39">
        <v>215</v>
      </c>
      <c r="J888" s="39"/>
      <c r="K888" s="39"/>
      <c r="L888" s="39">
        <f t="shared" si="535"/>
        <v>215</v>
      </c>
      <c r="M888" s="117">
        <v>46273</v>
      </c>
      <c r="N888" s="117">
        <v>46278</v>
      </c>
      <c r="O888" s="39"/>
      <c r="P888" s="39"/>
      <c r="Q888" s="39"/>
      <c r="R888" s="39">
        <f t="shared" si="524"/>
        <v>0</v>
      </c>
      <c r="S888" s="39" t="s">
        <v>100</v>
      </c>
      <c r="T888" s="39"/>
      <c r="U888" s="39"/>
      <c r="V888" s="117">
        <v>46277</v>
      </c>
      <c r="W888" s="39">
        <v>240</v>
      </c>
      <c r="X888" s="39"/>
      <c r="Y888" s="39"/>
      <c r="Z888" s="39"/>
      <c r="AA888" s="39"/>
      <c r="AB888" s="118">
        <f t="shared" si="525"/>
        <v>0</v>
      </c>
      <c r="AC888" s="39"/>
      <c r="AD888" s="39"/>
      <c r="AE888" s="39"/>
      <c r="AF888" s="39"/>
      <c r="AG888" s="39"/>
      <c r="AH888" s="39">
        <f t="shared" si="483"/>
        <v>0</v>
      </c>
      <c r="AI888" s="39"/>
      <c r="AJ888" s="39"/>
      <c r="AK888" s="39"/>
      <c r="AL888" s="39"/>
      <c r="AM888" s="39"/>
      <c r="AN888" s="39">
        <f t="shared" si="522"/>
        <v>0</v>
      </c>
      <c r="AO888" s="39"/>
      <c r="AP888" s="39"/>
      <c r="AQ888" s="39"/>
      <c r="AR888" s="39"/>
      <c r="AS888" s="39"/>
      <c r="AT888" s="39">
        <f t="shared" si="526"/>
        <v>0</v>
      </c>
      <c r="AU888" s="39"/>
      <c r="AV888" s="39"/>
      <c r="AW888" s="39"/>
      <c r="AX888" s="39"/>
      <c r="AY888" s="39"/>
      <c r="AZ888" s="39">
        <f t="shared" si="527"/>
        <v>0</v>
      </c>
      <c r="BA888" s="39"/>
      <c r="BB888" s="39"/>
      <c r="BC888" s="39"/>
      <c r="BD888" s="39"/>
      <c r="BE888" s="39"/>
      <c r="BF888" s="39">
        <f t="shared" si="528"/>
        <v>0</v>
      </c>
      <c r="BG888" s="39"/>
      <c r="BH888" s="39"/>
      <c r="BI888" s="39"/>
      <c r="BJ888" s="39"/>
      <c r="BK888" s="39"/>
      <c r="BL888" s="39">
        <f t="shared" si="484"/>
        <v>0</v>
      </c>
      <c r="BM888" s="54">
        <f t="shared" ca="1" si="529"/>
        <v>46283</v>
      </c>
      <c r="BN888" s="60">
        <v>46286</v>
      </c>
      <c r="BO888" s="57">
        <v>46295</v>
      </c>
      <c r="BP888" s="36"/>
      <c r="BQ888" s="36"/>
      <c r="BR888" s="39"/>
      <c r="BS888" s="39"/>
      <c r="BT888" s="39"/>
      <c r="BU888" s="39"/>
      <c r="BV888" s="39"/>
      <c r="BW888" s="39"/>
      <c r="BX888" s="39"/>
      <c r="BY888" s="39"/>
      <c r="BZ888" s="39">
        <f t="shared" si="485"/>
        <v>0</v>
      </c>
      <c r="CA888" s="39">
        <f t="shared" si="530"/>
        <v>-215</v>
      </c>
      <c r="CB888" s="39">
        <f t="shared" si="531"/>
        <v>0</v>
      </c>
      <c r="CC888" s="39">
        <f t="shared" si="532"/>
        <v>0</v>
      </c>
      <c r="CD888" s="39">
        <f t="shared" si="533"/>
        <v>-215</v>
      </c>
      <c r="CE888" s="102">
        <f t="shared" si="534"/>
        <v>-1</v>
      </c>
      <c r="CF888" s="36" t="s">
        <v>295</v>
      </c>
      <c r="CG888" s="39" t="s">
        <v>224</v>
      </c>
      <c r="CH888" s="39"/>
      <c r="CI888" s="25">
        <v>3</v>
      </c>
    </row>
    <row r="889" spans="1:87" ht="24.75" customHeight="1">
      <c r="A889" s="36" t="s">
        <v>388</v>
      </c>
      <c r="B889" s="27">
        <v>48638</v>
      </c>
      <c r="C889" s="231"/>
      <c r="D889" s="36"/>
      <c r="E889" s="39">
        <v>220</v>
      </c>
      <c r="F889" s="39" t="s">
        <v>55</v>
      </c>
      <c r="G889" s="36" t="s">
        <v>23</v>
      </c>
      <c r="H889" s="36" t="s">
        <v>210</v>
      </c>
      <c r="I889" s="39">
        <v>345</v>
      </c>
      <c r="J889" s="39"/>
      <c r="K889" s="39"/>
      <c r="L889" s="39">
        <f t="shared" si="535"/>
        <v>345</v>
      </c>
      <c r="M889" s="117">
        <v>46273</v>
      </c>
      <c r="N889" s="117">
        <v>46278</v>
      </c>
      <c r="O889" s="39"/>
      <c r="P889" s="39"/>
      <c r="Q889" s="39"/>
      <c r="R889" s="39">
        <f t="shared" si="524"/>
        <v>0</v>
      </c>
      <c r="S889" s="39" t="s">
        <v>100</v>
      </c>
      <c r="T889" s="39"/>
      <c r="U889" s="39"/>
      <c r="V889" s="117">
        <v>46277</v>
      </c>
      <c r="W889" s="39">
        <v>376</v>
      </c>
      <c r="X889" s="39"/>
      <c r="Y889" s="39"/>
      <c r="Z889" s="39"/>
      <c r="AA889" s="39"/>
      <c r="AB889" s="118">
        <f t="shared" si="525"/>
        <v>0</v>
      </c>
      <c r="AC889" s="39"/>
      <c r="AD889" s="39"/>
      <c r="AE889" s="39"/>
      <c r="AF889" s="39"/>
      <c r="AG889" s="39"/>
      <c r="AH889" s="39">
        <f t="shared" si="483"/>
        <v>0</v>
      </c>
      <c r="AI889" s="39"/>
      <c r="AJ889" s="39"/>
      <c r="AK889" s="39"/>
      <c r="AL889" s="39"/>
      <c r="AM889" s="39"/>
      <c r="AN889" s="39">
        <f t="shared" si="522"/>
        <v>0</v>
      </c>
      <c r="AO889" s="39"/>
      <c r="AP889" s="39"/>
      <c r="AQ889" s="39"/>
      <c r="AR889" s="39"/>
      <c r="AS889" s="39"/>
      <c r="AT889" s="39">
        <f t="shared" si="526"/>
        <v>0</v>
      </c>
      <c r="AU889" s="39"/>
      <c r="AV889" s="39"/>
      <c r="AW889" s="39"/>
      <c r="AX889" s="39"/>
      <c r="AY889" s="39"/>
      <c r="AZ889" s="39">
        <f t="shared" si="527"/>
        <v>0</v>
      </c>
      <c r="BA889" s="39"/>
      <c r="BB889" s="39"/>
      <c r="BC889" s="39"/>
      <c r="BD889" s="39"/>
      <c r="BE889" s="39"/>
      <c r="BF889" s="39">
        <f t="shared" si="528"/>
        <v>0</v>
      </c>
      <c r="BG889" s="39"/>
      <c r="BH889" s="39"/>
      <c r="BI889" s="39"/>
      <c r="BJ889" s="39"/>
      <c r="BK889" s="39"/>
      <c r="BL889" s="39">
        <f t="shared" si="484"/>
        <v>0</v>
      </c>
      <c r="BM889" s="54">
        <f t="shared" ca="1" si="529"/>
        <v>46283</v>
      </c>
      <c r="BN889" s="60">
        <v>46286</v>
      </c>
      <c r="BO889" s="57">
        <v>46295</v>
      </c>
      <c r="BP889" s="36"/>
      <c r="BQ889" s="36"/>
      <c r="BR889" s="39"/>
      <c r="BS889" s="39"/>
      <c r="BT889" s="39"/>
      <c r="BU889" s="39"/>
      <c r="BV889" s="39"/>
      <c r="BW889" s="39"/>
      <c r="BX889" s="39"/>
      <c r="BY889" s="39"/>
      <c r="BZ889" s="39">
        <f t="shared" si="485"/>
        <v>0</v>
      </c>
      <c r="CA889" s="39">
        <f t="shared" si="530"/>
        <v>-345</v>
      </c>
      <c r="CB889" s="39">
        <f t="shared" si="531"/>
        <v>0</v>
      </c>
      <c r="CC889" s="39">
        <f t="shared" si="532"/>
        <v>0</v>
      </c>
      <c r="CD889" s="39">
        <f t="shared" si="533"/>
        <v>-345</v>
      </c>
      <c r="CE889" s="102">
        <f t="shared" si="534"/>
        <v>-1</v>
      </c>
      <c r="CF889" s="36" t="s">
        <v>295</v>
      </c>
      <c r="CG889" s="39" t="s">
        <v>224</v>
      </c>
      <c r="CH889" s="39"/>
      <c r="CI889" s="25">
        <v>3</v>
      </c>
    </row>
    <row r="890" spans="1:87" ht="24.75" customHeight="1">
      <c r="A890" s="36" t="s">
        <v>388</v>
      </c>
      <c r="B890" s="27">
        <v>48638</v>
      </c>
      <c r="C890" s="231"/>
      <c r="D890" s="36"/>
      <c r="E890" s="39"/>
      <c r="F890" s="39"/>
      <c r="G890" s="36" t="s">
        <v>75</v>
      </c>
      <c r="H890" s="36">
        <v>345</v>
      </c>
      <c r="I890" s="39" t="s">
        <v>90</v>
      </c>
      <c r="J890" s="39"/>
      <c r="K890" s="39"/>
      <c r="L890" s="39">
        <f t="shared" si="535"/>
        <v>0</v>
      </c>
      <c r="M890" s="117">
        <v>46273</v>
      </c>
      <c r="N890" s="117">
        <v>46278</v>
      </c>
      <c r="O890" s="39"/>
      <c r="P890" s="39"/>
      <c r="Q890" s="39"/>
      <c r="R890" s="39">
        <f t="shared" si="524"/>
        <v>0</v>
      </c>
      <c r="S890" s="39" t="s">
        <v>130</v>
      </c>
      <c r="T890" s="39"/>
      <c r="U890" s="39"/>
      <c r="V890" s="39"/>
      <c r="W890" s="39"/>
      <c r="X890" s="39"/>
      <c r="Y890" s="39"/>
      <c r="Z890" s="39"/>
      <c r="AA890" s="39"/>
      <c r="AB890" s="39">
        <f t="shared" si="525"/>
        <v>0</v>
      </c>
      <c r="AC890" s="39"/>
      <c r="AD890" s="39"/>
      <c r="AE890" s="39"/>
      <c r="AF890" s="39"/>
      <c r="AG890" s="39"/>
      <c r="AH890" s="39">
        <f t="shared" si="483"/>
        <v>0</v>
      </c>
      <c r="AI890" s="39"/>
      <c r="AJ890" s="39"/>
      <c r="AK890" s="39"/>
      <c r="AL890" s="39"/>
      <c r="AM890" s="39"/>
      <c r="AN890" s="39">
        <f t="shared" si="522"/>
        <v>0</v>
      </c>
      <c r="AO890" s="39"/>
      <c r="AP890" s="39"/>
      <c r="AQ890" s="39"/>
      <c r="AR890" s="39"/>
      <c r="AS890" s="39"/>
      <c r="AT890" s="39">
        <f t="shared" si="526"/>
        <v>0</v>
      </c>
      <c r="AU890" s="39"/>
      <c r="AV890" s="39"/>
      <c r="AW890" s="39"/>
      <c r="AX890" s="39"/>
      <c r="AY890" s="39"/>
      <c r="AZ890" s="39">
        <f t="shared" si="527"/>
        <v>0</v>
      </c>
      <c r="BA890" s="39"/>
      <c r="BB890" s="39"/>
      <c r="BC890" s="39"/>
      <c r="BD890" s="39"/>
      <c r="BE890" s="39"/>
      <c r="BF890" s="39">
        <f t="shared" si="528"/>
        <v>0</v>
      </c>
      <c r="BG890" s="39"/>
      <c r="BH890" s="39"/>
      <c r="BI890" s="39"/>
      <c r="BJ890" s="39"/>
      <c r="BK890" s="39"/>
      <c r="BL890" s="39">
        <f t="shared" si="484"/>
        <v>0</v>
      </c>
      <c r="BM890" s="54" t="e">
        <f t="shared" si="529"/>
        <v>#DIV/0!</v>
      </c>
      <c r="BN890" s="60">
        <v>46286</v>
      </c>
      <c r="BO890" s="57">
        <v>46295</v>
      </c>
      <c r="BP890" s="36"/>
      <c r="BQ890" s="36"/>
      <c r="BR890" s="39"/>
      <c r="BS890" s="39"/>
      <c r="BT890" s="39"/>
      <c r="BU890" s="39"/>
      <c r="BV890" s="39"/>
      <c r="BW890" s="39"/>
      <c r="BX890" s="39"/>
      <c r="BY890" s="39"/>
      <c r="BZ890" s="39">
        <f t="shared" si="485"/>
        <v>0</v>
      </c>
      <c r="CA890" s="39" t="e">
        <f t="shared" si="530"/>
        <v>#VALUE!</v>
      </c>
      <c r="CB890" s="39">
        <f t="shared" si="531"/>
        <v>0</v>
      </c>
      <c r="CC890" s="39">
        <f t="shared" si="532"/>
        <v>0</v>
      </c>
      <c r="CD890" s="39">
        <f t="shared" si="533"/>
        <v>0</v>
      </c>
      <c r="CE890" s="102" t="e">
        <f t="shared" si="534"/>
        <v>#DIV/0!</v>
      </c>
      <c r="CF890" s="36" t="s">
        <v>295</v>
      </c>
      <c r="CG890" s="39" t="s">
        <v>224</v>
      </c>
      <c r="CH890" s="39"/>
      <c r="CI890" s="25">
        <v>3</v>
      </c>
    </row>
    <row r="891" spans="1:87" ht="24.75" customHeight="1">
      <c r="A891" s="36" t="s">
        <v>388</v>
      </c>
      <c r="B891" s="27">
        <v>48638</v>
      </c>
      <c r="C891" s="228"/>
      <c r="D891" s="36"/>
      <c r="E891" s="39"/>
      <c r="F891" s="39"/>
      <c r="G891" s="36" t="s">
        <v>2637</v>
      </c>
      <c r="H891" s="36">
        <v>90</v>
      </c>
      <c r="I891" s="39" t="s">
        <v>90</v>
      </c>
      <c r="J891" s="39"/>
      <c r="K891" s="39"/>
      <c r="L891" s="39">
        <f t="shared" si="535"/>
        <v>0</v>
      </c>
      <c r="M891" s="117">
        <v>46273</v>
      </c>
      <c r="N891" s="117">
        <v>46278</v>
      </c>
      <c r="O891" s="39"/>
      <c r="P891" s="39"/>
      <c r="Q891" s="39"/>
      <c r="R891" s="39">
        <f t="shared" si="524"/>
        <v>0</v>
      </c>
      <c r="S891" s="39" t="s">
        <v>130</v>
      </c>
      <c r="T891" s="39"/>
      <c r="U891" s="39"/>
      <c r="V891" s="39"/>
      <c r="W891" s="39"/>
      <c r="X891" s="39"/>
      <c r="Y891" s="39"/>
      <c r="Z891" s="39"/>
      <c r="AA891" s="39"/>
      <c r="AB891" s="39">
        <f t="shared" si="525"/>
        <v>0</v>
      </c>
      <c r="AC891" s="39"/>
      <c r="AD891" s="39"/>
      <c r="AE891" s="39"/>
      <c r="AF891" s="39"/>
      <c r="AG891" s="39"/>
      <c r="AH891" s="39">
        <f t="shared" si="483"/>
        <v>0</v>
      </c>
      <c r="AI891" s="39"/>
      <c r="AJ891" s="39"/>
      <c r="AK891" s="39"/>
      <c r="AL891" s="39"/>
      <c r="AM891" s="39"/>
      <c r="AN891" s="39">
        <f t="shared" si="522"/>
        <v>0</v>
      </c>
      <c r="AO891" s="39"/>
      <c r="AP891" s="39"/>
      <c r="AQ891" s="39"/>
      <c r="AR891" s="39"/>
      <c r="AS891" s="39"/>
      <c r="AT891" s="39">
        <f t="shared" si="526"/>
        <v>0</v>
      </c>
      <c r="AU891" s="39"/>
      <c r="AV891" s="39"/>
      <c r="AW891" s="39"/>
      <c r="AX891" s="39"/>
      <c r="AY891" s="39"/>
      <c r="AZ891" s="39">
        <f t="shared" si="527"/>
        <v>0</v>
      </c>
      <c r="BA891" s="39"/>
      <c r="BB891" s="39"/>
      <c r="BC891" s="39"/>
      <c r="BD891" s="39"/>
      <c r="BE891" s="39"/>
      <c r="BF891" s="39">
        <f t="shared" si="528"/>
        <v>0</v>
      </c>
      <c r="BG891" s="39"/>
      <c r="BH891" s="39"/>
      <c r="BI891" s="39"/>
      <c r="BJ891" s="39"/>
      <c r="BK891" s="39"/>
      <c r="BL891" s="39">
        <f t="shared" si="484"/>
        <v>0</v>
      </c>
      <c r="BM891" s="54" t="e">
        <f t="shared" si="529"/>
        <v>#DIV/0!</v>
      </c>
      <c r="BN891" s="60">
        <v>46286</v>
      </c>
      <c r="BO891" s="57">
        <v>46295</v>
      </c>
      <c r="BP891" s="36"/>
      <c r="BQ891" s="36"/>
      <c r="BR891" s="39"/>
      <c r="BS891" s="39"/>
      <c r="BT891" s="39"/>
      <c r="BU891" s="39"/>
      <c r="BV891" s="39"/>
      <c r="BW891" s="39"/>
      <c r="BX891" s="39"/>
      <c r="BY891" s="39"/>
      <c r="BZ891" s="39">
        <f t="shared" si="485"/>
        <v>0</v>
      </c>
      <c r="CA891" s="39" t="e">
        <f t="shared" si="530"/>
        <v>#VALUE!</v>
      </c>
      <c r="CB891" s="39">
        <f t="shared" si="531"/>
        <v>0</v>
      </c>
      <c r="CC891" s="39">
        <f t="shared" si="532"/>
        <v>0</v>
      </c>
      <c r="CD891" s="39">
        <f t="shared" si="533"/>
        <v>0</v>
      </c>
      <c r="CE891" s="102" t="e">
        <f t="shared" si="534"/>
        <v>#DIV/0!</v>
      </c>
      <c r="CF891" s="36" t="s">
        <v>295</v>
      </c>
      <c r="CG891" s="39" t="s">
        <v>224</v>
      </c>
      <c r="CH891" s="39"/>
      <c r="CI891" s="25">
        <v>3</v>
      </c>
    </row>
    <row r="892" spans="1:87" ht="24.75" customHeight="1">
      <c r="A892" s="36" t="s">
        <v>388</v>
      </c>
      <c r="B892" s="27" t="s">
        <v>2799</v>
      </c>
      <c r="C892" s="227">
        <v>15370026</v>
      </c>
      <c r="D892" s="36" t="s">
        <v>82</v>
      </c>
      <c r="E892" s="39">
        <v>270</v>
      </c>
      <c r="F892" s="39" t="s">
        <v>55</v>
      </c>
      <c r="G892" s="36" t="s">
        <v>324</v>
      </c>
      <c r="H892" s="36" t="s">
        <v>355</v>
      </c>
      <c r="I892" s="39">
        <v>530</v>
      </c>
      <c r="J892" s="39">
        <v>130</v>
      </c>
      <c r="K892" s="39">
        <v>70</v>
      </c>
      <c r="L892" s="39">
        <f t="shared" si="535"/>
        <v>730</v>
      </c>
      <c r="M892" s="117">
        <v>46278</v>
      </c>
      <c r="N892" s="117">
        <v>46282</v>
      </c>
      <c r="O892" s="39"/>
      <c r="P892" s="39"/>
      <c r="Q892" s="39"/>
      <c r="R892" s="39">
        <f t="shared" si="524"/>
        <v>0</v>
      </c>
      <c r="S892" s="39" t="s">
        <v>100</v>
      </c>
      <c r="T892" s="39"/>
      <c r="U892" s="39"/>
      <c r="V892" s="39"/>
      <c r="W892" s="39"/>
      <c r="X892" s="39"/>
      <c r="Y892" s="39"/>
      <c r="Z892" s="39"/>
      <c r="AA892" s="39"/>
      <c r="AB892" s="118">
        <f t="shared" si="525"/>
        <v>0</v>
      </c>
      <c r="AC892" s="39"/>
      <c r="AD892" s="39"/>
      <c r="AE892" s="39"/>
      <c r="AF892" s="39"/>
      <c r="AG892" s="39"/>
      <c r="AH892" s="39">
        <f t="shared" si="483"/>
        <v>0</v>
      </c>
      <c r="AI892" s="39"/>
      <c r="AJ892" s="39"/>
      <c r="AK892" s="39"/>
      <c r="AL892" s="39"/>
      <c r="AM892" s="39"/>
      <c r="AN892" s="39">
        <f t="shared" si="522"/>
        <v>0</v>
      </c>
      <c r="AO892" s="39"/>
      <c r="AP892" s="39"/>
      <c r="AQ892" s="39"/>
      <c r="AR892" s="39"/>
      <c r="AS892" s="39"/>
      <c r="AT892" s="39">
        <f t="shared" si="526"/>
        <v>0</v>
      </c>
      <c r="AU892" s="39"/>
      <c r="AV892" s="39"/>
      <c r="AW892" s="39"/>
      <c r="AX892" s="39"/>
      <c r="AY892" s="39"/>
      <c r="AZ892" s="39">
        <f t="shared" si="527"/>
        <v>0</v>
      </c>
      <c r="BA892" s="39"/>
      <c r="BB892" s="39"/>
      <c r="BC892" s="39"/>
      <c r="BD892" s="39"/>
      <c r="BE892" s="39"/>
      <c r="BF892" s="39">
        <f t="shared" si="528"/>
        <v>0</v>
      </c>
      <c r="BG892" s="39"/>
      <c r="BH892" s="39"/>
      <c r="BI892" s="39"/>
      <c r="BJ892" s="39"/>
      <c r="BK892" s="39"/>
      <c r="BL892" s="39">
        <f t="shared" si="484"/>
        <v>0</v>
      </c>
      <c r="BM892" s="54">
        <f t="shared" ca="1" si="529"/>
        <v>46283</v>
      </c>
      <c r="BN892" s="60">
        <v>46286</v>
      </c>
      <c r="BO892" s="57">
        <v>46300</v>
      </c>
      <c r="BP892" s="36"/>
      <c r="BQ892" s="36"/>
      <c r="BR892" s="39"/>
      <c r="BS892" s="39"/>
      <c r="BT892" s="39"/>
      <c r="BU892" s="39"/>
      <c r="BV892" s="39"/>
      <c r="BW892" s="39"/>
      <c r="BX892" s="39"/>
      <c r="BY892" s="39"/>
      <c r="BZ892" s="39">
        <f t="shared" si="485"/>
        <v>0</v>
      </c>
      <c r="CA892" s="39">
        <f t="shared" si="530"/>
        <v>-530</v>
      </c>
      <c r="CB892" s="39">
        <f t="shared" si="531"/>
        <v>-130</v>
      </c>
      <c r="CC892" s="39">
        <f t="shared" si="532"/>
        <v>-70</v>
      </c>
      <c r="CD892" s="39">
        <f t="shared" si="533"/>
        <v>-730</v>
      </c>
      <c r="CE892" s="102">
        <f t="shared" si="534"/>
        <v>-1</v>
      </c>
      <c r="CF892" s="36" t="s">
        <v>295</v>
      </c>
      <c r="CG892" s="39" t="s">
        <v>224</v>
      </c>
      <c r="CH892" s="39"/>
      <c r="CI892" s="25">
        <v>3</v>
      </c>
    </row>
    <row r="893" spans="1:87" ht="24.75" customHeight="1">
      <c r="A893" s="36" t="s">
        <v>388</v>
      </c>
      <c r="B893" s="27" t="s">
        <v>2799</v>
      </c>
      <c r="C893" s="231"/>
      <c r="D893" s="36"/>
      <c r="E893" s="39"/>
      <c r="F893" s="39"/>
      <c r="G893" s="36" t="s">
        <v>198</v>
      </c>
      <c r="H893" s="36">
        <v>400</v>
      </c>
      <c r="I893" s="39" t="s">
        <v>90</v>
      </c>
      <c r="J893" s="39"/>
      <c r="K893" s="39"/>
      <c r="L893" s="39">
        <f t="shared" si="535"/>
        <v>0</v>
      </c>
      <c r="M893" s="117">
        <v>46278</v>
      </c>
      <c r="N893" s="117">
        <v>46282</v>
      </c>
      <c r="O893" s="39"/>
      <c r="P893" s="39"/>
      <c r="Q893" s="39"/>
      <c r="R893" s="39">
        <f t="shared" si="524"/>
        <v>0</v>
      </c>
      <c r="S893" s="39" t="s">
        <v>100</v>
      </c>
      <c r="T893" s="39"/>
      <c r="U893" s="39"/>
      <c r="V893" s="39"/>
      <c r="W893" s="39"/>
      <c r="X893" s="39"/>
      <c r="Y893" s="39"/>
      <c r="Z893" s="39"/>
      <c r="AA893" s="39"/>
      <c r="AB893" s="39">
        <f t="shared" si="525"/>
        <v>0</v>
      </c>
      <c r="AC893" s="39"/>
      <c r="AD893" s="39"/>
      <c r="AE893" s="39"/>
      <c r="AF893" s="39"/>
      <c r="AG893" s="39"/>
      <c r="AH893" s="39">
        <f t="shared" si="483"/>
        <v>0</v>
      </c>
      <c r="AI893" s="39"/>
      <c r="AJ893" s="39"/>
      <c r="AK893" s="39"/>
      <c r="AL893" s="39"/>
      <c r="AM893" s="39"/>
      <c r="AN893" s="39">
        <f t="shared" si="522"/>
        <v>0</v>
      </c>
      <c r="AO893" s="39"/>
      <c r="AP893" s="39"/>
      <c r="AQ893" s="39"/>
      <c r="AR893" s="39"/>
      <c r="AS893" s="39"/>
      <c r="AT893" s="39">
        <f t="shared" si="526"/>
        <v>0</v>
      </c>
      <c r="AU893" s="39"/>
      <c r="AV893" s="39"/>
      <c r="AW893" s="39"/>
      <c r="AX893" s="39"/>
      <c r="AY893" s="39"/>
      <c r="AZ893" s="39">
        <f t="shared" si="527"/>
        <v>0</v>
      </c>
      <c r="BA893" s="39"/>
      <c r="BB893" s="39"/>
      <c r="BC893" s="39"/>
      <c r="BD893" s="39"/>
      <c r="BE893" s="39"/>
      <c r="BF893" s="39">
        <f t="shared" si="528"/>
        <v>0</v>
      </c>
      <c r="BG893" s="39"/>
      <c r="BH893" s="39"/>
      <c r="BI893" s="39"/>
      <c r="BJ893" s="39"/>
      <c r="BK893" s="39"/>
      <c r="BL893" s="39">
        <f t="shared" si="484"/>
        <v>0</v>
      </c>
      <c r="BM893" s="54" t="e">
        <f t="shared" si="529"/>
        <v>#DIV/0!</v>
      </c>
      <c r="BN893" s="60">
        <v>46286</v>
      </c>
      <c r="BO893" s="57">
        <v>46300</v>
      </c>
      <c r="BP893" s="36"/>
      <c r="BQ893" s="36"/>
      <c r="BR893" s="39"/>
      <c r="BS893" s="39"/>
      <c r="BT893" s="39"/>
      <c r="BU893" s="39"/>
      <c r="BV893" s="39"/>
      <c r="BW893" s="39"/>
      <c r="BX893" s="39"/>
      <c r="BY893" s="39"/>
      <c r="BZ893" s="39">
        <f t="shared" si="485"/>
        <v>0</v>
      </c>
      <c r="CA893" s="39" t="e">
        <f t="shared" si="530"/>
        <v>#VALUE!</v>
      </c>
      <c r="CB893" s="39">
        <f t="shared" si="531"/>
        <v>0</v>
      </c>
      <c r="CC893" s="39">
        <f t="shared" si="532"/>
        <v>0</v>
      </c>
      <c r="CD893" s="39">
        <f t="shared" si="533"/>
        <v>0</v>
      </c>
      <c r="CE893" s="102" t="e">
        <f t="shared" si="534"/>
        <v>#DIV/0!</v>
      </c>
      <c r="CF893" s="36" t="s">
        <v>295</v>
      </c>
      <c r="CG893" s="39" t="s">
        <v>224</v>
      </c>
      <c r="CH893" s="39"/>
      <c r="CI893" s="25">
        <v>3</v>
      </c>
    </row>
    <row r="894" spans="1:87" ht="24.75" customHeight="1">
      <c r="A894" s="36" t="s">
        <v>388</v>
      </c>
      <c r="B894" s="27" t="s">
        <v>2799</v>
      </c>
      <c r="C894" s="228"/>
      <c r="D894" s="36"/>
      <c r="E894" s="39"/>
      <c r="F894" s="39"/>
      <c r="G894" s="36" t="s">
        <v>2800</v>
      </c>
      <c r="H894" s="36">
        <v>1500</v>
      </c>
      <c r="I894" s="39" t="s">
        <v>90</v>
      </c>
      <c r="J894" s="39"/>
      <c r="K894" s="39"/>
      <c r="L894" s="39">
        <f t="shared" si="535"/>
        <v>0</v>
      </c>
      <c r="M894" s="117">
        <v>46278</v>
      </c>
      <c r="N894" s="117">
        <v>46282</v>
      </c>
      <c r="O894" s="39"/>
      <c r="P894" s="39"/>
      <c r="Q894" s="39"/>
      <c r="R894" s="39">
        <f t="shared" si="524"/>
        <v>0</v>
      </c>
      <c r="S894" s="39" t="s">
        <v>130</v>
      </c>
      <c r="T894" s="39"/>
      <c r="U894" s="39"/>
      <c r="V894" s="39"/>
      <c r="W894" s="39"/>
      <c r="X894" s="39"/>
      <c r="Y894" s="39"/>
      <c r="Z894" s="39"/>
      <c r="AA894" s="39"/>
      <c r="AB894" s="39">
        <f t="shared" si="525"/>
        <v>0</v>
      </c>
      <c r="AC894" s="39"/>
      <c r="AD894" s="39"/>
      <c r="AE894" s="39"/>
      <c r="AF894" s="39"/>
      <c r="AG894" s="39"/>
      <c r="AH894" s="39">
        <f t="shared" si="483"/>
        <v>0</v>
      </c>
      <c r="AI894" s="39"/>
      <c r="AJ894" s="39"/>
      <c r="AK894" s="39"/>
      <c r="AL894" s="39"/>
      <c r="AM894" s="39"/>
      <c r="AN894" s="39">
        <f t="shared" si="522"/>
        <v>0</v>
      </c>
      <c r="AO894" s="39"/>
      <c r="AP894" s="39"/>
      <c r="AQ894" s="39"/>
      <c r="AR894" s="39"/>
      <c r="AS894" s="39"/>
      <c r="AT894" s="39">
        <f t="shared" si="526"/>
        <v>0</v>
      </c>
      <c r="AU894" s="39"/>
      <c r="AV894" s="39"/>
      <c r="AW894" s="39"/>
      <c r="AX894" s="39"/>
      <c r="AY894" s="39"/>
      <c r="AZ894" s="39">
        <f t="shared" si="527"/>
        <v>0</v>
      </c>
      <c r="BA894" s="39"/>
      <c r="BB894" s="39"/>
      <c r="BC894" s="39"/>
      <c r="BD894" s="39"/>
      <c r="BE894" s="39"/>
      <c r="BF894" s="39">
        <f t="shared" si="528"/>
        <v>0</v>
      </c>
      <c r="BG894" s="39"/>
      <c r="BH894" s="39"/>
      <c r="BI894" s="39"/>
      <c r="BJ894" s="39"/>
      <c r="BK894" s="39"/>
      <c r="BL894" s="39">
        <f t="shared" si="484"/>
        <v>0</v>
      </c>
      <c r="BM894" s="54" t="e">
        <f t="shared" si="529"/>
        <v>#DIV/0!</v>
      </c>
      <c r="BN894" s="60">
        <v>46286</v>
      </c>
      <c r="BO894" s="57">
        <v>46300</v>
      </c>
      <c r="BP894" s="36"/>
      <c r="BQ894" s="36"/>
      <c r="BR894" s="39"/>
      <c r="BS894" s="39"/>
      <c r="BT894" s="39"/>
      <c r="BU894" s="39"/>
      <c r="BV894" s="39"/>
      <c r="BW894" s="39"/>
      <c r="BX894" s="39"/>
      <c r="BY894" s="39"/>
      <c r="BZ894" s="39">
        <f t="shared" si="485"/>
        <v>0</v>
      </c>
      <c r="CA894" s="39" t="e">
        <f t="shared" si="530"/>
        <v>#VALUE!</v>
      </c>
      <c r="CB894" s="39">
        <f t="shared" si="531"/>
        <v>0</v>
      </c>
      <c r="CC894" s="39">
        <f t="shared" si="532"/>
        <v>0</v>
      </c>
      <c r="CD894" s="39">
        <f t="shared" si="533"/>
        <v>0</v>
      </c>
      <c r="CE894" s="102" t="e">
        <f t="shared" si="534"/>
        <v>#DIV/0!</v>
      </c>
      <c r="CF894" s="36" t="s">
        <v>295</v>
      </c>
      <c r="CG894" s="39" t="s">
        <v>224</v>
      </c>
      <c r="CH894" s="39"/>
      <c r="CI894" s="25">
        <v>3</v>
      </c>
    </row>
    <row r="895" spans="1:87" ht="24.75" customHeight="1">
      <c r="A895" s="36" t="s">
        <v>388</v>
      </c>
      <c r="B895" s="27">
        <v>48958</v>
      </c>
      <c r="C895" s="253">
        <v>15400894</v>
      </c>
      <c r="D895" s="36"/>
      <c r="E895" s="39">
        <v>190</v>
      </c>
      <c r="F895" s="39" t="s">
        <v>59</v>
      </c>
      <c r="G895" s="36" t="s">
        <v>23</v>
      </c>
      <c r="H895" s="36" t="s">
        <v>96</v>
      </c>
      <c r="I895" s="39">
        <v>200</v>
      </c>
      <c r="J895" s="39"/>
      <c r="K895" s="39"/>
      <c r="L895" s="39">
        <f t="shared" si="535"/>
        <v>200</v>
      </c>
      <c r="M895" s="117">
        <v>46275</v>
      </c>
      <c r="N895" s="117">
        <v>46279</v>
      </c>
      <c r="O895" s="39"/>
      <c r="P895" s="39"/>
      <c r="Q895" s="39"/>
      <c r="R895" s="39">
        <f t="shared" si="524"/>
        <v>0</v>
      </c>
      <c r="S895" s="39" t="s">
        <v>31</v>
      </c>
      <c r="T895" s="39"/>
      <c r="U895" s="39"/>
      <c r="V895" s="117">
        <v>46274</v>
      </c>
      <c r="W895" s="39">
        <v>219</v>
      </c>
      <c r="X895" s="117">
        <v>46281</v>
      </c>
      <c r="Y895" s="39">
        <f>197+1</f>
        <v>198</v>
      </c>
      <c r="Z895" s="39"/>
      <c r="AA895" s="39"/>
      <c r="AB895" s="119">
        <f t="shared" si="525"/>
        <v>198</v>
      </c>
      <c r="AC895" s="39"/>
      <c r="AD895" s="39"/>
      <c r="AE895" s="39"/>
      <c r="AF895" s="39"/>
      <c r="AG895" s="39"/>
      <c r="AH895" s="39">
        <f t="shared" si="483"/>
        <v>0</v>
      </c>
      <c r="AI895" s="39"/>
      <c r="AJ895" s="39"/>
      <c r="AK895" s="39"/>
      <c r="AL895" s="39"/>
      <c r="AM895" s="39"/>
      <c r="AN895" s="39">
        <f t="shared" si="522"/>
        <v>0</v>
      </c>
      <c r="AO895" s="39"/>
      <c r="AP895" s="39"/>
      <c r="AQ895" s="39"/>
      <c r="AR895" s="39"/>
      <c r="AS895" s="39"/>
      <c r="AT895" s="39">
        <f t="shared" si="526"/>
        <v>0</v>
      </c>
      <c r="AU895" s="39"/>
      <c r="AV895" s="39"/>
      <c r="AW895" s="39"/>
      <c r="AX895" s="39"/>
      <c r="AY895" s="39"/>
      <c r="AZ895" s="39">
        <f t="shared" si="527"/>
        <v>0</v>
      </c>
      <c r="BA895" s="39"/>
      <c r="BB895" s="39"/>
      <c r="BC895" s="39"/>
      <c r="BD895" s="39"/>
      <c r="BE895" s="39"/>
      <c r="BF895" s="39">
        <f t="shared" si="528"/>
        <v>0</v>
      </c>
      <c r="BG895" s="39"/>
      <c r="BH895" s="39"/>
      <c r="BI895" s="39"/>
      <c r="BJ895" s="39"/>
      <c r="BK895" s="39"/>
      <c r="BL895" s="39">
        <f t="shared" si="484"/>
        <v>0</v>
      </c>
      <c r="BM895" s="54" t="str">
        <f t="shared" si="529"/>
        <v/>
      </c>
      <c r="BN895" s="60">
        <v>46286</v>
      </c>
      <c r="BO895" s="57">
        <v>46297</v>
      </c>
      <c r="BP895" s="36"/>
      <c r="BQ895" s="36"/>
      <c r="BR895" s="117">
        <v>46281</v>
      </c>
      <c r="BS895" s="117">
        <v>46281</v>
      </c>
      <c r="BT895" s="39">
        <v>867</v>
      </c>
      <c r="BU895" s="39">
        <v>197</v>
      </c>
      <c r="BV895" s="39"/>
      <c r="BW895" s="39"/>
      <c r="BX895" s="39"/>
      <c r="BY895" s="39"/>
      <c r="BZ895" s="39">
        <f t="shared" si="485"/>
        <v>197</v>
      </c>
      <c r="CA895" s="39">
        <f t="shared" si="530"/>
        <v>-3</v>
      </c>
      <c r="CB895" s="39">
        <f t="shared" si="531"/>
        <v>0</v>
      </c>
      <c r="CC895" s="39">
        <f t="shared" si="532"/>
        <v>0</v>
      </c>
      <c r="CD895" s="39">
        <v>0</v>
      </c>
      <c r="CE895" s="102">
        <f t="shared" si="534"/>
        <v>0</v>
      </c>
      <c r="CF895" s="36" t="s">
        <v>295</v>
      </c>
      <c r="CG895" s="39" t="s">
        <v>224</v>
      </c>
      <c r="CH895" s="39"/>
      <c r="CI895" s="25">
        <v>3</v>
      </c>
    </row>
    <row r="896" spans="1:87" ht="24.75" customHeight="1">
      <c r="A896" s="36" t="s">
        <v>388</v>
      </c>
      <c r="B896" s="27">
        <v>48958</v>
      </c>
      <c r="C896" s="266"/>
      <c r="D896" s="36"/>
      <c r="E896" s="39">
        <v>190</v>
      </c>
      <c r="F896" s="39" t="s">
        <v>59</v>
      </c>
      <c r="G896" s="36" t="s">
        <v>21</v>
      </c>
      <c r="H896" s="36" t="s">
        <v>96</v>
      </c>
      <c r="I896" s="39">
        <v>100</v>
      </c>
      <c r="J896" s="39"/>
      <c r="K896" s="39"/>
      <c r="L896" s="39">
        <f t="shared" si="535"/>
        <v>100</v>
      </c>
      <c r="M896" s="117">
        <v>46275</v>
      </c>
      <c r="N896" s="117">
        <v>46279</v>
      </c>
      <c r="O896" s="39"/>
      <c r="P896" s="39"/>
      <c r="Q896" s="39"/>
      <c r="R896" s="39">
        <f t="shared" si="524"/>
        <v>0</v>
      </c>
      <c r="S896" s="39" t="s">
        <v>130</v>
      </c>
      <c r="T896" s="39"/>
      <c r="U896" s="39"/>
      <c r="V896" s="39"/>
      <c r="W896" s="39"/>
      <c r="X896" s="39"/>
      <c r="Y896" s="39"/>
      <c r="Z896" s="39"/>
      <c r="AA896" s="39"/>
      <c r="AB896" s="118">
        <f t="shared" si="525"/>
        <v>0</v>
      </c>
      <c r="AC896" s="39"/>
      <c r="AD896" s="39"/>
      <c r="AE896" s="39"/>
      <c r="AF896" s="39"/>
      <c r="AG896" s="39"/>
      <c r="AH896" s="39">
        <f t="shared" si="483"/>
        <v>0</v>
      </c>
      <c r="AI896" s="39"/>
      <c r="AJ896" s="39"/>
      <c r="AK896" s="39"/>
      <c r="AL896" s="39"/>
      <c r="AM896" s="39"/>
      <c r="AN896" s="39">
        <f t="shared" si="522"/>
        <v>0</v>
      </c>
      <c r="AO896" s="39"/>
      <c r="AP896" s="39"/>
      <c r="AQ896" s="39"/>
      <c r="AR896" s="39"/>
      <c r="AS896" s="39"/>
      <c r="AT896" s="39">
        <f t="shared" si="526"/>
        <v>0</v>
      </c>
      <c r="AU896" s="39"/>
      <c r="AV896" s="39"/>
      <c r="AW896" s="39"/>
      <c r="AX896" s="39"/>
      <c r="AY896" s="39"/>
      <c r="AZ896" s="39">
        <f t="shared" si="527"/>
        <v>0</v>
      </c>
      <c r="BA896" s="39"/>
      <c r="BB896" s="39"/>
      <c r="BC896" s="39"/>
      <c r="BD896" s="39"/>
      <c r="BE896" s="39"/>
      <c r="BF896" s="39">
        <f t="shared" si="528"/>
        <v>0</v>
      </c>
      <c r="BG896" s="39"/>
      <c r="BH896" s="39"/>
      <c r="BI896" s="39"/>
      <c r="BJ896" s="39"/>
      <c r="BK896" s="39"/>
      <c r="BL896" s="39">
        <f t="shared" si="484"/>
        <v>0</v>
      </c>
      <c r="BM896" s="54">
        <f t="shared" ca="1" si="529"/>
        <v>46283</v>
      </c>
      <c r="BN896" s="60">
        <v>46286</v>
      </c>
      <c r="BO896" s="57">
        <v>46297</v>
      </c>
      <c r="BP896" s="36"/>
      <c r="BQ896" s="36"/>
      <c r="BR896" s="39"/>
      <c r="BS896" s="39"/>
      <c r="BT896" s="39"/>
      <c r="BU896" s="39"/>
      <c r="BV896" s="39"/>
      <c r="BW896" s="39"/>
      <c r="BX896" s="39"/>
      <c r="BY896" s="39"/>
      <c r="BZ896" s="39">
        <f t="shared" si="485"/>
        <v>0</v>
      </c>
      <c r="CA896" s="39">
        <f t="shared" si="530"/>
        <v>-100</v>
      </c>
      <c r="CB896" s="39">
        <f t="shared" si="531"/>
        <v>0</v>
      </c>
      <c r="CC896" s="39">
        <f t="shared" si="532"/>
        <v>0</v>
      </c>
      <c r="CD896" s="39">
        <f t="shared" si="533"/>
        <v>-100</v>
      </c>
      <c r="CE896" s="102">
        <f t="shared" si="534"/>
        <v>-1</v>
      </c>
      <c r="CF896" s="36" t="s">
        <v>295</v>
      </c>
      <c r="CG896" s="39" t="s">
        <v>224</v>
      </c>
      <c r="CH896" s="39"/>
      <c r="CI896" s="25">
        <v>3</v>
      </c>
    </row>
    <row r="897" spans="1:87" ht="24.75" customHeight="1">
      <c r="A897" s="36" t="s">
        <v>388</v>
      </c>
      <c r="B897" s="27">
        <v>48958</v>
      </c>
      <c r="C897" s="254"/>
      <c r="D897" s="36"/>
      <c r="E897" s="39">
        <v>190</v>
      </c>
      <c r="F897" s="39" t="s">
        <v>59</v>
      </c>
      <c r="G897" s="36" t="s">
        <v>486</v>
      </c>
      <c r="H897" s="36" t="s">
        <v>96</v>
      </c>
      <c r="I897" s="39">
        <v>100</v>
      </c>
      <c r="J897" s="39"/>
      <c r="K897" s="39"/>
      <c r="L897" s="39">
        <f t="shared" si="535"/>
        <v>100</v>
      </c>
      <c r="M897" s="117">
        <v>46275</v>
      </c>
      <c r="N897" s="117">
        <v>46279</v>
      </c>
      <c r="O897" s="39"/>
      <c r="P897" s="39"/>
      <c r="Q897" s="39"/>
      <c r="R897" s="39">
        <f t="shared" si="524"/>
        <v>0</v>
      </c>
      <c r="S897" s="39" t="s">
        <v>31</v>
      </c>
      <c r="T897" s="39"/>
      <c r="U897" s="39"/>
      <c r="V897" s="117">
        <v>46277</v>
      </c>
      <c r="W897" s="39">
        <v>123</v>
      </c>
      <c r="X897" s="39"/>
      <c r="Y897" s="39"/>
      <c r="Z897" s="39"/>
      <c r="AA897" s="39"/>
      <c r="AB897" s="118">
        <f t="shared" si="525"/>
        <v>0</v>
      </c>
      <c r="AC897" s="39"/>
      <c r="AD897" s="39"/>
      <c r="AE897" s="39"/>
      <c r="AF897" s="39"/>
      <c r="AG897" s="39"/>
      <c r="AH897" s="39">
        <f t="shared" si="483"/>
        <v>0</v>
      </c>
      <c r="AI897" s="39"/>
      <c r="AJ897" s="39"/>
      <c r="AK897" s="39"/>
      <c r="AL897" s="39"/>
      <c r="AM897" s="39"/>
      <c r="AN897" s="39">
        <f t="shared" si="522"/>
        <v>0</v>
      </c>
      <c r="AO897" s="39"/>
      <c r="AP897" s="39"/>
      <c r="AQ897" s="39"/>
      <c r="AR897" s="39"/>
      <c r="AS897" s="39"/>
      <c r="AT897" s="39">
        <f t="shared" si="526"/>
        <v>0</v>
      </c>
      <c r="AU897" s="39"/>
      <c r="AV897" s="39"/>
      <c r="AW897" s="39"/>
      <c r="AX897" s="39"/>
      <c r="AY897" s="39"/>
      <c r="AZ897" s="39">
        <f t="shared" si="527"/>
        <v>0</v>
      </c>
      <c r="BA897" s="39"/>
      <c r="BB897" s="39"/>
      <c r="BC897" s="39"/>
      <c r="BD897" s="39"/>
      <c r="BE897" s="39"/>
      <c r="BF897" s="39">
        <f t="shared" si="528"/>
        <v>0</v>
      </c>
      <c r="BG897" s="39"/>
      <c r="BH897" s="39"/>
      <c r="BI897" s="39"/>
      <c r="BJ897" s="39"/>
      <c r="BK897" s="39"/>
      <c r="BL897" s="39">
        <f t="shared" si="484"/>
        <v>0</v>
      </c>
      <c r="BM897" s="54">
        <f t="shared" ca="1" si="529"/>
        <v>46283</v>
      </c>
      <c r="BN897" s="60">
        <v>46286</v>
      </c>
      <c r="BO897" s="57">
        <v>46297</v>
      </c>
      <c r="BP897" s="36"/>
      <c r="BQ897" s="36"/>
      <c r="BR897" s="39"/>
      <c r="BS897" s="39"/>
      <c r="BT897" s="39"/>
      <c r="BU897" s="39"/>
      <c r="BV897" s="39"/>
      <c r="BW897" s="39"/>
      <c r="BX897" s="39"/>
      <c r="BY897" s="39"/>
      <c r="BZ897" s="39">
        <f t="shared" si="485"/>
        <v>0</v>
      </c>
      <c r="CA897" s="39">
        <f t="shared" si="530"/>
        <v>-100</v>
      </c>
      <c r="CB897" s="39">
        <f t="shared" si="531"/>
        <v>0</v>
      </c>
      <c r="CC897" s="39">
        <f t="shared" si="532"/>
        <v>0</v>
      </c>
      <c r="CD897" s="39">
        <f t="shared" si="533"/>
        <v>-100</v>
      </c>
      <c r="CE897" s="102">
        <f t="shared" si="534"/>
        <v>-1</v>
      </c>
      <c r="CF897" s="36" t="s">
        <v>295</v>
      </c>
      <c r="CG897" s="39" t="s">
        <v>224</v>
      </c>
      <c r="CH897" s="39"/>
      <c r="CI897" s="25">
        <v>3</v>
      </c>
    </row>
    <row r="898" spans="1:87" ht="24.75" customHeight="1">
      <c r="A898" s="36" t="s">
        <v>388</v>
      </c>
      <c r="B898" s="27">
        <v>48964</v>
      </c>
      <c r="C898" s="227" t="s">
        <v>3037</v>
      </c>
      <c r="D898" s="36"/>
      <c r="E898" s="39">
        <v>230</v>
      </c>
      <c r="F898" s="39" t="s">
        <v>59</v>
      </c>
      <c r="G898" s="36" t="s">
        <v>47</v>
      </c>
      <c r="H898" s="36" t="s">
        <v>554</v>
      </c>
      <c r="I898" s="39">
        <v>1265</v>
      </c>
      <c r="J898" s="39"/>
      <c r="K898" s="39"/>
      <c r="L898" s="39">
        <f t="shared" si="535"/>
        <v>1265</v>
      </c>
      <c r="M898" s="117">
        <v>46287</v>
      </c>
      <c r="N898" s="117">
        <v>46297</v>
      </c>
      <c r="O898" s="39"/>
      <c r="P898" s="39"/>
      <c r="Q898" s="39"/>
      <c r="R898" s="39">
        <f t="shared" si="524"/>
        <v>0</v>
      </c>
      <c r="S898" s="39" t="s">
        <v>130</v>
      </c>
      <c r="T898" s="39"/>
      <c r="U898" s="39"/>
      <c r="V898" s="39"/>
      <c r="W898" s="39"/>
      <c r="X898" s="39"/>
      <c r="Y898" s="39"/>
      <c r="Z898" s="39"/>
      <c r="AA898" s="39"/>
      <c r="AB898" s="118">
        <f t="shared" si="525"/>
        <v>0</v>
      </c>
      <c r="AC898" s="39"/>
      <c r="AD898" s="39"/>
      <c r="AE898" s="39"/>
      <c r="AF898" s="39"/>
      <c r="AG898" s="39"/>
      <c r="AH898" s="39">
        <f t="shared" si="483"/>
        <v>0</v>
      </c>
      <c r="AI898" s="39"/>
      <c r="AJ898" s="39"/>
      <c r="AK898" s="39"/>
      <c r="AL898" s="39"/>
      <c r="AM898" s="39"/>
      <c r="AN898" s="39">
        <f t="shared" si="522"/>
        <v>0</v>
      </c>
      <c r="AO898" s="39"/>
      <c r="AP898" s="39"/>
      <c r="AQ898" s="39"/>
      <c r="AR898" s="39"/>
      <c r="AS898" s="39"/>
      <c r="AT898" s="39">
        <f t="shared" si="526"/>
        <v>0</v>
      </c>
      <c r="AU898" s="39"/>
      <c r="AV898" s="39"/>
      <c r="AW898" s="39"/>
      <c r="AX898" s="39"/>
      <c r="AY898" s="39"/>
      <c r="AZ898" s="39">
        <f t="shared" si="527"/>
        <v>0</v>
      </c>
      <c r="BA898" s="39"/>
      <c r="BB898" s="39"/>
      <c r="BC898" s="39"/>
      <c r="BD898" s="39"/>
      <c r="BE898" s="39"/>
      <c r="BF898" s="39">
        <f t="shared" si="528"/>
        <v>0</v>
      </c>
      <c r="BG898" s="39"/>
      <c r="BH898" s="39"/>
      <c r="BI898" s="39"/>
      <c r="BJ898" s="39"/>
      <c r="BK898" s="39"/>
      <c r="BL898" s="39">
        <f t="shared" si="484"/>
        <v>0</v>
      </c>
      <c r="BM898" s="54">
        <f t="shared" ca="1" si="529"/>
        <v>46283</v>
      </c>
      <c r="BN898" s="60">
        <v>46295</v>
      </c>
      <c r="BO898" s="57">
        <v>46308</v>
      </c>
      <c r="BP898" s="36"/>
      <c r="BQ898" s="36"/>
      <c r="BR898" s="39"/>
      <c r="BS898" s="39"/>
      <c r="BT898" s="39"/>
      <c r="BU898" s="39"/>
      <c r="BV898" s="39"/>
      <c r="BW898" s="39"/>
      <c r="BX898" s="39"/>
      <c r="BY898" s="39"/>
      <c r="BZ898" s="39">
        <f t="shared" si="485"/>
        <v>0</v>
      </c>
      <c r="CA898" s="39">
        <f t="shared" si="530"/>
        <v>-1265</v>
      </c>
      <c r="CB898" s="39">
        <f t="shared" si="531"/>
        <v>0</v>
      </c>
      <c r="CC898" s="39">
        <f t="shared" si="532"/>
        <v>0</v>
      </c>
      <c r="CD898" s="39">
        <f t="shared" si="533"/>
        <v>-1265</v>
      </c>
      <c r="CE898" s="102">
        <f t="shared" si="534"/>
        <v>-1</v>
      </c>
      <c r="CF898" s="36" t="s">
        <v>252</v>
      </c>
      <c r="CG898" s="39" t="s">
        <v>223</v>
      </c>
      <c r="CH898" s="39"/>
      <c r="CI898" s="25">
        <v>3</v>
      </c>
    </row>
    <row r="899" spans="1:87" ht="24.75" customHeight="1">
      <c r="A899" s="36" t="s">
        <v>388</v>
      </c>
      <c r="B899" s="27">
        <v>48964</v>
      </c>
      <c r="C899" s="231"/>
      <c r="D899" s="36"/>
      <c r="E899" s="39">
        <v>230</v>
      </c>
      <c r="F899" s="39" t="s">
        <v>59</v>
      </c>
      <c r="G899" s="36" t="s">
        <v>2821</v>
      </c>
      <c r="H899" s="36" t="s">
        <v>554</v>
      </c>
      <c r="I899" s="39">
        <v>1265</v>
      </c>
      <c r="J899" s="39"/>
      <c r="K899" s="39"/>
      <c r="L899" s="39">
        <f t="shared" si="535"/>
        <v>1265</v>
      </c>
      <c r="M899" s="117">
        <v>46287</v>
      </c>
      <c r="N899" s="117">
        <v>46297</v>
      </c>
      <c r="O899" s="39"/>
      <c r="P899" s="39"/>
      <c r="Q899" s="39"/>
      <c r="R899" s="39">
        <f t="shared" si="524"/>
        <v>0</v>
      </c>
      <c r="S899" s="39" t="s">
        <v>31</v>
      </c>
      <c r="T899" s="39"/>
      <c r="U899" s="39"/>
      <c r="V899" s="39"/>
      <c r="W899" s="39"/>
      <c r="X899" s="39"/>
      <c r="Y899" s="39"/>
      <c r="Z899" s="39"/>
      <c r="AA899" s="39"/>
      <c r="AB899" s="118">
        <f t="shared" si="525"/>
        <v>0</v>
      </c>
      <c r="AC899" s="39"/>
      <c r="AD899" s="39"/>
      <c r="AE899" s="39"/>
      <c r="AF899" s="39"/>
      <c r="AG899" s="39"/>
      <c r="AH899" s="39">
        <f t="shared" si="483"/>
        <v>0</v>
      </c>
      <c r="AI899" s="39"/>
      <c r="AJ899" s="39"/>
      <c r="AK899" s="39"/>
      <c r="AL899" s="39"/>
      <c r="AM899" s="39"/>
      <c r="AN899" s="39">
        <f t="shared" si="522"/>
        <v>0</v>
      </c>
      <c r="AO899" s="39"/>
      <c r="AP899" s="39"/>
      <c r="AQ899" s="39"/>
      <c r="AR899" s="39"/>
      <c r="AS899" s="39"/>
      <c r="AT899" s="39">
        <f t="shared" si="526"/>
        <v>0</v>
      </c>
      <c r="AU899" s="39"/>
      <c r="AV899" s="39"/>
      <c r="AW899" s="39"/>
      <c r="AX899" s="39"/>
      <c r="AY899" s="39"/>
      <c r="AZ899" s="39">
        <f t="shared" si="527"/>
        <v>0</v>
      </c>
      <c r="BA899" s="39"/>
      <c r="BB899" s="39"/>
      <c r="BC899" s="39"/>
      <c r="BD899" s="39"/>
      <c r="BE899" s="39"/>
      <c r="BF899" s="39">
        <f t="shared" si="528"/>
        <v>0</v>
      </c>
      <c r="BG899" s="39"/>
      <c r="BH899" s="39"/>
      <c r="BI899" s="39"/>
      <c r="BJ899" s="39"/>
      <c r="BK899" s="39"/>
      <c r="BL899" s="39">
        <f t="shared" si="484"/>
        <v>0</v>
      </c>
      <c r="BM899" s="54">
        <f t="shared" ca="1" si="529"/>
        <v>46283</v>
      </c>
      <c r="BN899" s="60">
        <v>46295</v>
      </c>
      <c r="BO899" s="57">
        <v>46308</v>
      </c>
      <c r="BP899" s="36"/>
      <c r="BQ899" s="36"/>
      <c r="BR899" s="39"/>
      <c r="BS899" s="39"/>
      <c r="BT899" s="39"/>
      <c r="BU899" s="39"/>
      <c r="BV899" s="39"/>
      <c r="BW899" s="39"/>
      <c r="BX899" s="39"/>
      <c r="BY899" s="39"/>
      <c r="BZ899" s="39">
        <f t="shared" si="485"/>
        <v>0</v>
      </c>
      <c r="CA899" s="39">
        <f t="shared" si="530"/>
        <v>-1265</v>
      </c>
      <c r="CB899" s="39">
        <f t="shared" si="531"/>
        <v>0</v>
      </c>
      <c r="CC899" s="39">
        <f t="shared" si="532"/>
        <v>0</v>
      </c>
      <c r="CD899" s="39">
        <f t="shared" si="533"/>
        <v>-1265</v>
      </c>
      <c r="CE899" s="102">
        <f t="shared" si="534"/>
        <v>-1</v>
      </c>
      <c r="CF899" s="36" t="s">
        <v>252</v>
      </c>
      <c r="CG899" s="39" t="s">
        <v>223</v>
      </c>
      <c r="CH899" s="39"/>
      <c r="CI899" s="25">
        <v>3</v>
      </c>
    </row>
    <row r="900" spans="1:87" ht="24.75" customHeight="1">
      <c r="A900" s="36" t="s">
        <v>388</v>
      </c>
      <c r="B900" s="27">
        <v>48964</v>
      </c>
      <c r="C900" s="231"/>
      <c r="D900" s="36"/>
      <c r="E900" s="39">
        <v>230</v>
      </c>
      <c r="F900" s="39" t="s">
        <v>59</v>
      </c>
      <c r="G900" s="36" t="s">
        <v>2822</v>
      </c>
      <c r="H900" s="36" t="s">
        <v>554</v>
      </c>
      <c r="I900" s="39">
        <v>1265</v>
      </c>
      <c r="J900" s="39"/>
      <c r="K900" s="39"/>
      <c r="L900" s="39">
        <f t="shared" si="535"/>
        <v>1265</v>
      </c>
      <c r="M900" s="117">
        <v>46287</v>
      </c>
      <c r="N900" s="117">
        <v>46297</v>
      </c>
      <c r="O900" s="39"/>
      <c r="P900" s="39"/>
      <c r="Q900" s="39"/>
      <c r="R900" s="39">
        <f t="shared" si="524"/>
        <v>0</v>
      </c>
      <c r="S900" s="39" t="s">
        <v>31</v>
      </c>
      <c r="T900" s="39"/>
      <c r="U900" s="39"/>
      <c r="V900" s="39"/>
      <c r="W900" s="39"/>
      <c r="X900" s="39"/>
      <c r="Y900" s="39"/>
      <c r="Z900" s="39"/>
      <c r="AA900" s="39"/>
      <c r="AB900" s="118">
        <f t="shared" si="525"/>
        <v>0</v>
      </c>
      <c r="AC900" s="39"/>
      <c r="AD900" s="39"/>
      <c r="AE900" s="39"/>
      <c r="AF900" s="39"/>
      <c r="AG900" s="39"/>
      <c r="AH900" s="39">
        <f t="shared" si="483"/>
        <v>0</v>
      </c>
      <c r="AI900" s="39"/>
      <c r="AJ900" s="39"/>
      <c r="AK900" s="39"/>
      <c r="AL900" s="39"/>
      <c r="AM900" s="39"/>
      <c r="AN900" s="39">
        <f t="shared" si="522"/>
        <v>0</v>
      </c>
      <c r="AO900" s="39"/>
      <c r="AP900" s="39"/>
      <c r="AQ900" s="39"/>
      <c r="AR900" s="39"/>
      <c r="AS900" s="39"/>
      <c r="AT900" s="39">
        <f t="shared" si="526"/>
        <v>0</v>
      </c>
      <c r="AU900" s="39"/>
      <c r="AV900" s="39"/>
      <c r="AW900" s="39"/>
      <c r="AX900" s="39"/>
      <c r="AY900" s="39"/>
      <c r="AZ900" s="39">
        <f t="shared" si="527"/>
        <v>0</v>
      </c>
      <c r="BA900" s="39"/>
      <c r="BB900" s="39"/>
      <c r="BC900" s="39"/>
      <c r="BD900" s="39"/>
      <c r="BE900" s="39"/>
      <c r="BF900" s="39">
        <f t="shared" si="528"/>
        <v>0</v>
      </c>
      <c r="BG900" s="39"/>
      <c r="BH900" s="39"/>
      <c r="BI900" s="39"/>
      <c r="BJ900" s="39"/>
      <c r="BK900" s="39"/>
      <c r="BL900" s="39">
        <f t="shared" si="484"/>
        <v>0</v>
      </c>
      <c r="BM900" s="54">
        <f t="shared" ca="1" si="529"/>
        <v>46283</v>
      </c>
      <c r="BN900" s="60">
        <v>46295</v>
      </c>
      <c r="BO900" s="57">
        <v>46308</v>
      </c>
      <c r="BP900" s="36"/>
      <c r="BQ900" s="36"/>
      <c r="BR900" s="39"/>
      <c r="BS900" s="39"/>
      <c r="BT900" s="39"/>
      <c r="BU900" s="39"/>
      <c r="BV900" s="39"/>
      <c r="BW900" s="39"/>
      <c r="BX900" s="39"/>
      <c r="BY900" s="39"/>
      <c r="BZ900" s="39">
        <f t="shared" si="485"/>
        <v>0</v>
      </c>
      <c r="CA900" s="39">
        <f t="shared" si="530"/>
        <v>-1265</v>
      </c>
      <c r="CB900" s="39">
        <f t="shared" si="531"/>
        <v>0</v>
      </c>
      <c r="CC900" s="39">
        <f t="shared" si="532"/>
        <v>0</v>
      </c>
      <c r="CD900" s="39">
        <f t="shared" si="533"/>
        <v>-1265</v>
      </c>
      <c r="CE900" s="102">
        <f t="shared" si="534"/>
        <v>-1</v>
      </c>
      <c r="CF900" s="36" t="s">
        <v>252</v>
      </c>
      <c r="CG900" s="39" t="s">
        <v>223</v>
      </c>
      <c r="CH900" s="39"/>
      <c r="CI900" s="25">
        <v>3</v>
      </c>
    </row>
    <row r="901" spans="1:87" ht="24.75" customHeight="1">
      <c r="A901" s="36" t="s">
        <v>388</v>
      </c>
      <c r="B901" s="27">
        <v>48964</v>
      </c>
      <c r="C901" s="231"/>
      <c r="D901" s="36"/>
      <c r="E901" s="39">
        <v>230</v>
      </c>
      <c r="F901" s="39" t="s">
        <v>59</v>
      </c>
      <c r="G901" s="36" t="s">
        <v>23</v>
      </c>
      <c r="H901" s="36" t="s">
        <v>554</v>
      </c>
      <c r="I901" s="39">
        <v>379</v>
      </c>
      <c r="J901" s="39"/>
      <c r="K901" s="39"/>
      <c r="L901" s="39">
        <f t="shared" si="535"/>
        <v>379</v>
      </c>
      <c r="M901" s="117">
        <v>46287</v>
      </c>
      <c r="N901" s="117">
        <v>46297</v>
      </c>
      <c r="O901" s="39"/>
      <c r="P901" s="39"/>
      <c r="Q901" s="39"/>
      <c r="R901" s="39">
        <f t="shared" si="524"/>
        <v>0</v>
      </c>
      <c r="S901" s="39" t="s">
        <v>31</v>
      </c>
      <c r="T901" s="39"/>
      <c r="U901" s="39"/>
      <c r="V901" s="39"/>
      <c r="W901" s="39"/>
      <c r="X901" s="39"/>
      <c r="Y901" s="39"/>
      <c r="Z901" s="39"/>
      <c r="AA901" s="39"/>
      <c r="AB901" s="118">
        <f t="shared" si="525"/>
        <v>0</v>
      </c>
      <c r="AC901" s="39"/>
      <c r="AD901" s="39"/>
      <c r="AE901" s="39"/>
      <c r="AF901" s="39"/>
      <c r="AG901" s="39"/>
      <c r="AH901" s="39">
        <f t="shared" si="483"/>
        <v>0</v>
      </c>
      <c r="AI901" s="39"/>
      <c r="AJ901" s="39"/>
      <c r="AK901" s="39"/>
      <c r="AL901" s="39"/>
      <c r="AM901" s="39"/>
      <c r="AN901" s="39">
        <f t="shared" si="522"/>
        <v>0</v>
      </c>
      <c r="AO901" s="39"/>
      <c r="AP901" s="39"/>
      <c r="AQ901" s="39"/>
      <c r="AR901" s="39"/>
      <c r="AS901" s="39"/>
      <c r="AT901" s="39">
        <f t="shared" si="526"/>
        <v>0</v>
      </c>
      <c r="AU901" s="39"/>
      <c r="AV901" s="39"/>
      <c r="AW901" s="39"/>
      <c r="AX901" s="39"/>
      <c r="AY901" s="39"/>
      <c r="AZ901" s="39">
        <f t="shared" si="527"/>
        <v>0</v>
      </c>
      <c r="BA901" s="39"/>
      <c r="BB901" s="39"/>
      <c r="BC901" s="39"/>
      <c r="BD901" s="39"/>
      <c r="BE901" s="39"/>
      <c r="BF901" s="39">
        <f t="shared" si="528"/>
        <v>0</v>
      </c>
      <c r="BG901" s="39"/>
      <c r="BH901" s="39"/>
      <c r="BI901" s="39"/>
      <c r="BJ901" s="39"/>
      <c r="BK901" s="39"/>
      <c r="BL901" s="39">
        <f t="shared" si="484"/>
        <v>0</v>
      </c>
      <c r="BM901" s="54">
        <f t="shared" ca="1" si="529"/>
        <v>46283</v>
      </c>
      <c r="BN901" s="60">
        <v>46295</v>
      </c>
      <c r="BO901" s="57">
        <v>46308</v>
      </c>
      <c r="BP901" s="36"/>
      <c r="BQ901" s="36"/>
      <c r="BR901" s="39"/>
      <c r="BS901" s="39"/>
      <c r="BT901" s="39"/>
      <c r="BU901" s="39"/>
      <c r="BV901" s="39"/>
      <c r="BW901" s="39"/>
      <c r="BX901" s="39"/>
      <c r="BY901" s="39"/>
      <c r="BZ901" s="39">
        <f t="shared" si="485"/>
        <v>0</v>
      </c>
      <c r="CA901" s="39">
        <f t="shared" si="530"/>
        <v>-379</v>
      </c>
      <c r="CB901" s="39">
        <f t="shared" si="531"/>
        <v>0</v>
      </c>
      <c r="CC901" s="39">
        <f t="shared" si="532"/>
        <v>0</v>
      </c>
      <c r="CD901" s="39">
        <f t="shared" si="533"/>
        <v>-379</v>
      </c>
      <c r="CE901" s="102">
        <f t="shared" si="534"/>
        <v>-1</v>
      </c>
      <c r="CF901" s="36" t="s">
        <v>252</v>
      </c>
      <c r="CG901" s="39" t="s">
        <v>223</v>
      </c>
      <c r="CH901" s="39"/>
      <c r="CI901" s="25">
        <v>3</v>
      </c>
    </row>
    <row r="902" spans="1:87" ht="24.75" customHeight="1">
      <c r="A902" s="36" t="s">
        <v>388</v>
      </c>
      <c r="B902" s="165">
        <v>48964</v>
      </c>
      <c r="C902" s="228"/>
      <c r="D902" s="36"/>
      <c r="E902" s="39">
        <v>230</v>
      </c>
      <c r="F902" s="39" t="s">
        <v>59</v>
      </c>
      <c r="G902" s="163" t="s">
        <v>3036</v>
      </c>
      <c r="H902" s="36" t="s">
        <v>554</v>
      </c>
      <c r="I902" s="39">
        <v>885</v>
      </c>
      <c r="J902" s="39"/>
      <c r="K902" s="39"/>
      <c r="L902" s="39">
        <f t="shared" si="535"/>
        <v>885</v>
      </c>
      <c r="M902" s="117">
        <v>46287</v>
      </c>
      <c r="N902" s="117">
        <v>46297</v>
      </c>
      <c r="O902" s="39"/>
      <c r="P902" s="39"/>
      <c r="Q902" s="39"/>
      <c r="R902" s="39">
        <f t="shared" si="524"/>
        <v>0</v>
      </c>
      <c r="S902" s="39" t="s">
        <v>130</v>
      </c>
      <c r="T902" s="39"/>
      <c r="U902" s="39"/>
      <c r="V902" s="39"/>
      <c r="W902" s="39"/>
      <c r="X902" s="39"/>
      <c r="Y902" s="39"/>
      <c r="Z902" s="39"/>
      <c r="AA902" s="39"/>
      <c r="AB902" s="118">
        <f t="shared" si="525"/>
        <v>0</v>
      </c>
      <c r="AC902" s="39"/>
      <c r="AD902" s="39"/>
      <c r="AE902" s="39"/>
      <c r="AF902" s="39"/>
      <c r="AG902" s="39"/>
      <c r="AH902" s="39">
        <f t="shared" si="483"/>
        <v>0</v>
      </c>
      <c r="AI902" s="39"/>
      <c r="AJ902" s="39"/>
      <c r="AK902" s="39"/>
      <c r="AL902" s="39"/>
      <c r="AM902" s="39"/>
      <c r="AN902" s="39">
        <f t="shared" si="522"/>
        <v>0</v>
      </c>
      <c r="AO902" s="39"/>
      <c r="AP902" s="39"/>
      <c r="AQ902" s="39"/>
      <c r="AR902" s="39"/>
      <c r="AS902" s="39"/>
      <c r="AT902" s="39">
        <f t="shared" si="526"/>
        <v>0</v>
      </c>
      <c r="AU902" s="39"/>
      <c r="AV902" s="39"/>
      <c r="AW902" s="39"/>
      <c r="AX902" s="39"/>
      <c r="AY902" s="39"/>
      <c r="AZ902" s="39">
        <f t="shared" si="527"/>
        <v>0</v>
      </c>
      <c r="BA902" s="39"/>
      <c r="BB902" s="39"/>
      <c r="BC902" s="39"/>
      <c r="BD902" s="39"/>
      <c r="BE902" s="39"/>
      <c r="BF902" s="39">
        <f t="shared" si="528"/>
        <v>0</v>
      </c>
      <c r="BG902" s="39"/>
      <c r="BH902" s="39"/>
      <c r="BI902" s="39"/>
      <c r="BJ902" s="39"/>
      <c r="BK902" s="39"/>
      <c r="BL902" s="39">
        <f t="shared" si="484"/>
        <v>0</v>
      </c>
      <c r="BM902" s="54">
        <f t="shared" ca="1" si="529"/>
        <v>46283</v>
      </c>
      <c r="BN902" s="60">
        <v>46295</v>
      </c>
      <c r="BO902" s="57">
        <v>46308</v>
      </c>
      <c r="BP902" s="36"/>
      <c r="BQ902" s="36"/>
      <c r="BR902" s="39"/>
      <c r="BS902" s="39"/>
      <c r="BT902" s="39"/>
      <c r="BU902" s="39"/>
      <c r="BV902" s="39"/>
      <c r="BW902" s="39"/>
      <c r="BX902" s="39"/>
      <c r="BY902" s="39"/>
      <c r="BZ902" s="39">
        <f t="shared" si="485"/>
        <v>0</v>
      </c>
      <c r="CA902" s="39">
        <f t="shared" si="530"/>
        <v>-885</v>
      </c>
      <c r="CB902" s="39">
        <f t="shared" si="531"/>
        <v>0</v>
      </c>
      <c r="CC902" s="39">
        <f t="shared" si="532"/>
        <v>0</v>
      </c>
      <c r="CD902" s="39">
        <f t="shared" si="533"/>
        <v>-885</v>
      </c>
      <c r="CE902" s="102">
        <f t="shared" si="534"/>
        <v>-1</v>
      </c>
      <c r="CF902" s="36" t="s">
        <v>252</v>
      </c>
      <c r="CG902" s="39" t="s">
        <v>223</v>
      </c>
      <c r="CH902" s="39"/>
      <c r="CI902" s="25">
        <v>3</v>
      </c>
    </row>
    <row r="903" spans="1:87" ht="24.75" customHeight="1">
      <c r="A903" s="36" t="s">
        <v>388</v>
      </c>
      <c r="B903" s="27" t="s">
        <v>2842</v>
      </c>
      <c r="C903" s="227" t="s">
        <v>2843</v>
      </c>
      <c r="D903" s="36"/>
      <c r="E903" s="39">
        <v>220</v>
      </c>
      <c r="F903" s="39" t="s">
        <v>55</v>
      </c>
      <c r="G903" s="36" t="s">
        <v>23</v>
      </c>
      <c r="H903" s="36" t="s">
        <v>210</v>
      </c>
      <c r="I903" s="39">
        <v>2195</v>
      </c>
      <c r="J903" s="39"/>
      <c r="K903" s="39"/>
      <c r="L903" s="39">
        <f t="shared" si="535"/>
        <v>2195</v>
      </c>
      <c r="M903" s="117">
        <v>46279</v>
      </c>
      <c r="N903" s="117">
        <v>46289</v>
      </c>
      <c r="O903" s="39"/>
      <c r="P903" s="39"/>
      <c r="Q903" s="39"/>
      <c r="R903" s="39">
        <f t="shared" si="524"/>
        <v>0</v>
      </c>
      <c r="S903" s="39" t="s">
        <v>100</v>
      </c>
      <c r="T903" s="39"/>
      <c r="U903" s="39"/>
      <c r="V903" s="39"/>
      <c r="W903" s="39"/>
      <c r="X903" s="39"/>
      <c r="Y903" s="39"/>
      <c r="Z903" s="39"/>
      <c r="AA903" s="39"/>
      <c r="AB903" s="118">
        <f t="shared" si="525"/>
        <v>0</v>
      </c>
      <c r="AC903" s="39"/>
      <c r="AD903" s="39"/>
      <c r="AE903" s="39"/>
      <c r="AF903" s="39"/>
      <c r="AG903" s="39"/>
      <c r="AH903" s="39">
        <f t="shared" si="483"/>
        <v>0</v>
      </c>
      <c r="AI903" s="39"/>
      <c r="AJ903" s="39"/>
      <c r="AK903" s="39"/>
      <c r="AL903" s="39"/>
      <c r="AM903" s="39"/>
      <c r="AN903" s="39">
        <f t="shared" si="522"/>
        <v>0</v>
      </c>
      <c r="AO903" s="39"/>
      <c r="AP903" s="39"/>
      <c r="AQ903" s="39"/>
      <c r="AR903" s="39"/>
      <c r="AS903" s="39"/>
      <c r="AT903" s="39">
        <f t="shared" si="526"/>
        <v>0</v>
      </c>
      <c r="AU903" s="39"/>
      <c r="AV903" s="39"/>
      <c r="AW903" s="39"/>
      <c r="AX903" s="39"/>
      <c r="AY903" s="39"/>
      <c r="AZ903" s="39">
        <f t="shared" si="527"/>
        <v>0</v>
      </c>
      <c r="BA903" s="39"/>
      <c r="BB903" s="39"/>
      <c r="BC903" s="39"/>
      <c r="BD903" s="39"/>
      <c r="BE903" s="39"/>
      <c r="BF903" s="39">
        <f t="shared" si="528"/>
        <v>0</v>
      </c>
      <c r="BG903" s="39"/>
      <c r="BH903" s="39"/>
      <c r="BI903" s="39"/>
      <c r="BJ903" s="39"/>
      <c r="BK903" s="39"/>
      <c r="BL903" s="39">
        <f t="shared" si="484"/>
        <v>0</v>
      </c>
      <c r="BM903" s="54">
        <f t="shared" ca="1" si="529"/>
        <v>46283</v>
      </c>
      <c r="BN903" s="60">
        <v>46291</v>
      </c>
      <c r="BO903" s="57">
        <v>46301</v>
      </c>
      <c r="BP903" s="36"/>
      <c r="BQ903" s="36"/>
      <c r="BR903" s="39"/>
      <c r="BS903" s="39"/>
      <c r="BT903" s="39"/>
      <c r="BU903" s="39"/>
      <c r="BV903" s="39"/>
      <c r="BW903" s="39"/>
      <c r="BX903" s="39"/>
      <c r="BY903" s="39"/>
      <c r="BZ903" s="39">
        <f t="shared" si="485"/>
        <v>0</v>
      </c>
      <c r="CA903" s="39">
        <f t="shared" si="530"/>
        <v>-2195</v>
      </c>
      <c r="CB903" s="39">
        <f t="shared" si="531"/>
        <v>0</v>
      </c>
      <c r="CC903" s="39">
        <f t="shared" si="532"/>
        <v>0</v>
      </c>
      <c r="CD903" s="39">
        <f t="shared" si="533"/>
        <v>-2195</v>
      </c>
      <c r="CE903" s="102">
        <f t="shared" si="534"/>
        <v>-1</v>
      </c>
      <c r="CF903" s="36" t="s">
        <v>294</v>
      </c>
      <c r="CG903" s="39" t="s">
        <v>231</v>
      </c>
      <c r="CH903" s="39"/>
      <c r="CI903" s="25">
        <v>3</v>
      </c>
    </row>
    <row r="904" spans="1:87" ht="24.75" customHeight="1">
      <c r="A904" s="36" t="s">
        <v>388</v>
      </c>
      <c r="B904" s="27" t="s">
        <v>2842</v>
      </c>
      <c r="C904" s="231"/>
      <c r="D904" s="36"/>
      <c r="E904" s="39"/>
      <c r="F904" s="39"/>
      <c r="G904" s="36" t="s">
        <v>198</v>
      </c>
      <c r="H904" s="36">
        <v>3400</v>
      </c>
      <c r="I904" s="39" t="s">
        <v>90</v>
      </c>
      <c r="J904" s="39"/>
      <c r="K904" s="39"/>
      <c r="L904" s="39">
        <f t="shared" si="535"/>
        <v>0</v>
      </c>
      <c r="M904" s="117">
        <v>46279</v>
      </c>
      <c r="N904" s="117">
        <v>46289</v>
      </c>
      <c r="O904" s="39"/>
      <c r="P904" s="39"/>
      <c r="Q904" s="39"/>
      <c r="R904" s="39">
        <f t="shared" si="524"/>
        <v>0</v>
      </c>
      <c r="S904" s="39" t="s">
        <v>130</v>
      </c>
      <c r="T904" s="39"/>
      <c r="U904" s="39"/>
      <c r="V904" s="39"/>
      <c r="W904" s="39"/>
      <c r="X904" s="39"/>
      <c r="Y904" s="39"/>
      <c r="Z904" s="39"/>
      <c r="AA904" s="39"/>
      <c r="AB904" s="39">
        <f t="shared" si="525"/>
        <v>0</v>
      </c>
      <c r="AC904" s="39"/>
      <c r="AD904" s="39"/>
      <c r="AE904" s="39"/>
      <c r="AF904" s="39"/>
      <c r="AG904" s="39"/>
      <c r="AH904" s="39">
        <f t="shared" si="483"/>
        <v>0</v>
      </c>
      <c r="AI904" s="39"/>
      <c r="AJ904" s="39"/>
      <c r="AK904" s="39"/>
      <c r="AL904" s="39"/>
      <c r="AM904" s="39"/>
      <c r="AN904" s="39">
        <f t="shared" si="522"/>
        <v>0</v>
      </c>
      <c r="AO904" s="39"/>
      <c r="AP904" s="39"/>
      <c r="AQ904" s="39"/>
      <c r="AR904" s="39"/>
      <c r="AS904" s="39"/>
      <c r="AT904" s="39">
        <f t="shared" si="526"/>
        <v>0</v>
      </c>
      <c r="AU904" s="39"/>
      <c r="AV904" s="39"/>
      <c r="AW904" s="39"/>
      <c r="AX904" s="39"/>
      <c r="AY904" s="39"/>
      <c r="AZ904" s="39">
        <f t="shared" si="527"/>
        <v>0</v>
      </c>
      <c r="BA904" s="39"/>
      <c r="BB904" s="39"/>
      <c r="BC904" s="39"/>
      <c r="BD904" s="39"/>
      <c r="BE904" s="39"/>
      <c r="BF904" s="39">
        <f t="shared" si="528"/>
        <v>0</v>
      </c>
      <c r="BG904" s="39"/>
      <c r="BH904" s="39"/>
      <c r="BI904" s="39"/>
      <c r="BJ904" s="39"/>
      <c r="BK904" s="39"/>
      <c r="BL904" s="39">
        <f t="shared" si="484"/>
        <v>0</v>
      </c>
      <c r="BM904" s="54" t="e">
        <f t="shared" si="529"/>
        <v>#DIV/0!</v>
      </c>
      <c r="BN904" s="60">
        <v>46291</v>
      </c>
      <c r="BO904" s="57">
        <v>46301</v>
      </c>
      <c r="BP904" s="36"/>
      <c r="BQ904" s="36"/>
      <c r="BR904" s="39"/>
      <c r="BS904" s="39"/>
      <c r="BT904" s="39"/>
      <c r="BU904" s="39"/>
      <c r="BV904" s="39"/>
      <c r="BW904" s="39"/>
      <c r="BX904" s="39"/>
      <c r="BY904" s="39"/>
      <c r="BZ904" s="39">
        <f t="shared" si="485"/>
        <v>0</v>
      </c>
      <c r="CA904" s="39" t="e">
        <f t="shared" si="530"/>
        <v>#VALUE!</v>
      </c>
      <c r="CB904" s="39">
        <f t="shared" si="531"/>
        <v>0</v>
      </c>
      <c r="CC904" s="39">
        <f t="shared" si="532"/>
        <v>0</v>
      </c>
      <c r="CD904" s="39">
        <f t="shared" si="533"/>
        <v>0</v>
      </c>
      <c r="CE904" s="102" t="e">
        <f t="shared" si="534"/>
        <v>#DIV/0!</v>
      </c>
      <c r="CF904" s="36" t="s">
        <v>294</v>
      </c>
      <c r="CG904" s="39" t="s">
        <v>231</v>
      </c>
      <c r="CH904" s="39"/>
      <c r="CI904" s="25">
        <v>3</v>
      </c>
    </row>
    <row r="905" spans="1:87" ht="24.75" customHeight="1">
      <c r="A905" s="36" t="s">
        <v>388</v>
      </c>
      <c r="B905" s="27" t="s">
        <v>2842</v>
      </c>
      <c r="C905" s="228"/>
      <c r="D905" s="36"/>
      <c r="E905" s="39"/>
      <c r="F905" s="39"/>
      <c r="G905" s="36" t="s">
        <v>2483</v>
      </c>
      <c r="H905" s="36">
        <v>7500</v>
      </c>
      <c r="I905" s="39" t="s">
        <v>90</v>
      </c>
      <c r="J905" s="39"/>
      <c r="K905" s="39"/>
      <c r="L905" s="39">
        <f t="shared" si="535"/>
        <v>0</v>
      </c>
      <c r="M905" s="117">
        <v>46279</v>
      </c>
      <c r="N905" s="117">
        <v>46289</v>
      </c>
      <c r="O905" s="39"/>
      <c r="P905" s="39"/>
      <c r="Q905" s="39"/>
      <c r="R905" s="39">
        <f t="shared" si="524"/>
        <v>0</v>
      </c>
      <c r="S905" s="39" t="s">
        <v>130</v>
      </c>
      <c r="T905" s="39"/>
      <c r="U905" s="39"/>
      <c r="V905" s="39"/>
      <c r="W905" s="39"/>
      <c r="X905" s="39"/>
      <c r="Y905" s="39"/>
      <c r="Z905" s="39"/>
      <c r="AA905" s="39"/>
      <c r="AB905" s="39">
        <f t="shared" si="525"/>
        <v>0</v>
      </c>
      <c r="AC905" s="39"/>
      <c r="AD905" s="39"/>
      <c r="AE905" s="39"/>
      <c r="AF905" s="39"/>
      <c r="AG905" s="39"/>
      <c r="AH905" s="39">
        <f t="shared" ref="AH905" si="536">AG905-AE905</f>
        <v>0</v>
      </c>
      <c r="AI905" s="39"/>
      <c r="AJ905" s="39"/>
      <c r="AK905" s="39"/>
      <c r="AL905" s="39"/>
      <c r="AM905" s="39"/>
      <c r="AN905" s="39">
        <f t="shared" si="522"/>
        <v>0</v>
      </c>
      <c r="AO905" s="39"/>
      <c r="AP905" s="39"/>
      <c r="AQ905" s="39"/>
      <c r="AR905" s="39"/>
      <c r="AS905" s="39"/>
      <c r="AT905" s="39">
        <f t="shared" si="526"/>
        <v>0</v>
      </c>
      <c r="AU905" s="39"/>
      <c r="AV905" s="39"/>
      <c r="AW905" s="39"/>
      <c r="AX905" s="39"/>
      <c r="AY905" s="39"/>
      <c r="AZ905" s="39">
        <f t="shared" si="527"/>
        <v>0</v>
      </c>
      <c r="BA905" s="39"/>
      <c r="BB905" s="39"/>
      <c r="BC905" s="39"/>
      <c r="BD905" s="39"/>
      <c r="BE905" s="39"/>
      <c r="BF905" s="39">
        <f t="shared" si="528"/>
        <v>0</v>
      </c>
      <c r="BG905" s="39"/>
      <c r="BH905" s="39"/>
      <c r="BI905" s="39"/>
      <c r="BJ905" s="39"/>
      <c r="BK905" s="39"/>
      <c r="BL905" s="39">
        <f t="shared" ref="BL905" si="537">BK905-BI905</f>
        <v>0</v>
      </c>
      <c r="BM905" s="54" t="e">
        <f t="shared" si="529"/>
        <v>#DIV/0!</v>
      </c>
      <c r="BN905" s="60">
        <v>46291</v>
      </c>
      <c r="BO905" s="57">
        <v>46301</v>
      </c>
      <c r="BP905" s="36"/>
      <c r="BQ905" s="36"/>
      <c r="BR905" s="39"/>
      <c r="BS905" s="39"/>
      <c r="BT905" s="39"/>
      <c r="BU905" s="39"/>
      <c r="BV905" s="39"/>
      <c r="BW905" s="39"/>
      <c r="BX905" s="39"/>
      <c r="BY905" s="39"/>
      <c r="BZ905" s="39">
        <f t="shared" ref="BZ905" si="538">BU905+BW905+BY905</f>
        <v>0</v>
      </c>
      <c r="CA905" s="39" t="e">
        <f t="shared" si="530"/>
        <v>#VALUE!</v>
      </c>
      <c r="CB905" s="39">
        <f t="shared" si="531"/>
        <v>0</v>
      </c>
      <c r="CC905" s="39">
        <f t="shared" si="532"/>
        <v>0</v>
      </c>
      <c r="CD905" s="39">
        <f t="shared" si="533"/>
        <v>0</v>
      </c>
      <c r="CE905" s="102" t="e">
        <f t="shared" si="534"/>
        <v>#DIV/0!</v>
      </c>
      <c r="CF905" s="36" t="s">
        <v>294</v>
      </c>
      <c r="CG905" s="39" t="s">
        <v>231</v>
      </c>
      <c r="CH905" s="39"/>
      <c r="CI905" s="25">
        <v>3</v>
      </c>
    </row>
    <row r="906" spans="1:87" ht="24.75" customHeight="1">
      <c r="A906" s="36" t="s">
        <v>388</v>
      </c>
      <c r="B906" s="27"/>
      <c r="C906" s="36"/>
      <c r="D906" s="36"/>
      <c r="E906" s="39"/>
      <c r="F906" s="39"/>
      <c r="G906" s="36"/>
      <c r="H906" s="39"/>
      <c r="I906" s="39"/>
      <c r="J906" s="39"/>
      <c r="K906" s="39"/>
      <c r="L906" s="39">
        <f t="shared" si="523"/>
        <v>0</v>
      </c>
      <c r="M906" s="39"/>
      <c r="N906" s="39"/>
      <c r="O906" s="39"/>
      <c r="P906" s="39"/>
      <c r="Q906" s="39"/>
      <c r="R906" s="39">
        <f t="shared" si="481"/>
        <v>0</v>
      </c>
      <c r="S906" s="39"/>
      <c r="T906" s="39"/>
      <c r="U906" s="39"/>
      <c r="V906" s="39"/>
      <c r="W906" s="39"/>
      <c r="X906" s="39"/>
      <c r="Y906" s="39"/>
      <c r="Z906" s="39"/>
      <c r="AA906" s="39"/>
      <c r="AB906" s="39">
        <f t="shared" si="482"/>
        <v>0</v>
      </c>
      <c r="AC906" s="39"/>
      <c r="AD906" s="39"/>
      <c r="AE906" s="39"/>
      <c r="AF906" s="39"/>
      <c r="AG906" s="39"/>
      <c r="AH906" s="39">
        <f t="shared" si="483"/>
        <v>0</v>
      </c>
      <c r="AI906" s="39"/>
      <c r="AJ906" s="39"/>
      <c r="AK906" s="39"/>
      <c r="AL906" s="39"/>
      <c r="AM906" s="39"/>
      <c r="AN906" s="39">
        <f t="shared" si="522"/>
        <v>0</v>
      </c>
      <c r="AO906" s="39"/>
      <c r="AP906" s="39"/>
      <c r="AQ906" s="39"/>
      <c r="AR906" s="39"/>
      <c r="AS906" s="39"/>
      <c r="AT906" s="39">
        <f t="shared" si="367"/>
        <v>0</v>
      </c>
      <c r="AU906" s="39"/>
      <c r="AV906" s="39"/>
      <c r="AW906" s="39"/>
      <c r="AX906" s="39"/>
      <c r="AY906" s="39"/>
      <c r="AZ906" s="39">
        <f t="shared" si="368"/>
        <v>0</v>
      </c>
      <c r="BA906" s="39"/>
      <c r="BB906" s="39"/>
      <c r="BC906" s="39"/>
      <c r="BD906" s="39"/>
      <c r="BE906" s="39"/>
      <c r="BF906" s="39">
        <f t="shared" si="369"/>
        <v>0</v>
      </c>
      <c r="BG906" s="39"/>
      <c r="BH906" s="39"/>
      <c r="BI906" s="39"/>
      <c r="BJ906" s="39"/>
      <c r="BK906" s="39"/>
      <c r="BL906" s="39">
        <f t="shared" si="484"/>
        <v>0</v>
      </c>
      <c r="BM906" s="54" t="e">
        <f t="shared" si="371"/>
        <v>#DIV/0!</v>
      </c>
      <c r="BN906" s="61"/>
      <c r="BO906" s="36"/>
      <c r="BP906" s="36"/>
      <c r="BQ906" s="36"/>
      <c r="BR906" s="39"/>
      <c r="BS906" s="39"/>
      <c r="BT906" s="39"/>
      <c r="BU906" s="39"/>
      <c r="BV906" s="39"/>
      <c r="BW906" s="39"/>
      <c r="BX906" s="39"/>
      <c r="BY906" s="39"/>
      <c r="BZ906" s="39">
        <f t="shared" si="485"/>
        <v>0</v>
      </c>
      <c r="CA906" s="39">
        <f t="shared" si="373"/>
        <v>0</v>
      </c>
      <c r="CB906" s="39">
        <f t="shared" si="374"/>
        <v>0</v>
      </c>
      <c r="CC906" s="39">
        <f t="shared" si="375"/>
        <v>0</v>
      </c>
      <c r="CD906" s="39">
        <f t="shared" si="376"/>
        <v>0</v>
      </c>
      <c r="CE906" s="47" t="e">
        <f t="shared" si="377"/>
        <v>#DIV/0!</v>
      </c>
      <c r="CF906" s="36"/>
      <c r="CG906" s="39"/>
      <c r="CH906" s="39"/>
      <c r="CI906" s="25">
        <v>3</v>
      </c>
    </row>
    <row r="907" spans="1:87" ht="24.75" customHeight="1">
      <c r="A907" s="36" t="s">
        <v>388</v>
      </c>
      <c r="B907" s="27"/>
      <c r="C907" s="36"/>
      <c r="D907" s="36"/>
      <c r="E907" s="39"/>
      <c r="F907" s="39"/>
      <c r="G907" s="36"/>
      <c r="H907" s="39"/>
      <c r="I907" s="39"/>
      <c r="J907" s="39"/>
      <c r="K907" s="39"/>
      <c r="L907" s="39">
        <f t="shared" si="523"/>
        <v>0</v>
      </c>
      <c r="M907" s="39"/>
      <c r="N907" s="39"/>
      <c r="O907" s="39"/>
      <c r="P907" s="39"/>
      <c r="Q907" s="39"/>
      <c r="R907" s="39">
        <f t="shared" si="481"/>
        <v>0</v>
      </c>
      <c r="S907" s="39"/>
      <c r="T907" s="39"/>
      <c r="U907" s="39"/>
      <c r="V907" s="39"/>
      <c r="W907" s="39"/>
      <c r="X907" s="39"/>
      <c r="Y907" s="39"/>
      <c r="Z907" s="39"/>
      <c r="AA907" s="39"/>
      <c r="AB907" s="39">
        <f t="shared" si="482"/>
        <v>0</v>
      </c>
      <c r="AC907" s="39"/>
      <c r="AD907" s="39"/>
      <c r="AE907" s="39"/>
      <c r="AF907" s="39"/>
      <c r="AG907" s="39"/>
      <c r="AH907" s="39">
        <f t="shared" si="483"/>
        <v>0</v>
      </c>
      <c r="AI907" s="39"/>
      <c r="AJ907" s="39"/>
      <c r="AK907" s="39"/>
      <c r="AL907" s="39"/>
      <c r="AM907" s="39"/>
      <c r="AN907" s="39">
        <f t="shared" si="522"/>
        <v>0</v>
      </c>
      <c r="AO907" s="39"/>
      <c r="AP907" s="39"/>
      <c r="AQ907" s="39"/>
      <c r="AR907" s="39"/>
      <c r="AS907" s="39"/>
      <c r="AT907" s="39">
        <f t="shared" si="367"/>
        <v>0</v>
      </c>
      <c r="AU907" s="39"/>
      <c r="AV907" s="39"/>
      <c r="AW907" s="39"/>
      <c r="AX907" s="39"/>
      <c r="AY907" s="39"/>
      <c r="AZ907" s="39">
        <f t="shared" si="368"/>
        <v>0</v>
      </c>
      <c r="BA907" s="39"/>
      <c r="BB907" s="39"/>
      <c r="BC907" s="39"/>
      <c r="BD907" s="39"/>
      <c r="BE907" s="39"/>
      <c r="BF907" s="39">
        <f t="shared" si="369"/>
        <v>0</v>
      </c>
      <c r="BG907" s="39"/>
      <c r="BH907" s="39"/>
      <c r="BI907" s="39"/>
      <c r="BJ907" s="39"/>
      <c r="BK907" s="39"/>
      <c r="BL907" s="39">
        <f t="shared" si="484"/>
        <v>0</v>
      </c>
      <c r="BM907" s="54" t="e">
        <f t="shared" si="371"/>
        <v>#DIV/0!</v>
      </c>
      <c r="BN907" s="61"/>
      <c r="BO907" s="36"/>
      <c r="BP907" s="36"/>
      <c r="BQ907" s="36"/>
      <c r="BR907" s="39"/>
      <c r="BS907" s="39"/>
      <c r="BT907" s="39"/>
      <c r="BU907" s="39"/>
      <c r="BV907" s="39"/>
      <c r="BW907" s="39"/>
      <c r="BX907" s="39"/>
      <c r="BY907" s="39"/>
      <c r="BZ907" s="39">
        <f t="shared" si="485"/>
        <v>0</v>
      </c>
      <c r="CA907" s="39">
        <f t="shared" si="373"/>
        <v>0</v>
      </c>
      <c r="CB907" s="39">
        <f t="shared" si="374"/>
        <v>0</v>
      </c>
      <c r="CC907" s="39">
        <f t="shared" si="375"/>
        <v>0</v>
      </c>
      <c r="CD907" s="39">
        <f t="shared" si="376"/>
        <v>0</v>
      </c>
      <c r="CE907" s="47" t="e">
        <f t="shared" si="377"/>
        <v>#DIV/0!</v>
      </c>
      <c r="CF907" s="36"/>
      <c r="CG907" s="39"/>
      <c r="CH907" s="39"/>
      <c r="CI907" s="25">
        <v>3</v>
      </c>
    </row>
    <row r="908" spans="1:87" ht="24.75" customHeight="1">
      <c r="A908" s="36" t="s">
        <v>388</v>
      </c>
      <c r="B908" s="27"/>
      <c r="C908" s="36"/>
      <c r="D908" s="36"/>
      <c r="E908" s="39"/>
      <c r="F908" s="39"/>
      <c r="G908" s="36"/>
      <c r="H908" s="39"/>
      <c r="I908" s="39"/>
      <c r="J908" s="39"/>
      <c r="K908" s="39"/>
      <c r="L908" s="39">
        <f t="shared" si="523"/>
        <v>0</v>
      </c>
      <c r="M908" s="39"/>
      <c r="N908" s="39"/>
      <c r="O908" s="39"/>
      <c r="P908" s="39"/>
      <c r="Q908" s="39"/>
      <c r="R908" s="39">
        <f t="shared" si="481"/>
        <v>0</v>
      </c>
      <c r="S908" s="39"/>
      <c r="T908" s="39"/>
      <c r="U908" s="39"/>
      <c r="V908" s="39"/>
      <c r="W908" s="39"/>
      <c r="X908" s="39"/>
      <c r="Y908" s="39"/>
      <c r="Z908" s="39"/>
      <c r="AA908" s="39"/>
      <c r="AB908" s="39">
        <f t="shared" si="482"/>
        <v>0</v>
      </c>
      <c r="AC908" s="39"/>
      <c r="AD908" s="39"/>
      <c r="AE908" s="39"/>
      <c r="AF908" s="39"/>
      <c r="AG908" s="39"/>
      <c r="AH908" s="39">
        <f t="shared" si="483"/>
        <v>0</v>
      </c>
      <c r="AI908" s="39"/>
      <c r="AJ908" s="39"/>
      <c r="AK908" s="39"/>
      <c r="AL908" s="39"/>
      <c r="AM908" s="39"/>
      <c r="AN908" s="39">
        <f t="shared" si="522"/>
        <v>0</v>
      </c>
      <c r="AO908" s="39"/>
      <c r="AP908" s="39"/>
      <c r="AQ908" s="39"/>
      <c r="AR908" s="39"/>
      <c r="AS908" s="39"/>
      <c r="AT908" s="39">
        <f t="shared" si="367"/>
        <v>0</v>
      </c>
      <c r="AU908" s="39"/>
      <c r="AV908" s="39"/>
      <c r="AW908" s="39"/>
      <c r="AX908" s="39"/>
      <c r="AY908" s="39"/>
      <c r="AZ908" s="39">
        <f t="shared" si="368"/>
        <v>0</v>
      </c>
      <c r="BA908" s="39"/>
      <c r="BB908" s="39"/>
      <c r="BC908" s="39"/>
      <c r="BD908" s="39"/>
      <c r="BE908" s="39"/>
      <c r="BF908" s="39">
        <f t="shared" si="369"/>
        <v>0</v>
      </c>
      <c r="BG908" s="39"/>
      <c r="BH908" s="39"/>
      <c r="BI908" s="39"/>
      <c r="BJ908" s="39"/>
      <c r="BK908" s="39"/>
      <c r="BL908" s="39">
        <f t="shared" si="484"/>
        <v>0</v>
      </c>
      <c r="BM908" s="54" t="e">
        <f t="shared" si="371"/>
        <v>#DIV/0!</v>
      </c>
      <c r="BN908" s="61"/>
      <c r="BO908" s="36"/>
      <c r="BP908" s="36"/>
      <c r="BQ908" s="36"/>
      <c r="BR908" s="39"/>
      <c r="BS908" s="39"/>
      <c r="BT908" s="39"/>
      <c r="BU908" s="39"/>
      <c r="BV908" s="39"/>
      <c r="BW908" s="39"/>
      <c r="BX908" s="39"/>
      <c r="BY908" s="39"/>
      <c r="BZ908" s="39">
        <f t="shared" si="485"/>
        <v>0</v>
      </c>
      <c r="CA908" s="39">
        <f t="shared" si="373"/>
        <v>0</v>
      </c>
      <c r="CB908" s="39">
        <f t="shared" si="374"/>
        <v>0</v>
      </c>
      <c r="CC908" s="39">
        <f t="shared" si="375"/>
        <v>0</v>
      </c>
      <c r="CD908" s="39">
        <f t="shared" si="376"/>
        <v>0</v>
      </c>
      <c r="CE908" s="47" t="e">
        <f t="shared" si="377"/>
        <v>#DIV/0!</v>
      </c>
      <c r="CF908" s="36"/>
      <c r="CG908" s="39"/>
      <c r="CH908" s="39"/>
      <c r="CI908" s="25">
        <v>3</v>
      </c>
    </row>
    <row r="909" spans="1:87" ht="24.75" customHeight="1">
      <c r="A909" s="36" t="s">
        <v>388</v>
      </c>
      <c r="B909" s="27"/>
      <c r="C909" s="36"/>
      <c r="D909" s="36"/>
      <c r="E909" s="39"/>
      <c r="F909" s="39"/>
      <c r="G909" s="36"/>
      <c r="H909" s="39"/>
      <c r="I909" s="39"/>
      <c r="J909" s="39"/>
      <c r="K909" s="39"/>
      <c r="L909" s="39">
        <f t="shared" si="523"/>
        <v>0</v>
      </c>
      <c r="M909" s="39"/>
      <c r="N909" s="39"/>
      <c r="O909" s="39"/>
      <c r="P909" s="39"/>
      <c r="Q909" s="39"/>
      <c r="R909" s="39">
        <f t="shared" si="481"/>
        <v>0</v>
      </c>
      <c r="S909" s="39"/>
      <c r="T909" s="39"/>
      <c r="U909" s="39"/>
      <c r="V909" s="39"/>
      <c r="W909" s="39"/>
      <c r="X909" s="39"/>
      <c r="Y909" s="39"/>
      <c r="Z909" s="39"/>
      <c r="AA909" s="39"/>
      <c r="AB909" s="39">
        <f t="shared" si="482"/>
        <v>0</v>
      </c>
      <c r="AC909" s="39"/>
      <c r="AD909" s="39"/>
      <c r="AE909" s="39"/>
      <c r="AF909" s="39"/>
      <c r="AG909" s="39"/>
      <c r="AH909" s="39">
        <f t="shared" si="483"/>
        <v>0</v>
      </c>
      <c r="AI909" s="39"/>
      <c r="AJ909" s="39"/>
      <c r="AK909" s="39"/>
      <c r="AL909" s="39"/>
      <c r="AM909" s="39"/>
      <c r="AN909" s="39">
        <f t="shared" si="522"/>
        <v>0</v>
      </c>
      <c r="AO909" s="39"/>
      <c r="AP909" s="39"/>
      <c r="AQ909" s="39"/>
      <c r="AR909" s="39"/>
      <c r="AS909" s="39"/>
      <c r="AT909" s="39">
        <f t="shared" si="367"/>
        <v>0</v>
      </c>
      <c r="AU909" s="39"/>
      <c r="AV909" s="39"/>
      <c r="AW909" s="39"/>
      <c r="AX909" s="39"/>
      <c r="AY909" s="39"/>
      <c r="AZ909" s="39">
        <f t="shared" si="368"/>
        <v>0</v>
      </c>
      <c r="BA909" s="39"/>
      <c r="BB909" s="39"/>
      <c r="BC909" s="39"/>
      <c r="BD909" s="39"/>
      <c r="BE909" s="39"/>
      <c r="BF909" s="39">
        <f t="shared" si="369"/>
        <v>0</v>
      </c>
      <c r="BG909" s="39"/>
      <c r="BH909" s="39"/>
      <c r="BI909" s="39"/>
      <c r="BJ909" s="39"/>
      <c r="BK909" s="39"/>
      <c r="BL909" s="39">
        <f t="shared" si="484"/>
        <v>0</v>
      </c>
      <c r="BM909" s="54" t="e">
        <f t="shared" si="371"/>
        <v>#DIV/0!</v>
      </c>
      <c r="BN909" s="61"/>
      <c r="BO909" s="36"/>
      <c r="BP909" s="36"/>
      <c r="BQ909" s="36"/>
      <c r="BR909" s="39"/>
      <c r="BS909" s="39"/>
      <c r="BT909" s="39"/>
      <c r="BU909" s="39"/>
      <c r="BV909" s="39"/>
      <c r="BW909" s="39"/>
      <c r="BX909" s="39"/>
      <c r="BY909" s="39"/>
      <c r="BZ909" s="39">
        <f t="shared" si="485"/>
        <v>0</v>
      </c>
      <c r="CA909" s="39">
        <f t="shared" si="373"/>
        <v>0</v>
      </c>
      <c r="CB909" s="39">
        <f t="shared" si="374"/>
        <v>0</v>
      </c>
      <c r="CC909" s="39">
        <f t="shared" si="375"/>
        <v>0</v>
      </c>
      <c r="CD909" s="39">
        <f t="shared" si="376"/>
        <v>0</v>
      </c>
      <c r="CE909" s="47" t="e">
        <f t="shared" si="377"/>
        <v>#DIV/0!</v>
      </c>
      <c r="CF909" s="36"/>
      <c r="CG909" s="39"/>
      <c r="CH909" s="39"/>
      <c r="CI909" s="25">
        <v>3</v>
      </c>
    </row>
    <row r="910" spans="1:87" ht="24.75" customHeight="1">
      <c r="A910" s="36" t="s">
        <v>388</v>
      </c>
      <c r="B910" s="27"/>
      <c r="C910" s="36"/>
      <c r="D910" s="36"/>
      <c r="E910" s="39"/>
      <c r="F910" s="39"/>
      <c r="G910" s="36"/>
      <c r="H910" s="39"/>
      <c r="I910" s="39"/>
      <c r="J910" s="39"/>
      <c r="K910" s="39"/>
      <c r="L910" s="39">
        <f t="shared" si="523"/>
        <v>0</v>
      </c>
      <c r="M910" s="39"/>
      <c r="N910" s="39"/>
      <c r="O910" s="39"/>
      <c r="P910" s="39"/>
      <c r="Q910" s="39"/>
      <c r="R910" s="39">
        <f t="shared" si="481"/>
        <v>0</v>
      </c>
      <c r="S910" s="39"/>
      <c r="T910" s="39"/>
      <c r="U910" s="39"/>
      <c r="V910" s="39"/>
      <c r="W910" s="39"/>
      <c r="X910" s="39"/>
      <c r="Y910" s="39"/>
      <c r="Z910" s="39"/>
      <c r="AA910" s="39"/>
      <c r="AB910" s="39">
        <f t="shared" si="482"/>
        <v>0</v>
      </c>
      <c r="AC910" s="39"/>
      <c r="AD910" s="39"/>
      <c r="AE910" s="39"/>
      <c r="AF910" s="39"/>
      <c r="AG910" s="39"/>
      <c r="AH910" s="39">
        <f t="shared" si="483"/>
        <v>0</v>
      </c>
      <c r="AI910" s="39"/>
      <c r="AJ910" s="39"/>
      <c r="AK910" s="39"/>
      <c r="AL910" s="39"/>
      <c r="AM910" s="39"/>
      <c r="AN910" s="39">
        <f t="shared" si="522"/>
        <v>0</v>
      </c>
      <c r="AO910" s="39"/>
      <c r="AP910" s="39"/>
      <c r="AQ910" s="39"/>
      <c r="AR910" s="39"/>
      <c r="AS910" s="39"/>
      <c r="AT910" s="39">
        <f t="shared" si="367"/>
        <v>0</v>
      </c>
      <c r="AU910" s="39"/>
      <c r="AV910" s="39"/>
      <c r="AW910" s="39"/>
      <c r="AX910" s="39"/>
      <c r="AY910" s="39"/>
      <c r="AZ910" s="39">
        <f t="shared" si="368"/>
        <v>0</v>
      </c>
      <c r="BA910" s="39"/>
      <c r="BB910" s="39"/>
      <c r="BC910" s="39"/>
      <c r="BD910" s="39"/>
      <c r="BE910" s="39"/>
      <c r="BF910" s="39">
        <f t="shared" si="369"/>
        <v>0</v>
      </c>
      <c r="BG910" s="39"/>
      <c r="BH910" s="39"/>
      <c r="BI910" s="39"/>
      <c r="BJ910" s="39"/>
      <c r="BK910" s="39"/>
      <c r="BL910" s="39">
        <f t="shared" si="484"/>
        <v>0</v>
      </c>
      <c r="BM910" s="54" t="e">
        <f t="shared" si="371"/>
        <v>#DIV/0!</v>
      </c>
      <c r="BN910" s="61"/>
      <c r="BO910" s="36"/>
      <c r="BP910" s="36"/>
      <c r="BQ910" s="36"/>
      <c r="BR910" s="39"/>
      <c r="BS910" s="39"/>
      <c r="BT910" s="39"/>
      <c r="BU910" s="39"/>
      <c r="BV910" s="39"/>
      <c r="BW910" s="39"/>
      <c r="BX910" s="39"/>
      <c r="BY910" s="39"/>
      <c r="BZ910" s="39">
        <f t="shared" si="485"/>
        <v>0</v>
      </c>
      <c r="CA910" s="39">
        <f t="shared" si="373"/>
        <v>0</v>
      </c>
      <c r="CB910" s="39">
        <f t="shared" si="374"/>
        <v>0</v>
      </c>
      <c r="CC910" s="39">
        <f t="shared" si="375"/>
        <v>0</v>
      </c>
      <c r="CD910" s="39">
        <f t="shared" si="376"/>
        <v>0</v>
      </c>
      <c r="CE910" s="47" t="e">
        <f t="shared" si="377"/>
        <v>#DIV/0!</v>
      </c>
      <c r="CF910" s="36"/>
      <c r="CG910" s="39"/>
      <c r="CH910" s="39"/>
      <c r="CI910" s="25">
        <v>3</v>
      </c>
    </row>
    <row r="911" spans="1:87" ht="24.75" customHeight="1">
      <c r="A911" s="36" t="s">
        <v>388</v>
      </c>
      <c r="B911" s="27"/>
      <c r="C911" s="36"/>
      <c r="D911" s="36"/>
      <c r="E911" s="39"/>
      <c r="F911" s="39"/>
      <c r="G911" s="36"/>
      <c r="H911" s="39"/>
      <c r="I911" s="39"/>
      <c r="J911" s="39"/>
      <c r="K911" s="39"/>
      <c r="L911" s="39">
        <f t="shared" si="523"/>
        <v>0</v>
      </c>
      <c r="M911" s="39"/>
      <c r="N911" s="39"/>
      <c r="O911" s="39"/>
      <c r="P911" s="39"/>
      <c r="Q911" s="39"/>
      <c r="R911" s="39">
        <f t="shared" si="481"/>
        <v>0</v>
      </c>
      <c r="S911" s="39"/>
      <c r="T911" s="39"/>
      <c r="U911" s="39"/>
      <c r="V911" s="39"/>
      <c r="W911" s="39"/>
      <c r="X911" s="39"/>
      <c r="Y911" s="39"/>
      <c r="Z911" s="39"/>
      <c r="AA911" s="39"/>
      <c r="AB911" s="39">
        <f t="shared" si="482"/>
        <v>0</v>
      </c>
      <c r="AC911" s="39"/>
      <c r="AD911" s="39"/>
      <c r="AE911" s="39"/>
      <c r="AF911" s="39"/>
      <c r="AG911" s="39"/>
      <c r="AH911" s="39">
        <f t="shared" si="483"/>
        <v>0</v>
      </c>
      <c r="AI911" s="39"/>
      <c r="AJ911" s="39"/>
      <c r="AK911" s="39"/>
      <c r="AL911" s="39"/>
      <c r="AM911" s="39"/>
      <c r="AN911" s="39">
        <f t="shared" si="522"/>
        <v>0</v>
      </c>
      <c r="AO911" s="39"/>
      <c r="AP911" s="39"/>
      <c r="AQ911" s="39"/>
      <c r="AR911" s="39"/>
      <c r="AS911" s="39"/>
      <c r="AT911" s="39">
        <f t="shared" si="367"/>
        <v>0</v>
      </c>
      <c r="AU911" s="39"/>
      <c r="AV911" s="39"/>
      <c r="AW911" s="39"/>
      <c r="AX911" s="39"/>
      <c r="AY911" s="39"/>
      <c r="AZ911" s="39">
        <f t="shared" si="368"/>
        <v>0</v>
      </c>
      <c r="BA911" s="39"/>
      <c r="BB911" s="39"/>
      <c r="BC911" s="39"/>
      <c r="BD911" s="39"/>
      <c r="BE911" s="39"/>
      <c r="BF911" s="39">
        <f t="shared" si="369"/>
        <v>0</v>
      </c>
      <c r="BG911" s="39"/>
      <c r="BH911" s="39"/>
      <c r="BI911" s="39"/>
      <c r="BJ911" s="39"/>
      <c r="BK911" s="39"/>
      <c r="BL911" s="39">
        <f t="shared" si="484"/>
        <v>0</v>
      </c>
      <c r="BM911" s="54" t="e">
        <f t="shared" si="371"/>
        <v>#DIV/0!</v>
      </c>
      <c r="BN911" s="61"/>
      <c r="BO911" s="36"/>
      <c r="BP911" s="36"/>
      <c r="BQ911" s="36"/>
      <c r="BR911" s="39"/>
      <c r="BS911" s="39"/>
      <c r="BT911" s="39"/>
      <c r="BU911" s="39"/>
      <c r="BV911" s="39"/>
      <c r="BW911" s="39"/>
      <c r="BX911" s="39"/>
      <c r="BY911" s="39"/>
      <c r="BZ911" s="39">
        <f t="shared" si="485"/>
        <v>0</v>
      </c>
      <c r="CA911" s="39">
        <f t="shared" si="373"/>
        <v>0</v>
      </c>
      <c r="CB911" s="39">
        <f t="shared" si="374"/>
        <v>0</v>
      </c>
      <c r="CC911" s="39">
        <f t="shared" si="375"/>
        <v>0</v>
      </c>
      <c r="CD911" s="39">
        <f t="shared" si="376"/>
        <v>0</v>
      </c>
      <c r="CE911" s="47" t="e">
        <f t="shared" si="377"/>
        <v>#DIV/0!</v>
      </c>
      <c r="CF911" s="36"/>
      <c r="CG911" s="39"/>
      <c r="CH911" s="39"/>
      <c r="CI911" s="25">
        <v>3</v>
      </c>
    </row>
    <row r="912" spans="1:87" ht="24.75" customHeight="1">
      <c r="A912" s="36" t="s">
        <v>388</v>
      </c>
      <c r="B912" s="27"/>
      <c r="C912" s="36"/>
      <c r="D912" s="36"/>
      <c r="E912" s="39"/>
      <c r="F912" s="39"/>
      <c r="G912" s="36"/>
      <c r="H912" s="39"/>
      <c r="I912" s="39"/>
      <c r="J912" s="39"/>
      <c r="K912" s="39"/>
      <c r="L912" s="39">
        <f t="shared" si="523"/>
        <v>0</v>
      </c>
      <c r="M912" s="39"/>
      <c r="N912" s="39"/>
      <c r="O912" s="39"/>
      <c r="P912" s="39"/>
      <c r="Q912" s="39"/>
      <c r="R912" s="39">
        <f t="shared" si="481"/>
        <v>0</v>
      </c>
      <c r="S912" s="39"/>
      <c r="T912" s="39"/>
      <c r="U912" s="39"/>
      <c r="V912" s="39"/>
      <c r="W912" s="39"/>
      <c r="X912" s="39"/>
      <c r="Y912" s="39"/>
      <c r="Z912" s="39"/>
      <c r="AA912" s="39"/>
      <c r="AB912" s="39">
        <f t="shared" si="482"/>
        <v>0</v>
      </c>
      <c r="AC912" s="39"/>
      <c r="AD912" s="39"/>
      <c r="AE912" s="39"/>
      <c r="AF912" s="39"/>
      <c r="AG912" s="39"/>
      <c r="AH912" s="39">
        <f t="shared" si="483"/>
        <v>0</v>
      </c>
      <c r="AI912" s="39"/>
      <c r="AJ912" s="39"/>
      <c r="AK912" s="39"/>
      <c r="AL912" s="39"/>
      <c r="AM912" s="39"/>
      <c r="AN912" s="39">
        <f t="shared" si="522"/>
        <v>0</v>
      </c>
      <c r="AO912" s="39"/>
      <c r="AP912" s="39"/>
      <c r="AQ912" s="39"/>
      <c r="AR912" s="39"/>
      <c r="AS912" s="39"/>
      <c r="AT912" s="39">
        <f t="shared" si="367"/>
        <v>0</v>
      </c>
      <c r="AU912" s="39"/>
      <c r="AV912" s="39"/>
      <c r="AW912" s="39"/>
      <c r="AX912" s="39"/>
      <c r="AY912" s="39"/>
      <c r="AZ912" s="39">
        <f t="shared" si="368"/>
        <v>0</v>
      </c>
      <c r="BA912" s="39"/>
      <c r="BB912" s="39"/>
      <c r="BC912" s="39"/>
      <c r="BD912" s="39"/>
      <c r="BE912" s="39"/>
      <c r="BF912" s="39">
        <f t="shared" si="369"/>
        <v>0</v>
      </c>
      <c r="BG912" s="39"/>
      <c r="BH912" s="39"/>
      <c r="BI912" s="39"/>
      <c r="BJ912" s="39"/>
      <c r="BK912" s="39"/>
      <c r="BL912" s="39">
        <f t="shared" si="484"/>
        <v>0</v>
      </c>
      <c r="BM912" s="54" t="e">
        <f t="shared" si="371"/>
        <v>#DIV/0!</v>
      </c>
      <c r="BN912" s="61"/>
      <c r="BO912" s="36"/>
      <c r="BP912" s="36"/>
      <c r="BQ912" s="36"/>
      <c r="BR912" s="39"/>
      <c r="BS912" s="39"/>
      <c r="BT912" s="39"/>
      <c r="BU912" s="39"/>
      <c r="BV912" s="39"/>
      <c r="BW912" s="39"/>
      <c r="BX912" s="39"/>
      <c r="BY912" s="39"/>
      <c r="BZ912" s="39">
        <f t="shared" si="485"/>
        <v>0</v>
      </c>
      <c r="CA912" s="39">
        <f t="shared" si="373"/>
        <v>0</v>
      </c>
      <c r="CB912" s="39">
        <f t="shared" si="374"/>
        <v>0</v>
      </c>
      <c r="CC912" s="39">
        <f t="shared" si="375"/>
        <v>0</v>
      </c>
      <c r="CD912" s="39">
        <f t="shared" si="376"/>
        <v>0</v>
      </c>
      <c r="CE912" s="47" t="e">
        <f t="shared" si="377"/>
        <v>#DIV/0!</v>
      </c>
      <c r="CF912" s="36"/>
      <c r="CG912" s="39"/>
      <c r="CH912" s="39"/>
      <c r="CI912" s="25">
        <v>3</v>
      </c>
    </row>
    <row r="913" spans="1:87" ht="24.75" customHeight="1">
      <c r="A913" s="36" t="s">
        <v>388</v>
      </c>
      <c r="B913" s="27"/>
      <c r="C913" s="36"/>
      <c r="D913" s="36"/>
      <c r="E913" s="39"/>
      <c r="F913" s="39"/>
      <c r="G913" s="36"/>
      <c r="H913" s="39"/>
      <c r="I913" s="39"/>
      <c r="J913" s="39"/>
      <c r="K913" s="39"/>
      <c r="L913" s="39">
        <f t="shared" si="523"/>
        <v>0</v>
      </c>
      <c r="M913" s="39"/>
      <c r="N913" s="39"/>
      <c r="O913" s="39"/>
      <c r="P913" s="39"/>
      <c r="Q913" s="39"/>
      <c r="R913" s="39">
        <f t="shared" si="481"/>
        <v>0</v>
      </c>
      <c r="S913" s="39"/>
      <c r="T913" s="39"/>
      <c r="U913" s="39"/>
      <c r="V913" s="39"/>
      <c r="W913" s="39"/>
      <c r="X913" s="39"/>
      <c r="Y913" s="39"/>
      <c r="Z913" s="39"/>
      <c r="AA913" s="39"/>
      <c r="AB913" s="39">
        <f t="shared" si="482"/>
        <v>0</v>
      </c>
      <c r="AC913" s="39"/>
      <c r="AD913" s="39"/>
      <c r="AE913" s="39"/>
      <c r="AF913" s="39"/>
      <c r="AG913" s="39"/>
      <c r="AH913" s="39">
        <f t="shared" si="483"/>
        <v>0</v>
      </c>
      <c r="AI913" s="39"/>
      <c r="AJ913" s="39"/>
      <c r="AK913" s="39"/>
      <c r="AL913" s="39"/>
      <c r="AM913" s="39"/>
      <c r="AN913" s="39">
        <f t="shared" si="522"/>
        <v>0</v>
      </c>
      <c r="AO913" s="39"/>
      <c r="AP913" s="39"/>
      <c r="AQ913" s="39"/>
      <c r="AR913" s="39"/>
      <c r="AS913" s="39"/>
      <c r="AT913" s="39">
        <f t="shared" ref="AT913:AT1034" si="539">AS913-AQ913</f>
        <v>0</v>
      </c>
      <c r="AU913" s="39"/>
      <c r="AV913" s="39"/>
      <c r="AW913" s="39"/>
      <c r="AX913" s="39"/>
      <c r="AY913" s="39"/>
      <c r="AZ913" s="39">
        <f t="shared" ref="AZ913:AZ1034" si="540">AY913-AW913</f>
        <v>0</v>
      </c>
      <c r="BA913" s="39"/>
      <c r="BB913" s="39"/>
      <c r="BC913" s="39"/>
      <c r="BD913" s="39"/>
      <c r="BE913" s="39"/>
      <c r="BF913" s="39">
        <f t="shared" ref="BF913:BF1034" si="541">BE913-BC913</f>
        <v>0</v>
      </c>
      <c r="BG913" s="39"/>
      <c r="BH913" s="39"/>
      <c r="BI913" s="39"/>
      <c r="BJ913" s="39"/>
      <c r="BK913" s="39"/>
      <c r="BL913" s="39">
        <f t="shared" si="484"/>
        <v>0</v>
      </c>
      <c r="BM913" s="54" t="e">
        <f t="shared" ref="BM913:BM1034" si="542">IF((BZ913/L913)&lt;0.9,$CO$1-U913,"")</f>
        <v>#DIV/0!</v>
      </c>
      <c r="BN913" s="61"/>
      <c r="BO913" s="36"/>
      <c r="BP913" s="36"/>
      <c r="BQ913" s="36"/>
      <c r="BR913" s="39"/>
      <c r="BS913" s="39"/>
      <c r="BT913" s="39"/>
      <c r="BU913" s="39"/>
      <c r="BV913" s="39"/>
      <c r="BW913" s="39"/>
      <c r="BX913" s="39"/>
      <c r="BY913" s="39"/>
      <c r="BZ913" s="39">
        <f t="shared" si="485"/>
        <v>0</v>
      </c>
      <c r="CA913" s="39">
        <f t="shared" ref="CA913:CA1034" si="543">BU913-I913</f>
        <v>0</v>
      </c>
      <c r="CB913" s="39">
        <f t="shared" ref="CB913:CB1034" si="544">BW913-J913</f>
        <v>0</v>
      </c>
      <c r="CC913" s="39">
        <f t="shared" ref="CC913:CC1034" si="545">BY913-K913</f>
        <v>0</v>
      </c>
      <c r="CD913" s="39">
        <f t="shared" ref="CD913:CD928" si="546">SUMIF(CA913:CC913,"&lt;0")</f>
        <v>0</v>
      </c>
      <c r="CE913" s="47" t="e">
        <f t="shared" ref="CE913:CE1034" si="547">CD913/L913</f>
        <v>#DIV/0!</v>
      </c>
      <c r="CF913" s="36"/>
      <c r="CG913" s="39"/>
      <c r="CH913" s="39"/>
      <c r="CI913" s="25">
        <v>3</v>
      </c>
    </row>
    <row r="914" spans="1:87" ht="24.75" customHeight="1">
      <c r="A914" s="36" t="s">
        <v>494</v>
      </c>
      <c r="B914" s="55"/>
      <c r="C914" s="36"/>
      <c r="D914" s="36"/>
      <c r="E914" s="39"/>
      <c r="F914" s="39"/>
      <c r="G914" s="36"/>
      <c r="H914" s="36"/>
      <c r="I914" s="39"/>
      <c r="J914" s="39"/>
      <c r="K914" s="39"/>
      <c r="L914" s="39">
        <f t="shared" si="523"/>
        <v>0</v>
      </c>
      <c r="M914" s="39"/>
      <c r="N914" s="39"/>
      <c r="O914" s="39"/>
      <c r="P914" s="39"/>
      <c r="Q914" s="39"/>
      <c r="R914" s="39">
        <f t="shared" si="481"/>
        <v>0</v>
      </c>
      <c r="S914" s="39"/>
      <c r="T914" s="39"/>
      <c r="U914" s="39"/>
      <c r="V914" s="39"/>
      <c r="W914" s="39"/>
      <c r="X914" s="39"/>
      <c r="Y914" s="39"/>
      <c r="Z914" s="39"/>
      <c r="AA914" s="39"/>
      <c r="AB914" s="39">
        <f t="shared" si="482"/>
        <v>0</v>
      </c>
      <c r="AC914" s="39"/>
      <c r="AD914" s="39"/>
      <c r="AE914" s="39"/>
      <c r="AF914" s="39"/>
      <c r="AG914" s="39"/>
      <c r="AH914" s="39">
        <f t="shared" si="483"/>
        <v>0</v>
      </c>
      <c r="AI914" s="39"/>
      <c r="AJ914" s="39"/>
      <c r="AK914" s="39"/>
      <c r="AL914" s="39"/>
      <c r="AM914" s="39"/>
      <c r="AN914" s="39">
        <f t="shared" si="522"/>
        <v>0</v>
      </c>
      <c r="AO914" s="39"/>
      <c r="AP914" s="39"/>
      <c r="AQ914" s="39"/>
      <c r="AR914" s="39"/>
      <c r="AS914" s="39"/>
      <c r="AT914" s="39">
        <f t="shared" si="539"/>
        <v>0</v>
      </c>
      <c r="AU914" s="39"/>
      <c r="AV914" s="39"/>
      <c r="AW914" s="39"/>
      <c r="AX914" s="39"/>
      <c r="AY914" s="39"/>
      <c r="AZ914" s="39">
        <f t="shared" si="540"/>
        <v>0</v>
      </c>
      <c r="BA914" s="39"/>
      <c r="BB914" s="39"/>
      <c r="BC914" s="39"/>
      <c r="BD914" s="39"/>
      <c r="BE914" s="39"/>
      <c r="BF914" s="39">
        <f t="shared" si="541"/>
        <v>0</v>
      </c>
      <c r="BG914" s="39"/>
      <c r="BH914" s="39"/>
      <c r="BI914" s="39"/>
      <c r="BJ914" s="39"/>
      <c r="BK914" s="39"/>
      <c r="BL914" s="39">
        <f t="shared" si="484"/>
        <v>0</v>
      </c>
      <c r="BM914" s="54" t="e">
        <f t="shared" si="542"/>
        <v>#DIV/0!</v>
      </c>
      <c r="BN914" s="42"/>
      <c r="BO914" s="39"/>
      <c r="BP914" s="39"/>
      <c r="BQ914" s="39"/>
      <c r="BR914" s="39"/>
      <c r="BS914" s="39"/>
      <c r="BT914" s="39"/>
      <c r="BU914" s="39"/>
      <c r="BV914" s="39"/>
      <c r="BW914" s="39"/>
      <c r="BX914" s="39"/>
      <c r="BY914" s="39"/>
      <c r="BZ914" s="39">
        <f t="shared" si="485"/>
        <v>0</v>
      </c>
      <c r="CA914" s="39">
        <f t="shared" si="543"/>
        <v>0</v>
      </c>
      <c r="CB914" s="39">
        <f t="shared" si="544"/>
        <v>0</v>
      </c>
      <c r="CC914" s="39">
        <f t="shared" si="545"/>
        <v>0</v>
      </c>
      <c r="CD914" s="39">
        <f t="shared" si="546"/>
        <v>0</v>
      </c>
      <c r="CE914" s="47" t="e">
        <f t="shared" si="547"/>
        <v>#DIV/0!</v>
      </c>
      <c r="CF914" s="36"/>
      <c r="CG914" s="39"/>
      <c r="CH914" s="39"/>
      <c r="CI914" s="25">
        <v>1</v>
      </c>
    </row>
    <row r="915" spans="1:87" ht="24.75" customHeight="1">
      <c r="A915" s="36" t="s">
        <v>494</v>
      </c>
      <c r="B915" s="55"/>
      <c r="C915" s="36"/>
      <c r="D915" s="36"/>
      <c r="E915" s="39"/>
      <c r="F915" s="39"/>
      <c r="G915" s="36"/>
      <c r="H915" s="36"/>
      <c r="I915" s="39"/>
      <c r="J915" s="39"/>
      <c r="K915" s="39"/>
      <c r="L915" s="39">
        <f t="shared" si="523"/>
        <v>0</v>
      </c>
      <c r="M915" s="39"/>
      <c r="N915" s="39"/>
      <c r="O915" s="39"/>
      <c r="P915" s="39"/>
      <c r="Q915" s="39"/>
      <c r="R915" s="39">
        <f t="shared" si="481"/>
        <v>0</v>
      </c>
      <c r="S915" s="39"/>
      <c r="T915" s="39"/>
      <c r="U915" s="39"/>
      <c r="V915" s="39"/>
      <c r="W915" s="39"/>
      <c r="X915" s="39"/>
      <c r="Y915" s="39"/>
      <c r="Z915" s="39"/>
      <c r="AA915" s="39"/>
      <c r="AB915" s="39">
        <f t="shared" si="482"/>
        <v>0</v>
      </c>
      <c r="AC915" s="39"/>
      <c r="AD915" s="39"/>
      <c r="AE915" s="39"/>
      <c r="AF915" s="39"/>
      <c r="AG915" s="39"/>
      <c r="AH915" s="39">
        <f t="shared" si="483"/>
        <v>0</v>
      </c>
      <c r="AI915" s="39"/>
      <c r="AJ915" s="39"/>
      <c r="AK915" s="39"/>
      <c r="AL915" s="39"/>
      <c r="AM915" s="39"/>
      <c r="AN915" s="39">
        <f t="shared" si="522"/>
        <v>0</v>
      </c>
      <c r="AO915" s="39"/>
      <c r="AP915" s="39"/>
      <c r="AQ915" s="39"/>
      <c r="AR915" s="39"/>
      <c r="AS915" s="39"/>
      <c r="AT915" s="39">
        <f t="shared" si="539"/>
        <v>0</v>
      </c>
      <c r="AU915" s="39"/>
      <c r="AV915" s="39"/>
      <c r="AW915" s="39"/>
      <c r="AX915" s="39"/>
      <c r="AY915" s="39"/>
      <c r="AZ915" s="39">
        <f t="shared" si="540"/>
        <v>0</v>
      </c>
      <c r="BA915" s="39"/>
      <c r="BB915" s="39"/>
      <c r="BC915" s="39"/>
      <c r="BD915" s="39"/>
      <c r="BE915" s="39"/>
      <c r="BF915" s="39">
        <f t="shared" si="541"/>
        <v>0</v>
      </c>
      <c r="BG915" s="39"/>
      <c r="BH915" s="39"/>
      <c r="BI915" s="39"/>
      <c r="BJ915" s="39"/>
      <c r="BK915" s="39"/>
      <c r="BL915" s="39">
        <f t="shared" si="484"/>
        <v>0</v>
      </c>
      <c r="BM915" s="54" t="e">
        <f t="shared" si="542"/>
        <v>#DIV/0!</v>
      </c>
      <c r="BN915" s="42"/>
      <c r="BO915" s="39"/>
      <c r="BP915" s="39"/>
      <c r="BQ915" s="39"/>
      <c r="BR915" s="39"/>
      <c r="BS915" s="39"/>
      <c r="BT915" s="39"/>
      <c r="BU915" s="39"/>
      <c r="BV915" s="39"/>
      <c r="BW915" s="39"/>
      <c r="BX915" s="39"/>
      <c r="BY915" s="39"/>
      <c r="BZ915" s="39">
        <f t="shared" si="485"/>
        <v>0</v>
      </c>
      <c r="CA915" s="39">
        <f t="shared" si="543"/>
        <v>0</v>
      </c>
      <c r="CB915" s="39">
        <f t="shared" si="544"/>
        <v>0</v>
      </c>
      <c r="CC915" s="39">
        <f t="shared" si="545"/>
        <v>0</v>
      </c>
      <c r="CD915" s="39">
        <f t="shared" si="546"/>
        <v>0</v>
      </c>
      <c r="CE915" s="47" t="e">
        <f t="shared" si="547"/>
        <v>#DIV/0!</v>
      </c>
      <c r="CF915" s="36"/>
      <c r="CG915" s="39"/>
      <c r="CH915" s="39"/>
      <c r="CI915" s="25">
        <v>1</v>
      </c>
    </row>
    <row r="916" spans="1:87" ht="24.75" customHeight="1">
      <c r="A916" s="36" t="s">
        <v>494</v>
      </c>
      <c r="B916" s="55"/>
      <c r="C916" s="36"/>
      <c r="D916" s="36"/>
      <c r="E916" s="39"/>
      <c r="F916" s="39"/>
      <c r="G916" s="36"/>
      <c r="H916" s="36"/>
      <c r="I916" s="39"/>
      <c r="J916" s="39"/>
      <c r="K916" s="39"/>
      <c r="L916" s="39">
        <f>SUM(I916:K916)</f>
        <v>0</v>
      </c>
      <c r="M916" s="39"/>
      <c r="N916" s="39"/>
      <c r="O916" s="39"/>
      <c r="P916" s="39"/>
      <c r="Q916" s="39"/>
      <c r="R916" s="39">
        <f>SUM(O916:Q916)</f>
        <v>0</v>
      </c>
      <c r="S916" s="39"/>
      <c r="T916" s="39"/>
      <c r="U916" s="39"/>
      <c r="V916" s="39"/>
      <c r="W916" s="39"/>
      <c r="X916" s="39"/>
      <c r="Y916" s="39"/>
      <c r="Z916" s="39"/>
      <c r="AA916" s="39"/>
      <c r="AB916" s="39">
        <f>SUM(Y916:AA916)</f>
        <v>0</v>
      </c>
      <c r="AC916" s="39"/>
      <c r="AD916" s="39"/>
      <c r="AE916" s="39"/>
      <c r="AF916" s="39"/>
      <c r="AG916" s="39"/>
      <c r="AH916" s="39">
        <f t="shared" si="483"/>
        <v>0</v>
      </c>
      <c r="AI916" s="39"/>
      <c r="AJ916" s="39"/>
      <c r="AK916" s="39"/>
      <c r="AL916" s="39"/>
      <c r="AM916" s="39"/>
      <c r="AN916" s="39">
        <f t="shared" si="522"/>
        <v>0</v>
      </c>
      <c r="AO916" s="39"/>
      <c r="AP916" s="39"/>
      <c r="AQ916" s="39"/>
      <c r="AR916" s="39"/>
      <c r="AS916" s="39"/>
      <c r="AT916" s="39">
        <f t="shared" si="539"/>
        <v>0</v>
      </c>
      <c r="AU916" s="39"/>
      <c r="AV916" s="39"/>
      <c r="AW916" s="39"/>
      <c r="AX916" s="39"/>
      <c r="AY916" s="39"/>
      <c r="AZ916" s="39">
        <f t="shared" si="540"/>
        <v>0</v>
      </c>
      <c r="BA916" s="39"/>
      <c r="BB916" s="39"/>
      <c r="BC916" s="39"/>
      <c r="BD916" s="39"/>
      <c r="BE916" s="39"/>
      <c r="BF916" s="39">
        <f t="shared" si="541"/>
        <v>0</v>
      </c>
      <c r="BG916" s="39"/>
      <c r="BH916" s="39"/>
      <c r="BI916" s="39"/>
      <c r="BJ916" s="39"/>
      <c r="BK916" s="39"/>
      <c r="BL916" s="39">
        <f t="shared" si="484"/>
        <v>0</v>
      </c>
      <c r="BM916" s="54" t="e">
        <f t="shared" si="542"/>
        <v>#DIV/0!</v>
      </c>
      <c r="BN916" s="42"/>
      <c r="BO916" s="39"/>
      <c r="BP916" s="39"/>
      <c r="BQ916" s="39"/>
      <c r="BR916" s="39"/>
      <c r="BS916" s="39"/>
      <c r="BT916" s="39"/>
      <c r="BU916" s="39"/>
      <c r="BV916" s="39"/>
      <c r="BW916" s="39"/>
      <c r="BX916" s="39"/>
      <c r="BY916" s="39"/>
      <c r="BZ916" s="39">
        <f t="shared" si="485"/>
        <v>0</v>
      </c>
      <c r="CA916" s="39">
        <f t="shared" si="543"/>
        <v>0</v>
      </c>
      <c r="CB916" s="39">
        <f t="shared" si="544"/>
        <v>0</v>
      </c>
      <c r="CC916" s="39">
        <f t="shared" si="545"/>
        <v>0</v>
      </c>
      <c r="CD916" s="39">
        <f t="shared" si="546"/>
        <v>0</v>
      </c>
      <c r="CE916" s="47" t="e">
        <f t="shared" si="547"/>
        <v>#DIV/0!</v>
      </c>
      <c r="CF916" s="36"/>
      <c r="CG916" s="39"/>
      <c r="CH916" s="39"/>
      <c r="CI916" s="25">
        <v>1</v>
      </c>
    </row>
    <row r="917" spans="1:87" ht="24.75" customHeight="1">
      <c r="A917" s="36" t="s">
        <v>494</v>
      </c>
      <c r="B917" s="55"/>
      <c r="C917" s="36"/>
      <c r="D917" s="36"/>
      <c r="E917" s="39"/>
      <c r="F917" s="39"/>
      <c r="G917" s="36"/>
      <c r="H917" s="36"/>
      <c r="I917" s="39"/>
      <c r="J917" s="39"/>
      <c r="K917" s="39"/>
      <c r="L917" s="39">
        <f>SUM(I917:K917)</f>
        <v>0</v>
      </c>
      <c r="M917" s="39"/>
      <c r="N917" s="39"/>
      <c r="O917" s="39"/>
      <c r="P917" s="39"/>
      <c r="Q917" s="39"/>
      <c r="R917" s="39">
        <f>SUM(O917:Q917)</f>
        <v>0</v>
      </c>
      <c r="S917" s="39"/>
      <c r="T917" s="39"/>
      <c r="U917" s="39"/>
      <c r="V917" s="39"/>
      <c r="W917" s="39"/>
      <c r="X917" s="39"/>
      <c r="Y917" s="39"/>
      <c r="Z917" s="39"/>
      <c r="AA917" s="39"/>
      <c r="AB917" s="39">
        <f>SUM(Y917:AA917)</f>
        <v>0</v>
      </c>
      <c r="AC917" s="39"/>
      <c r="AD917" s="39"/>
      <c r="AE917" s="39"/>
      <c r="AF917" s="39"/>
      <c r="AG917" s="39"/>
      <c r="AH917" s="39">
        <f t="shared" si="483"/>
        <v>0</v>
      </c>
      <c r="AI917" s="39"/>
      <c r="AJ917" s="39"/>
      <c r="AK917" s="39"/>
      <c r="AL917" s="39"/>
      <c r="AM917" s="39"/>
      <c r="AN917" s="39">
        <f t="shared" si="522"/>
        <v>0</v>
      </c>
      <c r="AO917" s="39"/>
      <c r="AP917" s="39"/>
      <c r="AQ917" s="39"/>
      <c r="AR917" s="39"/>
      <c r="AS917" s="39"/>
      <c r="AT917" s="39">
        <f t="shared" si="539"/>
        <v>0</v>
      </c>
      <c r="AU917" s="39"/>
      <c r="AV917" s="39"/>
      <c r="AW917" s="39"/>
      <c r="AX917" s="39"/>
      <c r="AY917" s="39"/>
      <c r="AZ917" s="39">
        <f t="shared" si="540"/>
        <v>0</v>
      </c>
      <c r="BA917" s="39"/>
      <c r="BB917" s="39"/>
      <c r="BC917" s="39"/>
      <c r="BD917" s="39"/>
      <c r="BE917" s="39"/>
      <c r="BF917" s="39">
        <f t="shared" si="541"/>
        <v>0</v>
      </c>
      <c r="BG917" s="39"/>
      <c r="BH917" s="39"/>
      <c r="BI917" s="39"/>
      <c r="BJ917" s="39"/>
      <c r="BK917" s="39"/>
      <c r="BL917" s="39">
        <f t="shared" si="484"/>
        <v>0</v>
      </c>
      <c r="BM917" s="54" t="e">
        <f t="shared" si="542"/>
        <v>#DIV/0!</v>
      </c>
      <c r="BN917" s="42"/>
      <c r="BO917" s="39"/>
      <c r="BP917" s="39"/>
      <c r="BQ917" s="39"/>
      <c r="BR917" s="39"/>
      <c r="BS917" s="39"/>
      <c r="BT917" s="39"/>
      <c r="BU917" s="39"/>
      <c r="BV917" s="39"/>
      <c r="BW917" s="39"/>
      <c r="BX917" s="39"/>
      <c r="BY917" s="39"/>
      <c r="BZ917" s="39">
        <f t="shared" si="485"/>
        <v>0</v>
      </c>
      <c r="CA917" s="39">
        <f t="shared" si="543"/>
        <v>0</v>
      </c>
      <c r="CB917" s="39">
        <f t="shared" si="544"/>
        <v>0</v>
      </c>
      <c r="CC917" s="39">
        <f t="shared" si="545"/>
        <v>0</v>
      </c>
      <c r="CD917" s="39">
        <f t="shared" si="546"/>
        <v>0</v>
      </c>
      <c r="CE917" s="47" t="e">
        <f t="shared" si="547"/>
        <v>#DIV/0!</v>
      </c>
      <c r="CF917" s="36"/>
      <c r="CG917" s="39"/>
      <c r="CH917" s="39"/>
      <c r="CI917" s="25">
        <v>1</v>
      </c>
    </row>
    <row r="918" spans="1:87" ht="24.75" customHeight="1">
      <c r="A918" s="36" t="s">
        <v>494</v>
      </c>
      <c r="B918" s="55"/>
      <c r="C918" s="36"/>
      <c r="D918" s="36"/>
      <c r="E918" s="39"/>
      <c r="F918" s="39"/>
      <c r="G918" s="36"/>
      <c r="H918" s="36"/>
      <c r="I918" s="39"/>
      <c r="J918" s="39"/>
      <c r="K918" s="39"/>
      <c r="L918" s="39">
        <f>SUM(I918:K918)</f>
        <v>0</v>
      </c>
      <c r="M918" s="39"/>
      <c r="N918" s="39"/>
      <c r="O918" s="39"/>
      <c r="P918" s="39"/>
      <c r="Q918" s="39"/>
      <c r="R918" s="39">
        <f>SUM(O918:Q918)</f>
        <v>0</v>
      </c>
      <c r="S918" s="39"/>
      <c r="T918" s="39"/>
      <c r="U918" s="39"/>
      <c r="V918" s="39"/>
      <c r="W918" s="39"/>
      <c r="X918" s="39"/>
      <c r="Y918" s="39"/>
      <c r="Z918" s="39"/>
      <c r="AA918" s="39"/>
      <c r="AB918" s="39">
        <f>SUM(Y918:AA918)</f>
        <v>0</v>
      </c>
      <c r="AC918" s="39"/>
      <c r="AD918" s="39"/>
      <c r="AE918" s="39"/>
      <c r="AF918" s="39"/>
      <c r="AG918" s="39"/>
      <c r="AH918" s="39">
        <f t="shared" si="483"/>
        <v>0</v>
      </c>
      <c r="AI918" s="39"/>
      <c r="AJ918" s="39"/>
      <c r="AK918" s="39"/>
      <c r="AL918" s="39"/>
      <c r="AM918" s="39"/>
      <c r="AN918" s="39">
        <f t="shared" si="522"/>
        <v>0</v>
      </c>
      <c r="AO918" s="39"/>
      <c r="AP918" s="39"/>
      <c r="AQ918" s="39"/>
      <c r="AR918" s="39"/>
      <c r="AS918" s="39"/>
      <c r="AT918" s="39">
        <f t="shared" si="539"/>
        <v>0</v>
      </c>
      <c r="AU918" s="39"/>
      <c r="AV918" s="39"/>
      <c r="AW918" s="39"/>
      <c r="AX918" s="39"/>
      <c r="AY918" s="39"/>
      <c r="AZ918" s="39">
        <f t="shared" si="540"/>
        <v>0</v>
      </c>
      <c r="BA918" s="39"/>
      <c r="BB918" s="39"/>
      <c r="BC918" s="39"/>
      <c r="BD918" s="39"/>
      <c r="BE918" s="39"/>
      <c r="BF918" s="39">
        <f t="shared" si="541"/>
        <v>0</v>
      </c>
      <c r="BG918" s="39"/>
      <c r="BH918" s="39"/>
      <c r="BI918" s="39"/>
      <c r="BJ918" s="39"/>
      <c r="BK918" s="39"/>
      <c r="BL918" s="39">
        <f t="shared" si="484"/>
        <v>0</v>
      </c>
      <c r="BM918" s="54" t="e">
        <f t="shared" si="542"/>
        <v>#DIV/0!</v>
      </c>
      <c r="BN918" s="42"/>
      <c r="BO918" s="39"/>
      <c r="BP918" s="39"/>
      <c r="BQ918" s="39"/>
      <c r="BR918" s="39"/>
      <c r="BS918" s="39"/>
      <c r="BT918" s="39"/>
      <c r="BU918" s="39"/>
      <c r="BV918" s="39"/>
      <c r="BW918" s="39"/>
      <c r="BX918" s="39"/>
      <c r="BY918" s="39"/>
      <c r="BZ918" s="39">
        <f t="shared" si="485"/>
        <v>0</v>
      </c>
      <c r="CA918" s="39">
        <f t="shared" si="543"/>
        <v>0</v>
      </c>
      <c r="CB918" s="39">
        <f t="shared" si="544"/>
        <v>0</v>
      </c>
      <c r="CC918" s="39">
        <f t="shared" si="545"/>
        <v>0</v>
      </c>
      <c r="CD918" s="39">
        <f t="shared" si="546"/>
        <v>0</v>
      </c>
      <c r="CE918" s="47" t="e">
        <f t="shared" si="547"/>
        <v>#DIV/0!</v>
      </c>
      <c r="CF918" s="36"/>
      <c r="CG918" s="39"/>
      <c r="CH918" s="39"/>
      <c r="CI918" s="25">
        <v>1</v>
      </c>
    </row>
    <row r="919" spans="1:87" ht="24.75" customHeight="1">
      <c r="A919" s="36" t="s">
        <v>494</v>
      </c>
      <c r="B919" s="55"/>
      <c r="C919" s="36"/>
      <c r="D919" s="36"/>
      <c r="E919" s="39"/>
      <c r="F919" s="39"/>
      <c r="G919" s="36"/>
      <c r="H919" s="36"/>
      <c r="I919" s="39"/>
      <c r="J919" s="39"/>
      <c r="K919" s="39"/>
      <c r="L919" s="39">
        <f t="shared" ref="L919:L920" si="548">SUM(I919:K919)</f>
        <v>0</v>
      </c>
      <c r="M919" s="39"/>
      <c r="N919" s="39"/>
      <c r="O919" s="39"/>
      <c r="P919" s="39"/>
      <c r="Q919" s="39"/>
      <c r="R919" s="39">
        <f t="shared" ref="R919:R920" si="549">SUM(O919:Q919)</f>
        <v>0</v>
      </c>
      <c r="S919" s="39"/>
      <c r="T919" s="39"/>
      <c r="U919" s="39"/>
      <c r="V919" s="39"/>
      <c r="W919" s="39"/>
      <c r="X919" s="39"/>
      <c r="Y919" s="39"/>
      <c r="Z919" s="39"/>
      <c r="AA919" s="39"/>
      <c r="AB919" s="39">
        <f t="shared" ref="AB919:AB920" si="550">SUM(Y919:AA919)</f>
        <v>0</v>
      </c>
      <c r="AC919" s="39"/>
      <c r="AD919" s="39"/>
      <c r="AE919" s="39"/>
      <c r="AF919" s="39"/>
      <c r="AG919" s="39"/>
      <c r="AH919" s="39">
        <f t="shared" si="483"/>
        <v>0</v>
      </c>
      <c r="AI919" s="39"/>
      <c r="AJ919" s="39"/>
      <c r="AK919" s="39"/>
      <c r="AL919" s="39"/>
      <c r="AM919" s="39"/>
      <c r="AN919" s="39">
        <f t="shared" si="522"/>
        <v>0</v>
      </c>
      <c r="AO919" s="39"/>
      <c r="AP919" s="39"/>
      <c r="AQ919" s="39"/>
      <c r="AR919" s="39"/>
      <c r="AS919" s="39"/>
      <c r="AT919" s="39">
        <f t="shared" si="539"/>
        <v>0</v>
      </c>
      <c r="AU919" s="39"/>
      <c r="AV919" s="39"/>
      <c r="AW919" s="39"/>
      <c r="AX919" s="39"/>
      <c r="AY919" s="39"/>
      <c r="AZ919" s="39">
        <f t="shared" si="540"/>
        <v>0</v>
      </c>
      <c r="BA919" s="39"/>
      <c r="BB919" s="39"/>
      <c r="BC919" s="39"/>
      <c r="BD919" s="39"/>
      <c r="BE919" s="39"/>
      <c r="BF919" s="39">
        <f t="shared" si="541"/>
        <v>0</v>
      </c>
      <c r="BG919" s="39"/>
      <c r="BH919" s="39"/>
      <c r="BI919" s="39"/>
      <c r="BJ919" s="39"/>
      <c r="BK919" s="39"/>
      <c r="BL919" s="39">
        <f t="shared" si="484"/>
        <v>0</v>
      </c>
      <c r="BM919" s="54" t="e">
        <f t="shared" si="542"/>
        <v>#DIV/0!</v>
      </c>
      <c r="BN919" s="67"/>
      <c r="BO919" s="39"/>
      <c r="BP919" s="39"/>
      <c r="BQ919" s="39"/>
      <c r="BR919" s="39"/>
      <c r="BS919" s="39"/>
      <c r="BT919" s="39"/>
      <c r="BU919" s="39"/>
      <c r="BV919" s="39"/>
      <c r="BW919" s="39"/>
      <c r="BX919" s="39"/>
      <c r="BY919" s="39"/>
      <c r="BZ919" s="39">
        <f t="shared" si="485"/>
        <v>0</v>
      </c>
      <c r="CA919" s="39">
        <f t="shared" si="543"/>
        <v>0</v>
      </c>
      <c r="CB919" s="39">
        <f t="shared" si="544"/>
        <v>0</v>
      </c>
      <c r="CC919" s="39">
        <f t="shared" si="545"/>
        <v>0</v>
      </c>
      <c r="CD919" s="39">
        <f t="shared" si="546"/>
        <v>0</v>
      </c>
      <c r="CE919" s="47" t="e">
        <f t="shared" si="547"/>
        <v>#DIV/0!</v>
      </c>
      <c r="CF919" s="36"/>
      <c r="CG919" s="39"/>
      <c r="CH919" s="39"/>
      <c r="CI919" s="25">
        <v>2</v>
      </c>
    </row>
    <row r="920" spans="1:87" ht="24.75" customHeight="1">
      <c r="A920" s="36" t="s">
        <v>494</v>
      </c>
      <c r="B920" s="55"/>
      <c r="C920" s="36"/>
      <c r="D920" s="36"/>
      <c r="E920" s="39"/>
      <c r="F920" s="39"/>
      <c r="G920" s="36"/>
      <c r="H920" s="36"/>
      <c r="I920" s="39"/>
      <c r="J920" s="39"/>
      <c r="K920" s="39"/>
      <c r="L920" s="39">
        <f t="shared" si="548"/>
        <v>0</v>
      </c>
      <c r="M920" s="39"/>
      <c r="N920" s="39"/>
      <c r="O920" s="39"/>
      <c r="P920" s="39"/>
      <c r="Q920" s="39"/>
      <c r="R920" s="39">
        <f t="shared" si="549"/>
        <v>0</v>
      </c>
      <c r="S920" s="39"/>
      <c r="T920" s="39"/>
      <c r="U920" s="39"/>
      <c r="V920" s="39"/>
      <c r="W920" s="39"/>
      <c r="X920" s="39"/>
      <c r="Y920" s="39"/>
      <c r="Z920" s="39"/>
      <c r="AA920" s="39"/>
      <c r="AB920" s="39">
        <f t="shared" si="550"/>
        <v>0</v>
      </c>
      <c r="AC920" s="39"/>
      <c r="AD920" s="39"/>
      <c r="AE920" s="39"/>
      <c r="AF920" s="39"/>
      <c r="AG920" s="39"/>
      <c r="AH920" s="39">
        <f t="shared" si="483"/>
        <v>0</v>
      </c>
      <c r="AI920" s="39"/>
      <c r="AJ920" s="39"/>
      <c r="AK920" s="39"/>
      <c r="AL920" s="39"/>
      <c r="AM920" s="39"/>
      <c r="AN920" s="39">
        <f t="shared" si="522"/>
        <v>0</v>
      </c>
      <c r="AO920" s="39"/>
      <c r="AP920" s="39"/>
      <c r="AQ920" s="39"/>
      <c r="AR920" s="39"/>
      <c r="AS920" s="39"/>
      <c r="AT920" s="39">
        <f t="shared" si="539"/>
        <v>0</v>
      </c>
      <c r="AU920" s="39"/>
      <c r="AV920" s="39"/>
      <c r="AW920" s="39"/>
      <c r="AX920" s="39"/>
      <c r="AY920" s="39"/>
      <c r="AZ920" s="39">
        <f t="shared" si="540"/>
        <v>0</v>
      </c>
      <c r="BA920" s="39"/>
      <c r="BB920" s="39"/>
      <c r="BC920" s="39"/>
      <c r="BD920" s="39"/>
      <c r="BE920" s="39"/>
      <c r="BF920" s="39">
        <f t="shared" si="541"/>
        <v>0</v>
      </c>
      <c r="BG920" s="39"/>
      <c r="BH920" s="39"/>
      <c r="BI920" s="39"/>
      <c r="BJ920" s="39"/>
      <c r="BK920" s="39"/>
      <c r="BL920" s="39">
        <f t="shared" si="484"/>
        <v>0</v>
      </c>
      <c r="BM920" s="54" t="e">
        <f t="shared" si="542"/>
        <v>#DIV/0!</v>
      </c>
      <c r="BN920" s="67"/>
      <c r="BO920" s="39"/>
      <c r="BP920" s="39"/>
      <c r="BQ920" s="39"/>
      <c r="BR920" s="39"/>
      <c r="BS920" s="39"/>
      <c r="BT920" s="39"/>
      <c r="BU920" s="39"/>
      <c r="BV920" s="39"/>
      <c r="BW920" s="39"/>
      <c r="BX920" s="39"/>
      <c r="BY920" s="39"/>
      <c r="BZ920" s="39">
        <f t="shared" si="485"/>
        <v>0</v>
      </c>
      <c r="CA920" s="39">
        <f t="shared" si="543"/>
        <v>0</v>
      </c>
      <c r="CB920" s="39">
        <f t="shared" si="544"/>
        <v>0</v>
      </c>
      <c r="CC920" s="39">
        <f t="shared" si="545"/>
        <v>0</v>
      </c>
      <c r="CD920" s="39">
        <f t="shared" si="546"/>
        <v>0</v>
      </c>
      <c r="CE920" s="47" t="e">
        <f t="shared" si="547"/>
        <v>#DIV/0!</v>
      </c>
      <c r="CF920" s="36"/>
      <c r="CG920" s="39"/>
      <c r="CH920" s="39"/>
      <c r="CI920" s="25">
        <v>2</v>
      </c>
    </row>
    <row r="921" spans="1:87" ht="24.75" customHeight="1">
      <c r="A921" s="36" t="s">
        <v>494</v>
      </c>
      <c r="B921" s="55"/>
      <c r="C921" s="36"/>
      <c r="D921" s="36"/>
      <c r="E921" s="39"/>
      <c r="F921" s="39"/>
      <c r="G921" s="36"/>
      <c r="H921" s="36"/>
      <c r="I921" s="39"/>
      <c r="J921" s="39"/>
      <c r="K921" s="39"/>
      <c r="L921" s="39">
        <f>SUM(I921:K921)</f>
        <v>0</v>
      </c>
      <c r="M921" s="39"/>
      <c r="N921" s="39"/>
      <c r="O921" s="39"/>
      <c r="P921" s="39"/>
      <c r="Q921" s="39"/>
      <c r="R921" s="39">
        <f>SUM(O921:Q921)</f>
        <v>0</v>
      </c>
      <c r="S921" s="39"/>
      <c r="T921" s="39"/>
      <c r="U921" s="39"/>
      <c r="V921" s="39"/>
      <c r="W921" s="39"/>
      <c r="X921" s="39"/>
      <c r="Y921" s="39"/>
      <c r="Z921" s="39"/>
      <c r="AA921" s="39"/>
      <c r="AB921" s="39">
        <f>SUM(Y921:AA921)</f>
        <v>0</v>
      </c>
      <c r="AC921" s="39"/>
      <c r="AD921" s="39"/>
      <c r="AE921" s="39"/>
      <c r="AF921" s="39"/>
      <c r="AG921" s="39"/>
      <c r="AH921" s="39">
        <f t="shared" si="483"/>
        <v>0</v>
      </c>
      <c r="AI921" s="39"/>
      <c r="AJ921" s="39"/>
      <c r="AK921" s="39"/>
      <c r="AL921" s="39"/>
      <c r="AM921" s="39"/>
      <c r="AN921" s="39">
        <f t="shared" si="522"/>
        <v>0</v>
      </c>
      <c r="AO921" s="39"/>
      <c r="AP921" s="39"/>
      <c r="AQ921" s="39"/>
      <c r="AR921" s="39"/>
      <c r="AS921" s="39"/>
      <c r="AT921" s="39">
        <f t="shared" si="539"/>
        <v>0</v>
      </c>
      <c r="AU921" s="39"/>
      <c r="AV921" s="39"/>
      <c r="AW921" s="39"/>
      <c r="AX921" s="39"/>
      <c r="AY921" s="39"/>
      <c r="AZ921" s="39">
        <f t="shared" si="540"/>
        <v>0</v>
      </c>
      <c r="BA921" s="39"/>
      <c r="BB921" s="39"/>
      <c r="BC921" s="39"/>
      <c r="BD921" s="39"/>
      <c r="BE921" s="39"/>
      <c r="BF921" s="39">
        <f t="shared" si="541"/>
        <v>0</v>
      </c>
      <c r="BG921" s="39"/>
      <c r="BH921" s="39"/>
      <c r="BI921" s="39"/>
      <c r="BJ921" s="39"/>
      <c r="BK921" s="39"/>
      <c r="BL921" s="39">
        <f t="shared" si="484"/>
        <v>0</v>
      </c>
      <c r="BM921" s="54" t="e">
        <f t="shared" si="542"/>
        <v>#DIV/0!</v>
      </c>
      <c r="BN921" s="67"/>
      <c r="BO921" s="39"/>
      <c r="BP921" s="39"/>
      <c r="BQ921" s="39"/>
      <c r="BR921" s="39"/>
      <c r="BS921" s="39"/>
      <c r="BT921" s="39"/>
      <c r="BU921" s="39"/>
      <c r="BV921" s="39"/>
      <c r="BW921" s="39"/>
      <c r="BX921" s="39"/>
      <c r="BY921" s="39"/>
      <c r="BZ921" s="39">
        <f t="shared" si="485"/>
        <v>0</v>
      </c>
      <c r="CA921" s="39">
        <f t="shared" si="543"/>
        <v>0</v>
      </c>
      <c r="CB921" s="39">
        <f t="shared" si="544"/>
        <v>0</v>
      </c>
      <c r="CC921" s="39">
        <f t="shared" si="545"/>
        <v>0</v>
      </c>
      <c r="CD921" s="39">
        <f t="shared" si="546"/>
        <v>0</v>
      </c>
      <c r="CE921" s="47" t="e">
        <f t="shared" si="547"/>
        <v>#DIV/0!</v>
      </c>
      <c r="CF921" s="36"/>
      <c r="CG921" s="39"/>
      <c r="CH921" s="39"/>
      <c r="CI921" s="25">
        <v>2</v>
      </c>
    </row>
    <row r="922" spans="1:87" ht="24.75" customHeight="1">
      <c r="A922" s="36" t="s">
        <v>494</v>
      </c>
      <c r="B922" s="55"/>
      <c r="C922" s="36"/>
      <c r="D922" s="36"/>
      <c r="E922" s="39"/>
      <c r="F922" s="39"/>
      <c r="G922" s="36"/>
      <c r="H922" s="36"/>
      <c r="I922" s="39"/>
      <c r="J922" s="39"/>
      <c r="K922" s="39"/>
      <c r="L922" s="39">
        <f>SUM(I922:K922)</f>
        <v>0</v>
      </c>
      <c r="M922" s="39"/>
      <c r="N922" s="39"/>
      <c r="O922" s="39"/>
      <c r="P922" s="39"/>
      <c r="Q922" s="39"/>
      <c r="R922" s="39">
        <f>SUM(O922:Q922)</f>
        <v>0</v>
      </c>
      <c r="S922" s="39"/>
      <c r="T922" s="39"/>
      <c r="U922" s="39"/>
      <c r="V922" s="39"/>
      <c r="W922" s="39"/>
      <c r="X922" s="39"/>
      <c r="Y922" s="39"/>
      <c r="Z922" s="39"/>
      <c r="AA922" s="39"/>
      <c r="AB922" s="39">
        <f>SUM(Y922:AA922)</f>
        <v>0</v>
      </c>
      <c r="AC922" s="39"/>
      <c r="AD922" s="39"/>
      <c r="AE922" s="39"/>
      <c r="AF922" s="39"/>
      <c r="AG922" s="39"/>
      <c r="AH922" s="39">
        <f t="shared" si="483"/>
        <v>0</v>
      </c>
      <c r="AI922" s="39"/>
      <c r="AJ922" s="39"/>
      <c r="AK922" s="39"/>
      <c r="AL922" s="39"/>
      <c r="AM922" s="39"/>
      <c r="AN922" s="39">
        <f t="shared" si="522"/>
        <v>0</v>
      </c>
      <c r="AO922" s="39"/>
      <c r="AP922" s="39"/>
      <c r="AQ922" s="39"/>
      <c r="AR922" s="39"/>
      <c r="AS922" s="39"/>
      <c r="AT922" s="39">
        <f t="shared" si="539"/>
        <v>0</v>
      </c>
      <c r="AU922" s="39"/>
      <c r="AV922" s="39"/>
      <c r="AW922" s="39"/>
      <c r="AX922" s="39"/>
      <c r="AY922" s="39"/>
      <c r="AZ922" s="39">
        <f t="shared" si="540"/>
        <v>0</v>
      </c>
      <c r="BA922" s="39"/>
      <c r="BB922" s="39"/>
      <c r="BC922" s="39"/>
      <c r="BD922" s="39"/>
      <c r="BE922" s="39"/>
      <c r="BF922" s="39">
        <f t="shared" si="541"/>
        <v>0</v>
      </c>
      <c r="BG922" s="39"/>
      <c r="BH922" s="39"/>
      <c r="BI922" s="39"/>
      <c r="BJ922" s="39"/>
      <c r="BK922" s="39"/>
      <c r="BL922" s="39">
        <f t="shared" si="484"/>
        <v>0</v>
      </c>
      <c r="BM922" s="54" t="e">
        <f t="shared" si="542"/>
        <v>#DIV/0!</v>
      </c>
      <c r="BN922" s="67"/>
      <c r="BO922" s="39"/>
      <c r="BP922" s="39"/>
      <c r="BQ922" s="39"/>
      <c r="BR922" s="39"/>
      <c r="BS922" s="39"/>
      <c r="BT922" s="39"/>
      <c r="BU922" s="39"/>
      <c r="BV922" s="39"/>
      <c r="BW922" s="39"/>
      <c r="BX922" s="39"/>
      <c r="BY922" s="39"/>
      <c r="BZ922" s="39">
        <f t="shared" si="485"/>
        <v>0</v>
      </c>
      <c r="CA922" s="39">
        <f t="shared" si="543"/>
        <v>0</v>
      </c>
      <c r="CB922" s="39">
        <f t="shared" si="544"/>
        <v>0</v>
      </c>
      <c r="CC922" s="39">
        <f t="shared" si="545"/>
        <v>0</v>
      </c>
      <c r="CD922" s="39">
        <f t="shared" si="546"/>
        <v>0</v>
      </c>
      <c r="CE922" s="47" t="e">
        <f t="shared" si="547"/>
        <v>#DIV/0!</v>
      </c>
      <c r="CF922" s="36"/>
      <c r="CG922" s="39"/>
      <c r="CH922" s="39"/>
      <c r="CI922" s="25">
        <v>2</v>
      </c>
    </row>
    <row r="923" spans="1:87" ht="24.75" customHeight="1">
      <c r="A923" s="36" t="s">
        <v>494</v>
      </c>
      <c r="B923" s="55"/>
      <c r="C923" s="36"/>
      <c r="D923" s="36"/>
      <c r="E923" s="39"/>
      <c r="F923" s="39"/>
      <c r="G923" s="36"/>
      <c r="H923" s="36"/>
      <c r="I923" s="39"/>
      <c r="J923" s="39"/>
      <c r="K923" s="39"/>
      <c r="L923" s="39">
        <f>SUM(I923:K923)</f>
        <v>0</v>
      </c>
      <c r="M923" s="39"/>
      <c r="N923" s="39"/>
      <c r="O923" s="39"/>
      <c r="P923" s="39"/>
      <c r="Q923" s="39"/>
      <c r="R923" s="39">
        <f>SUM(O923:Q923)</f>
        <v>0</v>
      </c>
      <c r="S923" s="39"/>
      <c r="T923" s="39"/>
      <c r="U923" s="39"/>
      <c r="V923" s="39"/>
      <c r="W923" s="39"/>
      <c r="X923" s="39"/>
      <c r="Y923" s="39"/>
      <c r="Z923" s="39"/>
      <c r="AA923" s="39"/>
      <c r="AB923" s="39">
        <f>SUM(Y923:AA923)</f>
        <v>0</v>
      </c>
      <c r="AC923" s="39"/>
      <c r="AD923" s="39"/>
      <c r="AE923" s="39"/>
      <c r="AF923" s="39"/>
      <c r="AG923" s="39"/>
      <c r="AH923" s="39">
        <f t="shared" si="483"/>
        <v>0</v>
      </c>
      <c r="AI923" s="39"/>
      <c r="AJ923" s="39"/>
      <c r="AK923" s="39"/>
      <c r="AL923" s="39"/>
      <c r="AM923" s="39"/>
      <c r="AN923" s="39">
        <f t="shared" si="522"/>
        <v>0</v>
      </c>
      <c r="AO923" s="39"/>
      <c r="AP923" s="39"/>
      <c r="AQ923" s="39"/>
      <c r="AR923" s="39"/>
      <c r="AS923" s="39"/>
      <c r="AT923" s="39">
        <f t="shared" si="539"/>
        <v>0</v>
      </c>
      <c r="AU923" s="39"/>
      <c r="AV923" s="39"/>
      <c r="AW923" s="39"/>
      <c r="AX923" s="39"/>
      <c r="AY923" s="39"/>
      <c r="AZ923" s="39">
        <f t="shared" si="540"/>
        <v>0</v>
      </c>
      <c r="BA923" s="39"/>
      <c r="BB923" s="39"/>
      <c r="BC923" s="39"/>
      <c r="BD923" s="39"/>
      <c r="BE923" s="39"/>
      <c r="BF923" s="39">
        <f t="shared" si="541"/>
        <v>0</v>
      </c>
      <c r="BG923" s="39"/>
      <c r="BH923" s="39"/>
      <c r="BI923" s="39"/>
      <c r="BJ923" s="39"/>
      <c r="BK923" s="39"/>
      <c r="BL923" s="39">
        <f t="shared" si="484"/>
        <v>0</v>
      </c>
      <c r="BM923" s="54" t="e">
        <f t="shared" si="542"/>
        <v>#DIV/0!</v>
      </c>
      <c r="BN923" s="67"/>
      <c r="BO923" s="39"/>
      <c r="BP923" s="39"/>
      <c r="BQ923" s="39"/>
      <c r="BR923" s="39"/>
      <c r="BS923" s="39"/>
      <c r="BT923" s="39"/>
      <c r="BU923" s="39"/>
      <c r="BV923" s="39"/>
      <c r="BW923" s="39"/>
      <c r="BX923" s="39"/>
      <c r="BY923" s="39"/>
      <c r="BZ923" s="39">
        <f t="shared" si="485"/>
        <v>0</v>
      </c>
      <c r="CA923" s="39">
        <f t="shared" si="543"/>
        <v>0</v>
      </c>
      <c r="CB923" s="39">
        <f t="shared" si="544"/>
        <v>0</v>
      </c>
      <c r="CC923" s="39">
        <f t="shared" si="545"/>
        <v>0</v>
      </c>
      <c r="CD923" s="39">
        <f t="shared" si="546"/>
        <v>0</v>
      </c>
      <c r="CE923" s="47" t="e">
        <f t="shared" si="547"/>
        <v>#DIV/0!</v>
      </c>
      <c r="CF923" s="36"/>
      <c r="CG923" s="39"/>
      <c r="CH923" s="39"/>
      <c r="CI923" s="25">
        <v>2</v>
      </c>
    </row>
    <row r="924" spans="1:87" ht="24.75" customHeight="1">
      <c r="A924" s="36" t="s">
        <v>494</v>
      </c>
      <c r="B924" s="55"/>
      <c r="C924" s="36"/>
      <c r="D924" s="36"/>
      <c r="E924" s="39"/>
      <c r="F924" s="39"/>
      <c r="G924" s="36"/>
      <c r="H924" s="36"/>
      <c r="I924" s="39"/>
      <c r="J924" s="39"/>
      <c r="K924" s="39"/>
      <c r="L924" s="39">
        <f t="shared" ref="L924:L928" si="551">SUM(I924:K924)</f>
        <v>0</v>
      </c>
      <c r="M924" s="39"/>
      <c r="N924" s="39"/>
      <c r="O924" s="39"/>
      <c r="P924" s="39"/>
      <c r="Q924" s="39"/>
      <c r="R924" s="39">
        <f t="shared" ref="R924:R928" si="552">SUM(O924:Q924)</f>
        <v>0</v>
      </c>
      <c r="S924" s="39"/>
      <c r="T924" s="39"/>
      <c r="U924" s="39"/>
      <c r="V924" s="39"/>
      <c r="W924" s="39"/>
      <c r="X924" s="39"/>
      <c r="Y924" s="39"/>
      <c r="Z924" s="39"/>
      <c r="AA924" s="39"/>
      <c r="AB924" s="39">
        <f t="shared" ref="AB924:AB928" si="553">SUM(Y924:AA924)</f>
        <v>0</v>
      </c>
      <c r="AC924" s="39"/>
      <c r="AD924" s="39"/>
      <c r="AE924" s="39"/>
      <c r="AF924" s="39"/>
      <c r="AG924" s="39"/>
      <c r="AH924" s="39">
        <f t="shared" si="483"/>
        <v>0</v>
      </c>
      <c r="AI924" s="39"/>
      <c r="AJ924" s="39"/>
      <c r="AK924" s="39"/>
      <c r="AL924" s="39"/>
      <c r="AM924" s="39"/>
      <c r="AN924" s="39">
        <f t="shared" si="522"/>
        <v>0</v>
      </c>
      <c r="AO924" s="39"/>
      <c r="AP924" s="39"/>
      <c r="AQ924" s="39"/>
      <c r="AR924" s="39"/>
      <c r="AS924" s="39"/>
      <c r="AT924" s="39">
        <f t="shared" si="539"/>
        <v>0</v>
      </c>
      <c r="AU924" s="39"/>
      <c r="AV924" s="39"/>
      <c r="AW924" s="39"/>
      <c r="AX924" s="39"/>
      <c r="AY924" s="39"/>
      <c r="AZ924" s="39">
        <f t="shared" si="540"/>
        <v>0</v>
      </c>
      <c r="BA924" s="39"/>
      <c r="BB924" s="39"/>
      <c r="BC924" s="39"/>
      <c r="BD924" s="39"/>
      <c r="BE924" s="39"/>
      <c r="BF924" s="39">
        <f t="shared" si="541"/>
        <v>0</v>
      </c>
      <c r="BG924" s="39"/>
      <c r="BH924" s="39"/>
      <c r="BI924" s="39"/>
      <c r="BJ924" s="39"/>
      <c r="BK924" s="39"/>
      <c r="BL924" s="39">
        <f t="shared" si="484"/>
        <v>0</v>
      </c>
      <c r="BM924" s="54" t="e">
        <f t="shared" si="542"/>
        <v>#DIV/0!</v>
      </c>
      <c r="BN924" s="63"/>
      <c r="BO924" s="39"/>
      <c r="BP924" s="39"/>
      <c r="BQ924" s="39"/>
      <c r="BR924" s="39"/>
      <c r="BS924" s="39"/>
      <c r="BT924" s="39"/>
      <c r="BU924" s="39"/>
      <c r="BV924" s="39"/>
      <c r="BW924" s="39"/>
      <c r="BX924" s="39"/>
      <c r="BY924" s="39"/>
      <c r="BZ924" s="39">
        <f t="shared" si="485"/>
        <v>0</v>
      </c>
      <c r="CA924" s="39">
        <f t="shared" si="543"/>
        <v>0</v>
      </c>
      <c r="CB924" s="39">
        <f t="shared" si="544"/>
        <v>0</v>
      </c>
      <c r="CC924" s="39">
        <f t="shared" si="545"/>
        <v>0</v>
      </c>
      <c r="CD924" s="39">
        <f t="shared" si="546"/>
        <v>0</v>
      </c>
      <c r="CE924" s="47" t="e">
        <f t="shared" si="547"/>
        <v>#DIV/0!</v>
      </c>
      <c r="CF924" s="36"/>
      <c r="CG924" s="39"/>
      <c r="CH924" s="39"/>
      <c r="CI924" s="25">
        <v>3</v>
      </c>
    </row>
    <row r="925" spans="1:87" ht="24.75" customHeight="1">
      <c r="A925" s="36" t="s">
        <v>494</v>
      </c>
      <c r="B925" s="55"/>
      <c r="C925" s="36"/>
      <c r="D925" s="36"/>
      <c r="E925" s="39"/>
      <c r="F925" s="39"/>
      <c r="G925" s="36"/>
      <c r="H925" s="36"/>
      <c r="I925" s="39"/>
      <c r="J925" s="39"/>
      <c r="K925" s="39"/>
      <c r="L925" s="39">
        <f t="shared" si="551"/>
        <v>0</v>
      </c>
      <c r="M925" s="39"/>
      <c r="N925" s="39"/>
      <c r="O925" s="39"/>
      <c r="P925" s="39"/>
      <c r="Q925" s="39"/>
      <c r="R925" s="39">
        <f t="shared" si="552"/>
        <v>0</v>
      </c>
      <c r="S925" s="39"/>
      <c r="T925" s="39"/>
      <c r="U925" s="39"/>
      <c r="V925" s="39"/>
      <c r="W925" s="39"/>
      <c r="X925" s="39"/>
      <c r="Y925" s="39"/>
      <c r="Z925" s="39"/>
      <c r="AA925" s="39"/>
      <c r="AB925" s="39">
        <f t="shared" si="553"/>
        <v>0</v>
      </c>
      <c r="AC925" s="39"/>
      <c r="AD925" s="39"/>
      <c r="AE925" s="39"/>
      <c r="AF925" s="39"/>
      <c r="AG925" s="39"/>
      <c r="AH925" s="39">
        <f t="shared" si="483"/>
        <v>0</v>
      </c>
      <c r="AI925" s="39"/>
      <c r="AJ925" s="39"/>
      <c r="AK925" s="39"/>
      <c r="AL925" s="39"/>
      <c r="AM925" s="39"/>
      <c r="AN925" s="39">
        <f t="shared" si="522"/>
        <v>0</v>
      </c>
      <c r="AO925" s="39"/>
      <c r="AP925" s="39"/>
      <c r="AQ925" s="39"/>
      <c r="AR925" s="39"/>
      <c r="AS925" s="39"/>
      <c r="AT925" s="39">
        <f t="shared" si="539"/>
        <v>0</v>
      </c>
      <c r="AU925" s="39"/>
      <c r="AV925" s="39"/>
      <c r="AW925" s="39"/>
      <c r="AX925" s="39"/>
      <c r="AY925" s="39"/>
      <c r="AZ925" s="39">
        <f t="shared" si="540"/>
        <v>0</v>
      </c>
      <c r="BA925" s="39"/>
      <c r="BB925" s="39"/>
      <c r="BC925" s="39"/>
      <c r="BD925" s="39"/>
      <c r="BE925" s="39"/>
      <c r="BF925" s="39">
        <f t="shared" si="541"/>
        <v>0</v>
      </c>
      <c r="BG925" s="39"/>
      <c r="BH925" s="39"/>
      <c r="BI925" s="39"/>
      <c r="BJ925" s="39"/>
      <c r="BK925" s="39"/>
      <c r="BL925" s="39">
        <f t="shared" si="484"/>
        <v>0</v>
      </c>
      <c r="BM925" s="54" t="e">
        <f t="shared" si="542"/>
        <v>#DIV/0!</v>
      </c>
      <c r="BN925" s="63"/>
      <c r="BO925" s="39"/>
      <c r="BP925" s="39"/>
      <c r="BQ925" s="39"/>
      <c r="BR925" s="39"/>
      <c r="BS925" s="39"/>
      <c r="BT925" s="39"/>
      <c r="BU925" s="39"/>
      <c r="BV925" s="39"/>
      <c r="BW925" s="39"/>
      <c r="BX925" s="39"/>
      <c r="BY925" s="39"/>
      <c r="BZ925" s="39">
        <f t="shared" si="485"/>
        <v>0</v>
      </c>
      <c r="CA925" s="39">
        <f t="shared" si="543"/>
        <v>0</v>
      </c>
      <c r="CB925" s="39">
        <f t="shared" si="544"/>
        <v>0</v>
      </c>
      <c r="CC925" s="39">
        <f t="shared" si="545"/>
        <v>0</v>
      </c>
      <c r="CD925" s="39">
        <f t="shared" si="546"/>
        <v>0</v>
      </c>
      <c r="CE925" s="47" t="e">
        <f t="shared" si="547"/>
        <v>#DIV/0!</v>
      </c>
      <c r="CF925" s="36"/>
      <c r="CG925" s="39"/>
      <c r="CH925" s="39"/>
      <c r="CI925" s="25">
        <v>3</v>
      </c>
    </row>
    <row r="926" spans="1:87" ht="24.75" customHeight="1">
      <c r="A926" s="36" t="s">
        <v>494</v>
      </c>
      <c r="B926" s="55"/>
      <c r="C926" s="36"/>
      <c r="D926" s="36"/>
      <c r="E926" s="39"/>
      <c r="F926" s="39"/>
      <c r="G926" s="36"/>
      <c r="H926" s="36"/>
      <c r="I926" s="39"/>
      <c r="J926" s="39"/>
      <c r="K926" s="39"/>
      <c r="L926" s="39">
        <f t="shared" si="551"/>
        <v>0</v>
      </c>
      <c r="M926" s="39"/>
      <c r="N926" s="39"/>
      <c r="O926" s="39"/>
      <c r="P926" s="39"/>
      <c r="Q926" s="39"/>
      <c r="R926" s="39">
        <f t="shared" si="552"/>
        <v>0</v>
      </c>
      <c r="S926" s="39"/>
      <c r="T926" s="39"/>
      <c r="U926" s="39"/>
      <c r="V926" s="39"/>
      <c r="W926" s="39"/>
      <c r="X926" s="39"/>
      <c r="Y926" s="39"/>
      <c r="Z926" s="39"/>
      <c r="AA926" s="39"/>
      <c r="AB926" s="39">
        <f t="shared" si="553"/>
        <v>0</v>
      </c>
      <c r="AC926" s="39"/>
      <c r="AD926" s="39"/>
      <c r="AE926" s="39"/>
      <c r="AF926" s="39"/>
      <c r="AG926" s="39"/>
      <c r="AH926" s="39">
        <f t="shared" si="483"/>
        <v>0</v>
      </c>
      <c r="AI926" s="39"/>
      <c r="AJ926" s="39"/>
      <c r="AK926" s="39"/>
      <c r="AL926" s="39"/>
      <c r="AM926" s="39"/>
      <c r="AN926" s="39">
        <f t="shared" si="522"/>
        <v>0</v>
      </c>
      <c r="AO926" s="39"/>
      <c r="AP926" s="39"/>
      <c r="AQ926" s="39"/>
      <c r="AR926" s="39"/>
      <c r="AS926" s="39"/>
      <c r="AT926" s="39">
        <f t="shared" si="539"/>
        <v>0</v>
      </c>
      <c r="AU926" s="39"/>
      <c r="AV926" s="39"/>
      <c r="AW926" s="39"/>
      <c r="AX926" s="39"/>
      <c r="AY926" s="39"/>
      <c r="AZ926" s="39">
        <f t="shared" si="540"/>
        <v>0</v>
      </c>
      <c r="BA926" s="39"/>
      <c r="BB926" s="39"/>
      <c r="BC926" s="39"/>
      <c r="BD926" s="39"/>
      <c r="BE926" s="39"/>
      <c r="BF926" s="39">
        <f t="shared" si="541"/>
        <v>0</v>
      </c>
      <c r="BG926" s="39"/>
      <c r="BH926" s="39"/>
      <c r="BI926" s="39"/>
      <c r="BJ926" s="39"/>
      <c r="BK926" s="39"/>
      <c r="BL926" s="39">
        <f t="shared" si="484"/>
        <v>0</v>
      </c>
      <c r="BM926" s="54" t="e">
        <f t="shared" si="542"/>
        <v>#DIV/0!</v>
      </c>
      <c r="BN926" s="63"/>
      <c r="BO926" s="39"/>
      <c r="BP926" s="39"/>
      <c r="BQ926" s="39"/>
      <c r="BR926" s="39"/>
      <c r="BS926" s="39"/>
      <c r="BT926" s="39"/>
      <c r="BU926" s="39"/>
      <c r="BV926" s="39"/>
      <c r="BW926" s="39"/>
      <c r="BX926" s="39"/>
      <c r="BY926" s="39"/>
      <c r="BZ926" s="39">
        <f t="shared" si="485"/>
        <v>0</v>
      </c>
      <c r="CA926" s="39">
        <f t="shared" si="543"/>
        <v>0</v>
      </c>
      <c r="CB926" s="39">
        <f t="shared" si="544"/>
        <v>0</v>
      </c>
      <c r="CC926" s="39">
        <f t="shared" si="545"/>
        <v>0</v>
      </c>
      <c r="CD926" s="39">
        <f t="shared" si="546"/>
        <v>0</v>
      </c>
      <c r="CE926" s="47" t="e">
        <f t="shared" si="547"/>
        <v>#DIV/0!</v>
      </c>
      <c r="CF926" s="36"/>
      <c r="CG926" s="39"/>
      <c r="CH926" s="39"/>
      <c r="CI926" s="25">
        <v>3</v>
      </c>
    </row>
    <row r="927" spans="1:87" ht="24.75" customHeight="1">
      <c r="A927" s="36" t="s">
        <v>494</v>
      </c>
      <c r="B927" s="55"/>
      <c r="C927" s="36"/>
      <c r="D927" s="36"/>
      <c r="E927" s="39"/>
      <c r="F927" s="39"/>
      <c r="G927" s="36"/>
      <c r="H927" s="36"/>
      <c r="I927" s="39"/>
      <c r="J927" s="39"/>
      <c r="K927" s="39"/>
      <c r="L927" s="39">
        <f t="shared" si="551"/>
        <v>0</v>
      </c>
      <c r="M927" s="39"/>
      <c r="N927" s="39"/>
      <c r="O927" s="39"/>
      <c r="P927" s="39"/>
      <c r="Q927" s="39"/>
      <c r="R927" s="39">
        <f t="shared" si="552"/>
        <v>0</v>
      </c>
      <c r="S927" s="39"/>
      <c r="T927" s="39"/>
      <c r="U927" s="39"/>
      <c r="V927" s="39"/>
      <c r="W927" s="39"/>
      <c r="X927" s="39"/>
      <c r="Y927" s="39"/>
      <c r="Z927" s="39"/>
      <c r="AA927" s="39"/>
      <c r="AB927" s="39">
        <f t="shared" si="553"/>
        <v>0</v>
      </c>
      <c r="AC927" s="39"/>
      <c r="AD927" s="39"/>
      <c r="AE927" s="39"/>
      <c r="AF927" s="39"/>
      <c r="AG927" s="39"/>
      <c r="AH927" s="39">
        <f t="shared" si="483"/>
        <v>0</v>
      </c>
      <c r="AI927" s="39"/>
      <c r="AJ927" s="39"/>
      <c r="AK927" s="39"/>
      <c r="AL927" s="39"/>
      <c r="AM927" s="39"/>
      <c r="AN927" s="39">
        <f t="shared" si="522"/>
        <v>0</v>
      </c>
      <c r="AO927" s="39"/>
      <c r="AP927" s="39"/>
      <c r="AQ927" s="39"/>
      <c r="AR927" s="39"/>
      <c r="AS927" s="39"/>
      <c r="AT927" s="39">
        <f t="shared" si="539"/>
        <v>0</v>
      </c>
      <c r="AU927" s="39"/>
      <c r="AV927" s="39"/>
      <c r="AW927" s="39"/>
      <c r="AX927" s="39"/>
      <c r="AY927" s="39"/>
      <c r="AZ927" s="39">
        <f t="shared" si="540"/>
        <v>0</v>
      </c>
      <c r="BA927" s="39"/>
      <c r="BB927" s="39"/>
      <c r="BC927" s="39"/>
      <c r="BD927" s="39"/>
      <c r="BE927" s="39"/>
      <c r="BF927" s="39">
        <f t="shared" si="541"/>
        <v>0</v>
      </c>
      <c r="BG927" s="39"/>
      <c r="BH927" s="39"/>
      <c r="BI927" s="39"/>
      <c r="BJ927" s="39"/>
      <c r="BK927" s="39"/>
      <c r="BL927" s="39">
        <f t="shared" si="484"/>
        <v>0</v>
      </c>
      <c r="BM927" s="54" t="e">
        <f t="shared" si="542"/>
        <v>#DIV/0!</v>
      </c>
      <c r="BN927" s="63"/>
      <c r="BO927" s="39"/>
      <c r="BP927" s="39"/>
      <c r="BQ927" s="39"/>
      <c r="BR927" s="39"/>
      <c r="BS927" s="39"/>
      <c r="BT927" s="39"/>
      <c r="BU927" s="39"/>
      <c r="BV927" s="39"/>
      <c r="BW927" s="39"/>
      <c r="BX927" s="39"/>
      <c r="BY927" s="39"/>
      <c r="BZ927" s="39">
        <f t="shared" si="485"/>
        <v>0</v>
      </c>
      <c r="CA927" s="39">
        <f t="shared" si="543"/>
        <v>0</v>
      </c>
      <c r="CB927" s="39">
        <f t="shared" si="544"/>
        <v>0</v>
      </c>
      <c r="CC927" s="39">
        <f t="shared" si="545"/>
        <v>0</v>
      </c>
      <c r="CD927" s="39">
        <f t="shared" si="546"/>
        <v>0</v>
      </c>
      <c r="CE927" s="47" t="e">
        <f t="shared" si="547"/>
        <v>#DIV/0!</v>
      </c>
      <c r="CF927" s="36"/>
      <c r="CG927" s="39"/>
      <c r="CH927" s="39"/>
      <c r="CI927" s="25">
        <v>3</v>
      </c>
    </row>
    <row r="928" spans="1:87" ht="24.75" customHeight="1">
      <c r="A928" s="36" t="s">
        <v>494</v>
      </c>
      <c r="B928" s="55"/>
      <c r="C928" s="36"/>
      <c r="D928" s="36"/>
      <c r="E928" s="39"/>
      <c r="F928" s="39"/>
      <c r="G928" s="36"/>
      <c r="H928" s="36"/>
      <c r="I928" s="39"/>
      <c r="J928" s="39"/>
      <c r="K928" s="39"/>
      <c r="L928" s="39">
        <f t="shared" si="551"/>
        <v>0</v>
      </c>
      <c r="M928" s="39"/>
      <c r="N928" s="39"/>
      <c r="O928" s="39"/>
      <c r="P928" s="39"/>
      <c r="Q928" s="39"/>
      <c r="R928" s="39">
        <f t="shared" si="552"/>
        <v>0</v>
      </c>
      <c r="S928" s="39"/>
      <c r="T928" s="39"/>
      <c r="U928" s="39"/>
      <c r="V928" s="39"/>
      <c r="W928" s="39"/>
      <c r="X928" s="39"/>
      <c r="Y928" s="39"/>
      <c r="Z928" s="39"/>
      <c r="AA928" s="39"/>
      <c r="AB928" s="39">
        <f t="shared" si="553"/>
        <v>0</v>
      </c>
      <c r="AC928" s="39"/>
      <c r="AD928" s="39"/>
      <c r="AE928" s="39"/>
      <c r="AF928" s="39"/>
      <c r="AG928" s="39"/>
      <c r="AH928" s="39">
        <f t="shared" si="483"/>
        <v>0</v>
      </c>
      <c r="AI928" s="39"/>
      <c r="AJ928" s="39"/>
      <c r="AK928" s="39"/>
      <c r="AL928" s="39"/>
      <c r="AM928" s="39"/>
      <c r="AN928" s="39">
        <f t="shared" si="522"/>
        <v>0</v>
      </c>
      <c r="AO928" s="39"/>
      <c r="AP928" s="39"/>
      <c r="AQ928" s="39"/>
      <c r="AR928" s="39"/>
      <c r="AS928" s="39"/>
      <c r="AT928" s="39">
        <f t="shared" si="539"/>
        <v>0</v>
      </c>
      <c r="AU928" s="39"/>
      <c r="AV928" s="39"/>
      <c r="AW928" s="39"/>
      <c r="AX928" s="39"/>
      <c r="AY928" s="39"/>
      <c r="AZ928" s="39">
        <f t="shared" si="540"/>
        <v>0</v>
      </c>
      <c r="BA928" s="39"/>
      <c r="BB928" s="39"/>
      <c r="BC928" s="39"/>
      <c r="BD928" s="39"/>
      <c r="BE928" s="39"/>
      <c r="BF928" s="39">
        <f t="shared" si="541"/>
        <v>0</v>
      </c>
      <c r="BG928" s="39"/>
      <c r="BH928" s="39"/>
      <c r="BI928" s="39"/>
      <c r="BJ928" s="39"/>
      <c r="BK928" s="39"/>
      <c r="BL928" s="39">
        <f t="shared" si="484"/>
        <v>0</v>
      </c>
      <c r="BM928" s="54" t="e">
        <f t="shared" si="542"/>
        <v>#DIV/0!</v>
      </c>
      <c r="BN928" s="63"/>
      <c r="BO928" s="39"/>
      <c r="BP928" s="39"/>
      <c r="BQ928" s="39"/>
      <c r="BR928" s="39"/>
      <c r="BS928" s="39"/>
      <c r="BT928" s="39"/>
      <c r="BU928" s="39"/>
      <c r="BV928" s="39"/>
      <c r="BW928" s="39"/>
      <c r="BX928" s="39"/>
      <c r="BY928" s="39"/>
      <c r="BZ928" s="39">
        <f t="shared" si="485"/>
        <v>0</v>
      </c>
      <c r="CA928" s="39">
        <f t="shared" si="543"/>
        <v>0</v>
      </c>
      <c r="CB928" s="39">
        <f t="shared" si="544"/>
        <v>0</v>
      </c>
      <c r="CC928" s="39">
        <f t="shared" si="545"/>
        <v>0</v>
      </c>
      <c r="CD928" s="39">
        <f t="shared" si="546"/>
        <v>0</v>
      </c>
      <c r="CE928" s="47" t="e">
        <f t="shared" si="547"/>
        <v>#DIV/0!</v>
      </c>
      <c r="CF928" s="36"/>
      <c r="CG928" s="39"/>
      <c r="CH928" s="39"/>
      <c r="CI928" s="25">
        <v>3</v>
      </c>
    </row>
    <row r="929" spans="1:88" ht="24.75" customHeight="1">
      <c r="A929" s="39" t="s">
        <v>128</v>
      </c>
      <c r="B929" s="55"/>
      <c r="C929" s="36"/>
      <c r="D929" s="36"/>
      <c r="E929" s="39"/>
      <c r="F929" s="39"/>
      <c r="G929" s="36"/>
      <c r="H929" s="39"/>
      <c r="I929" s="39"/>
      <c r="J929" s="39"/>
      <c r="K929" s="39"/>
      <c r="L929" s="39">
        <f>SUM(I929:K929)</f>
        <v>0</v>
      </c>
      <c r="M929" s="39"/>
      <c r="N929" s="39"/>
      <c r="O929" s="39"/>
      <c r="P929" s="39"/>
      <c r="Q929" s="39"/>
      <c r="R929" s="39">
        <f>SUM(O929:Q929)</f>
        <v>0</v>
      </c>
      <c r="S929" s="39"/>
      <c r="T929" s="39"/>
      <c r="U929" s="39"/>
      <c r="V929" s="39"/>
      <c r="W929" s="39"/>
      <c r="X929" s="39"/>
      <c r="Y929" s="39"/>
      <c r="Z929" s="39"/>
      <c r="AA929" s="39"/>
      <c r="AB929" s="39">
        <f>SUM(Y929:AA929)</f>
        <v>0</v>
      </c>
      <c r="AC929" s="39"/>
      <c r="AD929" s="39"/>
      <c r="AE929" s="39"/>
      <c r="AF929" s="39"/>
      <c r="AG929" s="39"/>
      <c r="AH929" s="39">
        <f>AG929-AE929</f>
        <v>0</v>
      </c>
      <c r="AI929" s="39"/>
      <c r="AJ929" s="39"/>
      <c r="AK929" s="39"/>
      <c r="AL929" s="39"/>
      <c r="AM929" s="39"/>
      <c r="AN929" s="39">
        <f t="shared" si="522"/>
        <v>0</v>
      </c>
      <c r="AO929" s="39"/>
      <c r="AP929" s="39"/>
      <c r="AQ929" s="39"/>
      <c r="AR929" s="39"/>
      <c r="AS929" s="39"/>
      <c r="AT929" s="39">
        <f t="shared" si="539"/>
        <v>0</v>
      </c>
      <c r="AU929" s="39"/>
      <c r="AV929" s="39"/>
      <c r="AW929" s="39"/>
      <c r="AX929" s="39"/>
      <c r="AY929" s="39"/>
      <c r="AZ929" s="39">
        <f t="shared" si="540"/>
        <v>0</v>
      </c>
      <c r="BA929" s="39"/>
      <c r="BB929" s="39"/>
      <c r="BC929" s="39"/>
      <c r="BD929" s="39"/>
      <c r="BE929" s="39"/>
      <c r="BF929" s="39">
        <f t="shared" si="541"/>
        <v>0</v>
      </c>
      <c r="BG929" s="39"/>
      <c r="BH929" s="39"/>
      <c r="BI929" s="39"/>
      <c r="BJ929" s="39"/>
      <c r="BK929" s="39"/>
      <c r="BL929" s="39">
        <f>BK929-BI929</f>
        <v>0</v>
      </c>
      <c r="BM929" s="54" t="e">
        <f t="shared" si="542"/>
        <v>#DIV/0!</v>
      </c>
      <c r="BN929" s="42"/>
      <c r="BO929" s="39"/>
      <c r="BP929" s="39"/>
      <c r="BQ929" s="39"/>
      <c r="BR929" s="39"/>
      <c r="BS929" s="39"/>
      <c r="BT929" s="39"/>
      <c r="BU929" s="39"/>
      <c r="BV929" s="39"/>
      <c r="BW929" s="39"/>
      <c r="BX929" s="39"/>
      <c r="BY929" s="39"/>
      <c r="BZ929" s="39">
        <f>BU929+BW929+BY929</f>
        <v>0</v>
      </c>
      <c r="CA929" s="39">
        <f t="shared" si="543"/>
        <v>0</v>
      </c>
      <c r="CB929" s="39">
        <f t="shared" si="544"/>
        <v>0</v>
      </c>
      <c r="CC929" s="39">
        <f t="shared" si="545"/>
        <v>0</v>
      </c>
      <c r="CD929" s="39">
        <f>SUMIF(CA929:CC929,"&lt;0")</f>
        <v>0</v>
      </c>
      <c r="CE929" s="47" t="e">
        <f t="shared" si="547"/>
        <v>#DIV/0!</v>
      </c>
      <c r="CF929" s="36"/>
      <c r="CG929" s="39"/>
      <c r="CH929" s="39"/>
      <c r="CI929" s="25">
        <v>1</v>
      </c>
    </row>
    <row r="930" spans="1:88" ht="24.75" customHeight="1">
      <c r="A930" s="39" t="s">
        <v>128</v>
      </c>
      <c r="B930" s="55"/>
      <c r="C930" s="36"/>
      <c r="D930" s="36"/>
      <c r="E930" s="39"/>
      <c r="F930" s="39"/>
      <c r="G930" s="36"/>
      <c r="H930" s="39"/>
      <c r="I930" s="39"/>
      <c r="J930" s="39"/>
      <c r="K930" s="39"/>
      <c r="L930" s="39">
        <f>SUM(I930:K930)</f>
        <v>0</v>
      </c>
      <c r="M930" s="39"/>
      <c r="N930" s="39"/>
      <c r="O930" s="39"/>
      <c r="P930" s="39"/>
      <c r="Q930" s="39"/>
      <c r="R930" s="39">
        <f>SUM(O930:Q930)</f>
        <v>0</v>
      </c>
      <c r="S930" s="39"/>
      <c r="T930" s="39"/>
      <c r="U930" s="39"/>
      <c r="V930" s="39"/>
      <c r="W930" s="39"/>
      <c r="X930" s="39"/>
      <c r="Y930" s="39"/>
      <c r="Z930" s="39"/>
      <c r="AA930" s="39"/>
      <c r="AB930" s="39">
        <f>SUM(Y930:AA930)</f>
        <v>0</v>
      </c>
      <c r="AC930" s="39"/>
      <c r="AD930" s="39"/>
      <c r="AE930" s="39"/>
      <c r="AF930" s="39"/>
      <c r="AG930" s="39"/>
      <c r="AH930" s="39">
        <f>AG930-AE930</f>
        <v>0</v>
      </c>
      <c r="AI930" s="39"/>
      <c r="AJ930" s="39"/>
      <c r="AK930" s="39"/>
      <c r="AL930" s="39"/>
      <c r="AM930" s="39"/>
      <c r="AN930" s="39">
        <f t="shared" si="522"/>
        <v>0</v>
      </c>
      <c r="AO930" s="39"/>
      <c r="AP930" s="39"/>
      <c r="AQ930" s="39"/>
      <c r="AR930" s="39"/>
      <c r="AS930" s="39"/>
      <c r="AT930" s="39">
        <f t="shared" si="539"/>
        <v>0</v>
      </c>
      <c r="AU930" s="39"/>
      <c r="AV930" s="39"/>
      <c r="AW930" s="39"/>
      <c r="AX930" s="39"/>
      <c r="AY930" s="39"/>
      <c r="AZ930" s="39">
        <f t="shared" si="540"/>
        <v>0</v>
      </c>
      <c r="BA930" s="39"/>
      <c r="BB930" s="39"/>
      <c r="BC930" s="39"/>
      <c r="BD930" s="39"/>
      <c r="BE930" s="39"/>
      <c r="BF930" s="39">
        <f t="shared" si="541"/>
        <v>0</v>
      </c>
      <c r="BG930" s="39"/>
      <c r="BH930" s="39"/>
      <c r="BI930" s="39"/>
      <c r="BJ930" s="39"/>
      <c r="BK930" s="39"/>
      <c r="BL930" s="39">
        <f>BK930-BI930</f>
        <v>0</v>
      </c>
      <c r="BM930" s="54" t="e">
        <f t="shared" si="542"/>
        <v>#DIV/0!</v>
      </c>
      <c r="BN930" s="42"/>
      <c r="BO930" s="39"/>
      <c r="BP930" s="39"/>
      <c r="BQ930" s="39"/>
      <c r="BR930" s="39"/>
      <c r="BS930" s="39"/>
      <c r="BT930" s="39"/>
      <c r="BU930" s="39"/>
      <c r="BV930" s="39"/>
      <c r="BW930" s="39"/>
      <c r="BX930" s="39"/>
      <c r="BY930" s="39"/>
      <c r="BZ930" s="39">
        <f>BU930+BW930+BY930</f>
        <v>0</v>
      </c>
      <c r="CA930" s="39">
        <f t="shared" si="543"/>
        <v>0</v>
      </c>
      <c r="CB930" s="39">
        <f t="shared" si="544"/>
        <v>0</v>
      </c>
      <c r="CC930" s="39">
        <f t="shared" si="545"/>
        <v>0</v>
      </c>
      <c r="CD930" s="39">
        <f>SUMIF(CA930:CC930,"&lt;0")</f>
        <v>0</v>
      </c>
      <c r="CE930" s="47" t="e">
        <f t="shared" si="547"/>
        <v>#DIV/0!</v>
      </c>
      <c r="CF930" s="36"/>
      <c r="CG930" s="39"/>
      <c r="CH930" s="39"/>
      <c r="CI930" s="25">
        <v>1</v>
      </c>
    </row>
    <row r="931" spans="1:88" ht="24.75" customHeight="1">
      <c r="A931" s="39" t="s">
        <v>128</v>
      </c>
      <c r="B931" s="55"/>
      <c r="C931" s="36"/>
      <c r="D931" s="36"/>
      <c r="E931" s="39"/>
      <c r="F931" s="39"/>
      <c r="G931" s="36"/>
      <c r="H931" s="39"/>
      <c r="I931" s="39"/>
      <c r="J931" s="39"/>
      <c r="K931" s="39"/>
      <c r="L931" s="39">
        <f>SUM(I931:K931)</f>
        <v>0</v>
      </c>
      <c r="M931" s="39"/>
      <c r="N931" s="39"/>
      <c r="O931" s="39"/>
      <c r="P931" s="39"/>
      <c r="Q931" s="39"/>
      <c r="R931" s="39">
        <f>SUM(O931:Q931)</f>
        <v>0</v>
      </c>
      <c r="S931" s="39"/>
      <c r="T931" s="39"/>
      <c r="U931" s="39"/>
      <c r="V931" s="39"/>
      <c r="W931" s="39"/>
      <c r="X931" s="39"/>
      <c r="Y931" s="39"/>
      <c r="Z931" s="39"/>
      <c r="AA931" s="39"/>
      <c r="AB931" s="39">
        <f>SUM(Y931:AA931)</f>
        <v>0</v>
      </c>
      <c r="AC931" s="39"/>
      <c r="AD931" s="39"/>
      <c r="AE931" s="39"/>
      <c r="AF931" s="39"/>
      <c r="AG931" s="39"/>
      <c r="AH931" s="39">
        <f>AG931-AE931</f>
        <v>0</v>
      </c>
      <c r="AI931" s="39"/>
      <c r="AJ931" s="39"/>
      <c r="AK931" s="39"/>
      <c r="AL931" s="39"/>
      <c r="AM931" s="39"/>
      <c r="AN931" s="39">
        <f t="shared" si="522"/>
        <v>0</v>
      </c>
      <c r="AO931" s="39"/>
      <c r="AP931" s="39"/>
      <c r="AQ931" s="39"/>
      <c r="AR931" s="39"/>
      <c r="AS931" s="39"/>
      <c r="AT931" s="39">
        <f t="shared" si="539"/>
        <v>0</v>
      </c>
      <c r="AU931" s="39"/>
      <c r="AV931" s="39"/>
      <c r="AW931" s="39"/>
      <c r="AX931" s="39"/>
      <c r="AY931" s="39"/>
      <c r="AZ931" s="39">
        <f t="shared" si="540"/>
        <v>0</v>
      </c>
      <c r="BA931" s="39"/>
      <c r="BB931" s="39"/>
      <c r="BC931" s="39"/>
      <c r="BD931" s="39"/>
      <c r="BE931" s="39"/>
      <c r="BF931" s="39">
        <f t="shared" si="541"/>
        <v>0</v>
      </c>
      <c r="BG931" s="39"/>
      <c r="BH931" s="39"/>
      <c r="BI931" s="39"/>
      <c r="BJ931" s="39"/>
      <c r="BK931" s="39"/>
      <c r="BL931" s="39">
        <f>BK931-BI931</f>
        <v>0</v>
      </c>
      <c r="BM931" s="54" t="e">
        <f t="shared" si="542"/>
        <v>#DIV/0!</v>
      </c>
      <c r="BN931" s="42"/>
      <c r="BO931" s="39"/>
      <c r="BP931" s="39"/>
      <c r="BQ931" s="39"/>
      <c r="BR931" s="39"/>
      <c r="BS931" s="39"/>
      <c r="BT931" s="39"/>
      <c r="BU931" s="39"/>
      <c r="BV931" s="39"/>
      <c r="BW931" s="39"/>
      <c r="BX931" s="39"/>
      <c r="BY931" s="39"/>
      <c r="BZ931" s="39">
        <f>BU931+BW931+BY931</f>
        <v>0</v>
      </c>
      <c r="CA931" s="39">
        <f t="shared" si="543"/>
        <v>0</v>
      </c>
      <c r="CB931" s="39">
        <f t="shared" si="544"/>
        <v>0</v>
      </c>
      <c r="CC931" s="39">
        <f t="shared" si="545"/>
        <v>0</v>
      </c>
      <c r="CD931" s="39">
        <f>SUMIF(CA931:CC931,"&lt;0")</f>
        <v>0</v>
      </c>
      <c r="CE931" s="47" t="e">
        <f t="shared" si="547"/>
        <v>#DIV/0!</v>
      </c>
      <c r="CF931" s="36"/>
      <c r="CG931" s="39"/>
      <c r="CH931" s="39"/>
      <c r="CI931" s="25">
        <v>1</v>
      </c>
    </row>
    <row r="932" spans="1:88" ht="24.75" customHeight="1">
      <c r="A932" s="39" t="s">
        <v>128</v>
      </c>
      <c r="B932" s="55"/>
      <c r="C932" s="36"/>
      <c r="D932" s="36"/>
      <c r="E932" s="39"/>
      <c r="F932" s="39"/>
      <c r="G932" s="36"/>
      <c r="H932" s="39"/>
      <c r="I932" s="39"/>
      <c r="J932" s="39"/>
      <c r="K932" s="39"/>
      <c r="L932" s="39">
        <f>SUM(I932:K932)</f>
        <v>0</v>
      </c>
      <c r="M932" s="39"/>
      <c r="N932" s="39"/>
      <c r="O932" s="39"/>
      <c r="P932" s="39"/>
      <c r="Q932" s="39"/>
      <c r="R932" s="39">
        <f>SUM(O932:Q932)</f>
        <v>0</v>
      </c>
      <c r="S932" s="39"/>
      <c r="T932" s="39"/>
      <c r="U932" s="39"/>
      <c r="V932" s="39"/>
      <c r="W932" s="39"/>
      <c r="X932" s="39"/>
      <c r="Y932" s="39"/>
      <c r="Z932" s="39"/>
      <c r="AA932" s="39"/>
      <c r="AB932" s="39">
        <f>SUM(Y932:AA932)</f>
        <v>0</v>
      </c>
      <c r="AC932" s="39"/>
      <c r="AD932" s="39"/>
      <c r="AE932" s="39"/>
      <c r="AF932" s="39"/>
      <c r="AG932" s="39"/>
      <c r="AH932" s="39">
        <f>AG932-AE932</f>
        <v>0</v>
      </c>
      <c r="AI932" s="39"/>
      <c r="AJ932" s="39"/>
      <c r="AK932" s="39"/>
      <c r="AL932" s="39"/>
      <c r="AM932" s="39"/>
      <c r="AN932" s="39">
        <f t="shared" si="522"/>
        <v>0</v>
      </c>
      <c r="AO932" s="39"/>
      <c r="AP932" s="39"/>
      <c r="AQ932" s="39"/>
      <c r="AR932" s="39"/>
      <c r="AS932" s="39"/>
      <c r="AT932" s="39">
        <f t="shared" si="539"/>
        <v>0</v>
      </c>
      <c r="AU932" s="39"/>
      <c r="AV932" s="39"/>
      <c r="AW932" s="39"/>
      <c r="AX932" s="39"/>
      <c r="AY932" s="39"/>
      <c r="AZ932" s="39">
        <f t="shared" si="540"/>
        <v>0</v>
      </c>
      <c r="BA932" s="39"/>
      <c r="BB932" s="39"/>
      <c r="BC932" s="39"/>
      <c r="BD932" s="39"/>
      <c r="BE932" s="39"/>
      <c r="BF932" s="39">
        <f t="shared" si="541"/>
        <v>0</v>
      </c>
      <c r="BG932" s="39"/>
      <c r="BH932" s="39"/>
      <c r="BI932" s="39"/>
      <c r="BJ932" s="39"/>
      <c r="BK932" s="39"/>
      <c r="BL932" s="39">
        <f>BK932-BI932</f>
        <v>0</v>
      </c>
      <c r="BM932" s="54" t="e">
        <f t="shared" si="542"/>
        <v>#DIV/0!</v>
      </c>
      <c r="BN932" s="42"/>
      <c r="BO932" s="39"/>
      <c r="BP932" s="39"/>
      <c r="BQ932" s="39"/>
      <c r="BR932" s="39"/>
      <c r="BS932" s="39"/>
      <c r="BT932" s="39"/>
      <c r="BU932" s="39"/>
      <c r="BV932" s="39"/>
      <c r="BW932" s="39"/>
      <c r="BX932" s="39"/>
      <c r="BY932" s="39"/>
      <c r="BZ932" s="39">
        <f>BU932+BW932+BY932</f>
        <v>0</v>
      </c>
      <c r="CA932" s="39">
        <f t="shared" si="543"/>
        <v>0</v>
      </c>
      <c r="CB932" s="39">
        <f t="shared" si="544"/>
        <v>0</v>
      </c>
      <c r="CC932" s="39">
        <f t="shared" si="545"/>
        <v>0</v>
      </c>
      <c r="CD932" s="39">
        <f>SUMIF(CA932:CC932,"&lt;0")</f>
        <v>0</v>
      </c>
      <c r="CE932" s="47" t="e">
        <f t="shared" si="547"/>
        <v>#DIV/0!</v>
      </c>
      <c r="CF932" s="36"/>
      <c r="CG932" s="39"/>
      <c r="CH932" s="39"/>
      <c r="CI932" s="25">
        <v>1</v>
      </c>
    </row>
    <row r="933" spans="1:88" ht="24.75" customHeight="1">
      <c r="A933" s="39" t="s">
        <v>128</v>
      </c>
      <c r="B933" s="55"/>
      <c r="C933" s="36"/>
      <c r="D933" s="36"/>
      <c r="E933" s="39"/>
      <c r="F933" s="39"/>
      <c r="G933" s="36"/>
      <c r="H933" s="39"/>
      <c r="I933" s="39"/>
      <c r="J933" s="39"/>
      <c r="K933" s="39"/>
      <c r="L933" s="39">
        <f>SUM(I933:K933)</f>
        <v>0</v>
      </c>
      <c r="M933" s="39"/>
      <c r="N933" s="39"/>
      <c r="O933" s="39"/>
      <c r="P933" s="39"/>
      <c r="Q933" s="39"/>
      <c r="R933" s="39">
        <f>SUM(O933:Q933)</f>
        <v>0</v>
      </c>
      <c r="S933" s="39"/>
      <c r="T933" s="39"/>
      <c r="U933" s="39"/>
      <c r="V933" s="39"/>
      <c r="W933" s="39"/>
      <c r="X933" s="39"/>
      <c r="Y933" s="39"/>
      <c r="Z933" s="39"/>
      <c r="AA933" s="39"/>
      <c r="AB933" s="39">
        <f>SUM(Y933:AA933)</f>
        <v>0</v>
      </c>
      <c r="AC933" s="39"/>
      <c r="AD933" s="39"/>
      <c r="AE933" s="39"/>
      <c r="AF933" s="39"/>
      <c r="AG933" s="39"/>
      <c r="AH933" s="39">
        <f>AG933-AE933</f>
        <v>0</v>
      </c>
      <c r="AI933" s="39"/>
      <c r="AJ933" s="39"/>
      <c r="AK933" s="39"/>
      <c r="AL933" s="39"/>
      <c r="AM933" s="39"/>
      <c r="AN933" s="39">
        <f t="shared" si="522"/>
        <v>0</v>
      </c>
      <c r="AO933" s="39"/>
      <c r="AP933" s="39"/>
      <c r="AQ933" s="39"/>
      <c r="AR933" s="39"/>
      <c r="AS933" s="39"/>
      <c r="AT933" s="39">
        <f t="shared" si="539"/>
        <v>0</v>
      </c>
      <c r="AU933" s="39"/>
      <c r="AV933" s="39"/>
      <c r="AW933" s="39"/>
      <c r="AX933" s="39"/>
      <c r="AY933" s="39"/>
      <c r="AZ933" s="39">
        <f t="shared" si="540"/>
        <v>0</v>
      </c>
      <c r="BA933" s="39"/>
      <c r="BB933" s="39"/>
      <c r="BC933" s="39"/>
      <c r="BD933" s="39"/>
      <c r="BE933" s="39"/>
      <c r="BF933" s="39">
        <f t="shared" si="541"/>
        <v>0</v>
      </c>
      <c r="BG933" s="39"/>
      <c r="BH933" s="39"/>
      <c r="BI933" s="39"/>
      <c r="BJ933" s="39"/>
      <c r="BK933" s="39"/>
      <c r="BL933" s="39">
        <f>BK933-BI933</f>
        <v>0</v>
      </c>
      <c r="BM933" s="54" t="e">
        <f t="shared" si="542"/>
        <v>#DIV/0!</v>
      </c>
      <c r="BN933" s="42"/>
      <c r="BO933" s="39"/>
      <c r="BP933" s="39"/>
      <c r="BQ933" s="39"/>
      <c r="BR933" s="39"/>
      <c r="BS933" s="39"/>
      <c r="BT933" s="39"/>
      <c r="BU933" s="39"/>
      <c r="BV933" s="39"/>
      <c r="BW933" s="39"/>
      <c r="BX933" s="39"/>
      <c r="BY933" s="39"/>
      <c r="BZ933" s="39">
        <f>BU933+BW933+BY933</f>
        <v>0</v>
      </c>
      <c r="CA933" s="39">
        <f t="shared" si="543"/>
        <v>0</v>
      </c>
      <c r="CB933" s="39">
        <f t="shared" si="544"/>
        <v>0</v>
      </c>
      <c r="CC933" s="39">
        <f t="shared" si="545"/>
        <v>0</v>
      </c>
      <c r="CD933" s="39">
        <f>SUMIF(CA933:CC933,"&lt;0")</f>
        <v>0</v>
      </c>
      <c r="CE933" s="47" t="e">
        <f t="shared" si="547"/>
        <v>#DIV/0!</v>
      </c>
      <c r="CF933" s="36"/>
      <c r="CG933" s="39"/>
      <c r="CH933" s="39"/>
      <c r="CI933" s="25">
        <v>1</v>
      </c>
    </row>
    <row r="934" spans="1:88" ht="24.75" customHeight="1">
      <c r="A934" s="39" t="s">
        <v>128</v>
      </c>
      <c r="B934" s="55"/>
      <c r="C934" s="36"/>
      <c r="D934" s="36"/>
      <c r="E934" s="39"/>
      <c r="F934" s="39"/>
      <c r="G934" s="36"/>
      <c r="H934" s="39"/>
      <c r="I934" s="39"/>
      <c r="J934" s="39"/>
      <c r="K934" s="39"/>
      <c r="L934" s="39">
        <f t="shared" ref="L934:L966" si="554">SUM(I934:K934)</f>
        <v>0</v>
      </c>
      <c r="M934" s="39"/>
      <c r="N934" s="39"/>
      <c r="O934" s="39"/>
      <c r="P934" s="39"/>
      <c r="Q934" s="39"/>
      <c r="R934" s="39">
        <f t="shared" ref="R934:R965" si="555">SUM(O934:Q934)</f>
        <v>0</v>
      </c>
      <c r="S934" s="39"/>
      <c r="T934" s="39"/>
      <c r="U934" s="39"/>
      <c r="V934" s="39"/>
      <c r="W934" s="39"/>
      <c r="X934" s="39"/>
      <c r="Y934" s="39"/>
      <c r="Z934" s="39"/>
      <c r="AA934" s="39"/>
      <c r="AB934" s="39">
        <f t="shared" ref="AB934:AB965" si="556">SUM(Y934:AA934)</f>
        <v>0</v>
      </c>
      <c r="AC934" s="39"/>
      <c r="AD934" s="39"/>
      <c r="AE934" s="39"/>
      <c r="AF934" s="39"/>
      <c r="AG934" s="39"/>
      <c r="AH934" s="39">
        <f t="shared" ref="AH934:AH1090" si="557">AG934-AE934</f>
        <v>0</v>
      </c>
      <c r="AI934" s="39"/>
      <c r="AJ934" s="39"/>
      <c r="AK934" s="39"/>
      <c r="AL934" s="39"/>
      <c r="AM934" s="39"/>
      <c r="AN934" s="39">
        <f t="shared" si="522"/>
        <v>0</v>
      </c>
      <c r="AO934" s="39"/>
      <c r="AP934" s="39"/>
      <c r="AQ934" s="39"/>
      <c r="AR934" s="39"/>
      <c r="AS934" s="39"/>
      <c r="AT934" s="39">
        <f t="shared" si="539"/>
        <v>0</v>
      </c>
      <c r="AU934" s="39"/>
      <c r="AV934" s="39"/>
      <c r="AW934" s="39"/>
      <c r="AX934" s="39"/>
      <c r="AY934" s="39"/>
      <c r="AZ934" s="39">
        <f t="shared" si="540"/>
        <v>0</v>
      </c>
      <c r="BA934" s="39"/>
      <c r="BB934" s="39"/>
      <c r="BC934" s="39"/>
      <c r="BD934" s="39"/>
      <c r="BE934" s="39"/>
      <c r="BF934" s="39">
        <f t="shared" si="541"/>
        <v>0</v>
      </c>
      <c r="BG934" s="39"/>
      <c r="BH934" s="39"/>
      <c r="BI934" s="39"/>
      <c r="BJ934" s="39"/>
      <c r="BK934" s="39"/>
      <c r="BL934" s="39">
        <f t="shared" ref="BL934:BL1090" si="558">BK934-BI934</f>
        <v>0</v>
      </c>
      <c r="BM934" s="54" t="e">
        <f t="shared" si="542"/>
        <v>#DIV/0!</v>
      </c>
      <c r="BN934" s="67"/>
      <c r="BO934" s="39"/>
      <c r="BP934" s="39"/>
      <c r="BQ934" s="39"/>
      <c r="BR934" s="39"/>
      <c r="BS934" s="39"/>
      <c r="BT934" s="39"/>
      <c r="BU934" s="39"/>
      <c r="BV934" s="39"/>
      <c r="BW934" s="39"/>
      <c r="BX934" s="39"/>
      <c r="BY934" s="39"/>
      <c r="BZ934" s="39">
        <f t="shared" ref="BZ934:BZ1090" si="559">BU934+BW934+BY934</f>
        <v>0</v>
      </c>
      <c r="CA934" s="39">
        <f t="shared" si="543"/>
        <v>0</v>
      </c>
      <c r="CB934" s="39">
        <f t="shared" si="544"/>
        <v>0</v>
      </c>
      <c r="CC934" s="39">
        <f t="shared" si="545"/>
        <v>0</v>
      </c>
      <c r="CD934" s="39">
        <f t="shared" ref="CD934:CD1090" si="560">SUMIF(CA934:CC934,"&lt;0")</f>
        <v>0</v>
      </c>
      <c r="CE934" s="47" t="e">
        <f t="shared" si="547"/>
        <v>#DIV/0!</v>
      </c>
      <c r="CF934" s="36"/>
      <c r="CG934" s="39"/>
      <c r="CH934" s="39"/>
      <c r="CI934" s="25">
        <v>2</v>
      </c>
    </row>
    <row r="935" spans="1:88" ht="24.75" customHeight="1">
      <c r="A935" s="39" t="s">
        <v>128</v>
      </c>
      <c r="B935" s="55"/>
      <c r="C935" s="36"/>
      <c r="D935" s="36"/>
      <c r="E935" s="39"/>
      <c r="F935" s="39"/>
      <c r="G935" s="36"/>
      <c r="H935" s="39"/>
      <c r="I935" s="39"/>
      <c r="J935" s="39"/>
      <c r="K935" s="39"/>
      <c r="L935" s="39">
        <f t="shared" si="554"/>
        <v>0</v>
      </c>
      <c r="M935" s="39"/>
      <c r="N935" s="39"/>
      <c r="O935" s="39"/>
      <c r="P935" s="39"/>
      <c r="Q935" s="39"/>
      <c r="R935" s="39">
        <f t="shared" si="555"/>
        <v>0</v>
      </c>
      <c r="S935" s="39"/>
      <c r="T935" s="39"/>
      <c r="U935" s="39"/>
      <c r="V935" s="39"/>
      <c r="W935" s="39"/>
      <c r="X935" s="39"/>
      <c r="Y935" s="39"/>
      <c r="Z935" s="39"/>
      <c r="AA935" s="39"/>
      <c r="AB935" s="39">
        <f t="shared" si="556"/>
        <v>0</v>
      </c>
      <c r="AC935" s="39"/>
      <c r="AD935" s="39"/>
      <c r="AE935" s="39"/>
      <c r="AF935" s="39"/>
      <c r="AG935" s="39"/>
      <c r="AH935" s="39">
        <f t="shared" si="557"/>
        <v>0</v>
      </c>
      <c r="AI935" s="39"/>
      <c r="AJ935" s="39"/>
      <c r="AK935" s="39"/>
      <c r="AL935" s="39"/>
      <c r="AM935" s="39"/>
      <c r="AN935" s="39">
        <f t="shared" si="522"/>
        <v>0</v>
      </c>
      <c r="AO935" s="39"/>
      <c r="AP935" s="39"/>
      <c r="AQ935" s="39"/>
      <c r="AR935" s="39"/>
      <c r="AS935" s="39"/>
      <c r="AT935" s="39">
        <f t="shared" si="539"/>
        <v>0</v>
      </c>
      <c r="AU935" s="39"/>
      <c r="AV935" s="39"/>
      <c r="AW935" s="39"/>
      <c r="AX935" s="39"/>
      <c r="AY935" s="39"/>
      <c r="AZ935" s="39">
        <f t="shared" si="540"/>
        <v>0</v>
      </c>
      <c r="BA935" s="39"/>
      <c r="BB935" s="39"/>
      <c r="BC935" s="39"/>
      <c r="BD935" s="39"/>
      <c r="BE935" s="39"/>
      <c r="BF935" s="39">
        <f t="shared" si="541"/>
        <v>0</v>
      </c>
      <c r="BG935" s="39"/>
      <c r="BH935" s="39"/>
      <c r="BI935" s="39"/>
      <c r="BJ935" s="39"/>
      <c r="BK935" s="39"/>
      <c r="BL935" s="39">
        <f t="shared" si="558"/>
        <v>0</v>
      </c>
      <c r="BM935" s="54" t="e">
        <f t="shared" si="542"/>
        <v>#DIV/0!</v>
      </c>
      <c r="BN935" s="67"/>
      <c r="BO935" s="39"/>
      <c r="BP935" s="39"/>
      <c r="BQ935" s="39"/>
      <c r="BR935" s="39"/>
      <c r="BS935" s="39"/>
      <c r="BT935" s="39"/>
      <c r="BU935" s="39"/>
      <c r="BV935" s="39"/>
      <c r="BW935" s="39"/>
      <c r="BX935" s="39"/>
      <c r="BY935" s="39"/>
      <c r="BZ935" s="39">
        <f t="shared" si="559"/>
        <v>0</v>
      </c>
      <c r="CA935" s="39">
        <f t="shared" si="543"/>
        <v>0</v>
      </c>
      <c r="CB935" s="39">
        <f t="shared" si="544"/>
        <v>0</v>
      </c>
      <c r="CC935" s="39">
        <f t="shared" si="545"/>
        <v>0</v>
      </c>
      <c r="CD935" s="39">
        <f t="shared" si="560"/>
        <v>0</v>
      </c>
      <c r="CE935" s="47" t="e">
        <f t="shared" si="547"/>
        <v>#DIV/0!</v>
      </c>
      <c r="CF935" s="36"/>
      <c r="CG935" s="39"/>
      <c r="CH935" s="39"/>
      <c r="CI935" s="25">
        <v>2</v>
      </c>
    </row>
    <row r="936" spans="1:88" ht="24.75" customHeight="1">
      <c r="A936" s="39" t="s">
        <v>128</v>
      </c>
      <c r="B936" s="55"/>
      <c r="C936" s="36"/>
      <c r="D936" s="36"/>
      <c r="E936" s="39"/>
      <c r="F936" s="39"/>
      <c r="G936" s="36"/>
      <c r="H936" s="39"/>
      <c r="I936" s="39"/>
      <c r="J936" s="39"/>
      <c r="K936" s="39"/>
      <c r="L936" s="39">
        <f t="shared" si="554"/>
        <v>0</v>
      </c>
      <c r="M936" s="39"/>
      <c r="N936" s="39"/>
      <c r="O936" s="39"/>
      <c r="P936" s="39"/>
      <c r="Q936" s="39"/>
      <c r="R936" s="39">
        <f t="shared" si="555"/>
        <v>0</v>
      </c>
      <c r="S936" s="39"/>
      <c r="T936" s="39"/>
      <c r="U936" s="39"/>
      <c r="V936" s="39"/>
      <c r="W936" s="39"/>
      <c r="X936" s="39"/>
      <c r="Y936" s="39"/>
      <c r="Z936" s="39"/>
      <c r="AA936" s="39"/>
      <c r="AB936" s="39">
        <f t="shared" si="556"/>
        <v>0</v>
      </c>
      <c r="AC936" s="39"/>
      <c r="AD936" s="39"/>
      <c r="AE936" s="39"/>
      <c r="AF936" s="39"/>
      <c r="AG936" s="39"/>
      <c r="AH936" s="39">
        <f t="shared" si="557"/>
        <v>0</v>
      </c>
      <c r="AI936" s="39"/>
      <c r="AJ936" s="39"/>
      <c r="AK936" s="39"/>
      <c r="AL936" s="39"/>
      <c r="AM936" s="39"/>
      <c r="AN936" s="39">
        <f t="shared" si="522"/>
        <v>0</v>
      </c>
      <c r="AO936" s="39"/>
      <c r="AP936" s="39"/>
      <c r="AQ936" s="39"/>
      <c r="AR936" s="39"/>
      <c r="AS936" s="39"/>
      <c r="AT936" s="39">
        <f t="shared" si="539"/>
        <v>0</v>
      </c>
      <c r="AU936" s="39"/>
      <c r="AV936" s="39"/>
      <c r="AW936" s="39"/>
      <c r="AX936" s="39"/>
      <c r="AY936" s="39"/>
      <c r="AZ936" s="39">
        <f t="shared" si="540"/>
        <v>0</v>
      </c>
      <c r="BA936" s="39"/>
      <c r="BB936" s="39"/>
      <c r="BC936" s="39"/>
      <c r="BD936" s="39"/>
      <c r="BE936" s="39"/>
      <c r="BF936" s="39">
        <f t="shared" si="541"/>
        <v>0</v>
      </c>
      <c r="BG936" s="39"/>
      <c r="BH936" s="39"/>
      <c r="BI936" s="39"/>
      <c r="BJ936" s="39"/>
      <c r="BK936" s="39"/>
      <c r="BL936" s="39">
        <f t="shared" si="558"/>
        <v>0</v>
      </c>
      <c r="BM936" s="54" t="e">
        <f t="shared" si="542"/>
        <v>#DIV/0!</v>
      </c>
      <c r="BN936" s="67"/>
      <c r="BO936" s="39"/>
      <c r="BP936" s="39"/>
      <c r="BQ936" s="39"/>
      <c r="BR936" s="39"/>
      <c r="BS936" s="39"/>
      <c r="BT936" s="39"/>
      <c r="BU936" s="39"/>
      <c r="BV936" s="39"/>
      <c r="BW936" s="39"/>
      <c r="BX936" s="39"/>
      <c r="BY936" s="39"/>
      <c r="BZ936" s="39">
        <f t="shared" si="559"/>
        <v>0</v>
      </c>
      <c r="CA936" s="39">
        <f t="shared" si="543"/>
        <v>0</v>
      </c>
      <c r="CB936" s="39">
        <f t="shared" si="544"/>
        <v>0</v>
      </c>
      <c r="CC936" s="39">
        <f t="shared" si="545"/>
        <v>0</v>
      </c>
      <c r="CD936" s="39">
        <f t="shared" si="560"/>
        <v>0</v>
      </c>
      <c r="CE936" s="47" t="e">
        <f t="shared" si="547"/>
        <v>#DIV/0!</v>
      </c>
      <c r="CF936" s="36"/>
      <c r="CG936" s="39"/>
      <c r="CH936" s="39"/>
      <c r="CI936" s="25">
        <v>2</v>
      </c>
    </row>
    <row r="937" spans="1:88" ht="24.75" customHeight="1">
      <c r="A937" s="39" t="s">
        <v>128</v>
      </c>
      <c r="B937" s="55"/>
      <c r="C937" s="36"/>
      <c r="D937" s="36"/>
      <c r="E937" s="39"/>
      <c r="F937" s="39"/>
      <c r="G937" s="36"/>
      <c r="H937" s="39"/>
      <c r="I937" s="39"/>
      <c r="J937" s="39"/>
      <c r="K937" s="39"/>
      <c r="L937" s="39">
        <f t="shared" si="554"/>
        <v>0</v>
      </c>
      <c r="M937" s="39"/>
      <c r="N937" s="39"/>
      <c r="O937" s="39"/>
      <c r="P937" s="39"/>
      <c r="Q937" s="39"/>
      <c r="R937" s="39">
        <f t="shared" si="555"/>
        <v>0</v>
      </c>
      <c r="S937" s="39"/>
      <c r="T937" s="39"/>
      <c r="U937" s="39"/>
      <c r="V937" s="39"/>
      <c r="W937" s="39"/>
      <c r="X937" s="39"/>
      <c r="Y937" s="39"/>
      <c r="Z937" s="39"/>
      <c r="AA937" s="39"/>
      <c r="AB937" s="39">
        <f t="shared" si="556"/>
        <v>0</v>
      </c>
      <c r="AC937" s="39"/>
      <c r="AD937" s="39"/>
      <c r="AE937" s="39"/>
      <c r="AF937" s="39"/>
      <c r="AG937" s="39"/>
      <c r="AH937" s="39">
        <f t="shared" si="557"/>
        <v>0</v>
      </c>
      <c r="AI937" s="39"/>
      <c r="AJ937" s="39"/>
      <c r="AK937" s="39"/>
      <c r="AL937" s="39"/>
      <c r="AM937" s="39"/>
      <c r="AN937" s="39">
        <f t="shared" si="522"/>
        <v>0</v>
      </c>
      <c r="AO937" s="39"/>
      <c r="AP937" s="39"/>
      <c r="AQ937" s="39"/>
      <c r="AR937" s="39"/>
      <c r="AS937" s="39"/>
      <c r="AT937" s="39">
        <f t="shared" si="539"/>
        <v>0</v>
      </c>
      <c r="AU937" s="39"/>
      <c r="AV937" s="39"/>
      <c r="AW937" s="39"/>
      <c r="AX937" s="39"/>
      <c r="AY937" s="39"/>
      <c r="AZ937" s="39">
        <f t="shared" si="540"/>
        <v>0</v>
      </c>
      <c r="BA937" s="39"/>
      <c r="BB937" s="39"/>
      <c r="BC937" s="39"/>
      <c r="BD937" s="39"/>
      <c r="BE937" s="39"/>
      <c r="BF937" s="39">
        <f t="shared" si="541"/>
        <v>0</v>
      </c>
      <c r="BG937" s="39"/>
      <c r="BH937" s="39"/>
      <c r="BI937" s="39"/>
      <c r="BJ937" s="39"/>
      <c r="BK937" s="39"/>
      <c r="BL937" s="39">
        <f t="shared" si="558"/>
        <v>0</v>
      </c>
      <c r="BM937" s="54" t="e">
        <f t="shared" si="542"/>
        <v>#DIV/0!</v>
      </c>
      <c r="BN937" s="67"/>
      <c r="BO937" s="39"/>
      <c r="BP937" s="39"/>
      <c r="BQ937" s="39"/>
      <c r="BR937" s="39"/>
      <c r="BS937" s="39"/>
      <c r="BT937" s="39"/>
      <c r="BU937" s="39"/>
      <c r="BV937" s="39"/>
      <c r="BW937" s="39"/>
      <c r="BX937" s="39"/>
      <c r="BY937" s="39"/>
      <c r="BZ937" s="39">
        <f t="shared" si="559"/>
        <v>0</v>
      </c>
      <c r="CA937" s="39">
        <f t="shared" si="543"/>
        <v>0</v>
      </c>
      <c r="CB937" s="39">
        <f t="shared" si="544"/>
        <v>0</v>
      </c>
      <c r="CC937" s="39">
        <f t="shared" si="545"/>
        <v>0</v>
      </c>
      <c r="CD937" s="39">
        <f t="shared" si="560"/>
        <v>0</v>
      </c>
      <c r="CE937" s="47" t="e">
        <f t="shared" si="547"/>
        <v>#DIV/0!</v>
      </c>
      <c r="CF937" s="36"/>
      <c r="CG937" s="39"/>
      <c r="CH937" s="39"/>
      <c r="CI937" s="25">
        <v>2</v>
      </c>
    </row>
    <row r="938" spans="1:88" ht="24.75" customHeight="1">
      <c r="A938" s="39" t="s">
        <v>128</v>
      </c>
      <c r="B938" s="55"/>
      <c r="C938" s="36"/>
      <c r="D938" s="36"/>
      <c r="E938" s="39"/>
      <c r="F938" s="39"/>
      <c r="G938" s="36"/>
      <c r="H938" s="39"/>
      <c r="I938" s="39"/>
      <c r="J938" s="39"/>
      <c r="K938" s="39"/>
      <c r="L938" s="39">
        <f t="shared" si="554"/>
        <v>0</v>
      </c>
      <c r="M938" s="39"/>
      <c r="N938" s="39"/>
      <c r="O938" s="39"/>
      <c r="P938" s="39"/>
      <c r="Q938" s="39"/>
      <c r="R938" s="39">
        <f t="shared" si="555"/>
        <v>0</v>
      </c>
      <c r="S938" s="39"/>
      <c r="T938" s="39"/>
      <c r="U938" s="39"/>
      <c r="V938" s="39"/>
      <c r="W938" s="39"/>
      <c r="X938" s="39"/>
      <c r="Y938" s="39"/>
      <c r="Z938" s="39"/>
      <c r="AA938" s="39"/>
      <c r="AB938" s="39">
        <f t="shared" si="556"/>
        <v>0</v>
      </c>
      <c r="AC938" s="39"/>
      <c r="AD938" s="39"/>
      <c r="AE938" s="39"/>
      <c r="AF938" s="39"/>
      <c r="AG938" s="39"/>
      <c r="AH938" s="39">
        <f t="shared" si="557"/>
        <v>0</v>
      </c>
      <c r="AI938" s="39"/>
      <c r="AJ938" s="39"/>
      <c r="AK938" s="39"/>
      <c r="AL938" s="39"/>
      <c r="AM938" s="39"/>
      <c r="AN938" s="39">
        <f t="shared" si="522"/>
        <v>0</v>
      </c>
      <c r="AO938" s="39"/>
      <c r="AP938" s="39"/>
      <c r="AQ938" s="39"/>
      <c r="AR938" s="39"/>
      <c r="AS938" s="39"/>
      <c r="AT938" s="39">
        <f t="shared" si="539"/>
        <v>0</v>
      </c>
      <c r="AU938" s="39"/>
      <c r="AV938" s="39"/>
      <c r="AW938" s="39"/>
      <c r="AX938" s="39"/>
      <c r="AY938" s="39"/>
      <c r="AZ938" s="39">
        <f t="shared" si="540"/>
        <v>0</v>
      </c>
      <c r="BA938" s="39"/>
      <c r="BB938" s="39"/>
      <c r="BC938" s="39"/>
      <c r="BD938" s="39"/>
      <c r="BE938" s="39"/>
      <c r="BF938" s="39">
        <f t="shared" si="541"/>
        <v>0</v>
      </c>
      <c r="BG938" s="39"/>
      <c r="BH938" s="39"/>
      <c r="BI938" s="39"/>
      <c r="BJ938" s="39"/>
      <c r="BK938" s="39"/>
      <c r="BL938" s="39">
        <f t="shared" si="558"/>
        <v>0</v>
      </c>
      <c r="BM938" s="54" t="e">
        <f t="shared" si="542"/>
        <v>#DIV/0!</v>
      </c>
      <c r="BN938" s="67"/>
      <c r="BO938" s="39"/>
      <c r="BP938" s="39"/>
      <c r="BQ938" s="39"/>
      <c r="BR938" s="39"/>
      <c r="BS938" s="39"/>
      <c r="BT938" s="39"/>
      <c r="BU938" s="39"/>
      <c r="BV938" s="39"/>
      <c r="BW938" s="39"/>
      <c r="BX938" s="39"/>
      <c r="BY938" s="39"/>
      <c r="BZ938" s="39">
        <f t="shared" si="559"/>
        <v>0</v>
      </c>
      <c r="CA938" s="39">
        <f t="shared" si="543"/>
        <v>0</v>
      </c>
      <c r="CB938" s="39">
        <f t="shared" si="544"/>
        <v>0</v>
      </c>
      <c r="CC938" s="39">
        <f t="shared" si="545"/>
        <v>0</v>
      </c>
      <c r="CD938" s="39">
        <f t="shared" si="560"/>
        <v>0</v>
      </c>
      <c r="CE938" s="47" t="e">
        <f t="shared" si="547"/>
        <v>#DIV/0!</v>
      </c>
      <c r="CF938" s="36"/>
      <c r="CG938" s="39"/>
      <c r="CH938" s="39"/>
      <c r="CI938" s="25">
        <v>2</v>
      </c>
    </row>
    <row r="939" spans="1:88" ht="24.75" customHeight="1">
      <c r="A939" s="39" t="s">
        <v>128</v>
      </c>
      <c r="B939" s="55"/>
      <c r="C939" s="36"/>
      <c r="D939" s="36"/>
      <c r="E939" s="39"/>
      <c r="F939" s="39"/>
      <c r="G939" s="36"/>
      <c r="H939" s="39"/>
      <c r="I939" s="39"/>
      <c r="J939" s="39"/>
      <c r="K939" s="39"/>
      <c r="L939" s="39">
        <f t="shared" si="554"/>
        <v>0</v>
      </c>
      <c r="M939" s="39"/>
      <c r="N939" s="39"/>
      <c r="O939" s="39"/>
      <c r="P939" s="39"/>
      <c r="Q939" s="39"/>
      <c r="R939" s="39">
        <f t="shared" si="555"/>
        <v>0</v>
      </c>
      <c r="S939" s="39"/>
      <c r="T939" s="39"/>
      <c r="U939" s="39"/>
      <c r="V939" s="39"/>
      <c r="W939" s="39"/>
      <c r="X939" s="39"/>
      <c r="Y939" s="39"/>
      <c r="Z939" s="39"/>
      <c r="AA939" s="39"/>
      <c r="AB939" s="39">
        <f t="shared" si="556"/>
        <v>0</v>
      </c>
      <c r="AC939" s="39"/>
      <c r="AD939" s="39"/>
      <c r="AE939" s="39"/>
      <c r="AF939" s="39"/>
      <c r="AG939" s="39"/>
      <c r="AH939" s="39">
        <f t="shared" si="557"/>
        <v>0</v>
      </c>
      <c r="AI939" s="39"/>
      <c r="AJ939" s="39"/>
      <c r="AK939" s="39"/>
      <c r="AL939" s="39"/>
      <c r="AM939" s="39"/>
      <c r="AN939" s="39">
        <f t="shared" si="522"/>
        <v>0</v>
      </c>
      <c r="AO939" s="39"/>
      <c r="AP939" s="39"/>
      <c r="AQ939" s="39"/>
      <c r="AR939" s="39"/>
      <c r="AS939" s="39"/>
      <c r="AT939" s="39">
        <f t="shared" si="539"/>
        <v>0</v>
      </c>
      <c r="AU939" s="39"/>
      <c r="AV939" s="39"/>
      <c r="AW939" s="39"/>
      <c r="AX939" s="39"/>
      <c r="AY939" s="39"/>
      <c r="AZ939" s="39">
        <f t="shared" si="540"/>
        <v>0</v>
      </c>
      <c r="BA939" s="39"/>
      <c r="BB939" s="39"/>
      <c r="BC939" s="39"/>
      <c r="BD939" s="39"/>
      <c r="BE939" s="39"/>
      <c r="BF939" s="39">
        <f t="shared" si="541"/>
        <v>0</v>
      </c>
      <c r="BG939" s="39"/>
      <c r="BH939" s="39"/>
      <c r="BI939" s="39"/>
      <c r="BJ939" s="39"/>
      <c r="BK939" s="39"/>
      <c r="BL939" s="39">
        <f t="shared" si="558"/>
        <v>0</v>
      </c>
      <c r="BM939" s="54" t="e">
        <f t="shared" si="542"/>
        <v>#DIV/0!</v>
      </c>
      <c r="BN939" s="63"/>
      <c r="BO939" s="39"/>
      <c r="BP939" s="39"/>
      <c r="BQ939" s="39"/>
      <c r="BR939" s="39"/>
      <c r="BS939" s="39"/>
      <c r="BT939" s="39"/>
      <c r="BU939" s="39"/>
      <c r="BV939" s="39"/>
      <c r="BW939" s="39"/>
      <c r="BX939" s="39"/>
      <c r="BY939" s="39"/>
      <c r="BZ939" s="39">
        <f t="shared" si="559"/>
        <v>0</v>
      </c>
      <c r="CA939" s="39">
        <f t="shared" si="543"/>
        <v>0</v>
      </c>
      <c r="CB939" s="39">
        <f t="shared" si="544"/>
        <v>0</v>
      </c>
      <c r="CC939" s="39">
        <f t="shared" si="545"/>
        <v>0</v>
      </c>
      <c r="CD939" s="39">
        <f t="shared" si="560"/>
        <v>0</v>
      </c>
      <c r="CE939" s="47" t="e">
        <f t="shared" si="547"/>
        <v>#DIV/0!</v>
      </c>
      <c r="CF939" s="36"/>
      <c r="CG939" s="39"/>
      <c r="CH939" s="39"/>
      <c r="CI939" s="25">
        <v>3</v>
      </c>
    </row>
    <row r="940" spans="1:88" ht="24.75" customHeight="1">
      <c r="A940" s="39" t="s">
        <v>128</v>
      </c>
      <c r="B940" s="55"/>
      <c r="C940" s="36"/>
      <c r="D940" s="36"/>
      <c r="E940" s="39"/>
      <c r="F940" s="39"/>
      <c r="G940" s="36"/>
      <c r="H940" s="39"/>
      <c r="I940" s="39"/>
      <c r="J940" s="39"/>
      <c r="K940" s="39"/>
      <c r="L940" s="39">
        <f t="shared" si="554"/>
        <v>0</v>
      </c>
      <c r="M940" s="39"/>
      <c r="N940" s="39"/>
      <c r="O940" s="39"/>
      <c r="P940" s="39"/>
      <c r="Q940" s="39"/>
      <c r="R940" s="39">
        <f t="shared" si="555"/>
        <v>0</v>
      </c>
      <c r="S940" s="39"/>
      <c r="T940" s="39"/>
      <c r="U940" s="39"/>
      <c r="V940" s="39"/>
      <c r="W940" s="39"/>
      <c r="X940" s="39"/>
      <c r="Y940" s="39"/>
      <c r="Z940" s="39"/>
      <c r="AA940" s="39"/>
      <c r="AB940" s="39">
        <f t="shared" si="556"/>
        <v>0</v>
      </c>
      <c r="AC940" s="39"/>
      <c r="AD940" s="39"/>
      <c r="AE940" s="39"/>
      <c r="AF940" s="39"/>
      <c r="AG940" s="39"/>
      <c r="AH940" s="39">
        <f t="shared" si="557"/>
        <v>0</v>
      </c>
      <c r="AI940" s="39"/>
      <c r="AJ940" s="39"/>
      <c r="AK940" s="39"/>
      <c r="AL940" s="39"/>
      <c r="AM940" s="39"/>
      <c r="AN940" s="39">
        <f t="shared" si="522"/>
        <v>0</v>
      </c>
      <c r="AO940" s="39"/>
      <c r="AP940" s="39"/>
      <c r="AQ940" s="39"/>
      <c r="AR940" s="39"/>
      <c r="AS940" s="39"/>
      <c r="AT940" s="39">
        <f t="shared" si="539"/>
        <v>0</v>
      </c>
      <c r="AU940" s="39"/>
      <c r="AV940" s="39"/>
      <c r="AW940" s="39"/>
      <c r="AX940" s="39"/>
      <c r="AY940" s="39"/>
      <c r="AZ940" s="39">
        <f t="shared" si="540"/>
        <v>0</v>
      </c>
      <c r="BA940" s="39"/>
      <c r="BB940" s="39"/>
      <c r="BC940" s="39"/>
      <c r="BD940" s="39"/>
      <c r="BE940" s="39"/>
      <c r="BF940" s="39">
        <f t="shared" si="541"/>
        <v>0</v>
      </c>
      <c r="BG940" s="39"/>
      <c r="BH940" s="39"/>
      <c r="BI940" s="39"/>
      <c r="BJ940" s="39"/>
      <c r="BK940" s="39"/>
      <c r="BL940" s="39">
        <f t="shared" si="558"/>
        <v>0</v>
      </c>
      <c r="BM940" s="54" t="e">
        <f t="shared" si="542"/>
        <v>#DIV/0!</v>
      </c>
      <c r="BN940" s="63"/>
      <c r="BO940" s="39"/>
      <c r="BP940" s="39"/>
      <c r="BQ940" s="39"/>
      <c r="BR940" s="39"/>
      <c r="BS940" s="39"/>
      <c r="BT940" s="39"/>
      <c r="BU940" s="39"/>
      <c r="BV940" s="39"/>
      <c r="BW940" s="39"/>
      <c r="BX940" s="39"/>
      <c r="BY940" s="39"/>
      <c r="BZ940" s="39">
        <f t="shared" si="559"/>
        <v>0</v>
      </c>
      <c r="CA940" s="39">
        <f t="shared" si="543"/>
        <v>0</v>
      </c>
      <c r="CB940" s="39">
        <f t="shared" si="544"/>
        <v>0</v>
      </c>
      <c r="CC940" s="39">
        <f t="shared" si="545"/>
        <v>0</v>
      </c>
      <c r="CD940" s="39">
        <f t="shared" si="560"/>
        <v>0</v>
      </c>
      <c r="CE940" s="47" t="e">
        <f t="shared" si="547"/>
        <v>#DIV/0!</v>
      </c>
      <c r="CF940" s="36"/>
      <c r="CG940" s="39"/>
      <c r="CH940" s="39"/>
      <c r="CI940" s="25">
        <v>3</v>
      </c>
      <c r="CJ940" s="6" t="s">
        <v>19</v>
      </c>
    </row>
    <row r="941" spans="1:88" ht="24.75" customHeight="1">
      <c r="A941" s="39" t="s">
        <v>128</v>
      </c>
      <c r="B941" s="55"/>
      <c r="C941" s="36"/>
      <c r="D941" s="36"/>
      <c r="E941" s="39"/>
      <c r="F941" s="39"/>
      <c r="G941" s="36"/>
      <c r="H941" s="39"/>
      <c r="I941" s="39"/>
      <c r="J941" s="39"/>
      <c r="K941" s="39"/>
      <c r="L941" s="39">
        <f t="shared" si="554"/>
        <v>0</v>
      </c>
      <c r="M941" s="39"/>
      <c r="N941" s="39"/>
      <c r="O941" s="39"/>
      <c r="P941" s="39"/>
      <c r="Q941" s="39"/>
      <c r="R941" s="39">
        <f t="shared" si="555"/>
        <v>0</v>
      </c>
      <c r="S941" s="39"/>
      <c r="T941" s="39"/>
      <c r="U941" s="39"/>
      <c r="V941" s="39"/>
      <c r="W941" s="39"/>
      <c r="X941" s="39"/>
      <c r="Y941" s="39"/>
      <c r="Z941" s="39"/>
      <c r="AA941" s="39"/>
      <c r="AB941" s="39">
        <f t="shared" si="556"/>
        <v>0</v>
      </c>
      <c r="AC941" s="39"/>
      <c r="AD941" s="39"/>
      <c r="AE941" s="39"/>
      <c r="AF941" s="39"/>
      <c r="AG941" s="39"/>
      <c r="AH941" s="39">
        <f t="shared" si="557"/>
        <v>0</v>
      </c>
      <c r="AI941" s="39"/>
      <c r="AJ941" s="39"/>
      <c r="AK941" s="39"/>
      <c r="AL941" s="39"/>
      <c r="AM941" s="39"/>
      <c r="AN941" s="39">
        <f t="shared" si="522"/>
        <v>0</v>
      </c>
      <c r="AO941" s="39"/>
      <c r="AP941" s="39"/>
      <c r="AQ941" s="39"/>
      <c r="AR941" s="39"/>
      <c r="AS941" s="39"/>
      <c r="AT941" s="39">
        <f t="shared" si="539"/>
        <v>0</v>
      </c>
      <c r="AU941" s="39"/>
      <c r="AV941" s="39"/>
      <c r="AW941" s="39"/>
      <c r="AX941" s="39"/>
      <c r="AY941" s="39"/>
      <c r="AZ941" s="39">
        <f t="shared" si="540"/>
        <v>0</v>
      </c>
      <c r="BA941" s="39"/>
      <c r="BB941" s="39"/>
      <c r="BC941" s="39"/>
      <c r="BD941" s="39"/>
      <c r="BE941" s="39"/>
      <c r="BF941" s="39">
        <f t="shared" si="541"/>
        <v>0</v>
      </c>
      <c r="BG941" s="39"/>
      <c r="BH941" s="39"/>
      <c r="BI941" s="39"/>
      <c r="BJ941" s="39"/>
      <c r="BK941" s="39"/>
      <c r="BL941" s="39">
        <f t="shared" si="558"/>
        <v>0</v>
      </c>
      <c r="BM941" s="54" t="e">
        <f t="shared" si="542"/>
        <v>#DIV/0!</v>
      </c>
      <c r="BN941" s="63"/>
      <c r="BO941" s="39"/>
      <c r="BP941" s="39"/>
      <c r="BQ941" s="39"/>
      <c r="BR941" s="39"/>
      <c r="BS941" s="39"/>
      <c r="BT941" s="39"/>
      <c r="BU941" s="39"/>
      <c r="BV941" s="39"/>
      <c r="BW941" s="39"/>
      <c r="BX941" s="39"/>
      <c r="BY941" s="39"/>
      <c r="BZ941" s="39">
        <f t="shared" si="559"/>
        <v>0</v>
      </c>
      <c r="CA941" s="39">
        <f t="shared" si="543"/>
        <v>0</v>
      </c>
      <c r="CB941" s="39">
        <f t="shared" si="544"/>
        <v>0</v>
      </c>
      <c r="CC941" s="39">
        <f t="shared" si="545"/>
        <v>0</v>
      </c>
      <c r="CD941" s="39">
        <f t="shared" si="560"/>
        <v>0</v>
      </c>
      <c r="CE941" s="47" t="e">
        <f t="shared" si="547"/>
        <v>#DIV/0!</v>
      </c>
      <c r="CF941" s="36"/>
      <c r="CG941" s="39"/>
      <c r="CH941" s="39"/>
      <c r="CI941" s="25">
        <v>3</v>
      </c>
    </row>
    <row r="942" spans="1:88" ht="24.75" customHeight="1">
      <c r="A942" s="39" t="s">
        <v>128</v>
      </c>
      <c r="B942" s="55"/>
      <c r="C942" s="36"/>
      <c r="D942" s="36"/>
      <c r="E942" s="39"/>
      <c r="F942" s="39"/>
      <c r="G942" s="36"/>
      <c r="H942" s="39"/>
      <c r="I942" s="39"/>
      <c r="J942" s="39"/>
      <c r="K942" s="39"/>
      <c r="L942" s="39">
        <f t="shared" si="554"/>
        <v>0</v>
      </c>
      <c r="M942" s="39"/>
      <c r="N942" s="39"/>
      <c r="O942" s="39"/>
      <c r="P942" s="39"/>
      <c r="Q942" s="39"/>
      <c r="R942" s="39">
        <f t="shared" si="555"/>
        <v>0</v>
      </c>
      <c r="S942" s="39"/>
      <c r="T942" s="39"/>
      <c r="U942" s="39"/>
      <c r="V942" s="39"/>
      <c r="W942" s="39"/>
      <c r="X942" s="39"/>
      <c r="Y942" s="39"/>
      <c r="Z942" s="39"/>
      <c r="AA942" s="39"/>
      <c r="AB942" s="39">
        <f t="shared" si="556"/>
        <v>0</v>
      </c>
      <c r="AC942" s="39"/>
      <c r="AD942" s="39"/>
      <c r="AE942" s="39"/>
      <c r="AF942" s="39"/>
      <c r="AG942" s="39"/>
      <c r="AH942" s="39">
        <f t="shared" si="557"/>
        <v>0</v>
      </c>
      <c r="AI942" s="39"/>
      <c r="AJ942" s="39"/>
      <c r="AK942" s="39"/>
      <c r="AL942" s="39"/>
      <c r="AM942" s="39"/>
      <c r="AN942" s="39">
        <f t="shared" si="522"/>
        <v>0</v>
      </c>
      <c r="AO942" s="39"/>
      <c r="AP942" s="39"/>
      <c r="AQ942" s="39"/>
      <c r="AR942" s="39"/>
      <c r="AS942" s="39"/>
      <c r="AT942" s="39">
        <f t="shared" si="539"/>
        <v>0</v>
      </c>
      <c r="AU942" s="39"/>
      <c r="AV942" s="39"/>
      <c r="AW942" s="39"/>
      <c r="AX942" s="39"/>
      <c r="AY942" s="39"/>
      <c r="AZ942" s="39">
        <f t="shared" si="540"/>
        <v>0</v>
      </c>
      <c r="BA942" s="39"/>
      <c r="BB942" s="39"/>
      <c r="BC942" s="39"/>
      <c r="BD942" s="39"/>
      <c r="BE942" s="39"/>
      <c r="BF942" s="39">
        <f t="shared" si="541"/>
        <v>0</v>
      </c>
      <c r="BG942" s="39"/>
      <c r="BH942" s="39"/>
      <c r="BI942" s="39"/>
      <c r="BJ942" s="39"/>
      <c r="BK942" s="39"/>
      <c r="BL942" s="39">
        <f t="shared" si="558"/>
        <v>0</v>
      </c>
      <c r="BM942" s="54" t="e">
        <f t="shared" si="542"/>
        <v>#DIV/0!</v>
      </c>
      <c r="BN942" s="63"/>
      <c r="BO942" s="39"/>
      <c r="BP942" s="39"/>
      <c r="BQ942" s="39"/>
      <c r="BR942" s="39"/>
      <c r="BS942" s="39"/>
      <c r="BT942" s="39"/>
      <c r="BU942" s="39"/>
      <c r="BV942" s="39"/>
      <c r="BW942" s="39"/>
      <c r="BX942" s="39"/>
      <c r="BY942" s="39"/>
      <c r="BZ942" s="39">
        <f t="shared" si="559"/>
        <v>0</v>
      </c>
      <c r="CA942" s="39">
        <f t="shared" si="543"/>
        <v>0</v>
      </c>
      <c r="CB942" s="39">
        <f t="shared" si="544"/>
        <v>0</v>
      </c>
      <c r="CC942" s="39">
        <f t="shared" si="545"/>
        <v>0</v>
      </c>
      <c r="CD942" s="39">
        <f t="shared" si="560"/>
        <v>0</v>
      </c>
      <c r="CE942" s="47" t="e">
        <f t="shared" si="547"/>
        <v>#DIV/0!</v>
      </c>
      <c r="CF942" s="36"/>
      <c r="CG942" s="39"/>
      <c r="CH942" s="39"/>
      <c r="CI942" s="25">
        <v>3</v>
      </c>
    </row>
    <row r="943" spans="1:88" ht="24.75" customHeight="1">
      <c r="A943" s="39" t="s">
        <v>128</v>
      </c>
      <c r="B943" s="55"/>
      <c r="C943" s="36"/>
      <c r="D943" s="36"/>
      <c r="E943" s="39"/>
      <c r="F943" s="39"/>
      <c r="G943" s="36"/>
      <c r="H943" s="39"/>
      <c r="I943" s="39"/>
      <c r="J943" s="39"/>
      <c r="K943" s="39"/>
      <c r="L943" s="39">
        <f t="shared" si="554"/>
        <v>0</v>
      </c>
      <c r="M943" s="39"/>
      <c r="N943" s="39"/>
      <c r="O943" s="39"/>
      <c r="P943" s="39"/>
      <c r="Q943" s="39"/>
      <c r="R943" s="39">
        <f t="shared" si="555"/>
        <v>0</v>
      </c>
      <c r="S943" s="39"/>
      <c r="T943" s="39"/>
      <c r="U943" s="39"/>
      <c r="V943" s="39"/>
      <c r="W943" s="39"/>
      <c r="X943" s="39"/>
      <c r="Y943" s="39"/>
      <c r="Z943" s="39"/>
      <c r="AA943" s="39"/>
      <c r="AB943" s="39">
        <f t="shared" si="556"/>
        <v>0</v>
      </c>
      <c r="AC943" s="39"/>
      <c r="AD943" s="39"/>
      <c r="AE943" s="39"/>
      <c r="AF943" s="39"/>
      <c r="AG943" s="39"/>
      <c r="AH943" s="39">
        <f t="shared" si="557"/>
        <v>0</v>
      </c>
      <c r="AI943" s="39"/>
      <c r="AJ943" s="39"/>
      <c r="AK943" s="39"/>
      <c r="AL943" s="39"/>
      <c r="AM943" s="39"/>
      <c r="AN943" s="39">
        <f t="shared" si="522"/>
        <v>0</v>
      </c>
      <c r="AO943" s="39"/>
      <c r="AP943" s="39"/>
      <c r="AQ943" s="39"/>
      <c r="AR943" s="39"/>
      <c r="AS943" s="39"/>
      <c r="AT943" s="39">
        <f t="shared" si="539"/>
        <v>0</v>
      </c>
      <c r="AU943" s="39"/>
      <c r="AV943" s="39"/>
      <c r="AW943" s="39"/>
      <c r="AX943" s="39"/>
      <c r="AY943" s="39"/>
      <c r="AZ943" s="39">
        <f t="shared" si="540"/>
        <v>0</v>
      </c>
      <c r="BA943" s="39"/>
      <c r="BB943" s="39"/>
      <c r="BC943" s="39"/>
      <c r="BD943" s="39"/>
      <c r="BE943" s="39"/>
      <c r="BF943" s="39">
        <f t="shared" si="541"/>
        <v>0</v>
      </c>
      <c r="BG943" s="39"/>
      <c r="BH943" s="39"/>
      <c r="BI943" s="39"/>
      <c r="BJ943" s="39"/>
      <c r="BK943" s="39"/>
      <c r="BL943" s="39">
        <f t="shared" si="558"/>
        <v>0</v>
      </c>
      <c r="BM943" s="54" t="e">
        <f t="shared" si="542"/>
        <v>#DIV/0!</v>
      </c>
      <c r="BN943" s="63"/>
      <c r="BO943" s="39"/>
      <c r="BP943" s="39"/>
      <c r="BQ943" s="39"/>
      <c r="BR943" s="39"/>
      <c r="BS943" s="39"/>
      <c r="BT943" s="39"/>
      <c r="BU943" s="39"/>
      <c r="BV943" s="39"/>
      <c r="BW943" s="39"/>
      <c r="BX943" s="39"/>
      <c r="BY943" s="39"/>
      <c r="BZ943" s="39">
        <f t="shared" si="559"/>
        <v>0</v>
      </c>
      <c r="CA943" s="39">
        <f t="shared" si="543"/>
        <v>0</v>
      </c>
      <c r="CB943" s="39">
        <f t="shared" si="544"/>
        <v>0</v>
      </c>
      <c r="CC943" s="39">
        <f t="shared" si="545"/>
        <v>0</v>
      </c>
      <c r="CD943" s="39">
        <f t="shared" si="560"/>
        <v>0</v>
      </c>
      <c r="CE943" s="47" t="e">
        <f t="shared" si="547"/>
        <v>#DIV/0!</v>
      </c>
      <c r="CF943" s="36"/>
      <c r="CG943" s="39"/>
      <c r="CH943" s="39"/>
      <c r="CI943" s="25">
        <v>3</v>
      </c>
    </row>
    <row r="944" spans="1:88" ht="24.75" customHeight="1">
      <c r="A944" s="39" t="s">
        <v>86</v>
      </c>
      <c r="B944" s="55"/>
      <c r="C944" s="39"/>
      <c r="D944" s="39"/>
      <c r="E944" s="39"/>
      <c r="F944" s="39"/>
      <c r="G944" s="36"/>
      <c r="H944" s="39"/>
      <c r="I944" s="39"/>
      <c r="J944" s="39"/>
      <c r="K944" s="39"/>
      <c r="L944" s="39">
        <f>SUM(I944:K944)</f>
        <v>0</v>
      </c>
      <c r="M944" s="39"/>
      <c r="N944" s="39"/>
      <c r="O944" s="39"/>
      <c r="P944" s="39"/>
      <c r="Q944" s="39"/>
      <c r="R944" s="39">
        <f>SUM(O944:Q944)</f>
        <v>0</v>
      </c>
      <c r="S944" s="39"/>
      <c r="T944" s="39"/>
      <c r="U944" s="39"/>
      <c r="V944" s="39"/>
      <c r="W944" s="39"/>
      <c r="X944" s="39"/>
      <c r="Y944" s="39"/>
      <c r="Z944" s="39"/>
      <c r="AA944" s="39"/>
      <c r="AB944" s="39">
        <f>SUM(Y944:AA944)</f>
        <v>0</v>
      </c>
      <c r="AC944" s="39"/>
      <c r="AD944" s="39"/>
      <c r="AE944" s="39"/>
      <c r="AF944" s="39"/>
      <c r="AG944" s="39"/>
      <c r="AH944" s="39">
        <f>AG944-AE944</f>
        <v>0</v>
      </c>
      <c r="AI944" s="39"/>
      <c r="AJ944" s="39"/>
      <c r="AK944" s="39"/>
      <c r="AL944" s="39"/>
      <c r="AM944" s="39"/>
      <c r="AN944" s="39">
        <f t="shared" si="522"/>
        <v>0</v>
      </c>
      <c r="AO944" s="39"/>
      <c r="AP944" s="39"/>
      <c r="AQ944" s="39"/>
      <c r="AR944" s="39"/>
      <c r="AS944" s="39"/>
      <c r="AT944" s="39">
        <f t="shared" si="539"/>
        <v>0</v>
      </c>
      <c r="AU944" s="39"/>
      <c r="AV944" s="39"/>
      <c r="AW944" s="39"/>
      <c r="AX944" s="39"/>
      <c r="AY944" s="39"/>
      <c r="AZ944" s="39">
        <f t="shared" si="540"/>
        <v>0</v>
      </c>
      <c r="BA944" s="39"/>
      <c r="BB944" s="39"/>
      <c r="BC944" s="39"/>
      <c r="BD944" s="39"/>
      <c r="BE944" s="39"/>
      <c r="BF944" s="39">
        <f t="shared" si="541"/>
        <v>0</v>
      </c>
      <c r="BG944" s="39"/>
      <c r="BH944" s="39"/>
      <c r="BI944" s="39"/>
      <c r="BJ944" s="39"/>
      <c r="BK944" s="39"/>
      <c r="BL944" s="39">
        <f>BK944-BI944</f>
        <v>0</v>
      </c>
      <c r="BM944" s="54" t="e">
        <f t="shared" si="542"/>
        <v>#DIV/0!</v>
      </c>
      <c r="BN944" s="42"/>
      <c r="BO944" s="39"/>
      <c r="BP944" s="39"/>
      <c r="BQ944" s="39"/>
      <c r="BR944" s="39"/>
      <c r="BS944" s="39"/>
      <c r="BT944" s="39"/>
      <c r="BU944" s="39"/>
      <c r="BV944" s="39"/>
      <c r="BW944" s="39"/>
      <c r="BX944" s="39"/>
      <c r="BY944" s="39"/>
      <c r="BZ944" s="39">
        <f>BU944+BW944+BY944</f>
        <v>0</v>
      </c>
      <c r="CA944" s="39">
        <f t="shared" si="543"/>
        <v>0</v>
      </c>
      <c r="CB944" s="39">
        <f t="shared" si="544"/>
        <v>0</v>
      </c>
      <c r="CC944" s="39">
        <f t="shared" si="545"/>
        <v>0</v>
      </c>
      <c r="CD944" s="39">
        <f>SUMIF(CA944:CC944,"&lt;0")</f>
        <v>0</v>
      </c>
      <c r="CE944" s="47" t="e">
        <f t="shared" si="547"/>
        <v>#DIV/0!</v>
      </c>
      <c r="CF944" s="39"/>
      <c r="CG944" s="39"/>
      <c r="CH944" s="39"/>
      <c r="CI944" s="25">
        <v>1</v>
      </c>
      <c r="CJ944" s="6" t="s">
        <v>19</v>
      </c>
    </row>
    <row r="945" spans="1:124" ht="24.75" customHeight="1">
      <c r="A945" s="39" t="s">
        <v>86</v>
      </c>
      <c r="B945" s="55"/>
      <c r="C945" s="39"/>
      <c r="D945" s="39"/>
      <c r="E945" s="39"/>
      <c r="F945" s="39"/>
      <c r="G945" s="36"/>
      <c r="H945" s="39"/>
      <c r="I945" s="39"/>
      <c r="J945" s="39"/>
      <c r="K945" s="39"/>
      <c r="L945" s="39">
        <f>SUM(I945:K945)</f>
        <v>0</v>
      </c>
      <c r="M945" s="39"/>
      <c r="N945" s="39"/>
      <c r="O945" s="39"/>
      <c r="P945" s="39"/>
      <c r="Q945" s="39"/>
      <c r="R945" s="39">
        <f>SUM(O945:Q945)</f>
        <v>0</v>
      </c>
      <c r="S945" s="39"/>
      <c r="T945" s="39"/>
      <c r="U945" s="39"/>
      <c r="V945" s="39"/>
      <c r="W945" s="39"/>
      <c r="X945" s="39"/>
      <c r="Y945" s="39"/>
      <c r="Z945" s="39"/>
      <c r="AA945" s="39"/>
      <c r="AB945" s="39">
        <f>SUM(Y945:AA945)</f>
        <v>0</v>
      </c>
      <c r="AC945" s="39"/>
      <c r="AD945" s="39"/>
      <c r="AE945" s="39"/>
      <c r="AF945" s="39"/>
      <c r="AG945" s="39"/>
      <c r="AH945" s="39">
        <f>AG945-AE945</f>
        <v>0</v>
      </c>
      <c r="AI945" s="39"/>
      <c r="AJ945" s="39"/>
      <c r="AK945" s="39"/>
      <c r="AL945" s="39"/>
      <c r="AM945" s="39"/>
      <c r="AN945" s="39">
        <f t="shared" si="522"/>
        <v>0</v>
      </c>
      <c r="AO945" s="39"/>
      <c r="AP945" s="39"/>
      <c r="AQ945" s="39"/>
      <c r="AR945" s="39"/>
      <c r="AS945" s="39"/>
      <c r="AT945" s="39">
        <f t="shared" si="539"/>
        <v>0</v>
      </c>
      <c r="AU945" s="39"/>
      <c r="AV945" s="39"/>
      <c r="AW945" s="39"/>
      <c r="AX945" s="39"/>
      <c r="AY945" s="39"/>
      <c r="AZ945" s="39">
        <f t="shared" si="540"/>
        <v>0</v>
      </c>
      <c r="BA945" s="39"/>
      <c r="BB945" s="39"/>
      <c r="BC945" s="39"/>
      <c r="BD945" s="39"/>
      <c r="BE945" s="39"/>
      <c r="BF945" s="39">
        <f t="shared" si="541"/>
        <v>0</v>
      </c>
      <c r="BG945" s="39"/>
      <c r="BH945" s="39"/>
      <c r="BI945" s="39"/>
      <c r="BJ945" s="39"/>
      <c r="BK945" s="39"/>
      <c r="BL945" s="39">
        <f>BK945-BI945</f>
        <v>0</v>
      </c>
      <c r="BM945" s="54" t="e">
        <f t="shared" si="542"/>
        <v>#DIV/0!</v>
      </c>
      <c r="BN945" s="42"/>
      <c r="BO945" s="39"/>
      <c r="BP945" s="39"/>
      <c r="BQ945" s="39"/>
      <c r="BR945" s="39"/>
      <c r="BS945" s="39"/>
      <c r="BT945" s="39"/>
      <c r="BU945" s="39"/>
      <c r="BV945" s="39"/>
      <c r="BW945" s="39"/>
      <c r="BX945" s="39"/>
      <c r="BY945" s="39"/>
      <c r="BZ945" s="39">
        <f>BU945+BW945+BY945</f>
        <v>0</v>
      </c>
      <c r="CA945" s="39">
        <f t="shared" si="543"/>
        <v>0</v>
      </c>
      <c r="CB945" s="39">
        <f t="shared" si="544"/>
        <v>0</v>
      </c>
      <c r="CC945" s="39">
        <f t="shared" si="545"/>
        <v>0</v>
      </c>
      <c r="CD945" s="39">
        <f>SUMIF(CA945:CC945,"&lt;0")</f>
        <v>0</v>
      </c>
      <c r="CE945" s="47" t="e">
        <f t="shared" si="547"/>
        <v>#DIV/0!</v>
      </c>
      <c r="CF945" s="39"/>
      <c r="CG945" s="39"/>
      <c r="CH945" s="39"/>
      <c r="CI945" s="25">
        <v>1</v>
      </c>
      <c r="CJ945" s="6" t="s">
        <v>19</v>
      </c>
    </row>
    <row r="946" spans="1:124" ht="24.75" customHeight="1">
      <c r="A946" s="39" t="s">
        <v>86</v>
      </c>
      <c r="B946" s="55"/>
      <c r="C946" s="39"/>
      <c r="D946" s="39"/>
      <c r="E946" s="39"/>
      <c r="F946" s="39"/>
      <c r="G946" s="36"/>
      <c r="H946" s="39"/>
      <c r="I946" s="39"/>
      <c r="J946" s="39"/>
      <c r="K946" s="39"/>
      <c r="L946" s="39">
        <f>SUM(I946:K946)</f>
        <v>0</v>
      </c>
      <c r="M946" s="39"/>
      <c r="N946" s="39"/>
      <c r="O946" s="39"/>
      <c r="P946" s="39"/>
      <c r="Q946" s="39"/>
      <c r="R946" s="39">
        <f>SUM(O946:Q946)</f>
        <v>0</v>
      </c>
      <c r="S946" s="39"/>
      <c r="T946" s="39"/>
      <c r="U946" s="39"/>
      <c r="V946" s="39"/>
      <c r="W946" s="39"/>
      <c r="X946" s="39"/>
      <c r="Y946" s="39"/>
      <c r="Z946" s="39"/>
      <c r="AA946" s="39"/>
      <c r="AB946" s="39">
        <f>SUM(Y946:AA946)</f>
        <v>0</v>
      </c>
      <c r="AC946" s="39"/>
      <c r="AD946" s="39"/>
      <c r="AE946" s="39"/>
      <c r="AF946" s="39"/>
      <c r="AG946" s="39"/>
      <c r="AH946" s="39">
        <f>AG946-AE946</f>
        <v>0</v>
      </c>
      <c r="AI946" s="39"/>
      <c r="AJ946" s="39"/>
      <c r="AK946" s="39"/>
      <c r="AL946" s="39"/>
      <c r="AM946" s="39"/>
      <c r="AN946" s="39">
        <f t="shared" si="522"/>
        <v>0</v>
      </c>
      <c r="AO946" s="39"/>
      <c r="AP946" s="39"/>
      <c r="AQ946" s="39"/>
      <c r="AR946" s="39"/>
      <c r="AS946" s="39"/>
      <c r="AT946" s="39">
        <f t="shared" si="539"/>
        <v>0</v>
      </c>
      <c r="AU946" s="39"/>
      <c r="AV946" s="39"/>
      <c r="AW946" s="39"/>
      <c r="AX946" s="39"/>
      <c r="AY946" s="39"/>
      <c r="AZ946" s="39">
        <f t="shared" si="540"/>
        <v>0</v>
      </c>
      <c r="BA946" s="39"/>
      <c r="BB946" s="39"/>
      <c r="BC946" s="39"/>
      <c r="BD946" s="39"/>
      <c r="BE946" s="39"/>
      <c r="BF946" s="39">
        <f t="shared" si="541"/>
        <v>0</v>
      </c>
      <c r="BG946" s="39"/>
      <c r="BH946" s="39"/>
      <c r="BI946" s="39"/>
      <c r="BJ946" s="39"/>
      <c r="BK946" s="39"/>
      <c r="BL946" s="39">
        <f>BK946-BI946</f>
        <v>0</v>
      </c>
      <c r="BM946" s="54" t="e">
        <f t="shared" si="542"/>
        <v>#DIV/0!</v>
      </c>
      <c r="BN946" s="42"/>
      <c r="BO946" s="39"/>
      <c r="BP946" s="39"/>
      <c r="BQ946" s="39"/>
      <c r="BR946" s="39"/>
      <c r="BS946" s="39"/>
      <c r="BT946" s="39"/>
      <c r="BU946" s="39"/>
      <c r="BV946" s="39"/>
      <c r="BW946" s="39"/>
      <c r="BX946" s="39"/>
      <c r="BY946" s="39"/>
      <c r="BZ946" s="39">
        <f>BU946+BW946+BY946</f>
        <v>0</v>
      </c>
      <c r="CA946" s="39">
        <f t="shared" si="543"/>
        <v>0</v>
      </c>
      <c r="CB946" s="39">
        <f t="shared" si="544"/>
        <v>0</v>
      </c>
      <c r="CC946" s="39">
        <f t="shared" si="545"/>
        <v>0</v>
      </c>
      <c r="CD946" s="39">
        <f>SUMIF(CA946:CC946,"&lt;0")</f>
        <v>0</v>
      </c>
      <c r="CE946" s="47" t="e">
        <f t="shared" si="547"/>
        <v>#DIV/0!</v>
      </c>
      <c r="CF946" s="39"/>
      <c r="CG946" s="39"/>
      <c r="CH946" s="39"/>
      <c r="CI946" s="25">
        <v>1</v>
      </c>
      <c r="CJ946" s="6" t="s">
        <v>19</v>
      </c>
    </row>
    <row r="947" spans="1:124" s="3" customFormat="1" ht="24.75" customHeight="1">
      <c r="A947" s="39" t="s">
        <v>86</v>
      </c>
      <c r="B947" s="55"/>
      <c r="C947" s="39"/>
      <c r="D947" s="39"/>
      <c r="E947" s="39"/>
      <c r="F947" s="39"/>
      <c r="G947" s="36"/>
      <c r="H947" s="39"/>
      <c r="I947" s="39"/>
      <c r="J947" s="39"/>
      <c r="K947" s="39"/>
      <c r="L947" s="39">
        <f>SUM(I947:K947)</f>
        <v>0</v>
      </c>
      <c r="M947" s="39"/>
      <c r="N947" s="39"/>
      <c r="O947" s="39"/>
      <c r="P947" s="39"/>
      <c r="Q947" s="39"/>
      <c r="R947" s="39">
        <f>SUM(O947:Q947)</f>
        <v>0</v>
      </c>
      <c r="S947" s="39"/>
      <c r="T947" s="39"/>
      <c r="U947" s="39"/>
      <c r="V947" s="39"/>
      <c r="W947" s="39"/>
      <c r="X947" s="39"/>
      <c r="Y947" s="39"/>
      <c r="Z947" s="39"/>
      <c r="AA947" s="39"/>
      <c r="AB947" s="39">
        <f>SUM(Y947:AA947)</f>
        <v>0</v>
      </c>
      <c r="AC947" s="39"/>
      <c r="AD947" s="39"/>
      <c r="AE947" s="39"/>
      <c r="AF947" s="39"/>
      <c r="AG947" s="39"/>
      <c r="AH947" s="39">
        <f>AG947-AE947</f>
        <v>0</v>
      </c>
      <c r="AI947" s="39"/>
      <c r="AJ947" s="39"/>
      <c r="AK947" s="39"/>
      <c r="AL947" s="39"/>
      <c r="AM947" s="39"/>
      <c r="AN947" s="39">
        <f t="shared" si="522"/>
        <v>0</v>
      </c>
      <c r="AO947" s="39"/>
      <c r="AP947" s="39"/>
      <c r="AQ947" s="39"/>
      <c r="AR947" s="39"/>
      <c r="AS947" s="39"/>
      <c r="AT947" s="39">
        <f t="shared" si="539"/>
        <v>0</v>
      </c>
      <c r="AU947" s="39"/>
      <c r="AV947" s="39"/>
      <c r="AW947" s="39"/>
      <c r="AX947" s="39"/>
      <c r="AY947" s="39"/>
      <c r="AZ947" s="39">
        <f t="shared" si="540"/>
        <v>0</v>
      </c>
      <c r="BA947" s="39"/>
      <c r="BB947" s="39"/>
      <c r="BC947" s="39"/>
      <c r="BD947" s="39"/>
      <c r="BE947" s="39"/>
      <c r="BF947" s="39">
        <f t="shared" si="541"/>
        <v>0</v>
      </c>
      <c r="BG947" s="39"/>
      <c r="BH947" s="39"/>
      <c r="BI947" s="39"/>
      <c r="BJ947" s="39"/>
      <c r="BK947" s="39"/>
      <c r="BL947" s="39">
        <f>BK947-BI947</f>
        <v>0</v>
      </c>
      <c r="BM947" s="54" t="e">
        <f t="shared" si="542"/>
        <v>#DIV/0!</v>
      </c>
      <c r="BN947" s="42"/>
      <c r="BO947" s="39"/>
      <c r="BP947" s="39"/>
      <c r="BQ947" s="39"/>
      <c r="BR947" s="39"/>
      <c r="BS947" s="39"/>
      <c r="BT947" s="39"/>
      <c r="BU947" s="39"/>
      <c r="BV947" s="39"/>
      <c r="BW947" s="39"/>
      <c r="BX947" s="39"/>
      <c r="BY947" s="39"/>
      <c r="BZ947" s="39">
        <f>BU947+BW947+BY947</f>
        <v>0</v>
      </c>
      <c r="CA947" s="39">
        <f t="shared" si="543"/>
        <v>0</v>
      </c>
      <c r="CB947" s="39">
        <f t="shared" si="544"/>
        <v>0</v>
      </c>
      <c r="CC947" s="39">
        <f t="shared" si="545"/>
        <v>0</v>
      </c>
      <c r="CD947" s="39">
        <f>SUMIF(CA947:CC947,"&lt;0")</f>
        <v>0</v>
      </c>
      <c r="CE947" s="47" t="e">
        <f t="shared" si="547"/>
        <v>#DIV/0!</v>
      </c>
      <c r="CF947" s="39"/>
      <c r="CG947" s="39"/>
      <c r="CH947" s="39"/>
      <c r="CI947" s="25">
        <v>1</v>
      </c>
      <c r="DA947" s="6"/>
      <c r="DB947" s="6"/>
      <c r="DC947" s="6"/>
      <c r="DD947" s="6"/>
      <c r="DE947" s="6"/>
      <c r="DF947" s="6"/>
      <c r="DG947" s="6"/>
      <c r="DH947" s="6"/>
      <c r="DI947" s="6"/>
      <c r="DJ947" s="6"/>
      <c r="DK947" s="6"/>
      <c r="DL947" s="6"/>
      <c r="DM947" s="6"/>
      <c r="DN947" s="6"/>
      <c r="DO947" s="6"/>
      <c r="DP947" s="6"/>
      <c r="DQ947" s="6"/>
      <c r="DR947" s="6"/>
      <c r="DS947" s="6"/>
      <c r="DT947" s="6"/>
    </row>
    <row r="948" spans="1:124" ht="24.75" customHeight="1">
      <c r="A948" s="39" t="s">
        <v>86</v>
      </c>
      <c r="B948" s="55"/>
      <c r="C948" s="39"/>
      <c r="D948" s="39"/>
      <c r="E948" s="39"/>
      <c r="F948" s="39"/>
      <c r="G948" s="36"/>
      <c r="H948" s="39"/>
      <c r="I948" s="39"/>
      <c r="J948" s="39"/>
      <c r="K948" s="39"/>
      <c r="L948" s="39">
        <f>SUM(I948:K948)</f>
        <v>0</v>
      </c>
      <c r="M948" s="39"/>
      <c r="N948" s="39"/>
      <c r="O948" s="39"/>
      <c r="P948" s="39"/>
      <c r="Q948" s="39"/>
      <c r="R948" s="39">
        <f>SUM(O948:Q948)</f>
        <v>0</v>
      </c>
      <c r="S948" s="39"/>
      <c r="T948" s="39"/>
      <c r="U948" s="39"/>
      <c r="V948" s="39"/>
      <c r="W948" s="39"/>
      <c r="X948" s="39"/>
      <c r="Y948" s="39"/>
      <c r="Z948" s="39"/>
      <c r="AA948" s="39"/>
      <c r="AB948" s="39">
        <f>SUM(Y948:AA948)</f>
        <v>0</v>
      </c>
      <c r="AC948" s="39"/>
      <c r="AD948" s="39"/>
      <c r="AE948" s="39"/>
      <c r="AF948" s="39"/>
      <c r="AG948" s="39"/>
      <c r="AH948" s="39">
        <f>AG948-AE948</f>
        <v>0</v>
      </c>
      <c r="AI948" s="39"/>
      <c r="AJ948" s="39"/>
      <c r="AK948" s="39"/>
      <c r="AL948" s="39"/>
      <c r="AM948" s="39"/>
      <c r="AN948" s="39">
        <f t="shared" si="522"/>
        <v>0</v>
      </c>
      <c r="AO948" s="39"/>
      <c r="AP948" s="39"/>
      <c r="AQ948" s="39"/>
      <c r="AR948" s="39"/>
      <c r="AS948" s="39"/>
      <c r="AT948" s="39">
        <f t="shared" si="539"/>
        <v>0</v>
      </c>
      <c r="AU948" s="39"/>
      <c r="AV948" s="39"/>
      <c r="AW948" s="39"/>
      <c r="AX948" s="39"/>
      <c r="AY948" s="39"/>
      <c r="AZ948" s="39">
        <f t="shared" si="540"/>
        <v>0</v>
      </c>
      <c r="BA948" s="39"/>
      <c r="BB948" s="39"/>
      <c r="BC948" s="39"/>
      <c r="BD948" s="39"/>
      <c r="BE948" s="39"/>
      <c r="BF948" s="39">
        <f t="shared" si="541"/>
        <v>0</v>
      </c>
      <c r="BG948" s="39"/>
      <c r="BH948" s="39"/>
      <c r="BI948" s="39"/>
      <c r="BJ948" s="39"/>
      <c r="BK948" s="39"/>
      <c r="BL948" s="39">
        <f>BK948-BI948</f>
        <v>0</v>
      </c>
      <c r="BM948" s="54" t="e">
        <f t="shared" si="542"/>
        <v>#DIV/0!</v>
      </c>
      <c r="BN948" s="42"/>
      <c r="BO948" s="39"/>
      <c r="BP948" s="39"/>
      <c r="BQ948" s="39"/>
      <c r="BR948" s="39"/>
      <c r="BS948" s="39"/>
      <c r="BT948" s="39"/>
      <c r="BU948" s="39"/>
      <c r="BV948" s="39"/>
      <c r="BW948" s="39"/>
      <c r="BX948" s="39"/>
      <c r="BY948" s="39"/>
      <c r="BZ948" s="39">
        <f>BU948+BW948+BY948</f>
        <v>0</v>
      </c>
      <c r="CA948" s="39">
        <f t="shared" si="543"/>
        <v>0</v>
      </c>
      <c r="CB948" s="39">
        <f t="shared" si="544"/>
        <v>0</v>
      </c>
      <c r="CC948" s="39">
        <f t="shared" si="545"/>
        <v>0</v>
      </c>
      <c r="CD948" s="39">
        <f>SUMIF(CA948:CC948,"&lt;0")</f>
        <v>0</v>
      </c>
      <c r="CE948" s="47" t="e">
        <f t="shared" si="547"/>
        <v>#DIV/0!</v>
      </c>
      <c r="CF948" s="39"/>
      <c r="CG948" s="39"/>
      <c r="CH948" s="39"/>
      <c r="CI948" s="25">
        <v>1</v>
      </c>
      <c r="CJ948" s="6" t="s">
        <v>19</v>
      </c>
    </row>
    <row r="949" spans="1:124" ht="24.75" customHeight="1">
      <c r="A949" s="39" t="s">
        <v>86</v>
      </c>
      <c r="B949" s="55">
        <v>48715</v>
      </c>
      <c r="C949" s="36" t="s">
        <v>2601</v>
      </c>
      <c r="D949" s="36" t="s">
        <v>24</v>
      </c>
      <c r="E949" s="39">
        <v>160</v>
      </c>
      <c r="F949" s="39" t="s">
        <v>55</v>
      </c>
      <c r="G949" s="36" t="s">
        <v>2602</v>
      </c>
      <c r="H949" s="36" t="s">
        <v>26</v>
      </c>
      <c r="I949" s="39">
        <f>2101+310</f>
        <v>2411</v>
      </c>
      <c r="J949" s="39"/>
      <c r="K949" s="39"/>
      <c r="L949" s="39">
        <f t="shared" ref="L949:L953" si="561">SUM(I949:K949)</f>
        <v>2411</v>
      </c>
      <c r="M949" s="117">
        <v>46277</v>
      </c>
      <c r="N949" s="117">
        <v>46287</v>
      </c>
      <c r="O949" s="39"/>
      <c r="P949" s="39"/>
      <c r="Q949" s="39"/>
      <c r="R949" s="39">
        <f t="shared" ref="R949:R952" si="562">SUM(O949:Q949)</f>
        <v>0</v>
      </c>
      <c r="S949" s="39" t="s">
        <v>130</v>
      </c>
      <c r="T949" s="39"/>
      <c r="U949" s="39"/>
      <c r="V949" s="39"/>
      <c r="W949" s="39"/>
      <c r="X949" s="39"/>
      <c r="Y949" s="39"/>
      <c r="Z949" s="39"/>
      <c r="AA949" s="39"/>
      <c r="AB949" s="118">
        <f t="shared" ref="AB949:AB953" si="563">SUM(Y949:AA949)</f>
        <v>0</v>
      </c>
      <c r="AC949" s="39"/>
      <c r="AD949" s="39"/>
      <c r="AE949" s="39"/>
      <c r="AF949" s="39"/>
      <c r="AG949" s="39"/>
      <c r="AH949" s="39">
        <f t="shared" ref="AH949:AH953" si="564">AG949-AE949</f>
        <v>0</v>
      </c>
      <c r="AI949" s="39"/>
      <c r="AJ949" s="39"/>
      <c r="AK949" s="39"/>
      <c r="AL949" s="39"/>
      <c r="AM949" s="39"/>
      <c r="AN949" s="39">
        <f t="shared" si="522"/>
        <v>0</v>
      </c>
      <c r="AO949" s="39"/>
      <c r="AP949" s="39"/>
      <c r="AQ949" s="39"/>
      <c r="AR949" s="39"/>
      <c r="AS949" s="39"/>
      <c r="AT949" s="39">
        <f t="shared" si="539"/>
        <v>0</v>
      </c>
      <c r="AU949" s="39"/>
      <c r="AV949" s="39"/>
      <c r="AW949" s="39"/>
      <c r="AX949" s="39"/>
      <c r="AY949" s="39"/>
      <c r="AZ949" s="39">
        <f t="shared" si="540"/>
        <v>0</v>
      </c>
      <c r="BA949" s="39"/>
      <c r="BB949" s="39"/>
      <c r="BC949" s="39"/>
      <c r="BD949" s="39"/>
      <c r="BE949" s="39"/>
      <c r="BF949" s="39">
        <f t="shared" si="541"/>
        <v>0</v>
      </c>
      <c r="BG949" s="39"/>
      <c r="BH949" s="39"/>
      <c r="BI949" s="39"/>
      <c r="BJ949" s="39"/>
      <c r="BK949" s="39"/>
      <c r="BL949" s="39">
        <f t="shared" ref="BL949:BL953" si="565">BK949-BI949</f>
        <v>0</v>
      </c>
      <c r="BM949" s="54">
        <f t="shared" ca="1" si="542"/>
        <v>46283</v>
      </c>
      <c r="BN949" s="66">
        <v>46283</v>
      </c>
      <c r="BO949" s="117">
        <v>46290</v>
      </c>
      <c r="BP949" s="39"/>
      <c r="BQ949" s="39"/>
      <c r="BR949" s="39"/>
      <c r="BS949" s="39"/>
      <c r="BT949" s="39"/>
      <c r="BU949" s="39"/>
      <c r="BV949" s="39"/>
      <c r="BW949" s="39"/>
      <c r="BX949" s="39"/>
      <c r="BY949" s="39"/>
      <c r="BZ949" s="39">
        <f t="shared" ref="BZ949:BZ953" si="566">BU949+BW949+BY949</f>
        <v>0</v>
      </c>
      <c r="CA949" s="39">
        <f t="shared" si="543"/>
        <v>-2411</v>
      </c>
      <c r="CB949" s="39">
        <f t="shared" si="544"/>
        <v>0</v>
      </c>
      <c r="CC949" s="39">
        <f t="shared" si="545"/>
        <v>0</v>
      </c>
      <c r="CD949" s="39">
        <f t="shared" ref="CD949:CD953" si="567">SUMIF(CA949:CC949,"&lt;0")</f>
        <v>-2411</v>
      </c>
      <c r="CE949" s="102">
        <f t="shared" si="547"/>
        <v>-1</v>
      </c>
      <c r="CF949" s="39"/>
      <c r="CG949" s="39" t="s">
        <v>234</v>
      </c>
      <c r="CH949" s="39"/>
      <c r="CI949" s="25">
        <v>2</v>
      </c>
    </row>
    <row r="950" spans="1:124" ht="24.75" customHeight="1">
      <c r="A950" s="39" t="s">
        <v>86</v>
      </c>
      <c r="B950" s="55">
        <v>48716</v>
      </c>
      <c r="C950" s="227" t="s">
        <v>2647</v>
      </c>
      <c r="D950" s="36"/>
      <c r="E950" s="39">
        <v>160</v>
      </c>
      <c r="F950" s="39" t="s">
        <v>55</v>
      </c>
      <c r="G950" s="36" t="s">
        <v>1665</v>
      </c>
      <c r="H950" s="36" t="s">
        <v>26</v>
      </c>
      <c r="I950" s="39">
        <v>2647</v>
      </c>
      <c r="J950" s="39"/>
      <c r="K950" s="39"/>
      <c r="L950" s="39">
        <f t="shared" si="561"/>
        <v>2647</v>
      </c>
      <c r="M950" s="117">
        <v>46270</v>
      </c>
      <c r="N950" s="117">
        <v>46280</v>
      </c>
      <c r="O950" s="39"/>
      <c r="P950" s="39"/>
      <c r="Q950" s="39"/>
      <c r="R950" s="39">
        <f t="shared" si="562"/>
        <v>0</v>
      </c>
      <c r="S950" s="39" t="s">
        <v>130</v>
      </c>
      <c r="T950" s="39"/>
      <c r="U950" s="39"/>
      <c r="V950" s="39"/>
      <c r="W950" s="39"/>
      <c r="X950" s="39"/>
      <c r="Y950" s="39"/>
      <c r="Z950" s="39"/>
      <c r="AA950" s="39"/>
      <c r="AB950" s="118">
        <f t="shared" si="563"/>
        <v>0</v>
      </c>
      <c r="AC950" s="39"/>
      <c r="AD950" s="39"/>
      <c r="AE950" s="39"/>
      <c r="AF950" s="39"/>
      <c r="AG950" s="39"/>
      <c r="AH950" s="39">
        <f t="shared" si="564"/>
        <v>0</v>
      </c>
      <c r="AI950" s="39"/>
      <c r="AJ950" s="39"/>
      <c r="AK950" s="39"/>
      <c r="AL950" s="39"/>
      <c r="AM950" s="39"/>
      <c r="AN950" s="39">
        <f t="shared" si="522"/>
        <v>0</v>
      </c>
      <c r="AO950" s="39"/>
      <c r="AP950" s="39"/>
      <c r="AQ950" s="39"/>
      <c r="AR950" s="39"/>
      <c r="AS950" s="39"/>
      <c r="AT950" s="39">
        <f t="shared" si="539"/>
        <v>0</v>
      </c>
      <c r="AU950" s="39"/>
      <c r="AV950" s="39"/>
      <c r="AW950" s="39"/>
      <c r="AX950" s="39"/>
      <c r="AY950" s="39"/>
      <c r="AZ950" s="39">
        <f t="shared" si="540"/>
        <v>0</v>
      </c>
      <c r="BA950" s="39"/>
      <c r="BB950" s="39"/>
      <c r="BC950" s="39"/>
      <c r="BD950" s="39"/>
      <c r="BE950" s="39"/>
      <c r="BF950" s="39">
        <f t="shared" si="541"/>
        <v>0</v>
      </c>
      <c r="BG950" s="39"/>
      <c r="BH950" s="39"/>
      <c r="BI950" s="39"/>
      <c r="BJ950" s="39"/>
      <c r="BK950" s="39"/>
      <c r="BL950" s="39">
        <f t="shared" si="565"/>
        <v>0</v>
      </c>
      <c r="BM950" s="54">
        <f t="shared" ca="1" si="542"/>
        <v>46283</v>
      </c>
      <c r="BN950" s="66">
        <v>46279</v>
      </c>
      <c r="BO950" s="117">
        <v>46295</v>
      </c>
      <c r="BP950" s="39"/>
      <c r="BQ950" s="39"/>
      <c r="BR950" s="39"/>
      <c r="BS950" s="39"/>
      <c r="BT950" s="39"/>
      <c r="BU950" s="39"/>
      <c r="BV950" s="39"/>
      <c r="BW950" s="39"/>
      <c r="BX950" s="39"/>
      <c r="BY950" s="39"/>
      <c r="BZ950" s="39">
        <f t="shared" si="566"/>
        <v>0</v>
      </c>
      <c r="CA950" s="39">
        <f t="shared" si="543"/>
        <v>-2647</v>
      </c>
      <c r="CB950" s="39">
        <f t="shared" si="544"/>
        <v>0</v>
      </c>
      <c r="CC950" s="39">
        <f t="shared" si="545"/>
        <v>0</v>
      </c>
      <c r="CD950" s="39">
        <f t="shared" si="567"/>
        <v>-2647</v>
      </c>
      <c r="CE950" s="102">
        <f t="shared" si="547"/>
        <v>-1</v>
      </c>
      <c r="CF950" s="39"/>
      <c r="CG950" s="39" t="s">
        <v>234</v>
      </c>
      <c r="CH950" s="39"/>
      <c r="CI950" s="25">
        <v>2</v>
      </c>
    </row>
    <row r="951" spans="1:124" ht="24.75" customHeight="1">
      <c r="A951" s="39" t="s">
        <v>86</v>
      </c>
      <c r="B951" s="55">
        <v>48716</v>
      </c>
      <c r="C951" s="228"/>
      <c r="D951" s="36"/>
      <c r="E951" s="39">
        <v>160</v>
      </c>
      <c r="F951" s="39" t="s">
        <v>56</v>
      </c>
      <c r="G951" s="36" t="s">
        <v>1665</v>
      </c>
      <c r="H951" s="36" t="s">
        <v>26</v>
      </c>
      <c r="I951" s="39">
        <v>1051</v>
      </c>
      <c r="J951" s="39"/>
      <c r="K951" s="39"/>
      <c r="L951" s="39">
        <f t="shared" si="561"/>
        <v>1051</v>
      </c>
      <c r="M951" s="117">
        <v>46270</v>
      </c>
      <c r="N951" s="117">
        <v>46280</v>
      </c>
      <c r="O951" s="39"/>
      <c r="P951" s="39"/>
      <c r="Q951" s="39"/>
      <c r="R951" s="39">
        <f t="shared" si="562"/>
        <v>0</v>
      </c>
      <c r="S951" s="39" t="s">
        <v>130</v>
      </c>
      <c r="T951" s="39"/>
      <c r="U951" s="39"/>
      <c r="V951" s="39"/>
      <c r="W951" s="39"/>
      <c r="X951" s="39"/>
      <c r="Y951" s="39"/>
      <c r="Z951" s="39"/>
      <c r="AA951" s="39"/>
      <c r="AB951" s="118">
        <f t="shared" si="563"/>
        <v>0</v>
      </c>
      <c r="AC951" s="39"/>
      <c r="AD951" s="39"/>
      <c r="AE951" s="39"/>
      <c r="AF951" s="39"/>
      <c r="AG951" s="39"/>
      <c r="AH951" s="39">
        <f t="shared" si="564"/>
        <v>0</v>
      </c>
      <c r="AI951" s="39"/>
      <c r="AJ951" s="39"/>
      <c r="AK951" s="39"/>
      <c r="AL951" s="39"/>
      <c r="AM951" s="39"/>
      <c r="AN951" s="39">
        <f t="shared" si="522"/>
        <v>0</v>
      </c>
      <c r="AO951" s="39"/>
      <c r="AP951" s="39"/>
      <c r="AQ951" s="39"/>
      <c r="AR951" s="39"/>
      <c r="AS951" s="39"/>
      <c r="AT951" s="39">
        <f t="shared" si="539"/>
        <v>0</v>
      </c>
      <c r="AU951" s="39"/>
      <c r="AV951" s="39"/>
      <c r="AW951" s="39"/>
      <c r="AX951" s="39"/>
      <c r="AY951" s="39"/>
      <c r="AZ951" s="39">
        <f t="shared" si="540"/>
        <v>0</v>
      </c>
      <c r="BA951" s="39"/>
      <c r="BB951" s="39"/>
      <c r="BC951" s="39"/>
      <c r="BD951" s="39"/>
      <c r="BE951" s="39"/>
      <c r="BF951" s="39">
        <f t="shared" si="541"/>
        <v>0</v>
      </c>
      <c r="BG951" s="39"/>
      <c r="BH951" s="39"/>
      <c r="BI951" s="39"/>
      <c r="BJ951" s="39"/>
      <c r="BK951" s="39"/>
      <c r="BL951" s="39">
        <f t="shared" si="565"/>
        <v>0</v>
      </c>
      <c r="BM951" s="54">
        <f t="shared" ca="1" si="542"/>
        <v>46283</v>
      </c>
      <c r="BN951" s="66">
        <v>46279</v>
      </c>
      <c r="BO951" s="117">
        <v>46295</v>
      </c>
      <c r="BP951" s="39"/>
      <c r="BQ951" s="39"/>
      <c r="BR951" s="39"/>
      <c r="BS951" s="39"/>
      <c r="BT951" s="39"/>
      <c r="BU951" s="39"/>
      <c r="BV951" s="39"/>
      <c r="BW951" s="39"/>
      <c r="BX951" s="39"/>
      <c r="BY951" s="39"/>
      <c r="BZ951" s="39">
        <f t="shared" si="566"/>
        <v>0</v>
      </c>
      <c r="CA951" s="39">
        <f t="shared" si="543"/>
        <v>-1051</v>
      </c>
      <c r="CB951" s="39">
        <f t="shared" si="544"/>
        <v>0</v>
      </c>
      <c r="CC951" s="39">
        <f t="shared" si="545"/>
        <v>0</v>
      </c>
      <c r="CD951" s="39">
        <f t="shared" si="567"/>
        <v>-1051</v>
      </c>
      <c r="CE951" s="102">
        <f t="shared" si="547"/>
        <v>-1</v>
      </c>
      <c r="CF951" s="39"/>
      <c r="CG951" s="39" t="s">
        <v>234</v>
      </c>
      <c r="CH951" s="39"/>
      <c r="CI951" s="25">
        <v>2</v>
      </c>
    </row>
    <row r="952" spans="1:124" ht="24.75" customHeight="1">
      <c r="A952" s="39" t="s">
        <v>86</v>
      </c>
      <c r="B952" s="166">
        <v>48732</v>
      </c>
      <c r="C952" s="49" t="s">
        <v>2883</v>
      </c>
      <c r="D952" s="36" t="s">
        <v>255</v>
      </c>
      <c r="E952" s="39">
        <v>215</v>
      </c>
      <c r="F952" s="39" t="s">
        <v>183</v>
      </c>
      <c r="G952" s="36" t="s">
        <v>983</v>
      </c>
      <c r="H952" s="163" t="s">
        <v>2973</v>
      </c>
      <c r="I952" s="39">
        <v>6867</v>
      </c>
      <c r="J952" s="39">
        <v>2499</v>
      </c>
      <c r="K952" s="39"/>
      <c r="L952" s="39">
        <f t="shared" si="561"/>
        <v>9366</v>
      </c>
      <c r="M952" s="117">
        <v>46276</v>
      </c>
      <c r="N952" s="117">
        <v>46286</v>
      </c>
      <c r="O952" s="39"/>
      <c r="P952" s="39"/>
      <c r="Q952" s="39"/>
      <c r="R952" s="39">
        <f t="shared" si="562"/>
        <v>0</v>
      </c>
      <c r="S952" s="39" t="s">
        <v>130</v>
      </c>
      <c r="T952" s="39"/>
      <c r="U952" s="39"/>
      <c r="V952" s="39"/>
      <c r="W952" s="39"/>
      <c r="X952" s="39"/>
      <c r="Y952" s="39"/>
      <c r="Z952" s="39"/>
      <c r="AA952" s="39"/>
      <c r="AB952" s="118">
        <f t="shared" si="563"/>
        <v>0</v>
      </c>
      <c r="AC952" s="39"/>
      <c r="AD952" s="39"/>
      <c r="AE952" s="39"/>
      <c r="AF952" s="39"/>
      <c r="AG952" s="39"/>
      <c r="AH952" s="39">
        <f t="shared" si="564"/>
        <v>0</v>
      </c>
      <c r="AI952" s="39"/>
      <c r="AJ952" s="39"/>
      <c r="AK952" s="39"/>
      <c r="AL952" s="39"/>
      <c r="AM952" s="39"/>
      <c r="AN952" s="39">
        <f t="shared" si="522"/>
        <v>0</v>
      </c>
      <c r="AO952" s="39"/>
      <c r="AP952" s="39"/>
      <c r="AQ952" s="39"/>
      <c r="AR952" s="39"/>
      <c r="AS952" s="39"/>
      <c r="AT952" s="39">
        <f t="shared" si="539"/>
        <v>0</v>
      </c>
      <c r="AU952" s="39"/>
      <c r="AV952" s="39"/>
      <c r="AW952" s="39"/>
      <c r="AX952" s="39"/>
      <c r="AY952" s="39"/>
      <c r="AZ952" s="39">
        <f t="shared" si="540"/>
        <v>0</v>
      </c>
      <c r="BA952" s="39"/>
      <c r="BB952" s="39"/>
      <c r="BC952" s="39"/>
      <c r="BD952" s="39"/>
      <c r="BE952" s="39"/>
      <c r="BF952" s="39">
        <f t="shared" si="541"/>
        <v>0</v>
      </c>
      <c r="BG952" s="39"/>
      <c r="BH952" s="39"/>
      <c r="BI952" s="39"/>
      <c r="BJ952" s="39"/>
      <c r="BK952" s="39"/>
      <c r="BL952" s="39">
        <f t="shared" si="565"/>
        <v>0</v>
      </c>
      <c r="BM952" s="54">
        <f t="shared" ca="1" si="542"/>
        <v>46283</v>
      </c>
      <c r="BN952" s="66">
        <v>46282</v>
      </c>
      <c r="BO952" s="117">
        <v>46299</v>
      </c>
      <c r="BP952" s="39"/>
      <c r="BQ952" s="39"/>
      <c r="BR952" s="39"/>
      <c r="BS952" s="39"/>
      <c r="BT952" s="39"/>
      <c r="BU952" s="39"/>
      <c r="BV952" s="39"/>
      <c r="BW952" s="39"/>
      <c r="BX952" s="39"/>
      <c r="BY952" s="39"/>
      <c r="BZ952" s="39">
        <f t="shared" si="566"/>
        <v>0</v>
      </c>
      <c r="CA952" s="39">
        <f t="shared" si="543"/>
        <v>-6867</v>
      </c>
      <c r="CB952" s="39">
        <f t="shared" si="544"/>
        <v>-2499</v>
      </c>
      <c r="CC952" s="39">
        <f t="shared" si="545"/>
        <v>0</v>
      </c>
      <c r="CD952" s="39">
        <f t="shared" si="567"/>
        <v>-9366</v>
      </c>
      <c r="CE952" s="102">
        <f t="shared" si="547"/>
        <v>-1</v>
      </c>
      <c r="CF952" s="39"/>
      <c r="CG952" s="39" t="s">
        <v>234</v>
      </c>
      <c r="CH952" s="39"/>
      <c r="CI952" s="25">
        <v>2</v>
      </c>
    </row>
    <row r="953" spans="1:124" ht="24.75" customHeight="1">
      <c r="A953" s="39" t="s">
        <v>86</v>
      </c>
      <c r="B953" s="166">
        <v>48732</v>
      </c>
      <c r="C953" s="49" t="s">
        <v>2884</v>
      </c>
      <c r="D953" s="36" t="s">
        <v>255</v>
      </c>
      <c r="E953" s="39">
        <v>215</v>
      </c>
      <c r="F953" s="39" t="s">
        <v>183</v>
      </c>
      <c r="G953" s="36" t="s">
        <v>983</v>
      </c>
      <c r="H953" s="163" t="s">
        <v>2973</v>
      </c>
      <c r="I953" s="39">
        <v>4459</v>
      </c>
      <c r="J953" s="39">
        <v>1411</v>
      </c>
      <c r="K953" s="39"/>
      <c r="L953" s="39">
        <f t="shared" si="561"/>
        <v>5870</v>
      </c>
      <c r="M953" s="117">
        <v>46276</v>
      </c>
      <c r="N953" s="117">
        <v>46286</v>
      </c>
      <c r="O953" s="39"/>
      <c r="P953" s="39"/>
      <c r="Q953" s="39"/>
      <c r="R953" s="39">
        <f t="shared" ref="R953" si="568">SUM(O953:Q953)</f>
        <v>0</v>
      </c>
      <c r="S953" s="39" t="s">
        <v>130</v>
      </c>
      <c r="T953" s="39"/>
      <c r="U953" s="39"/>
      <c r="V953" s="39"/>
      <c r="W953" s="39"/>
      <c r="X953" s="39"/>
      <c r="Y953" s="39"/>
      <c r="Z953" s="39"/>
      <c r="AA953" s="39"/>
      <c r="AB953" s="118">
        <f t="shared" si="563"/>
        <v>0</v>
      </c>
      <c r="AC953" s="39"/>
      <c r="AD953" s="39"/>
      <c r="AE953" s="39"/>
      <c r="AF953" s="39"/>
      <c r="AG953" s="39"/>
      <c r="AH953" s="39">
        <f t="shared" si="564"/>
        <v>0</v>
      </c>
      <c r="AI953" s="39"/>
      <c r="AJ953" s="39"/>
      <c r="AK953" s="39"/>
      <c r="AL953" s="39"/>
      <c r="AM953" s="39"/>
      <c r="AN953" s="39">
        <f t="shared" si="522"/>
        <v>0</v>
      </c>
      <c r="AO953" s="39"/>
      <c r="AP953" s="39"/>
      <c r="AQ953" s="39"/>
      <c r="AR953" s="39"/>
      <c r="AS953" s="39"/>
      <c r="AT953" s="39">
        <f t="shared" si="539"/>
        <v>0</v>
      </c>
      <c r="AU953" s="39"/>
      <c r="AV953" s="39"/>
      <c r="AW953" s="39"/>
      <c r="AX953" s="39"/>
      <c r="AY953" s="39"/>
      <c r="AZ953" s="39">
        <f t="shared" si="540"/>
        <v>0</v>
      </c>
      <c r="BA953" s="39"/>
      <c r="BB953" s="39"/>
      <c r="BC953" s="39"/>
      <c r="BD953" s="39"/>
      <c r="BE953" s="39"/>
      <c r="BF953" s="39">
        <f t="shared" si="541"/>
        <v>0</v>
      </c>
      <c r="BG953" s="39"/>
      <c r="BH953" s="39"/>
      <c r="BI953" s="39"/>
      <c r="BJ953" s="39"/>
      <c r="BK953" s="39"/>
      <c r="BL953" s="39">
        <f t="shared" si="565"/>
        <v>0</v>
      </c>
      <c r="BM953" s="54">
        <f t="shared" ca="1" si="542"/>
        <v>46283</v>
      </c>
      <c r="BN953" s="66">
        <v>46282</v>
      </c>
      <c r="BO953" s="117">
        <v>46299</v>
      </c>
      <c r="BP953" s="39"/>
      <c r="BQ953" s="39"/>
      <c r="BR953" s="39"/>
      <c r="BS953" s="39"/>
      <c r="BT953" s="39"/>
      <c r="BU953" s="39"/>
      <c r="BV953" s="39"/>
      <c r="BW953" s="39"/>
      <c r="BX953" s="39"/>
      <c r="BY953" s="39"/>
      <c r="BZ953" s="39">
        <f t="shared" si="566"/>
        <v>0</v>
      </c>
      <c r="CA953" s="39">
        <f t="shared" si="543"/>
        <v>-4459</v>
      </c>
      <c r="CB953" s="39">
        <f t="shared" si="544"/>
        <v>-1411</v>
      </c>
      <c r="CC953" s="39">
        <f t="shared" si="545"/>
        <v>0</v>
      </c>
      <c r="CD953" s="39">
        <f t="shared" si="567"/>
        <v>-5870</v>
      </c>
      <c r="CE953" s="102">
        <f t="shared" si="547"/>
        <v>-1</v>
      </c>
      <c r="CF953" s="39"/>
      <c r="CG953" s="39" t="s">
        <v>234</v>
      </c>
      <c r="CH953" s="39"/>
      <c r="CI953" s="25">
        <v>2</v>
      </c>
    </row>
    <row r="954" spans="1:124" ht="24.75" customHeight="1">
      <c r="A954" s="39" t="s">
        <v>86</v>
      </c>
      <c r="B954" s="55"/>
      <c r="C954" s="36"/>
      <c r="D954" s="36"/>
      <c r="E954" s="39"/>
      <c r="F954" s="39"/>
      <c r="G954" s="36"/>
      <c r="H954" s="39"/>
      <c r="I954" s="39"/>
      <c r="J954" s="39"/>
      <c r="K954" s="39"/>
      <c r="L954" s="39">
        <f t="shared" si="554"/>
        <v>0</v>
      </c>
      <c r="M954" s="39"/>
      <c r="N954" s="39"/>
      <c r="O954" s="39"/>
      <c r="P954" s="39"/>
      <c r="Q954" s="39"/>
      <c r="R954" s="39">
        <f t="shared" si="555"/>
        <v>0</v>
      </c>
      <c r="S954" s="39"/>
      <c r="T954" s="39"/>
      <c r="U954" s="39"/>
      <c r="V954" s="39"/>
      <c r="W954" s="39"/>
      <c r="X954" s="39"/>
      <c r="Y954" s="39"/>
      <c r="Z954" s="39"/>
      <c r="AA954" s="39"/>
      <c r="AB954" s="39">
        <f t="shared" si="556"/>
        <v>0</v>
      </c>
      <c r="AC954" s="39"/>
      <c r="AD954" s="39"/>
      <c r="AE954" s="39"/>
      <c r="AF954" s="39"/>
      <c r="AG954" s="39"/>
      <c r="AH954" s="39">
        <f t="shared" si="557"/>
        <v>0</v>
      </c>
      <c r="AI954" s="39"/>
      <c r="AJ954" s="39"/>
      <c r="AK954" s="39"/>
      <c r="AL954" s="39"/>
      <c r="AM954" s="39"/>
      <c r="AN954" s="39">
        <f t="shared" si="522"/>
        <v>0</v>
      </c>
      <c r="AO954" s="39"/>
      <c r="AP954" s="39"/>
      <c r="AQ954" s="39"/>
      <c r="AR954" s="39"/>
      <c r="AS954" s="39"/>
      <c r="AT954" s="39">
        <f t="shared" si="539"/>
        <v>0</v>
      </c>
      <c r="AU954" s="39"/>
      <c r="AV954" s="39"/>
      <c r="AW954" s="39"/>
      <c r="AX954" s="39"/>
      <c r="AY954" s="39"/>
      <c r="AZ954" s="39">
        <f t="shared" si="540"/>
        <v>0</v>
      </c>
      <c r="BA954" s="39"/>
      <c r="BB954" s="39"/>
      <c r="BC954" s="39"/>
      <c r="BD954" s="39"/>
      <c r="BE954" s="39"/>
      <c r="BF954" s="39">
        <f t="shared" si="541"/>
        <v>0</v>
      </c>
      <c r="BG954" s="39"/>
      <c r="BH954" s="39"/>
      <c r="BI954" s="39"/>
      <c r="BJ954" s="39"/>
      <c r="BK954" s="39"/>
      <c r="BL954" s="39">
        <f t="shared" si="558"/>
        <v>0</v>
      </c>
      <c r="BM954" s="54" t="e">
        <f t="shared" si="542"/>
        <v>#DIV/0!</v>
      </c>
      <c r="BN954" s="67"/>
      <c r="BO954" s="39"/>
      <c r="BP954" s="39"/>
      <c r="BQ954" s="39"/>
      <c r="BR954" s="39"/>
      <c r="BS954" s="39"/>
      <c r="BT954" s="39"/>
      <c r="BU954" s="39"/>
      <c r="BV954" s="39"/>
      <c r="BW954" s="39"/>
      <c r="BX954" s="39"/>
      <c r="BY954" s="39"/>
      <c r="BZ954" s="39">
        <f t="shared" si="559"/>
        <v>0</v>
      </c>
      <c r="CA954" s="39">
        <f t="shared" si="543"/>
        <v>0</v>
      </c>
      <c r="CB954" s="39">
        <f t="shared" si="544"/>
        <v>0</v>
      </c>
      <c r="CC954" s="39">
        <f t="shared" si="545"/>
        <v>0</v>
      </c>
      <c r="CD954" s="39">
        <f t="shared" si="560"/>
        <v>0</v>
      </c>
      <c r="CE954" s="47" t="e">
        <f t="shared" si="547"/>
        <v>#DIV/0!</v>
      </c>
      <c r="CF954" s="39"/>
      <c r="CG954" s="39"/>
      <c r="CH954" s="39"/>
      <c r="CI954" s="25">
        <v>2</v>
      </c>
    </row>
    <row r="955" spans="1:124" ht="24.75" customHeight="1">
      <c r="A955" s="39" t="s">
        <v>86</v>
      </c>
      <c r="B955" s="55"/>
      <c r="C955" s="36"/>
      <c r="D955" s="36"/>
      <c r="E955" s="39"/>
      <c r="F955" s="39"/>
      <c r="G955" s="36"/>
      <c r="H955" s="39"/>
      <c r="I955" s="39"/>
      <c r="J955" s="39"/>
      <c r="K955" s="39"/>
      <c r="L955" s="39">
        <f t="shared" si="554"/>
        <v>0</v>
      </c>
      <c r="M955" s="39"/>
      <c r="N955" s="39"/>
      <c r="O955" s="39"/>
      <c r="P955" s="39"/>
      <c r="Q955" s="39"/>
      <c r="R955" s="39">
        <f t="shared" si="555"/>
        <v>0</v>
      </c>
      <c r="S955" s="39"/>
      <c r="T955" s="39"/>
      <c r="U955" s="39"/>
      <c r="V955" s="39"/>
      <c r="W955" s="39"/>
      <c r="X955" s="39"/>
      <c r="Y955" s="39"/>
      <c r="Z955" s="39"/>
      <c r="AA955" s="39"/>
      <c r="AB955" s="39">
        <f t="shared" si="556"/>
        <v>0</v>
      </c>
      <c r="AC955" s="39"/>
      <c r="AD955" s="39"/>
      <c r="AE955" s="39"/>
      <c r="AF955" s="39"/>
      <c r="AG955" s="39"/>
      <c r="AH955" s="39">
        <f t="shared" si="557"/>
        <v>0</v>
      </c>
      <c r="AI955" s="39"/>
      <c r="AJ955" s="39"/>
      <c r="AK955" s="39"/>
      <c r="AL955" s="39"/>
      <c r="AM955" s="39"/>
      <c r="AN955" s="39">
        <f t="shared" si="522"/>
        <v>0</v>
      </c>
      <c r="AO955" s="39"/>
      <c r="AP955" s="39"/>
      <c r="AQ955" s="39"/>
      <c r="AR955" s="39"/>
      <c r="AS955" s="39"/>
      <c r="AT955" s="39">
        <f t="shared" si="539"/>
        <v>0</v>
      </c>
      <c r="AU955" s="39"/>
      <c r="AV955" s="39"/>
      <c r="AW955" s="39"/>
      <c r="AX955" s="39"/>
      <c r="AY955" s="39"/>
      <c r="AZ955" s="39">
        <f t="shared" si="540"/>
        <v>0</v>
      </c>
      <c r="BA955" s="39"/>
      <c r="BB955" s="39"/>
      <c r="BC955" s="39"/>
      <c r="BD955" s="39"/>
      <c r="BE955" s="39"/>
      <c r="BF955" s="39">
        <f t="shared" si="541"/>
        <v>0</v>
      </c>
      <c r="BG955" s="39"/>
      <c r="BH955" s="39"/>
      <c r="BI955" s="39"/>
      <c r="BJ955" s="39"/>
      <c r="BK955" s="39"/>
      <c r="BL955" s="39">
        <f t="shared" si="558"/>
        <v>0</v>
      </c>
      <c r="BM955" s="54" t="e">
        <f t="shared" si="542"/>
        <v>#DIV/0!</v>
      </c>
      <c r="BN955" s="67"/>
      <c r="BO955" s="39"/>
      <c r="BP955" s="39"/>
      <c r="BQ955" s="39"/>
      <c r="BR955" s="39"/>
      <c r="BS955" s="39"/>
      <c r="BT955" s="39"/>
      <c r="BU955" s="39"/>
      <c r="BV955" s="39"/>
      <c r="BW955" s="39"/>
      <c r="BX955" s="39"/>
      <c r="BY955" s="39"/>
      <c r="BZ955" s="39">
        <f t="shared" si="559"/>
        <v>0</v>
      </c>
      <c r="CA955" s="39">
        <f t="shared" si="543"/>
        <v>0</v>
      </c>
      <c r="CB955" s="39">
        <f t="shared" si="544"/>
        <v>0</v>
      </c>
      <c r="CC955" s="39">
        <f t="shared" si="545"/>
        <v>0</v>
      </c>
      <c r="CD955" s="39">
        <f t="shared" si="560"/>
        <v>0</v>
      </c>
      <c r="CE955" s="47" t="e">
        <f t="shared" si="547"/>
        <v>#DIV/0!</v>
      </c>
      <c r="CF955" s="39"/>
      <c r="CG955" s="39"/>
      <c r="CH955" s="39"/>
      <c r="CI955" s="25">
        <v>2</v>
      </c>
    </row>
    <row r="956" spans="1:124" ht="24.75" customHeight="1">
      <c r="A956" s="39" t="s">
        <v>86</v>
      </c>
      <c r="B956" s="55"/>
      <c r="C956" s="36"/>
      <c r="D956" s="36"/>
      <c r="E956" s="39"/>
      <c r="F956" s="39"/>
      <c r="G956" s="36"/>
      <c r="H956" s="39"/>
      <c r="I956" s="39"/>
      <c r="J956" s="39"/>
      <c r="K956" s="39"/>
      <c r="L956" s="39">
        <f t="shared" si="554"/>
        <v>0</v>
      </c>
      <c r="M956" s="39"/>
      <c r="N956" s="39"/>
      <c r="O956" s="39"/>
      <c r="P956" s="39"/>
      <c r="Q956" s="39"/>
      <c r="R956" s="39">
        <f t="shared" si="555"/>
        <v>0</v>
      </c>
      <c r="S956" s="39"/>
      <c r="T956" s="39"/>
      <c r="U956" s="39"/>
      <c r="V956" s="39"/>
      <c r="W956" s="39"/>
      <c r="X956" s="39"/>
      <c r="Y956" s="39"/>
      <c r="Z956" s="39"/>
      <c r="AA956" s="39"/>
      <c r="AB956" s="39">
        <f t="shared" si="556"/>
        <v>0</v>
      </c>
      <c r="AC956" s="39"/>
      <c r="AD956" s="39"/>
      <c r="AE956" s="39"/>
      <c r="AF956" s="39"/>
      <c r="AG956" s="39"/>
      <c r="AH956" s="39">
        <f t="shared" si="557"/>
        <v>0</v>
      </c>
      <c r="AI956" s="39"/>
      <c r="AJ956" s="39"/>
      <c r="AK956" s="39"/>
      <c r="AL956" s="39"/>
      <c r="AM956" s="39"/>
      <c r="AN956" s="39">
        <f t="shared" si="522"/>
        <v>0</v>
      </c>
      <c r="AO956" s="39"/>
      <c r="AP956" s="39"/>
      <c r="AQ956" s="39"/>
      <c r="AR956" s="39"/>
      <c r="AS956" s="39"/>
      <c r="AT956" s="39">
        <f t="shared" si="539"/>
        <v>0</v>
      </c>
      <c r="AU956" s="39"/>
      <c r="AV956" s="39"/>
      <c r="AW956" s="39"/>
      <c r="AX956" s="39"/>
      <c r="AY956" s="39"/>
      <c r="AZ956" s="39">
        <f t="shared" si="540"/>
        <v>0</v>
      </c>
      <c r="BA956" s="39"/>
      <c r="BB956" s="39"/>
      <c r="BC956" s="39"/>
      <c r="BD956" s="39"/>
      <c r="BE956" s="39"/>
      <c r="BF956" s="39">
        <f t="shared" si="541"/>
        <v>0</v>
      </c>
      <c r="BG956" s="39"/>
      <c r="BH956" s="39"/>
      <c r="BI956" s="39"/>
      <c r="BJ956" s="39"/>
      <c r="BK956" s="39"/>
      <c r="BL956" s="39">
        <f t="shared" si="558"/>
        <v>0</v>
      </c>
      <c r="BM956" s="54" t="e">
        <f t="shared" si="542"/>
        <v>#DIV/0!</v>
      </c>
      <c r="BN956" s="67"/>
      <c r="BO956" s="39"/>
      <c r="BP956" s="39"/>
      <c r="BQ956" s="39"/>
      <c r="BR956" s="39"/>
      <c r="BS956" s="39"/>
      <c r="BT956" s="39"/>
      <c r="BU956" s="39"/>
      <c r="BV956" s="39"/>
      <c r="BW956" s="39"/>
      <c r="BX956" s="39"/>
      <c r="BY956" s="39"/>
      <c r="BZ956" s="39">
        <f t="shared" si="559"/>
        <v>0</v>
      </c>
      <c r="CA956" s="39">
        <f t="shared" si="543"/>
        <v>0</v>
      </c>
      <c r="CB956" s="39">
        <f t="shared" si="544"/>
        <v>0</v>
      </c>
      <c r="CC956" s="39">
        <f t="shared" si="545"/>
        <v>0</v>
      </c>
      <c r="CD956" s="39">
        <f t="shared" si="560"/>
        <v>0</v>
      </c>
      <c r="CE956" s="47" t="e">
        <f t="shared" si="547"/>
        <v>#DIV/0!</v>
      </c>
      <c r="CF956" s="39"/>
      <c r="CG956" s="39"/>
      <c r="CH956" s="39"/>
      <c r="CI956" s="25">
        <v>2</v>
      </c>
    </row>
    <row r="957" spans="1:124" ht="24.75" customHeight="1">
      <c r="A957" s="39" t="s">
        <v>86</v>
      </c>
      <c r="B957" s="55"/>
      <c r="C957" s="36"/>
      <c r="D957" s="36"/>
      <c r="E957" s="39"/>
      <c r="F957" s="39"/>
      <c r="G957" s="36"/>
      <c r="H957" s="39"/>
      <c r="I957" s="39"/>
      <c r="J957" s="39"/>
      <c r="K957" s="39"/>
      <c r="L957" s="39">
        <f t="shared" si="554"/>
        <v>0</v>
      </c>
      <c r="M957" s="39"/>
      <c r="N957" s="39"/>
      <c r="O957" s="39"/>
      <c r="P957" s="39"/>
      <c r="Q957" s="39"/>
      <c r="R957" s="39">
        <f t="shared" si="555"/>
        <v>0</v>
      </c>
      <c r="S957" s="39"/>
      <c r="T957" s="39"/>
      <c r="U957" s="39"/>
      <c r="V957" s="39"/>
      <c r="W957" s="39"/>
      <c r="X957" s="39"/>
      <c r="Y957" s="39"/>
      <c r="Z957" s="39"/>
      <c r="AA957" s="39"/>
      <c r="AB957" s="39">
        <f t="shared" si="556"/>
        <v>0</v>
      </c>
      <c r="AC957" s="39"/>
      <c r="AD957" s="39"/>
      <c r="AE957" s="39"/>
      <c r="AF957" s="39"/>
      <c r="AG957" s="39"/>
      <c r="AH957" s="39">
        <f t="shared" si="557"/>
        <v>0</v>
      </c>
      <c r="AI957" s="39"/>
      <c r="AJ957" s="39"/>
      <c r="AK957" s="39"/>
      <c r="AL957" s="39"/>
      <c r="AM957" s="39"/>
      <c r="AN957" s="39">
        <f t="shared" si="522"/>
        <v>0</v>
      </c>
      <c r="AO957" s="39"/>
      <c r="AP957" s="39"/>
      <c r="AQ957" s="39"/>
      <c r="AR957" s="39"/>
      <c r="AS957" s="39"/>
      <c r="AT957" s="39">
        <f t="shared" si="539"/>
        <v>0</v>
      </c>
      <c r="AU957" s="39"/>
      <c r="AV957" s="39"/>
      <c r="AW957" s="39"/>
      <c r="AX957" s="39"/>
      <c r="AY957" s="39"/>
      <c r="AZ957" s="39">
        <f t="shared" si="540"/>
        <v>0</v>
      </c>
      <c r="BA957" s="39"/>
      <c r="BB957" s="39"/>
      <c r="BC957" s="39"/>
      <c r="BD957" s="39"/>
      <c r="BE957" s="39"/>
      <c r="BF957" s="39">
        <f t="shared" si="541"/>
        <v>0</v>
      </c>
      <c r="BG957" s="39"/>
      <c r="BH957" s="39"/>
      <c r="BI957" s="39"/>
      <c r="BJ957" s="39"/>
      <c r="BK957" s="39"/>
      <c r="BL957" s="39">
        <f t="shared" si="558"/>
        <v>0</v>
      </c>
      <c r="BM957" s="54" t="e">
        <f t="shared" si="542"/>
        <v>#DIV/0!</v>
      </c>
      <c r="BN957" s="67"/>
      <c r="BO957" s="39"/>
      <c r="BP957" s="39"/>
      <c r="BQ957" s="39"/>
      <c r="BR957" s="39"/>
      <c r="BS957" s="39"/>
      <c r="BT957" s="39"/>
      <c r="BU957" s="39"/>
      <c r="BV957" s="39"/>
      <c r="BW957" s="39"/>
      <c r="BX957" s="39"/>
      <c r="BY957" s="39"/>
      <c r="BZ957" s="39">
        <f t="shared" si="559"/>
        <v>0</v>
      </c>
      <c r="CA957" s="39">
        <f t="shared" si="543"/>
        <v>0</v>
      </c>
      <c r="CB957" s="39">
        <f t="shared" si="544"/>
        <v>0</v>
      </c>
      <c r="CC957" s="39">
        <f t="shared" si="545"/>
        <v>0</v>
      </c>
      <c r="CD957" s="39">
        <f t="shared" si="560"/>
        <v>0</v>
      </c>
      <c r="CE957" s="47" t="e">
        <f t="shared" si="547"/>
        <v>#DIV/0!</v>
      </c>
      <c r="CF957" s="39"/>
      <c r="CG957" s="39"/>
      <c r="CH957" s="39"/>
      <c r="CI957" s="25">
        <v>2</v>
      </c>
    </row>
    <row r="958" spans="1:124" ht="24.75" customHeight="1">
      <c r="A958" s="39" t="s">
        <v>86</v>
      </c>
      <c r="B958" s="55"/>
      <c r="C958" s="36"/>
      <c r="D958" s="36"/>
      <c r="E958" s="39"/>
      <c r="F958" s="39"/>
      <c r="G958" s="36"/>
      <c r="H958" s="39"/>
      <c r="I958" s="39"/>
      <c r="J958" s="39"/>
      <c r="K958" s="39"/>
      <c r="L958" s="39">
        <f t="shared" si="554"/>
        <v>0</v>
      </c>
      <c r="M958" s="39"/>
      <c r="N958" s="39"/>
      <c r="O958" s="39"/>
      <c r="P958" s="39"/>
      <c r="Q958" s="39"/>
      <c r="R958" s="39">
        <f t="shared" si="555"/>
        <v>0</v>
      </c>
      <c r="S958" s="39"/>
      <c r="T958" s="39"/>
      <c r="U958" s="39"/>
      <c r="V958" s="39"/>
      <c r="W958" s="39"/>
      <c r="X958" s="39"/>
      <c r="Y958" s="39"/>
      <c r="Z958" s="39"/>
      <c r="AA958" s="39"/>
      <c r="AB958" s="39">
        <f t="shared" si="556"/>
        <v>0</v>
      </c>
      <c r="AC958" s="39"/>
      <c r="AD958" s="39"/>
      <c r="AE958" s="39"/>
      <c r="AF958" s="39"/>
      <c r="AG958" s="39"/>
      <c r="AH958" s="39">
        <f t="shared" si="557"/>
        <v>0</v>
      </c>
      <c r="AI958" s="39"/>
      <c r="AJ958" s="39"/>
      <c r="AK958" s="39"/>
      <c r="AL958" s="39"/>
      <c r="AM958" s="39"/>
      <c r="AN958" s="39">
        <f t="shared" si="522"/>
        <v>0</v>
      </c>
      <c r="AO958" s="39"/>
      <c r="AP958" s="39"/>
      <c r="AQ958" s="39"/>
      <c r="AR958" s="39"/>
      <c r="AS958" s="39"/>
      <c r="AT958" s="39">
        <f t="shared" si="539"/>
        <v>0</v>
      </c>
      <c r="AU958" s="39"/>
      <c r="AV958" s="39"/>
      <c r="AW958" s="39"/>
      <c r="AX958" s="39"/>
      <c r="AY958" s="39"/>
      <c r="AZ958" s="39">
        <f t="shared" si="540"/>
        <v>0</v>
      </c>
      <c r="BA958" s="39"/>
      <c r="BB958" s="39"/>
      <c r="BC958" s="39"/>
      <c r="BD958" s="39"/>
      <c r="BE958" s="39"/>
      <c r="BF958" s="39">
        <f t="shared" si="541"/>
        <v>0</v>
      </c>
      <c r="BG958" s="39"/>
      <c r="BH958" s="39"/>
      <c r="BI958" s="39"/>
      <c r="BJ958" s="39"/>
      <c r="BK958" s="39"/>
      <c r="BL958" s="39">
        <f t="shared" si="558"/>
        <v>0</v>
      </c>
      <c r="BM958" s="54" t="e">
        <f t="shared" si="542"/>
        <v>#DIV/0!</v>
      </c>
      <c r="BN958" s="67"/>
      <c r="BO958" s="39"/>
      <c r="BP958" s="39"/>
      <c r="BQ958" s="39"/>
      <c r="BR958" s="39"/>
      <c r="BS958" s="39"/>
      <c r="BT958" s="39"/>
      <c r="BU958" s="39"/>
      <c r="BV958" s="39"/>
      <c r="BW958" s="39"/>
      <c r="BX958" s="39"/>
      <c r="BY958" s="39"/>
      <c r="BZ958" s="39">
        <f t="shared" si="559"/>
        <v>0</v>
      </c>
      <c r="CA958" s="39">
        <f t="shared" si="543"/>
        <v>0</v>
      </c>
      <c r="CB958" s="39">
        <f t="shared" si="544"/>
        <v>0</v>
      </c>
      <c r="CC958" s="39">
        <f t="shared" si="545"/>
        <v>0</v>
      </c>
      <c r="CD958" s="39">
        <f t="shared" si="560"/>
        <v>0</v>
      </c>
      <c r="CE958" s="47" t="e">
        <f t="shared" si="547"/>
        <v>#DIV/0!</v>
      </c>
      <c r="CF958" s="39"/>
      <c r="CG958" s="39"/>
      <c r="CH958" s="39"/>
      <c r="CI958" s="25">
        <v>2</v>
      </c>
    </row>
    <row r="959" spans="1:124" ht="24.75" customHeight="1">
      <c r="A959" s="39" t="s">
        <v>86</v>
      </c>
      <c r="B959" s="55">
        <v>48717</v>
      </c>
      <c r="C959" s="36" t="s">
        <v>2803</v>
      </c>
      <c r="D959" s="36" t="s">
        <v>334</v>
      </c>
      <c r="E959" s="39">
        <v>160</v>
      </c>
      <c r="F959" s="39" t="s">
        <v>55</v>
      </c>
      <c r="G959" s="36" t="s">
        <v>2804</v>
      </c>
      <c r="H959" s="36" t="s">
        <v>26</v>
      </c>
      <c r="I959" s="39">
        <v>3868</v>
      </c>
      <c r="J959" s="39">
        <v>282</v>
      </c>
      <c r="K959" s="39"/>
      <c r="L959" s="39">
        <f t="shared" si="554"/>
        <v>4150</v>
      </c>
      <c r="M959" s="117">
        <v>46277</v>
      </c>
      <c r="N959" s="117">
        <v>46290</v>
      </c>
      <c r="O959" s="39"/>
      <c r="P959" s="39"/>
      <c r="Q959" s="39"/>
      <c r="R959" s="39">
        <f t="shared" si="555"/>
        <v>0</v>
      </c>
      <c r="S959" s="39" t="s">
        <v>130</v>
      </c>
      <c r="T959" s="39"/>
      <c r="U959" s="39"/>
      <c r="V959" s="39"/>
      <c r="W959" s="39"/>
      <c r="X959" s="39"/>
      <c r="Y959" s="39"/>
      <c r="Z959" s="39"/>
      <c r="AA959" s="39"/>
      <c r="AB959" s="118">
        <f t="shared" si="556"/>
        <v>0</v>
      </c>
      <c r="AC959" s="39"/>
      <c r="AD959" s="39"/>
      <c r="AE959" s="39"/>
      <c r="AF959" s="39"/>
      <c r="AG959" s="39"/>
      <c r="AH959" s="39">
        <f t="shared" si="557"/>
        <v>0</v>
      </c>
      <c r="AI959" s="39"/>
      <c r="AJ959" s="39"/>
      <c r="AK959" s="39"/>
      <c r="AL959" s="39"/>
      <c r="AM959" s="39"/>
      <c r="AN959" s="39">
        <f t="shared" si="522"/>
        <v>0</v>
      </c>
      <c r="AO959" s="39"/>
      <c r="AP959" s="39"/>
      <c r="AQ959" s="39"/>
      <c r="AR959" s="39"/>
      <c r="AS959" s="39"/>
      <c r="AT959" s="39">
        <f t="shared" si="539"/>
        <v>0</v>
      </c>
      <c r="AU959" s="39"/>
      <c r="AV959" s="39"/>
      <c r="AW959" s="39"/>
      <c r="AX959" s="39"/>
      <c r="AY959" s="39"/>
      <c r="AZ959" s="39">
        <f t="shared" si="540"/>
        <v>0</v>
      </c>
      <c r="BA959" s="39"/>
      <c r="BB959" s="39"/>
      <c r="BC959" s="39"/>
      <c r="BD959" s="39"/>
      <c r="BE959" s="39"/>
      <c r="BF959" s="39">
        <f t="shared" si="541"/>
        <v>0</v>
      </c>
      <c r="BG959" s="39"/>
      <c r="BH959" s="39"/>
      <c r="BI959" s="39"/>
      <c r="BJ959" s="39"/>
      <c r="BK959" s="39"/>
      <c r="BL959" s="39">
        <f t="shared" si="558"/>
        <v>0</v>
      </c>
      <c r="BM959" s="54">
        <f t="shared" ca="1" si="542"/>
        <v>46283</v>
      </c>
      <c r="BN959" s="62">
        <v>46289</v>
      </c>
      <c r="BO959" s="117">
        <v>46301</v>
      </c>
      <c r="BP959" s="39"/>
      <c r="BQ959" s="39"/>
      <c r="BR959" s="39"/>
      <c r="BS959" s="39"/>
      <c r="BT959" s="39"/>
      <c r="BU959" s="39"/>
      <c r="BV959" s="39"/>
      <c r="BW959" s="39"/>
      <c r="BX959" s="39"/>
      <c r="BY959" s="39"/>
      <c r="BZ959" s="39">
        <f t="shared" si="559"/>
        <v>0</v>
      </c>
      <c r="CA959" s="39">
        <f t="shared" si="543"/>
        <v>-3868</v>
      </c>
      <c r="CB959" s="39">
        <f t="shared" si="544"/>
        <v>-282</v>
      </c>
      <c r="CC959" s="39">
        <f t="shared" si="545"/>
        <v>0</v>
      </c>
      <c r="CD959" s="39">
        <f t="shared" si="560"/>
        <v>-4150</v>
      </c>
      <c r="CE959" s="102">
        <f t="shared" si="547"/>
        <v>-1</v>
      </c>
      <c r="CF959" s="39"/>
      <c r="CG959" s="39" t="s">
        <v>234</v>
      </c>
      <c r="CH959" s="39"/>
      <c r="CI959" s="25">
        <v>3</v>
      </c>
    </row>
    <row r="960" spans="1:124" ht="24.75" customHeight="1">
      <c r="A960" s="39" t="s">
        <v>86</v>
      </c>
      <c r="B960" s="55">
        <v>48717</v>
      </c>
      <c r="C960" s="36" t="s">
        <v>2805</v>
      </c>
      <c r="D960" s="36" t="s">
        <v>334</v>
      </c>
      <c r="E960" s="39">
        <v>160</v>
      </c>
      <c r="F960" s="39" t="s">
        <v>55</v>
      </c>
      <c r="G960" s="36" t="s">
        <v>2804</v>
      </c>
      <c r="H960" s="36" t="s">
        <v>26</v>
      </c>
      <c r="I960" s="39">
        <v>2664</v>
      </c>
      <c r="J960" s="39">
        <v>138</v>
      </c>
      <c r="K960" s="39"/>
      <c r="L960" s="39">
        <f t="shared" si="554"/>
        <v>2802</v>
      </c>
      <c r="M960" s="117">
        <v>46277</v>
      </c>
      <c r="N960" s="117">
        <v>46290</v>
      </c>
      <c r="O960" s="39"/>
      <c r="P960" s="39"/>
      <c r="Q960" s="39"/>
      <c r="R960" s="39">
        <f t="shared" ref="R960" si="569">SUM(O960:Q960)</f>
        <v>0</v>
      </c>
      <c r="S960" s="39" t="s">
        <v>130</v>
      </c>
      <c r="T960" s="39"/>
      <c r="U960" s="39"/>
      <c r="V960" s="39"/>
      <c r="W960" s="39"/>
      <c r="X960" s="39"/>
      <c r="Y960" s="39"/>
      <c r="Z960" s="39"/>
      <c r="AA960" s="39"/>
      <c r="AB960" s="118">
        <f t="shared" si="556"/>
        <v>0</v>
      </c>
      <c r="AC960" s="39"/>
      <c r="AD960" s="39"/>
      <c r="AE960" s="39"/>
      <c r="AF960" s="39"/>
      <c r="AG960" s="39"/>
      <c r="AH960" s="39">
        <f t="shared" si="557"/>
        <v>0</v>
      </c>
      <c r="AI960" s="39"/>
      <c r="AJ960" s="39"/>
      <c r="AK960" s="39"/>
      <c r="AL960" s="39"/>
      <c r="AM960" s="39"/>
      <c r="AN960" s="39">
        <f t="shared" si="522"/>
        <v>0</v>
      </c>
      <c r="AO960" s="39"/>
      <c r="AP960" s="39"/>
      <c r="AQ960" s="39"/>
      <c r="AR960" s="39"/>
      <c r="AS960" s="39"/>
      <c r="AT960" s="39">
        <f t="shared" si="539"/>
        <v>0</v>
      </c>
      <c r="AU960" s="39"/>
      <c r="AV960" s="39"/>
      <c r="AW960" s="39"/>
      <c r="AX960" s="39"/>
      <c r="AY960" s="39"/>
      <c r="AZ960" s="39">
        <f t="shared" si="540"/>
        <v>0</v>
      </c>
      <c r="BA960" s="39"/>
      <c r="BB960" s="39"/>
      <c r="BC960" s="39"/>
      <c r="BD960" s="39"/>
      <c r="BE960" s="39"/>
      <c r="BF960" s="39">
        <f t="shared" si="541"/>
        <v>0</v>
      </c>
      <c r="BG960" s="39"/>
      <c r="BH960" s="39"/>
      <c r="BI960" s="39"/>
      <c r="BJ960" s="39"/>
      <c r="BK960" s="39"/>
      <c r="BL960" s="39">
        <f t="shared" si="558"/>
        <v>0</v>
      </c>
      <c r="BM960" s="54">
        <f t="shared" ca="1" si="542"/>
        <v>46283</v>
      </c>
      <c r="BN960" s="62">
        <v>46289</v>
      </c>
      <c r="BO960" s="117">
        <v>46301</v>
      </c>
      <c r="BP960" s="39"/>
      <c r="BQ960" s="39"/>
      <c r="BR960" s="39"/>
      <c r="BS960" s="39"/>
      <c r="BT960" s="39"/>
      <c r="BU960" s="39"/>
      <c r="BV960" s="39"/>
      <c r="BW960" s="39"/>
      <c r="BX960" s="39"/>
      <c r="BY960" s="39"/>
      <c r="BZ960" s="39">
        <f t="shared" si="559"/>
        <v>0</v>
      </c>
      <c r="CA960" s="39">
        <f t="shared" si="543"/>
        <v>-2664</v>
      </c>
      <c r="CB960" s="39">
        <f t="shared" si="544"/>
        <v>-138</v>
      </c>
      <c r="CC960" s="39">
        <f t="shared" si="545"/>
        <v>0</v>
      </c>
      <c r="CD960" s="39">
        <f t="shared" si="560"/>
        <v>-2802</v>
      </c>
      <c r="CE960" s="102">
        <f t="shared" si="547"/>
        <v>-1</v>
      </c>
      <c r="CF960" s="39"/>
      <c r="CG960" s="39" t="s">
        <v>234</v>
      </c>
      <c r="CH960" s="39"/>
      <c r="CI960" s="25">
        <v>3</v>
      </c>
    </row>
    <row r="961" spans="1:87" ht="24.75" customHeight="1">
      <c r="A961" s="39" t="s">
        <v>86</v>
      </c>
      <c r="B961" s="55">
        <v>48721</v>
      </c>
      <c r="C961" s="227" t="s">
        <v>2806</v>
      </c>
      <c r="D961" s="36"/>
      <c r="E961" s="39">
        <v>160</v>
      </c>
      <c r="F961" s="39" t="s">
        <v>57</v>
      </c>
      <c r="G961" s="36" t="s">
        <v>2807</v>
      </c>
      <c r="H961" s="36" t="s">
        <v>26</v>
      </c>
      <c r="I961" s="39">
        <v>2259</v>
      </c>
      <c r="J961" s="39"/>
      <c r="K961" s="39"/>
      <c r="L961" s="39">
        <f t="shared" si="554"/>
        <v>2259</v>
      </c>
      <c r="M961" s="117">
        <v>46277</v>
      </c>
      <c r="N961" s="117">
        <v>46287</v>
      </c>
      <c r="O961" s="39"/>
      <c r="P961" s="39"/>
      <c r="Q961" s="39"/>
      <c r="R961" s="39">
        <f t="shared" si="555"/>
        <v>0</v>
      </c>
      <c r="S961" s="39" t="s">
        <v>130</v>
      </c>
      <c r="T961" s="39"/>
      <c r="U961" s="39"/>
      <c r="V961" s="39"/>
      <c r="W961" s="39"/>
      <c r="X961" s="39"/>
      <c r="Y961" s="39"/>
      <c r="Z961" s="39"/>
      <c r="AA961" s="39"/>
      <c r="AB961" s="118">
        <f t="shared" si="556"/>
        <v>0</v>
      </c>
      <c r="AC961" s="39"/>
      <c r="AD961" s="39"/>
      <c r="AE961" s="39"/>
      <c r="AF961" s="39"/>
      <c r="AG961" s="39"/>
      <c r="AH961" s="39">
        <f t="shared" si="557"/>
        <v>0</v>
      </c>
      <c r="AI961" s="39"/>
      <c r="AJ961" s="39"/>
      <c r="AK961" s="39"/>
      <c r="AL961" s="39"/>
      <c r="AM961" s="39"/>
      <c r="AN961" s="39">
        <f t="shared" si="522"/>
        <v>0</v>
      </c>
      <c r="AO961" s="39"/>
      <c r="AP961" s="39"/>
      <c r="AQ961" s="39"/>
      <c r="AR961" s="39"/>
      <c r="AS961" s="39"/>
      <c r="AT961" s="39">
        <f t="shared" si="539"/>
        <v>0</v>
      </c>
      <c r="AU961" s="39"/>
      <c r="AV961" s="39"/>
      <c r="AW961" s="39"/>
      <c r="AX961" s="39"/>
      <c r="AY961" s="39"/>
      <c r="AZ961" s="39">
        <f t="shared" si="540"/>
        <v>0</v>
      </c>
      <c r="BA961" s="39"/>
      <c r="BB961" s="39"/>
      <c r="BC961" s="39"/>
      <c r="BD961" s="39"/>
      <c r="BE961" s="39"/>
      <c r="BF961" s="39">
        <f t="shared" si="541"/>
        <v>0</v>
      </c>
      <c r="BG961" s="39"/>
      <c r="BH961" s="39"/>
      <c r="BI961" s="39"/>
      <c r="BJ961" s="39"/>
      <c r="BK961" s="39"/>
      <c r="BL961" s="39">
        <f t="shared" si="558"/>
        <v>0</v>
      </c>
      <c r="BM961" s="54">
        <f t="shared" ca="1" si="542"/>
        <v>46283</v>
      </c>
      <c r="BN961" s="62">
        <v>46289</v>
      </c>
      <c r="BO961" s="117">
        <v>46305</v>
      </c>
      <c r="BP961" s="39"/>
      <c r="BQ961" s="39"/>
      <c r="BR961" s="39"/>
      <c r="BS961" s="39"/>
      <c r="BT961" s="39"/>
      <c r="BU961" s="39"/>
      <c r="BV961" s="39"/>
      <c r="BW961" s="39"/>
      <c r="BX961" s="39"/>
      <c r="BY961" s="39"/>
      <c r="BZ961" s="39">
        <f t="shared" si="559"/>
        <v>0</v>
      </c>
      <c r="CA961" s="39">
        <f t="shared" si="543"/>
        <v>-2259</v>
      </c>
      <c r="CB961" s="39">
        <f t="shared" si="544"/>
        <v>0</v>
      </c>
      <c r="CC961" s="39">
        <f t="shared" si="545"/>
        <v>0</v>
      </c>
      <c r="CD961" s="39">
        <f t="shared" si="560"/>
        <v>-2259</v>
      </c>
      <c r="CE961" s="102">
        <f t="shared" si="547"/>
        <v>-1</v>
      </c>
      <c r="CF961" s="39"/>
      <c r="CG961" s="39" t="s">
        <v>234</v>
      </c>
      <c r="CH961" s="39"/>
      <c r="CI961" s="25">
        <v>3</v>
      </c>
    </row>
    <row r="962" spans="1:87" ht="24.75" customHeight="1">
      <c r="A962" s="39" t="s">
        <v>86</v>
      </c>
      <c r="B962" s="55">
        <v>48721</v>
      </c>
      <c r="C962" s="228"/>
      <c r="D962" s="36"/>
      <c r="E962" s="39">
        <v>160</v>
      </c>
      <c r="F962" s="39" t="s">
        <v>56</v>
      </c>
      <c r="G962" s="36" t="s">
        <v>2807</v>
      </c>
      <c r="H962" s="36" t="s">
        <v>26</v>
      </c>
      <c r="I962" s="39">
        <v>1227</v>
      </c>
      <c r="J962" s="39"/>
      <c r="K962" s="39"/>
      <c r="L962" s="39">
        <f t="shared" ref="L962" si="570">SUM(I962:K962)</f>
        <v>1227</v>
      </c>
      <c r="M962" s="117">
        <v>46277</v>
      </c>
      <c r="N962" s="117">
        <v>46287</v>
      </c>
      <c r="O962" s="39"/>
      <c r="P962" s="39"/>
      <c r="Q962" s="39"/>
      <c r="R962" s="39">
        <f t="shared" ref="R962" si="571">SUM(O962:Q962)</f>
        <v>0</v>
      </c>
      <c r="S962" s="39" t="s">
        <v>130</v>
      </c>
      <c r="T962" s="39"/>
      <c r="U962" s="39"/>
      <c r="V962" s="39"/>
      <c r="W962" s="39"/>
      <c r="X962" s="39"/>
      <c r="Y962" s="39"/>
      <c r="Z962" s="39"/>
      <c r="AA962" s="39"/>
      <c r="AB962" s="118">
        <f t="shared" ref="AB962" si="572">SUM(Y962:AA962)</f>
        <v>0</v>
      </c>
      <c r="AC962" s="39"/>
      <c r="AD962" s="39"/>
      <c r="AE962" s="39"/>
      <c r="AF962" s="39"/>
      <c r="AG962" s="39"/>
      <c r="AH962" s="39">
        <f t="shared" si="557"/>
        <v>0</v>
      </c>
      <c r="AI962" s="39"/>
      <c r="AJ962" s="39"/>
      <c r="AK962" s="39"/>
      <c r="AL962" s="39"/>
      <c r="AM962" s="39"/>
      <c r="AN962" s="39">
        <f t="shared" si="522"/>
        <v>0</v>
      </c>
      <c r="AO962" s="39"/>
      <c r="AP962" s="39"/>
      <c r="AQ962" s="39"/>
      <c r="AR962" s="39"/>
      <c r="AS962" s="39"/>
      <c r="AT962" s="39">
        <f t="shared" si="539"/>
        <v>0</v>
      </c>
      <c r="AU962" s="39"/>
      <c r="AV962" s="39"/>
      <c r="AW962" s="39"/>
      <c r="AX962" s="39"/>
      <c r="AY962" s="39"/>
      <c r="AZ962" s="39">
        <f t="shared" si="540"/>
        <v>0</v>
      </c>
      <c r="BA962" s="39"/>
      <c r="BB962" s="39"/>
      <c r="BC962" s="39"/>
      <c r="BD962" s="39"/>
      <c r="BE962" s="39"/>
      <c r="BF962" s="39">
        <f t="shared" si="541"/>
        <v>0</v>
      </c>
      <c r="BG962" s="39"/>
      <c r="BH962" s="39"/>
      <c r="BI962" s="39"/>
      <c r="BJ962" s="39"/>
      <c r="BK962" s="39"/>
      <c r="BL962" s="39">
        <f t="shared" si="558"/>
        <v>0</v>
      </c>
      <c r="BM962" s="54">
        <f t="shared" ca="1" si="542"/>
        <v>46283</v>
      </c>
      <c r="BN962" s="62">
        <v>46289</v>
      </c>
      <c r="BO962" s="117">
        <v>46305</v>
      </c>
      <c r="BP962" s="39"/>
      <c r="BQ962" s="39"/>
      <c r="BR962" s="39"/>
      <c r="BS962" s="39"/>
      <c r="BT962" s="39"/>
      <c r="BU962" s="39"/>
      <c r="BV962" s="39"/>
      <c r="BW962" s="39"/>
      <c r="BX962" s="39"/>
      <c r="BY962" s="39"/>
      <c r="BZ962" s="39">
        <f t="shared" si="559"/>
        <v>0</v>
      </c>
      <c r="CA962" s="39">
        <f t="shared" si="543"/>
        <v>-1227</v>
      </c>
      <c r="CB962" s="39">
        <f t="shared" si="544"/>
        <v>0</v>
      </c>
      <c r="CC962" s="39">
        <f t="shared" si="545"/>
        <v>0</v>
      </c>
      <c r="CD962" s="39">
        <f t="shared" si="560"/>
        <v>-1227</v>
      </c>
      <c r="CE962" s="102">
        <f t="shared" si="547"/>
        <v>-1</v>
      </c>
      <c r="CF962" s="39"/>
      <c r="CG962" s="39" t="s">
        <v>234</v>
      </c>
      <c r="CH962" s="39"/>
      <c r="CI962" s="25">
        <v>3</v>
      </c>
    </row>
    <row r="963" spans="1:87" ht="24.75" customHeight="1">
      <c r="A963" s="39" t="s">
        <v>86</v>
      </c>
      <c r="B963" s="55">
        <v>48719</v>
      </c>
      <c r="C963" s="227" t="s">
        <v>2808</v>
      </c>
      <c r="D963" s="36"/>
      <c r="E963" s="39">
        <v>160</v>
      </c>
      <c r="F963" s="39" t="s">
        <v>57</v>
      </c>
      <c r="G963" s="36" t="s">
        <v>731</v>
      </c>
      <c r="H963" s="36" t="s">
        <v>26</v>
      </c>
      <c r="I963" s="39">
        <v>2282</v>
      </c>
      <c r="J963" s="39"/>
      <c r="K963" s="39"/>
      <c r="L963" s="39">
        <f t="shared" si="554"/>
        <v>2282</v>
      </c>
      <c r="M963" s="117">
        <v>46279</v>
      </c>
      <c r="N963" s="117">
        <v>46289</v>
      </c>
      <c r="O963" s="39"/>
      <c r="P963" s="39"/>
      <c r="Q963" s="39"/>
      <c r="R963" s="39">
        <f t="shared" si="555"/>
        <v>0</v>
      </c>
      <c r="S963" s="39" t="s">
        <v>130</v>
      </c>
      <c r="T963" s="39"/>
      <c r="U963" s="39"/>
      <c r="V963" s="39"/>
      <c r="W963" s="39"/>
      <c r="X963" s="39"/>
      <c r="Y963" s="39"/>
      <c r="Z963" s="39"/>
      <c r="AA963" s="39"/>
      <c r="AB963" s="118">
        <f t="shared" si="556"/>
        <v>0</v>
      </c>
      <c r="AC963" s="39"/>
      <c r="AD963" s="39"/>
      <c r="AE963" s="39"/>
      <c r="AF963" s="39"/>
      <c r="AG963" s="39"/>
      <c r="AH963" s="39">
        <f t="shared" si="557"/>
        <v>0</v>
      </c>
      <c r="AI963" s="39"/>
      <c r="AJ963" s="39"/>
      <c r="AK963" s="39"/>
      <c r="AL963" s="39"/>
      <c r="AM963" s="39"/>
      <c r="AN963" s="39">
        <f t="shared" si="522"/>
        <v>0</v>
      </c>
      <c r="AO963" s="39"/>
      <c r="AP963" s="39"/>
      <c r="AQ963" s="39"/>
      <c r="AR963" s="39"/>
      <c r="AS963" s="39"/>
      <c r="AT963" s="39">
        <f t="shared" si="539"/>
        <v>0</v>
      </c>
      <c r="AU963" s="39"/>
      <c r="AV963" s="39"/>
      <c r="AW963" s="39"/>
      <c r="AX963" s="39"/>
      <c r="AY963" s="39"/>
      <c r="AZ963" s="39">
        <f t="shared" si="540"/>
        <v>0</v>
      </c>
      <c r="BA963" s="39"/>
      <c r="BB963" s="39"/>
      <c r="BC963" s="39"/>
      <c r="BD963" s="39"/>
      <c r="BE963" s="39"/>
      <c r="BF963" s="39">
        <f t="shared" si="541"/>
        <v>0</v>
      </c>
      <c r="BG963" s="39"/>
      <c r="BH963" s="39"/>
      <c r="BI963" s="39"/>
      <c r="BJ963" s="39"/>
      <c r="BK963" s="39"/>
      <c r="BL963" s="39">
        <f t="shared" si="558"/>
        <v>0</v>
      </c>
      <c r="BM963" s="54">
        <f t="shared" ca="1" si="542"/>
        <v>46283</v>
      </c>
      <c r="BN963" s="62">
        <v>46289</v>
      </c>
      <c r="BO963" s="117">
        <v>46303</v>
      </c>
      <c r="BP963" s="39"/>
      <c r="BQ963" s="39"/>
      <c r="BR963" s="39"/>
      <c r="BS963" s="39"/>
      <c r="BT963" s="39"/>
      <c r="BU963" s="39"/>
      <c r="BV963" s="39"/>
      <c r="BW963" s="39"/>
      <c r="BX963" s="39"/>
      <c r="BY963" s="39"/>
      <c r="BZ963" s="39">
        <f t="shared" si="559"/>
        <v>0</v>
      </c>
      <c r="CA963" s="39">
        <f t="shared" si="543"/>
        <v>-2282</v>
      </c>
      <c r="CB963" s="39">
        <f t="shared" si="544"/>
        <v>0</v>
      </c>
      <c r="CC963" s="39">
        <f t="shared" si="545"/>
        <v>0</v>
      </c>
      <c r="CD963" s="39">
        <f t="shared" si="560"/>
        <v>-2282</v>
      </c>
      <c r="CE963" s="102">
        <f t="shared" si="547"/>
        <v>-1</v>
      </c>
      <c r="CF963" s="39"/>
      <c r="CG963" s="39" t="s">
        <v>234</v>
      </c>
      <c r="CH963" s="39"/>
      <c r="CI963" s="25">
        <v>3</v>
      </c>
    </row>
    <row r="964" spans="1:87" ht="24.75" customHeight="1">
      <c r="A964" s="39" t="s">
        <v>86</v>
      </c>
      <c r="B964" s="55">
        <v>48719</v>
      </c>
      <c r="C964" s="228"/>
      <c r="D964" s="36"/>
      <c r="E964" s="39">
        <v>160</v>
      </c>
      <c r="F964" s="39" t="s">
        <v>56</v>
      </c>
      <c r="G964" s="36" t="s">
        <v>731</v>
      </c>
      <c r="H964" s="36" t="s">
        <v>26</v>
      </c>
      <c r="I964" s="39">
        <v>1884</v>
      </c>
      <c r="J964" s="39"/>
      <c r="K964" s="39"/>
      <c r="L964" s="39">
        <f t="shared" si="554"/>
        <v>1884</v>
      </c>
      <c r="M964" s="117">
        <v>46279</v>
      </c>
      <c r="N964" s="117">
        <v>46289</v>
      </c>
      <c r="O964" s="39"/>
      <c r="P964" s="39"/>
      <c r="Q964" s="39"/>
      <c r="R964" s="39">
        <f t="shared" ref="R964" si="573">SUM(O964:Q964)</f>
        <v>0</v>
      </c>
      <c r="S964" s="39" t="s">
        <v>130</v>
      </c>
      <c r="T964" s="39"/>
      <c r="U964" s="39"/>
      <c r="V964" s="39"/>
      <c r="W964" s="39"/>
      <c r="X964" s="39"/>
      <c r="Y964" s="39"/>
      <c r="Z964" s="39"/>
      <c r="AA964" s="39"/>
      <c r="AB964" s="118">
        <f t="shared" si="556"/>
        <v>0</v>
      </c>
      <c r="AC964" s="39"/>
      <c r="AD964" s="39"/>
      <c r="AE964" s="39"/>
      <c r="AF964" s="39"/>
      <c r="AG964" s="39"/>
      <c r="AH964" s="39">
        <f t="shared" si="557"/>
        <v>0</v>
      </c>
      <c r="AI964" s="39"/>
      <c r="AJ964" s="39"/>
      <c r="AK964" s="39"/>
      <c r="AL964" s="39"/>
      <c r="AM964" s="39"/>
      <c r="AN964" s="39">
        <f t="shared" si="522"/>
        <v>0</v>
      </c>
      <c r="AO964" s="39"/>
      <c r="AP964" s="39"/>
      <c r="AQ964" s="39"/>
      <c r="AR964" s="39"/>
      <c r="AS964" s="39"/>
      <c r="AT964" s="39">
        <f t="shared" si="539"/>
        <v>0</v>
      </c>
      <c r="AU964" s="39"/>
      <c r="AV964" s="39"/>
      <c r="AW964" s="39"/>
      <c r="AX964" s="39"/>
      <c r="AY964" s="39"/>
      <c r="AZ964" s="39">
        <f t="shared" si="540"/>
        <v>0</v>
      </c>
      <c r="BA964" s="39"/>
      <c r="BB964" s="39"/>
      <c r="BC964" s="39"/>
      <c r="BD964" s="39"/>
      <c r="BE964" s="39"/>
      <c r="BF964" s="39">
        <f t="shared" si="541"/>
        <v>0</v>
      </c>
      <c r="BG964" s="39"/>
      <c r="BH964" s="39"/>
      <c r="BI964" s="39"/>
      <c r="BJ964" s="39"/>
      <c r="BK964" s="39"/>
      <c r="BL964" s="39">
        <f t="shared" si="558"/>
        <v>0</v>
      </c>
      <c r="BM964" s="54">
        <f t="shared" ca="1" si="542"/>
        <v>46283</v>
      </c>
      <c r="BN964" s="62">
        <v>46289</v>
      </c>
      <c r="BO964" s="117">
        <v>46303</v>
      </c>
      <c r="BP964" s="39"/>
      <c r="BQ964" s="39"/>
      <c r="BR964" s="39"/>
      <c r="BS964" s="39"/>
      <c r="BT964" s="39"/>
      <c r="BU964" s="39"/>
      <c r="BV964" s="39"/>
      <c r="BW964" s="39"/>
      <c r="BX964" s="39"/>
      <c r="BY964" s="39"/>
      <c r="BZ964" s="39">
        <f t="shared" si="559"/>
        <v>0</v>
      </c>
      <c r="CA964" s="39">
        <f t="shared" si="543"/>
        <v>-1884</v>
      </c>
      <c r="CB964" s="39">
        <f t="shared" si="544"/>
        <v>0</v>
      </c>
      <c r="CC964" s="39">
        <f t="shared" si="545"/>
        <v>0</v>
      </c>
      <c r="CD964" s="39">
        <f t="shared" si="560"/>
        <v>-1884</v>
      </c>
      <c r="CE964" s="102">
        <f t="shared" si="547"/>
        <v>-1</v>
      </c>
      <c r="CF964" s="39"/>
      <c r="CG964" s="39" t="s">
        <v>234</v>
      </c>
      <c r="CH964" s="39"/>
      <c r="CI964" s="25">
        <v>3</v>
      </c>
    </row>
    <row r="965" spans="1:87" ht="24.75" customHeight="1">
      <c r="A965" s="39" t="s">
        <v>86</v>
      </c>
      <c r="B965" s="166">
        <v>48735</v>
      </c>
      <c r="C965" s="227" t="s">
        <v>3023</v>
      </c>
      <c r="D965" s="36" t="s">
        <v>37</v>
      </c>
      <c r="E965" s="39">
        <v>160</v>
      </c>
      <c r="F965" s="39" t="s">
        <v>56</v>
      </c>
      <c r="G965" s="163" t="s">
        <v>99</v>
      </c>
      <c r="H965" s="36" t="s">
        <v>26</v>
      </c>
      <c r="I965" s="162">
        <f>6684-1788</f>
        <v>4896</v>
      </c>
      <c r="J965" s="39"/>
      <c r="K965" s="39"/>
      <c r="L965" s="39">
        <f t="shared" si="554"/>
        <v>4896</v>
      </c>
      <c r="M965" s="117">
        <v>46277</v>
      </c>
      <c r="N965" s="117">
        <v>46290</v>
      </c>
      <c r="O965" s="39"/>
      <c r="P965" s="39"/>
      <c r="Q965" s="39"/>
      <c r="R965" s="39">
        <f t="shared" si="555"/>
        <v>0</v>
      </c>
      <c r="S965" s="39" t="s">
        <v>130</v>
      </c>
      <c r="T965" s="39"/>
      <c r="U965" s="39"/>
      <c r="V965" s="39"/>
      <c r="W965" s="39"/>
      <c r="X965" s="39"/>
      <c r="Y965" s="39"/>
      <c r="Z965" s="39"/>
      <c r="AA965" s="39"/>
      <c r="AB965" s="118">
        <f t="shared" si="556"/>
        <v>0</v>
      </c>
      <c r="AC965" s="39"/>
      <c r="AD965" s="39"/>
      <c r="AE965" s="39"/>
      <c r="AF965" s="39"/>
      <c r="AG965" s="39"/>
      <c r="AH965" s="39">
        <f t="shared" si="557"/>
        <v>0</v>
      </c>
      <c r="AI965" s="39"/>
      <c r="AJ965" s="39"/>
      <c r="AK965" s="39"/>
      <c r="AL965" s="39"/>
      <c r="AM965" s="39"/>
      <c r="AN965" s="39">
        <f t="shared" si="522"/>
        <v>0</v>
      </c>
      <c r="AO965" s="39"/>
      <c r="AP965" s="39"/>
      <c r="AQ965" s="39"/>
      <c r="AR965" s="39"/>
      <c r="AS965" s="39"/>
      <c r="AT965" s="39">
        <f t="shared" si="539"/>
        <v>0</v>
      </c>
      <c r="AU965" s="39"/>
      <c r="AV965" s="39"/>
      <c r="AW965" s="39"/>
      <c r="AX965" s="39"/>
      <c r="AY965" s="39"/>
      <c r="AZ965" s="39">
        <f t="shared" si="540"/>
        <v>0</v>
      </c>
      <c r="BA965" s="39"/>
      <c r="BB965" s="39"/>
      <c r="BC965" s="39"/>
      <c r="BD965" s="39"/>
      <c r="BE965" s="39"/>
      <c r="BF965" s="39">
        <f t="shared" si="541"/>
        <v>0</v>
      </c>
      <c r="BG965" s="39"/>
      <c r="BH965" s="39"/>
      <c r="BI965" s="39"/>
      <c r="BJ965" s="39"/>
      <c r="BK965" s="39"/>
      <c r="BL965" s="39">
        <f t="shared" si="558"/>
        <v>0</v>
      </c>
      <c r="BM965" s="54">
        <f t="shared" ca="1" si="542"/>
        <v>46283</v>
      </c>
      <c r="BN965" s="62">
        <v>46289</v>
      </c>
      <c r="BO965" s="117">
        <v>46301</v>
      </c>
      <c r="BP965" s="117">
        <v>46299</v>
      </c>
      <c r="BQ965" s="117">
        <v>46314</v>
      </c>
      <c r="BR965" s="39"/>
      <c r="BS965" s="39"/>
      <c r="BT965" s="39"/>
      <c r="BU965" s="39"/>
      <c r="BV965" s="39"/>
      <c r="BW965" s="39"/>
      <c r="BX965" s="39"/>
      <c r="BY965" s="39"/>
      <c r="BZ965" s="39">
        <f t="shared" si="559"/>
        <v>0</v>
      </c>
      <c r="CA965" s="39">
        <f t="shared" si="543"/>
        <v>-4896</v>
      </c>
      <c r="CB965" s="39">
        <f t="shared" si="544"/>
        <v>0</v>
      </c>
      <c r="CC965" s="39">
        <f t="shared" si="545"/>
        <v>0</v>
      </c>
      <c r="CD965" s="39">
        <f t="shared" si="560"/>
        <v>-4896</v>
      </c>
      <c r="CE965" s="102">
        <f t="shared" si="547"/>
        <v>-1</v>
      </c>
      <c r="CF965" s="39"/>
      <c r="CG965" s="39" t="s">
        <v>234</v>
      </c>
      <c r="CH965" s="39"/>
      <c r="CI965" s="25">
        <v>3</v>
      </c>
    </row>
    <row r="966" spans="1:87" ht="24.75" customHeight="1">
      <c r="A966" s="39" t="s">
        <v>86</v>
      </c>
      <c r="B966" s="166">
        <v>48735</v>
      </c>
      <c r="C966" s="228"/>
      <c r="D966" s="36" t="s">
        <v>37</v>
      </c>
      <c r="E966" s="39">
        <v>160</v>
      </c>
      <c r="F966" s="39" t="s">
        <v>57</v>
      </c>
      <c r="G966" s="163" t="s">
        <v>99</v>
      </c>
      <c r="H966" s="36" t="s">
        <v>26</v>
      </c>
      <c r="I966" s="162">
        <f>3686-3358</f>
        <v>328</v>
      </c>
      <c r="J966" s="39"/>
      <c r="K966" s="39"/>
      <c r="L966" s="39">
        <f t="shared" si="554"/>
        <v>328</v>
      </c>
      <c r="M966" s="117">
        <v>46277</v>
      </c>
      <c r="N966" s="117">
        <v>46290</v>
      </c>
      <c r="O966" s="39"/>
      <c r="P966" s="39"/>
      <c r="Q966" s="39"/>
      <c r="R966" s="39">
        <f t="shared" ref="R966" si="574">SUM(O966:Q966)</f>
        <v>0</v>
      </c>
      <c r="S966" s="39" t="s">
        <v>130</v>
      </c>
      <c r="T966" s="39"/>
      <c r="U966" s="39"/>
      <c r="V966" s="39"/>
      <c r="W966" s="39"/>
      <c r="X966" s="39"/>
      <c r="Y966" s="39"/>
      <c r="Z966" s="39"/>
      <c r="AA966" s="39"/>
      <c r="AB966" s="118">
        <f t="shared" ref="AB966" si="575">SUM(Y966:AA966)</f>
        <v>0</v>
      </c>
      <c r="AC966" s="39"/>
      <c r="AD966" s="39"/>
      <c r="AE966" s="39"/>
      <c r="AF966" s="39"/>
      <c r="AG966" s="39"/>
      <c r="AH966" s="39">
        <f t="shared" si="557"/>
        <v>0</v>
      </c>
      <c r="AI966" s="39"/>
      <c r="AJ966" s="39"/>
      <c r="AK966" s="39"/>
      <c r="AL966" s="39"/>
      <c r="AM966" s="39"/>
      <c r="AN966" s="39">
        <f t="shared" si="522"/>
        <v>0</v>
      </c>
      <c r="AO966" s="39"/>
      <c r="AP966" s="39"/>
      <c r="AQ966" s="39"/>
      <c r="AR966" s="39"/>
      <c r="AS966" s="39"/>
      <c r="AT966" s="39">
        <f t="shared" si="539"/>
        <v>0</v>
      </c>
      <c r="AU966" s="39"/>
      <c r="AV966" s="39"/>
      <c r="AW966" s="39"/>
      <c r="AX966" s="39"/>
      <c r="AY966" s="39"/>
      <c r="AZ966" s="39">
        <f t="shared" si="540"/>
        <v>0</v>
      </c>
      <c r="BA966" s="39"/>
      <c r="BB966" s="39"/>
      <c r="BC966" s="39"/>
      <c r="BD966" s="39"/>
      <c r="BE966" s="39"/>
      <c r="BF966" s="39">
        <f t="shared" si="541"/>
        <v>0</v>
      </c>
      <c r="BG966" s="39"/>
      <c r="BH966" s="39"/>
      <c r="BI966" s="39"/>
      <c r="BJ966" s="39"/>
      <c r="BK966" s="39"/>
      <c r="BL966" s="39">
        <f t="shared" si="558"/>
        <v>0</v>
      </c>
      <c r="BM966" s="54">
        <f t="shared" ca="1" si="542"/>
        <v>46283</v>
      </c>
      <c r="BN966" s="62">
        <v>46289</v>
      </c>
      <c r="BO966" s="117">
        <v>46301</v>
      </c>
      <c r="BP966" s="117">
        <v>46299</v>
      </c>
      <c r="BQ966" s="117">
        <v>46314</v>
      </c>
      <c r="BR966" s="39"/>
      <c r="BS966" s="39"/>
      <c r="BT966" s="39"/>
      <c r="BU966" s="39"/>
      <c r="BV966" s="39"/>
      <c r="BW966" s="39"/>
      <c r="BX966" s="39"/>
      <c r="BY966" s="39"/>
      <c r="BZ966" s="39">
        <f t="shared" si="559"/>
        <v>0</v>
      </c>
      <c r="CA966" s="39">
        <f t="shared" si="543"/>
        <v>-328</v>
      </c>
      <c r="CB966" s="39">
        <f t="shared" si="544"/>
        <v>0</v>
      </c>
      <c r="CC966" s="39">
        <f t="shared" si="545"/>
        <v>0</v>
      </c>
      <c r="CD966" s="39">
        <f t="shared" si="560"/>
        <v>-328</v>
      </c>
      <c r="CE966" s="102">
        <f t="shared" si="547"/>
        <v>-1</v>
      </c>
      <c r="CF966" s="39"/>
      <c r="CG966" s="39" t="s">
        <v>234</v>
      </c>
      <c r="CH966" s="39"/>
      <c r="CI966" s="25">
        <v>3</v>
      </c>
    </row>
    <row r="967" spans="1:87" ht="24.75" customHeight="1">
      <c r="A967" s="39" t="s">
        <v>86</v>
      </c>
      <c r="B967" s="55">
        <v>48718</v>
      </c>
      <c r="C967" s="36" t="s">
        <v>2885</v>
      </c>
      <c r="D967" s="36" t="s">
        <v>334</v>
      </c>
      <c r="E967" s="39">
        <v>160</v>
      </c>
      <c r="F967" s="39" t="s">
        <v>55</v>
      </c>
      <c r="G967" s="36" t="s">
        <v>2886</v>
      </c>
      <c r="H967" s="36" t="s">
        <v>26</v>
      </c>
      <c r="I967" s="39">
        <v>2932</v>
      </c>
      <c r="J967" s="39">
        <v>213</v>
      </c>
      <c r="K967" s="39"/>
      <c r="L967" s="39">
        <f t="shared" ref="L967" si="576">SUM(I967:K967)</f>
        <v>3145</v>
      </c>
      <c r="M967" s="117">
        <v>46277</v>
      </c>
      <c r="N967" s="117">
        <v>46291</v>
      </c>
      <c r="O967" s="39"/>
      <c r="P967" s="39"/>
      <c r="Q967" s="39"/>
      <c r="R967" s="39">
        <f t="shared" ref="R967" si="577">SUM(O967:Q967)</f>
        <v>0</v>
      </c>
      <c r="S967" s="39" t="s">
        <v>130</v>
      </c>
      <c r="T967" s="39"/>
      <c r="U967" s="39"/>
      <c r="V967" s="39"/>
      <c r="W967" s="39"/>
      <c r="X967" s="39"/>
      <c r="Y967" s="39"/>
      <c r="Z967" s="39"/>
      <c r="AA967" s="39"/>
      <c r="AB967" s="118">
        <f t="shared" ref="AB967" si="578">SUM(Y967:AA967)</f>
        <v>0</v>
      </c>
      <c r="AC967" s="39"/>
      <c r="AD967" s="39"/>
      <c r="AE967" s="39"/>
      <c r="AF967" s="39"/>
      <c r="AG967" s="39"/>
      <c r="AH967" s="39">
        <f t="shared" si="557"/>
        <v>0</v>
      </c>
      <c r="AI967" s="39"/>
      <c r="AJ967" s="39"/>
      <c r="AK967" s="39"/>
      <c r="AL967" s="39"/>
      <c r="AM967" s="39"/>
      <c r="AN967" s="39">
        <f t="shared" si="522"/>
        <v>0</v>
      </c>
      <c r="AO967" s="39"/>
      <c r="AP967" s="39"/>
      <c r="AQ967" s="39"/>
      <c r="AR967" s="39"/>
      <c r="AS967" s="39"/>
      <c r="AT967" s="39">
        <f t="shared" si="539"/>
        <v>0</v>
      </c>
      <c r="AU967" s="39"/>
      <c r="AV967" s="39"/>
      <c r="AW967" s="39"/>
      <c r="AX967" s="39"/>
      <c r="AY967" s="39"/>
      <c r="AZ967" s="39">
        <f t="shared" si="540"/>
        <v>0</v>
      </c>
      <c r="BA967" s="39"/>
      <c r="BB967" s="39"/>
      <c r="BC967" s="39"/>
      <c r="BD967" s="39"/>
      <c r="BE967" s="39"/>
      <c r="BF967" s="39">
        <f t="shared" si="541"/>
        <v>0</v>
      </c>
      <c r="BG967" s="39"/>
      <c r="BH967" s="39"/>
      <c r="BI967" s="39"/>
      <c r="BJ967" s="39"/>
      <c r="BK967" s="39"/>
      <c r="BL967" s="39">
        <f t="shared" si="558"/>
        <v>0</v>
      </c>
      <c r="BM967" s="54">
        <f t="shared" ca="1" si="542"/>
        <v>46283</v>
      </c>
      <c r="BN967" s="62">
        <v>46290</v>
      </c>
      <c r="BO967" s="117">
        <v>46275</v>
      </c>
      <c r="BP967" s="39"/>
      <c r="BQ967" s="39"/>
      <c r="BR967" s="39"/>
      <c r="BS967" s="39"/>
      <c r="BT967" s="39"/>
      <c r="BU967" s="39"/>
      <c r="BV967" s="39"/>
      <c r="BW967" s="39"/>
      <c r="BX967" s="39"/>
      <c r="BY967" s="39"/>
      <c r="BZ967" s="39">
        <f t="shared" si="559"/>
        <v>0</v>
      </c>
      <c r="CA967" s="39">
        <f t="shared" si="543"/>
        <v>-2932</v>
      </c>
      <c r="CB967" s="39">
        <f t="shared" si="544"/>
        <v>-213</v>
      </c>
      <c r="CC967" s="39">
        <f t="shared" si="545"/>
        <v>0</v>
      </c>
      <c r="CD967" s="39">
        <f t="shared" si="560"/>
        <v>-3145</v>
      </c>
      <c r="CE967" s="102">
        <f t="shared" si="547"/>
        <v>-1</v>
      </c>
      <c r="CF967" s="39"/>
      <c r="CG967" s="39" t="s">
        <v>234</v>
      </c>
      <c r="CH967" s="39"/>
      <c r="CI967" s="25">
        <v>3</v>
      </c>
    </row>
    <row r="968" spans="1:87" ht="24.75" customHeight="1">
      <c r="A968" s="39" t="s">
        <v>86</v>
      </c>
      <c r="B968" s="55">
        <v>48718</v>
      </c>
      <c r="C968" s="36" t="s">
        <v>2887</v>
      </c>
      <c r="D968" s="36" t="s">
        <v>334</v>
      </c>
      <c r="E968" s="39">
        <v>160</v>
      </c>
      <c r="F968" s="39" t="s">
        <v>55</v>
      </c>
      <c r="G968" s="36" t="s">
        <v>2886</v>
      </c>
      <c r="H968" s="36" t="s">
        <v>26</v>
      </c>
      <c r="I968" s="39">
        <v>2164</v>
      </c>
      <c r="J968" s="39">
        <v>113</v>
      </c>
      <c r="K968" s="39"/>
      <c r="L968" s="39">
        <f t="shared" ref="L968" si="579">SUM(I968:K968)</f>
        <v>2277</v>
      </c>
      <c r="M968" s="117">
        <v>46277</v>
      </c>
      <c r="N968" s="117">
        <v>46291</v>
      </c>
      <c r="O968" s="39"/>
      <c r="P968" s="39"/>
      <c r="Q968" s="39"/>
      <c r="R968" s="39">
        <f t="shared" ref="R968" si="580">SUM(O968:Q968)</f>
        <v>0</v>
      </c>
      <c r="S968" s="39" t="s">
        <v>130</v>
      </c>
      <c r="T968" s="39"/>
      <c r="U968" s="39"/>
      <c r="V968" s="39"/>
      <c r="W968" s="39"/>
      <c r="X968" s="39"/>
      <c r="Y968" s="39"/>
      <c r="Z968" s="39"/>
      <c r="AA968" s="39"/>
      <c r="AB968" s="118">
        <f t="shared" ref="AB968" si="581">SUM(Y968:AA968)</f>
        <v>0</v>
      </c>
      <c r="AC968" s="39"/>
      <c r="AD968" s="39"/>
      <c r="AE968" s="39"/>
      <c r="AF968" s="39"/>
      <c r="AG968" s="39"/>
      <c r="AH968" s="39">
        <f t="shared" si="557"/>
        <v>0</v>
      </c>
      <c r="AI968" s="39"/>
      <c r="AJ968" s="39"/>
      <c r="AK968" s="39"/>
      <c r="AL968" s="39"/>
      <c r="AM968" s="39"/>
      <c r="AN968" s="39">
        <f t="shared" si="522"/>
        <v>0</v>
      </c>
      <c r="AO968" s="39"/>
      <c r="AP968" s="39"/>
      <c r="AQ968" s="39"/>
      <c r="AR968" s="39"/>
      <c r="AS968" s="39"/>
      <c r="AT968" s="39">
        <f t="shared" si="539"/>
        <v>0</v>
      </c>
      <c r="AU968" s="39"/>
      <c r="AV968" s="39"/>
      <c r="AW968" s="39"/>
      <c r="AX968" s="39"/>
      <c r="AY968" s="39"/>
      <c r="AZ968" s="39">
        <f t="shared" si="540"/>
        <v>0</v>
      </c>
      <c r="BA968" s="39"/>
      <c r="BB968" s="39"/>
      <c r="BC968" s="39"/>
      <c r="BD968" s="39"/>
      <c r="BE968" s="39"/>
      <c r="BF968" s="39">
        <f t="shared" si="541"/>
        <v>0</v>
      </c>
      <c r="BG968" s="39"/>
      <c r="BH968" s="39"/>
      <c r="BI968" s="39"/>
      <c r="BJ968" s="39"/>
      <c r="BK968" s="39"/>
      <c r="BL968" s="39">
        <f t="shared" si="558"/>
        <v>0</v>
      </c>
      <c r="BM968" s="54">
        <f t="shared" ca="1" si="542"/>
        <v>46283</v>
      </c>
      <c r="BN968" s="62">
        <v>46290</v>
      </c>
      <c r="BO968" s="117">
        <v>46275</v>
      </c>
      <c r="BP968" s="39"/>
      <c r="BQ968" s="39"/>
      <c r="BR968" s="39"/>
      <c r="BS968" s="39"/>
      <c r="BT968" s="39"/>
      <c r="BU968" s="39"/>
      <c r="BV968" s="39"/>
      <c r="BW968" s="39"/>
      <c r="BX968" s="39"/>
      <c r="BY968" s="39"/>
      <c r="BZ968" s="39">
        <f t="shared" si="559"/>
        <v>0</v>
      </c>
      <c r="CA968" s="39">
        <f t="shared" si="543"/>
        <v>-2164</v>
      </c>
      <c r="CB968" s="39">
        <f t="shared" si="544"/>
        <v>-113</v>
      </c>
      <c r="CC968" s="39">
        <f t="shared" si="545"/>
        <v>0</v>
      </c>
      <c r="CD968" s="39">
        <f t="shared" si="560"/>
        <v>-2277</v>
      </c>
      <c r="CE968" s="102">
        <f t="shared" si="547"/>
        <v>-1</v>
      </c>
      <c r="CF968" s="39"/>
      <c r="CG968" s="39" t="s">
        <v>234</v>
      </c>
      <c r="CH968" s="39"/>
      <c r="CI968" s="25">
        <v>3</v>
      </c>
    </row>
    <row r="969" spans="1:87" ht="24.75" customHeight="1">
      <c r="A969" s="39" t="s">
        <v>86</v>
      </c>
      <c r="B969" s="55"/>
      <c r="C969" s="36"/>
      <c r="D969" s="36"/>
      <c r="E969" s="39"/>
      <c r="F969" s="39"/>
      <c r="G969" s="36"/>
      <c r="H969" s="39"/>
      <c r="I969" s="39"/>
      <c r="J969" s="39"/>
      <c r="K969" s="39"/>
      <c r="L969" s="39">
        <f t="shared" ref="L969:L1093" si="582">SUM(I969:K969)</f>
        <v>0</v>
      </c>
      <c r="M969" s="39"/>
      <c r="N969" s="39"/>
      <c r="O969" s="39"/>
      <c r="P969" s="39"/>
      <c r="Q969" s="39"/>
      <c r="R969" s="39">
        <f t="shared" ref="R969:R1108" si="583">SUM(O969:Q969)</f>
        <v>0</v>
      </c>
      <c r="S969" s="39"/>
      <c r="T969" s="39"/>
      <c r="U969" s="39"/>
      <c r="V969" s="39"/>
      <c r="W969" s="39"/>
      <c r="X969" s="39"/>
      <c r="Y969" s="39"/>
      <c r="Z969" s="39"/>
      <c r="AA969" s="39"/>
      <c r="AB969" s="39">
        <f t="shared" ref="AB969:AB1108" si="584">SUM(Y969:AA969)</f>
        <v>0</v>
      </c>
      <c r="AC969" s="39"/>
      <c r="AD969" s="39"/>
      <c r="AE969" s="39"/>
      <c r="AF969" s="39"/>
      <c r="AG969" s="39"/>
      <c r="AH969" s="39">
        <f t="shared" si="557"/>
        <v>0</v>
      </c>
      <c r="AI969" s="39"/>
      <c r="AJ969" s="39"/>
      <c r="AK969" s="39"/>
      <c r="AL969" s="39"/>
      <c r="AM969" s="39"/>
      <c r="AN969" s="39">
        <f t="shared" si="522"/>
        <v>0</v>
      </c>
      <c r="AO969" s="39"/>
      <c r="AP969" s="39"/>
      <c r="AQ969" s="39"/>
      <c r="AR969" s="39"/>
      <c r="AS969" s="39"/>
      <c r="AT969" s="39">
        <f t="shared" si="539"/>
        <v>0</v>
      </c>
      <c r="AU969" s="39"/>
      <c r="AV969" s="39"/>
      <c r="AW969" s="39"/>
      <c r="AX969" s="39"/>
      <c r="AY969" s="39"/>
      <c r="AZ969" s="39">
        <f t="shared" si="540"/>
        <v>0</v>
      </c>
      <c r="BA969" s="39"/>
      <c r="BB969" s="39"/>
      <c r="BC969" s="39"/>
      <c r="BD969" s="39"/>
      <c r="BE969" s="39"/>
      <c r="BF969" s="39">
        <f t="shared" si="541"/>
        <v>0</v>
      </c>
      <c r="BG969" s="39"/>
      <c r="BH969" s="39"/>
      <c r="BI969" s="39"/>
      <c r="BJ969" s="39"/>
      <c r="BK969" s="39"/>
      <c r="BL969" s="39">
        <f t="shared" si="558"/>
        <v>0</v>
      </c>
      <c r="BM969" s="54" t="e">
        <f t="shared" si="542"/>
        <v>#DIV/0!</v>
      </c>
      <c r="BN969" s="63"/>
      <c r="BO969" s="39"/>
      <c r="BP969" s="39"/>
      <c r="BQ969" s="39"/>
      <c r="BR969" s="39"/>
      <c r="BS969" s="39"/>
      <c r="BT969" s="39"/>
      <c r="BU969" s="39"/>
      <c r="BV969" s="39"/>
      <c r="BW969" s="39"/>
      <c r="BX969" s="39"/>
      <c r="BY969" s="39"/>
      <c r="BZ969" s="39">
        <f t="shared" si="559"/>
        <v>0</v>
      </c>
      <c r="CA969" s="39">
        <f t="shared" si="543"/>
        <v>0</v>
      </c>
      <c r="CB969" s="39">
        <f t="shared" si="544"/>
        <v>0</v>
      </c>
      <c r="CC969" s="39">
        <f t="shared" si="545"/>
        <v>0</v>
      </c>
      <c r="CD969" s="39">
        <f t="shared" si="560"/>
        <v>0</v>
      </c>
      <c r="CE969" s="47" t="e">
        <f t="shared" si="547"/>
        <v>#DIV/0!</v>
      </c>
      <c r="CF969" s="39"/>
      <c r="CG969" s="39"/>
      <c r="CH969" s="39"/>
      <c r="CI969" s="25">
        <v>3</v>
      </c>
    </row>
    <row r="970" spans="1:87" ht="24.75" customHeight="1">
      <c r="A970" s="39" t="s">
        <v>86</v>
      </c>
      <c r="B970" s="55"/>
      <c r="C970" s="36"/>
      <c r="D970" s="36"/>
      <c r="E970" s="39"/>
      <c r="F970" s="39"/>
      <c r="G970" s="36"/>
      <c r="H970" s="39"/>
      <c r="I970" s="39"/>
      <c r="J970" s="39"/>
      <c r="K970" s="39"/>
      <c r="L970" s="39">
        <f t="shared" si="582"/>
        <v>0</v>
      </c>
      <c r="M970" s="39"/>
      <c r="N970" s="39"/>
      <c r="O970" s="39"/>
      <c r="P970" s="39"/>
      <c r="Q970" s="39"/>
      <c r="R970" s="39">
        <f t="shared" si="583"/>
        <v>0</v>
      </c>
      <c r="S970" s="39"/>
      <c r="T970" s="39"/>
      <c r="U970" s="39"/>
      <c r="V970" s="39"/>
      <c r="W970" s="39"/>
      <c r="X970" s="39"/>
      <c r="Y970" s="39"/>
      <c r="Z970" s="39"/>
      <c r="AA970" s="39"/>
      <c r="AB970" s="39">
        <f t="shared" si="584"/>
        <v>0</v>
      </c>
      <c r="AC970" s="39"/>
      <c r="AD970" s="39"/>
      <c r="AE970" s="39"/>
      <c r="AF970" s="39"/>
      <c r="AG970" s="39"/>
      <c r="AH970" s="39">
        <f t="shared" si="557"/>
        <v>0</v>
      </c>
      <c r="AI970" s="39"/>
      <c r="AJ970" s="39"/>
      <c r="AK970" s="39"/>
      <c r="AL970" s="39"/>
      <c r="AM970" s="39"/>
      <c r="AN970" s="39">
        <f t="shared" si="522"/>
        <v>0</v>
      </c>
      <c r="AO970" s="39"/>
      <c r="AP970" s="39"/>
      <c r="AQ970" s="39"/>
      <c r="AR970" s="39"/>
      <c r="AS970" s="39"/>
      <c r="AT970" s="39">
        <f t="shared" si="539"/>
        <v>0</v>
      </c>
      <c r="AU970" s="39"/>
      <c r="AV970" s="39"/>
      <c r="AW970" s="39"/>
      <c r="AX970" s="39"/>
      <c r="AY970" s="39"/>
      <c r="AZ970" s="39">
        <f t="shared" si="540"/>
        <v>0</v>
      </c>
      <c r="BA970" s="39"/>
      <c r="BB970" s="39"/>
      <c r="BC970" s="39"/>
      <c r="BD970" s="39"/>
      <c r="BE970" s="39"/>
      <c r="BF970" s="39">
        <f t="shared" si="541"/>
        <v>0</v>
      </c>
      <c r="BG970" s="39"/>
      <c r="BH970" s="39"/>
      <c r="BI970" s="39"/>
      <c r="BJ970" s="39"/>
      <c r="BK970" s="39"/>
      <c r="BL970" s="39">
        <f t="shared" si="558"/>
        <v>0</v>
      </c>
      <c r="BM970" s="54" t="e">
        <f t="shared" si="542"/>
        <v>#DIV/0!</v>
      </c>
      <c r="BN970" s="63"/>
      <c r="BO970" s="39"/>
      <c r="BP970" s="39"/>
      <c r="BQ970" s="39"/>
      <c r="BR970" s="39"/>
      <c r="BS970" s="39"/>
      <c r="BT970" s="39"/>
      <c r="BU970" s="39"/>
      <c r="BV970" s="39"/>
      <c r="BW970" s="39"/>
      <c r="BX970" s="39"/>
      <c r="BY970" s="39"/>
      <c r="BZ970" s="39">
        <f t="shared" si="559"/>
        <v>0</v>
      </c>
      <c r="CA970" s="39">
        <f t="shared" si="543"/>
        <v>0</v>
      </c>
      <c r="CB970" s="39">
        <f t="shared" si="544"/>
        <v>0</v>
      </c>
      <c r="CC970" s="39">
        <f t="shared" si="545"/>
        <v>0</v>
      </c>
      <c r="CD970" s="39">
        <f t="shared" si="560"/>
        <v>0</v>
      </c>
      <c r="CE970" s="47" t="e">
        <f t="shared" si="547"/>
        <v>#DIV/0!</v>
      </c>
      <c r="CF970" s="39"/>
      <c r="CG970" s="39"/>
      <c r="CH970" s="39"/>
      <c r="CI970" s="25">
        <v>3</v>
      </c>
    </row>
    <row r="971" spans="1:87" ht="24.75" customHeight="1">
      <c r="A971" s="39" t="s">
        <v>86</v>
      </c>
      <c r="B971" s="55"/>
      <c r="C971" s="36"/>
      <c r="D971" s="36"/>
      <c r="E971" s="39"/>
      <c r="F971" s="39"/>
      <c r="G971" s="36"/>
      <c r="H971" s="39"/>
      <c r="I971" s="39"/>
      <c r="J971" s="39"/>
      <c r="K971" s="39"/>
      <c r="L971" s="39">
        <f t="shared" si="582"/>
        <v>0</v>
      </c>
      <c r="M971" s="39"/>
      <c r="N971" s="39"/>
      <c r="O971" s="39"/>
      <c r="P971" s="39"/>
      <c r="Q971" s="39"/>
      <c r="R971" s="39">
        <f t="shared" si="583"/>
        <v>0</v>
      </c>
      <c r="S971" s="39"/>
      <c r="T971" s="39"/>
      <c r="U971" s="39"/>
      <c r="V971" s="39"/>
      <c r="W971" s="39"/>
      <c r="X971" s="39"/>
      <c r="Y971" s="39"/>
      <c r="Z971" s="39"/>
      <c r="AA971" s="39"/>
      <c r="AB971" s="39">
        <f t="shared" si="584"/>
        <v>0</v>
      </c>
      <c r="AC971" s="39"/>
      <c r="AD971" s="39"/>
      <c r="AE971" s="39"/>
      <c r="AF971" s="39"/>
      <c r="AG971" s="39"/>
      <c r="AH971" s="39">
        <f t="shared" si="557"/>
        <v>0</v>
      </c>
      <c r="AI971" s="39"/>
      <c r="AJ971" s="39"/>
      <c r="AK971" s="39"/>
      <c r="AL971" s="39"/>
      <c r="AM971" s="39"/>
      <c r="AN971" s="39">
        <f t="shared" si="522"/>
        <v>0</v>
      </c>
      <c r="AO971" s="39"/>
      <c r="AP971" s="39"/>
      <c r="AQ971" s="39"/>
      <c r="AR971" s="39"/>
      <c r="AS971" s="39"/>
      <c r="AT971" s="39">
        <f t="shared" si="539"/>
        <v>0</v>
      </c>
      <c r="AU971" s="39"/>
      <c r="AV971" s="39"/>
      <c r="AW971" s="39"/>
      <c r="AX971" s="39"/>
      <c r="AY971" s="39"/>
      <c r="AZ971" s="39">
        <f t="shared" si="540"/>
        <v>0</v>
      </c>
      <c r="BA971" s="39"/>
      <c r="BB971" s="39"/>
      <c r="BC971" s="39"/>
      <c r="BD971" s="39"/>
      <c r="BE971" s="39"/>
      <c r="BF971" s="39">
        <f t="shared" si="541"/>
        <v>0</v>
      </c>
      <c r="BG971" s="39"/>
      <c r="BH971" s="39"/>
      <c r="BI971" s="39"/>
      <c r="BJ971" s="39"/>
      <c r="BK971" s="39"/>
      <c r="BL971" s="39">
        <f t="shared" si="558"/>
        <v>0</v>
      </c>
      <c r="BM971" s="54" t="e">
        <f t="shared" si="542"/>
        <v>#DIV/0!</v>
      </c>
      <c r="BN971" s="63"/>
      <c r="BO971" s="39"/>
      <c r="BP971" s="39"/>
      <c r="BQ971" s="39"/>
      <c r="BR971" s="39"/>
      <c r="BS971" s="39"/>
      <c r="BT971" s="39"/>
      <c r="BU971" s="39"/>
      <c r="BV971" s="39"/>
      <c r="BW971" s="39"/>
      <c r="BX971" s="39"/>
      <c r="BY971" s="39"/>
      <c r="BZ971" s="39">
        <f t="shared" si="559"/>
        <v>0</v>
      </c>
      <c r="CA971" s="39">
        <f t="shared" si="543"/>
        <v>0</v>
      </c>
      <c r="CB971" s="39">
        <f t="shared" si="544"/>
        <v>0</v>
      </c>
      <c r="CC971" s="39">
        <f t="shared" si="545"/>
        <v>0</v>
      </c>
      <c r="CD971" s="39">
        <f t="shared" si="560"/>
        <v>0</v>
      </c>
      <c r="CE971" s="47" t="e">
        <f t="shared" si="547"/>
        <v>#DIV/0!</v>
      </c>
      <c r="CF971" s="39"/>
      <c r="CG971" s="39"/>
      <c r="CH971" s="39"/>
      <c r="CI971" s="25">
        <v>3</v>
      </c>
    </row>
    <row r="972" spans="1:87" ht="24.75" customHeight="1">
      <c r="A972" s="39" t="s">
        <v>86</v>
      </c>
      <c r="B972" s="55"/>
      <c r="C972" s="36"/>
      <c r="D972" s="36"/>
      <c r="E972" s="39"/>
      <c r="F972" s="39"/>
      <c r="G972" s="36"/>
      <c r="H972" s="39"/>
      <c r="I972" s="39"/>
      <c r="J972" s="39"/>
      <c r="K972" s="39"/>
      <c r="L972" s="39">
        <f t="shared" si="582"/>
        <v>0</v>
      </c>
      <c r="M972" s="39"/>
      <c r="N972" s="39"/>
      <c r="O972" s="39"/>
      <c r="P972" s="39"/>
      <c r="Q972" s="39"/>
      <c r="R972" s="39">
        <f t="shared" si="583"/>
        <v>0</v>
      </c>
      <c r="S972" s="39"/>
      <c r="T972" s="39"/>
      <c r="U972" s="39"/>
      <c r="V972" s="39"/>
      <c r="W972" s="39"/>
      <c r="X972" s="39"/>
      <c r="Y972" s="39"/>
      <c r="Z972" s="39"/>
      <c r="AA972" s="39"/>
      <c r="AB972" s="39">
        <f t="shared" si="584"/>
        <v>0</v>
      </c>
      <c r="AC972" s="39"/>
      <c r="AD972" s="39"/>
      <c r="AE972" s="39"/>
      <c r="AF972" s="39"/>
      <c r="AG972" s="39"/>
      <c r="AH972" s="39">
        <f t="shared" si="557"/>
        <v>0</v>
      </c>
      <c r="AI972" s="39"/>
      <c r="AJ972" s="39"/>
      <c r="AK972" s="39"/>
      <c r="AL972" s="39"/>
      <c r="AM972" s="39"/>
      <c r="AN972" s="39">
        <f t="shared" si="522"/>
        <v>0</v>
      </c>
      <c r="AO972" s="39"/>
      <c r="AP972" s="39"/>
      <c r="AQ972" s="39"/>
      <c r="AR972" s="39"/>
      <c r="AS972" s="39"/>
      <c r="AT972" s="39">
        <f t="shared" si="539"/>
        <v>0</v>
      </c>
      <c r="AU972" s="39"/>
      <c r="AV972" s="39"/>
      <c r="AW972" s="39"/>
      <c r="AX972" s="39"/>
      <c r="AY972" s="39"/>
      <c r="AZ972" s="39">
        <f t="shared" si="540"/>
        <v>0</v>
      </c>
      <c r="BA972" s="39"/>
      <c r="BB972" s="39"/>
      <c r="BC972" s="39"/>
      <c r="BD972" s="39"/>
      <c r="BE972" s="39"/>
      <c r="BF972" s="39">
        <f t="shared" si="541"/>
        <v>0</v>
      </c>
      <c r="BG972" s="39"/>
      <c r="BH972" s="39"/>
      <c r="BI972" s="39"/>
      <c r="BJ972" s="39"/>
      <c r="BK972" s="39"/>
      <c r="BL972" s="39">
        <f t="shared" si="558"/>
        <v>0</v>
      </c>
      <c r="BM972" s="54" t="e">
        <f t="shared" si="542"/>
        <v>#DIV/0!</v>
      </c>
      <c r="BN972" s="63"/>
      <c r="BO972" s="39"/>
      <c r="BP972" s="39"/>
      <c r="BQ972" s="39"/>
      <c r="BR972" s="39"/>
      <c r="BS972" s="39"/>
      <c r="BT972" s="39"/>
      <c r="BU972" s="39"/>
      <c r="BV972" s="39"/>
      <c r="BW972" s="39"/>
      <c r="BX972" s="39"/>
      <c r="BY972" s="39"/>
      <c r="BZ972" s="39">
        <f t="shared" si="559"/>
        <v>0</v>
      </c>
      <c r="CA972" s="39">
        <f t="shared" si="543"/>
        <v>0</v>
      </c>
      <c r="CB972" s="39">
        <f t="shared" si="544"/>
        <v>0</v>
      </c>
      <c r="CC972" s="39">
        <f t="shared" si="545"/>
        <v>0</v>
      </c>
      <c r="CD972" s="39">
        <f t="shared" si="560"/>
        <v>0</v>
      </c>
      <c r="CE972" s="47" t="e">
        <f t="shared" si="547"/>
        <v>#DIV/0!</v>
      </c>
      <c r="CF972" s="39"/>
      <c r="CG972" s="39"/>
      <c r="CH972" s="39"/>
      <c r="CI972" s="25">
        <v>3</v>
      </c>
    </row>
    <row r="973" spans="1:87" ht="24.75" customHeight="1">
      <c r="A973" s="39" t="s">
        <v>86</v>
      </c>
      <c r="B973" s="55"/>
      <c r="C973" s="36"/>
      <c r="D973" s="36"/>
      <c r="E973" s="39"/>
      <c r="F973" s="39"/>
      <c r="G973" s="36"/>
      <c r="H973" s="39"/>
      <c r="I973" s="39"/>
      <c r="J973" s="39"/>
      <c r="K973" s="39"/>
      <c r="L973" s="39">
        <f t="shared" si="582"/>
        <v>0</v>
      </c>
      <c r="M973" s="39"/>
      <c r="N973" s="39"/>
      <c r="O973" s="39"/>
      <c r="P973" s="39"/>
      <c r="Q973" s="39"/>
      <c r="R973" s="39">
        <f t="shared" si="583"/>
        <v>0</v>
      </c>
      <c r="S973" s="39"/>
      <c r="T973" s="39"/>
      <c r="U973" s="39"/>
      <c r="V973" s="39"/>
      <c r="W973" s="39"/>
      <c r="X973" s="39"/>
      <c r="Y973" s="39"/>
      <c r="Z973" s="39"/>
      <c r="AA973" s="39"/>
      <c r="AB973" s="39">
        <f t="shared" si="584"/>
        <v>0</v>
      </c>
      <c r="AC973" s="39"/>
      <c r="AD973" s="39"/>
      <c r="AE973" s="39"/>
      <c r="AF973" s="39"/>
      <c r="AG973" s="39"/>
      <c r="AH973" s="39">
        <f t="shared" si="557"/>
        <v>0</v>
      </c>
      <c r="AI973" s="39"/>
      <c r="AJ973" s="39"/>
      <c r="AK973" s="39"/>
      <c r="AL973" s="39"/>
      <c r="AM973" s="39"/>
      <c r="AN973" s="39">
        <f t="shared" si="522"/>
        <v>0</v>
      </c>
      <c r="AO973" s="39"/>
      <c r="AP973" s="39"/>
      <c r="AQ973" s="39"/>
      <c r="AR973" s="39"/>
      <c r="AS973" s="39"/>
      <c r="AT973" s="39">
        <f t="shared" si="539"/>
        <v>0</v>
      </c>
      <c r="AU973" s="39"/>
      <c r="AV973" s="39"/>
      <c r="AW973" s="39"/>
      <c r="AX973" s="39"/>
      <c r="AY973" s="39"/>
      <c r="AZ973" s="39">
        <f t="shared" si="540"/>
        <v>0</v>
      </c>
      <c r="BA973" s="39"/>
      <c r="BB973" s="39"/>
      <c r="BC973" s="39"/>
      <c r="BD973" s="39"/>
      <c r="BE973" s="39"/>
      <c r="BF973" s="39">
        <f t="shared" si="541"/>
        <v>0</v>
      </c>
      <c r="BG973" s="39"/>
      <c r="BH973" s="39"/>
      <c r="BI973" s="39"/>
      <c r="BJ973" s="39"/>
      <c r="BK973" s="39"/>
      <c r="BL973" s="39">
        <f t="shared" si="558"/>
        <v>0</v>
      </c>
      <c r="BM973" s="54" t="e">
        <f t="shared" si="542"/>
        <v>#DIV/0!</v>
      </c>
      <c r="BN973" s="63"/>
      <c r="BO973" s="39"/>
      <c r="BP973" s="39"/>
      <c r="BQ973" s="39"/>
      <c r="BR973" s="39"/>
      <c r="BS973" s="39"/>
      <c r="BT973" s="39"/>
      <c r="BU973" s="39"/>
      <c r="BV973" s="39"/>
      <c r="BW973" s="39"/>
      <c r="BX973" s="39"/>
      <c r="BY973" s="39"/>
      <c r="BZ973" s="39">
        <f t="shared" si="559"/>
        <v>0</v>
      </c>
      <c r="CA973" s="39">
        <f t="shared" si="543"/>
        <v>0</v>
      </c>
      <c r="CB973" s="39">
        <f t="shared" si="544"/>
        <v>0</v>
      </c>
      <c r="CC973" s="39">
        <f t="shared" si="545"/>
        <v>0</v>
      </c>
      <c r="CD973" s="39">
        <f t="shared" si="560"/>
        <v>0</v>
      </c>
      <c r="CE973" s="47" t="e">
        <f t="shared" si="547"/>
        <v>#DIV/0!</v>
      </c>
      <c r="CF973" s="39"/>
      <c r="CG973" s="39"/>
      <c r="CH973" s="39"/>
      <c r="CI973" s="25">
        <v>3</v>
      </c>
    </row>
    <row r="974" spans="1:87" ht="24.75" customHeight="1">
      <c r="A974" s="36" t="s">
        <v>185</v>
      </c>
      <c r="B974" s="55"/>
      <c r="C974" s="36"/>
      <c r="D974" s="36"/>
      <c r="E974" s="39"/>
      <c r="F974" s="39"/>
      <c r="G974" s="36"/>
      <c r="H974" s="39"/>
      <c r="I974" s="39"/>
      <c r="J974" s="39"/>
      <c r="K974" s="39"/>
      <c r="L974" s="39">
        <f t="shared" si="582"/>
        <v>0</v>
      </c>
      <c r="M974" s="39"/>
      <c r="N974" s="39"/>
      <c r="O974" s="39"/>
      <c r="P974" s="39"/>
      <c r="Q974" s="39"/>
      <c r="R974" s="39">
        <f t="shared" si="583"/>
        <v>0</v>
      </c>
      <c r="S974" s="39"/>
      <c r="T974" s="39"/>
      <c r="U974" s="39"/>
      <c r="V974" s="39"/>
      <c r="W974" s="39"/>
      <c r="X974" s="39"/>
      <c r="Y974" s="39"/>
      <c r="Z974" s="39"/>
      <c r="AA974" s="39"/>
      <c r="AB974" s="39">
        <f t="shared" si="584"/>
        <v>0</v>
      </c>
      <c r="AC974" s="39"/>
      <c r="AD974" s="39"/>
      <c r="AE974" s="39"/>
      <c r="AF974" s="39"/>
      <c r="AG974" s="39"/>
      <c r="AH974" s="39">
        <f t="shared" si="557"/>
        <v>0</v>
      </c>
      <c r="AI974" s="39"/>
      <c r="AJ974" s="39"/>
      <c r="AK974" s="39"/>
      <c r="AL974" s="39"/>
      <c r="AM974" s="39"/>
      <c r="AN974" s="39">
        <f t="shared" si="522"/>
        <v>0</v>
      </c>
      <c r="AO974" s="39"/>
      <c r="AP974" s="39"/>
      <c r="AQ974" s="39"/>
      <c r="AR974" s="39"/>
      <c r="AS974" s="39"/>
      <c r="AT974" s="39">
        <f t="shared" si="539"/>
        <v>0</v>
      </c>
      <c r="AU974" s="39"/>
      <c r="AV974" s="39"/>
      <c r="AW974" s="39"/>
      <c r="AX974" s="39"/>
      <c r="AY974" s="39"/>
      <c r="AZ974" s="39">
        <f t="shared" si="540"/>
        <v>0</v>
      </c>
      <c r="BA974" s="39"/>
      <c r="BB974" s="39"/>
      <c r="BC974" s="39"/>
      <c r="BD974" s="39"/>
      <c r="BE974" s="39"/>
      <c r="BF974" s="39">
        <f t="shared" si="541"/>
        <v>0</v>
      </c>
      <c r="BG974" s="39"/>
      <c r="BH974" s="39"/>
      <c r="BI974" s="39"/>
      <c r="BJ974" s="39"/>
      <c r="BK974" s="39"/>
      <c r="BL974" s="39">
        <f t="shared" si="558"/>
        <v>0</v>
      </c>
      <c r="BM974" s="54" t="e">
        <f t="shared" si="542"/>
        <v>#DIV/0!</v>
      </c>
      <c r="BN974" s="42"/>
      <c r="BO974" s="39"/>
      <c r="BP974" s="39"/>
      <c r="BQ974" s="39"/>
      <c r="BR974" s="39"/>
      <c r="BS974" s="39"/>
      <c r="BT974" s="39"/>
      <c r="BU974" s="39"/>
      <c r="BV974" s="39"/>
      <c r="BW974" s="39"/>
      <c r="BX974" s="39"/>
      <c r="BY974" s="39"/>
      <c r="BZ974" s="39">
        <f t="shared" si="559"/>
        <v>0</v>
      </c>
      <c r="CA974" s="39">
        <f t="shared" si="543"/>
        <v>0</v>
      </c>
      <c r="CB974" s="39">
        <f t="shared" si="544"/>
        <v>0</v>
      </c>
      <c r="CC974" s="39">
        <f t="shared" si="545"/>
        <v>0</v>
      </c>
      <c r="CD974" s="39">
        <f t="shared" si="560"/>
        <v>0</v>
      </c>
      <c r="CE974" s="47" t="e">
        <f t="shared" si="547"/>
        <v>#DIV/0!</v>
      </c>
      <c r="CF974" s="36"/>
      <c r="CG974" s="39"/>
      <c r="CH974" s="39"/>
      <c r="CI974" s="25">
        <v>1</v>
      </c>
    </row>
    <row r="975" spans="1:87" ht="24.75" customHeight="1">
      <c r="A975" s="36" t="s">
        <v>185</v>
      </c>
      <c r="B975" s="55"/>
      <c r="C975" s="36"/>
      <c r="D975" s="36"/>
      <c r="E975" s="39"/>
      <c r="F975" s="39"/>
      <c r="G975" s="36"/>
      <c r="H975" s="39"/>
      <c r="I975" s="39"/>
      <c r="J975" s="39"/>
      <c r="K975" s="39"/>
      <c r="L975" s="39">
        <f t="shared" si="582"/>
        <v>0</v>
      </c>
      <c r="M975" s="39"/>
      <c r="N975" s="39"/>
      <c r="O975" s="39"/>
      <c r="P975" s="39"/>
      <c r="Q975" s="39"/>
      <c r="R975" s="39">
        <f t="shared" si="583"/>
        <v>0</v>
      </c>
      <c r="S975" s="39"/>
      <c r="T975" s="39"/>
      <c r="U975" s="39"/>
      <c r="V975" s="39"/>
      <c r="W975" s="39"/>
      <c r="X975" s="39"/>
      <c r="Y975" s="39"/>
      <c r="Z975" s="39"/>
      <c r="AA975" s="39"/>
      <c r="AB975" s="39">
        <f t="shared" si="584"/>
        <v>0</v>
      </c>
      <c r="AC975" s="39"/>
      <c r="AD975" s="39"/>
      <c r="AE975" s="39"/>
      <c r="AF975" s="39"/>
      <c r="AG975" s="39"/>
      <c r="AH975" s="39">
        <f t="shared" si="557"/>
        <v>0</v>
      </c>
      <c r="AI975" s="39"/>
      <c r="AJ975" s="39"/>
      <c r="AK975" s="39"/>
      <c r="AL975" s="39"/>
      <c r="AM975" s="39"/>
      <c r="AN975" s="39">
        <f t="shared" si="522"/>
        <v>0</v>
      </c>
      <c r="AO975" s="39"/>
      <c r="AP975" s="39"/>
      <c r="AQ975" s="39"/>
      <c r="AR975" s="39"/>
      <c r="AS975" s="39"/>
      <c r="AT975" s="39">
        <f t="shared" si="539"/>
        <v>0</v>
      </c>
      <c r="AU975" s="39"/>
      <c r="AV975" s="39"/>
      <c r="AW975" s="39"/>
      <c r="AX975" s="39"/>
      <c r="AY975" s="39"/>
      <c r="AZ975" s="39">
        <f t="shared" si="540"/>
        <v>0</v>
      </c>
      <c r="BA975" s="39"/>
      <c r="BB975" s="39"/>
      <c r="BC975" s="39"/>
      <c r="BD975" s="39"/>
      <c r="BE975" s="39"/>
      <c r="BF975" s="39">
        <f t="shared" si="541"/>
        <v>0</v>
      </c>
      <c r="BG975" s="39"/>
      <c r="BH975" s="39"/>
      <c r="BI975" s="39"/>
      <c r="BJ975" s="39"/>
      <c r="BK975" s="39"/>
      <c r="BL975" s="39">
        <f t="shared" si="558"/>
        <v>0</v>
      </c>
      <c r="BM975" s="54" t="e">
        <f t="shared" si="542"/>
        <v>#DIV/0!</v>
      </c>
      <c r="BN975" s="42"/>
      <c r="BO975" s="39"/>
      <c r="BP975" s="39"/>
      <c r="BQ975" s="39"/>
      <c r="BR975" s="39"/>
      <c r="BS975" s="39"/>
      <c r="BT975" s="39"/>
      <c r="BU975" s="39"/>
      <c r="BV975" s="39"/>
      <c r="BW975" s="39"/>
      <c r="BX975" s="39"/>
      <c r="BY975" s="39"/>
      <c r="BZ975" s="39">
        <f t="shared" si="559"/>
        <v>0</v>
      </c>
      <c r="CA975" s="39">
        <f t="shared" si="543"/>
        <v>0</v>
      </c>
      <c r="CB975" s="39">
        <f t="shared" si="544"/>
        <v>0</v>
      </c>
      <c r="CC975" s="39">
        <f t="shared" si="545"/>
        <v>0</v>
      </c>
      <c r="CD975" s="39">
        <f t="shared" si="560"/>
        <v>0</v>
      </c>
      <c r="CE975" s="47" t="e">
        <f t="shared" si="547"/>
        <v>#DIV/0!</v>
      </c>
      <c r="CF975" s="36"/>
      <c r="CG975" s="39"/>
      <c r="CH975" s="39"/>
      <c r="CI975" s="25">
        <v>1</v>
      </c>
    </row>
    <row r="976" spans="1:87" ht="24.75" customHeight="1">
      <c r="A976" s="36" t="s">
        <v>185</v>
      </c>
      <c r="B976" s="55"/>
      <c r="C976" s="36"/>
      <c r="D976" s="36"/>
      <c r="E976" s="39"/>
      <c r="F976" s="39"/>
      <c r="G976" s="36"/>
      <c r="H976" s="39"/>
      <c r="I976" s="39"/>
      <c r="J976" s="39"/>
      <c r="K976" s="39"/>
      <c r="L976" s="39">
        <f t="shared" si="582"/>
        <v>0</v>
      </c>
      <c r="M976" s="39"/>
      <c r="N976" s="39"/>
      <c r="O976" s="39"/>
      <c r="P976" s="39"/>
      <c r="Q976" s="39"/>
      <c r="R976" s="39">
        <f t="shared" si="583"/>
        <v>0</v>
      </c>
      <c r="S976" s="39"/>
      <c r="T976" s="39"/>
      <c r="U976" s="39"/>
      <c r="V976" s="39"/>
      <c r="W976" s="39"/>
      <c r="X976" s="39"/>
      <c r="Y976" s="39"/>
      <c r="Z976" s="39"/>
      <c r="AA976" s="39"/>
      <c r="AB976" s="39">
        <f t="shared" si="584"/>
        <v>0</v>
      </c>
      <c r="AC976" s="39"/>
      <c r="AD976" s="39"/>
      <c r="AE976" s="39"/>
      <c r="AF976" s="39"/>
      <c r="AG976" s="39"/>
      <c r="AH976" s="39">
        <f t="shared" si="557"/>
        <v>0</v>
      </c>
      <c r="AI976" s="39"/>
      <c r="AJ976" s="39"/>
      <c r="AK976" s="39"/>
      <c r="AL976" s="39"/>
      <c r="AM976" s="39"/>
      <c r="AN976" s="39">
        <f>AM976-AK976</f>
        <v>0</v>
      </c>
      <c r="AO976" s="39"/>
      <c r="AP976" s="39"/>
      <c r="AQ976" s="39"/>
      <c r="AR976" s="39"/>
      <c r="AS976" s="39"/>
      <c r="AT976" s="39">
        <f>AS976-AQ976</f>
        <v>0</v>
      </c>
      <c r="AU976" s="39"/>
      <c r="AV976" s="39"/>
      <c r="AW976" s="39"/>
      <c r="AX976" s="39"/>
      <c r="AY976" s="39"/>
      <c r="AZ976" s="39">
        <f>AY976-AW976</f>
        <v>0</v>
      </c>
      <c r="BA976" s="39"/>
      <c r="BB976" s="39"/>
      <c r="BC976" s="39"/>
      <c r="BD976" s="39"/>
      <c r="BE976" s="39"/>
      <c r="BF976" s="39">
        <f>BE976-BC976</f>
        <v>0</v>
      </c>
      <c r="BG976" s="39"/>
      <c r="BH976" s="39"/>
      <c r="BI976" s="39"/>
      <c r="BJ976" s="39"/>
      <c r="BK976" s="39"/>
      <c r="BL976" s="39">
        <f t="shared" si="558"/>
        <v>0</v>
      </c>
      <c r="BM976" s="54" t="e">
        <f>IF((BZ976/L976)&lt;0.9,$CO$1-U976,"")</f>
        <v>#DIV/0!</v>
      </c>
      <c r="BN976" s="42"/>
      <c r="BO976" s="39"/>
      <c r="BP976" s="39"/>
      <c r="BQ976" s="39"/>
      <c r="BR976" s="39"/>
      <c r="BS976" s="39"/>
      <c r="BT976" s="39"/>
      <c r="BU976" s="39"/>
      <c r="BV976" s="39"/>
      <c r="BW976" s="39"/>
      <c r="BX976" s="39"/>
      <c r="BY976" s="39"/>
      <c r="BZ976" s="39">
        <f t="shared" si="559"/>
        <v>0</v>
      </c>
      <c r="CA976" s="39">
        <f>BU976-I976</f>
        <v>0</v>
      </c>
      <c r="CB976" s="39">
        <f>BW976-J976</f>
        <v>0</v>
      </c>
      <c r="CC976" s="39">
        <f>BY976-K976</f>
        <v>0</v>
      </c>
      <c r="CD976" s="39">
        <f t="shared" si="560"/>
        <v>0</v>
      </c>
      <c r="CE976" s="47" t="e">
        <f>CD976/L976</f>
        <v>#DIV/0!</v>
      </c>
      <c r="CF976" s="36"/>
      <c r="CG976" s="39"/>
      <c r="CH976" s="39"/>
      <c r="CI976" s="25">
        <v>1</v>
      </c>
    </row>
    <row r="977" spans="1:87" ht="24.75" customHeight="1">
      <c r="A977" s="36" t="s">
        <v>185</v>
      </c>
      <c r="B977" s="55"/>
      <c r="C977" s="36"/>
      <c r="D977" s="36"/>
      <c r="E977" s="39"/>
      <c r="F977" s="39"/>
      <c r="G977" s="36"/>
      <c r="H977" s="39"/>
      <c r="I977" s="39"/>
      <c r="J977" s="39"/>
      <c r="K977" s="39"/>
      <c r="L977" s="39">
        <f t="shared" si="582"/>
        <v>0</v>
      </c>
      <c r="M977" s="39"/>
      <c r="N977" s="39"/>
      <c r="O977" s="39"/>
      <c r="P977" s="39"/>
      <c r="Q977" s="39"/>
      <c r="R977" s="39">
        <f t="shared" si="583"/>
        <v>0</v>
      </c>
      <c r="S977" s="39"/>
      <c r="T977" s="39"/>
      <c r="U977" s="39"/>
      <c r="V977" s="39"/>
      <c r="W977" s="39"/>
      <c r="X977" s="39"/>
      <c r="Y977" s="39"/>
      <c r="Z977" s="39"/>
      <c r="AA977" s="39"/>
      <c r="AB977" s="39">
        <f t="shared" si="584"/>
        <v>0</v>
      </c>
      <c r="AC977" s="39"/>
      <c r="AD977" s="39"/>
      <c r="AE977" s="39"/>
      <c r="AF977" s="39"/>
      <c r="AG977" s="39"/>
      <c r="AH977" s="39">
        <f t="shared" si="557"/>
        <v>0</v>
      </c>
      <c r="AI977" s="39"/>
      <c r="AJ977" s="39"/>
      <c r="AK977" s="39"/>
      <c r="AL977" s="39"/>
      <c r="AM977" s="39"/>
      <c r="AN977" s="39">
        <f t="shared" ref="AN977:AN980" si="585">AM977-AK977</f>
        <v>0</v>
      </c>
      <c r="AO977" s="39"/>
      <c r="AP977" s="39"/>
      <c r="AQ977" s="39"/>
      <c r="AR977" s="39"/>
      <c r="AS977" s="39"/>
      <c r="AT977" s="39">
        <f t="shared" si="539"/>
        <v>0</v>
      </c>
      <c r="AU977" s="39"/>
      <c r="AV977" s="39"/>
      <c r="AW977" s="39"/>
      <c r="AX977" s="39"/>
      <c r="AY977" s="39"/>
      <c r="AZ977" s="39">
        <f t="shared" si="540"/>
        <v>0</v>
      </c>
      <c r="BA977" s="39"/>
      <c r="BB977" s="39"/>
      <c r="BC977" s="39"/>
      <c r="BD977" s="39"/>
      <c r="BE977" s="39"/>
      <c r="BF977" s="39">
        <f t="shared" si="541"/>
        <v>0</v>
      </c>
      <c r="BG977" s="39"/>
      <c r="BH977" s="39"/>
      <c r="BI977" s="39"/>
      <c r="BJ977" s="39"/>
      <c r="BK977" s="39"/>
      <c r="BL977" s="39">
        <f t="shared" si="558"/>
        <v>0</v>
      </c>
      <c r="BM977" s="54" t="e">
        <f t="shared" si="542"/>
        <v>#DIV/0!</v>
      </c>
      <c r="BN977" s="42"/>
      <c r="BO977" s="39"/>
      <c r="BP977" s="39"/>
      <c r="BQ977" s="39"/>
      <c r="BR977" s="39"/>
      <c r="BS977" s="39"/>
      <c r="BT977" s="39"/>
      <c r="BU977" s="39"/>
      <c r="BV977" s="39"/>
      <c r="BW977" s="39"/>
      <c r="BX977" s="39"/>
      <c r="BY977" s="39"/>
      <c r="BZ977" s="39">
        <f t="shared" si="559"/>
        <v>0</v>
      </c>
      <c r="CA977" s="39">
        <f t="shared" si="543"/>
        <v>0</v>
      </c>
      <c r="CB977" s="39">
        <f t="shared" si="544"/>
        <v>0</v>
      </c>
      <c r="CC977" s="39">
        <f t="shared" si="545"/>
        <v>0</v>
      </c>
      <c r="CD977" s="39">
        <f t="shared" si="560"/>
        <v>0</v>
      </c>
      <c r="CE977" s="47" t="e">
        <f t="shared" si="547"/>
        <v>#DIV/0!</v>
      </c>
      <c r="CF977" s="36"/>
      <c r="CG977" s="39"/>
      <c r="CH977" s="39"/>
      <c r="CI977" s="25">
        <v>1</v>
      </c>
    </row>
    <row r="978" spans="1:87" ht="24.75" customHeight="1">
      <c r="A978" s="36" t="s">
        <v>185</v>
      </c>
      <c r="B978" s="55"/>
      <c r="C978" s="36"/>
      <c r="D978" s="36"/>
      <c r="E978" s="39"/>
      <c r="F978" s="39"/>
      <c r="G978" s="36"/>
      <c r="H978" s="39"/>
      <c r="I978" s="39"/>
      <c r="J978" s="39"/>
      <c r="K978" s="39"/>
      <c r="L978" s="39">
        <f t="shared" si="582"/>
        <v>0</v>
      </c>
      <c r="M978" s="39"/>
      <c r="N978" s="39"/>
      <c r="O978" s="39"/>
      <c r="P978" s="39"/>
      <c r="Q978" s="39"/>
      <c r="R978" s="39">
        <f t="shared" si="583"/>
        <v>0</v>
      </c>
      <c r="S978" s="39"/>
      <c r="T978" s="39"/>
      <c r="U978" s="39"/>
      <c r="V978" s="39"/>
      <c r="W978" s="39"/>
      <c r="X978" s="39"/>
      <c r="Y978" s="39"/>
      <c r="Z978" s="39"/>
      <c r="AA978" s="39"/>
      <c r="AB978" s="39">
        <f t="shared" si="584"/>
        <v>0</v>
      </c>
      <c r="AC978" s="39"/>
      <c r="AD978" s="39"/>
      <c r="AE978" s="39"/>
      <c r="AF978" s="39"/>
      <c r="AG978" s="39"/>
      <c r="AH978" s="39">
        <f t="shared" si="557"/>
        <v>0</v>
      </c>
      <c r="AI978" s="39"/>
      <c r="AJ978" s="39"/>
      <c r="AK978" s="39"/>
      <c r="AL978" s="39"/>
      <c r="AM978" s="39"/>
      <c r="AN978" s="39">
        <f t="shared" si="585"/>
        <v>0</v>
      </c>
      <c r="AO978" s="39"/>
      <c r="AP978" s="39"/>
      <c r="AQ978" s="39"/>
      <c r="AR978" s="39"/>
      <c r="AS978" s="39"/>
      <c r="AT978" s="39">
        <f t="shared" si="539"/>
        <v>0</v>
      </c>
      <c r="AU978" s="39"/>
      <c r="AV978" s="39"/>
      <c r="AW978" s="39"/>
      <c r="AX978" s="39"/>
      <c r="AY978" s="39"/>
      <c r="AZ978" s="39">
        <f t="shared" si="540"/>
        <v>0</v>
      </c>
      <c r="BA978" s="39"/>
      <c r="BB978" s="39"/>
      <c r="BC978" s="39"/>
      <c r="BD978" s="39"/>
      <c r="BE978" s="39"/>
      <c r="BF978" s="39">
        <f t="shared" si="541"/>
        <v>0</v>
      </c>
      <c r="BG978" s="39"/>
      <c r="BH978" s="39"/>
      <c r="BI978" s="39"/>
      <c r="BJ978" s="39"/>
      <c r="BK978" s="39"/>
      <c r="BL978" s="39">
        <f t="shared" si="558"/>
        <v>0</v>
      </c>
      <c r="BM978" s="54" t="e">
        <f t="shared" si="542"/>
        <v>#DIV/0!</v>
      </c>
      <c r="BN978" s="42"/>
      <c r="BO978" s="39"/>
      <c r="BP978" s="39"/>
      <c r="BQ978" s="39"/>
      <c r="BR978" s="39"/>
      <c r="BS978" s="39"/>
      <c r="BT978" s="39"/>
      <c r="BU978" s="39"/>
      <c r="BV978" s="39"/>
      <c r="BW978" s="39"/>
      <c r="BX978" s="39"/>
      <c r="BY978" s="39"/>
      <c r="BZ978" s="39">
        <f t="shared" si="559"/>
        <v>0</v>
      </c>
      <c r="CA978" s="39">
        <f t="shared" si="543"/>
        <v>0</v>
      </c>
      <c r="CB978" s="39">
        <f t="shared" si="544"/>
        <v>0</v>
      </c>
      <c r="CC978" s="39">
        <f t="shared" si="545"/>
        <v>0</v>
      </c>
      <c r="CD978" s="39">
        <f t="shared" si="560"/>
        <v>0</v>
      </c>
      <c r="CE978" s="47" t="e">
        <f t="shared" si="547"/>
        <v>#DIV/0!</v>
      </c>
      <c r="CF978" s="36"/>
      <c r="CG978" s="39"/>
      <c r="CH978" s="39"/>
      <c r="CI978" s="25">
        <v>1</v>
      </c>
    </row>
    <row r="979" spans="1:87" ht="24.75" customHeight="1">
      <c r="A979" s="36" t="s">
        <v>185</v>
      </c>
      <c r="B979" s="55"/>
      <c r="C979" s="36"/>
      <c r="D979" s="36"/>
      <c r="E979" s="39"/>
      <c r="F979" s="39"/>
      <c r="G979" s="36"/>
      <c r="H979" s="39"/>
      <c r="I979" s="39"/>
      <c r="J979" s="39"/>
      <c r="K979" s="39"/>
      <c r="L979" s="39">
        <f t="shared" si="582"/>
        <v>0</v>
      </c>
      <c r="M979" s="39"/>
      <c r="N979" s="39"/>
      <c r="O979" s="39"/>
      <c r="P979" s="39"/>
      <c r="Q979" s="39"/>
      <c r="R979" s="39">
        <f t="shared" si="583"/>
        <v>0</v>
      </c>
      <c r="S979" s="39"/>
      <c r="T979" s="39"/>
      <c r="U979" s="39"/>
      <c r="V979" s="39"/>
      <c r="W979" s="39"/>
      <c r="X979" s="39"/>
      <c r="Y979" s="39"/>
      <c r="Z979" s="39"/>
      <c r="AA979" s="39"/>
      <c r="AB979" s="39">
        <f t="shared" si="584"/>
        <v>0</v>
      </c>
      <c r="AC979" s="39"/>
      <c r="AD979" s="39"/>
      <c r="AE979" s="39"/>
      <c r="AF979" s="39"/>
      <c r="AG979" s="39"/>
      <c r="AH979" s="39">
        <f t="shared" si="557"/>
        <v>0</v>
      </c>
      <c r="AI979" s="39"/>
      <c r="AJ979" s="39"/>
      <c r="AK979" s="39"/>
      <c r="AL979" s="39"/>
      <c r="AM979" s="39"/>
      <c r="AN979" s="39">
        <f t="shared" si="585"/>
        <v>0</v>
      </c>
      <c r="AO979" s="39"/>
      <c r="AP979" s="39"/>
      <c r="AQ979" s="39"/>
      <c r="AR979" s="39"/>
      <c r="AS979" s="39"/>
      <c r="AT979" s="39">
        <f t="shared" si="539"/>
        <v>0</v>
      </c>
      <c r="AU979" s="39"/>
      <c r="AV979" s="39"/>
      <c r="AW979" s="39"/>
      <c r="AX979" s="39"/>
      <c r="AY979" s="39"/>
      <c r="AZ979" s="39">
        <f t="shared" si="540"/>
        <v>0</v>
      </c>
      <c r="BA979" s="39"/>
      <c r="BB979" s="39"/>
      <c r="BC979" s="39"/>
      <c r="BD979" s="39"/>
      <c r="BE979" s="39"/>
      <c r="BF979" s="39">
        <f t="shared" si="541"/>
        <v>0</v>
      </c>
      <c r="BG979" s="39"/>
      <c r="BH979" s="39"/>
      <c r="BI979" s="39"/>
      <c r="BJ979" s="39"/>
      <c r="BK979" s="39"/>
      <c r="BL979" s="39">
        <f t="shared" si="558"/>
        <v>0</v>
      </c>
      <c r="BM979" s="54" t="e">
        <f t="shared" si="542"/>
        <v>#DIV/0!</v>
      </c>
      <c r="BN979" s="67"/>
      <c r="BO979" s="39"/>
      <c r="BP979" s="39"/>
      <c r="BQ979" s="39"/>
      <c r="BR979" s="39"/>
      <c r="BS979" s="39"/>
      <c r="BT979" s="39"/>
      <c r="BU979" s="39"/>
      <c r="BV979" s="39"/>
      <c r="BW979" s="39"/>
      <c r="BX979" s="39"/>
      <c r="BY979" s="39"/>
      <c r="BZ979" s="39">
        <f t="shared" si="559"/>
        <v>0</v>
      </c>
      <c r="CA979" s="39">
        <f t="shared" si="543"/>
        <v>0</v>
      </c>
      <c r="CB979" s="39">
        <f t="shared" si="544"/>
        <v>0</v>
      </c>
      <c r="CC979" s="39">
        <f t="shared" si="545"/>
        <v>0</v>
      </c>
      <c r="CD979" s="39">
        <f t="shared" si="560"/>
        <v>0</v>
      </c>
      <c r="CE979" s="47" t="e">
        <f t="shared" si="547"/>
        <v>#DIV/0!</v>
      </c>
      <c r="CF979" s="36"/>
      <c r="CG979" s="39"/>
      <c r="CH979" s="39"/>
      <c r="CI979" s="25">
        <v>2</v>
      </c>
    </row>
    <row r="980" spans="1:87" ht="24.75" customHeight="1">
      <c r="A980" s="36" t="s">
        <v>185</v>
      </c>
      <c r="B980" s="55"/>
      <c r="C980" s="36"/>
      <c r="D980" s="36"/>
      <c r="E980" s="39"/>
      <c r="F980" s="39"/>
      <c r="G980" s="36"/>
      <c r="H980" s="39"/>
      <c r="I980" s="39"/>
      <c r="J980" s="39"/>
      <c r="K980" s="39"/>
      <c r="L980" s="39">
        <f t="shared" si="582"/>
        <v>0</v>
      </c>
      <c r="M980" s="39"/>
      <c r="N980" s="39"/>
      <c r="O980" s="39"/>
      <c r="P980" s="39"/>
      <c r="Q980" s="39"/>
      <c r="R980" s="39">
        <f t="shared" si="583"/>
        <v>0</v>
      </c>
      <c r="S980" s="39"/>
      <c r="T980" s="39"/>
      <c r="U980" s="39"/>
      <c r="V980" s="39"/>
      <c r="W980" s="39"/>
      <c r="X980" s="39"/>
      <c r="Y980" s="39"/>
      <c r="Z980" s="39"/>
      <c r="AA980" s="39"/>
      <c r="AB980" s="39">
        <f t="shared" si="584"/>
        <v>0</v>
      </c>
      <c r="AC980" s="39"/>
      <c r="AD980" s="39"/>
      <c r="AE980" s="39"/>
      <c r="AF980" s="39"/>
      <c r="AG980" s="39"/>
      <c r="AH980" s="39">
        <f t="shared" si="557"/>
        <v>0</v>
      </c>
      <c r="AI980" s="39"/>
      <c r="AJ980" s="39"/>
      <c r="AK980" s="39"/>
      <c r="AL980" s="39"/>
      <c r="AM980" s="39"/>
      <c r="AN980" s="39">
        <f t="shared" si="585"/>
        <v>0</v>
      </c>
      <c r="AO980" s="39"/>
      <c r="AP980" s="39"/>
      <c r="AQ980" s="39"/>
      <c r="AR980" s="39"/>
      <c r="AS980" s="39"/>
      <c r="AT980" s="39">
        <f t="shared" si="539"/>
        <v>0</v>
      </c>
      <c r="AU980" s="39"/>
      <c r="AV980" s="39"/>
      <c r="AW980" s="39"/>
      <c r="AX980" s="39"/>
      <c r="AY980" s="39"/>
      <c r="AZ980" s="39">
        <f t="shared" si="540"/>
        <v>0</v>
      </c>
      <c r="BA980" s="39"/>
      <c r="BB980" s="39"/>
      <c r="BC980" s="39"/>
      <c r="BD980" s="39"/>
      <c r="BE980" s="39"/>
      <c r="BF980" s="39">
        <f t="shared" si="541"/>
        <v>0</v>
      </c>
      <c r="BG980" s="39"/>
      <c r="BH980" s="39"/>
      <c r="BI980" s="39"/>
      <c r="BJ980" s="39"/>
      <c r="BK980" s="39"/>
      <c r="BL980" s="39">
        <f t="shared" si="558"/>
        <v>0</v>
      </c>
      <c r="BM980" s="54" t="e">
        <f t="shared" si="542"/>
        <v>#DIV/0!</v>
      </c>
      <c r="BN980" s="67"/>
      <c r="BO980" s="39"/>
      <c r="BP980" s="39"/>
      <c r="BQ980" s="39"/>
      <c r="BR980" s="39"/>
      <c r="BS980" s="39"/>
      <c r="BT980" s="39"/>
      <c r="BU980" s="39"/>
      <c r="BV980" s="39"/>
      <c r="BW980" s="39"/>
      <c r="BX980" s="39"/>
      <c r="BY980" s="39"/>
      <c r="BZ980" s="39">
        <f t="shared" si="559"/>
        <v>0</v>
      </c>
      <c r="CA980" s="39">
        <f t="shared" si="543"/>
        <v>0</v>
      </c>
      <c r="CB980" s="39">
        <f t="shared" si="544"/>
        <v>0</v>
      </c>
      <c r="CC980" s="39">
        <f t="shared" si="545"/>
        <v>0</v>
      </c>
      <c r="CD980" s="39">
        <f t="shared" si="560"/>
        <v>0</v>
      </c>
      <c r="CE980" s="47" t="e">
        <f t="shared" si="547"/>
        <v>#DIV/0!</v>
      </c>
      <c r="CF980" s="36"/>
      <c r="CG980" s="39"/>
      <c r="CH980" s="39"/>
      <c r="CI980" s="25">
        <v>2</v>
      </c>
    </row>
    <row r="981" spans="1:87" ht="24.75" customHeight="1">
      <c r="A981" s="36" t="s">
        <v>185</v>
      </c>
      <c r="B981" s="55"/>
      <c r="C981" s="36"/>
      <c r="D981" s="36"/>
      <c r="E981" s="39"/>
      <c r="F981" s="39"/>
      <c r="G981" s="36"/>
      <c r="H981" s="39"/>
      <c r="I981" s="39"/>
      <c r="J981" s="39"/>
      <c r="K981" s="39"/>
      <c r="L981" s="39">
        <f t="shared" si="582"/>
        <v>0</v>
      </c>
      <c r="M981" s="39"/>
      <c r="N981" s="39"/>
      <c r="O981" s="39"/>
      <c r="P981" s="39"/>
      <c r="Q981" s="39"/>
      <c r="R981" s="39">
        <f t="shared" si="583"/>
        <v>0</v>
      </c>
      <c r="S981" s="39"/>
      <c r="T981" s="39"/>
      <c r="U981" s="39"/>
      <c r="V981" s="39"/>
      <c r="W981" s="39"/>
      <c r="X981" s="39"/>
      <c r="Y981" s="39"/>
      <c r="Z981" s="39"/>
      <c r="AA981" s="39"/>
      <c r="AB981" s="39">
        <f t="shared" si="584"/>
        <v>0</v>
      </c>
      <c r="AC981" s="39"/>
      <c r="AD981" s="39"/>
      <c r="AE981" s="39"/>
      <c r="AF981" s="39"/>
      <c r="AG981" s="39"/>
      <c r="AH981" s="39">
        <f t="shared" si="557"/>
        <v>0</v>
      </c>
      <c r="AI981" s="39"/>
      <c r="AJ981" s="39"/>
      <c r="AK981" s="39"/>
      <c r="AL981" s="39"/>
      <c r="AM981" s="39"/>
      <c r="AN981" s="39">
        <f>AM981-AK981</f>
        <v>0</v>
      </c>
      <c r="AO981" s="39"/>
      <c r="AP981" s="39"/>
      <c r="AQ981" s="39"/>
      <c r="AR981" s="39"/>
      <c r="AS981" s="39"/>
      <c r="AT981" s="39">
        <f>AS981-AQ981</f>
        <v>0</v>
      </c>
      <c r="AU981" s="39"/>
      <c r="AV981" s="39"/>
      <c r="AW981" s="39"/>
      <c r="AX981" s="39"/>
      <c r="AY981" s="39"/>
      <c r="AZ981" s="39">
        <f>AY981-AW981</f>
        <v>0</v>
      </c>
      <c r="BA981" s="39"/>
      <c r="BB981" s="39"/>
      <c r="BC981" s="39"/>
      <c r="BD981" s="39"/>
      <c r="BE981" s="39"/>
      <c r="BF981" s="39">
        <f>BE981-BC981</f>
        <v>0</v>
      </c>
      <c r="BG981" s="39"/>
      <c r="BH981" s="39"/>
      <c r="BI981" s="39"/>
      <c r="BJ981" s="39"/>
      <c r="BK981" s="39"/>
      <c r="BL981" s="39">
        <f t="shared" si="558"/>
        <v>0</v>
      </c>
      <c r="BM981" s="54" t="e">
        <f>IF((BZ981/L981)&lt;0.9,$CO$1-U981,"")</f>
        <v>#DIV/0!</v>
      </c>
      <c r="BN981" s="67"/>
      <c r="BO981" s="39"/>
      <c r="BP981" s="39"/>
      <c r="BQ981" s="39"/>
      <c r="BR981" s="39"/>
      <c r="BS981" s="39"/>
      <c r="BT981" s="39"/>
      <c r="BU981" s="39"/>
      <c r="BV981" s="39"/>
      <c r="BW981" s="39"/>
      <c r="BX981" s="39"/>
      <c r="BY981" s="39"/>
      <c r="BZ981" s="39">
        <f t="shared" si="559"/>
        <v>0</v>
      </c>
      <c r="CA981" s="39">
        <f>BU981-I981</f>
        <v>0</v>
      </c>
      <c r="CB981" s="39">
        <f>BW981-J981</f>
        <v>0</v>
      </c>
      <c r="CC981" s="39">
        <f>BY981-K981</f>
        <v>0</v>
      </c>
      <c r="CD981" s="39">
        <f t="shared" si="560"/>
        <v>0</v>
      </c>
      <c r="CE981" s="47" t="e">
        <f>CD981/L981</f>
        <v>#DIV/0!</v>
      </c>
      <c r="CF981" s="36"/>
      <c r="CG981" s="39"/>
      <c r="CH981" s="39"/>
      <c r="CI981" s="25">
        <v>2</v>
      </c>
    </row>
    <row r="982" spans="1:87" ht="24.75" customHeight="1">
      <c r="A982" s="36" t="s">
        <v>185</v>
      </c>
      <c r="B982" s="55"/>
      <c r="C982" s="36"/>
      <c r="D982" s="36"/>
      <c r="E982" s="39"/>
      <c r="F982" s="39"/>
      <c r="G982" s="36"/>
      <c r="H982" s="39"/>
      <c r="I982" s="39"/>
      <c r="J982" s="39"/>
      <c r="K982" s="39"/>
      <c r="L982" s="39">
        <f t="shared" si="582"/>
        <v>0</v>
      </c>
      <c r="M982" s="39"/>
      <c r="N982" s="39"/>
      <c r="O982" s="39"/>
      <c r="P982" s="39"/>
      <c r="Q982" s="39"/>
      <c r="R982" s="39">
        <f t="shared" si="583"/>
        <v>0</v>
      </c>
      <c r="S982" s="39"/>
      <c r="T982" s="39"/>
      <c r="U982" s="39"/>
      <c r="V982" s="39"/>
      <c r="W982" s="39"/>
      <c r="X982" s="39"/>
      <c r="Y982" s="39"/>
      <c r="Z982" s="39"/>
      <c r="AA982" s="39"/>
      <c r="AB982" s="39">
        <f t="shared" si="584"/>
        <v>0</v>
      </c>
      <c r="AC982" s="39"/>
      <c r="AD982" s="39"/>
      <c r="AE982" s="39"/>
      <c r="AF982" s="39"/>
      <c r="AG982" s="39"/>
      <c r="AH982" s="39">
        <f t="shared" si="557"/>
        <v>0</v>
      </c>
      <c r="AI982" s="39"/>
      <c r="AJ982" s="39"/>
      <c r="AK982" s="39"/>
      <c r="AL982" s="39"/>
      <c r="AM982" s="39"/>
      <c r="AN982" s="39">
        <f t="shared" ref="AN982:AN986" si="586">AM982-AK982</f>
        <v>0</v>
      </c>
      <c r="AO982" s="39"/>
      <c r="AP982" s="39"/>
      <c r="AQ982" s="39"/>
      <c r="AR982" s="39"/>
      <c r="AS982" s="39"/>
      <c r="AT982" s="39">
        <f t="shared" si="539"/>
        <v>0</v>
      </c>
      <c r="AU982" s="39"/>
      <c r="AV982" s="39"/>
      <c r="AW982" s="39"/>
      <c r="AX982" s="39"/>
      <c r="AY982" s="39"/>
      <c r="AZ982" s="39">
        <f t="shared" si="540"/>
        <v>0</v>
      </c>
      <c r="BA982" s="39"/>
      <c r="BB982" s="39"/>
      <c r="BC982" s="39"/>
      <c r="BD982" s="39"/>
      <c r="BE982" s="39"/>
      <c r="BF982" s="39">
        <f t="shared" si="541"/>
        <v>0</v>
      </c>
      <c r="BG982" s="39"/>
      <c r="BH982" s="39"/>
      <c r="BI982" s="39"/>
      <c r="BJ982" s="39"/>
      <c r="BK982" s="39"/>
      <c r="BL982" s="39">
        <f t="shared" si="558"/>
        <v>0</v>
      </c>
      <c r="BM982" s="54" t="e">
        <f t="shared" si="542"/>
        <v>#DIV/0!</v>
      </c>
      <c r="BN982" s="67"/>
      <c r="BO982" s="39"/>
      <c r="BP982" s="39"/>
      <c r="BQ982" s="39"/>
      <c r="BR982" s="39"/>
      <c r="BS982" s="39"/>
      <c r="BT982" s="39"/>
      <c r="BU982" s="39"/>
      <c r="BV982" s="39"/>
      <c r="BW982" s="39"/>
      <c r="BX982" s="39"/>
      <c r="BY982" s="39"/>
      <c r="BZ982" s="39">
        <f t="shared" si="559"/>
        <v>0</v>
      </c>
      <c r="CA982" s="39">
        <f t="shared" si="543"/>
        <v>0</v>
      </c>
      <c r="CB982" s="39">
        <f t="shared" si="544"/>
        <v>0</v>
      </c>
      <c r="CC982" s="39">
        <f t="shared" si="545"/>
        <v>0</v>
      </c>
      <c r="CD982" s="39">
        <f t="shared" si="560"/>
        <v>0</v>
      </c>
      <c r="CE982" s="47" t="e">
        <f t="shared" si="547"/>
        <v>#DIV/0!</v>
      </c>
      <c r="CF982" s="36"/>
      <c r="CG982" s="39"/>
      <c r="CH982" s="39"/>
      <c r="CI982" s="25">
        <v>2</v>
      </c>
    </row>
    <row r="983" spans="1:87" ht="24.75" customHeight="1">
      <c r="A983" s="36" t="s">
        <v>185</v>
      </c>
      <c r="B983" s="55"/>
      <c r="C983" s="36"/>
      <c r="D983" s="36"/>
      <c r="E983" s="39"/>
      <c r="F983" s="39"/>
      <c r="G983" s="36"/>
      <c r="H983" s="39"/>
      <c r="I983" s="39"/>
      <c r="J983" s="39"/>
      <c r="K983" s="39"/>
      <c r="L983" s="39">
        <f t="shared" si="582"/>
        <v>0</v>
      </c>
      <c r="M983" s="39"/>
      <c r="N983" s="39"/>
      <c r="O983" s="39"/>
      <c r="P983" s="39"/>
      <c r="Q983" s="39"/>
      <c r="R983" s="39">
        <f t="shared" si="583"/>
        <v>0</v>
      </c>
      <c r="S983" s="39"/>
      <c r="T983" s="39"/>
      <c r="U983" s="39"/>
      <c r="V983" s="39"/>
      <c r="W983" s="39"/>
      <c r="X983" s="39"/>
      <c r="Y983" s="39"/>
      <c r="Z983" s="39"/>
      <c r="AA983" s="39"/>
      <c r="AB983" s="39">
        <f t="shared" si="584"/>
        <v>0</v>
      </c>
      <c r="AC983" s="39"/>
      <c r="AD983" s="39"/>
      <c r="AE983" s="39"/>
      <c r="AF983" s="39"/>
      <c r="AG983" s="39"/>
      <c r="AH983" s="39">
        <f t="shared" si="557"/>
        <v>0</v>
      </c>
      <c r="AI983" s="39"/>
      <c r="AJ983" s="39"/>
      <c r="AK983" s="39"/>
      <c r="AL983" s="39"/>
      <c r="AM983" s="39"/>
      <c r="AN983" s="39">
        <f t="shared" si="586"/>
        <v>0</v>
      </c>
      <c r="AO983" s="39"/>
      <c r="AP983" s="39"/>
      <c r="AQ983" s="39"/>
      <c r="AR983" s="39"/>
      <c r="AS983" s="39"/>
      <c r="AT983" s="39">
        <f t="shared" si="539"/>
        <v>0</v>
      </c>
      <c r="AU983" s="39"/>
      <c r="AV983" s="39"/>
      <c r="AW983" s="39"/>
      <c r="AX983" s="39"/>
      <c r="AY983" s="39"/>
      <c r="AZ983" s="39">
        <f t="shared" si="540"/>
        <v>0</v>
      </c>
      <c r="BA983" s="39"/>
      <c r="BB983" s="39"/>
      <c r="BC983" s="39"/>
      <c r="BD983" s="39"/>
      <c r="BE983" s="39"/>
      <c r="BF983" s="39">
        <f t="shared" si="541"/>
        <v>0</v>
      </c>
      <c r="BG983" s="39"/>
      <c r="BH983" s="39"/>
      <c r="BI983" s="39"/>
      <c r="BJ983" s="39"/>
      <c r="BK983" s="39"/>
      <c r="BL983" s="39">
        <f t="shared" si="558"/>
        <v>0</v>
      </c>
      <c r="BM983" s="54" t="e">
        <f t="shared" si="542"/>
        <v>#DIV/0!</v>
      </c>
      <c r="BN983" s="67"/>
      <c r="BO983" s="39"/>
      <c r="BP983" s="39"/>
      <c r="BQ983" s="39"/>
      <c r="BR983" s="39"/>
      <c r="BS983" s="39"/>
      <c r="BT983" s="39"/>
      <c r="BU983" s="39"/>
      <c r="BV983" s="39"/>
      <c r="BW983" s="39"/>
      <c r="BX983" s="39"/>
      <c r="BY983" s="39"/>
      <c r="BZ983" s="39">
        <f t="shared" si="559"/>
        <v>0</v>
      </c>
      <c r="CA983" s="39">
        <f t="shared" si="543"/>
        <v>0</v>
      </c>
      <c r="CB983" s="39">
        <f t="shared" si="544"/>
        <v>0</v>
      </c>
      <c r="CC983" s="39">
        <f t="shared" si="545"/>
        <v>0</v>
      </c>
      <c r="CD983" s="39">
        <f t="shared" si="560"/>
        <v>0</v>
      </c>
      <c r="CE983" s="47" t="e">
        <f t="shared" si="547"/>
        <v>#DIV/0!</v>
      </c>
      <c r="CF983" s="36"/>
      <c r="CG983" s="39"/>
      <c r="CH983" s="39"/>
      <c r="CI983" s="25">
        <v>2</v>
      </c>
    </row>
    <row r="984" spans="1:87" ht="24.75" customHeight="1">
      <c r="A984" s="36" t="s">
        <v>185</v>
      </c>
      <c r="B984" s="55">
        <v>48956</v>
      </c>
      <c r="C984" s="36" t="s">
        <v>2954</v>
      </c>
      <c r="D984" s="36" t="s">
        <v>255</v>
      </c>
      <c r="E984" s="39">
        <v>160</v>
      </c>
      <c r="F984" s="39" t="s">
        <v>57</v>
      </c>
      <c r="G984" s="36" t="s">
        <v>320</v>
      </c>
      <c r="H984" s="36" t="s">
        <v>22</v>
      </c>
      <c r="I984" s="39">
        <f>2134-463</f>
        <v>1671</v>
      </c>
      <c r="J984" s="39">
        <f>102-20</f>
        <v>82</v>
      </c>
      <c r="K984" s="39"/>
      <c r="L984" s="39">
        <f t="shared" ref="L984:L985" si="587">SUM(I984:K984)</f>
        <v>1753</v>
      </c>
      <c r="M984" s="117">
        <v>46273</v>
      </c>
      <c r="N984" s="117">
        <v>46282</v>
      </c>
      <c r="O984" s="39"/>
      <c r="P984" s="39"/>
      <c r="Q984" s="39"/>
      <c r="R984" s="39">
        <f t="shared" ref="R984:R985" si="588">SUM(O984:Q984)</f>
        <v>0</v>
      </c>
      <c r="S984" s="39" t="s">
        <v>130</v>
      </c>
      <c r="T984" s="39"/>
      <c r="U984" s="39"/>
      <c r="V984" s="39"/>
      <c r="W984" s="39"/>
      <c r="X984" s="39"/>
      <c r="Y984" s="39"/>
      <c r="Z984" s="39"/>
      <c r="AA984" s="39"/>
      <c r="AB984" s="118">
        <f t="shared" ref="AB984:AB985" si="589">SUM(Y984:AA984)</f>
        <v>0</v>
      </c>
      <c r="AC984" s="39"/>
      <c r="AD984" s="39"/>
      <c r="AE984" s="39"/>
      <c r="AF984" s="39"/>
      <c r="AG984" s="39"/>
      <c r="AH984" s="39">
        <f t="shared" si="557"/>
        <v>0</v>
      </c>
      <c r="AI984" s="39"/>
      <c r="AJ984" s="39"/>
      <c r="AK984" s="39"/>
      <c r="AL984" s="39"/>
      <c r="AM984" s="39"/>
      <c r="AN984" s="39">
        <f>AM984-AK984</f>
        <v>0</v>
      </c>
      <c r="AO984" s="39"/>
      <c r="AP984" s="39"/>
      <c r="AQ984" s="39"/>
      <c r="AR984" s="39"/>
      <c r="AS984" s="39"/>
      <c r="AT984" s="39">
        <f>AS984-AQ984</f>
        <v>0</v>
      </c>
      <c r="AU984" s="39"/>
      <c r="AV984" s="39"/>
      <c r="AW984" s="39"/>
      <c r="AX984" s="39"/>
      <c r="AY984" s="39"/>
      <c r="AZ984" s="39">
        <f>AY984-AW984</f>
        <v>0</v>
      </c>
      <c r="BA984" s="39"/>
      <c r="BB984" s="39"/>
      <c r="BC984" s="39"/>
      <c r="BD984" s="39"/>
      <c r="BE984" s="39"/>
      <c r="BF984" s="39">
        <f>BE984-BC984</f>
        <v>0</v>
      </c>
      <c r="BG984" s="39"/>
      <c r="BH984" s="39"/>
      <c r="BI984" s="39"/>
      <c r="BJ984" s="39"/>
      <c r="BK984" s="39"/>
      <c r="BL984" s="39">
        <f t="shared" si="558"/>
        <v>0</v>
      </c>
      <c r="BM984" s="54">
        <f ca="1">IF((BZ984/L984)&lt;0.9,$CO$1-U984,"")</f>
        <v>46283</v>
      </c>
      <c r="BN984" s="62">
        <v>46286</v>
      </c>
      <c r="BO984" s="117">
        <v>46293</v>
      </c>
      <c r="BP984" s="39"/>
      <c r="BQ984" s="39"/>
      <c r="BR984" s="39"/>
      <c r="BS984" s="39"/>
      <c r="BT984" s="39"/>
      <c r="BU984" s="39"/>
      <c r="BV984" s="39"/>
      <c r="BW984" s="39"/>
      <c r="BX984" s="39"/>
      <c r="BY984" s="39"/>
      <c r="BZ984" s="39">
        <f t="shared" si="559"/>
        <v>0</v>
      </c>
      <c r="CA984" s="39">
        <f>BU984-I984</f>
        <v>-1671</v>
      </c>
      <c r="CB984" s="39">
        <f>BW984-J984</f>
        <v>-82</v>
      </c>
      <c r="CC984" s="39">
        <f>BY984-K984</f>
        <v>0</v>
      </c>
      <c r="CD984" s="39">
        <f t="shared" si="560"/>
        <v>-1753</v>
      </c>
      <c r="CE984" s="102">
        <f>CD984/L984</f>
        <v>-1</v>
      </c>
      <c r="CF984" s="36"/>
      <c r="CG984" s="39" t="s">
        <v>237</v>
      </c>
      <c r="CH984" s="39"/>
      <c r="CI984" s="25">
        <v>3</v>
      </c>
    </row>
    <row r="985" spans="1:87" ht="24.75" customHeight="1">
      <c r="A985" s="36" t="s">
        <v>185</v>
      </c>
      <c r="B985" s="55">
        <v>48955</v>
      </c>
      <c r="C985" s="36" t="s">
        <v>2953</v>
      </c>
      <c r="D985" s="36" t="s">
        <v>255</v>
      </c>
      <c r="E985" s="39">
        <v>160</v>
      </c>
      <c r="F985" s="39" t="s">
        <v>57</v>
      </c>
      <c r="G985" s="36" t="s">
        <v>320</v>
      </c>
      <c r="H985" s="36" t="s">
        <v>22</v>
      </c>
      <c r="I985" s="39">
        <f>1838-399</f>
        <v>1439</v>
      </c>
      <c r="J985" s="39">
        <f>88-17</f>
        <v>71</v>
      </c>
      <c r="K985" s="39"/>
      <c r="L985" s="39">
        <f t="shared" si="587"/>
        <v>1510</v>
      </c>
      <c r="M985" s="117">
        <v>46275</v>
      </c>
      <c r="N985" s="117">
        <v>46283</v>
      </c>
      <c r="O985" s="39"/>
      <c r="P985" s="39"/>
      <c r="Q985" s="39"/>
      <c r="R985" s="39">
        <f t="shared" si="588"/>
        <v>0</v>
      </c>
      <c r="S985" s="39" t="s">
        <v>130</v>
      </c>
      <c r="T985" s="39"/>
      <c r="U985" s="39"/>
      <c r="V985" s="39"/>
      <c r="W985" s="39"/>
      <c r="X985" s="39"/>
      <c r="Y985" s="39"/>
      <c r="Z985" s="39"/>
      <c r="AA985" s="39"/>
      <c r="AB985" s="118">
        <f t="shared" si="589"/>
        <v>0</v>
      </c>
      <c r="AC985" s="39"/>
      <c r="AD985" s="39"/>
      <c r="AE985" s="39"/>
      <c r="AF985" s="39"/>
      <c r="AG985" s="39"/>
      <c r="AH985" s="39">
        <f t="shared" si="557"/>
        <v>0</v>
      </c>
      <c r="AI985" s="39"/>
      <c r="AJ985" s="39"/>
      <c r="AK985" s="39"/>
      <c r="AL985" s="39"/>
      <c r="AM985" s="39"/>
      <c r="AN985" s="39">
        <f t="shared" ref="AN985" si="590">AM985-AK985</f>
        <v>0</v>
      </c>
      <c r="AO985" s="39"/>
      <c r="AP985" s="39"/>
      <c r="AQ985" s="39"/>
      <c r="AR985" s="39"/>
      <c r="AS985" s="39"/>
      <c r="AT985" s="39">
        <f t="shared" ref="AT985" si="591">AS985-AQ985</f>
        <v>0</v>
      </c>
      <c r="AU985" s="39"/>
      <c r="AV985" s="39"/>
      <c r="AW985" s="39"/>
      <c r="AX985" s="39"/>
      <c r="AY985" s="39"/>
      <c r="AZ985" s="39">
        <f t="shared" ref="AZ985" si="592">AY985-AW985</f>
        <v>0</v>
      </c>
      <c r="BA985" s="39"/>
      <c r="BB985" s="39"/>
      <c r="BC985" s="39"/>
      <c r="BD985" s="39"/>
      <c r="BE985" s="39"/>
      <c r="BF985" s="39">
        <f t="shared" ref="BF985" si="593">BE985-BC985</f>
        <v>0</v>
      </c>
      <c r="BG985" s="39"/>
      <c r="BH985" s="39"/>
      <c r="BI985" s="39"/>
      <c r="BJ985" s="39"/>
      <c r="BK985" s="39"/>
      <c r="BL985" s="39">
        <f t="shared" si="558"/>
        <v>0</v>
      </c>
      <c r="BM985" s="54">
        <f t="shared" ref="BM985" ca="1" si="594">IF((BZ985/L985)&lt;0.9,$CO$1-U985,"")</f>
        <v>46283</v>
      </c>
      <c r="BN985" s="62">
        <v>46289</v>
      </c>
      <c r="BO985" s="117">
        <v>46295</v>
      </c>
      <c r="BP985" s="39"/>
      <c r="BQ985" s="39"/>
      <c r="BR985" s="39"/>
      <c r="BS985" s="39"/>
      <c r="BT985" s="39"/>
      <c r="BU985" s="39"/>
      <c r="BV985" s="39"/>
      <c r="BW985" s="39"/>
      <c r="BX985" s="39"/>
      <c r="BY985" s="39"/>
      <c r="BZ985" s="39">
        <f t="shared" si="559"/>
        <v>0</v>
      </c>
      <c r="CA985" s="39">
        <f t="shared" ref="CA985" si="595">BU985-I985</f>
        <v>-1439</v>
      </c>
      <c r="CB985" s="39">
        <f t="shared" ref="CB985" si="596">BW985-J985</f>
        <v>-71</v>
      </c>
      <c r="CC985" s="39">
        <f t="shared" ref="CC985" si="597">BY985-K985</f>
        <v>0</v>
      </c>
      <c r="CD985" s="39">
        <f t="shared" si="560"/>
        <v>-1510</v>
      </c>
      <c r="CE985" s="102">
        <f t="shared" ref="CE985" si="598">CD985/L985</f>
        <v>-1</v>
      </c>
      <c r="CF985" s="36"/>
      <c r="CG985" s="39" t="s">
        <v>237</v>
      </c>
      <c r="CH985" s="39"/>
      <c r="CI985" s="25">
        <v>3</v>
      </c>
    </row>
    <row r="986" spans="1:87" ht="24.75" customHeight="1">
      <c r="A986" s="36" t="s">
        <v>185</v>
      </c>
      <c r="B986" s="55"/>
      <c r="C986" s="36"/>
      <c r="D986" s="36"/>
      <c r="E986" s="39"/>
      <c r="F986" s="39"/>
      <c r="G986" s="36"/>
      <c r="H986" s="39"/>
      <c r="I986" s="39"/>
      <c r="J986" s="39"/>
      <c r="K986" s="39"/>
      <c r="L986" s="39">
        <f t="shared" si="582"/>
        <v>0</v>
      </c>
      <c r="M986" s="39"/>
      <c r="N986" s="39"/>
      <c r="O986" s="39"/>
      <c r="P986" s="39"/>
      <c r="Q986" s="39"/>
      <c r="R986" s="39">
        <f t="shared" si="583"/>
        <v>0</v>
      </c>
      <c r="S986" s="39"/>
      <c r="T986" s="39"/>
      <c r="U986" s="39"/>
      <c r="V986" s="39"/>
      <c r="W986" s="39"/>
      <c r="X986" s="39"/>
      <c r="Y986" s="39"/>
      <c r="Z986" s="39"/>
      <c r="AA986" s="39"/>
      <c r="AB986" s="39">
        <f t="shared" si="584"/>
        <v>0</v>
      </c>
      <c r="AC986" s="39"/>
      <c r="AD986" s="39"/>
      <c r="AE986" s="39"/>
      <c r="AF986" s="39"/>
      <c r="AG986" s="39"/>
      <c r="AH986" s="39">
        <f t="shared" si="557"/>
        <v>0</v>
      </c>
      <c r="AI986" s="39"/>
      <c r="AJ986" s="39"/>
      <c r="AK986" s="39"/>
      <c r="AL986" s="39"/>
      <c r="AM986" s="39"/>
      <c r="AN986" s="39">
        <f t="shared" si="586"/>
        <v>0</v>
      </c>
      <c r="AO986" s="39"/>
      <c r="AP986" s="39"/>
      <c r="AQ986" s="39"/>
      <c r="AR986" s="39"/>
      <c r="AS986" s="39"/>
      <c r="AT986" s="39">
        <f t="shared" si="539"/>
        <v>0</v>
      </c>
      <c r="AU986" s="39"/>
      <c r="AV986" s="39"/>
      <c r="AW986" s="39"/>
      <c r="AX986" s="39"/>
      <c r="AY986" s="39"/>
      <c r="AZ986" s="39">
        <f t="shared" si="540"/>
        <v>0</v>
      </c>
      <c r="BA986" s="39"/>
      <c r="BB986" s="39"/>
      <c r="BC986" s="39"/>
      <c r="BD986" s="39"/>
      <c r="BE986" s="39"/>
      <c r="BF986" s="39">
        <f t="shared" si="541"/>
        <v>0</v>
      </c>
      <c r="BG986" s="39"/>
      <c r="BH986" s="39"/>
      <c r="BI986" s="39"/>
      <c r="BJ986" s="39"/>
      <c r="BK986" s="39"/>
      <c r="BL986" s="39">
        <f t="shared" si="558"/>
        <v>0</v>
      </c>
      <c r="BM986" s="54" t="e">
        <f t="shared" si="542"/>
        <v>#DIV/0!</v>
      </c>
      <c r="BN986" s="63"/>
      <c r="BO986" s="39"/>
      <c r="BP986" s="39"/>
      <c r="BQ986" s="39"/>
      <c r="BR986" s="39"/>
      <c r="BS986" s="39"/>
      <c r="BT986" s="39"/>
      <c r="BU986" s="39"/>
      <c r="BV986" s="39"/>
      <c r="BW986" s="39"/>
      <c r="BX986" s="39"/>
      <c r="BY986" s="39"/>
      <c r="BZ986" s="39">
        <f t="shared" si="559"/>
        <v>0</v>
      </c>
      <c r="CA986" s="39">
        <f t="shared" si="543"/>
        <v>0</v>
      </c>
      <c r="CB986" s="39">
        <f t="shared" si="544"/>
        <v>0</v>
      </c>
      <c r="CC986" s="39">
        <f t="shared" si="545"/>
        <v>0</v>
      </c>
      <c r="CD986" s="39">
        <f t="shared" si="560"/>
        <v>0</v>
      </c>
      <c r="CE986" s="47" t="e">
        <f t="shared" si="547"/>
        <v>#DIV/0!</v>
      </c>
      <c r="CF986" s="36"/>
      <c r="CG986" s="39"/>
      <c r="CH986" s="39"/>
      <c r="CI986" s="25">
        <v>3</v>
      </c>
    </row>
    <row r="987" spans="1:87" ht="24.75" customHeight="1">
      <c r="A987" s="36" t="s">
        <v>185</v>
      </c>
      <c r="B987" s="55"/>
      <c r="C987" s="36"/>
      <c r="D987" s="36"/>
      <c r="E987" s="39"/>
      <c r="F987" s="39"/>
      <c r="G987" s="36"/>
      <c r="H987" s="39"/>
      <c r="I987" s="39"/>
      <c r="J987" s="39"/>
      <c r="K987" s="39"/>
      <c r="L987" s="39">
        <f t="shared" si="582"/>
        <v>0</v>
      </c>
      <c r="M987" s="39"/>
      <c r="N987" s="39"/>
      <c r="O987" s="39"/>
      <c r="P987" s="39"/>
      <c r="Q987" s="39"/>
      <c r="R987" s="39">
        <f t="shared" si="583"/>
        <v>0</v>
      </c>
      <c r="S987" s="39"/>
      <c r="T987" s="39"/>
      <c r="U987" s="39"/>
      <c r="V987" s="39"/>
      <c r="W987" s="39"/>
      <c r="X987" s="39"/>
      <c r="Y987" s="39"/>
      <c r="Z987" s="39"/>
      <c r="AA987" s="39"/>
      <c r="AB987" s="39">
        <f t="shared" si="584"/>
        <v>0</v>
      </c>
      <c r="AC987" s="39"/>
      <c r="AD987" s="39"/>
      <c r="AE987" s="39"/>
      <c r="AF987" s="39"/>
      <c r="AG987" s="39"/>
      <c r="AH987" s="39">
        <f t="shared" si="557"/>
        <v>0</v>
      </c>
      <c r="AI987" s="39"/>
      <c r="AJ987" s="39"/>
      <c r="AK987" s="39"/>
      <c r="AL987" s="39"/>
      <c r="AM987" s="39"/>
      <c r="AN987" s="39">
        <f>AM987-AK987</f>
        <v>0</v>
      </c>
      <c r="AO987" s="39"/>
      <c r="AP987" s="39"/>
      <c r="AQ987" s="39"/>
      <c r="AR987" s="39"/>
      <c r="AS987" s="39"/>
      <c r="AT987" s="39">
        <f>AS987-AQ987</f>
        <v>0</v>
      </c>
      <c r="AU987" s="39"/>
      <c r="AV987" s="39"/>
      <c r="AW987" s="39"/>
      <c r="AX987" s="39"/>
      <c r="AY987" s="39"/>
      <c r="AZ987" s="39">
        <f>AY987-AW987</f>
        <v>0</v>
      </c>
      <c r="BA987" s="39"/>
      <c r="BB987" s="39"/>
      <c r="BC987" s="39"/>
      <c r="BD987" s="39"/>
      <c r="BE987" s="39"/>
      <c r="BF987" s="39">
        <f>BE987-BC987</f>
        <v>0</v>
      </c>
      <c r="BG987" s="39"/>
      <c r="BH987" s="39"/>
      <c r="BI987" s="39"/>
      <c r="BJ987" s="39"/>
      <c r="BK987" s="39"/>
      <c r="BL987" s="39">
        <f t="shared" si="558"/>
        <v>0</v>
      </c>
      <c r="BM987" s="54" t="e">
        <f>IF((BZ987/L987)&lt;0.9,$CO$1-U987,"")</f>
        <v>#DIV/0!</v>
      </c>
      <c r="BN987" s="63"/>
      <c r="BO987" s="39"/>
      <c r="BP987" s="39"/>
      <c r="BQ987" s="39"/>
      <c r="BR987" s="39"/>
      <c r="BS987" s="39"/>
      <c r="BT987" s="39"/>
      <c r="BU987" s="39"/>
      <c r="BV987" s="39"/>
      <c r="BW987" s="39"/>
      <c r="BX987" s="39"/>
      <c r="BY987" s="39"/>
      <c r="BZ987" s="39">
        <f t="shared" si="559"/>
        <v>0</v>
      </c>
      <c r="CA987" s="39">
        <f>BU987-I987</f>
        <v>0</v>
      </c>
      <c r="CB987" s="39">
        <f>BW987-J987</f>
        <v>0</v>
      </c>
      <c r="CC987" s="39">
        <f>BY987-K987</f>
        <v>0</v>
      </c>
      <c r="CD987" s="39">
        <f t="shared" si="560"/>
        <v>0</v>
      </c>
      <c r="CE987" s="47" t="e">
        <f>CD987/L987</f>
        <v>#DIV/0!</v>
      </c>
      <c r="CF987" s="36"/>
      <c r="CG987" s="39"/>
      <c r="CH987" s="39"/>
      <c r="CI987" s="25">
        <v>3</v>
      </c>
    </row>
    <row r="988" spans="1:87" ht="24.75" customHeight="1">
      <c r="A988" s="36" t="s">
        <v>185</v>
      </c>
      <c r="B988" s="55"/>
      <c r="C988" s="36"/>
      <c r="D988" s="36"/>
      <c r="E988" s="39"/>
      <c r="F988" s="39"/>
      <c r="G988" s="36"/>
      <c r="H988" s="39"/>
      <c r="I988" s="39"/>
      <c r="J988" s="39"/>
      <c r="K988" s="39"/>
      <c r="L988" s="39">
        <f t="shared" si="582"/>
        <v>0</v>
      </c>
      <c r="M988" s="39"/>
      <c r="N988" s="39"/>
      <c r="O988" s="39"/>
      <c r="P988" s="39"/>
      <c r="Q988" s="39"/>
      <c r="R988" s="39">
        <f t="shared" si="583"/>
        <v>0</v>
      </c>
      <c r="S988" s="39"/>
      <c r="T988" s="39"/>
      <c r="U988" s="39"/>
      <c r="V988" s="39"/>
      <c r="W988" s="39"/>
      <c r="X988" s="39"/>
      <c r="Y988" s="39"/>
      <c r="Z988" s="39"/>
      <c r="AA988" s="39"/>
      <c r="AB988" s="39">
        <f t="shared" si="584"/>
        <v>0</v>
      </c>
      <c r="AC988" s="39"/>
      <c r="AD988" s="39"/>
      <c r="AE988" s="39"/>
      <c r="AF988" s="39"/>
      <c r="AG988" s="39"/>
      <c r="AH988" s="39">
        <f t="shared" si="557"/>
        <v>0</v>
      </c>
      <c r="AI988" s="39"/>
      <c r="AJ988" s="39"/>
      <c r="AK988" s="39"/>
      <c r="AL988" s="39"/>
      <c r="AM988" s="39"/>
      <c r="AN988" s="39">
        <f t="shared" ref="AN988:AN1034" si="599">AM988-AK988</f>
        <v>0</v>
      </c>
      <c r="AO988" s="39"/>
      <c r="AP988" s="39"/>
      <c r="AQ988" s="39"/>
      <c r="AR988" s="39"/>
      <c r="AS988" s="39"/>
      <c r="AT988" s="39">
        <f t="shared" si="539"/>
        <v>0</v>
      </c>
      <c r="AU988" s="39"/>
      <c r="AV988" s="39"/>
      <c r="AW988" s="39"/>
      <c r="AX988" s="39"/>
      <c r="AY988" s="39"/>
      <c r="AZ988" s="39">
        <f t="shared" si="540"/>
        <v>0</v>
      </c>
      <c r="BA988" s="39"/>
      <c r="BB988" s="39"/>
      <c r="BC988" s="39"/>
      <c r="BD988" s="39"/>
      <c r="BE988" s="39"/>
      <c r="BF988" s="39">
        <f t="shared" si="541"/>
        <v>0</v>
      </c>
      <c r="BG988" s="39"/>
      <c r="BH988" s="39"/>
      <c r="BI988" s="39"/>
      <c r="BJ988" s="39"/>
      <c r="BK988" s="39"/>
      <c r="BL988" s="39">
        <f t="shared" si="558"/>
        <v>0</v>
      </c>
      <c r="BM988" s="54" t="e">
        <f t="shared" si="542"/>
        <v>#DIV/0!</v>
      </c>
      <c r="BN988" s="63"/>
      <c r="BO988" s="39"/>
      <c r="BP988" s="39"/>
      <c r="BQ988" s="39"/>
      <c r="BR988" s="39"/>
      <c r="BS988" s="39"/>
      <c r="BT988" s="39"/>
      <c r="BU988" s="39"/>
      <c r="BV988" s="39"/>
      <c r="BW988" s="39"/>
      <c r="BX988" s="39"/>
      <c r="BY988" s="39"/>
      <c r="BZ988" s="39">
        <f t="shared" si="559"/>
        <v>0</v>
      </c>
      <c r="CA988" s="39">
        <f t="shared" si="543"/>
        <v>0</v>
      </c>
      <c r="CB988" s="39">
        <f t="shared" si="544"/>
        <v>0</v>
      </c>
      <c r="CC988" s="39">
        <f t="shared" si="545"/>
        <v>0</v>
      </c>
      <c r="CD988" s="39">
        <f t="shared" si="560"/>
        <v>0</v>
      </c>
      <c r="CE988" s="47" t="e">
        <f t="shared" si="547"/>
        <v>#DIV/0!</v>
      </c>
      <c r="CF988" s="36"/>
      <c r="CG988" s="39"/>
      <c r="CH988" s="39"/>
      <c r="CI988" s="25">
        <v>3</v>
      </c>
    </row>
    <row r="989" spans="1:87" ht="24.75" customHeight="1">
      <c r="A989" s="36" t="s">
        <v>185</v>
      </c>
      <c r="B989" s="55"/>
      <c r="C989" s="36"/>
      <c r="D989" s="36"/>
      <c r="E989" s="39"/>
      <c r="F989" s="39"/>
      <c r="G989" s="36"/>
      <c r="H989" s="39"/>
      <c r="I989" s="39"/>
      <c r="J989" s="39"/>
      <c r="K989" s="39"/>
      <c r="L989" s="39">
        <f t="shared" si="582"/>
        <v>0</v>
      </c>
      <c r="M989" s="39"/>
      <c r="N989" s="39"/>
      <c r="O989" s="39"/>
      <c r="P989" s="39"/>
      <c r="Q989" s="39"/>
      <c r="R989" s="39">
        <f t="shared" si="583"/>
        <v>0</v>
      </c>
      <c r="S989" s="39"/>
      <c r="T989" s="39"/>
      <c r="U989" s="39"/>
      <c r="V989" s="39"/>
      <c r="W989" s="39"/>
      <c r="X989" s="39"/>
      <c r="Y989" s="39"/>
      <c r="Z989" s="39"/>
      <c r="AA989" s="39"/>
      <c r="AB989" s="39">
        <f t="shared" si="584"/>
        <v>0</v>
      </c>
      <c r="AC989" s="39"/>
      <c r="AD989" s="39"/>
      <c r="AE989" s="39"/>
      <c r="AF989" s="39"/>
      <c r="AG989" s="39"/>
      <c r="AH989" s="39">
        <f t="shared" si="557"/>
        <v>0</v>
      </c>
      <c r="AI989" s="39"/>
      <c r="AJ989" s="39"/>
      <c r="AK989" s="39"/>
      <c r="AL989" s="39"/>
      <c r="AM989" s="39"/>
      <c r="AN989" s="39">
        <f t="shared" si="599"/>
        <v>0</v>
      </c>
      <c r="AO989" s="39"/>
      <c r="AP989" s="39"/>
      <c r="AQ989" s="39"/>
      <c r="AR989" s="39"/>
      <c r="AS989" s="39"/>
      <c r="AT989" s="39">
        <f t="shared" si="539"/>
        <v>0</v>
      </c>
      <c r="AU989" s="39"/>
      <c r="AV989" s="39"/>
      <c r="AW989" s="39"/>
      <c r="AX989" s="39"/>
      <c r="AY989" s="39"/>
      <c r="AZ989" s="39">
        <f t="shared" si="540"/>
        <v>0</v>
      </c>
      <c r="BA989" s="39"/>
      <c r="BB989" s="39"/>
      <c r="BC989" s="39"/>
      <c r="BD989" s="39"/>
      <c r="BE989" s="39"/>
      <c r="BF989" s="39">
        <f t="shared" si="541"/>
        <v>0</v>
      </c>
      <c r="BG989" s="39"/>
      <c r="BH989" s="39"/>
      <c r="BI989" s="39"/>
      <c r="BJ989" s="39"/>
      <c r="BK989" s="39"/>
      <c r="BL989" s="39">
        <f t="shared" si="558"/>
        <v>0</v>
      </c>
      <c r="BM989" s="54" t="e">
        <f t="shared" si="542"/>
        <v>#DIV/0!</v>
      </c>
      <c r="BN989" s="63"/>
      <c r="BO989" s="39"/>
      <c r="BP989" s="39"/>
      <c r="BQ989" s="39"/>
      <c r="BR989" s="39"/>
      <c r="BS989" s="39"/>
      <c r="BT989" s="39"/>
      <c r="BU989" s="39"/>
      <c r="BV989" s="39"/>
      <c r="BW989" s="39"/>
      <c r="BX989" s="39"/>
      <c r="BY989" s="39"/>
      <c r="BZ989" s="39">
        <f t="shared" si="559"/>
        <v>0</v>
      </c>
      <c r="CA989" s="39">
        <f t="shared" si="543"/>
        <v>0</v>
      </c>
      <c r="CB989" s="39">
        <f t="shared" si="544"/>
        <v>0</v>
      </c>
      <c r="CC989" s="39">
        <f t="shared" si="545"/>
        <v>0</v>
      </c>
      <c r="CD989" s="39">
        <f t="shared" si="560"/>
        <v>0</v>
      </c>
      <c r="CE989" s="47" t="e">
        <f t="shared" si="547"/>
        <v>#DIV/0!</v>
      </c>
      <c r="CF989" s="36"/>
      <c r="CG989" s="39"/>
      <c r="CH989" s="39"/>
      <c r="CI989" s="25">
        <v>3</v>
      </c>
    </row>
    <row r="990" spans="1:87" ht="24.75" customHeight="1">
      <c r="A990" s="36" t="s">
        <v>185</v>
      </c>
      <c r="B990" s="55"/>
      <c r="C990" s="36"/>
      <c r="D990" s="36"/>
      <c r="E990" s="39"/>
      <c r="F990" s="39"/>
      <c r="G990" s="36"/>
      <c r="H990" s="39"/>
      <c r="I990" s="39"/>
      <c r="J990" s="39"/>
      <c r="K990" s="39"/>
      <c r="L990" s="39">
        <f t="shared" si="582"/>
        <v>0</v>
      </c>
      <c r="M990" s="39"/>
      <c r="N990" s="39"/>
      <c r="O990" s="39"/>
      <c r="P990" s="39"/>
      <c r="Q990" s="39"/>
      <c r="R990" s="39">
        <f t="shared" si="583"/>
        <v>0</v>
      </c>
      <c r="S990" s="39"/>
      <c r="T990" s="39"/>
      <c r="U990" s="39"/>
      <c r="V990" s="39"/>
      <c r="W990" s="39"/>
      <c r="X990" s="39"/>
      <c r="Y990" s="39"/>
      <c r="Z990" s="39"/>
      <c r="AA990" s="39"/>
      <c r="AB990" s="39">
        <f t="shared" si="584"/>
        <v>0</v>
      </c>
      <c r="AC990" s="39"/>
      <c r="AD990" s="39"/>
      <c r="AE990" s="39"/>
      <c r="AF990" s="39"/>
      <c r="AG990" s="39"/>
      <c r="AH990" s="39">
        <f t="shared" si="557"/>
        <v>0</v>
      </c>
      <c r="AI990" s="39"/>
      <c r="AJ990" s="39"/>
      <c r="AK990" s="39"/>
      <c r="AL990" s="39"/>
      <c r="AM990" s="39"/>
      <c r="AN990" s="39">
        <f t="shared" si="599"/>
        <v>0</v>
      </c>
      <c r="AO990" s="39"/>
      <c r="AP990" s="39"/>
      <c r="AQ990" s="39"/>
      <c r="AR990" s="39"/>
      <c r="AS990" s="39"/>
      <c r="AT990" s="39">
        <f t="shared" si="539"/>
        <v>0</v>
      </c>
      <c r="AU990" s="39"/>
      <c r="AV990" s="39"/>
      <c r="AW990" s="39"/>
      <c r="AX990" s="39"/>
      <c r="AY990" s="39"/>
      <c r="AZ990" s="39">
        <f t="shared" si="540"/>
        <v>0</v>
      </c>
      <c r="BA990" s="39"/>
      <c r="BB990" s="39"/>
      <c r="BC990" s="39"/>
      <c r="BD990" s="39"/>
      <c r="BE990" s="39"/>
      <c r="BF990" s="39">
        <f t="shared" si="541"/>
        <v>0</v>
      </c>
      <c r="BG990" s="39"/>
      <c r="BH990" s="39"/>
      <c r="BI990" s="39"/>
      <c r="BJ990" s="39"/>
      <c r="BK990" s="39"/>
      <c r="BL990" s="39">
        <f t="shared" si="558"/>
        <v>0</v>
      </c>
      <c r="BM990" s="54" t="e">
        <f t="shared" si="542"/>
        <v>#DIV/0!</v>
      </c>
      <c r="BN990" s="63"/>
      <c r="BO990" s="39"/>
      <c r="BP990" s="39"/>
      <c r="BQ990" s="39"/>
      <c r="BR990" s="39"/>
      <c r="BS990" s="39"/>
      <c r="BT990" s="39"/>
      <c r="BU990" s="39"/>
      <c r="BV990" s="39"/>
      <c r="BW990" s="39"/>
      <c r="BX990" s="39"/>
      <c r="BY990" s="39"/>
      <c r="BZ990" s="39">
        <f t="shared" si="559"/>
        <v>0</v>
      </c>
      <c r="CA990" s="39">
        <f t="shared" si="543"/>
        <v>0</v>
      </c>
      <c r="CB990" s="39">
        <f t="shared" si="544"/>
        <v>0</v>
      </c>
      <c r="CC990" s="39">
        <f t="shared" si="545"/>
        <v>0</v>
      </c>
      <c r="CD990" s="39">
        <f t="shared" si="560"/>
        <v>0</v>
      </c>
      <c r="CE990" s="47" t="e">
        <f t="shared" si="547"/>
        <v>#DIV/0!</v>
      </c>
      <c r="CF990" s="36"/>
      <c r="CG990" s="39"/>
      <c r="CH990" s="39"/>
      <c r="CI990" s="25">
        <v>3</v>
      </c>
    </row>
    <row r="991" spans="1:87" ht="24.75" customHeight="1">
      <c r="A991" s="36" t="s">
        <v>85</v>
      </c>
      <c r="B991" s="55" t="s">
        <v>2173</v>
      </c>
      <c r="C991" s="227" t="s">
        <v>2852</v>
      </c>
      <c r="D991" s="36" t="s">
        <v>24</v>
      </c>
      <c r="E991" s="39">
        <v>200</v>
      </c>
      <c r="F991" s="39" t="s">
        <v>2749</v>
      </c>
      <c r="G991" s="36" t="s">
        <v>2174</v>
      </c>
      <c r="H991" s="36" t="s">
        <v>96</v>
      </c>
      <c r="I991" s="39">
        <f>970+21</f>
        <v>991</v>
      </c>
      <c r="J991" s="39">
        <f>76-6</f>
        <v>70</v>
      </c>
      <c r="K991" s="39"/>
      <c r="L991" s="39">
        <f t="shared" ref="L991:L1031" si="600">SUM(I991:K991)</f>
        <v>1061</v>
      </c>
      <c r="M991" s="117">
        <v>46265</v>
      </c>
      <c r="N991" s="117">
        <v>46272</v>
      </c>
      <c r="O991" s="39"/>
      <c r="P991" s="39"/>
      <c r="Q991" s="39"/>
      <c r="R991" s="39">
        <f t="shared" ref="R991:R1014" si="601">SUM(O991:Q991)</f>
        <v>0</v>
      </c>
      <c r="S991" s="39" t="s">
        <v>130</v>
      </c>
      <c r="T991" s="39">
        <v>109455</v>
      </c>
      <c r="U991" s="117">
        <v>46280</v>
      </c>
      <c r="V991" s="39"/>
      <c r="W991" s="39"/>
      <c r="X991" s="39"/>
      <c r="Y991" s="39">
        <f>165</f>
        <v>165</v>
      </c>
      <c r="Z991" s="39"/>
      <c r="AA991" s="39"/>
      <c r="AB991" s="118">
        <f t="shared" ref="AB991:AB999" si="602">SUM(Y991:AA991)</f>
        <v>165</v>
      </c>
      <c r="AC991" s="39"/>
      <c r="AD991" s="39"/>
      <c r="AE991" s="39"/>
      <c r="AF991" s="39"/>
      <c r="AG991" s="39"/>
      <c r="AH991" s="39">
        <f t="shared" si="557"/>
        <v>0</v>
      </c>
      <c r="AI991" s="39"/>
      <c r="AJ991" s="39"/>
      <c r="AK991" s="39"/>
      <c r="AL991" s="39"/>
      <c r="AM991" s="39"/>
      <c r="AN991" s="39">
        <f t="shared" si="599"/>
        <v>0</v>
      </c>
      <c r="AO991" s="39"/>
      <c r="AP991" s="39"/>
      <c r="AQ991" s="39"/>
      <c r="AR991" s="39"/>
      <c r="AS991" s="39"/>
      <c r="AT991" s="39">
        <f t="shared" si="539"/>
        <v>0</v>
      </c>
      <c r="AU991" s="39"/>
      <c r="AV991" s="39"/>
      <c r="AW991" s="39"/>
      <c r="AX991" s="39"/>
      <c r="AY991" s="39"/>
      <c r="AZ991" s="39">
        <f t="shared" si="540"/>
        <v>0</v>
      </c>
      <c r="BA991" s="39"/>
      <c r="BB991" s="39"/>
      <c r="BC991" s="39"/>
      <c r="BD991" s="39"/>
      <c r="BE991" s="39"/>
      <c r="BF991" s="39">
        <f t="shared" si="541"/>
        <v>0</v>
      </c>
      <c r="BG991" s="39"/>
      <c r="BH991" s="39"/>
      <c r="BI991" s="39"/>
      <c r="BJ991" s="39"/>
      <c r="BK991" s="39"/>
      <c r="BL991" s="39">
        <f t="shared" si="558"/>
        <v>0</v>
      </c>
      <c r="BM991" s="54">
        <f t="shared" ca="1" si="542"/>
        <v>3</v>
      </c>
      <c r="BN991" s="56">
        <v>46269</v>
      </c>
      <c r="BO991" s="117">
        <v>46275</v>
      </c>
      <c r="BP991" s="39"/>
      <c r="BQ991" s="39"/>
      <c r="BR991" s="117">
        <v>46277</v>
      </c>
      <c r="BS991" s="39"/>
      <c r="BT991" s="39">
        <v>789</v>
      </c>
      <c r="BU991" s="39">
        <f>19</f>
        <v>19</v>
      </c>
      <c r="BV991" s="39"/>
      <c r="BW991" s="39"/>
      <c r="BX991" s="39"/>
      <c r="BY991" s="39"/>
      <c r="BZ991" s="39">
        <f t="shared" si="559"/>
        <v>19</v>
      </c>
      <c r="CA991" s="39">
        <f t="shared" si="543"/>
        <v>-972</v>
      </c>
      <c r="CB991" s="39">
        <f t="shared" si="544"/>
        <v>-70</v>
      </c>
      <c r="CC991" s="39">
        <f t="shared" si="545"/>
        <v>0</v>
      </c>
      <c r="CD991" s="39">
        <f t="shared" si="560"/>
        <v>-1042</v>
      </c>
      <c r="CE991" s="102">
        <f t="shared" si="547"/>
        <v>-0.98209236569274272</v>
      </c>
      <c r="CF991" s="36"/>
      <c r="CG991" s="39" t="s">
        <v>236</v>
      </c>
      <c r="CH991" s="39"/>
      <c r="CI991" s="25">
        <v>1</v>
      </c>
    </row>
    <row r="992" spans="1:87" ht="24.75" customHeight="1">
      <c r="A992" s="36" t="s">
        <v>85</v>
      </c>
      <c r="B992" s="55" t="s">
        <v>2173</v>
      </c>
      <c r="C992" s="231"/>
      <c r="D992" s="36" t="s">
        <v>24</v>
      </c>
      <c r="E992" s="39">
        <v>200</v>
      </c>
      <c r="F992" s="39" t="s">
        <v>2749</v>
      </c>
      <c r="G992" s="36" t="s">
        <v>2085</v>
      </c>
      <c r="H992" s="36" t="s">
        <v>96</v>
      </c>
      <c r="I992" s="39">
        <f>489+30+11</f>
        <v>530</v>
      </c>
      <c r="J992" s="39">
        <f>40+3-4</f>
        <v>39</v>
      </c>
      <c r="K992" s="39"/>
      <c r="L992" s="39">
        <f t="shared" si="600"/>
        <v>569</v>
      </c>
      <c r="M992" s="117">
        <v>46265</v>
      </c>
      <c r="N992" s="117">
        <v>46272</v>
      </c>
      <c r="O992" s="39"/>
      <c r="P992" s="39"/>
      <c r="Q992" s="39"/>
      <c r="R992" s="39">
        <f t="shared" si="601"/>
        <v>0</v>
      </c>
      <c r="S992" s="39" t="s">
        <v>130</v>
      </c>
      <c r="T992" s="39" t="s">
        <v>3052</v>
      </c>
      <c r="U992" s="117">
        <v>46280</v>
      </c>
      <c r="V992" s="39"/>
      <c r="W992" s="39"/>
      <c r="X992" s="39"/>
      <c r="Y992" s="39">
        <f>34+134+373</f>
        <v>541</v>
      </c>
      <c r="Z992" s="39">
        <v>44</v>
      </c>
      <c r="AA992" s="39"/>
      <c r="AB992" s="118">
        <f t="shared" si="602"/>
        <v>585</v>
      </c>
      <c r="AC992" s="39"/>
      <c r="AD992" s="39"/>
      <c r="AE992" s="39"/>
      <c r="AF992" s="39"/>
      <c r="AG992" s="39"/>
      <c r="AH992" s="39">
        <f t="shared" si="557"/>
        <v>0</v>
      </c>
      <c r="AI992" s="39"/>
      <c r="AJ992" s="39"/>
      <c r="AK992" s="39"/>
      <c r="AL992" s="39"/>
      <c r="AM992" s="39"/>
      <c r="AN992" s="39">
        <f t="shared" si="599"/>
        <v>0</v>
      </c>
      <c r="AO992" s="39"/>
      <c r="AP992" s="39"/>
      <c r="AQ992" s="39"/>
      <c r="AR992" s="39"/>
      <c r="AS992" s="39"/>
      <c r="AT992" s="39">
        <f t="shared" si="539"/>
        <v>0</v>
      </c>
      <c r="AU992" s="39"/>
      <c r="AV992" s="39"/>
      <c r="AW992" s="39"/>
      <c r="AX992" s="39"/>
      <c r="AY992" s="39"/>
      <c r="AZ992" s="39">
        <f t="shared" si="540"/>
        <v>0</v>
      </c>
      <c r="BA992" s="39"/>
      <c r="BB992" s="39"/>
      <c r="BC992" s="39"/>
      <c r="BD992" s="39"/>
      <c r="BE992" s="39"/>
      <c r="BF992" s="39">
        <f t="shared" si="541"/>
        <v>0</v>
      </c>
      <c r="BG992" s="39"/>
      <c r="BH992" s="39"/>
      <c r="BI992" s="39"/>
      <c r="BJ992" s="39"/>
      <c r="BK992" s="39"/>
      <c r="BL992" s="39">
        <f t="shared" si="558"/>
        <v>0</v>
      </c>
      <c r="BM992" s="54">
        <f t="shared" ca="1" si="542"/>
        <v>3</v>
      </c>
      <c r="BN992" s="56">
        <v>46269</v>
      </c>
      <c r="BO992" s="117">
        <v>46275</v>
      </c>
      <c r="BP992" s="39"/>
      <c r="BQ992" s="39"/>
      <c r="BR992" s="117">
        <v>46281</v>
      </c>
      <c r="BS992" s="39"/>
      <c r="BT992" s="39">
        <v>908</v>
      </c>
      <c r="BU992" s="39">
        <f>128+32+303</f>
        <v>463</v>
      </c>
      <c r="BV992" s="39">
        <v>908</v>
      </c>
      <c r="BW992" s="39">
        <v>41</v>
      </c>
      <c r="BX992" s="39"/>
      <c r="BY992" s="39"/>
      <c r="BZ992" s="39">
        <f t="shared" si="559"/>
        <v>504</v>
      </c>
      <c r="CA992" s="39">
        <f>BU992-I992</f>
        <v>-67</v>
      </c>
      <c r="CB992" s="39">
        <f>BW992-J992</f>
        <v>2</v>
      </c>
      <c r="CC992" s="39">
        <f>BY992-K992</f>
        <v>0</v>
      </c>
      <c r="CD992" s="39">
        <f t="shared" si="560"/>
        <v>-67</v>
      </c>
      <c r="CE992" s="102">
        <f>CD992/L992</f>
        <v>-0.11775043936731107</v>
      </c>
      <c r="CF992" s="36"/>
      <c r="CG992" s="39" t="s">
        <v>236</v>
      </c>
      <c r="CH992" s="39" t="s">
        <v>560</v>
      </c>
      <c r="CI992" s="25">
        <v>1</v>
      </c>
    </row>
    <row r="993" spans="1:87" ht="24.75" customHeight="1">
      <c r="A993" s="36" t="s">
        <v>85</v>
      </c>
      <c r="B993" s="55" t="s">
        <v>2173</v>
      </c>
      <c r="C993" s="228"/>
      <c r="D993" s="36" t="s">
        <v>24</v>
      </c>
      <c r="E993" s="39">
        <v>200</v>
      </c>
      <c r="F993" s="39" t="s">
        <v>2749</v>
      </c>
      <c r="G993" s="36" t="s">
        <v>2086</v>
      </c>
      <c r="H993" s="36" t="s">
        <v>96</v>
      </c>
      <c r="I993" s="39">
        <f>731+15</f>
        <v>746</v>
      </c>
      <c r="J993" s="39">
        <f>60-5</f>
        <v>55</v>
      </c>
      <c r="K993" s="39"/>
      <c r="L993" s="39">
        <f t="shared" si="600"/>
        <v>801</v>
      </c>
      <c r="M993" s="117">
        <v>46265</v>
      </c>
      <c r="N993" s="117">
        <v>46272</v>
      </c>
      <c r="O993" s="39"/>
      <c r="P993" s="39"/>
      <c r="Q993" s="39"/>
      <c r="R993" s="39">
        <f t="shared" si="601"/>
        <v>0</v>
      </c>
      <c r="S993" s="39" t="s">
        <v>130</v>
      </c>
      <c r="T993" s="39"/>
      <c r="U993" s="39"/>
      <c r="V993" s="39"/>
      <c r="W993" s="39"/>
      <c r="X993" s="39"/>
      <c r="Y993" s="39"/>
      <c r="Z993" s="39"/>
      <c r="AA993" s="39"/>
      <c r="AB993" s="118">
        <f t="shared" si="602"/>
        <v>0</v>
      </c>
      <c r="AC993" s="39"/>
      <c r="AD993" s="39"/>
      <c r="AE993" s="39"/>
      <c r="AF993" s="39"/>
      <c r="AG993" s="39"/>
      <c r="AH993" s="39">
        <f t="shared" si="557"/>
        <v>0</v>
      </c>
      <c r="AI993" s="39"/>
      <c r="AJ993" s="39"/>
      <c r="AK993" s="39"/>
      <c r="AL993" s="39"/>
      <c r="AM993" s="39"/>
      <c r="AN993" s="39">
        <f t="shared" si="599"/>
        <v>0</v>
      </c>
      <c r="AO993" s="39"/>
      <c r="AP993" s="39"/>
      <c r="AQ993" s="39"/>
      <c r="AR993" s="39"/>
      <c r="AS993" s="39"/>
      <c r="AT993" s="39">
        <f t="shared" si="539"/>
        <v>0</v>
      </c>
      <c r="AU993" s="39"/>
      <c r="AV993" s="39"/>
      <c r="AW993" s="39"/>
      <c r="AX993" s="39"/>
      <c r="AY993" s="39"/>
      <c r="AZ993" s="39">
        <f t="shared" si="540"/>
        <v>0</v>
      </c>
      <c r="BA993" s="39"/>
      <c r="BB993" s="39"/>
      <c r="BC993" s="39"/>
      <c r="BD993" s="39"/>
      <c r="BE993" s="39"/>
      <c r="BF993" s="39">
        <f t="shared" si="541"/>
        <v>0</v>
      </c>
      <c r="BG993" s="39"/>
      <c r="BH993" s="39"/>
      <c r="BI993" s="39"/>
      <c r="BJ993" s="39"/>
      <c r="BK993" s="39"/>
      <c r="BL993" s="39">
        <f t="shared" si="558"/>
        <v>0</v>
      </c>
      <c r="BM993" s="54">
        <f t="shared" ca="1" si="542"/>
        <v>46283</v>
      </c>
      <c r="BN993" s="56">
        <v>46269</v>
      </c>
      <c r="BO993" s="117">
        <v>46275</v>
      </c>
      <c r="BP993" s="39"/>
      <c r="BQ993" s="39"/>
      <c r="BR993" s="39"/>
      <c r="BS993" s="39"/>
      <c r="BT993" s="39"/>
      <c r="BU993" s="39"/>
      <c r="BV993" s="39"/>
      <c r="BW993" s="39"/>
      <c r="BX993" s="39"/>
      <c r="BY993" s="39"/>
      <c r="BZ993" s="39">
        <f t="shared" si="559"/>
        <v>0</v>
      </c>
      <c r="CA993" s="39">
        <f t="shared" ref="CA993:CA1002" si="603">BU993-I993</f>
        <v>-746</v>
      </c>
      <c r="CB993" s="39">
        <f t="shared" ref="CB993:CB1002" si="604">BW993-J993</f>
        <v>-55</v>
      </c>
      <c r="CC993" s="39">
        <f t="shared" ref="CC993:CC1002" si="605">BY993-K993</f>
        <v>0</v>
      </c>
      <c r="CD993" s="39">
        <f t="shared" si="560"/>
        <v>-801</v>
      </c>
      <c r="CE993" s="102">
        <f t="shared" ref="CE993:CE1002" si="606">CD993/L993</f>
        <v>-1</v>
      </c>
      <c r="CF993" s="36"/>
      <c r="CG993" s="39" t="s">
        <v>236</v>
      </c>
      <c r="CH993" s="39"/>
      <c r="CI993" s="25">
        <v>1</v>
      </c>
    </row>
    <row r="994" spans="1:87" ht="24.75" customHeight="1">
      <c r="A994" s="36" t="s">
        <v>85</v>
      </c>
      <c r="B994" s="131">
        <v>48552</v>
      </c>
      <c r="C994" s="253" t="s">
        <v>2300</v>
      </c>
      <c r="D994" s="36" t="s">
        <v>37</v>
      </c>
      <c r="E994" s="39">
        <v>180</v>
      </c>
      <c r="F994" s="39" t="s">
        <v>53</v>
      </c>
      <c r="G994" s="36" t="s">
        <v>2222</v>
      </c>
      <c r="H994" s="36" t="s">
        <v>87</v>
      </c>
      <c r="I994" s="39">
        <f>905-36</f>
        <v>869</v>
      </c>
      <c r="J994" s="39"/>
      <c r="K994" s="39"/>
      <c r="L994" s="39">
        <f t="shared" si="600"/>
        <v>869</v>
      </c>
      <c r="M994" s="117">
        <v>46246</v>
      </c>
      <c r="N994" s="117">
        <v>46252</v>
      </c>
      <c r="O994" s="39"/>
      <c r="P994" s="39"/>
      <c r="Q994" s="39"/>
      <c r="R994" s="39">
        <f t="shared" ref="R994:R997" si="607">SUM(O994:Q994)</f>
        <v>0</v>
      </c>
      <c r="S994" s="39" t="s">
        <v>130</v>
      </c>
      <c r="T994" s="39">
        <v>109201</v>
      </c>
      <c r="U994" s="117">
        <v>46271</v>
      </c>
      <c r="V994" s="39"/>
      <c r="W994" s="39"/>
      <c r="X994" s="39"/>
      <c r="Y994" s="39">
        <f>558</f>
        <v>558</v>
      </c>
      <c r="Z994" s="39"/>
      <c r="AA994" s="39"/>
      <c r="AB994" s="118">
        <f t="shared" si="602"/>
        <v>558</v>
      </c>
      <c r="AC994" s="39" t="s">
        <v>2922</v>
      </c>
      <c r="AD994" s="117">
        <v>46272</v>
      </c>
      <c r="AE994" s="39">
        <f>394+486</f>
        <v>880</v>
      </c>
      <c r="AF994" s="39"/>
      <c r="AG994" s="39"/>
      <c r="AH994" s="39">
        <f t="shared" si="557"/>
        <v>-880</v>
      </c>
      <c r="AI994" s="39"/>
      <c r="AJ994" s="39"/>
      <c r="AK994" s="39"/>
      <c r="AL994" s="39"/>
      <c r="AM994" s="39"/>
      <c r="AN994" s="39">
        <f t="shared" si="599"/>
        <v>0</v>
      </c>
      <c r="AO994" s="39"/>
      <c r="AP994" s="39"/>
      <c r="AQ994" s="39"/>
      <c r="AR994" s="39"/>
      <c r="AS994" s="39"/>
      <c r="AT994" s="39">
        <f t="shared" si="539"/>
        <v>0</v>
      </c>
      <c r="AU994" s="39"/>
      <c r="AV994" s="39"/>
      <c r="AW994" s="39"/>
      <c r="AX994" s="39"/>
      <c r="AY994" s="39"/>
      <c r="AZ994" s="39">
        <f t="shared" si="540"/>
        <v>0</v>
      </c>
      <c r="BA994" s="39"/>
      <c r="BB994" s="39"/>
      <c r="BC994" s="39"/>
      <c r="BD994" s="39"/>
      <c r="BE994" s="39"/>
      <c r="BF994" s="39">
        <f t="shared" si="541"/>
        <v>0</v>
      </c>
      <c r="BG994" s="39"/>
      <c r="BH994" s="39"/>
      <c r="BI994" s="39"/>
      <c r="BJ994" s="39"/>
      <c r="BK994" s="39"/>
      <c r="BL994" s="39">
        <f t="shared" si="558"/>
        <v>0</v>
      </c>
      <c r="BM994" s="54">
        <f t="shared" ca="1" si="542"/>
        <v>12</v>
      </c>
      <c r="BN994" s="56">
        <v>46254</v>
      </c>
      <c r="BO994" s="117">
        <v>46268</v>
      </c>
      <c r="BP994" s="117">
        <v>46268</v>
      </c>
      <c r="BQ994" s="117">
        <v>46274</v>
      </c>
      <c r="BR994" s="117">
        <v>46279</v>
      </c>
      <c r="BS994" s="39"/>
      <c r="BT994" s="39">
        <v>798</v>
      </c>
      <c r="BU994" s="39">
        <f>100</f>
        <v>100</v>
      </c>
      <c r="BV994" s="39"/>
      <c r="BW994" s="39"/>
      <c r="BX994" s="39"/>
      <c r="BY994" s="39"/>
      <c r="BZ994" s="39">
        <f t="shared" si="559"/>
        <v>100</v>
      </c>
      <c r="CA994" s="39">
        <f t="shared" si="603"/>
        <v>-769</v>
      </c>
      <c r="CB994" s="39">
        <f t="shared" si="604"/>
        <v>0</v>
      </c>
      <c r="CC994" s="39">
        <f t="shared" si="605"/>
        <v>0</v>
      </c>
      <c r="CD994" s="39">
        <f t="shared" si="560"/>
        <v>-769</v>
      </c>
      <c r="CE994" s="102">
        <f t="shared" si="606"/>
        <v>-0.88492520138089759</v>
      </c>
      <c r="CF994" s="36"/>
      <c r="CG994" s="39" t="s">
        <v>236</v>
      </c>
      <c r="CH994" s="39"/>
      <c r="CI994" s="25">
        <v>1</v>
      </c>
    </row>
    <row r="995" spans="1:87" ht="24.75" customHeight="1">
      <c r="A995" s="36" t="s">
        <v>85</v>
      </c>
      <c r="B995" s="131">
        <v>48552</v>
      </c>
      <c r="C995" s="266"/>
      <c r="D995" s="36"/>
      <c r="E995" s="39">
        <v>180</v>
      </c>
      <c r="F995" s="39" t="s">
        <v>53</v>
      </c>
      <c r="G995" s="36" t="s">
        <v>2223</v>
      </c>
      <c r="H995" s="36" t="s">
        <v>87</v>
      </c>
      <c r="I995" s="39">
        <f>408-14</f>
        <v>394</v>
      </c>
      <c r="J995" s="39"/>
      <c r="K995" s="39"/>
      <c r="L995" s="39">
        <f t="shared" si="600"/>
        <v>394</v>
      </c>
      <c r="M995" s="117">
        <v>46246</v>
      </c>
      <c r="N995" s="117">
        <v>46252</v>
      </c>
      <c r="O995" s="39"/>
      <c r="P995" s="39"/>
      <c r="Q995" s="39"/>
      <c r="R995" s="39">
        <f t="shared" si="607"/>
        <v>0</v>
      </c>
      <c r="S995" s="39" t="s">
        <v>130</v>
      </c>
      <c r="T995" s="39">
        <v>109196</v>
      </c>
      <c r="U995" s="117">
        <v>46270</v>
      </c>
      <c r="V995" s="39"/>
      <c r="W995" s="39"/>
      <c r="X995" s="39"/>
      <c r="Y995" s="39">
        <v>456</v>
      </c>
      <c r="Z995" s="39"/>
      <c r="AA995" s="39"/>
      <c r="AB995" s="119">
        <f t="shared" si="602"/>
        <v>456</v>
      </c>
      <c r="AC995" s="39"/>
      <c r="AD995" s="39"/>
      <c r="AE995" s="39"/>
      <c r="AF995" s="39"/>
      <c r="AG995" s="39"/>
      <c r="AH995" s="39">
        <f t="shared" si="557"/>
        <v>0</v>
      </c>
      <c r="AI995" s="39"/>
      <c r="AJ995" s="39"/>
      <c r="AK995" s="39"/>
      <c r="AL995" s="39"/>
      <c r="AM995" s="39"/>
      <c r="AN995" s="39">
        <f t="shared" si="599"/>
        <v>0</v>
      </c>
      <c r="AO995" s="39"/>
      <c r="AP995" s="39"/>
      <c r="AQ995" s="39"/>
      <c r="AR995" s="39"/>
      <c r="AS995" s="39"/>
      <c r="AT995" s="39">
        <f t="shared" si="539"/>
        <v>0</v>
      </c>
      <c r="AU995" s="39"/>
      <c r="AV995" s="39"/>
      <c r="AW995" s="39"/>
      <c r="AX995" s="39"/>
      <c r="AY995" s="39"/>
      <c r="AZ995" s="39">
        <f t="shared" si="540"/>
        <v>0</v>
      </c>
      <c r="BA995" s="39"/>
      <c r="BB995" s="39"/>
      <c r="BC995" s="39"/>
      <c r="BD995" s="39"/>
      <c r="BE995" s="39"/>
      <c r="BF995" s="39">
        <f t="shared" si="541"/>
        <v>0</v>
      </c>
      <c r="BG995" s="39"/>
      <c r="BH995" s="39"/>
      <c r="BI995" s="39"/>
      <c r="BJ995" s="39"/>
      <c r="BK995" s="39"/>
      <c r="BL995" s="39">
        <f t="shared" si="558"/>
        <v>0</v>
      </c>
      <c r="BM995" s="54">
        <f t="shared" ca="1" si="542"/>
        <v>13</v>
      </c>
      <c r="BN995" s="56">
        <v>46254</v>
      </c>
      <c r="BO995" s="117">
        <v>46268</v>
      </c>
      <c r="BP995" s="117"/>
      <c r="BQ995" s="117"/>
      <c r="BR995" s="39"/>
      <c r="BS995" s="39"/>
      <c r="BT995" s="39"/>
      <c r="BU995" s="39"/>
      <c r="BV995" s="39"/>
      <c r="BW995" s="39"/>
      <c r="BX995" s="39"/>
      <c r="BY995" s="39"/>
      <c r="BZ995" s="39">
        <f t="shared" si="559"/>
        <v>0</v>
      </c>
      <c r="CA995" s="39">
        <f t="shared" si="603"/>
        <v>-394</v>
      </c>
      <c r="CB995" s="39">
        <f t="shared" si="604"/>
        <v>0</v>
      </c>
      <c r="CC995" s="39">
        <f t="shared" si="605"/>
        <v>0</v>
      </c>
      <c r="CD995" s="39">
        <f t="shared" si="560"/>
        <v>-394</v>
      </c>
      <c r="CE995" s="102">
        <f t="shared" si="606"/>
        <v>-1</v>
      </c>
      <c r="CF995" s="36"/>
      <c r="CG995" s="39" t="s">
        <v>236</v>
      </c>
      <c r="CH995" s="39"/>
      <c r="CI995" s="25">
        <v>1</v>
      </c>
    </row>
    <row r="996" spans="1:87" ht="24.75" customHeight="1">
      <c r="A996" s="36" t="s">
        <v>85</v>
      </c>
      <c r="B996" s="131">
        <v>48552</v>
      </c>
      <c r="C996" s="266"/>
      <c r="D996" s="36" t="s">
        <v>37</v>
      </c>
      <c r="E996" s="39">
        <v>180</v>
      </c>
      <c r="F996" s="39" t="s">
        <v>59</v>
      </c>
      <c r="G996" s="36" t="s">
        <v>99</v>
      </c>
      <c r="H996" s="36" t="s">
        <v>87</v>
      </c>
      <c r="I996" s="39">
        <f>211-13</f>
        <v>198</v>
      </c>
      <c r="J996" s="39"/>
      <c r="K996" s="39"/>
      <c r="L996" s="39">
        <f t="shared" si="600"/>
        <v>198</v>
      </c>
      <c r="M996" s="117">
        <v>46246</v>
      </c>
      <c r="N996" s="117">
        <v>46252</v>
      </c>
      <c r="O996" s="39"/>
      <c r="P996" s="39"/>
      <c r="Q996" s="39"/>
      <c r="R996" s="39">
        <f t="shared" si="607"/>
        <v>0</v>
      </c>
      <c r="S996" s="39" t="s">
        <v>130</v>
      </c>
      <c r="T996" s="39">
        <v>109111</v>
      </c>
      <c r="U996" s="117">
        <v>46266</v>
      </c>
      <c r="V996" s="39"/>
      <c r="W996" s="39"/>
      <c r="X996" s="39"/>
      <c r="Y996" s="39">
        <v>240</v>
      </c>
      <c r="Z996" s="39"/>
      <c r="AA996" s="39"/>
      <c r="AB996" s="119">
        <f t="shared" si="602"/>
        <v>240</v>
      </c>
      <c r="AC996" s="39" t="s">
        <v>269</v>
      </c>
      <c r="AD996" s="117">
        <v>46272</v>
      </c>
      <c r="AE996" s="39">
        <v>201</v>
      </c>
      <c r="AF996" s="39"/>
      <c r="AG996" s="39"/>
      <c r="AH996" s="39">
        <f t="shared" si="557"/>
        <v>-201</v>
      </c>
      <c r="AI996" s="39"/>
      <c r="AJ996" s="39"/>
      <c r="AK996" s="39"/>
      <c r="AL996" s="39"/>
      <c r="AM996" s="39"/>
      <c r="AN996" s="39">
        <f t="shared" si="599"/>
        <v>0</v>
      </c>
      <c r="AO996" s="39"/>
      <c r="AP996" s="39"/>
      <c r="AQ996" s="39"/>
      <c r="AR996" s="39"/>
      <c r="AS996" s="39"/>
      <c r="AT996" s="39">
        <f t="shared" si="539"/>
        <v>0</v>
      </c>
      <c r="AU996" s="39"/>
      <c r="AV996" s="39"/>
      <c r="AW996" s="39"/>
      <c r="AX996" s="39"/>
      <c r="AY996" s="39"/>
      <c r="AZ996" s="39">
        <f t="shared" si="540"/>
        <v>0</v>
      </c>
      <c r="BA996" s="39"/>
      <c r="BB996" s="39"/>
      <c r="BC996" s="39"/>
      <c r="BD996" s="39"/>
      <c r="BE996" s="39"/>
      <c r="BF996" s="39">
        <f t="shared" si="541"/>
        <v>0</v>
      </c>
      <c r="BG996" s="39"/>
      <c r="BH996" s="39"/>
      <c r="BI996" s="39"/>
      <c r="BJ996" s="39"/>
      <c r="BK996" s="39"/>
      <c r="BL996" s="39">
        <f t="shared" si="558"/>
        <v>0</v>
      </c>
      <c r="BM996" s="54">
        <f t="shared" ca="1" si="542"/>
        <v>17</v>
      </c>
      <c r="BN996" s="56">
        <v>46254</v>
      </c>
      <c r="BO996" s="117">
        <v>46268</v>
      </c>
      <c r="BP996" s="117">
        <v>46268</v>
      </c>
      <c r="BQ996" s="117">
        <v>46274</v>
      </c>
      <c r="BR996" s="39"/>
      <c r="BS996" s="39"/>
      <c r="BT996" s="39"/>
      <c r="BU996" s="39"/>
      <c r="BV996" s="39"/>
      <c r="BW996" s="39"/>
      <c r="BX996" s="39"/>
      <c r="BY996" s="39"/>
      <c r="BZ996" s="39">
        <f t="shared" si="559"/>
        <v>0</v>
      </c>
      <c r="CA996" s="39">
        <f>BU996-I996</f>
        <v>-198</v>
      </c>
      <c r="CB996" s="39">
        <f>BW996-J996</f>
        <v>0</v>
      </c>
      <c r="CC996" s="39">
        <f>BY996-K996</f>
        <v>0</v>
      </c>
      <c r="CD996" s="39">
        <f t="shared" si="560"/>
        <v>-198</v>
      </c>
      <c r="CE996" s="102">
        <f>CD996/L996</f>
        <v>-1</v>
      </c>
      <c r="CF996" s="36"/>
      <c r="CG996" s="39" t="s">
        <v>236</v>
      </c>
      <c r="CH996" s="39"/>
      <c r="CI996" s="25">
        <v>1</v>
      </c>
    </row>
    <row r="997" spans="1:87" ht="24.75" customHeight="1">
      <c r="A997" s="36" t="s">
        <v>85</v>
      </c>
      <c r="B997" s="131">
        <v>48552</v>
      </c>
      <c r="C997" s="254"/>
      <c r="D997" s="36"/>
      <c r="E997" s="39">
        <v>180</v>
      </c>
      <c r="F997" s="39" t="s">
        <v>57</v>
      </c>
      <c r="G997" s="36" t="s">
        <v>2224</v>
      </c>
      <c r="H997" s="36" t="s">
        <v>87</v>
      </c>
      <c r="I997" s="39">
        <f>97-6</f>
        <v>91</v>
      </c>
      <c r="J997" s="39"/>
      <c r="K997" s="39"/>
      <c r="L997" s="39">
        <f t="shared" si="600"/>
        <v>91</v>
      </c>
      <c r="M997" s="117">
        <v>46246</v>
      </c>
      <c r="N997" s="117">
        <v>46252</v>
      </c>
      <c r="O997" s="39"/>
      <c r="P997" s="39"/>
      <c r="Q997" s="39"/>
      <c r="R997" s="39">
        <f t="shared" si="607"/>
        <v>0</v>
      </c>
      <c r="S997" s="39" t="s">
        <v>130</v>
      </c>
      <c r="T997" s="39">
        <v>109229</v>
      </c>
      <c r="U997" s="117">
        <v>46272</v>
      </c>
      <c r="V997" s="39"/>
      <c r="W997" s="39"/>
      <c r="X997" s="39"/>
      <c r="Y997" s="39">
        <v>115</v>
      </c>
      <c r="Z997" s="39"/>
      <c r="AA997" s="39"/>
      <c r="AB997" s="119">
        <f t="shared" si="602"/>
        <v>115</v>
      </c>
      <c r="AC997" s="39"/>
      <c r="AD997" s="39"/>
      <c r="AE997" s="39"/>
      <c r="AF997" s="39"/>
      <c r="AG997" s="39"/>
      <c r="AH997" s="39">
        <f t="shared" si="557"/>
        <v>0</v>
      </c>
      <c r="AI997" s="39"/>
      <c r="AJ997" s="39"/>
      <c r="AK997" s="39"/>
      <c r="AL997" s="39"/>
      <c r="AM997" s="39"/>
      <c r="AN997" s="39">
        <f t="shared" si="599"/>
        <v>0</v>
      </c>
      <c r="AO997" s="39"/>
      <c r="AP997" s="39"/>
      <c r="AQ997" s="39"/>
      <c r="AR997" s="39"/>
      <c r="AS997" s="39"/>
      <c r="AT997" s="39">
        <f t="shared" si="539"/>
        <v>0</v>
      </c>
      <c r="AU997" s="39"/>
      <c r="AV997" s="39"/>
      <c r="AW997" s="39"/>
      <c r="AX997" s="39"/>
      <c r="AY997" s="39"/>
      <c r="AZ997" s="39">
        <f t="shared" si="540"/>
        <v>0</v>
      </c>
      <c r="BA997" s="39"/>
      <c r="BB997" s="39"/>
      <c r="BC997" s="39"/>
      <c r="BD997" s="39"/>
      <c r="BE997" s="39"/>
      <c r="BF997" s="39">
        <f t="shared" si="541"/>
        <v>0</v>
      </c>
      <c r="BG997" s="39"/>
      <c r="BH997" s="39"/>
      <c r="BI997" s="39"/>
      <c r="BJ997" s="39"/>
      <c r="BK997" s="39"/>
      <c r="BL997" s="39">
        <f t="shared" si="558"/>
        <v>0</v>
      </c>
      <c r="BM997" s="54">
        <f t="shared" ca="1" si="542"/>
        <v>11</v>
      </c>
      <c r="BN997" s="56">
        <v>46254</v>
      </c>
      <c r="BO997" s="117">
        <v>46268</v>
      </c>
      <c r="BP997" s="117"/>
      <c r="BQ997" s="117"/>
      <c r="BR997" s="39"/>
      <c r="BS997" s="39"/>
      <c r="BT997" s="39"/>
      <c r="BU997" s="39"/>
      <c r="BV997" s="39"/>
      <c r="BW997" s="39"/>
      <c r="BX997" s="39"/>
      <c r="BY997" s="39"/>
      <c r="BZ997" s="39">
        <f t="shared" si="559"/>
        <v>0</v>
      </c>
      <c r="CA997" s="39">
        <f t="shared" ref="CA997:CA998" si="608">BU997-I997</f>
        <v>-91</v>
      </c>
      <c r="CB997" s="39">
        <f t="shared" ref="CB997:CB998" si="609">BW997-J997</f>
        <v>0</v>
      </c>
      <c r="CC997" s="39">
        <f t="shared" ref="CC997:CC998" si="610">BY997-K997</f>
        <v>0</v>
      </c>
      <c r="CD997" s="39">
        <f t="shared" si="560"/>
        <v>-91</v>
      </c>
      <c r="CE997" s="102">
        <f t="shared" ref="CE997:CE998" si="611">CD997/L997</f>
        <v>-1</v>
      </c>
      <c r="CF997" s="36"/>
      <c r="CG997" s="39" t="s">
        <v>236</v>
      </c>
      <c r="CH997" s="39"/>
      <c r="CI997" s="25">
        <v>1</v>
      </c>
    </row>
    <row r="998" spans="1:87" ht="24.75" customHeight="1">
      <c r="A998" s="36" t="s">
        <v>85</v>
      </c>
      <c r="B998" s="131" t="s">
        <v>2221</v>
      </c>
      <c r="C998" s="227" t="s">
        <v>2301</v>
      </c>
      <c r="D998" s="36" t="s">
        <v>37</v>
      </c>
      <c r="E998" s="39">
        <v>180</v>
      </c>
      <c r="F998" s="39" t="s">
        <v>53</v>
      </c>
      <c r="G998" s="36" t="s">
        <v>99</v>
      </c>
      <c r="H998" s="36" t="s">
        <v>87</v>
      </c>
      <c r="I998" s="39">
        <f>429-15</f>
        <v>414</v>
      </c>
      <c r="J998" s="39"/>
      <c r="K998" s="39"/>
      <c r="L998" s="39">
        <f t="shared" ref="L998:L999" si="612">SUM(I998:K998)</f>
        <v>414</v>
      </c>
      <c r="M998" s="117">
        <v>46249</v>
      </c>
      <c r="N998" s="117">
        <v>46254</v>
      </c>
      <c r="O998" s="39"/>
      <c r="P998" s="39"/>
      <c r="Q998" s="39"/>
      <c r="R998" s="39">
        <f t="shared" ref="R998:R999" si="613">SUM(O998:Q998)</f>
        <v>0</v>
      </c>
      <c r="S998" s="39" t="s">
        <v>130</v>
      </c>
      <c r="T998" s="39">
        <v>109110</v>
      </c>
      <c r="U998" s="117">
        <v>46266</v>
      </c>
      <c r="V998" s="39"/>
      <c r="W998" s="39"/>
      <c r="X998" s="39"/>
      <c r="Y998" s="39">
        <v>477</v>
      </c>
      <c r="Z998" s="39"/>
      <c r="AA998" s="39"/>
      <c r="AB998" s="119">
        <f t="shared" si="602"/>
        <v>477</v>
      </c>
      <c r="AC998" s="39" t="s">
        <v>269</v>
      </c>
      <c r="AD998" s="117">
        <v>46241</v>
      </c>
      <c r="AE998" s="39">
        <v>421</v>
      </c>
      <c r="AF998" s="39"/>
      <c r="AG998" s="39"/>
      <c r="AH998" s="39">
        <f t="shared" si="557"/>
        <v>-421</v>
      </c>
      <c r="AI998" s="39"/>
      <c r="AJ998" s="39"/>
      <c r="AK998" s="39"/>
      <c r="AL998" s="39"/>
      <c r="AM998" s="39"/>
      <c r="AN998" s="39">
        <f t="shared" si="599"/>
        <v>0</v>
      </c>
      <c r="AO998" s="39"/>
      <c r="AP998" s="39"/>
      <c r="AQ998" s="39"/>
      <c r="AR998" s="39"/>
      <c r="AS998" s="39"/>
      <c r="AT998" s="39">
        <f t="shared" si="539"/>
        <v>0</v>
      </c>
      <c r="AU998" s="39"/>
      <c r="AV998" s="39"/>
      <c r="AW998" s="39"/>
      <c r="AX998" s="39"/>
      <c r="AY998" s="39"/>
      <c r="AZ998" s="39">
        <f t="shared" si="540"/>
        <v>0</v>
      </c>
      <c r="BA998" s="39"/>
      <c r="BB998" s="39"/>
      <c r="BC998" s="39"/>
      <c r="BD998" s="39"/>
      <c r="BE998" s="39"/>
      <c r="BF998" s="39">
        <f t="shared" si="541"/>
        <v>0</v>
      </c>
      <c r="BG998" s="39"/>
      <c r="BH998" s="39"/>
      <c r="BI998" s="39"/>
      <c r="BJ998" s="39"/>
      <c r="BK998" s="39"/>
      <c r="BL998" s="39">
        <f t="shared" si="558"/>
        <v>0</v>
      </c>
      <c r="BM998" s="54">
        <f t="shared" ca="1" si="542"/>
        <v>17</v>
      </c>
      <c r="BN998" s="56">
        <v>46256</v>
      </c>
      <c r="BO998" s="117">
        <v>46266</v>
      </c>
      <c r="BP998" s="117">
        <v>46267</v>
      </c>
      <c r="BQ998" s="117">
        <v>46273</v>
      </c>
      <c r="BR998" s="39"/>
      <c r="BS998" s="39"/>
      <c r="BT998" s="39"/>
      <c r="BU998" s="39"/>
      <c r="BV998" s="39"/>
      <c r="BW998" s="39"/>
      <c r="BX998" s="39"/>
      <c r="BY998" s="39"/>
      <c r="BZ998" s="39">
        <f t="shared" si="559"/>
        <v>0</v>
      </c>
      <c r="CA998" s="39">
        <f t="shared" si="608"/>
        <v>-414</v>
      </c>
      <c r="CB998" s="39">
        <f t="shared" si="609"/>
        <v>0</v>
      </c>
      <c r="CC998" s="39">
        <f t="shared" si="610"/>
        <v>0</v>
      </c>
      <c r="CD998" s="39">
        <f t="shared" si="560"/>
        <v>-414</v>
      </c>
      <c r="CE998" s="102">
        <f t="shared" si="611"/>
        <v>-1</v>
      </c>
      <c r="CF998" s="36"/>
      <c r="CG998" s="39" t="s">
        <v>236</v>
      </c>
      <c r="CH998" s="39"/>
      <c r="CI998" s="25">
        <v>1</v>
      </c>
    </row>
    <row r="999" spans="1:87" ht="24.75" customHeight="1">
      <c r="A999" s="36" t="s">
        <v>85</v>
      </c>
      <c r="B999" s="131" t="s">
        <v>2221</v>
      </c>
      <c r="C999" s="228"/>
      <c r="D999" s="36" t="s">
        <v>37</v>
      </c>
      <c r="E999" s="39">
        <v>180</v>
      </c>
      <c r="F999" s="39" t="s">
        <v>53</v>
      </c>
      <c r="G999" s="36" t="s">
        <v>2772</v>
      </c>
      <c r="H999" s="36" t="s">
        <v>87</v>
      </c>
      <c r="I999" s="39">
        <f>191-10</f>
        <v>181</v>
      </c>
      <c r="J999" s="39"/>
      <c r="K999" s="39"/>
      <c r="L999" s="39">
        <f t="shared" si="612"/>
        <v>181</v>
      </c>
      <c r="M999" s="117">
        <v>46249</v>
      </c>
      <c r="N999" s="117">
        <v>46254</v>
      </c>
      <c r="O999" s="39"/>
      <c r="P999" s="39"/>
      <c r="Q999" s="39"/>
      <c r="R999" s="39">
        <f t="shared" si="613"/>
        <v>0</v>
      </c>
      <c r="S999" s="39" t="s">
        <v>130</v>
      </c>
      <c r="T999" s="39">
        <v>109283</v>
      </c>
      <c r="U999" s="117">
        <v>46273</v>
      </c>
      <c r="V999" s="39"/>
      <c r="W999" s="39"/>
      <c r="X999" s="39"/>
      <c r="Y999" s="39">
        <v>229</v>
      </c>
      <c r="Z999" s="39"/>
      <c r="AA999" s="39"/>
      <c r="AB999" s="119">
        <f t="shared" si="602"/>
        <v>229</v>
      </c>
      <c r="AC999" s="39" t="s">
        <v>269</v>
      </c>
      <c r="AD999" s="117">
        <v>46276</v>
      </c>
      <c r="AE999" s="39">
        <v>186</v>
      </c>
      <c r="AF999" s="117">
        <v>46281</v>
      </c>
      <c r="AG999" s="39">
        <v>188</v>
      </c>
      <c r="AH999" s="39">
        <f t="shared" si="557"/>
        <v>2</v>
      </c>
      <c r="AI999" s="39"/>
      <c r="AJ999" s="39"/>
      <c r="AK999" s="39"/>
      <c r="AL999" s="39"/>
      <c r="AM999" s="39"/>
      <c r="AN999" s="39">
        <f t="shared" si="599"/>
        <v>0</v>
      </c>
      <c r="AO999" s="39"/>
      <c r="AP999" s="39"/>
      <c r="AQ999" s="39"/>
      <c r="AR999" s="39"/>
      <c r="AS999" s="39"/>
      <c r="AT999" s="39">
        <f t="shared" si="539"/>
        <v>0</v>
      </c>
      <c r="AU999" s="39"/>
      <c r="AV999" s="39"/>
      <c r="AW999" s="39"/>
      <c r="AX999" s="39"/>
      <c r="AY999" s="39"/>
      <c r="AZ999" s="39">
        <f t="shared" si="540"/>
        <v>0</v>
      </c>
      <c r="BA999" s="39"/>
      <c r="BB999" s="39"/>
      <c r="BC999" s="39"/>
      <c r="BD999" s="39"/>
      <c r="BE999" s="39"/>
      <c r="BF999" s="39">
        <f t="shared" si="541"/>
        <v>0</v>
      </c>
      <c r="BG999" s="39"/>
      <c r="BH999" s="39"/>
      <c r="BI999" s="39"/>
      <c r="BJ999" s="39"/>
      <c r="BK999" s="39"/>
      <c r="BL999" s="39">
        <f t="shared" si="558"/>
        <v>0</v>
      </c>
      <c r="BM999" s="54">
        <f t="shared" ca="1" si="542"/>
        <v>10</v>
      </c>
      <c r="BN999" s="56">
        <v>46256</v>
      </c>
      <c r="BO999" s="117">
        <v>46266</v>
      </c>
      <c r="BP999" s="117">
        <v>46267</v>
      </c>
      <c r="BQ999" s="117">
        <v>46273</v>
      </c>
      <c r="BR999" s="39"/>
      <c r="BS999" s="39"/>
      <c r="BT999" s="39"/>
      <c r="BU999" s="39"/>
      <c r="BV999" s="39"/>
      <c r="BW999" s="39"/>
      <c r="BX999" s="39"/>
      <c r="BY999" s="39"/>
      <c r="BZ999" s="39">
        <f t="shared" si="559"/>
        <v>0</v>
      </c>
      <c r="CA999" s="39">
        <f>BU999-I999</f>
        <v>-181</v>
      </c>
      <c r="CB999" s="39">
        <f>BW999-J999</f>
        <v>0</v>
      </c>
      <c r="CC999" s="39">
        <f>BY999-K999</f>
        <v>0</v>
      </c>
      <c r="CD999" s="39">
        <f t="shared" si="560"/>
        <v>-181</v>
      </c>
      <c r="CE999" s="102">
        <f>CD999/L999</f>
        <v>-1</v>
      </c>
      <c r="CF999" s="36"/>
      <c r="CG999" s="39" t="s">
        <v>236</v>
      </c>
      <c r="CH999" s="39"/>
      <c r="CI999" s="25">
        <v>1</v>
      </c>
    </row>
    <row r="1000" spans="1:87" ht="24.75" customHeight="1">
      <c r="A1000" s="36" t="s">
        <v>85</v>
      </c>
      <c r="B1000" s="55" t="s">
        <v>2225</v>
      </c>
      <c r="C1000" s="227" t="s">
        <v>2226</v>
      </c>
      <c r="D1000" s="36" t="s">
        <v>24</v>
      </c>
      <c r="E1000" s="39">
        <v>180</v>
      </c>
      <c r="F1000" s="39" t="s">
        <v>58</v>
      </c>
      <c r="G1000" s="36" t="s">
        <v>2227</v>
      </c>
      <c r="H1000" s="36" t="s">
        <v>87</v>
      </c>
      <c r="I1000" s="39">
        <v>751</v>
      </c>
      <c r="J1000" s="39"/>
      <c r="K1000" s="39">
        <v>63</v>
      </c>
      <c r="L1000" s="39">
        <f t="shared" si="600"/>
        <v>814</v>
      </c>
      <c r="M1000" s="117">
        <v>46266</v>
      </c>
      <c r="N1000" s="117">
        <v>46272</v>
      </c>
      <c r="O1000" s="39"/>
      <c r="P1000" s="39"/>
      <c r="Q1000" s="39"/>
      <c r="R1000" s="39">
        <f t="shared" si="601"/>
        <v>0</v>
      </c>
      <c r="S1000" s="39" t="s">
        <v>130</v>
      </c>
      <c r="T1000" s="39"/>
      <c r="U1000" s="39"/>
      <c r="V1000" s="39"/>
      <c r="W1000" s="39"/>
      <c r="X1000" s="39"/>
      <c r="Y1000" s="39"/>
      <c r="Z1000" s="39"/>
      <c r="AA1000" s="39"/>
      <c r="AB1000" s="118">
        <f t="shared" ref="AB1000:AB1011" si="614">SUM(Y1000:AA1000)</f>
        <v>0</v>
      </c>
      <c r="AC1000" s="39"/>
      <c r="AD1000" s="39"/>
      <c r="AE1000" s="39"/>
      <c r="AF1000" s="39"/>
      <c r="AG1000" s="39"/>
      <c r="AH1000" s="39">
        <f t="shared" si="557"/>
        <v>0</v>
      </c>
      <c r="AI1000" s="39"/>
      <c r="AJ1000" s="39"/>
      <c r="AK1000" s="39"/>
      <c r="AL1000" s="39"/>
      <c r="AM1000" s="39"/>
      <c r="AN1000" s="39">
        <f t="shared" si="599"/>
        <v>0</v>
      </c>
      <c r="AO1000" s="39"/>
      <c r="AP1000" s="39"/>
      <c r="AQ1000" s="39"/>
      <c r="AR1000" s="39"/>
      <c r="AS1000" s="39"/>
      <c r="AT1000" s="39">
        <f t="shared" si="539"/>
        <v>0</v>
      </c>
      <c r="AU1000" s="39"/>
      <c r="AV1000" s="39"/>
      <c r="AW1000" s="39"/>
      <c r="AX1000" s="39"/>
      <c r="AY1000" s="39"/>
      <c r="AZ1000" s="39">
        <f t="shared" si="540"/>
        <v>0</v>
      </c>
      <c r="BA1000" s="39"/>
      <c r="BB1000" s="39"/>
      <c r="BC1000" s="39"/>
      <c r="BD1000" s="39"/>
      <c r="BE1000" s="39"/>
      <c r="BF1000" s="39">
        <f t="shared" si="541"/>
        <v>0</v>
      </c>
      <c r="BG1000" s="39"/>
      <c r="BH1000" s="39"/>
      <c r="BI1000" s="39"/>
      <c r="BJ1000" s="39"/>
      <c r="BK1000" s="39"/>
      <c r="BL1000" s="39">
        <f t="shared" si="558"/>
        <v>0</v>
      </c>
      <c r="BM1000" s="54">
        <f t="shared" ca="1" si="542"/>
        <v>46283</v>
      </c>
      <c r="BN1000" s="56">
        <v>46272</v>
      </c>
      <c r="BO1000" s="117">
        <v>46277</v>
      </c>
      <c r="BP1000" s="39"/>
      <c r="BQ1000" s="39"/>
      <c r="BR1000" s="39"/>
      <c r="BS1000" s="39"/>
      <c r="BT1000" s="39"/>
      <c r="BU1000" s="39"/>
      <c r="BV1000" s="39"/>
      <c r="BW1000" s="39"/>
      <c r="BX1000" s="39"/>
      <c r="BY1000" s="39"/>
      <c r="BZ1000" s="39">
        <f t="shared" si="559"/>
        <v>0</v>
      </c>
      <c r="CA1000" s="39">
        <f t="shared" si="603"/>
        <v>-751</v>
      </c>
      <c r="CB1000" s="39">
        <f t="shared" si="604"/>
        <v>0</v>
      </c>
      <c r="CC1000" s="39">
        <f t="shared" si="605"/>
        <v>-63</v>
      </c>
      <c r="CD1000" s="39">
        <f t="shared" si="560"/>
        <v>-814</v>
      </c>
      <c r="CE1000" s="102">
        <f t="shared" si="606"/>
        <v>-1</v>
      </c>
      <c r="CF1000" s="36"/>
      <c r="CG1000" s="39" t="s">
        <v>236</v>
      </c>
      <c r="CH1000" s="39"/>
      <c r="CI1000" s="25">
        <v>1</v>
      </c>
    </row>
    <row r="1001" spans="1:87" ht="24.75" customHeight="1">
      <c r="A1001" s="36" t="s">
        <v>85</v>
      </c>
      <c r="B1001" s="55" t="s">
        <v>2225</v>
      </c>
      <c r="C1001" s="228"/>
      <c r="D1001" s="36" t="s">
        <v>24</v>
      </c>
      <c r="E1001" s="39">
        <v>180</v>
      </c>
      <c r="F1001" s="39" t="s">
        <v>57</v>
      </c>
      <c r="G1001" s="36" t="s">
        <v>2228</v>
      </c>
      <c r="H1001" s="36" t="s">
        <v>87</v>
      </c>
      <c r="I1001" s="39">
        <v>243</v>
      </c>
      <c r="J1001" s="39"/>
      <c r="K1001" s="39"/>
      <c r="L1001" s="39">
        <f t="shared" si="600"/>
        <v>243</v>
      </c>
      <c r="M1001" s="117">
        <v>46266</v>
      </c>
      <c r="N1001" s="117">
        <v>46272</v>
      </c>
      <c r="O1001" s="39"/>
      <c r="P1001" s="39"/>
      <c r="Q1001" s="39"/>
      <c r="R1001" s="39">
        <f t="shared" si="601"/>
        <v>0</v>
      </c>
      <c r="S1001" s="39" t="s">
        <v>130</v>
      </c>
      <c r="T1001" s="39"/>
      <c r="U1001" s="39"/>
      <c r="V1001" s="39"/>
      <c r="W1001" s="39"/>
      <c r="X1001" s="39"/>
      <c r="Y1001" s="39"/>
      <c r="Z1001" s="39"/>
      <c r="AA1001" s="39"/>
      <c r="AB1001" s="118">
        <f t="shared" si="614"/>
        <v>0</v>
      </c>
      <c r="AC1001" s="39"/>
      <c r="AD1001" s="39"/>
      <c r="AE1001" s="39"/>
      <c r="AF1001" s="39"/>
      <c r="AG1001" s="39"/>
      <c r="AH1001" s="39">
        <f t="shared" si="557"/>
        <v>0</v>
      </c>
      <c r="AI1001" s="39"/>
      <c r="AJ1001" s="39"/>
      <c r="AK1001" s="39"/>
      <c r="AL1001" s="39"/>
      <c r="AM1001" s="39"/>
      <c r="AN1001" s="39">
        <f t="shared" si="599"/>
        <v>0</v>
      </c>
      <c r="AO1001" s="39"/>
      <c r="AP1001" s="39"/>
      <c r="AQ1001" s="39"/>
      <c r="AR1001" s="39"/>
      <c r="AS1001" s="39"/>
      <c r="AT1001" s="39">
        <f t="shared" si="539"/>
        <v>0</v>
      </c>
      <c r="AU1001" s="39"/>
      <c r="AV1001" s="39"/>
      <c r="AW1001" s="39"/>
      <c r="AX1001" s="39"/>
      <c r="AY1001" s="39"/>
      <c r="AZ1001" s="39">
        <f t="shared" si="540"/>
        <v>0</v>
      </c>
      <c r="BA1001" s="39"/>
      <c r="BB1001" s="39"/>
      <c r="BC1001" s="39"/>
      <c r="BD1001" s="39"/>
      <c r="BE1001" s="39"/>
      <c r="BF1001" s="39">
        <f t="shared" si="541"/>
        <v>0</v>
      </c>
      <c r="BG1001" s="39"/>
      <c r="BH1001" s="39"/>
      <c r="BI1001" s="39"/>
      <c r="BJ1001" s="39"/>
      <c r="BK1001" s="39"/>
      <c r="BL1001" s="39">
        <f t="shared" si="558"/>
        <v>0</v>
      </c>
      <c r="BM1001" s="54">
        <f t="shared" ca="1" si="542"/>
        <v>46283</v>
      </c>
      <c r="BN1001" s="56">
        <v>46272</v>
      </c>
      <c r="BO1001" s="117">
        <v>46277</v>
      </c>
      <c r="BP1001" s="39"/>
      <c r="BQ1001" s="39"/>
      <c r="BR1001" s="39"/>
      <c r="BS1001" s="39"/>
      <c r="BT1001" s="39"/>
      <c r="BU1001" s="39"/>
      <c r="BV1001" s="39"/>
      <c r="BW1001" s="39"/>
      <c r="BX1001" s="39"/>
      <c r="BY1001" s="39"/>
      <c r="BZ1001" s="39">
        <f t="shared" si="559"/>
        <v>0</v>
      </c>
      <c r="CA1001" s="39">
        <f t="shared" si="603"/>
        <v>-243</v>
      </c>
      <c r="CB1001" s="39">
        <f t="shared" si="604"/>
        <v>0</v>
      </c>
      <c r="CC1001" s="39">
        <f t="shared" si="605"/>
        <v>0</v>
      </c>
      <c r="CD1001" s="39">
        <f t="shared" si="560"/>
        <v>-243</v>
      </c>
      <c r="CE1001" s="102">
        <f t="shared" si="606"/>
        <v>-1</v>
      </c>
      <c r="CF1001" s="36"/>
      <c r="CG1001" s="39" t="s">
        <v>236</v>
      </c>
      <c r="CH1001" s="39"/>
      <c r="CI1001" s="25">
        <v>1</v>
      </c>
    </row>
    <row r="1002" spans="1:87" ht="24.75" customHeight="1">
      <c r="A1002" s="36" t="s">
        <v>85</v>
      </c>
      <c r="B1002" s="55" t="s">
        <v>2229</v>
      </c>
      <c r="C1002" s="227" t="s">
        <v>2302</v>
      </c>
      <c r="D1002" s="36" t="s">
        <v>24</v>
      </c>
      <c r="E1002" s="39">
        <v>180</v>
      </c>
      <c r="F1002" s="39" t="s">
        <v>58</v>
      </c>
      <c r="G1002" s="36" t="s">
        <v>2230</v>
      </c>
      <c r="H1002" s="36" t="s">
        <v>87</v>
      </c>
      <c r="I1002" s="39">
        <f>473+18</f>
        <v>491</v>
      </c>
      <c r="J1002" s="39"/>
      <c r="K1002" s="39"/>
      <c r="L1002" s="39">
        <f t="shared" si="600"/>
        <v>491</v>
      </c>
      <c r="M1002" s="117">
        <v>46265</v>
      </c>
      <c r="N1002" s="117">
        <v>46272</v>
      </c>
      <c r="O1002" s="39"/>
      <c r="P1002" s="39"/>
      <c r="Q1002" s="39"/>
      <c r="R1002" s="39">
        <f t="shared" si="601"/>
        <v>0</v>
      </c>
      <c r="S1002" s="39" t="s">
        <v>130</v>
      </c>
      <c r="T1002" s="39"/>
      <c r="U1002" s="39"/>
      <c r="V1002" s="39"/>
      <c r="W1002" s="39"/>
      <c r="X1002" s="39"/>
      <c r="Y1002" s="39"/>
      <c r="Z1002" s="39"/>
      <c r="AA1002" s="39"/>
      <c r="AB1002" s="118">
        <f t="shared" si="614"/>
        <v>0</v>
      </c>
      <c r="AC1002" s="39"/>
      <c r="AD1002" s="39"/>
      <c r="AE1002" s="39"/>
      <c r="AF1002" s="39"/>
      <c r="AG1002" s="39"/>
      <c r="AH1002" s="39">
        <f t="shared" si="557"/>
        <v>0</v>
      </c>
      <c r="AI1002" s="39"/>
      <c r="AJ1002" s="39"/>
      <c r="AK1002" s="39"/>
      <c r="AL1002" s="39"/>
      <c r="AM1002" s="39"/>
      <c r="AN1002" s="39">
        <f t="shared" si="599"/>
        <v>0</v>
      </c>
      <c r="AO1002" s="39"/>
      <c r="AP1002" s="39"/>
      <c r="AQ1002" s="39"/>
      <c r="AR1002" s="39"/>
      <c r="AS1002" s="39"/>
      <c r="AT1002" s="39">
        <f t="shared" si="539"/>
        <v>0</v>
      </c>
      <c r="AU1002" s="39"/>
      <c r="AV1002" s="39"/>
      <c r="AW1002" s="39"/>
      <c r="AX1002" s="39"/>
      <c r="AY1002" s="39"/>
      <c r="AZ1002" s="39">
        <f t="shared" si="540"/>
        <v>0</v>
      </c>
      <c r="BA1002" s="39"/>
      <c r="BB1002" s="39"/>
      <c r="BC1002" s="39"/>
      <c r="BD1002" s="39"/>
      <c r="BE1002" s="39"/>
      <c r="BF1002" s="39">
        <f t="shared" si="541"/>
        <v>0</v>
      </c>
      <c r="BG1002" s="39"/>
      <c r="BH1002" s="39"/>
      <c r="BI1002" s="39"/>
      <c r="BJ1002" s="39"/>
      <c r="BK1002" s="39"/>
      <c r="BL1002" s="39">
        <f t="shared" si="558"/>
        <v>0</v>
      </c>
      <c r="BM1002" s="54">
        <f t="shared" ca="1" si="542"/>
        <v>46283</v>
      </c>
      <c r="BN1002" s="56">
        <v>46271</v>
      </c>
      <c r="BO1002" s="117">
        <v>46277</v>
      </c>
      <c r="BP1002" s="39"/>
      <c r="BQ1002" s="39"/>
      <c r="BR1002" s="39"/>
      <c r="BS1002" s="39"/>
      <c r="BT1002" s="39"/>
      <c r="BU1002" s="39"/>
      <c r="BV1002" s="39"/>
      <c r="BW1002" s="39"/>
      <c r="BX1002" s="39"/>
      <c r="BY1002" s="39"/>
      <c r="BZ1002" s="39">
        <f t="shared" si="559"/>
        <v>0</v>
      </c>
      <c r="CA1002" s="39">
        <f t="shared" si="603"/>
        <v>-491</v>
      </c>
      <c r="CB1002" s="39">
        <f t="shared" si="604"/>
        <v>0</v>
      </c>
      <c r="CC1002" s="39">
        <f t="shared" si="605"/>
        <v>0</v>
      </c>
      <c r="CD1002" s="39">
        <f t="shared" si="560"/>
        <v>-491</v>
      </c>
      <c r="CE1002" s="102">
        <f t="shared" si="606"/>
        <v>-1</v>
      </c>
      <c r="CF1002" s="36"/>
      <c r="CG1002" s="39" t="s">
        <v>236</v>
      </c>
      <c r="CH1002" s="39"/>
      <c r="CI1002" s="25">
        <v>1</v>
      </c>
    </row>
    <row r="1003" spans="1:87" ht="24.75" customHeight="1">
      <c r="A1003" s="36" t="s">
        <v>85</v>
      </c>
      <c r="B1003" s="55" t="s">
        <v>2229</v>
      </c>
      <c r="C1003" s="228"/>
      <c r="D1003" s="36"/>
      <c r="E1003" s="39">
        <v>180</v>
      </c>
      <c r="F1003" s="39" t="s">
        <v>53</v>
      </c>
      <c r="G1003" s="36" t="s">
        <v>2303</v>
      </c>
      <c r="H1003" s="36" t="s">
        <v>87</v>
      </c>
      <c r="I1003" s="39">
        <f>191-10</f>
        <v>181</v>
      </c>
      <c r="J1003" s="39"/>
      <c r="K1003" s="39"/>
      <c r="L1003" s="39">
        <f t="shared" si="600"/>
        <v>181</v>
      </c>
      <c r="M1003" s="117">
        <v>46265</v>
      </c>
      <c r="N1003" s="117">
        <v>46272</v>
      </c>
      <c r="O1003" s="39"/>
      <c r="P1003" s="39"/>
      <c r="Q1003" s="39"/>
      <c r="R1003" s="39">
        <f t="shared" si="601"/>
        <v>0</v>
      </c>
      <c r="S1003" s="39" t="s">
        <v>130</v>
      </c>
      <c r="T1003" s="39"/>
      <c r="U1003" s="39"/>
      <c r="V1003" s="39"/>
      <c r="W1003" s="39"/>
      <c r="X1003" s="39"/>
      <c r="Y1003" s="39"/>
      <c r="Z1003" s="39"/>
      <c r="AA1003" s="39"/>
      <c r="AB1003" s="118">
        <f t="shared" si="614"/>
        <v>0</v>
      </c>
      <c r="AC1003" s="39"/>
      <c r="AD1003" s="39"/>
      <c r="AE1003" s="39"/>
      <c r="AF1003" s="39"/>
      <c r="AG1003" s="39"/>
      <c r="AH1003" s="39">
        <f t="shared" si="557"/>
        <v>0</v>
      </c>
      <c r="AI1003" s="39"/>
      <c r="AJ1003" s="39"/>
      <c r="AK1003" s="39"/>
      <c r="AL1003" s="39"/>
      <c r="AM1003" s="39"/>
      <c r="AN1003" s="39">
        <f t="shared" si="599"/>
        <v>0</v>
      </c>
      <c r="AO1003" s="39"/>
      <c r="AP1003" s="39"/>
      <c r="AQ1003" s="39"/>
      <c r="AR1003" s="39"/>
      <c r="AS1003" s="39"/>
      <c r="AT1003" s="39">
        <f t="shared" si="539"/>
        <v>0</v>
      </c>
      <c r="AU1003" s="39"/>
      <c r="AV1003" s="39"/>
      <c r="AW1003" s="39"/>
      <c r="AX1003" s="39"/>
      <c r="AY1003" s="39"/>
      <c r="AZ1003" s="39">
        <f t="shared" si="540"/>
        <v>0</v>
      </c>
      <c r="BA1003" s="39"/>
      <c r="BB1003" s="39"/>
      <c r="BC1003" s="39"/>
      <c r="BD1003" s="39"/>
      <c r="BE1003" s="39"/>
      <c r="BF1003" s="39">
        <f t="shared" si="541"/>
        <v>0</v>
      </c>
      <c r="BG1003" s="39"/>
      <c r="BH1003" s="39"/>
      <c r="BI1003" s="39"/>
      <c r="BJ1003" s="39"/>
      <c r="BK1003" s="39"/>
      <c r="BL1003" s="39">
        <f t="shared" si="558"/>
        <v>0</v>
      </c>
      <c r="BM1003" s="54">
        <f t="shared" ca="1" si="542"/>
        <v>46283</v>
      </c>
      <c r="BN1003" s="56">
        <v>46271</v>
      </c>
      <c r="BO1003" s="117">
        <v>46277</v>
      </c>
      <c r="BP1003" s="39"/>
      <c r="BQ1003" s="39"/>
      <c r="BR1003" s="39"/>
      <c r="BS1003" s="39"/>
      <c r="BT1003" s="39"/>
      <c r="BU1003" s="39"/>
      <c r="BV1003" s="39"/>
      <c r="BW1003" s="39"/>
      <c r="BX1003" s="39"/>
      <c r="BY1003" s="39"/>
      <c r="BZ1003" s="39">
        <f t="shared" si="559"/>
        <v>0</v>
      </c>
      <c r="CA1003" s="39">
        <f>BU1003-I1003</f>
        <v>-181</v>
      </c>
      <c r="CB1003" s="39">
        <f>BW1003-J1003</f>
        <v>0</v>
      </c>
      <c r="CC1003" s="39">
        <f>BY1003-K1003</f>
        <v>0</v>
      </c>
      <c r="CD1003" s="39">
        <f t="shared" si="560"/>
        <v>-181</v>
      </c>
      <c r="CE1003" s="102">
        <f>CD1003/L1003</f>
        <v>-1</v>
      </c>
      <c r="CF1003" s="36"/>
      <c r="CG1003" s="39" t="s">
        <v>236</v>
      </c>
      <c r="CH1003" s="39"/>
      <c r="CI1003" s="25">
        <v>1</v>
      </c>
    </row>
    <row r="1004" spans="1:87" ht="24.75" customHeight="1">
      <c r="A1004" s="36" t="s">
        <v>85</v>
      </c>
      <c r="B1004" s="55">
        <v>48553</v>
      </c>
      <c r="C1004" s="227" t="s">
        <v>2748</v>
      </c>
      <c r="D1004" s="36"/>
      <c r="E1004" s="39">
        <v>180</v>
      </c>
      <c r="F1004" s="39" t="s">
        <v>53</v>
      </c>
      <c r="G1004" s="36" t="s">
        <v>307</v>
      </c>
      <c r="H1004" s="36" t="s">
        <v>87</v>
      </c>
      <c r="I1004" s="39">
        <v>105</v>
      </c>
      <c r="J1004" s="39"/>
      <c r="K1004" s="39"/>
      <c r="L1004" s="39">
        <f t="shared" si="600"/>
        <v>105</v>
      </c>
      <c r="M1004" s="117">
        <v>46252</v>
      </c>
      <c r="N1004" s="117">
        <v>46256</v>
      </c>
      <c r="O1004" s="39"/>
      <c r="P1004" s="39"/>
      <c r="Q1004" s="39"/>
      <c r="R1004" s="39">
        <f t="shared" si="601"/>
        <v>0</v>
      </c>
      <c r="S1004" s="39" t="s">
        <v>130</v>
      </c>
      <c r="T1004" s="39"/>
      <c r="U1004" s="39"/>
      <c r="V1004" s="39"/>
      <c r="W1004" s="39"/>
      <c r="X1004" s="39"/>
      <c r="Y1004" s="39"/>
      <c r="Z1004" s="39"/>
      <c r="AA1004" s="39"/>
      <c r="AB1004" s="118">
        <f t="shared" si="614"/>
        <v>0</v>
      </c>
      <c r="AC1004" s="39"/>
      <c r="AD1004" s="39"/>
      <c r="AE1004" s="39"/>
      <c r="AF1004" s="39"/>
      <c r="AG1004" s="39"/>
      <c r="AH1004" s="39">
        <f t="shared" si="557"/>
        <v>0</v>
      </c>
      <c r="AI1004" s="39"/>
      <c r="AJ1004" s="39"/>
      <c r="AK1004" s="39"/>
      <c r="AL1004" s="39"/>
      <c r="AM1004" s="39"/>
      <c r="AN1004" s="39">
        <f t="shared" si="599"/>
        <v>0</v>
      </c>
      <c r="AO1004" s="39"/>
      <c r="AP1004" s="39"/>
      <c r="AQ1004" s="39"/>
      <c r="AR1004" s="39"/>
      <c r="AS1004" s="39"/>
      <c r="AT1004" s="39">
        <f t="shared" si="539"/>
        <v>0</v>
      </c>
      <c r="AU1004" s="39"/>
      <c r="AV1004" s="39"/>
      <c r="AW1004" s="39"/>
      <c r="AX1004" s="39"/>
      <c r="AY1004" s="39"/>
      <c r="AZ1004" s="39">
        <f t="shared" si="540"/>
        <v>0</v>
      </c>
      <c r="BA1004" s="39"/>
      <c r="BB1004" s="39"/>
      <c r="BC1004" s="39"/>
      <c r="BD1004" s="39"/>
      <c r="BE1004" s="39"/>
      <c r="BF1004" s="39">
        <f t="shared" si="541"/>
        <v>0</v>
      </c>
      <c r="BG1004" s="39"/>
      <c r="BH1004" s="39"/>
      <c r="BI1004" s="39"/>
      <c r="BJ1004" s="39"/>
      <c r="BK1004" s="39"/>
      <c r="BL1004" s="39">
        <f t="shared" si="558"/>
        <v>0</v>
      </c>
      <c r="BM1004" s="54">
        <f t="shared" ca="1" si="542"/>
        <v>46283</v>
      </c>
      <c r="BN1004" s="56">
        <v>46266</v>
      </c>
      <c r="BO1004" s="117">
        <v>46275</v>
      </c>
      <c r="BP1004" s="39"/>
      <c r="BQ1004" s="39"/>
      <c r="BR1004" s="39"/>
      <c r="BS1004" s="39"/>
      <c r="BT1004" s="39"/>
      <c r="BU1004" s="39"/>
      <c r="BV1004" s="39"/>
      <c r="BW1004" s="39"/>
      <c r="BX1004" s="39"/>
      <c r="BY1004" s="39"/>
      <c r="BZ1004" s="39">
        <f t="shared" si="559"/>
        <v>0</v>
      </c>
      <c r="CA1004" s="39">
        <f t="shared" ref="CA1004:CA1008" si="615">BU1004-I1004</f>
        <v>-105</v>
      </c>
      <c r="CB1004" s="39">
        <f t="shared" ref="CB1004:CB1008" si="616">BW1004-J1004</f>
        <v>0</v>
      </c>
      <c r="CC1004" s="39">
        <f t="shared" ref="CC1004:CC1008" si="617">BY1004-K1004</f>
        <v>0</v>
      </c>
      <c r="CD1004" s="39">
        <f t="shared" si="560"/>
        <v>-105</v>
      </c>
      <c r="CE1004" s="102">
        <f t="shared" ref="CE1004:CE1008" si="618">CD1004/L1004</f>
        <v>-1</v>
      </c>
      <c r="CF1004" s="36"/>
      <c r="CG1004" s="39" t="s">
        <v>236</v>
      </c>
      <c r="CH1004" s="39"/>
      <c r="CI1004" s="25">
        <v>1</v>
      </c>
    </row>
    <row r="1005" spans="1:87" ht="24.75" customHeight="1">
      <c r="A1005" s="36" t="s">
        <v>85</v>
      </c>
      <c r="B1005" s="55">
        <v>48553</v>
      </c>
      <c r="C1005" s="228"/>
      <c r="D1005" s="36"/>
      <c r="E1005" s="39">
        <v>180</v>
      </c>
      <c r="F1005" s="39" t="s">
        <v>53</v>
      </c>
      <c r="G1005" s="36" t="s">
        <v>1060</v>
      </c>
      <c r="H1005" s="36" t="s">
        <v>87</v>
      </c>
      <c r="I1005" s="39">
        <f>94+36</f>
        <v>130</v>
      </c>
      <c r="J1005" s="39"/>
      <c r="K1005" s="39"/>
      <c r="L1005" s="39">
        <f t="shared" si="600"/>
        <v>130</v>
      </c>
      <c r="M1005" s="117">
        <v>46252</v>
      </c>
      <c r="N1005" s="117">
        <v>46256</v>
      </c>
      <c r="O1005" s="39"/>
      <c r="P1005" s="39"/>
      <c r="Q1005" s="39"/>
      <c r="R1005" s="39">
        <f t="shared" si="601"/>
        <v>0</v>
      </c>
      <c r="S1005" s="39" t="s">
        <v>130</v>
      </c>
      <c r="T1005" s="39"/>
      <c r="U1005" s="39"/>
      <c r="V1005" s="39"/>
      <c r="W1005" s="39"/>
      <c r="X1005" s="39"/>
      <c r="Y1005" s="39"/>
      <c r="Z1005" s="39"/>
      <c r="AA1005" s="39"/>
      <c r="AB1005" s="118">
        <f t="shared" si="614"/>
        <v>0</v>
      </c>
      <c r="AC1005" s="39"/>
      <c r="AD1005" s="39"/>
      <c r="AE1005" s="39"/>
      <c r="AF1005" s="39"/>
      <c r="AG1005" s="39"/>
      <c r="AH1005" s="39">
        <f t="shared" si="557"/>
        <v>0</v>
      </c>
      <c r="AI1005" s="39"/>
      <c r="AJ1005" s="39"/>
      <c r="AK1005" s="39"/>
      <c r="AL1005" s="39"/>
      <c r="AM1005" s="39"/>
      <c r="AN1005" s="39">
        <f t="shared" si="599"/>
        <v>0</v>
      </c>
      <c r="AO1005" s="39"/>
      <c r="AP1005" s="39"/>
      <c r="AQ1005" s="39"/>
      <c r="AR1005" s="39"/>
      <c r="AS1005" s="39"/>
      <c r="AT1005" s="39">
        <f t="shared" si="539"/>
        <v>0</v>
      </c>
      <c r="AU1005" s="39"/>
      <c r="AV1005" s="39"/>
      <c r="AW1005" s="39"/>
      <c r="AX1005" s="39"/>
      <c r="AY1005" s="39"/>
      <c r="AZ1005" s="39">
        <f t="shared" si="540"/>
        <v>0</v>
      </c>
      <c r="BA1005" s="39"/>
      <c r="BB1005" s="39"/>
      <c r="BC1005" s="39"/>
      <c r="BD1005" s="39"/>
      <c r="BE1005" s="39"/>
      <c r="BF1005" s="39">
        <f t="shared" si="541"/>
        <v>0</v>
      </c>
      <c r="BG1005" s="39"/>
      <c r="BH1005" s="39"/>
      <c r="BI1005" s="39"/>
      <c r="BJ1005" s="39"/>
      <c r="BK1005" s="39"/>
      <c r="BL1005" s="39">
        <f t="shared" si="558"/>
        <v>0</v>
      </c>
      <c r="BM1005" s="54">
        <f t="shared" ca="1" si="542"/>
        <v>46283</v>
      </c>
      <c r="BN1005" s="56">
        <v>46266</v>
      </c>
      <c r="BO1005" s="117">
        <v>46275</v>
      </c>
      <c r="BP1005" s="39"/>
      <c r="BQ1005" s="39"/>
      <c r="BR1005" s="39"/>
      <c r="BS1005" s="39"/>
      <c r="BT1005" s="39"/>
      <c r="BU1005" s="39"/>
      <c r="BV1005" s="39"/>
      <c r="BW1005" s="39"/>
      <c r="BX1005" s="39"/>
      <c r="BY1005" s="39"/>
      <c r="BZ1005" s="39">
        <f t="shared" si="559"/>
        <v>0</v>
      </c>
      <c r="CA1005" s="39">
        <f t="shared" si="615"/>
        <v>-130</v>
      </c>
      <c r="CB1005" s="39">
        <f t="shared" si="616"/>
        <v>0</v>
      </c>
      <c r="CC1005" s="39">
        <f t="shared" si="617"/>
        <v>0</v>
      </c>
      <c r="CD1005" s="39">
        <f t="shared" si="560"/>
        <v>-130</v>
      </c>
      <c r="CE1005" s="102">
        <f t="shared" si="618"/>
        <v>-1</v>
      </c>
      <c r="CF1005" s="36"/>
      <c r="CG1005" s="39" t="s">
        <v>236</v>
      </c>
      <c r="CH1005" s="39"/>
      <c r="CI1005" s="25">
        <v>1</v>
      </c>
    </row>
    <row r="1006" spans="1:87" ht="24.75" customHeight="1">
      <c r="A1006" s="36" t="s">
        <v>85</v>
      </c>
      <c r="B1006" s="55" t="s">
        <v>2231</v>
      </c>
      <c r="C1006" s="36" t="s">
        <v>2313</v>
      </c>
      <c r="D1006" s="36" t="s">
        <v>24</v>
      </c>
      <c r="E1006" s="39">
        <v>200</v>
      </c>
      <c r="F1006" s="39" t="s">
        <v>58</v>
      </c>
      <c r="G1006" s="36" t="s">
        <v>893</v>
      </c>
      <c r="H1006" s="36" t="s">
        <v>210</v>
      </c>
      <c r="I1006" s="39">
        <f>1975+74</f>
        <v>2049</v>
      </c>
      <c r="J1006" s="39"/>
      <c r="K1006" s="39"/>
      <c r="L1006" s="39">
        <f t="shared" si="600"/>
        <v>2049</v>
      </c>
      <c r="M1006" s="117">
        <v>46259</v>
      </c>
      <c r="N1006" s="117">
        <v>46272</v>
      </c>
      <c r="O1006" s="39"/>
      <c r="P1006" s="39"/>
      <c r="Q1006" s="39"/>
      <c r="R1006" s="39">
        <f t="shared" si="601"/>
        <v>0</v>
      </c>
      <c r="S1006" s="39" t="s">
        <v>130</v>
      </c>
      <c r="T1006" s="39"/>
      <c r="U1006" s="39"/>
      <c r="V1006" s="39"/>
      <c r="W1006" s="39"/>
      <c r="X1006" s="39"/>
      <c r="Y1006" s="39"/>
      <c r="Z1006" s="39"/>
      <c r="AA1006" s="39"/>
      <c r="AB1006" s="118">
        <f t="shared" si="614"/>
        <v>0</v>
      </c>
      <c r="AC1006" s="39"/>
      <c r="AD1006" s="39"/>
      <c r="AE1006" s="39"/>
      <c r="AF1006" s="39"/>
      <c r="AG1006" s="39"/>
      <c r="AH1006" s="39">
        <f t="shared" si="557"/>
        <v>0</v>
      </c>
      <c r="AI1006" s="39"/>
      <c r="AJ1006" s="39"/>
      <c r="AK1006" s="39"/>
      <c r="AL1006" s="39"/>
      <c r="AM1006" s="39"/>
      <c r="AN1006" s="39">
        <f t="shared" si="599"/>
        <v>0</v>
      </c>
      <c r="AO1006" s="39"/>
      <c r="AP1006" s="39"/>
      <c r="AQ1006" s="39"/>
      <c r="AR1006" s="39"/>
      <c r="AS1006" s="39"/>
      <c r="AT1006" s="39">
        <f t="shared" si="539"/>
        <v>0</v>
      </c>
      <c r="AU1006" s="39"/>
      <c r="AV1006" s="39"/>
      <c r="AW1006" s="39"/>
      <c r="AX1006" s="39"/>
      <c r="AY1006" s="39"/>
      <c r="AZ1006" s="39">
        <f t="shared" si="540"/>
        <v>0</v>
      </c>
      <c r="BA1006" s="39"/>
      <c r="BB1006" s="39"/>
      <c r="BC1006" s="39"/>
      <c r="BD1006" s="39"/>
      <c r="BE1006" s="39"/>
      <c r="BF1006" s="39">
        <f t="shared" si="541"/>
        <v>0</v>
      </c>
      <c r="BG1006" s="39"/>
      <c r="BH1006" s="39"/>
      <c r="BI1006" s="39"/>
      <c r="BJ1006" s="39"/>
      <c r="BK1006" s="39"/>
      <c r="BL1006" s="39">
        <f t="shared" si="558"/>
        <v>0</v>
      </c>
      <c r="BM1006" s="54">
        <f t="shared" ca="1" si="542"/>
        <v>46283</v>
      </c>
      <c r="BN1006" s="56">
        <v>46272</v>
      </c>
      <c r="BO1006" s="117">
        <v>46279</v>
      </c>
      <c r="BP1006" s="39"/>
      <c r="BQ1006" s="39"/>
      <c r="BR1006" s="39"/>
      <c r="BS1006" s="39"/>
      <c r="BT1006" s="39"/>
      <c r="BU1006" s="39"/>
      <c r="BV1006" s="39"/>
      <c r="BW1006" s="39"/>
      <c r="BX1006" s="39"/>
      <c r="BY1006" s="39"/>
      <c r="BZ1006" s="39">
        <f t="shared" si="559"/>
        <v>0</v>
      </c>
      <c r="CA1006" s="39">
        <f t="shared" si="615"/>
        <v>-2049</v>
      </c>
      <c r="CB1006" s="39">
        <f t="shared" si="616"/>
        <v>0</v>
      </c>
      <c r="CC1006" s="39">
        <f t="shared" si="617"/>
        <v>0</v>
      </c>
      <c r="CD1006" s="39">
        <f t="shared" si="560"/>
        <v>-2049</v>
      </c>
      <c r="CE1006" s="102">
        <f t="shared" si="618"/>
        <v>-1</v>
      </c>
      <c r="CF1006" s="36"/>
      <c r="CG1006" s="39" t="s">
        <v>236</v>
      </c>
      <c r="CH1006" s="39"/>
      <c r="CI1006" s="25">
        <v>1</v>
      </c>
    </row>
    <row r="1007" spans="1:87" ht="24.75" customHeight="1">
      <c r="A1007" s="36" t="s">
        <v>85</v>
      </c>
      <c r="B1007" s="55" t="s">
        <v>2232</v>
      </c>
      <c r="C1007" s="36" t="s">
        <v>2453</v>
      </c>
      <c r="D1007" s="36" t="s">
        <v>24</v>
      </c>
      <c r="E1007" s="39">
        <v>180</v>
      </c>
      <c r="F1007" s="39" t="s">
        <v>58</v>
      </c>
      <c r="G1007" s="36" t="s">
        <v>893</v>
      </c>
      <c r="H1007" s="36" t="s">
        <v>87</v>
      </c>
      <c r="I1007" s="39">
        <f>693+27</f>
        <v>720</v>
      </c>
      <c r="J1007" s="39"/>
      <c r="K1007" s="39">
        <f>59+2</f>
        <v>61</v>
      </c>
      <c r="L1007" s="39">
        <f t="shared" si="600"/>
        <v>781</v>
      </c>
      <c r="M1007" s="117">
        <v>46259</v>
      </c>
      <c r="N1007" s="117">
        <v>46269</v>
      </c>
      <c r="O1007" s="39"/>
      <c r="P1007" s="39"/>
      <c r="Q1007" s="39"/>
      <c r="R1007" s="39">
        <f t="shared" si="601"/>
        <v>0</v>
      </c>
      <c r="S1007" s="39" t="s">
        <v>130</v>
      </c>
      <c r="T1007" s="39"/>
      <c r="U1007" s="39"/>
      <c r="V1007" s="39"/>
      <c r="W1007" s="39"/>
      <c r="X1007" s="39"/>
      <c r="Y1007" s="39"/>
      <c r="Z1007" s="39"/>
      <c r="AA1007" s="39"/>
      <c r="AB1007" s="118">
        <f t="shared" si="614"/>
        <v>0</v>
      </c>
      <c r="AC1007" s="39"/>
      <c r="AD1007" s="39"/>
      <c r="AE1007" s="39"/>
      <c r="AF1007" s="39"/>
      <c r="AG1007" s="39"/>
      <c r="AH1007" s="39">
        <f t="shared" si="557"/>
        <v>0</v>
      </c>
      <c r="AI1007" s="39"/>
      <c r="AJ1007" s="39"/>
      <c r="AK1007" s="39"/>
      <c r="AL1007" s="39"/>
      <c r="AM1007" s="39"/>
      <c r="AN1007" s="39">
        <f t="shared" si="599"/>
        <v>0</v>
      </c>
      <c r="AO1007" s="39"/>
      <c r="AP1007" s="39"/>
      <c r="AQ1007" s="39"/>
      <c r="AR1007" s="39"/>
      <c r="AS1007" s="39"/>
      <c r="AT1007" s="39">
        <f t="shared" si="539"/>
        <v>0</v>
      </c>
      <c r="AU1007" s="39"/>
      <c r="AV1007" s="39"/>
      <c r="AW1007" s="39"/>
      <c r="AX1007" s="39"/>
      <c r="AY1007" s="39"/>
      <c r="AZ1007" s="39">
        <f t="shared" si="540"/>
        <v>0</v>
      </c>
      <c r="BA1007" s="39"/>
      <c r="BB1007" s="39"/>
      <c r="BC1007" s="39"/>
      <c r="BD1007" s="39"/>
      <c r="BE1007" s="39"/>
      <c r="BF1007" s="39">
        <f t="shared" si="541"/>
        <v>0</v>
      </c>
      <c r="BG1007" s="39"/>
      <c r="BH1007" s="39"/>
      <c r="BI1007" s="39"/>
      <c r="BJ1007" s="39"/>
      <c r="BK1007" s="39"/>
      <c r="BL1007" s="39">
        <f t="shared" si="558"/>
        <v>0</v>
      </c>
      <c r="BM1007" s="54">
        <f t="shared" ca="1" si="542"/>
        <v>46283</v>
      </c>
      <c r="BN1007" s="56">
        <v>46270</v>
      </c>
      <c r="BO1007" s="117">
        <v>46277</v>
      </c>
      <c r="BP1007" s="39"/>
      <c r="BQ1007" s="39"/>
      <c r="BR1007" s="39"/>
      <c r="BS1007" s="39"/>
      <c r="BT1007" s="39"/>
      <c r="BU1007" s="39"/>
      <c r="BV1007" s="39"/>
      <c r="BW1007" s="39"/>
      <c r="BX1007" s="39"/>
      <c r="BY1007" s="39"/>
      <c r="BZ1007" s="39">
        <f t="shared" si="559"/>
        <v>0</v>
      </c>
      <c r="CA1007" s="39">
        <f t="shared" si="615"/>
        <v>-720</v>
      </c>
      <c r="CB1007" s="39">
        <f t="shared" si="616"/>
        <v>0</v>
      </c>
      <c r="CC1007" s="39">
        <f t="shared" si="617"/>
        <v>-61</v>
      </c>
      <c r="CD1007" s="39">
        <f t="shared" si="560"/>
        <v>-781</v>
      </c>
      <c r="CE1007" s="102">
        <f t="shared" si="618"/>
        <v>-1</v>
      </c>
      <c r="CF1007" s="36"/>
      <c r="CG1007" s="39" t="s">
        <v>236</v>
      </c>
      <c r="CH1007" s="39"/>
      <c r="CI1007" s="25">
        <v>1</v>
      </c>
    </row>
    <row r="1008" spans="1:87" ht="24.75" customHeight="1">
      <c r="A1008" s="36" t="s">
        <v>85</v>
      </c>
      <c r="B1008" s="55" t="s">
        <v>2292</v>
      </c>
      <c r="C1008" s="227" t="s">
        <v>2293</v>
      </c>
      <c r="D1008" s="36"/>
      <c r="E1008" s="39">
        <v>200</v>
      </c>
      <c r="F1008" s="39" t="s">
        <v>58</v>
      </c>
      <c r="G1008" s="36" t="s">
        <v>313</v>
      </c>
      <c r="H1008" s="36" t="s">
        <v>212</v>
      </c>
      <c r="I1008" s="39">
        <v>130</v>
      </c>
      <c r="J1008" s="39">
        <v>7</v>
      </c>
      <c r="K1008" s="39"/>
      <c r="L1008" s="39">
        <f t="shared" si="600"/>
        <v>137</v>
      </c>
      <c r="M1008" s="117">
        <v>46256</v>
      </c>
      <c r="N1008" s="117">
        <v>46260</v>
      </c>
      <c r="O1008" s="39"/>
      <c r="P1008" s="39"/>
      <c r="Q1008" s="39"/>
      <c r="R1008" s="39">
        <f t="shared" si="601"/>
        <v>0</v>
      </c>
      <c r="S1008" s="39" t="s">
        <v>130</v>
      </c>
      <c r="T1008" s="39"/>
      <c r="U1008" s="39"/>
      <c r="V1008" s="39"/>
      <c r="W1008" s="39"/>
      <c r="X1008" s="39"/>
      <c r="Y1008" s="39"/>
      <c r="Z1008" s="39"/>
      <c r="AA1008" s="39"/>
      <c r="AB1008" s="118">
        <f t="shared" si="614"/>
        <v>0</v>
      </c>
      <c r="AC1008" s="39"/>
      <c r="AD1008" s="39"/>
      <c r="AE1008" s="39"/>
      <c r="AF1008" s="39"/>
      <c r="AG1008" s="39"/>
      <c r="AH1008" s="39">
        <f t="shared" si="557"/>
        <v>0</v>
      </c>
      <c r="AI1008" s="39"/>
      <c r="AJ1008" s="39"/>
      <c r="AK1008" s="39"/>
      <c r="AL1008" s="39"/>
      <c r="AM1008" s="39"/>
      <c r="AN1008" s="39">
        <f t="shared" si="599"/>
        <v>0</v>
      </c>
      <c r="AO1008" s="39"/>
      <c r="AP1008" s="39"/>
      <c r="AQ1008" s="39"/>
      <c r="AR1008" s="39"/>
      <c r="AS1008" s="39"/>
      <c r="AT1008" s="39">
        <f t="shared" si="539"/>
        <v>0</v>
      </c>
      <c r="AU1008" s="39"/>
      <c r="AV1008" s="39"/>
      <c r="AW1008" s="39"/>
      <c r="AX1008" s="39"/>
      <c r="AY1008" s="39"/>
      <c r="AZ1008" s="39">
        <f t="shared" si="540"/>
        <v>0</v>
      </c>
      <c r="BA1008" s="39"/>
      <c r="BB1008" s="39"/>
      <c r="BC1008" s="39"/>
      <c r="BD1008" s="39"/>
      <c r="BE1008" s="39"/>
      <c r="BF1008" s="39">
        <f t="shared" si="541"/>
        <v>0</v>
      </c>
      <c r="BG1008" s="39"/>
      <c r="BH1008" s="39"/>
      <c r="BI1008" s="39"/>
      <c r="BJ1008" s="39"/>
      <c r="BK1008" s="39"/>
      <c r="BL1008" s="39">
        <f t="shared" si="558"/>
        <v>0</v>
      </c>
      <c r="BM1008" s="54">
        <f t="shared" ca="1" si="542"/>
        <v>46283</v>
      </c>
      <c r="BN1008" s="56">
        <v>46266</v>
      </c>
      <c r="BO1008" s="117">
        <v>46275</v>
      </c>
      <c r="BP1008" s="39"/>
      <c r="BQ1008" s="39"/>
      <c r="BR1008" s="39"/>
      <c r="BS1008" s="39"/>
      <c r="BT1008" s="39"/>
      <c r="BU1008" s="39"/>
      <c r="BV1008" s="39"/>
      <c r="BW1008" s="39"/>
      <c r="BX1008" s="39"/>
      <c r="BY1008" s="39"/>
      <c r="BZ1008" s="39">
        <f t="shared" si="559"/>
        <v>0</v>
      </c>
      <c r="CA1008" s="39">
        <f t="shared" si="615"/>
        <v>-130</v>
      </c>
      <c r="CB1008" s="39">
        <f t="shared" si="616"/>
        <v>-7</v>
      </c>
      <c r="CC1008" s="39">
        <f t="shared" si="617"/>
        <v>0</v>
      </c>
      <c r="CD1008" s="39">
        <f t="shared" si="560"/>
        <v>-137</v>
      </c>
      <c r="CE1008" s="102">
        <f t="shared" si="618"/>
        <v>-1</v>
      </c>
      <c r="CF1008" s="36"/>
      <c r="CG1008" s="39" t="s">
        <v>237</v>
      </c>
      <c r="CH1008" s="39"/>
      <c r="CI1008" s="25">
        <v>1</v>
      </c>
    </row>
    <row r="1009" spans="1:87" ht="24.75" customHeight="1">
      <c r="A1009" s="36" t="s">
        <v>85</v>
      </c>
      <c r="B1009" s="55" t="s">
        <v>2292</v>
      </c>
      <c r="C1009" s="228"/>
      <c r="D1009" s="36"/>
      <c r="E1009" s="39">
        <v>200</v>
      </c>
      <c r="F1009" s="39" t="s">
        <v>58</v>
      </c>
      <c r="G1009" s="36" t="s">
        <v>101</v>
      </c>
      <c r="H1009" s="36" t="s">
        <v>212</v>
      </c>
      <c r="I1009" s="39">
        <v>207</v>
      </c>
      <c r="J1009" s="39">
        <v>11</v>
      </c>
      <c r="K1009" s="39"/>
      <c r="L1009" s="39">
        <f t="shared" si="600"/>
        <v>218</v>
      </c>
      <c r="M1009" s="117">
        <v>46256</v>
      </c>
      <c r="N1009" s="117">
        <v>46260</v>
      </c>
      <c r="O1009" s="39"/>
      <c r="P1009" s="39"/>
      <c r="Q1009" s="39"/>
      <c r="R1009" s="39">
        <f t="shared" si="601"/>
        <v>0</v>
      </c>
      <c r="S1009" s="39" t="s">
        <v>130</v>
      </c>
      <c r="T1009" s="39"/>
      <c r="U1009" s="39"/>
      <c r="V1009" s="39"/>
      <c r="W1009" s="39"/>
      <c r="X1009" s="39"/>
      <c r="Y1009" s="39"/>
      <c r="Z1009" s="39"/>
      <c r="AA1009" s="39"/>
      <c r="AB1009" s="118">
        <f t="shared" si="614"/>
        <v>0</v>
      </c>
      <c r="AC1009" s="39"/>
      <c r="AD1009" s="39"/>
      <c r="AE1009" s="39"/>
      <c r="AF1009" s="39"/>
      <c r="AG1009" s="39"/>
      <c r="AH1009" s="39">
        <f t="shared" si="557"/>
        <v>0</v>
      </c>
      <c r="AI1009" s="39"/>
      <c r="AJ1009" s="39"/>
      <c r="AK1009" s="39"/>
      <c r="AL1009" s="39"/>
      <c r="AM1009" s="39"/>
      <c r="AN1009" s="39">
        <f t="shared" si="599"/>
        <v>0</v>
      </c>
      <c r="AO1009" s="39"/>
      <c r="AP1009" s="39"/>
      <c r="AQ1009" s="39"/>
      <c r="AR1009" s="39"/>
      <c r="AS1009" s="39"/>
      <c r="AT1009" s="39">
        <f t="shared" si="539"/>
        <v>0</v>
      </c>
      <c r="AU1009" s="39"/>
      <c r="AV1009" s="39"/>
      <c r="AW1009" s="39"/>
      <c r="AX1009" s="39"/>
      <c r="AY1009" s="39"/>
      <c r="AZ1009" s="39">
        <f t="shared" si="540"/>
        <v>0</v>
      </c>
      <c r="BA1009" s="39"/>
      <c r="BB1009" s="39"/>
      <c r="BC1009" s="39"/>
      <c r="BD1009" s="39"/>
      <c r="BE1009" s="39"/>
      <c r="BF1009" s="39">
        <f t="shared" si="541"/>
        <v>0</v>
      </c>
      <c r="BG1009" s="39"/>
      <c r="BH1009" s="39"/>
      <c r="BI1009" s="39"/>
      <c r="BJ1009" s="39"/>
      <c r="BK1009" s="39"/>
      <c r="BL1009" s="39">
        <f t="shared" si="558"/>
        <v>0</v>
      </c>
      <c r="BM1009" s="54">
        <f t="shared" ca="1" si="542"/>
        <v>46283</v>
      </c>
      <c r="BN1009" s="56">
        <v>46266</v>
      </c>
      <c r="BO1009" s="117">
        <v>46275</v>
      </c>
      <c r="BP1009" s="39"/>
      <c r="BQ1009" s="39"/>
      <c r="BR1009" s="39"/>
      <c r="BS1009" s="39"/>
      <c r="BT1009" s="39"/>
      <c r="BU1009" s="39"/>
      <c r="BV1009" s="39"/>
      <c r="BW1009" s="39"/>
      <c r="BX1009" s="39"/>
      <c r="BY1009" s="39"/>
      <c r="BZ1009" s="39">
        <f t="shared" si="559"/>
        <v>0</v>
      </c>
      <c r="CA1009" s="39">
        <f>BU1009-I1009</f>
        <v>-207</v>
      </c>
      <c r="CB1009" s="39">
        <f>BW1009-J1009</f>
        <v>-11</v>
      </c>
      <c r="CC1009" s="39">
        <f>BY1009-K1009</f>
        <v>0</v>
      </c>
      <c r="CD1009" s="39">
        <f t="shared" si="560"/>
        <v>-218</v>
      </c>
      <c r="CE1009" s="102">
        <f>CD1009/L1009</f>
        <v>-1</v>
      </c>
      <c r="CF1009" s="36"/>
      <c r="CG1009" s="39" t="s">
        <v>237</v>
      </c>
      <c r="CH1009" s="39"/>
      <c r="CI1009" s="25">
        <v>1</v>
      </c>
    </row>
    <row r="1010" spans="1:87" ht="24.75" customHeight="1">
      <c r="A1010" s="36" t="s">
        <v>85</v>
      </c>
      <c r="B1010" s="55" t="s">
        <v>2294</v>
      </c>
      <c r="C1010" s="36">
        <v>9328960</v>
      </c>
      <c r="D1010" s="36"/>
      <c r="E1010" s="39">
        <v>200</v>
      </c>
      <c r="F1010" s="39" t="s">
        <v>183</v>
      </c>
      <c r="G1010" s="36" t="s">
        <v>101</v>
      </c>
      <c r="H1010" s="36" t="s">
        <v>212</v>
      </c>
      <c r="I1010" s="39">
        <v>229</v>
      </c>
      <c r="J1010" s="39">
        <v>12</v>
      </c>
      <c r="K1010" s="39"/>
      <c r="L1010" s="39">
        <f t="shared" si="600"/>
        <v>241</v>
      </c>
      <c r="M1010" s="117">
        <v>46258</v>
      </c>
      <c r="N1010" s="117">
        <v>46262</v>
      </c>
      <c r="O1010" s="39"/>
      <c r="P1010" s="39"/>
      <c r="Q1010" s="39"/>
      <c r="R1010" s="39">
        <f t="shared" si="601"/>
        <v>0</v>
      </c>
      <c r="S1010" s="39" t="s">
        <v>130</v>
      </c>
      <c r="T1010" s="39"/>
      <c r="U1010" s="39"/>
      <c r="V1010" s="39"/>
      <c r="W1010" s="39"/>
      <c r="X1010" s="39"/>
      <c r="Y1010" s="39"/>
      <c r="Z1010" s="39"/>
      <c r="AA1010" s="39"/>
      <c r="AB1010" s="118">
        <f t="shared" si="614"/>
        <v>0</v>
      </c>
      <c r="AC1010" s="39"/>
      <c r="AD1010" s="39"/>
      <c r="AE1010" s="39"/>
      <c r="AF1010" s="39"/>
      <c r="AG1010" s="39"/>
      <c r="AH1010" s="39">
        <f t="shared" si="557"/>
        <v>0</v>
      </c>
      <c r="AI1010" s="39"/>
      <c r="AJ1010" s="39"/>
      <c r="AK1010" s="39"/>
      <c r="AL1010" s="39"/>
      <c r="AM1010" s="39"/>
      <c r="AN1010" s="39">
        <f t="shared" si="599"/>
        <v>0</v>
      </c>
      <c r="AO1010" s="39"/>
      <c r="AP1010" s="39"/>
      <c r="AQ1010" s="39"/>
      <c r="AR1010" s="39"/>
      <c r="AS1010" s="39"/>
      <c r="AT1010" s="39">
        <f t="shared" si="539"/>
        <v>0</v>
      </c>
      <c r="AU1010" s="39"/>
      <c r="AV1010" s="39"/>
      <c r="AW1010" s="39"/>
      <c r="AX1010" s="39"/>
      <c r="AY1010" s="39"/>
      <c r="AZ1010" s="39">
        <f t="shared" si="540"/>
        <v>0</v>
      </c>
      <c r="BA1010" s="39"/>
      <c r="BB1010" s="39"/>
      <c r="BC1010" s="39"/>
      <c r="BD1010" s="39"/>
      <c r="BE1010" s="39"/>
      <c r="BF1010" s="39">
        <f t="shared" si="541"/>
        <v>0</v>
      </c>
      <c r="BG1010" s="39"/>
      <c r="BH1010" s="39"/>
      <c r="BI1010" s="39"/>
      <c r="BJ1010" s="39"/>
      <c r="BK1010" s="39"/>
      <c r="BL1010" s="39">
        <f t="shared" si="558"/>
        <v>0</v>
      </c>
      <c r="BM1010" s="54">
        <f t="shared" ca="1" si="542"/>
        <v>46283</v>
      </c>
      <c r="BN1010" s="56">
        <v>46266</v>
      </c>
      <c r="BO1010" s="117">
        <v>46275</v>
      </c>
      <c r="BP1010" s="39"/>
      <c r="BQ1010" s="39"/>
      <c r="BR1010" s="39"/>
      <c r="BS1010" s="39"/>
      <c r="BT1010" s="39"/>
      <c r="BU1010" s="39"/>
      <c r="BV1010" s="39"/>
      <c r="BW1010" s="39"/>
      <c r="BX1010" s="39"/>
      <c r="BY1010" s="39"/>
      <c r="BZ1010" s="39">
        <f t="shared" si="559"/>
        <v>0</v>
      </c>
      <c r="CA1010" s="39">
        <f t="shared" ref="CA1010:CA1014" si="619">BU1010-I1010</f>
        <v>-229</v>
      </c>
      <c r="CB1010" s="39">
        <f t="shared" ref="CB1010:CB1014" si="620">BW1010-J1010</f>
        <v>-12</v>
      </c>
      <c r="CC1010" s="39">
        <f t="shared" ref="CC1010:CC1014" si="621">BY1010-K1010</f>
        <v>0</v>
      </c>
      <c r="CD1010" s="39">
        <f t="shared" si="560"/>
        <v>-241</v>
      </c>
      <c r="CE1010" s="102">
        <f t="shared" ref="CE1010:CE1014" si="622">CD1010/L1010</f>
        <v>-1</v>
      </c>
      <c r="CF1010" s="36"/>
      <c r="CG1010" s="39" t="s">
        <v>237</v>
      </c>
      <c r="CH1010" s="39"/>
      <c r="CI1010" s="25">
        <v>1</v>
      </c>
    </row>
    <row r="1011" spans="1:87" ht="24.75" customHeight="1">
      <c r="A1011" s="36" t="s">
        <v>85</v>
      </c>
      <c r="B1011" s="55" t="s">
        <v>2295</v>
      </c>
      <c r="C1011" s="36">
        <v>9328950</v>
      </c>
      <c r="D1011" s="36"/>
      <c r="E1011" s="39">
        <v>240</v>
      </c>
      <c r="F1011" s="39" t="s">
        <v>68</v>
      </c>
      <c r="G1011" s="36" t="s">
        <v>101</v>
      </c>
      <c r="H1011" s="36" t="s">
        <v>89</v>
      </c>
      <c r="I1011" s="39">
        <v>84</v>
      </c>
      <c r="J1011" s="39">
        <v>21</v>
      </c>
      <c r="K1011" s="39"/>
      <c r="L1011" s="39">
        <f t="shared" si="600"/>
        <v>105</v>
      </c>
      <c r="M1011" s="117">
        <v>46254</v>
      </c>
      <c r="N1011" s="117">
        <v>46258</v>
      </c>
      <c r="O1011" s="39"/>
      <c r="P1011" s="39"/>
      <c r="Q1011" s="39"/>
      <c r="R1011" s="39">
        <f t="shared" si="601"/>
        <v>0</v>
      </c>
      <c r="S1011" s="39" t="s">
        <v>130</v>
      </c>
      <c r="T1011" s="39"/>
      <c r="U1011" s="39"/>
      <c r="V1011" s="39"/>
      <c r="W1011" s="39"/>
      <c r="X1011" s="39"/>
      <c r="Y1011" s="39"/>
      <c r="Z1011" s="39"/>
      <c r="AA1011" s="39"/>
      <c r="AB1011" s="118">
        <f t="shared" si="614"/>
        <v>0</v>
      </c>
      <c r="AC1011" s="39"/>
      <c r="AD1011" s="39"/>
      <c r="AE1011" s="39"/>
      <c r="AF1011" s="39"/>
      <c r="AG1011" s="39"/>
      <c r="AH1011" s="39">
        <f t="shared" si="557"/>
        <v>0</v>
      </c>
      <c r="AI1011" s="39"/>
      <c r="AJ1011" s="39"/>
      <c r="AK1011" s="39"/>
      <c r="AL1011" s="39"/>
      <c r="AM1011" s="39"/>
      <c r="AN1011" s="39">
        <f t="shared" si="599"/>
        <v>0</v>
      </c>
      <c r="AO1011" s="39"/>
      <c r="AP1011" s="39"/>
      <c r="AQ1011" s="39"/>
      <c r="AR1011" s="39"/>
      <c r="AS1011" s="39"/>
      <c r="AT1011" s="39">
        <f t="shared" si="539"/>
        <v>0</v>
      </c>
      <c r="AU1011" s="39"/>
      <c r="AV1011" s="39"/>
      <c r="AW1011" s="39"/>
      <c r="AX1011" s="39"/>
      <c r="AY1011" s="39"/>
      <c r="AZ1011" s="39">
        <f t="shared" si="540"/>
        <v>0</v>
      </c>
      <c r="BA1011" s="39"/>
      <c r="BB1011" s="39"/>
      <c r="BC1011" s="39"/>
      <c r="BD1011" s="39"/>
      <c r="BE1011" s="39"/>
      <c r="BF1011" s="39">
        <f t="shared" si="541"/>
        <v>0</v>
      </c>
      <c r="BG1011" s="39"/>
      <c r="BH1011" s="39"/>
      <c r="BI1011" s="39"/>
      <c r="BJ1011" s="39"/>
      <c r="BK1011" s="39"/>
      <c r="BL1011" s="39">
        <f t="shared" si="558"/>
        <v>0</v>
      </c>
      <c r="BM1011" s="54">
        <f t="shared" ca="1" si="542"/>
        <v>46283</v>
      </c>
      <c r="BN1011" s="56">
        <v>46268</v>
      </c>
      <c r="BO1011" s="117">
        <v>46275</v>
      </c>
      <c r="BP1011" s="39"/>
      <c r="BQ1011" s="39"/>
      <c r="BR1011" s="39"/>
      <c r="BS1011" s="39"/>
      <c r="BT1011" s="39"/>
      <c r="BU1011" s="39"/>
      <c r="BV1011" s="39"/>
      <c r="BW1011" s="39"/>
      <c r="BX1011" s="39"/>
      <c r="BY1011" s="39"/>
      <c r="BZ1011" s="39">
        <f t="shared" si="559"/>
        <v>0</v>
      </c>
      <c r="CA1011" s="39">
        <f t="shared" si="619"/>
        <v>-84</v>
      </c>
      <c r="CB1011" s="39">
        <f t="shared" si="620"/>
        <v>-21</v>
      </c>
      <c r="CC1011" s="39">
        <f t="shared" si="621"/>
        <v>0</v>
      </c>
      <c r="CD1011" s="39">
        <f t="shared" si="560"/>
        <v>-105</v>
      </c>
      <c r="CE1011" s="102">
        <f t="shared" si="622"/>
        <v>-1</v>
      </c>
      <c r="CF1011" s="36"/>
      <c r="CG1011" s="39" t="s">
        <v>237</v>
      </c>
      <c r="CH1011" s="39"/>
      <c r="CI1011" s="25">
        <v>1</v>
      </c>
    </row>
    <row r="1012" spans="1:87" ht="24.75" customHeight="1">
      <c r="A1012" s="36" t="s">
        <v>85</v>
      </c>
      <c r="B1012" s="55">
        <v>48608</v>
      </c>
      <c r="C1012" s="36" t="s">
        <v>2452</v>
      </c>
      <c r="D1012" s="36"/>
      <c r="E1012" s="39">
        <v>180</v>
      </c>
      <c r="F1012" s="39" t="s">
        <v>58</v>
      </c>
      <c r="G1012" s="36" t="s">
        <v>417</v>
      </c>
      <c r="H1012" s="36" t="s">
        <v>87</v>
      </c>
      <c r="I1012" s="39">
        <v>639</v>
      </c>
      <c r="J1012" s="39">
        <v>75</v>
      </c>
      <c r="K1012" s="39"/>
      <c r="L1012" s="39">
        <f t="shared" si="600"/>
        <v>714</v>
      </c>
      <c r="M1012" s="117">
        <v>46259</v>
      </c>
      <c r="N1012" s="117">
        <v>46263</v>
      </c>
      <c r="O1012" s="39"/>
      <c r="P1012" s="39"/>
      <c r="Q1012" s="39"/>
      <c r="R1012" s="39">
        <f t="shared" si="601"/>
        <v>0</v>
      </c>
      <c r="S1012" s="39" t="s">
        <v>130</v>
      </c>
      <c r="T1012" s="39"/>
      <c r="U1012" s="39"/>
      <c r="V1012" s="39"/>
      <c r="W1012" s="39"/>
      <c r="X1012" s="39"/>
      <c r="Y1012" s="39"/>
      <c r="Z1012" s="39"/>
      <c r="AA1012" s="39"/>
      <c r="AB1012" s="118">
        <f t="shared" ref="AB1012:AB1014" si="623">SUM(Y1012:AA1012)</f>
        <v>0</v>
      </c>
      <c r="AC1012" s="39"/>
      <c r="AD1012" s="39"/>
      <c r="AE1012" s="39"/>
      <c r="AF1012" s="39"/>
      <c r="AG1012" s="39"/>
      <c r="AH1012" s="39">
        <f t="shared" si="557"/>
        <v>0</v>
      </c>
      <c r="AI1012" s="39"/>
      <c r="AJ1012" s="39"/>
      <c r="AK1012" s="39"/>
      <c r="AL1012" s="39"/>
      <c r="AM1012" s="39"/>
      <c r="AN1012" s="39">
        <f t="shared" si="599"/>
        <v>0</v>
      </c>
      <c r="AO1012" s="39"/>
      <c r="AP1012" s="39"/>
      <c r="AQ1012" s="39"/>
      <c r="AR1012" s="39"/>
      <c r="AS1012" s="39"/>
      <c r="AT1012" s="39">
        <f t="shared" si="539"/>
        <v>0</v>
      </c>
      <c r="AU1012" s="39"/>
      <c r="AV1012" s="39"/>
      <c r="AW1012" s="39"/>
      <c r="AX1012" s="39"/>
      <c r="AY1012" s="39"/>
      <c r="AZ1012" s="39">
        <f t="shared" si="540"/>
        <v>0</v>
      </c>
      <c r="BA1012" s="39"/>
      <c r="BB1012" s="39"/>
      <c r="BC1012" s="39"/>
      <c r="BD1012" s="39"/>
      <c r="BE1012" s="39"/>
      <c r="BF1012" s="39">
        <f t="shared" si="541"/>
        <v>0</v>
      </c>
      <c r="BG1012" s="39"/>
      <c r="BH1012" s="39"/>
      <c r="BI1012" s="39"/>
      <c r="BJ1012" s="39"/>
      <c r="BK1012" s="39"/>
      <c r="BL1012" s="39">
        <f t="shared" si="558"/>
        <v>0</v>
      </c>
      <c r="BM1012" s="54">
        <f t="shared" ca="1" si="542"/>
        <v>46283</v>
      </c>
      <c r="BN1012" s="56">
        <v>46267</v>
      </c>
      <c r="BO1012" s="117">
        <v>46279</v>
      </c>
      <c r="BP1012" s="39"/>
      <c r="BQ1012" s="39"/>
      <c r="BR1012" s="39"/>
      <c r="BS1012" s="39"/>
      <c r="BT1012" s="39"/>
      <c r="BU1012" s="39"/>
      <c r="BV1012" s="39"/>
      <c r="BW1012" s="39"/>
      <c r="BX1012" s="39"/>
      <c r="BY1012" s="39"/>
      <c r="BZ1012" s="39">
        <f t="shared" si="559"/>
        <v>0</v>
      </c>
      <c r="CA1012" s="39">
        <f t="shared" si="619"/>
        <v>-639</v>
      </c>
      <c r="CB1012" s="39">
        <f t="shared" si="620"/>
        <v>-75</v>
      </c>
      <c r="CC1012" s="39">
        <f t="shared" si="621"/>
        <v>0</v>
      </c>
      <c r="CD1012" s="39">
        <f t="shared" si="560"/>
        <v>-714</v>
      </c>
      <c r="CE1012" s="102">
        <f t="shared" si="622"/>
        <v>-1</v>
      </c>
      <c r="CF1012" s="36"/>
      <c r="CG1012" s="39" t="s">
        <v>236</v>
      </c>
      <c r="CH1012" s="39"/>
      <c r="CI1012" s="25">
        <v>1</v>
      </c>
    </row>
    <row r="1013" spans="1:87" ht="24.75" customHeight="1">
      <c r="A1013" s="36" t="s">
        <v>85</v>
      </c>
      <c r="B1013" s="55">
        <v>48609</v>
      </c>
      <c r="C1013" s="36" t="s">
        <v>2314</v>
      </c>
      <c r="D1013" s="36"/>
      <c r="E1013" s="39">
        <v>180</v>
      </c>
      <c r="F1013" s="39" t="s">
        <v>58</v>
      </c>
      <c r="G1013" s="36" t="s">
        <v>596</v>
      </c>
      <c r="H1013" s="36" t="s">
        <v>87</v>
      </c>
      <c r="I1013" s="39">
        <v>346</v>
      </c>
      <c r="J1013" s="39">
        <v>41</v>
      </c>
      <c r="K1013" s="39"/>
      <c r="L1013" s="39">
        <f t="shared" si="600"/>
        <v>387</v>
      </c>
      <c r="M1013" s="117">
        <v>46258</v>
      </c>
      <c r="N1013" s="117">
        <v>46263</v>
      </c>
      <c r="O1013" s="39"/>
      <c r="P1013" s="39"/>
      <c r="Q1013" s="39"/>
      <c r="R1013" s="39">
        <f t="shared" si="601"/>
        <v>0</v>
      </c>
      <c r="S1013" s="39" t="s">
        <v>130</v>
      </c>
      <c r="T1013" s="39"/>
      <c r="U1013" s="39"/>
      <c r="V1013" s="39"/>
      <c r="W1013" s="39"/>
      <c r="X1013" s="39"/>
      <c r="Y1013" s="39"/>
      <c r="Z1013" s="39"/>
      <c r="AA1013" s="39"/>
      <c r="AB1013" s="118">
        <f t="shared" si="623"/>
        <v>0</v>
      </c>
      <c r="AC1013" s="39"/>
      <c r="AD1013" s="39"/>
      <c r="AE1013" s="39"/>
      <c r="AF1013" s="39"/>
      <c r="AG1013" s="39"/>
      <c r="AH1013" s="39">
        <f t="shared" si="557"/>
        <v>0</v>
      </c>
      <c r="AI1013" s="39"/>
      <c r="AJ1013" s="39"/>
      <c r="AK1013" s="39"/>
      <c r="AL1013" s="39"/>
      <c r="AM1013" s="39"/>
      <c r="AN1013" s="39">
        <f t="shared" si="599"/>
        <v>0</v>
      </c>
      <c r="AO1013" s="39"/>
      <c r="AP1013" s="39"/>
      <c r="AQ1013" s="39"/>
      <c r="AR1013" s="39"/>
      <c r="AS1013" s="39"/>
      <c r="AT1013" s="39">
        <f t="shared" si="539"/>
        <v>0</v>
      </c>
      <c r="AU1013" s="39"/>
      <c r="AV1013" s="39"/>
      <c r="AW1013" s="39"/>
      <c r="AX1013" s="39"/>
      <c r="AY1013" s="39"/>
      <c r="AZ1013" s="39">
        <f t="shared" si="540"/>
        <v>0</v>
      </c>
      <c r="BA1013" s="39"/>
      <c r="BB1013" s="39"/>
      <c r="BC1013" s="39"/>
      <c r="BD1013" s="39"/>
      <c r="BE1013" s="39"/>
      <c r="BF1013" s="39">
        <f t="shared" si="541"/>
        <v>0</v>
      </c>
      <c r="BG1013" s="39"/>
      <c r="BH1013" s="39"/>
      <c r="BI1013" s="39"/>
      <c r="BJ1013" s="39"/>
      <c r="BK1013" s="39"/>
      <c r="BL1013" s="39">
        <f t="shared" si="558"/>
        <v>0</v>
      </c>
      <c r="BM1013" s="54">
        <f t="shared" ca="1" si="542"/>
        <v>46283</v>
      </c>
      <c r="BN1013" s="56">
        <v>46267</v>
      </c>
      <c r="BO1013" s="117">
        <v>46277</v>
      </c>
      <c r="BP1013" s="39"/>
      <c r="BQ1013" s="39"/>
      <c r="BR1013" s="39"/>
      <c r="BS1013" s="39"/>
      <c r="BT1013" s="39"/>
      <c r="BU1013" s="39"/>
      <c r="BV1013" s="39"/>
      <c r="BW1013" s="39"/>
      <c r="BX1013" s="39"/>
      <c r="BY1013" s="39"/>
      <c r="BZ1013" s="39">
        <f t="shared" si="559"/>
        <v>0</v>
      </c>
      <c r="CA1013" s="39">
        <f t="shared" si="619"/>
        <v>-346</v>
      </c>
      <c r="CB1013" s="39">
        <f t="shared" si="620"/>
        <v>-41</v>
      </c>
      <c r="CC1013" s="39">
        <f t="shared" si="621"/>
        <v>0</v>
      </c>
      <c r="CD1013" s="39">
        <f t="shared" si="560"/>
        <v>-387</v>
      </c>
      <c r="CE1013" s="102">
        <f t="shared" si="622"/>
        <v>-1</v>
      </c>
      <c r="CF1013" s="36"/>
      <c r="CG1013" s="39" t="s">
        <v>236</v>
      </c>
      <c r="CH1013" s="39"/>
      <c r="CI1013" s="25">
        <v>1</v>
      </c>
    </row>
    <row r="1014" spans="1:87" ht="24.75" customHeight="1">
      <c r="A1014" s="36" t="s">
        <v>85</v>
      </c>
      <c r="B1014" s="55" t="s">
        <v>2454</v>
      </c>
      <c r="C1014" s="227" t="s">
        <v>2853</v>
      </c>
      <c r="D1014" s="36" t="s">
        <v>37</v>
      </c>
      <c r="E1014" s="39">
        <v>180</v>
      </c>
      <c r="F1014" s="39" t="s">
        <v>53</v>
      </c>
      <c r="G1014" s="36" t="s">
        <v>2455</v>
      </c>
      <c r="H1014" s="36" t="s">
        <v>87</v>
      </c>
      <c r="I1014" s="39">
        <f>497+33</f>
        <v>530</v>
      </c>
      <c r="J1014" s="39"/>
      <c r="K1014" s="39"/>
      <c r="L1014" s="39">
        <f t="shared" si="600"/>
        <v>530</v>
      </c>
      <c r="M1014" s="117">
        <v>46260</v>
      </c>
      <c r="N1014" s="117">
        <v>46270</v>
      </c>
      <c r="O1014" s="39"/>
      <c r="P1014" s="39"/>
      <c r="Q1014" s="39"/>
      <c r="R1014" s="39">
        <f t="shared" si="601"/>
        <v>0</v>
      </c>
      <c r="S1014" s="39" t="s">
        <v>130</v>
      </c>
      <c r="T1014" s="39"/>
      <c r="U1014" s="39"/>
      <c r="V1014" s="39"/>
      <c r="W1014" s="39"/>
      <c r="X1014" s="39"/>
      <c r="Y1014" s="39"/>
      <c r="Z1014" s="39"/>
      <c r="AA1014" s="39"/>
      <c r="AB1014" s="118">
        <f t="shared" si="623"/>
        <v>0</v>
      </c>
      <c r="AC1014" s="39"/>
      <c r="AD1014" s="39"/>
      <c r="AE1014" s="39"/>
      <c r="AF1014" s="39"/>
      <c r="AG1014" s="39"/>
      <c r="AH1014" s="39">
        <f t="shared" si="557"/>
        <v>0</v>
      </c>
      <c r="AI1014" s="39"/>
      <c r="AJ1014" s="39"/>
      <c r="AK1014" s="39"/>
      <c r="AL1014" s="39"/>
      <c r="AM1014" s="39"/>
      <c r="AN1014" s="39">
        <f t="shared" si="599"/>
        <v>0</v>
      </c>
      <c r="AO1014" s="39"/>
      <c r="AP1014" s="39"/>
      <c r="AQ1014" s="39"/>
      <c r="AR1014" s="39"/>
      <c r="AS1014" s="39"/>
      <c r="AT1014" s="39">
        <f t="shared" si="539"/>
        <v>0</v>
      </c>
      <c r="AU1014" s="39"/>
      <c r="AV1014" s="39"/>
      <c r="AW1014" s="39"/>
      <c r="AX1014" s="39"/>
      <c r="AY1014" s="39"/>
      <c r="AZ1014" s="39">
        <f t="shared" si="540"/>
        <v>0</v>
      </c>
      <c r="BA1014" s="39"/>
      <c r="BB1014" s="39"/>
      <c r="BC1014" s="39"/>
      <c r="BD1014" s="39"/>
      <c r="BE1014" s="39"/>
      <c r="BF1014" s="39">
        <f t="shared" si="541"/>
        <v>0</v>
      </c>
      <c r="BG1014" s="39"/>
      <c r="BH1014" s="39"/>
      <c r="BI1014" s="39"/>
      <c r="BJ1014" s="39"/>
      <c r="BK1014" s="39"/>
      <c r="BL1014" s="39">
        <f t="shared" si="558"/>
        <v>0</v>
      </c>
      <c r="BM1014" s="54">
        <f t="shared" ca="1" si="542"/>
        <v>46283</v>
      </c>
      <c r="BN1014" s="56">
        <v>46273</v>
      </c>
      <c r="BO1014" s="117">
        <v>46286</v>
      </c>
      <c r="BP1014" s="117">
        <v>46284</v>
      </c>
      <c r="BQ1014" s="117">
        <v>46293</v>
      </c>
      <c r="BR1014" s="39"/>
      <c r="BS1014" s="39"/>
      <c r="BT1014" s="39"/>
      <c r="BU1014" s="39"/>
      <c r="BV1014" s="39"/>
      <c r="BW1014" s="39"/>
      <c r="BX1014" s="39"/>
      <c r="BY1014" s="39"/>
      <c r="BZ1014" s="39">
        <f t="shared" si="559"/>
        <v>0</v>
      </c>
      <c r="CA1014" s="39">
        <f t="shared" si="619"/>
        <v>-530</v>
      </c>
      <c r="CB1014" s="39">
        <f t="shared" si="620"/>
        <v>0</v>
      </c>
      <c r="CC1014" s="39">
        <f t="shared" si="621"/>
        <v>0</v>
      </c>
      <c r="CD1014" s="39">
        <f t="shared" si="560"/>
        <v>-530</v>
      </c>
      <c r="CE1014" s="102">
        <f t="shared" si="622"/>
        <v>-1</v>
      </c>
      <c r="CF1014" s="36"/>
      <c r="CG1014" s="39" t="s">
        <v>236</v>
      </c>
      <c r="CH1014" s="39"/>
      <c r="CI1014" s="25">
        <v>1</v>
      </c>
    </row>
    <row r="1015" spans="1:87" ht="24.75" customHeight="1">
      <c r="A1015" s="36" t="s">
        <v>85</v>
      </c>
      <c r="B1015" s="55" t="s">
        <v>2454</v>
      </c>
      <c r="C1015" s="231"/>
      <c r="D1015" s="36"/>
      <c r="E1015" s="39">
        <v>180</v>
      </c>
      <c r="F1015" s="39" t="s">
        <v>53</v>
      </c>
      <c r="G1015" s="36" t="s">
        <v>2456</v>
      </c>
      <c r="H1015" s="36" t="s">
        <v>87</v>
      </c>
      <c r="I1015" s="39">
        <f>226+15</f>
        <v>241</v>
      </c>
      <c r="J1015" s="39"/>
      <c r="K1015" s="39"/>
      <c r="L1015" s="39">
        <f t="shared" si="600"/>
        <v>241</v>
      </c>
      <c r="M1015" s="117">
        <v>46260</v>
      </c>
      <c r="N1015" s="117">
        <v>46270</v>
      </c>
      <c r="O1015" s="39"/>
      <c r="P1015" s="39"/>
      <c r="Q1015" s="39"/>
      <c r="R1015" s="39">
        <f t="shared" ref="R1015" si="624">SUM(O1015:Q1015)</f>
        <v>0</v>
      </c>
      <c r="S1015" s="39" t="s">
        <v>130</v>
      </c>
      <c r="T1015" s="39"/>
      <c r="U1015" s="39"/>
      <c r="V1015" s="39"/>
      <c r="W1015" s="39"/>
      <c r="X1015" s="39"/>
      <c r="Y1015" s="39"/>
      <c r="Z1015" s="39"/>
      <c r="AA1015" s="39"/>
      <c r="AB1015" s="118">
        <f t="shared" ref="AB1015" si="625">SUM(Y1015:AA1015)</f>
        <v>0</v>
      </c>
      <c r="AC1015" s="39"/>
      <c r="AD1015" s="39"/>
      <c r="AE1015" s="39"/>
      <c r="AF1015" s="39"/>
      <c r="AG1015" s="39"/>
      <c r="AH1015" s="39">
        <f t="shared" si="557"/>
        <v>0</v>
      </c>
      <c r="AI1015" s="39"/>
      <c r="AJ1015" s="39"/>
      <c r="AK1015" s="39"/>
      <c r="AL1015" s="39"/>
      <c r="AM1015" s="39"/>
      <c r="AN1015" s="39">
        <f t="shared" si="599"/>
        <v>0</v>
      </c>
      <c r="AO1015" s="39"/>
      <c r="AP1015" s="39"/>
      <c r="AQ1015" s="39"/>
      <c r="AR1015" s="39"/>
      <c r="AS1015" s="39"/>
      <c r="AT1015" s="39">
        <f t="shared" si="539"/>
        <v>0</v>
      </c>
      <c r="AU1015" s="39"/>
      <c r="AV1015" s="39"/>
      <c r="AW1015" s="39"/>
      <c r="AX1015" s="39"/>
      <c r="AY1015" s="39"/>
      <c r="AZ1015" s="39">
        <f t="shared" si="540"/>
        <v>0</v>
      </c>
      <c r="BA1015" s="39"/>
      <c r="BB1015" s="39"/>
      <c r="BC1015" s="39"/>
      <c r="BD1015" s="39"/>
      <c r="BE1015" s="39"/>
      <c r="BF1015" s="39">
        <f t="shared" si="541"/>
        <v>0</v>
      </c>
      <c r="BG1015" s="39"/>
      <c r="BH1015" s="39"/>
      <c r="BI1015" s="39"/>
      <c r="BJ1015" s="39"/>
      <c r="BK1015" s="39"/>
      <c r="BL1015" s="39">
        <f t="shared" si="558"/>
        <v>0</v>
      </c>
      <c r="BM1015" s="54">
        <f t="shared" ca="1" si="542"/>
        <v>46283</v>
      </c>
      <c r="BN1015" s="56">
        <v>46273</v>
      </c>
      <c r="BO1015" s="117">
        <v>46286</v>
      </c>
      <c r="BP1015" s="117"/>
      <c r="BQ1015" s="117"/>
      <c r="BR1015" s="39"/>
      <c r="BS1015" s="39"/>
      <c r="BT1015" s="39"/>
      <c r="BU1015" s="39"/>
      <c r="BV1015" s="39"/>
      <c r="BW1015" s="39"/>
      <c r="BX1015" s="39"/>
      <c r="BY1015" s="39"/>
      <c r="BZ1015" s="39">
        <f t="shared" si="559"/>
        <v>0</v>
      </c>
      <c r="CA1015" s="39">
        <f>BU1015-I1015</f>
        <v>-241</v>
      </c>
      <c r="CB1015" s="39">
        <f>BW1015-J1015</f>
        <v>0</v>
      </c>
      <c r="CC1015" s="39">
        <f>BY1015-K1015</f>
        <v>0</v>
      </c>
      <c r="CD1015" s="39">
        <f t="shared" si="560"/>
        <v>-241</v>
      </c>
      <c r="CE1015" s="102">
        <f>CD1015/L1015</f>
        <v>-1</v>
      </c>
      <c r="CF1015" s="36"/>
      <c r="CG1015" s="39" t="s">
        <v>236</v>
      </c>
      <c r="CH1015" s="39"/>
      <c r="CI1015" s="25">
        <v>1</v>
      </c>
    </row>
    <row r="1016" spans="1:87" ht="24.75" customHeight="1">
      <c r="A1016" s="36" t="s">
        <v>85</v>
      </c>
      <c r="B1016" s="55" t="s">
        <v>2454</v>
      </c>
      <c r="C1016" s="231"/>
      <c r="D1016" s="36" t="s">
        <v>37</v>
      </c>
      <c r="E1016" s="39">
        <v>180</v>
      </c>
      <c r="F1016" s="39" t="s">
        <v>53</v>
      </c>
      <c r="G1016" s="36" t="s">
        <v>2457</v>
      </c>
      <c r="H1016" s="36" t="s">
        <v>87</v>
      </c>
      <c r="I1016" s="39">
        <f>269+18</f>
        <v>287</v>
      </c>
      <c r="J1016" s="39"/>
      <c r="K1016" s="39"/>
      <c r="L1016" s="39">
        <f t="shared" si="600"/>
        <v>287</v>
      </c>
      <c r="M1016" s="117">
        <v>46260</v>
      </c>
      <c r="N1016" s="117">
        <v>46270</v>
      </c>
      <c r="O1016" s="39"/>
      <c r="P1016" s="39"/>
      <c r="Q1016" s="39"/>
      <c r="R1016" s="39">
        <f t="shared" ref="R1016:R1018" si="626">SUM(O1016:Q1016)</f>
        <v>0</v>
      </c>
      <c r="S1016" s="39" t="s">
        <v>130</v>
      </c>
      <c r="T1016" s="39"/>
      <c r="U1016" s="39"/>
      <c r="V1016" s="39"/>
      <c r="W1016" s="39"/>
      <c r="X1016" s="39"/>
      <c r="Y1016" s="39"/>
      <c r="Z1016" s="39"/>
      <c r="AA1016" s="39"/>
      <c r="AB1016" s="118">
        <f t="shared" ref="AB1016:AB1017" si="627">SUM(Y1016:AA1016)</f>
        <v>0</v>
      </c>
      <c r="AC1016" s="39"/>
      <c r="AD1016" s="39"/>
      <c r="AE1016" s="39"/>
      <c r="AF1016" s="39"/>
      <c r="AG1016" s="39"/>
      <c r="AH1016" s="39">
        <f t="shared" si="557"/>
        <v>0</v>
      </c>
      <c r="AI1016" s="39"/>
      <c r="AJ1016" s="39"/>
      <c r="AK1016" s="39"/>
      <c r="AL1016" s="39"/>
      <c r="AM1016" s="39"/>
      <c r="AN1016" s="39">
        <f t="shared" si="599"/>
        <v>0</v>
      </c>
      <c r="AO1016" s="39"/>
      <c r="AP1016" s="39"/>
      <c r="AQ1016" s="39"/>
      <c r="AR1016" s="39"/>
      <c r="AS1016" s="39"/>
      <c r="AT1016" s="39">
        <f t="shared" si="539"/>
        <v>0</v>
      </c>
      <c r="AU1016" s="39"/>
      <c r="AV1016" s="39"/>
      <c r="AW1016" s="39"/>
      <c r="AX1016" s="39"/>
      <c r="AY1016" s="39"/>
      <c r="AZ1016" s="39">
        <f t="shared" si="540"/>
        <v>0</v>
      </c>
      <c r="BA1016" s="39"/>
      <c r="BB1016" s="39"/>
      <c r="BC1016" s="39"/>
      <c r="BD1016" s="39"/>
      <c r="BE1016" s="39"/>
      <c r="BF1016" s="39">
        <f t="shared" si="541"/>
        <v>0</v>
      </c>
      <c r="BG1016" s="39"/>
      <c r="BH1016" s="39"/>
      <c r="BI1016" s="39"/>
      <c r="BJ1016" s="39"/>
      <c r="BK1016" s="39"/>
      <c r="BL1016" s="39">
        <f t="shared" si="558"/>
        <v>0</v>
      </c>
      <c r="BM1016" s="54">
        <f t="shared" ca="1" si="542"/>
        <v>46283</v>
      </c>
      <c r="BN1016" s="56">
        <v>46273</v>
      </c>
      <c r="BO1016" s="117">
        <v>46286</v>
      </c>
      <c r="BP1016" s="117">
        <v>46284</v>
      </c>
      <c r="BQ1016" s="117">
        <v>46293</v>
      </c>
      <c r="BR1016" s="39"/>
      <c r="BS1016" s="39"/>
      <c r="BT1016" s="39"/>
      <c r="BU1016" s="39"/>
      <c r="BV1016" s="39"/>
      <c r="BW1016" s="39"/>
      <c r="BX1016" s="39"/>
      <c r="BY1016" s="39"/>
      <c r="BZ1016" s="39">
        <f t="shared" si="559"/>
        <v>0</v>
      </c>
      <c r="CA1016" s="39">
        <f t="shared" ref="CA1016:CA1020" si="628">BU1016-I1016</f>
        <v>-287</v>
      </c>
      <c r="CB1016" s="39">
        <f t="shared" ref="CB1016:CB1020" si="629">BW1016-J1016</f>
        <v>0</v>
      </c>
      <c r="CC1016" s="39">
        <f t="shared" ref="CC1016:CC1020" si="630">BY1016-K1016</f>
        <v>0</v>
      </c>
      <c r="CD1016" s="39">
        <f t="shared" si="560"/>
        <v>-287</v>
      </c>
      <c r="CE1016" s="102">
        <f t="shared" ref="CE1016:CE1020" si="631">CD1016/L1016</f>
        <v>-1</v>
      </c>
      <c r="CF1016" s="36"/>
      <c r="CG1016" s="39" t="s">
        <v>236</v>
      </c>
      <c r="CH1016" s="39"/>
      <c r="CI1016" s="25">
        <v>1</v>
      </c>
    </row>
    <row r="1017" spans="1:87" ht="24.75" customHeight="1">
      <c r="A1017" s="36" t="s">
        <v>85</v>
      </c>
      <c r="B1017" s="55" t="s">
        <v>2454</v>
      </c>
      <c r="C1017" s="228"/>
      <c r="D1017" s="36"/>
      <c r="E1017" s="39">
        <v>180</v>
      </c>
      <c r="F1017" s="39" t="s">
        <v>53</v>
      </c>
      <c r="G1017" s="36" t="s">
        <v>2458</v>
      </c>
      <c r="H1017" s="36" t="s">
        <v>87</v>
      </c>
      <c r="I1017" s="39">
        <f>124+7</f>
        <v>131</v>
      </c>
      <c r="J1017" s="39"/>
      <c r="K1017" s="39"/>
      <c r="L1017" s="39">
        <f t="shared" si="600"/>
        <v>131</v>
      </c>
      <c r="M1017" s="117">
        <v>46260</v>
      </c>
      <c r="N1017" s="117">
        <v>46270</v>
      </c>
      <c r="O1017" s="39"/>
      <c r="P1017" s="39"/>
      <c r="Q1017" s="39"/>
      <c r="R1017" s="39">
        <f t="shared" si="626"/>
        <v>0</v>
      </c>
      <c r="S1017" s="39" t="s">
        <v>130</v>
      </c>
      <c r="T1017" s="39"/>
      <c r="U1017" s="39"/>
      <c r="V1017" s="39"/>
      <c r="W1017" s="39"/>
      <c r="X1017" s="39"/>
      <c r="Y1017" s="39"/>
      <c r="Z1017" s="39"/>
      <c r="AA1017" s="39"/>
      <c r="AB1017" s="118">
        <f t="shared" si="627"/>
        <v>0</v>
      </c>
      <c r="AC1017" s="39"/>
      <c r="AD1017" s="39"/>
      <c r="AE1017" s="39"/>
      <c r="AF1017" s="39"/>
      <c r="AG1017" s="39"/>
      <c r="AH1017" s="39">
        <f t="shared" si="557"/>
        <v>0</v>
      </c>
      <c r="AI1017" s="39"/>
      <c r="AJ1017" s="39"/>
      <c r="AK1017" s="39"/>
      <c r="AL1017" s="39"/>
      <c r="AM1017" s="39"/>
      <c r="AN1017" s="39">
        <f t="shared" si="599"/>
        <v>0</v>
      </c>
      <c r="AO1017" s="39"/>
      <c r="AP1017" s="39"/>
      <c r="AQ1017" s="39"/>
      <c r="AR1017" s="39"/>
      <c r="AS1017" s="39"/>
      <c r="AT1017" s="39">
        <f t="shared" si="539"/>
        <v>0</v>
      </c>
      <c r="AU1017" s="39"/>
      <c r="AV1017" s="39"/>
      <c r="AW1017" s="39"/>
      <c r="AX1017" s="39"/>
      <c r="AY1017" s="39"/>
      <c r="AZ1017" s="39">
        <f t="shared" si="540"/>
        <v>0</v>
      </c>
      <c r="BA1017" s="39"/>
      <c r="BB1017" s="39"/>
      <c r="BC1017" s="39"/>
      <c r="BD1017" s="39"/>
      <c r="BE1017" s="39"/>
      <c r="BF1017" s="39">
        <f t="shared" si="541"/>
        <v>0</v>
      </c>
      <c r="BG1017" s="39"/>
      <c r="BH1017" s="39"/>
      <c r="BI1017" s="39"/>
      <c r="BJ1017" s="39"/>
      <c r="BK1017" s="39"/>
      <c r="BL1017" s="39">
        <f t="shared" si="558"/>
        <v>0</v>
      </c>
      <c r="BM1017" s="54">
        <f t="shared" ca="1" si="542"/>
        <v>46283</v>
      </c>
      <c r="BN1017" s="56">
        <v>46273</v>
      </c>
      <c r="BO1017" s="117">
        <v>46286</v>
      </c>
      <c r="BP1017" s="117"/>
      <c r="BQ1017" s="117"/>
      <c r="BR1017" s="39"/>
      <c r="BS1017" s="39"/>
      <c r="BT1017" s="39"/>
      <c r="BU1017" s="39"/>
      <c r="BV1017" s="39"/>
      <c r="BW1017" s="39"/>
      <c r="BX1017" s="39"/>
      <c r="BY1017" s="39"/>
      <c r="BZ1017" s="39">
        <f t="shared" si="559"/>
        <v>0</v>
      </c>
      <c r="CA1017" s="39">
        <f t="shared" si="628"/>
        <v>-131</v>
      </c>
      <c r="CB1017" s="39">
        <f t="shared" si="629"/>
        <v>0</v>
      </c>
      <c r="CC1017" s="39">
        <f t="shared" si="630"/>
        <v>0</v>
      </c>
      <c r="CD1017" s="39">
        <f t="shared" si="560"/>
        <v>-131</v>
      </c>
      <c r="CE1017" s="102">
        <f t="shared" si="631"/>
        <v>-1</v>
      </c>
      <c r="CF1017" s="36"/>
      <c r="CG1017" s="39" t="s">
        <v>236</v>
      </c>
      <c r="CH1017" s="39"/>
      <c r="CI1017" s="25">
        <v>1</v>
      </c>
    </row>
    <row r="1018" spans="1:87" ht="24.75" customHeight="1">
      <c r="A1018" s="36" t="s">
        <v>85</v>
      </c>
      <c r="B1018" s="55" t="s">
        <v>2459</v>
      </c>
      <c r="C1018" s="227" t="s">
        <v>2598</v>
      </c>
      <c r="D1018" s="36"/>
      <c r="E1018" s="39">
        <v>180</v>
      </c>
      <c r="F1018" s="39" t="s">
        <v>58</v>
      </c>
      <c r="G1018" s="36" t="s">
        <v>307</v>
      </c>
      <c r="H1018" s="36" t="s">
        <v>87</v>
      </c>
      <c r="I1018" s="39">
        <f>523+67</f>
        <v>590</v>
      </c>
      <c r="J1018" s="39"/>
      <c r="K1018" s="39"/>
      <c r="L1018" s="39">
        <f t="shared" si="600"/>
        <v>590</v>
      </c>
      <c r="M1018" s="117">
        <v>46266</v>
      </c>
      <c r="N1018" s="117">
        <v>46270</v>
      </c>
      <c r="O1018" s="39"/>
      <c r="P1018" s="39"/>
      <c r="Q1018" s="39"/>
      <c r="R1018" s="39">
        <f t="shared" si="626"/>
        <v>0</v>
      </c>
      <c r="S1018" s="39" t="s">
        <v>130</v>
      </c>
      <c r="T1018" s="39"/>
      <c r="U1018" s="39"/>
      <c r="V1018" s="39"/>
      <c r="W1018" s="39"/>
      <c r="X1018" s="39"/>
      <c r="Y1018" s="39"/>
      <c r="Z1018" s="39"/>
      <c r="AA1018" s="39"/>
      <c r="AB1018" s="118">
        <f t="shared" ref="AB1018" si="632">SUM(Y1018:AA1018)</f>
        <v>0</v>
      </c>
      <c r="AC1018" s="39"/>
      <c r="AD1018" s="39"/>
      <c r="AE1018" s="39"/>
      <c r="AF1018" s="39"/>
      <c r="AG1018" s="39"/>
      <c r="AH1018" s="39">
        <f t="shared" si="557"/>
        <v>0</v>
      </c>
      <c r="AI1018" s="39"/>
      <c r="AJ1018" s="39"/>
      <c r="AK1018" s="39"/>
      <c r="AL1018" s="39"/>
      <c r="AM1018" s="39"/>
      <c r="AN1018" s="39">
        <f t="shared" si="599"/>
        <v>0</v>
      </c>
      <c r="AO1018" s="39"/>
      <c r="AP1018" s="39"/>
      <c r="AQ1018" s="39"/>
      <c r="AR1018" s="39"/>
      <c r="AS1018" s="39"/>
      <c r="AT1018" s="39">
        <f t="shared" si="539"/>
        <v>0</v>
      </c>
      <c r="AU1018" s="39"/>
      <c r="AV1018" s="39"/>
      <c r="AW1018" s="39"/>
      <c r="AX1018" s="39"/>
      <c r="AY1018" s="39"/>
      <c r="AZ1018" s="39">
        <f t="shared" si="540"/>
        <v>0</v>
      </c>
      <c r="BA1018" s="39"/>
      <c r="BB1018" s="39"/>
      <c r="BC1018" s="39"/>
      <c r="BD1018" s="39"/>
      <c r="BE1018" s="39"/>
      <c r="BF1018" s="39">
        <f t="shared" si="541"/>
        <v>0</v>
      </c>
      <c r="BG1018" s="39"/>
      <c r="BH1018" s="39"/>
      <c r="BI1018" s="39"/>
      <c r="BJ1018" s="39"/>
      <c r="BK1018" s="39"/>
      <c r="BL1018" s="39">
        <f t="shared" si="558"/>
        <v>0</v>
      </c>
      <c r="BM1018" s="54">
        <f t="shared" ca="1" si="542"/>
        <v>46283</v>
      </c>
      <c r="BN1018" s="56">
        <v>46275</v>
      </c>
      <c r="BO1018" s="117">
        <v>46286</v>
      </c>
      <c r="BP1018" s="39"/>
      <c r="BQ1018" s="39"/>
      <c r="BR1018" s="39"/>
      <c r="BS1018" s="39"/>
      <c r="BT1018" s="39"/>
      <c r="BU1018" s="39"/>
      <c r="BV1018" s="39"/>
      <c r="BW1018" s="39"/>
      <c r="BX1018" s="39"/>
      <c r="BY1018" s="39"/>
      <c r="BZ1018" s="39">
        <f t="shared" si="559"/>
        <v>0</v>
      </c>
      <c r="CA1018" s="39">
        <f t="shared" si="628"/>
        <v>-590</v>
      </c>
      <c r="CB1018" s="39">
        <f t="shared" si="629"/>
        <v>0</v>
      </c>
      <c r="CC1018" s="39">
        <f t="shared" si="630"/>
        <v>0</v>
      </c>
      <c r="CD1018" s="39">
        <f t="shared" si="560"/>
        <v>-590</v>
      </c>
      <c r="CE1018" s="102">
        <f t="shared" si="631"/>
        <v>-1</v>
      </c>
      <c r="CF1018" s="36"/>
      <c r="CG1018" s="39" t="s">
        <v>236</v>
      </c>
      <c r="CH1018" s="39"/>
      <c r="CI1018" s="25">
        <v>1</v>
      </c>
    </row>
    <row r="1019" spans="1:87" ht="24.75" customHeight="1">
      <c r="A1019" s="36" t="s">
        <v>85</v>
      </c>
      <c r="B1019" s="55" t="s">
        <v>2459</v>
      </c>
      <c r="C1019" s="228"/>
      <c r="D1019" s="36"/>
      <c r="E1019" s="39">
        <v>180</v>
      </c>
      <c r="F1019" s="39" t="s">
        <v>58</v>
      </c>
      <c r="G1019" s="36" t="s">
        <v>2460</v>
      </c>
      <c r="H1019" s="36" t="s">
        <v>87</v>
      </c>
      <c r="I1019" s="39">
        <f>134+26</f>
        <v>160</v>
      </c>
      <c r="J1019" s="39"/>
      <c r="K1019" s="39"/>
      <c r="L1019" s="39">
        <f t="shared" si="600"/>
        <v>160</v>
      </c>
      <c r="M1019" s="117">
        <v>46266</v>
      </c>
      <c r="N1019" s="117">
        <v>46270</v>
      </c>
      <c r="O1019" s="39"/>
      <c r="P1019" s="39"/>
      <c r="Q1019" s="39"/>
      <c r="R1019" s="39">
        <f t="shared" ref="R1019:R1020" si="633">SUM(O1019:Q1019)</f>
        <v>0</v>
      </c>
      <c r="S1019" s="39" t="s">
        <v>130</v>
      </c>
      <c r="T1019" s="39"/>
      <c r="U1019" s="39"/>
      <c r="V1019" s="39"/>
      <c r="W1019" s="39"/>
      <c r="X1019" s="39"/>
      <c r="Y1019" s="39"/>
      <c r="Z1019" s="39"/>
      <c r="AA1019" s="39"/>
      <c r="AB1019" s="118">
        <f t="shared" ref="AB1019:AB1020" si="634">SUM(Y1019:AA1019)</f>
        <v>0</v>
      </c>
      <c r="AC1019" s="39"/>
      <c r="AD1019" s="39"/>
      <c r="AE1019" s="39"/>
      <c r="AF1019" s="39"/>
      <c r="AG1019" s="39"/>
      <c r="AH1019" s="39">
        <f t="shared" si="557"/>
        <v>0</v>
      </c>
      <c r="AI1019" s="39"/>
      <c r="AJ1019" s="39"/>
      <c r="AK1019" s="39"/>
      <c r="AL1019" s="39"/>
      <c r="AM1019" s="39"/>
      <c r="AN1019" s="39">
        <f t="shared" si="599"/>
        <v>0</v>
      </c>
      <c r="AO1019" s="39"/>
      <c r="AP1019" s="39"/>
      <c r="AQ1019" s="39"/>
      <c r="AR1019" s="39"/>
      <c r="AS1019" s="39"/>
      <c r="AT1019" s="39">
        <f t="shared" si="539"/>
        <v>0</v>
      </c>
      <c r="AU1019" s="39"/>
      <c r="AV1019" s="39"/>
      <c r="AW1019" s="39"/>
      <c r="AX1019" s="39"/>
      <c r="AY1019" s="39"/>
      <c r="AZ1019" s="39">
        <f t="shared" si="540"/>
        <v>0</v>
      </c>
      <c r="BA1019" s="39"/>
      <c r="BB1019" s="39"/>
      <c r="BC1019" s="39"/>
      <c r="BD1019" s="39"/>
      <c r="BE1019" s="39"/>
      <c r="BF1019" s="39">
        <f t="shared" si="541"/>
        <v>0</v>
      </c>
      <c r="BG1019" s="39"/>
      <c r="BH1019" s="39"/>
      <c r="BI1019" s="39"/>
      <c r="BJ1019" s="39"/>
      <c r="BK1019" s="39"/>
      <c r="BL1019" s="39">
        <f t="shared" si="558"/>
        <v>0</v>
      </c>
      <c r="BM1019" s="54">
        <f t="shared" ca="1" si="542"/>
        <v>46283</v>
      </c>
      <c r="BN1019" s="56">
        <v>46275</v>
      </c>
      <c r="BO1019" s="117">
        <v>46286</v>
      </c>
      <c r="BP1019" s="39"/>
      <c r="BQ1019" s="39"/>
      <c r="BR1019" s="39"/>
      <c r="BS1019" s="39"/>
      <c r="BT1019" s="39"/>
      <c r="BU1019" s="39"/>
      <c r="BV1019" s="39"/>
      <c r="BW1019" s="39"/>
      <c r="BX1019" s="39"/>
      <c r="BY1019" s="39"/>
      <c r="BZ1019" s="39">
        <f t="shared" si="559"/>
        <v>0</v>
      </c>
      <c r="CA1019" s="39">
        <f t="shared" si="628"/>
        <v>-160</v>
      </c>
      <c r="CB1019" s="39">
        <f t="shared" si="629"/>
        <v>0</v>
      </c>
      <c r="CC1019" s="39">
        <f t="shared" si="630"/>
        <v>0</v>
      </c>
      <c r="CD1019" s="39">
        <f t="shared" si="560"/>
        <v>-160</v>
      </c>
      <c r="CE1019" s="102">
        <f t="shared" si="631"/>
        <v>-1</v>
      </c>
      <c r="CF1019" s="36"/>
      <c r="CG1019" s="39" t="s">
        <v>236</v>
      </c>
      <c r="CH1019" s="39"/>
      <c r="CI1019" s="25">
        <v>1</v>
      </c>
    </row>
    <row r="1020" spans="1:87" ht="24.75" customHeight="1">
      <c r="A1020" s="36" t="s">
        <v>85</v>
      </c>
      <c r="B1020" s="55">
        <v>48724</v>
      </c>
      <c r="C1020" s="227" t="s">
        <v>2956</v>
      </c>
      <c r="D1020" s="36"/>
      <c r="E1020" s="39">
        <v>180</v>
      </c>
      <c r="F1020" s="39" t="s">
        <v>53</v>
      </c>
      <c r="G1020" s="36" t="s">
        <v>101</v>
      </c>
      <c r="H1020" s="36" t="s">
        <v>87</v>
      </c>
      <c r="I1020" s="39">
        <f>914-40+65</f>
        <v>939</v>
      </c>
      <c r="J1020" s="39"/>
      <c r="K1020" s="39"/>
      <c r="L1020" s="39">
        <f t="shared" si="600"/>
        <v>939</v>
      </c>
      <c r="M1020" s="117">
        <v>46261</v>
      </c>
      <c r="N1020" s="117">
        <v>46273</v>
      </c>
      <c r="O1020" s="39"/>
      <c r="P1020" s="39"/>
      <c r="Q1020" s="39"/>
      <c r="R1020" s="39">
        <f t="shared" si="633"/>
        <v>0</v>
      </c>
      <c r="S1020" s="39" t="s">
        <v>130</v>
      </c>
      <c r="T1020" s="39"/>
      <c r="U1020" s="39"/>
      <c r="V1020" s="39"/>
      <c r="W1020" s="39"/>
      <c r="X1020" s="39"/>
      <c r="Y1020" s="39"/>
      <c r="Z1020" s="39"/>
      <c r="AA1020" s="39"/>
      <c r="AB1020" s="118">
        <f t="shared" si="634"/>
        <v>0</v>
      </c>
      <c r="AC1020" s="39"/>
      <c r="AD1020" s="39"/>
      <c r="AE1020" s="39"/>
      <c r="AF1020" s="39"/>
      <c r="AG1020" s="39"/>
      <c r="AH1020" s="39">
        <f t="shared" si="557"/>
        <v>0</v>
      </c>
      <c r="AI1020" s="39"/>
      <c r="AJ1020" s="39"/>
      <c r="AK1020" s="39"/>
      <c r="AL1020" s="39"/>
      <c r="AM1020" s="39"/>
      <c r="AN1020" s="39">
        <f t="shared" si="599"/>
        <v>0</v>
      </c>
      <c r="AO1020" s="39"/>
      <c r="AP1020" s="39"/>
      <c r="AQ1020" s="39"/>
      <c r="AR1020" s="39"/>
      <c r="AS1020" s="39"/>
      <c r="AT1020" s="39">
        <f t="shared" si="539"/>
        <v>0</v>
      </c>
      <c r="AU1020" s="39"/>
      <c r="AV1020" s="39"/>
      <c r="AW1020" s="39"/>
      <c r="AX1020" s="39"/>
      <c r="AY1020" s="39"/>
      <c r="AZ1020" s="39">
        <f t="shared" si="540"/>
        <v>0</v>
      </c>
      <c r="BA1020" s="39"/>
      <c r="BB1020" s="39"/>
      <c r="BC1020" s="39"/>
      <c r="BD1020" s="39"/>
      <c r="BE1020" s="39"/>
      <c r="BF1020" s="39">
        <f t="shared" si="541"/>
        <v>0</v>
      </c>
      <c r="BG1020" s="39"/>
      <c r="BH1020" s="39"/>
      <c r="BI1020" s="39"/>
      <c r="BJ1020" s="39"/>
      <c r="BK1020" s="39"/>
      <c r="BL1020" s="39">
        <f t="shared" si="558"/>
        <v>0</v>
      </c>
      <c r="BM1020" s="54">
        <f t="shared" ca="1" si="542"/>
        <v>46283</v>
      </c>
      <c r="BN1020" s="56">
        <v>46272</v>
      </c>
      <c r="BO1020" s="117">
        <v>46288</v>
      </c>
      <c r="BP1020" s="39"/>
      <c r="BQ1020" s="39"/>
      <c r="BR1020" s="39"/>
      <c r="BS1020" s="39"/>
      <c r="BT1020" s="39"/>
      <c r="BU1020" s="39"/>
      <c r="BV1020" s="39"/>
      <c r="BW1020" s="39"/>
      <c r="BX1020" s="39"/>
      <c r="BY1020" s="39"/>
      <c r="BZ1020" s="39">
        <f t="shared" si="559"/>
        <v>0</v>
      </c>
      <c r="CA1020" s="39">
        <f t="shared" si="628"/>
        <v>-939</v>
      </c>
      <c r="CB1020" s="39">
        <f t="shared" si="629"/>
        <v>0</v>
      </c>
      <c r="CC1020" s="39">
        <f t="shared" si="630"/>
        <v>0</v>
      </c>
      <c r="CD1020" s="39">
        <f t="shared" si="560"/>
        <v>-939</v>
      </c>
      <c r="CE1020" s="102">
        <f t="shared" si="631"/>
        <v>-1</v>
      </c>
      <c r="CF1020" s="36"/>
      <c r="CG1020" s="39" t="s">
        <v>236</v>
      </c>
      <c r="CH1020" s="39"/>
      <c r="CI1020" s="25">
        <v>1</v>
      </c>
    </row>
    <row r="1021" spans="1:87" ht="24.75" customHeight="1">
      <c r="A1021" s="36" t="s">
        <v>85</v>
      </c>
      <c r="B1021" s="55">
        <v>48724</v>
      </c>
      <c r="C1021" s="231"/>
      <c r="D1021" s="36"/>
      <c r="E1021" s="39">
        <v>180</v>
      </c>
      <c r="F1021" s="39" t="s">
        <v>53</v>
      </c>
      <c r="G1021" s="36" t="s">
        <v>2564</v>
      </c>
      <c r="H1021" s="36" t="s">
        <v>87</v>
      </c>
      <c r="I1021" s="39">
        <f>688-31+49</f>
        <v>706</v>
      </c>
      <c r="J1021" s="39"/>
      <c r="K1021" s="39"/>
      <c r="L1021" s="39">
        <f t="shared" ref="L1021:L1028" si="635">SUM(I1021:K1021)</f>
        <v>706</v>
      </c>
      <c r="M1021" s="117">
        <v>46261</v>
      </c>
      <c r="N1021" s="117">
        <v>46273</v>
      </c>
      <c r="O1021" s="39"/>
      <c r="P1021" s="39"/>
      <c r="Q1021" s="39"/>
      <c r="R1021" s="39">
        <f t="shared" ref="R1021:R1024" si="636">SUM(O1021:Q1021)</f>
        <v>0</v>
      </c>
      <c r="S1021" s="39" t="s">
        <v>130</v>
      </c>
      <c r="T1021" s="39"/>
      <c r="U1021" s="39"/>
      <c r="V1021" s="39"/>
      <c r="W1021" s="39"/>
      <c r="X1021" s="39"/>
      <c r="Y1021" s="39"/>
      <c r="Z1021" s="39"/>
      <c r="AA1021" s="39"/>
      <c r="AB1021" s="118">
        <f t="shared" ref="AB1021:AB1027" si="637">SUM(Y1021:AA1021)</f>
        <v>0</v>
      </c>
      <c r="AC1021" s="39"/>
      <c r="AD1021" s="39"/>
      <c r="AE1021" s="39"/>
      <c r="AF1021" s="39"/>
      <c r="AG1021" s="39"/>
      <c r="AH1021" s="39">
        <f t="shared" si="557"/>
        <v>0</v>
      </c>
      <c r="AI1021" s="39"/>
      <c r="AJ1021" s="39"/>
      <c r="AK1021" s="39"/>
      <c r="AL1021" s="39"/>
      <c r="AM1021" s="39"/>
      <c r="AN1021" s="39">
        <f t="shared" si="599"/>
        <v>0</v>
      </c>
      <c r="AO1021" s="39"/>
      <c r="AP1021" s="39"/>
      <c r="AQ1021" s="39"/>
      <c r="AR1021" s="39"/>
      <c r="AS1021" s="39"/>
      <c r="AT1021" s="39">
        <f t="shared" si="539"/>
        <v>0</v>
      </c>
      <c r="AU1021" s="39"/>
      <c r="AV1021" s="39"/>
      <c r="AW1021" s="39"/>
      <c r="AX1021" s="39"/>
      <c r="AY1021" s="39"/>
      <c r="AZ1021" s="39">
        <f t="shared" si="540"/>
        <v>0</v>
      </c>
      <c r="BA1021" s="39"/>
      <c r="BB1021" s="39"/>
      <c r="BC1021" s="39"/>
      <c r="BD1021" s="39"/>
      <c r="BE1021" s="39"/>
      <c r="BF1021" s="39">
        <f t="shared" si="541"/>
        <v>0</v>
      </c>
      <c r="BG1021" s="39"/>
      <c r="BH1021" s="39"/>
      <c r="BI1021" s="39"/>
      <c r="BJ1021" s="39"/>
      <c r="BK1021" s="39"/>
      <c r="BL1021" s="39">
        <f t="shared" si="558"/>
        <v>0</v>
      </c>
      <c r="BM1021" s="54">
        <f t="shared" ca="1" si="542"/>
        <v>46283</v>
      </c>
      <c r="BN1021" s="56">
        <v>46272</v>
      </c>
      <c r="BO1021" s="117">
        <v>46288</v>
      </c>
      <c r="BP1021" s="39"/>
      <c r="BQ1021" s="39"/>
      <c r="BR1021" s="39"/>
      <c r="BS1021" s="39"/>
      <c r="BT1021" s="39"/>
      <c r="BU1021" s="39"/>
      <c r="BV1021" s="39"/>
      <c r="BW1021" s="39"/>
      <c r="BX1021" s="39"/>
      <c r="BY1021" s="39"/>
      <c r="BZ1021" s="39">
        <f t="shared" si="559"/>
        <v>0</v>
      </c>
      <c r="CA1021" s="39">
        <f>BU1021-I1021</f>
        <v>-706</v>
      </c>
      <c r="CB1021" s="39">
        <f>BW1021-J1021</f>
        <v>0</v>
      </c>
      <c r="CC1021" s="39">
        <f>BY1021-K1021</f>
        <v>0</v>
      </c>
      <c r="CD1021" s="39">
        <f t="shared" si="560"/>
        <v>-706</v>
      </c>
      <c r="CE1021" s="102">
        <f>CD1021/L1021</f>
        <v>-1</v>
      </c>
      <c r="CF1021" s="36"/>
      <c r="CG1021" s="39" t="s">
        <v>236</v>
      </c>
      <c r="CH1021" s="39"/>
      <c r="CI1021" s="25">
        <v>1</v>
      </c>
    </row>
    <row r="1022" spans="1:87" ht="24.75" customHeight="1">
      <c r="A1022" s="36" t="s">
        <v>85</v>
      </c>
      <c r="B1022" s="55">
        <v>48724</v>
      </c>
      <c r="C1022" s="231"/>
      <c r="D1022" s="36"/>
      <c r="E1022" s="39">
        <v>180</v>
      </c>
      <c r="F1022" s="39" t="s">
        <v>53</v>
      </c>
      <c r="G1022" s="36" t="s">
        <v>2565</v>
      </c>
      <c r="H1022" s="36" t="s">
        <v>87</v>
      </c>
      <c r="I1022" s="39">
        <f>315-13+21</f>
        <v>323</v>
      </c>
      <c r="J1022" s="39"/>
      <c r="K1022" s="39"/>
      <c r="L1022" s="39">
        <f t="shared" si="635"/>
        <v>323</v>
      </c>
      <c r="M1022" s="117">
        <v>46261</v>
      </c>
      <c r="N1022" s="117">
        <v>46273</v>
      </c>
      <c r="O1022" s="39"/>
      <c r="P1022" s="39"/>
      <c r="Q1022" s="39"/>
      <c r="R1022" s="39">
        <f t="shared" si="636"/>
        <v>0</v>
      </c>
      <c r="S1022" s="39" t="s">
        <v>130</v>
      </c>
      <c r="T1022" s="39"/>
      <c r="U1022" s="39"/>
      <c r="V1022" s="39"/>
      <c r="W1022" s="39"/>
      <c r="X1022" s="39"/>
      <c r="Y1022" s="39"/>
      <c r="Z1022" s="39"/>
      <c r="AA1022" s="39"/>
      <c r="AB1022" s="118">
        <f t="shared" si="637"/>
        <v>0</v>
      </c>
      <c r="AC1022" s="39"/>
      <c r="AD1022" s="39"/>
      <c r="AE1022" s="39"/>
      <c r="AF1022" s="39"/>
      <c r="AG1022" s="39"/>
      <c r="AH1022" s="39">
        <f t="shared" si="557"/>
        <v>0</v>
      </c>
      <c r="AI1022" s="39"/>
      <c r="AJ1022" s="39"/>
      <c r="AK1022" s="39"/>
      <c r="AL1022" s="39"/>
      <c r="AM1022" s="39"/>
      <c r="AN1022" s="39">
        <f t="shared" si="599"/>
        <v>0</v>
      </c>
      <c r="AO1022" s="39"/>
      <c r="AP1022" s="39"/>
      <c r="AQ1022" s="39"/>
      <c r="AR1022" s="39"/>
      <c r="AS1022" s="39"/>
      <c r="AT1022" s="39">
        <f t="shared" si="539"/>
        <v>0</v>
      </c>
      <c r="AU1022" s="39"/>
      <c r="AV1022" s="39"/>
      <c r="AW1022" s="39"/>
      <c r="AX1022" s="39"/>
      <c r="AY1022" s="39"/>
      <c r="AZ1022" s="39">
        <f t="shared" si="540"/>
        <v>0</v>
      </c>
      <c r="BA1022" s="39"/>
      <c r="BB1022" s="39"/>
      <c r="BC1022" s="39"/>
      <c r="BD1022" s="39"/>
      <c r="BE1022" s="39"/>
      <c r="BF1022" s="39">
        <f t="shared" si="541"/>
        <v>0</v>
      </c>
      <c r="BG1022" s="39"/>
      <c r="BH1022" s="39"/>
      <c r="BI1022" s="39"/>
      <c r="BJ1022" s="39"/>
      <c r="BK1022" s="39"/>
      <c r="BL1022" s="39">
        <f t="shared" si="558"/>
        <v>0</v>
      </c>
      <c r="BM1022" s="54">
        <f t="shared" ca="1" si="542"/>
        <v>46283</v>
      </c>
      <c r="BN1022" s="56">
        <v>46272</v>
      </c>
      <c r="BO1022" s="117">
        <v>46288</v>
      </c>
      <c r="BP1022" s="39"/>
      <c r="BQ1022" s="39"/>
      <c r="BR1022" s="39"/>
      <c r="BS1022" s="39"/>
      <c r="BT1022" s="39"/>
      <c r="BU1022" s="39"/>
      <c r="BV1022" s="39"/>
      <c r="BW1022" s="39"/>
      <c r="BX1022" s="39"/>
      <c r="BY1022" s="39"/>
      <c r="BZ1022" s="39">
        <f t="shared" si="559"/>
        <v>0</v>
      </c>
      <c r="CA1022" s="39">
        <f t="shared" ref="CA1022:CA1025" si="638">BU1022-I1022</f>
        <v>-323</v>
      </c>
      <c r="CB1022" s="39">
        <f t="shared" ref="CB1022:CB1025" si="639">BW1022-J1022</f>
        <v>0</v>
      </c>
      <c r="CC1022" s="39">
        <f t="shared" ref="CC1022:CC1025" si="640">BY1022-K1022</f>
        <v>0</v>
      </c>
      <c r="CD1022" s="39">
        <f t="shared" si="560"/>
        <v>-323</v>
      </c>
      <c r="CE1022" s="102">
        <f t="shared" ref="CE1022:CE1025" si="641">CD1022/L1022</f>
        <v>-1</v>
      </c>
      <c r="CF1022" s="36"/>
      <c r="CG1022" s="39" t="s">
        <v>236</v>
      </c>
      <c r="CH1022" s="39"/>
      <c r="CI1022" s="25">
        <v>1</v>
      </c>
    </row>
    <row r="1023" spans="1:87" ht="24.75" customHeight="1">
      <c r="A1023" s="36" t="s">
        <v>85</v>
      </c>
      <c r="B1023" s="55">
        <v>48724</v>
      </c>
      <c r="C1023" s="231"/>
      <c r="D1023" s="36"/>
      <c r="E1023" s="39">
        <v>180</v>
      </c>
      <c r="F1023" s="39" t="s">
        <v>53</v>
      </c>
      <c r="G1023" s="36" t="s">
        <v>313</v>
      </c>
      <c r="H1023" s="36" t="s">
        <v>87</v>
      </c>
      <c r="I1023" s="39">
        <f>143-6+9</f>
        <v>146</v>
      </c>
      <c r="J1023" s="39"/>
      <c r="K1023" s="39"/>
      <c r="L1023" s="39">
        <f t="shared" si="635"/>
        <v>146</v>
      </c>
      <c r="M1023" s="117">
        <v>46261</v>
      </c>
      <c r="N1023" s="117">
        <v>46273</v>
      </c>
      <c r="O1023" s="39"/>
      <c r="P1023" s="39"/>
      <c r="Q1023" s="39"/>
      <c r="R1023" s="39">
        <f t="shared" si="636"/>
        <v>0</v>
      </c>
      <c r="S1023" s="39" t="s">
        <v>130</v>
      </c>
      <c r="T1023" s="39"/>
      <c r="U1023" s="39"/>
      <c r="V1023" s="39"/>
      <c r="W1023" s="39"/>
      <c r="X1023" s="39"/>
      <c r="Y1023" s="39"/>
      <c r="Z1023" s="39"/>
      <c r="AA1023" s="39"/>
      <c r="AB1023" s="118">
        <f t="shared" si="637"/>
        <v>0</v>
      </c>
      <c r="AC1023" s="39"/>
      <c r="AD1023" s="39"/>
      <c r="AE1023" s="39"/>
      <c r="AF1023" s="39"/>
      <c r="AG1023" s="39"/>
      <c r="AH1023" s="39">
        <f t="shared" si="557"/>
        <v>0</v>
      </c>
      <c r="AI1023" s="39"/>
      <c r="AJ1023" s="39"/>
      <c r="AK1023" s="39"/>
      <c r="AL1023" s="39"/>
      <c r="AM1023" s="39"/>
      <c r="AN1023" s="39">
        <f t="shared" si="599"/>
        <v>0</v>
      </c>
      <c r="AO1023" s="39"/>
      <c r="AP1023" s="39"/>
      <c r="AQ1023" s="39"/>
      <c r="AR1023" s="39"/>
      <c r="AS1023" s="39"/>
      <c r="AT1023" s="39">
        <f t="shared" si="539"/>
        <v>0</v>
      </c>
      <c r="AU1023" s="39"/>
      <c r="AV1023" s="39"/>
      <c r="AW1023" s="39"/>
      <c r="AX1023" s="39"/>
      <c r="AY1023" s="39"/>
      <c r="AZ1023" s="39">
        <f t="shared" si="540"/>
        <v>0</v>
      </c>
      <c r="BA1023" s="39"/>
      <c r="BB1023" s="39"/>
      <c r="BC1023" s="39"/>
      <c r="BD1023" s="39"/>
      <c r="BE1023" s="39"/>
      <c r="BF1023" s="39">
        <f t="shared" si="541"/>
        <v>0</v>
      </c>
      <c r="BG1023" s="39"/>
      <c r="BH1023" s="39"/>
      <c r="BI1023" s="39"/>
      <c r="BJ1023" s="39"/>
      <c r="BK1023" s="39"/>
      <c r="BL1023" s="39">
        <f t="shared" si="558"/>
        <v>0</v>
      </c>
      <c r="BM1023" s="54">
        <f t="shared" ca="1" si="542"/>
        <v>46283</v>
      </c>
      <c r="BN1023" s="56">
        <v>46272</v>
      </c>
      <c r="BO1023" s="117">
        <v>46288</v>
      </c>
      <c r="BP1023" s="39"/>
      <c r="BQ1023" s="39"/>
      <c r="BR1023" s="39"/>
      <c r="BS1023" s="39"/>
      <c r="BT1023" s="39"/>
      <c r="BU1023" s="39"/>
      <c r="BV1023" s="39"/>
      <c r="BW1023" s="39"/>
      <c r="BX1023" s="39"/>
      <c r="BY1023" s="39"/>
      <c r="BZ1023" s="39">
        <f t="shared" si="559"/>
        <v>0</v>
      </c>
      <c r="CA1023" s="39">
        <f t="shared" si="638"/>
        <v>-146</v>
      </c>
      <c r="CB1023" s="39">
        <f t="shared" si="639"/>
        <v>0</v>
      </c>
      <c r="CC1023" s="39">
        <f t="shared" si="640"/>
        <v>0</v>
      </c>
      <c r="CD1023" s="39">
        <f t="shared" si="560"/>
        <v>-146</v>
      </c>
      <c r="CE1023" s="102">
        <f t="shared" si="641"/>
        <v>-1</v>
      </c>
      <c r="CF1023" s="36"/>
      <c r="CG1023" s="39" t="s">
        <v>236</v>
      </c>
      <c r="CH1023" s="39"/>
      <c r="CI1023" s="25">
        <v>1</v>
      </c>
    </row>
    <row r="1024" spans="1:87" ht="24.75" customHeight="1">
      <c r="A1024" s="36" t="s">
        <v>85</v>
      </c>
      <c r="B1024" s="55">
        <v>48724</v>
      </c>
      <c r="C1024" s="228"/>
      <c r="D1024" s="36"/>
      <c r="E1024" s="39">
        <v>180</v>
      </c>
      <c r="F1024" s="39" t="s">
        <v>53</v>
      </c>
      <c r="G1024" s="36" t="s">
        <v>2566</v>
      </c>
      <c r="H1024" s="36" t="s">
        <v>87</v>
      </c>
      <c r="I1024" s="39">
        <f>96-4+6</f>
        <v>98</v>
      </c>
      <c r="J1024" s="39"/>
      <c r="K1024" s="39"/>
      <c r="L1024" s="39">
        <f t="shared" si="635"/>
        <v>98</v>
      </c>
      <c r="M1024" s="117">
        <v>46261</v>
      </c>
      <c r="N1024" s="117">
        <v>46273</v>
      </c>
      <c r="O1024" s="39"/>
      <c r="P1024" s="39"/>
      <c r="Q1024" s="39"/>
      <c r="R1024" s="39">
        <f t="shared" si="636"/>
        <v>0</v>
      </c>
      <c r="S1024" s="39" t="s">
        <v>130</v>
      </c>
      <c r="T1024" s="39"/>
      <c r="U1024" s="39"/>
      <c r="V1024" s="39"/>
      <c r="W1024" s="39"/>
      <c r="X1024" s="39"/>
      <c r="Y1024" s="39"/>
      <c r="Z1024" s="39"/>
      <c r="AA1024" s="39"/>
      <c r="AB1024" s="118">
        <f t="shared" si="637"/>
        <v>0</v>
      </c>
      <c r="AC1024" s="39"/>
      <c r="AD1024" s="39"/>
      <c r="AE1024" s="39"/>
      <c r="AF1024" s="39"/>
      <c r="AG1024" s="39"/>
      <c r="AH1024" s="39">
        <f t="shared" si="557"/>
        <v>0</v>
      </c>
      <c r="AI1024" s="39"/>
      <c r="AJ1024" s="39"/>
      <c r="AK1024" s="39"/>
      <c r="AL1024" s="39"/>
      <c r="AM1024" s="39"/>
      <c r="AN1024" s="39">
        <f t="shared" si="599"/>
        <v>0</v>
      </c>
      <c r="AO1024" s="39"/>
      <c r="AP1024" s="39"/>
      <c r="AQ1024" s="39"/>
      <c r="AR1024" s="39"/>
      <c r="AS1024" s="39"/>
      <c r="AT1024" s="39">
        <f t="shared" si="539"/>
        <v>0</v>
      </c>
      <c r="AU1024" s="39"/>
      <c r="AV1024" s="39"/>
      <c r="AW1024" s="39"/>
      <c r="AX1024" s="39"/>
      <c r="AY1024" s="39"/>
      <c r="AZ1024" s="39">
        <f t="shared" si="540"/>
        <v>0</v>
      </c>
      <c r="BA1024" s="39"/>
      <c r="BB1024" s="39"/>
      <c r="BC1024" s="39"/>
      <c r="BD1024" s="39"/>
      <c r="BE1024" s="39"/>
      <c r="BF1024" s="39">
        <f t="shared" si="541"/>
        <v>0</v>
      </c>
      <c r="BG1024" s="39"/>
      <c r="BH1024" s="39"/>
      <c r="BI1024" s="39"/>
      <c r="BJ1024" s="39"/>
      <c r="BK1024" s="39"/>
      <c r="BL1024" s="39">
        <f t="shared" si="558"/>
        <v>0</v>
      </c>
      <c r="BM1024" s="54">
        <f t="shared" ca="1" si="542"/>
        <v>46283</v>
      </c>
      <c r="BN1024" s="56">
        <v>46272</v>
      </c>
      <c r="BO1024" s="117">
        <v>46288</v>
      </c>
      <c r="BP1024" s="39"/>
      <c r="BQ1024" s="39"/>
      <c r="BR1024" s="39"/>
      <c r="BS1024" s="39"/>
      <c r="BT1024" s="39"/>
      <c r="BU1024" s="39"/>
      <c r="BV1024" s="39"/>
      <c r="BW1024" s="39"/>
      <c r="BX1024" s="39"/>
      <c r="BY1024" s="39"/>
      <c r="BZ1024" s="39">
        <f t="shared" si="559"/>
        <v>0</v>
      </c>
      <c r="CA1024" s="39">
        <f t="shared" si="638"/>
        <v>-98</v>
      </c>
      <c r="CB1024" s="39">
        <f t="shared" si="639"/>
        <v>0</v>
      </c>
      <c r="CC1024" s="39">
        <f t="shared" si="640"/>
        <v>0</v>
      </c>
      <c r="CD1024" s="39">
        <f t="shared" si="560"/>
        <v>-98</v>
      </c>
      <c r="CE1024" s="102">
        <f t="shared" si="641"/>
        <v>-1</v>
      </c>
      <c r="CF1024" s="36"/>
      <c r="CG1024" s="39" t="s">
        <v>236</v>
      </c>
      <c r="CH1024" s="39"/>
      <c r="CI1024" s="25">
        <v>1</v>
      </c>
    </row>
    <row r="1025" spans="1:87" ht="24.75" customHeight="1">
      <c r="A1025" s="36" t="s">
        <v>85</v>
      </c>
      <c r="B1025" s="55">
        <v>48751</v>
      </c>
      <c r="C1025" s="227" t="s">
        <v>2567</v>
      </c>
      <c r="D1025" s="36"/>
      <c r="E1025" s="39">
        <v>180</v>
      </c>
      <c r="F1025" s="39" t="s">
        <v>53</v>
      </c>
      <c r="G1025" s="36" t="s">
        <v>21</v>
      </c>
      <c r="H1025" s="36" t="s">
        <v>87</v>
      </c>
      <c r="I1025" s="39">
        <v>390</v>
      </c>
      <c r="J1025" s="39"/>
      <c r="K1025" s="39"/>
      <c r="L1025" s="39">
        <f t="shared" si="635"/>
        <v>390</v>
      </c>
      <c r="M1025" s="117">
        <v>46266</v>
      </c>
      <c r="N1025" s="117">
        <v>46269</v>
      </c>
      <c r="O1025" s="39"/>
      <c r="P1025" s="39"/>
      <c r="Q1025" s="39"/>
      <c r="R1025" s="39">
        <f t="shared" ref="R1025:R1027" si="642">SUM(O1025:Q1025)</f>
        <v>0</v>
      </c>
      <c r="S1025" s="39" t="s">
        <v>130</v>
      </c>
      <c r="T1025" s="39"/>
      <c r="U1025" s="39"/>
      <c r="V1025" s="39"/>
      <c r="W1025" s="39"/>
      <c r="X1025" s="39"/>
      <c r="Y1025" s="39"/>
      <c r="Z1025" s="39"/>
      <c r="AA1025" s="39"/>
      <c r="AB1025" s="118">
        <f t="shared" si="637"/>
        <v>0</v>
      </c>
      <c r="AC1025" s="39"/>
      <c r="AD1025" s="39"/>
      <c r="AE1025" s="39"/>
      <c r="AF1025" s="39"/>
      <c r="AG1025" s="39"/>
      <c r="AH1025" s="39">
        <f t="shared" si="557"/>
        <v>0</v>
      </c>
      <c r="AI1025" s="39"/>
      <c r="AJ1025" s="39"/>
      <c r="AK1025" s="39"/>
      <c r="AL1025" s="39"/>
      <c r="AM1025" s="39"/>
      <c r="AN1025" s="39">
        <f t="shared" si="599"/>
        <v>0</v>
      </c>
      <c r="AO1025" s="39"/>
      <c r="AP1025" s="39"/>
      <c r="AQ1025" s="39"/>
      <c r="AR1025" s="39"/>
      <c r="AS1025" s="39"/>
      <c r="AT1025" s="39">
        <f t="shared" si="539"/>
        <v>0</v>
      </c>
      <c r="AU1025" s="39"/>
      <c r="AV1025" s="39"/>
      <c r="AW1025" s="39"/>
      <c r="AX1025" s="39"/>
      <c r="AY1025" s="39"/>
      <c r="AZ1025" s="39">
        <f t="shared" si="540"/>
        <v>0</v>
      </c>
      <c r="BA1025" s="39"/>
      <c r="BB1025" s="39"/>
      <c r="BC1025" s="39"/>
      <c r="BD1025" s="39"/>
      <c r="BE1025" s="39"/>
      <c r="BF1025" s="39">
        <f t="shared" si="541"/>
        <v>0</v>
      </c>
      <c r="BG1025" s="39"/>
      <c r="BH1025" s="39"/>
      <c r="BI1025" s="39"/>
      <c r="BJ1025" s="39"/>
      <c r="BK1025" s="39"/>
      <c r="BL1025" s="39">
        <f t="shared" si="558"/>
        <v>0</v>
      </c>
      <c r="BM1025" s="54">
        <f t="shared" ca="1" si="542"/>
        <v>46283</v>
      </c>
      <c r="BN1025" s="56">
        <v>46272</v>
      </c>
      <c r="BO1025" s="117">
        <v>46284</v>
      </c>
      <c r="BP1025" s="39"/>
      <c r="BQ1025" s="39"/>
      <c r="BR1025" s="39"/>
      <c r="BS1025" s="39"/>
      <c r="BT1025" s="39"/>
      <c r="BU1025" s="39"/>
      <c r="BV1025" s="39"/>
      <c r="BW1025" s="39"/>
      <c r="BX1025" s="39"/>
      <c r="BY1025" s="39"/>
      <c r="BZ1025" s="39">
        <f t="shared" si="559"/>
        <v>0</v>
      </c>
      <c r="CA1025" s="39">
        <f t="shared" si="638"/>
        <v>-390</v>
      </c>
      <c r="CB1025" s="39">
        <f t="shared" si="639"/>
        <v>0</v>
      </c>
      <c r="CC1025" s="39">
        <f t="shared" si="640"/>
        <v>0</v>
      </c>
      <c r="CD1025" s="39">
        <f t="shared" si="560"/>
        <v>-390</v>
      </c>
      <c r="CE1025" s="102">
        <f t="shared" si="641"/>
        <v>-1</v>
      </c>
      <c r="CF1025" s="36"/>
      <c r="CG1025" s="39" t="s">
        <v>236</v>
      </c>
      <c r="CH1025" s="39"/>
      <c r="CI1025" s="25">
        <v>1</v>
      </c>
    </row>
    <row r="1026" spans="1:87" ht="24.75" customHeight="1">
      <c r="A1026" s="36" t="s">
        <v>85</v>
      </c>
      <c r="B1026" s="55">
        <v>48751</v>
      </c>
      <c r="C1026" s="228"/>
      <c r="D1026" s="36"/>
      <c r="E1026" s="39">
        <v>180</v>
      </c>
      <c r="F1026" s="39" t="s">
        <v>53</v>
      </c>
      <c r="G1026" s="36" t="s">
        <v>2568</v>
      </c>
      <c r="H1026" s="36" t="s">
        <v>87</v>
      </c>
      <c r="I1026" s="39">
        <v>160</v>
      </c>
      <c r="J1026" s="39"/>
      <c r="K1026" s="39"/>
      <c r="L1026" s="39">
        <f t="shared" si="635"/>
        <v>160</v>
      </c>
      <c r="M1026" s="117">
        <v>46266</v>
      </c>
      <c r="N1026" s="117">
        <v>46269</v>
      </c>
      <c r="O1026" s="39"/>
      <c r="P1026" s="39"/>
      <c r="Q1026" s="39"/>
      <c r="R1026" s="39">
        <f t="shared" ref="R1026" si="643">SUM(O1026:Q1026)</f>
        <v>0</v>
      </c>
      <c r="S1026" s="39" t="s">
        <v>130</v>
      </c>
      <c r="T1026" s="39"/>
      <c r="U1026" s="39"/>
      <c r="V1026" s="39"/>
      <c r="W1026" s="39"/>
      <c r="X1026" s="39"/>
      <c r="Y1026" s="39"/>
      <c r="Z1026" s="39"/>
      <c r="AA1026" s="39"/>
      <c r="AB1026" s="118">
        <f t="shared" ref="AB1026" si="644">SUM(Y1026:AA1026)</f>
        <v>0</v>
      </c>
      <c r="AC1026" s="39"/>
      <c r="AD1026" s="39"/>
      <c r="AE1026" s="39"/>
      <c r="AF1026" s="39"/>
      <c r="AG1026" s="39"/>
      <c r="AH1026" s="39">
        <f t="shared" si="557"/>
        <v>0</v>
      </c>
      <c r="AI1026" s="39"/>
      <c r="AJ1026" s="39"/>
      <c r="AK1026" s="39"/>
      <c r="AL1026" s="39"/>
      <c r="AM1026" s="39"/>
      <c r="AN1026" s="39">
        <f t="shared" si="599"/>
        <v>0</v>
      </c>
      <c r="AO1026" s="39"/>
      <c r="AP1026" s="39"/>
      <c r="AQ1026" s="39"/>
      <c r="AR1026" s="39"/>
      <c r="AS1026" s="39"/>
      <c r="AT1026" s="39">
        <f t="shared" si="539"/>
        <v>0</v>
      </c>
      <c r="AU1026" s="39"/>
      <c r="AV1026" s="39"/>
      <c r="AW1026" s="39"/>
      <c r="AX1026" s="39"/>
      <c r="AY1026" s="39"/>
      <c r="AZ1026" s="39">
        <f t="shared" si="540"/>
        <v>0</v>
      </c>
      <c r="BA1026" s="39"/>
      <c r="BB1026" s="39"/>
      <c r="BC1026" s="39"/>
      <c r="BD1026" s="39"/>
      <c r="BE1026" s="39"/>
      <c r="BF1026" s="39">
        <f t="shared" si="541"/>
        <v>0</v>
      </c>
      <c r="BG1026" s="39"/>
      <c r="BH1026" s="39"/>
      <c r="BI1026" s="39"/>
      <c r="BJ1026" s="39"/>
      <c r="BK1026" s="39"/>
      <c r="BL1026" s="39">
        <f t="shared" si="558"/>
        <v>0</v>
      </c>
      <c r="BM1026" s="54">
        <f t="shared" ca="1" si="542"/>
        <v>46283</v>
      </c>
      <c r="BN1026" s="56">
        <v>46272</v>
      </c>
      <c r="BO1026" s="117">
        <v>46284</v>
      </c>
      <c r="BP1026" s="39"/>
      <c r="BQ1026" s="39"/>
      <c r="BR1026" s="39"/>
      <c r="BS1026" s="39"/>
      <c r="BT1026" s="39"/>
      <c r="BU1026" s="39"/>
      <c r="BV1026" s="39"/>
      <c r="BW1026" s="39"/>
      <c r="BX1026" s="39"/>
      <c r="BY1026" s="39"/>
      <c r="BZ1026" s="39">
        <f t="shared" si="559"/>
        <v>0</v>
      </c>
      <c r="CA1026" s="39">
        <f>BU1026-I1026</f>
        <v>-160</v>
      </c>
      <c r="CB1026" s="39">
        <f>BW1026-J1026</f>
        <v>0</v>
      </c>
      <c r="CC1026" s="39">
        <f>BY1026-K1026</f>
        <v>0</v>
      </c>
      <c r="CD1026" s="39">
        <f t="shared" si="560"/>
        <v>-160</v>
      </c>
      <c r="CE1026" s="102">
        <f>CD1026/L1026</f>
        <v>-1</v>
      </c>
      <c r="CF1026" s="36"/>
      <c r="CG1026" s="39" t="s">
        <v>236</v>
      </c>
      <c r="CH1026" s="39"/>
      <c r="CI1026" s="25">
        <v>1</v>
      </c>
    </row>
    <row r="1027" spans="1:87" ht="24.75" customHeight="1">
      <c r="A1027" s="36" t="s">
        <v>85</v>
      </c>
      <c r="B1027" s="55" t="s">
        <v>2569</v>
      </c>
      <c r="C1027" s="227" t="s">
        <v>2674</v>
      </c>
      <c r="D1027" s="36"/>
      <c r="E1027" s="39">
        <v>180</v>
      </c>
      <c r="F1027" s="39" t="s">
        <v>53</v>
      </c>
      <c r="G1027" s="36" t="s">
        <v>21</v>
      </c>
      <c r="H1027" s="36" t="s">
        <v>87</v>
      </c>
      <c r="I1027" s="39">
        <f>152+33</f>
        <v>185</v>
      </c>
      <c r="J1027" s="39"/>
      <c r="K1027" s="39"/>
      <c r="L1027" s="39">
        <f t="shared" si="635"/>
        <v>185</v>
      </c>
      <c r="M1027" s="117">
        <v>46259</v>
      </c>
      <c r="N1027" s="117">
        <v>46268</v>
      </c>
      <c r="O1027" s="39"/>
      <c r="P1027" s="39"/>
      <c r="Q1027" s="39"/>
      <c r="R1027" s="39">
        <f t="shared" si="642"/>
        <v>0</v>
      </c>
      <c r="S1027" s="39" t="s">
        <v>130</v>
      </c>
      <c r="T1027" s="39"/>
      <c r="U1027" s="39"/>
      <c r="V1027" s="39"/>
      <c r="W1027" s="39"/>
      <c r="X1027" s="39"/>
      <c r="Y1027" s="39"/>
      <c r="Z1027" s="39"/>
      <c r="AA1027" s="39"/>
      <c r="AB1027" s="118">
        <f t="shared" si="637"/>
        <v>0</v>
      </c>
      <c r="AC1027" s="39"/>
      <c r="AD1027" s="39"/>
      <c r="AE1027" s="39"/>
      <c r="AF1027" s="39"/>
      <c r="AG1027" s="39"/>
      <c r="AH1027" s="39">
        <f t="shared" si="557"/>
        <v>0</v>
      </c>
      <c r="AI1027" s="39"/>
      <c r="AJ1027" s="39"/>
      <c r="AK1027" s="39"/>
      <c r="AL1027" s="39"/>
      <c r="AM1027" s="39"/>
      <c r="AN1027" s="39">
        <f t="shared" si="599"/>
        <v>0</v>
      </c>
      <c r="AO1027" s="39"/>
      <c r="AP1027" s="39"/>
      <c r="AQ1027" s="39"/>
      <c r="AR1027" s="39"/>
      <c r="AS1027" s="39"/>
      <c r="AT1027" s="39">
        <f t="shared" si="539"/>
        <v>0</v>
      </c>
      <c r="AU1027" s="39"/>
      <c r="AV1027" s="39"/>
      <c r="AW1027" s="39"/>
      <c r="AX1027" s="39"/>
      <c r="AY1027" s="39"/>
      <c r="AZ1027" s="39">
        <f t="shared" si="540"/>
        <v>0</v>
      </c>
      <c r="BA1027" s="39"/>
      <c r="BB1027" s="39"/>
      <c r="BC1027" s="39"/>
      <c r="BD1027" s="39"/>
      <c r="BE1027" s="39"/>
      <c r="BF1027" s="39">
        <f t="shared" si="541"/>
        <v>0</v>
      </c>
      <c r="BG1027" s="39"/>
      <c r="BH1027" s="39"/>
      <c r="BI1027" s="39"/>
      <c r="BJ1027" s="39"/>
      <c r="BK1027" s="39"/>
      <c r="BL1027" s="39">
        <f t="shared" si="558"/>
        <v>0</v>
      </c>
      <c r="BM1027" s="54">
        <f t="shared" ca="1" si="542"/>
        <v>46283</v>
      </c>
      <c r="BN1027" s="56">
        <v>46270</v>
      </c>
      <c r="BO1027" s="117">
        <v>46283</v>
      </c>
      <c r="BP1027" s="39"/>
      <c r="BQ1027" s="39"/>
      <c r="BR1027" s="39"/>
      <c r="BS1027" s="39"/>
      <c r="BT1027" s="39"/>
      <c r="BU1027" s="39"/>
      <c r="BV1027" s="39"/>
      <c r="BW1027" s="39"/>
      <c r="BX1027" s="39"/>
      <c r="BY1027" s="39"/>
      <c r="BZ1027" s="39">
        <f t="shared" si="559"/>
        <v>0</v>
      </c>
      <c r="CA1027" s="39">
        <f t="shared" ref="CA1027:CA1028" si="645">BU1027-I1027</f>
        <v>-185</v>
      </c>
      <c r="CB1027" s="39">
        <f t="shared" ref="CB1027:CB1028" si="646">BW1027-J1027</f>
        <v>0</v>
      </c>
      <c r="CC1027" s="39">
        <f t="shared" ref="CC1027:CC1028" si="647">BY1027-K1027</f>
        <v>0</v>
      </c>
      <c r="CD1027" s="39">
        <f t="shared" si="560"/>
        <v>-185</v>
      </c>
      <c r="CE1027" s="102">
        <f t="shared" ref="CE1027:CE1028" si="648">CD1027/L1027</f>
        <v>-1</v>
      </c>
      <c r="CF1027" s="36"/>
      <c r="CG1027" s="39" t="s">
        <v>236</v>
      </c>
      <c r="CH1027" s="39"/>
      <c r="CI1027" s="25">
        <v>1</v>
      </c>
    </row>
    <row r="1028" spans="1:87" ht="24.75" customHeight="1">
      <c r="A1028" s="36" t="s">
        <v>85</v>
      </c>
      <c r="B1028" s="55" t="s">
        <v>2569</v>
      </c>
      <c r="C1028" s="231"/>
      <c r="D1028" s="36"/>
      <c r="E1028" s="39">
        <v>180</v>
      </c>
      <c r="F1028" s="39" t="s">
        <v>53</v>
      </c>
      <c r="G1028" s="36" t="s">
        <v>392</v>
      </c>
      <c r="H1028" s="36" t="s">
        <v>87</v>
      </c>
      <c r="I1028" s="39">
        <f>71+15</f>
        <v>86</v>
      </c>
      <c r="J1028" s="39"/>
      <c r="K1028" s="39"/>
      <c r="L1028" s="39">
        <f t="shared" si="635"/>
        <v>86</v>
      </c>
      <c r="M1028" s="117">
        <v>46259</v>
      </c>
      <c r="N1028" s="117">
        <v>46268</v>
      </c>
      <c r="O1028" s="39"/>
      <c r="P1028" s="39"/>
      <c r="Q1028" s="39"/>
      <c r="R1028" s="39">
        <f t="shared" ref="R1028:R1031" si="649">SUM(O1028:Q1028)</f>
        <v>0</v>
      </c>
      <c r="S1028" s="39" t="s">
        <v>130</v>
      </c>
      <c r="T1028" s="39"/>
      <c r="U1028" s="39"/>
      <c r="V1028" s="39"/>
      <c r="W1028" s="39"/>
      <c r="X1028" s="39"/>
      <c r="Y1028" s="39"/>
      <c r="Z1028" s="39"/>
      <c r="AA1028" s="39"/>
      <c r="AB1028" s="118">
        <f t="shared" ref="AB1028:AB1031" si="650">SUM(Y1028:AA1028)</f>
        <v>0</v>
      </c>
      <c r="AC1028" s="39"/>
      <c r="AD1028" s="39"/>
      <c r="AE1028" s="39"/>
      <c r="AF1028" s="39"/>
      <c r="AG1028" s="39"/>
      <c r="AH1028" s="39">
        <f t="shared" si="557"/>
        <v>0</v>
      </c>
      <c r="AI1028" s="39"/>
      <c r="AJ1028" s="39"/>
      <c r="AK1028" s="39"/>
      <c r="AL1028" s="39"/>
      <c r="AM1028" s="39"/>
      <c r="AN1028" s="39">
        <f t="shared" si="599"/>
        <v>0</v>
      </c>
      <c r="AO1028" s="39"/>
      <c r="AP1028" s="39"/>
      <c r="AQ1028" s="39"/>
      <c r="AR1028" s="39"/>
      <c r="AS1028" s="39"/>
      <c r="AT1028" s="39">
        <f t="shared" si="539"/>
        <v>0</v>
      </c>
      <c r="AU1028" s="39"/>
      <c r="AV1028" s="39"/>
      <c r="AW1028" s="39"/>
      <c r="AX1028" s="39"/>
      <c r="AY1028" s="39"/>
      <c r="AZ1028" s="39">
        <f t="shared" si="540"/>
        <v>0</v>
      </c>
      <c r="BA1028" s="39"/>
      <c r="BB1028" s="39"/>
      <c r="BC1028" s="39"/>
      <c r="BD1028" s="39"/>
      <c r="BE1028" s="39"/>
      <c r="BF1028" s="39">
        <f t="shared" si="541"/>
        <v>0</v>
      </c>
      <c r="BG1028" s="39"/>
      <c r="BH1028" s="39"/>
      <c r="BI1028" s="39"/>
      <c r="BJ1028" s="39"/>
      <c r="BK1028" s="39"/>
      <c r="BL1028" s="39">
        <f t="shared" si="558"/>
        <v>0</v>
      </c>
      <c r="BM1028" s="54">
        <f t="shared" ca="1" si="542"/>
        <v>46283</v>
      </c>
      <c r="BN1028" s="56">
        <v>46270</v>
      </c>
      <c r="BO1028" s="117">
        <v>46283</v>
      </c>
      <c r="BP1028" s="39"/>
      <c r="BQ1028" s="39"/>
      <c r="BR1028" s="39"/>
      <c r="BS1028" s="39"/>
      <c r="BT1028" s="39"/>
      <c r="BU1028" s="39"/>
      <c r="BV1028" s="39"/>
      <c r="BW1028" s="39"/>
      <c r="BX1028" s="39"/>
      <c r="BY1028" s="39"/>
      <c r="BZ1028" s="39">
        <f t="shared" si="559"/>
        <v>0</v>
      </c>
      <c r="CA1028" s="39">
        <f t="shared" si="645"/>
        <v>-86</v>
      </c>
      <c r="CB1028" s="39">
        <f t="shared" si="646"/>
        <v>0</v>
      </c>
      <c r="CC1028" s="39">
        <f t="shared" si="647"/>
        <v>0</v>
      </c>
      <c r="CD1028" s="39">
        <f t="shared" si="560"/>
        <v>-86</v>
      </c>
      <c r="CE1028" s="102">
        <f t="shared" si="648"/>
        <v>-1</v>
      </c>
      <c r="CF1028" s="36"/>
      <c r="CG1028" s="39" t="s">
        <v>236</v>
      </c>
      <c r="CH1028" s="39"/>
      <c r="CI1028" s="25">
        <v>1</v>
      </c>
    </row>
    <row r="1029" spans="1:87" ht="24.75" customHeight="1">
      <c r="A1029" s="36" t="s">
        <v>85</v>
      </c>
      <c r="B1029" s="55" t="s">
        <v>2569</v>
      </c>
      <c r="C1029" s="231"/>
      <c r="D1029" s="36"/>
      <c r="E1029" s="39">
        <v>180</v>
      </c>
      <c r="F1029" s="39" t="s">
        <v>53</v>
      </c>
      <c r="G1029" s="36" t="s">
        <v>2570</v>
      </c>
      <c r="H1029" s="36" t="s">
        <v>87</v>
      </c>
      <c r="I1029" s="39">
        <f>523+32</f>
        <v>555</v>
      </c>
      <c r="J1029" s="39"/>
      <c r="K1029" s="39"/>
      <c r="L1029" s="39">
        <f t="shared" si="600"/>
        <v>555</v>
      </c>
      <c r="M1029" s="117">
        <v>46259</v>
      </c>
      <c r="N1029" s="117">
        <v>46268</v>
      </c>
      <c r="O1029" s="39"/>
      <c r="P1029" s="39"/>
      <c r="Q1029" s="39"/>
      <c r="R1029" s="39">
        <f t="shared" si="649"/>
        <v>0</v>
      </c>
      <c r="S1029" s="39" t="s">
        <v>130</v>
      </c>
      <c r="T1029" s="39"/>
      <c r="U1029" s="39"/>
      <c r="V1029" s="39"/>
      <c r="W1029" s="39"/>
      <c r="X1029" s="39"/>
      <c r="Y1029" s="39"/>
      <c r="Z1029" s="39"/>
      <c r="AA1029" s="39"/>
      <c r="AB1029" s="118">
        <f t="shared" si="650"/>
        <v>0</v>
      </c>
      <c r="AC1029" s="39"/>
      <c r="AD1029" s="39"/>
      <c r="AE1029" s="39"/>
      <c r="AF1029" s="39"/>
      <c r="AG1029" s="39"/>
      <c r="AH1029" s="39">
        <f t="shared" si="557"/>
        <v>0</v>
      </c>
      <c r="AI1029" s="39"/>
      <c r="AJ1029" s="39"/>
      <c r="AK1029" s="39"/>
      <c r="AL1029" s="39"/>
      <c r="AM1029" s="39"/>
      <c r="AN1029" s="39">
        <f t="shared" si="599"/>
        <v>0</v>
      </c>
      <c r="AO1029" s="39"/>
      <c r="AP1029" s="39"/>
      <c r="AQ1029" s="39"/>
      <c r="AR1029" s="39"/>
      <c r="AS1029" s="39"/>
      <c r="AT1029" s="39">
        <f t="shared" si="539"/>
        <v>0</v>
      </c>
      <c r="AU1029" s="39"/>
      <c r="AV1029" s="39"/>
      <c r="AW1029" s="39"/>
      <c r="AX1029" s="39"/>
      <c r="AY1029" s="39"/>
      <c r="AZ1029" s="39">
        <f t="shared" si="540"/>
        <v>0</v>
      </c>
      <c r="BA1029" s="39"/>
      <c r="BB1029" s="39"/>
      <c r="BC1029" s="39"/>
      <c r="BD1029" s="39"/>
      <c r="BE1029" s="39"/>
      <c r="BF1029" s="39">
        <f t="shared" si="541"/>
        <v>0</v>
      </c>
      <c r="BG1029" s="39"/>
      <c r="BH1029" s="39"/>
      <c r="BI1029" s="39"/>
      <c r="BJ1029" s="39"/>
      <c r="BK1029" s="39"/>
      <c r="BL1029" s="39">
        <f t="shared" si="558"/>
        <v>0</v>
      </c>
      <c r="BM1029" s="54">
        <f t="shared" ca="1" si="542"/>
        <v>46283</v>
      </c>
      <c r="BN1029" s="56">
        <v>46270</v>
      </c>
      <c r="BO1029" s="117">
        <v>46283</v>
      </c>
      <c r="BP1029" s="39"/>
      <c r="BQ1029" s="39"/>
      <c r="BR1029" s="39"/>
      <c r="BS1029" s="39"/>
      <c r="BT1029" s="39"/>
      <c r="BU1029" s="39"/>
      <c r="BV1029" s="39"/>
      <c r="BW1029" s="39"/>
      <c r="BX1029" s="39"/>
      <c r="BY1029" s="39"/>
      <c r="BZ1029" s="39">
        <f t="shared" si="559"/>
        <v>0</v>
      </c>
      <c r="CA1029" s="39">
        <f>BU1029-I1029</f>
        <v>-555</v>
      </c>
      <c r="CB1029" s="39">
        <f>BW1029-J1029</f>
        <v>0</v>
      </c>
      <c r="CC1029" s="39">
        <f>BY1029-K1029</f>
        <v>0</v>
      </c>
      <c r="CD1029" s="39">
        <f t="shared" si="560"/>
        <v>-555</v>
      </c>
      <c r="CE1029" s="102">
        <f>CD1029/L1029</f>
        <v>-1</v>
      </c>
      <c r="CF1029" s="36"/>
      <c r="CG1029" s="39" t="s">
        <v>236</v>
      </c>
      <c r="CH1029" s="39"/>
      <c r="CI1029" s="25">
        <v>1</v>
      </c>
    </row>
    <row r="1030" spans="1:87" ht="24.75" customHeight="1">
      <c r="A1030" s="36" t="s">
        <v>85</v>
      </c>
      <c r="B1030" s="55" t="s">
        <v>2569</v>
      </c>
      <c r="C1030" s="228"/>
      <c r="D1030" s="36"/>
      <c r="E1030" s="39">
        <v>180</v>
      </c>
      <c r="F1030" s="39" t="s">
        <v>53</v>
      </c>
      <c r="G1030" s="36" t="s">
        <v>2571</v>
      </c>
      <c r="H1030" s="36" t="s">
        <v>87</v>
      </c>
      <c r="I1030" s="39">
        <f>240+14</f>
        <v>254</v>
      </c>
      <c r="J1030" s="39"/>
      <c r="K1030" s="39"/>
      <c r="L1030" s="39">
        <f t="shared" si="600"/>
        <v>254</v>
      </c>
      <c r="M1030" s="117">
        <v>46259</v>
      </c>
      <c r="N1030" s="117">
        <v>46268</v>
      </c>
      <c r="O1030" s="39"/>
      <c r="P1030" s="39"/>
      <c r="Q1030" s="39"/>
      <c r="R1030" s="39">
        <f t="shared" si="649"/>
        <v>0</v>
      </c>
      <c r="S1030" s="39" t="s">
        <v>130</v>
      </c>
      <c r="T1030" s="39"/>
      <c r="U1030" s="39"/>
      <c r="V1030" s="39"/>
      <c r="W1030" s="39"/>
      <c r="X1030" s="39"/>
      <c r="Y1030" s="39"/>
      <c r="Z1030" s="39"/>
      <c r="AA1030" s="39"/>
      <c r="AB1030" s="118">
        <f t="shared" si="650"/>
        <v>0</v>
      </c>
      <c r="AC1030" s="39"/>
      <c r="AD1030" s="39"/>
      <c r="AE1030" s="39"/>
      <c r="AF1030" s="39"/>
      <c r="AG1030" s="39"/>
      <c r="AH1030" s="39">
        <f t="shared" si="557"/>
        <v>0</v>
      </c>
      <c r="AI1030" s="39"/>
      <c r="AJ1030" s="39"/>
      <c r="AK1030" s="39"/>
      <c r="AL1030" s="39"/>
      <c r="AM1030" s="39"/>
      <c r="AN1030" s="39">
        <f t="shared" si="599"/>
        <v>0</v>
      </c>
      <c r="AO1030" s="39"/>
      <c r="AP1030" s="39"/>
      <c r="AQ1030" s="39"/>
      <c r="AR1030" s="39"/>
      <c r="AS1030" s="39"/>
      <c r="AT1030" s="39">
        <f t="shared" si="539"/>
        <v>0</v>
      </c>
      <c r="AU1030" s="39"/>
      <c r="AV1030" s="39"/>
      <c r="AW1030" s="39"/>
      <c r="AX1030" s="39"/>
      <c r="AY1030" s="39"/>
      <c r="AZ1030" s="39">
        <f t="shared" si="540"/>
        <v>0</v>
      </c>
      <c r="BA1030" s="39"/>
      <c r="BB1030" s="39"/>
      <c r="BC1030" s="39"/>
      <c r="BD1030" s="39"/>
      <c r="BE1030" s="39"/>
      <c r="BF1030" s="39">
        <f t="shared" si="541"/>
        <v>0</v>
      </c>
      <c r="BG1030" s="39"/>
      <c r="BH1030" s="39"/>
      <c r="BI1030" s="39"/>
      <c r="BJ1030" s="39"/>
      <c r="BK1030" s="39"/>
      <c r="BL1030" s="39">
        <f t="shared" si="558"/>
        <v>0</v>
      </c>
      <c r="BM1030" s="54">
        <f t="shared" ca="1" si="542"/>
        <v>46283</v>
      </c>
      <c r="BN1030" s="56">
        <v>46270</v>
      </c>
      <c r="BO1030" s="117">
        <v>46283</v>
      </c>
      <c r="BP1030" s="39"/>
      <c r="BQ1030" s="39"/>
      <c r="BR1030" s="39"/>
      <c r="BS1030" s="39"/>
      <c r="BT1030" s="39"/>
      <c r="BU1030" s="39"/>
      <c r="BV1030" s="39"/>
      <c r="BW1030" s="39"/>
      <c r="BX1030" s="39"/>
      <c r="BY1030" s="39"/>
      <c r="BZ1030" s="39">
        <f t="shared" si="559"/>
        <v>0</v>
      </c>
      <c r="CA1030" s="39">
        <f t="shared" ref="CA1030:CA1032" si="651">BU1030-I1030</f>
        <v>-254</v>
      </c>
      <c r="CB1030" s="39">
        <f t="shared" ref="CB1030:CB1032" si="652">BW1030-J1030</f>
        <v>0</v>
      </c>
      <c r="CC1030" s="39">
        <f t="shared" ref="CC1030:CC1032" si="653">BY1030-K1030</f>
        <v>0</v>
      </c>
      <c r="CD1030" s="39">
        <f t="shared" si="560"/>
        <v>-254</v>
      </c>
      <c r="CE1030" s="102">
        <f t="shared" ref="CE1030:CE1032" si="654">CD1030/L1030</f>
        <v>-1</v>
      </c>
      <c r="CF1030" s="36"/>
      <c r="CG1030" s="39" t="s">
        <v>236</v>
      </c>
      <c r="CH1030" s="39"/>
      <c r="CI1030" s="25">
        <v>1</v>
      </c>
    </row>
    <row r="1031" spans="1:87" ht="24.75" customHeight="1">
      <c r="A1031" s="36" t="s">
        <v>85</v>
      </c>
      <c r="B1031" s="168" t="s">
        <v>3079</v>
      </c>
      <c r="C1031" s="227" t="s">
        <v>3080</v>
      </c>
      <c r="D1031" s="36"/>
      <c r="E1031" s="39">
        <v>180</v>
      </c>
      <c r="F1031" s="39" t="s">
        <v>53</v>
      </c>
      <c r="G1031" s="36" t="s">
        <v>21</v>
      </c>
      <c r="H1031" s="36" t="s">
        <v>87</v>
      </c>
      <c r="I1031" s="39">
        <v>317</v>
      </c>
      <c r="J1031" s="39"/>
      <c r="K1031" s="39"/>
      <c r="L1031" s="39">
        <f t="shared" si="600"/>
        <v>317</v>
      </c>
      <c r="M1031" s="117">
        <v>46256</v>
      </c>
      <c r="N1031" s="117">
        <v>46261</v>
      </c>
      <c r="O1031" s="39"/>
      <c r="P1031" s="39"/>
      <c r="Q1031" s="39"/>
      <c r="R1031" s="39">
        <f t="shared" si="649"/>
        <v>0</v>
      </c>
      <c r="S1031" s="39" t="s">
        <v>130</v>
      </c>
      <c r="T1031" s="39"/>
      <c r="U1031" s="39"/>
      <c r="V1031" s="39"/>
      <c r="W1031" s="39"/>
      <c r="X1031" s="39"/>
      <c r="Y1031" s="39"/>
      <c r="Z1031" s="39"/>
      <c r="AA1031" s="39"/>
      <c r="AB1031" s="118">
        <f t="shared" si="650"/>
        <v>0</v>
      </c>
      <c r="AC1031" s="39"/>
      <c r="AD1031" s="39"/>
      <c r="AE1031" s="39"/>
      <c r="AF1031" s="39"/>
      <c r="AG1031" s="39"/>
      <c r="AH1031" s="39">
        <f t="shared" si="557"/>
        <v>0</v>
      </c>
      <c r="AI1031" s="39"/>
      <c r="AJ1031" s="39"/>
      <c r="AK1031" s="39"/>
      <c r="AL1031" s="39"/>
      <c r="AM1031" s="39"/>
      <c r="AN1031" s="39">
        <f t="shared" si="599"/>
        <v>0</v>
      </c>
      <c r="AO1031" s="39"/>
      <c r="AP1031" s="39"/>
      <c r="AQ1031" s="39"/>
      <c r="AR1031" s="39"/>
      <c r="AS1031" s="39"/>
      <c r="AT1031" s="39">
        <f t="shared" si="539"/>
        <v>0</v>
      </c>
      <c r="AU1031" s="39"/>
      <c r="AV1031" s="39"/>
      <c r="AW1031" s="39"/>
      <c r="AX1031" s="39"/>
      <c r="AY1031" s="39"/>
      <c r="AZ1031" s="39">
        <f t="shared" si="540"/>
        <v>0</v>
      </c>
      <c r="BA1031" s="39"/>
      <c r="BB1031" s="39"/>
      <c r="BC1031" s="39"/>
      <c r="BD1031" s="39"/>
      <c r="BE1031" s="39"/>
      <c r="BF1031" s="39">
        <f t="shared" si="541"/>
        <v>0</v>
      </c>
      <c r="BG1031" s="39"/>
      <c r="BH1031" s="39"/>
      <c r="BI1031" s="39"/>
      <c r="BJ1031" s="39"/>
      <c r="BK1031" s="39"/>
      <c r="BL1031" s="39">
        <f t="shared" si="558"/>
        <v>0</v>
      </c>
      <c r="BM1031" s="54">
        <f t="shared" ca="1" si="542"/>
        <v>46283</v>
      </c>
      <c r="BN1031" s="56">
        <v>46267</v>
      </c>
      <c r="BO1031" s="117">
        <v>46279</v>
      </c>
      <c r="BP1031" s="39"/>
      <c r="BQ1031" s="39"/>
      <c r="BR1031" s="39"/>
      <c r="BS1031" s="39"/>
      <c r="BT1031" s="39"/>
      <c r="BU1031" s="39"/>
      <c r="BV1031" s="39"/>
      <c r="BW1031" s="39"/>
      <c r="BX1031" s="39"/>
      <c r="BY1031" s="39"/>
      <c r="BZ1031" s="39">
        <f t="shared" si="559"/>
        <v>0</v>
      </c>
      <c r="CA1031" s="39">
        <f t="shared" si="651"/>
        <v>-317</v>
      </c>
      <c r="CB1031" s="39">
        <f t="shared" si="652"/>
        <v>0</v>
      </c>
      <c r="CC1031" s="39">
        <f t="shared" si="653"/>
        <v>0</v>
      </c>
      <c r="CD1031" s="39">
        <f t="shared" si="560"/>
        <v>-317</v>
      </c>
      <c r="CE1031" s="102">
        <f t="shared" si="654"/>
        <v>-1</v>
      </c>
      <c r="CF1031" s="36"/>
      <c r="CG1031" s="39" t="s">
        <v>236</v>
      </c>
      <c r="CH1031" s="39"/>
      <c r="CI1031" s="25">
        <v>1</v>
      </c>
    </row>
    <row r="1032" spans="1:87" ht="24.75" customHeight="1">
      <c r="A1032" s="36" t="s">
        <v>85</v>
      </c>
      <c r="B1032" s="168" t="s">
        <v>3079</v>
      </c>
      <c r="C1032" s="228"/>
      <c r="D1032" s="36"/>
      <c r="E1032" s="39">
        <v>180</v>
      </c>
      <c r="F1032" s="39" t="s">
        <v>53</v>
      </c>
      <c r="G1032" s="36" t="s">
        <v>392</v>
      </c>
      <c r="H1032" s="36" t="s">
        <v>87</v>
      </c>
      <c r="I1032" s="39">
        <v>145</v>
      </c>
      <c r="J1032" s="39"/>
      <c r="K1032" s="39"/>
      <c r="L1032" s="39">
        <f t="shared" ref="L1032" si="655">SUM(I1032:K1032)</f>
        <v>145</v>
      </c>
      <c r="M1032" s="117">
        <v>46256</v>
      </c>
      <c r="N1032" s="117">
        <v>46261</v>
      </c>
      <c r="O1032" s="39"/>
      <c r="P1032" s="39"/>
      <c r="Q1032" s="39"/>
      <c r="R1032" s="39">
        <f t="shared" ref="R1032" si="656">SUM(O1032:Q1032)</f>
        <v>0</v>
      </c>
      <c r="S1032" s="39" t="s">
        <v>130</v>
      </c>
      <c r="T1032" s="39"/>
      <c r="U1032" s="39"/>
      <c r="V1032" s="39"/>
      <c r="W1032" s="39"/>
      <c r="X1032" s="39"/>
      <c r="Y1032" s="39"/>
      <c r="Z1032" s="39"/>
      <c r="AA1032" s="39"/>
      <c r="AB1032" s="118">
        <f t="shared" ref="AB1032" si="657">SUM(Y1032:AA1032)</f>
        <v>0</v>
      </c>
      <c r="AC1032" s="39"/>
      <c r="AD1032" s="39"/>
      <c r="AE1032" s="39"/>
      <c r="AF1032" s="39"/>
      <c r="AG1032" s="39"/>
      <c r="AH1032" s="39">
        <f t="shared" si="557"/>
        <v>0</v>
      </c>
      <c r="AI1032" s="39"/>
      <c r="AJ1032" s="39"/>
      <c r="AK1032" s="39"/>
      <c r="AL1032" s="39"/>
      <c r="AM1032" s="39"/>
      <c r="AN1032" s="39">
        <f t="shared" si="599"/>
        <v>0</v>
      </c>
      <c r="AO1032" s="39"/>
      <c r="AP1032" s="39"/>
      <c r="AQ1032" s="39"/>
      <c r="AR1032" s="39"/>
      <c r="AS1032" s="39"/>
      <c r="AT1032" s="39">
        <f t="shared" si="539"/>
        <v>0</v>
      </c>
      <c r="AU1032" s="39"/>
      <c r="AV1032" s="39"/>
      <c r="AW1032" s="39"/>
      <c r="AX1032" s="39"/>
      <c r="AY1032" s="39"/>
      <c r="AZ1032" s="39">
        <f t="shared" si="540"/>
        <v>0</v>
      </c>
      <c r="BA1032" s="39"/>
      <c r="BB1032" s="39"/>
      <c r="BC1032" s="39"/>
      <c r="BD1032" s="39"/>
      <c r="BE1032" s="39"/>
      <c r="BF1032" s="39">
        <f t="shared" si="541"/>
        <v>0</v>
      </c>
      <c r="BG1032" s="39"/>
      <c r="BH1032" s="39"/>
      <c r="BI1032" s="39"/>
      <c r="BJ1032" s="39"/>
      <c r="BK1032" s="39"/>
      <c r="BL1032" s="39">
        <f t="shared" si="558"/>
        <v>0</v>
      </c>
      <c r="BM1032" s="54">
        <f t="shared" ca="1" si="542"/>
        <v>46283</v>
      </c>
      <c r="BN1032" s="56">
        <v>46267</v>
      </c>
      <c r="BO1032" s="117">
        <v>46279</v>
      </c>
      <c r="BP1032" s="39"/>
      <c r="BQ1032" s="39"/>
      <c r="BR1032" s="39"/>
      <c r="BS1032" s="39"/>
      <c r="BT1032" s="39"/>
      <c r="BU1032" s="39"/>
      <c r="BV1032" s="39"/>
      <c r="BW1032" s="39"/>
      <c r="BX1032" s="39"/>
      <c r="BY1032" s="39"/>
      <c r="BZ1032" s="39">
        <f t="shared" si="559"/>
        <v>0</v>
      </c>
      <c r="CA1032" s="39">
        <f t="shared" si="651"/>
        <v>-145</v>
      </c>
      <c r="CB1032" s="39">
        <f t="shared" si="652"/>
        <v>0</v>
      </c>
      <c r="CC1032" s="39">
        <f t="shared" si="653"/>
        <v>0</v>
      </c>
      <c r="CD1032" s="39">
        <f t="shared" si="560"/>
        <v>-145</v>
      </c>
      <c r="CE1032" s="102">
        <f t="shared" si="654"/>
        <v>-1</v>
      </c>
      <c r="CF1032" s="36"/>
      <c r="CG1032" s="39" t="s">
        <v>236</v>
      </c>
      <c r="CH1032" s="39"/>
      <c r="CI1032" s="25">
        <v>1</v>
      </c>
    </row>
    <row r="1033" spans="1:87" ht="24.75" customHeight="1">
      <c r="A1033" s="36" t="s">
        <v>85</v>
      </c>
      <c r="B1033" s="55"/>
      <c r="C1033" s="36"/>
      <c r="D1033" s="36"/>
      <c r="E1033" s="39"/>
      <c r="F1033" s="39"/>
      <c r="G1033" s="36"/>
      <c r="H1033" s="39"/>
      <c r="I1033" s="39"/>
      <c r="J1033" s="39"/>
      <c r="K1033" s="39"/>
      <c r="L1033" s="39">
        <f t="shared" si="582"/>
        <v>0</v>
      </c>
      <c r="M1033" s="36"/>
      <c r="N1033" s="36"/>
      <c r="O1033" s="39"/>
      <c r="P1033" s="39"/>
      <c r="Q1033" s="39"/>
      <c r="R1033" s="39">
        <f t="shared" si="583"/>
        <v>0</v>
      </c>
      <c r="S1033" s="39"/>
      <c r="T1033" s="39"/>
      <c r="U1033" s="36"/>
      <c r="V1033" s="36"/>
      <c r="W1033" s="39"/>
      <c r="X1033" s="39"/>
      <c r="Y1033" s="39"/>
      <c r="Z1033" s="39"/>
      <c r="AA1033" s="39"/>
      <c r="AB1033" s="39">
        <f t="shared" si="584"/>
        <v>0</v>
      </c>
      <c r="AC1033" s="39"/>
      <c r="AD1033" s="39"/>
      <c r="AE1033" s="39"/>
      <c r="AF1033" s="39"/>
      <c r="AG1033" s="39"/>
      <c r="AH1033" s="39">
        <f t="shared" si="557"/>
        <v>0</v>
      </c>
      <c r="AI1033" s="39"/>
      <c r="AJ1033" s="39"/>
      <c r="AK1033" s="39"/>
      <c r="AL1033" s="39"/>
      <c r="AM1033" s="39"/>
      <c r="AN1033" s="39">
        <f t="shared" si="599"/>
        <v>0</v>
      </c>
      <c r="AO1033" s="39"/>
      <c r="AP1033" s="39"/>
      <c r="AQ1033" s="39"/>
      <c r="AR1033" s="39"/>
      <c r="AS1033" s="39"/>
      <c r="AT1033" s="39">
        <f t="shared" si="539"/>
        <v>0</v>
      </c>
      <c r="AU1033" s="39"/>
      <c r="AV1033" s="39"/>
      <c r="AW1033" s="39"/>
      <c r="AX1033" s="39"/>
      <c r="AY1033" s="39"/>
      <c r="AZ1033" s="39">
        <f t="shared" si="540"/>
        <v>0</v>
      </c>
      <c r="BA1033" s="39"/>
      <c r="BB1033" s="39"/>
      <c r="BC1033" s="39"/>
      <c r="BD1033" s="39"/>
      <c r="BE1033" s="39"/>
      <c r="BF1033" s="39">
        <f t="shared" si="541"/>
        <v>0</v>
      </c>
      <c r="BG1033" s="39"/>
      <c r="BH1033" s="39"/>
      <c r="BI1033" s="39"/>
      <c r="BJ1033" s="39"/>
      <c r="BK1033" s="39"/>
      <c r="BL1033" s="39">
        <f t="shared" si="558"/>
        <v>0</v>
      </c>
      <c r="BM1033" s="54" t="e">
        <f t="shared" si="542"/>
        <v>#DIV/0!</v>
      </c>
      <c r="BN1033" s="64"/>
      <c r="BO1033" s="36"/>
      <c r="BP1033" s="36"/>
      <c r="BQ1033" s="36"/>
      <c r="BR1033" s="39"/>
      <c r="BS1033" s="39"/>
      <c r="BT1033" s="39"/>
      <c r="BU1033" s="39"/>
      <c r="BV1033" s="39"/>
      <c r="BW1033" s="39"/>
      <c r="BX1033" s="39"/>
      <c r="BY1033" s="39"/>
      <c r="BZ1033" s="39">
        <f t="shared" si="559"/>
        <v>0</v>
      </c>
      <c r="CA1033" s="39">
        <f t="shared" si="543"/>
        <v>0</v>
      </c>
      <c r="CB1033" s="39">
        <f t="shared" si="544"/>
        <v>0</v>
      </c>
      <c r="CC1033" s="39">
        <f t="shared" si="545"/>
        <v>0</v>
      </c>
      <c r="CD1033" s="39">
        <f t="shared" si="560"/>
        <v>0</v>
      </c>
      <c r="CE1033" s="47" t="e">
        <f t="shared" si="547"/>
        <v>#DIV/0!</v>
      </c>
      <c r="CF1033" s="36"/>
      <c r="CG1033" s="39"/>
      <c r="CH1033" s="39"/>
      <c r="CI1033" s="25">
        <v>1</v>
      </c>
    </row>
    <row r="1034" spans="1:87" ht="24.75" customHeight="1">
      <c r="A1034" s="36" t="s">
        <v>85</v>
      </c>
      <c r="B1034" s="55"/>
      <c r="C1034" s="36"/>
      <c r="D1034" s="36"/>
      <c r="E1034" s="39"/>
      <c r="F1034" s="39"/>
      <c r="G1034" s="36"/>
      <c r="H1034" s="39"/>
      <c r="I1034" s="39"/>
      <c r="J1034" s="39"/>
      <c r="K1034" s="39"/>
      <c r="L1034" s="39">
        <f t="shared" si="582"/>
        <v>0</v>
      </c>
      <c r="M1034" s="36"/>
      <c r="N1034" s="36"/>
      <c r="O1034" s="39"/>
      <c r="P1034" s="39"/>
      <c r="Q1034" s="39"/>
      <c r="R1034" s="39">
        <f t="shared" si="583"/>
        <v>0</v>
      </c>
      <c r="S1034" s="39"/>
      <c r="T1034" s="39"/>
      <c r="U1034" s="39"/>
      <c r="V1034" s="39"/>
      <c r="W1034" s="39"/>
      <c r="X1034" s="39"/>
      <c r="Y1034" s="39"/>
      <c r="Z1034" s="39"/>
      <c r="AA1034" s="39"/>
      <c r="AB1034" s="39">
        <f t="shared" si="584"/>
        <v>0</v>
      </c>
      <c r="AC1034" s="39"/>
      <c r="AD1034" s="39"/>
      <c r="AE1034" s="39"/>
      <c r="AF1034" s="39"/>
      <c r="AG1034" s="39"/>
      <c r="AH1034" s="39">
        <f t="shared" si="557"/>
        <v>0</v>
      </c>
      <c r="AI1034" s="39"/>
      <c r="AJ1034" s="39"/>
      <c r="AK1034" s="39"/>
      <c r="AL1034" s="39"/>
      <c r="AM1034" s="39"/>
      <c r="AN1034" s="39">
        <f t="shared" si="599"/>
        <v>0</v>
      </c>
      <c r="AO1034" s="39"/>
      <c r="AP1034" s="39"/>
      <c r="AQ1034" s="39"/>
      <c r="AR1034" s="39"/>
      <c r="AS1034" s="39"/>
      <c r="AT1034" s="39">
        <f t="shared" si="539"/>
        <v>0</v>
      </c>
      <c r="AU1034" s="39"/>
      <c r="AV1034" s="39"/>
      <c r="AW1034" s="39"/>
      <c r="AX1034" s="39"/>
      <c r="AY1034" s="39"/>
      <c r="AZ1034" s="39">
        <f t="shared" si="540"/>
        <v>0</v>
      </c>
      <c r="BA1034" s="39"/>
      <c r="BB1034" s="39"/>
      <c r="BC1034" s="39"/>
      <c r="BD1034" s="39"/>
      <c r="BE1034" s="39"/>
      <c r="BF1034" s="39">
        <f t="shared" si="541"/>
        <v>0</v>
      </c>
      <c r="BG1034" s="39"/>
      <c r="BH1034" s="39"/>
      <c r="BI1034" s="39"/>
      <c r="BJ1034" s="39"/>
      <c r="BK1034" s="39"/>
      <c r="BL1034" s="39">
        <f t="shared" si="558"/>
        <v>0</v>
      </c>
      <c r="BM1034" s="54" t="e">
        <f t="shared" si="542"/>
        <v>#DIV/0!</v>
      </c>
      <c r="BN1034" s="64"/>
      <c r="BO1034" s="36"/>
      <c r="BP1034" s="36"/>
      <c r="BQ1034" s="36"/>
      <c r="BR1034" s="39"/>
      <c r="BS1034" s="39"/>
      <c r="BT1034" s="39"/>
      <c r="BU1034" s="39"/>
      <c r="BV1034" s="39"/>
      <c r="BW1034" s="39"/>
      <c r="BX1034" s="39"/>
      <c r="BY1034" s="39"/>
      <c r="BZ1034" s="39">
        <f t="shared" si="559"/>
        <v>0</v>
      </c>
      <c r="CA1034" s="39">
        <f t="shared" si="543"/>
        <v>0</v>
      </c>
      <c r="CB1034" s="39">
        <f t="shared" si="544"/>
        <v>0</v>
      </c>
      <c r="CC1034" s="39">
        <f t="shared" si="545"/>
        <v>0</v>
      </c>
      <c r="CD1034" s="39">
        <f t="shared" si="560"/>
        <v>0</v>
      </c>
      <c r="CE1034" s="47" t="e">
        <f t="shared" si="547"/>
        <v>#DIV/0!</v>
      </c>
      <c r="CF1034" s="36"/>
      <c r="CG1034" s="39"/>
      <c r="CH1034" s="39"/>
      <c r="CI1034" s="25">
        <v>1</v>
      </c>
    </row>
    <row r="1035" spans="1:87" ht="24.75" customHeight="1">
      <c r="A1035" s="36" t="s">
        <v>85</v>
      </c>
      <c r="B1035" s="55"/>
      <c r="C1035" s="36"/>
      <c r="D1035" s="36"/>
      <c r="E1035" s="39"/>
      <c r="F1035" s="39"/>
      <c r="G1035" s="36"/>
      <c r="H1035" s="39"/>
      <c r="I1035" s="39"/>
      <c r="J1035" s="39"/>
      <c r="K1035" s="39"/>
      <c r="L1035" s="39">
        <f t="shared" si="582"/>
        <v>0</v>
      </c>
      <c r="M1035" s="39"/>
      <c r="N1035" s="39"/>
      <c r="O1035" s="39"/>
      <c r="P1035" s="39"/>
      <c r="Q1035" s="39"/>
      <c r="R1035" s="39">
        <f t="shared" si="583"/>
        <v>0</v>
      </c>
      <c r="S1035" s="39"/>
      <c r="T1035" s="39"/>
      <c r="U1035" s="39"/>
      <c r="V1035" s="39"/>
      <c r="W1035" s="39"/>
      <c r="X1035" s="39"/>
      <c r="Y1035" s="39"/>
      <c r="Z1035" s="39"/>
      <c r="AA1035" s="39"/>
      <c r="AB1035" s="39">
        <f t="shared" si="584"/>
        <v>0</v>
      </c>
      <c r="AC1035" s="39"/>
      <c r="AD1035" s="39"/>
      <c r="AE1035" s="39"/>
      <c r="AF1035" s="39"/>
      <c r="AG1035" s="39"/>
      <c r="AH1035" s="39">
        <f t="shared" si="557"/>
        <v>0</v>
      </c>
      <c r="AI1035" s="39"/>
      <c r="AJ1035" s="39"/>
      <c r="AK1035" s="39"/>
      <c r="AL1035" s="39"/>
      <c r="AM1035" s="39"/>
      <c r="AN1035" s="39">
        <f>AM1035-AK1035</f>
        <v>0</v>
      </c>
      <c r="AO1035" s="39"/>
      <c r="AP1035" s="39"/>
      <c r="AQ1035" s="39"/>
      <c r="AR1035" s="39"/>
      <c r="AS1035" s="39"/>
      <c r="AT1035" s="39">
        <f>AS1035-AQ1035</f>
        <v>0</v>
      </c>
      <c r="AU1035" s="39"/>
      <c r="AV1035" s="39"/>
      <c r="AW1035" s="39"/>
      <c r="AX1035" s="39"/>
      <c r="AY1035" s="39"/>
      <c r="AZ1035" s="39">
        <f>AY1035-AW1035</f>
        <v>0</v>
      </c>
      <c r="BA1035" s="39"/>
      <c r="BB1035" s="39"/>
      <c r="BC1035" s="39"/>
      <c r="BD1035" s="39"/>
      <c r="BE1035" s="39"/>
      <c r="BF1035" s="39">
        <f>BE1035-BC1035</f>
        <v>0</v>
      </c>
      <c r="BG1035" s="39"/>
      <c r="BH1035" s="39"/>
      <c r="BI1035" s="39"/>
      <c r="BJ1035" s="39"/>
      <c r="BK1035" s="39"/>
      <c r="BL1035" s="39">
        <f t="shared" si="558"/>
        <v>0</v>
      </c>
      <c r="BM1035" s="54" t="e">
        <f>IF((BZ1035/L1035)&lt;0.9,$CO$1-U1035,"")</f>
        <v>#DIV/0!</v>
      </c>
      <c r="BN1035" s="42"/>
      <c r="BO1035" s="39"/>
      <c r="BP1035" s="39"/>
      <c r="BQ1035" s="39"/>
      <c r="BR1035" s="39"/>
      <c r="BS1035" s="39"/>
      <c r="BT1035" s="39"/>
      <c r="BU1035" s="39"/>
      <c r="BV1035" s="39"/>
      <c r="BW1035" s="39"/>
      <c r="BX1035" s="39"/>
      <c r="BY1035" s="39"/>
      <c r="BZ1035" s="39">
        <f t="shared" si="559"/>
        <v>0</v>
      </c>
      <c r="CA1035" s="39">
        <f>BU1035-I1035</f>
        <v>0</v>
      </c>
      <c r="CB1035" s="39">
        <f>BW1035-J1035</f>
        <v>0</v>
      </c>
      <c r="CC1035" s="39">
        <f>BY1035-K1035</f>
        <v>0</v>
      </c>
      <c r="CD1035" s="39">
        <f t="shared" si="560"/>
        <v>0</v>
      </c>
      <c r="CE1035" s="47" t="e">
        <f>CD1035/L1035</f>
        <v>#DIV/0!</v>
      </c>
      <c r="CF1035" s="36"/>
      <c r="CG1035" s="39"/>
      <c r="CH1035" s="39"/>
      <c r="CI1035" s="25">
        <v>1</v>
      </c>
    </row>
    <row r="1036" spans="1:87" ht="24.75" customHeight="1">
      <c r="A1036" s="36" t="s">
        <v>85</v>
      </c>
      <c r="B1036" s="55"/>
      <c r="C1036" s="36"/>
      <c r="D1036" s="36"/>
      <c r="E1036" s="39"/>
      <c r="F1036" s="39"/>
      <c r="G1036" s="36"/>
      <c r="H1036" s="39"/>
      <c r="I1036" s="39"/>
      <c r="J1036" s="39"/>
      <c r="K1036" s="39"/>
      <c r="L1036" s="39">
        <f t="shared" si="582"/>
        <v>0</v>
      </c>
      <c r="M1036" s="39"/>
      <c r="N1036" s="39"/>
      <c r="O1036" s="39"/>
      <c r="P1036" s="39"/>
      <c r="Q1036" s="39"/>
      <c r="R1036" s="39">
        <f t="shared" si="583"/>
        <v>0</v>
      </c>
      <c r="S1036" s="39"/>
      <c r="T1036" s="39"/>
      <c r="U1036" s="39"/>
      <c r="V1036" s="39"/>
      <c r="W1036" s="39"/>
      <c r="X1036" s="39"/>
      <c r="Y1036" s="39"/>
      <c r="Z1036" s="39"/>
      <c r="AA1036" s="39"/>
      <c r="AB1036" s="39">
        <f t="shared" si="584"/>
        <v>0</v>
      </c>
      <c r="AC1036" s="39"/>
      <c r="AD1036" s="39"/>
      <c r="AE1036" s="39"/>
      <c r="AF1036" s="39"/>
      <c r="AG1036" s="39"/>
      <c r="AH1036" s="39">
        <f t="shared" si="557"/>
        <v>0</v>
      </c>
      <c r="AI1036" s="39"/>
      <c r="AJ1036" s="39"/>
      <c r="AK1036" s="39"/>
      <c r="AL1036" s="39"/>
      <c r="AM1036" s="39"/>
      <c r="AN1036" s="39">
        <f t="shared" ref="AN1036:AN1052" si="658">AM1036-AK1036</f>
        <v>0</v>
      </c>
      <c r="AO1036" s="39"/>
      <c r="AP1036" s="39"/>
      <c r="AQ1036" s="39"/>
      <c r="AR1036" s="39"/>
      <c r="AS1036" s="39"/>
      <c r="AT1036" s="39">
        <f t="shared" ref="AT1036:AT1163" si="659">AS1036-AQ1036</f>
        <v>0</v>
      </c>
      <c r="AU1036" s="39"/>
      <c r="AV1036" s="39"/>
      <c r="AW1036" s="39"/>
      <c r="AX1036" s="39"/>
      <c r="AY1036" s="39"/>
      <c r="AZ1036" s="39">
        <f t="shared" ref="AZ1036:AZ1163" si="660">AY1036-AW1036</f>
        <v>0</v>
      </c>
      <c r="BA1036" s="39"/>
      <c r="BB1036" s="39"/>
      <c r="BC1036" s="39"/>
      <c r="BD1036" s="39"/>
      <c r="BE1036" s="39"/>
      <c r="BF1036" s="39">
        <f t="shared" ref="BF1036:BF1163" si="661">BE1036-BC1036</f>
        <v>0</v>
      </c>
      <c r="BG1036" s="39"/>
      <c r="BH1036" s="39"/>
      <c r="BI1036" s="39"/>
      <c r="BJ1036" s="39"/>
      <c r="BK1036" s="39"/>
      <c r="BL1036" s="39">
        <f t="shared" si="558"/>
        <v>0</v>
      </c>
      <c r="BM1036" s="54" t="e">
        <f t="shared" ref="BM1036:BM1163" si="662">IF((BZ1036/L1036)&lt;0.9,$CO$1-U1036,"")</f>
        <v>#DIV/0!</v>
      </c>
      <c r="BN1036" s="42"/>
      <c r="BO1036" s="39"/>
      <c r="BP1036" s="39"/>
      <c r="BQ1036" s="39"/>
      <c r="BR1036" s="39"/>
      <c r="BS1036" s="39"/>
      <c r="BT1036" s="39"/>
      <c r="BU1036" s="39"/>
      <c r="BV1036" s="39"/>
      <c r="BW1036" s="39"/>
      <c r="BX1036" s="39"/>
      <c r="BY1036" s="39"/>
      <c r="BZ1036" s="39">
        <f t="shared" si="559"/>
        <v>0</v>
      </c>
      <c r="CA1036" s="39">
        <f t="shared" ref="CA1036:CA1163" si="663">BU1036-I1036</f>
        <v>0</v>
      </c>
      <c r="CB1036" s="39">
        <f t="shared" ref="CB1036:CB1163" si="664">BW1036-J1036</f>
        <v>0</v>
      </c>
      <c r="CC1036" s="39">
        <f t="shared" ref="CC1036:CC1163" si="665">BY1036-K1036</f>
        <v>0</v>
      </c>
      <c r="CD1036" s="39">
        <f t="shared" si="560"/>
        <v>0</v>
      </c>
      <c r="CE1036" s="47" t="e">
        <f t="shared" ref="CE1036:CE1163" si="666">CD1036/L1036</f>
        <v>#DIV/0!</v>
      </c>
      <c r="CF1036" s="36"/>
      <c r="CG1036" s="39"/>
      <c r="CH1036" s="39"/>
      <c r="CI1036" s="25">
        <v>1</v>
      </c>
    </row>
    <row r="1037" spans="1:87" ht="24.75" customHeight="1">
      <c r="A1037" s="36" t="s">
        <v>85</v>
      </c>
      <c r="B1037" s="55"/>
      <c r="C1037" s="36"/>
      <c r="D1037" s="36"/>
      <c r="E1037" s="39"/>
      <c r="F1037" s="39"/>
      <c r="G1037" s="36"/>
      <c r="H1037" s="39"/>
      <c r="I1037" s="39"/>
      <c r="J1037" s="39"/>
      <c r="K1037" s="39"/>
      <c r="L1037" s="39">
        <f t="shared" si="582"/>
        <v>0</v>
      </c>
      <c r="M1037" s="39"/>
      <c r="N1037" s="39"/>
      <c r="O1037" s="39"/>
      <c r="P1037" s="39"/>
      <c r="Q1037" s="39"/>
      <c r="R1037" s="39">
        <f t="shared" si="583"/>
        <v>0</v>
      </c>
      <c r="S1037" s="39"/>
      <c r="T1037" s="39"/>
      <c r="U1037" s="39"/>
      <c r="V1037" s="39"/>
      <c r="W1037" s="39"/>
      <c r="X1037" s="39"/>
      <c r="Y1037" s="39"/>
      <c r="Z1037" s="39"/>
      <c r="AA1037" s="39"/>
      <c r="AB1037" s="39">
        <f t="shared" si="584"/>
        <v>0</v>
      </c>
      <c r="AC1037" s="39"/>
      <c r="AD1037" s="39"/>
      <c r="AE1037" s="39"/>
      <c r="AF1037" s="39"/>
      <c r="AG1037" s="39"/>
      <c r="AH1037" s="39">
        <f t="shared" si="557"/>
        <v>0</v>
      </c>
      <c r="AI1037" s="39"/>
      <c r="AJ1037" s="39"/>
      <c r="AK1037" s="39"/>
      <c r="AL1037" s="39"/>
      <c r="AM1037" s="39"/>
      <c r="AN1037" s="39">
        <f t="shared" si="658"/>
        <v>0</v>
      </c>
      <c r="AO1037" s="39"/>
      <c r="AP1037" s="39"/>
      <c r="AQ1037" s="39"/>
      <c r="AR1037" s="39"/>
      <c r="AS1037" s="39"/>
      <c r="AT1037" s="39">
        <f t="shared" si="659"/>
        <v>0</v>
      </c>
      <c r="AU1037" s="39"/>
      <c r="AV1037" s="39"/>
      <c r="AW1037" s="39"/>
      <c r="AX1037" s="39"/>
      <c r="AY1037" s="39"/>
      <c r="AZ1037" s="39">
        <f t="shared" si="660"/>
        <v>0</v>
      </c>
      <c r="BA1037" s="39"/>
      <c r="BB1037" s="39"/>
      <c r="BC1037" s="39"/>
      <c r="BD1037" s="39"/>
      <c r="BE1037" s="39"/>
      <c r="BF1037" s="39">
        <f t="shared" si="661"/>
        <v>0</v>
      </c>
      <c r="BG1037" s="39"/>
      <c r="BH1037" s="39"/>
      <c r="BI1037" s="39"/>
      <c r="BJ1037" s="39"/>
      <c r="BK1037" s="39"/>
      <c r="BL1037" s="39">
        <f t="shared" si="558"/>
        <v>0</v>
      </c>
      <c r="BM1037" s="54" t="e">
        <f t="shared" si="662"/>
        <v>#DIV/0!</v>
      </c>
      <c r="BN1037" s="42"/>
      <c r="BO1037" s="39"/>
      <c r="BP1037" s="39"/>
      <c r="BQ1037" s="39"/>
      <c r="BR1037" s="39"/>
      <c r="BS1037" s="39"/>
      <c r="BT1037" s="39"/>
      <c r="BU1037" s="39"/>
      <c r="BV1037" s="39"/>
      <c r="BW1037" s="39"/>
      <c r="BX1037" s="39"/>
      <c r="BY1037" s="39"/>
      <c r="BZ1037" s="39">
        <f t="shared" si="559"/>
        <v>0</v>
      </c>
      <c r="CA1037" s="39">
        <f t="shared" si="663"/>
        <v>0</v>
      </c>
      <c r="CB1037" s="39">
        <f t="shared" si="664"/>
        <v>0</v>
      </c>
      <c r="CC1037" s="39">
        <f t="shared" si="665"/>
        <v>0</v>
      </c>
      <c r="CD1037" s="39">
        <f t="shared" si="560"/>
        <v>0</v>
      </c>
      <c r="CE1037" s="47" t="e">
        <f t="shared" si="666"/>
        <v>#DIV/0!</v>
      </c>
      <c r="CF1037" s="36"/>
      <c r="CG1037" s="39"/>
      <c r="CH1037" s="39"/>
      <c r="CI1037" s="25">
        <v>1</v>
      </c>
    </row>
    <row r="1038" spans="1:87" ht="24.75" customHeight="1">
      <c r="A1038" s="36" t="s">
        <v>85</v>
      </c>
      <c r="B1038" s="55" t="s">
        <v>2304</v>
      </c>
      <c r="C1038" s="227" t="s">
        <v>2708</v>
      </c>
      <c r="D1038" s="36"/>
      <c r="E1038" s="39">
        <v>180</v>
      </c>
      <c r="F1038" s="39" t="s">
        <v>53</v>
      </c>
      <c r="G1038" s="36" t="s">
        <v>2305</v>
      </c>
      <c r="H1038" s="36" t="s">
        <v>87</v>
      </c>
      <c r="I1038" s="39">
        <f>1185+101</f>
        <v>1286</v>
      </c>
      <c r="J1038" s="39"/>
      <c r="K1038" s="39"/>
      <c r="L1038" s="39">
        <f t="shared" ref="L1038:L1045" si="667">SUM(I1038:K1038)</f>
        <v>1286</v>
      </c>
      <c r="M1038" s="117">
        <v>46266</v>
      </c>
      <c r="N1038" s="117">
        <v>46277</v>
      </c>
      <c r="O1038" s="39"/>
      <c r="P1038" s="39"/>
      <c r="Q1038" s="39"/>
      <c r="R1038" s="39">
        <f t="shared" ref="R1038:R1042" si="668">SUM(O1038:Q1038)</f>
        <v>0</v>
      </c>
      <c r="S1038" s="39" t="s">
        <v>130</v>
      </c>
      <c r="T1038" s="39">
        <v>109340</v>
      </c>
      <c r="U1038" s="117">
        <v>46277</v>
      </c>
      <c r="V1038" s="39"/>
      <c r="W1038" s="39"/>
      <c r="X1038" s="39"/>
      <c r="Y1038" s="39">
        <f>740</f>
        <v>740</v>
      </c>
      <c r="Z1038" s="39"/>
      <c r="AA1038" s="39"/>
      <c r="AB1038" s="118">
        <f t="shared" ref="AB1038:AB1042" si="669">SUM(Y1038:AA1038)</f>
        <v>740</v>
      </c>
      <c r="AC1038" s="39"/>
      <c r="AD1038" s="39"/>
      <c r="AE1038" s="39"/>
      <c r="AF1038" s="39"/>
      <c r="AG1038" s="39"/>
      <c r="AH1038" s="39">
        <f t="shared" si="557"/>
        <v>0</v>
      </c>
      <c r="AI1038" s="39"/>
      <c r="AJ1038" s="39"/>
      <c r="AK1038" s="39"/>
      <c r="AL1038" s="39"/>
      <c r="AM1038" s="39"/>
      <c r="AN1038" s="39">
        <f t="shared" si="658"/>
        <v>0</v>
      </c>
      <c r="AO1038" s="39"/>
      <c r="AP1038" s="39"/>
      <c r="AQ1038" s="39"/>
      <c r="AR1038" s="39"/>
      <c r="AS1038" s="39"/>
      <c r="AT1038" s="39">
        <f t="shared" si="659"/>
        <v>0</v>
      </c>
      <c r="AU1038" s="39"/>
      <c r="AV1038" s="39"/>
      <c r="AW1038" s="39"/>
      <c r="AX1038" s="39"/>
      <c r="AY1038" s="39"/>
      <c r="AZ1038" s="39">
        <f t="shared" si="660"/>
        <v>0</v>
      </c>
      <c r="BA1038" s="39"/>
      <c r="BB1038" s="39"/>
      <c r="BC1038" s="39"/>
      <c r="BD1038" s="39"/>
      <c r="BE1038" s="39"/>
      <c r="BF1038" s="39">
        <f t="shared" si="661"/>
        <v>0</v>
      </c>
      <c r="BG1038" s="39"/>
      <c r="BH1038" s="39"/>
      <c r="BI1038" s="39"/>
      <c r="BJ1038" s="39"/>
      <c r="BK1038" s="39"/>
      <c r="BL1038" s="39">
        <f t="shared" si="558"/>
        <v>0</v>
      </c>
      <c r="BM1038" s="54">
        <f t="shared" ca="1" si="662"/>
        <v>6</v>
      </c>
      <c r="BN1038" s="66">
        <v>46279</v>
      </c>
      <c r="BO1038" s="117">
        <v>46298</v>
      </c>
      <c r="BP1038" s="117"/>
      <c r="BQ1038" s="117"/>
      <c r="BR1038" s="39"/>
      <c r="BS1038" s="39"/>
      <c r="BT1038" s="39"/>
      <c r="BU1038" s="39"/>
      <c r="BV1038" s="39"/>
      <c r="BW1038" s="39"/>
      <c r="BX1038" s="39"/>
      <c r="BY1038" s="39"/>
      <c r="BZ1038" s="39">
        <f t="shared" si="559"/>
        <v>0</v>
      </c>
      <c r="CA1038" s="39">
        <f t="shared" si="663"/>
        <v>-1286</v>
      </c>
      <c r="CB1038" s="39">
        <f t="shared" si="664"/>
        <v>0</v>
      </c>
      <c r="CC1038" s="39">
        <f t="shared" si="665"/>
        <v>0</v>
      </c>
      <c r="CD1038" s="39">
        <f t="shared" si="560"/>
        <v>-1286</v>
      </c>
      <c r="CE1038" s="102">
        <f t="shared" si="666"/>
        <v>-1</v>
      </c>
      <c r="CF1038" s="36"/>
      <c r="CG1038" s="39" t="s">
        <v>236</v>
      </c>
      <c r="CH1038" s="39"/>
      <c r="CI1038" s="25">
        <v>2</v>
      </c>
    </row>
    <row r="1039" spans="1:87" ht="24.75" customHeight="1">
      <c r="A1039" s="36" t="s">
        <v>85</v>
      </c>
      <c r="B1039" s="55" t="s">
        <v>2304</v>
      </c>
      <c r="C1039" s="231"/>
      <c r="D1039" s="36"/>
      <c r="E1039" s="39">
        <v>180</v>
      </c>
      <c r="F1039" s="39" t="s">
        <v>53</v>
      </c>
      <c r="G1039" s="36" t="s">
        <v>21</v>
      </c>
      <c r="H1039" s="36" t="s">
        <v>87</v>
      </c>
      <c r="I1039" s="39">
        <f>1421+70</f>
        <v>1491</v>
      </c>
      <c r="J1039" s="39"/>
      <c r="K1039" s="39"/>
      <c r="L1039" s="39">
        <f t="shared" si="667"/>
        <v>1491</v>
      </c>
      <c r="M1039" s="117">
        <v>46266</v>
      </c>
      <c r="N1039" s="117">
        <v>46277</v>
      </c>
      <c r="O1039" s="39"/>
      <c r="P1039" s="39"/>
      <c r="Q1039" s="39"/>
      <c r="R1039" s="39">
        <f t="shared" si="668"/>
        <v>0</v>
      </c>
      <c r="S1039" s="39" t="s">
        <v>130</v>
      </c>
      <c r="T1039" s="39"/>
      <c r="U1039" s="39"/>
      <c r="V1039" s="39"/>
      <c r="W1039" s="39"/>
      <c r="X1039" s="39"/>
      <c r="Y1039" s="39"/>
      <c r="Z1039" s="39"/>
      <c r="AA1039" s="39"/>
      <c r="AB1039" s="118">
        <f t="shared" si="669"/>
        <v>0</v>
      </c>
      <c r="AC1039" s="39"/>
      <c r="AD1039" s="39"/>
      <c r="AE1039" s="39"/>
      <c r="AF1039" s="39"/>
      <c r="AG1039" s="39"/>
      <c r="AH1039" s="39">
        <f t="shared" si="557"/>
        <v>0</v>
      </c>
      <c r="AI1039" s="39"/>
      <c r="AJ1039" s="39"/>
      <c r="AK1039" s="39"/>
      <c r="AL1039" s="39"/>
      <c r="AM1039" s="39"/>
      <c r="AN1039" s="39">
        <f t="shared" si="658"/>
        <v>0</v>
      </c>
      <c r="AO1039" s="39"/>
      <c r="AP1039" s="39"/>
      <c r="AQ1039" s="39"/>
      <c r="AR1039" s="39"/>
      <c r="AS1039" s="39"/>
      <c r="AT1039" s="39">
        <f t="shared" si="659"/>
        <v>0</v>
      </c>
      <c r="AU1039" s="39"/>
      <c r="AV1039" s="39"/>
      <c r="AW1039" s="39"/>
      <c r="AX1039" s="39"/>
      <c r="AY1039" s="39"/>
      <c r="AZ1039" s="39">
        <f t="shared" si="660"/>
        <v>0</v>
      </c>
      <c r="BA1039" s="39"/>
      <c r="BB1039" s="39"/>
      <c r="BC1039" s="39"/>
      <c r="BD1039" s="39"/>
      <c r="BE1039" s="39"/>
      <c r="BF1039" s="39">
        <f t="shared" si="661"/>
        <v>0</v>
      </c>
      <c r="BG1039" s="39"/>
      <c r="BH1039" s="39"/>
      <c r="BI1039" s="39"/>
      <c r="BJ1039" s="39"/>
      <c r="BK1039" s="39"/>
      <c r="BL1039" s="39">
        <f t="shared" si="558"/>
        <v>0</v>
      </c>
      <c r="BM1039" s="54">
        <f t="shared" ca="1" si="662"/>
        <v>46283</v>
      </c>
      <c r="BN1039" s="66">
        <v>46279</v>
      </c>
      <c r="BO1039" s="117">
        <v>46298</v>
      </c>
      <c r="BP1039" s="39"/>
      <c r="BQ1039" s="39"/>
      <c r="BR1039" s="39"/>
      <c r="BS1039" s="39"/>
      <c r="BT1039" s="39"/>
      <c r="BU1039" s="39"/>
      <c r="BV1039" s="39"/>
      <c r="BW1039" s="39"/>
      <c r="BX1039" s="39"/>
      <c r="BY1039" s="39"/>
      <c r="BZ1039" s="39">
        <f t="shared" si="559"/>
        <v>0</v>
      </c>
      <c r="CA1039" s="39">
        <f>BU1039-I1039</f>
        <v>-1491</v>
      </c>
      <c r="CB1039" s="39">
        <f>BW1039-J1039</f>
        <v>0</v>
      </c>
      <c r="CC1039" s="39">
        <f>BY1039-K1039</f>
        <v>0</v>
      </c>
      <c r="CD1039" s="39">
        <f t="shared" si="560"/>
        <v>-1491</v>
      </c>
      <c r="CE1039" s="102">
        <f>CD1039/L1039</f>
        <v>-1</v>
      </c>
      <c r="CF1039" s="36"/>
      <c r="CG1039" s="39" t="s">
        <v>236</v>
      </c>
      <c r="CH1039" s="39"/>
      <c r="CI1039" s="25">
        <v>2</v>
      </c>
    </row>
    <row r="1040" spans="1:87" ht="24.75" customHeight="1">
      <c r="A1040" s="36" t="s">
        <v>85</v>
      </c>
      <c r="B1040" s="55" t="s">
        <v>2304</v>
      </c>
      <c r="C1040" s="228"/>
      <c r="D1040" s="36"/>
      <c r="E1040" s="39">
        <v>180</v>
      </c>
      <c r="F1040" s="39" t="s">
        <v>53</v>
      </c>
      <c r="G1040" s="36" t="s">
        <v>2306</v>
      </c>
      <c r="H1040" s="36" t="s">
        <v>87</v>
      </c>
      <c r="I1040" s="39">
        <v>714</v>
      </c>
      <c r="J1040" s="39"/>
      <c r="K1040" s="39"/>
      <c r="L1040" s="39">
        <f t="shared" si="667"/>
        <v>714</v>
      </c>
      <c r="M1040" s="117">
        <v>46266</v>
      </c>
      <c r="N1040" s="117">
        <v>46277</v>
      </c>
      <c r="O1040" s="39"/>
      <c r="P1040" s="39"/>
      <c r="Q1040" s="39"/>
      <c r="R1040" s="39">
        <f t="shared" si="668"/>
        <v>0</v>
      </c>
      <c r="S1040" s="39" t="s">
        <v>130</v>
      </c>
      <c r="T1040" s="39">
        <v>109413</v>
      </c>
      <c r="U1040" s="117">
        <v>46279</v>
      </c>
      <c r="V1040" s="39"/>
      <c r="W1040" s="39"/>
      <c r="X1040" s="39"/>
      <c r="Y1040" s="39">
        <v>820</v>
      </c>
      <c r="Z1040" s="39"/>
      <c r="AA1040" s="39"/>
      <c r="AB1040" s="119">
        <f t="shared" si="669"/>
        <v>820</v>
      </c>
      <c r="AC1040" s="39"/>
      <c r="AD1040" s="39"/>
      <c r="AE1040" s="39"/>
      <c r="AF1040" s="39"/>
      <c r="AG1040" s="39"/>
      <c r="AH1040" s="39">
        <f t="shared" si="557"/>
        <v>0</v>
      </c>
      <c r="AI1040" s="39"/>
      <c r="AJ1040" s="39"/>
      <c r="AK1040" s="39"/>
      <c r="AL1040" s="39"/>
      <c r="AM1040" s="39"/>
      <c r="AN1040" s="39">
        <f t="shared" si="658"/>
        <v>0</v>
      </c>
      <c r="AO1040" s="39"/>
      <c r="AP1040" s="39"/>
      <c r="AQ1040" s="39"/>
      <c r="AR1040" s="39"/>
      <c r="AS1040" s="39"/>
      <c r="AT1040" s="39">
        <f t="shared" si="659"/>
        <v>0</v>
      </c>
      <c r="AU1040" s="39"/>
      <c r="AV1040" s="39"/>
      <c r="AW1040" s="39"/>
      <c r="AX1040" s="39"/>
      <c r="AY1040" s="39"/>
      <c r="AZ1040" s="39">
        <f t="shared" si="660"/>
        <v>0</v>
      </c>
      <c r="BA1040" s="39"/>
      <c r="BB1040" s="39"/>
      <c r="BC1040" s="39"/>
      <c r="BD1040" s="39"/>
      <c r="BE1040" s="39"/>
      <c r="BF1040" s="39">
        <f t="shared" si="661"/>
        <v>0</v>
      </c>
      <c r="BG1040" s="39"/>
      <c r="BH1040" s="39"/>
      <c r="BI1040" s="39"/>
      <c r="BJ1040" s="39"/>
      <c r="BK1040" s="39"/>
      <c r="BL1040" s="39">
        <f t="shared" si="558"/>
        <v>0</v>
      </c>
      <c r="BM1040" s="54">
        <f t="shared" ca="1" si="662"/>
        <v>4</v>
      </c>
      <c r="BN1040" s="66">
        <v>46279</v>
      </c>
      <c r="BO1040" s="117">
        <v>46298</v>
      </c>
      <c r="BP1040" s="39"/>
      <c r="BQ1040" s="39"/>
      <c r="BR1040" s="39"/>
      <c r="BS1040" s="39"/>
      <c r="BT1040" s="39"/>
      <c r="BU1040" s="39"/>
      <c r="BV1040" s="39"/>
      <c r="BW1040" s="39"/>
      <c r="BX1040" s="39"/>
      <c r="BY1040" s="39"/>
      <c r="BZ1040" s="39">
        <f t="shared" si="559"/>
        <v>0</v>
      </c>
      <c r="CA1040" s="39">
        <f t="shared" ref="CA1040:CA1042" si="670">BU1040-I1040</f>
        <v>-714</v>
      </c>
      <c r="CB1040" s="39">
        <f t="shared" ref="CB1040:CB1042" si="671">BW1040-J1040</f>
        <v>0</v>
      </c>
      <c r="CC1040" s="39">
        <f t="shared" ref="CC1040:CC1042" si="672">BY1040-K1040</f>
        <v>0</v>
      </c>
      <c r="CD1040" s="39">
        <f t="shared" si="560"/>
        <v>-714</v>
      </c>
      <c r="CE1040" s="102">
        <f t="shared" ref="CE1040:CE1042" si="673">CD1040/L1040</f>
        <v>-1</v>
      </c>
      <c r="CF1040" s="36"/>
      <c r="CG1040" s="39" t="s">
        <v>236</v>
      </c>
      <c r="CH1040" s="39"/>
      <c r="CI1040" s="25">
        <v>2</v>
      </c>
    </row>
    <row r="1041" spans="1:87" ht="24.75" customHeight="1">
      <c r="A1041" s="36" t="s">
        <v>85</v>
      </c>
      <c r="B1041" s="55">
        <v>48705</v>
      </c>
      <c r="C1041" s="36" t="s">
        <v>2461</v>
      </c>
      <c r="D1041" s="36" t="s">
        <v>255</v>
      </c>
      <c r="E1041" s="39">
        <v>180</v>
      </c>
      <c r="F1041" s="39" t="s">
        <v>58</v>
      </c>
      <c r="G1041" s="36" t="s">
        <v>2462</v>
      </c>
      <c r="H1041" s="36" t="s">
        <v>87</v>
      </c>
      <c r="I1041" s="39">
        <v>145</v>
      </c>
      <c r="J1041" s="39"/>
      <c r="K1041" s="39"/>
      <c r="L1041" s="39">
        <v>0</v>
      </c>
      <c r="M1041" s="117">
        <v>46273</v>
      </c>
      <c r="N1041" s="117">
        <v>46279</v>
      </c>
      <c r="O1041" s="39"/>
      <c r="P1041" s="39"/>
      <c r="Q1041" s="39"/>
      <c r="R1041" s="39">
        <f t="shared" si="668"/>
        <v>0</v>
      </c>
      <c r="S1041" s="39" t="s">
        <v>130</v>
      </c>
      <c r="T1041" s="154" t="s">
        <v>3039</v>
      </c>
      <c r="U1041" s="39"/>
      <c r="V1041" s="39"/>
      <c r="W1041" s="39"/>
      <c r="X1041" s="39"/>
      <c r="Y1041" s="39"/>
      <c r="Z1041" s="39"/>
      <c r="AA1041" s="39"/>
      <c r="AB1041" s="39">
        <f t="shared" si="669"/>
        <v>0</v>
      </c>
      <c r="AC1041" s="39"/>
      <c r="AD1041" s="39"/>
      <c r="AE1041" s="39"/>
      <c r="AF1041" s="39"/>
      <c r="AG1041" s="39"/>
      <c r="AH1041" s="39">
        <f t="shared" si="557"/>
        <v>0</v>
      </c>
      <c r="AI1041" s="39"/>
      <c r="AJ1041" s="39"/>
      <c r="AK1041" s="39"/>
      <c r="AL1041" s="39"/>
      <c r="AM1041" s="39"/>
      <c r="AN1041" s="39">
        <f t="shared" si="658"/>
        <v>0</v>
      </c>
      <c r="AO1041" s="39"/>
      <c r="AP1041" s="39"/>
      <c r="AQ1041" s="39"/>
      <c r="AR1041" s="39"/>
      <c r="AS1041" s="39"/>
      <c r="AT1041" s="39">
        <f t="shared" si="659"/>
        <v>0</v>
      </c>
      <c r="AU1041" s="39"/>
      <c r="AV1041" s="39"/>
      <c r="AW1041" s="39"/>
      <c r="AX1041" s="39"/>
      <c r="AY1041" s="39"/>
      <c r="AZ1041" s="39">
        <f t="shared" si="660"/>
        <v>0</v>
      </c>
      <c r="BA1041" s="39"/>
      <c r="BB1041" s="39"/>
      <c r="BC1041" s="39"/>
      <c r="BD1041" s="39"/>
      <c r="BE1041" s="39"/>
      <c r="BF1041" s="39">
        <f t="shared" si="661"/>
        <v>0</v>
      </c>
      <c r="BG1041" s="39"/>
      <c r="BH1041" s="39"/>
      <c r="BI1041" s="39"/>
      <c r="BJ1041" s="39"/>
      <c r="BK1041" s="39"/>
      <c r="BL1041" s="39">
        <f t="shared" si="558"/>
        <v>0</v>
      </c>
      <c r="BM1041" s="54" t="e">
        <f t="shared" si="662"/>
        <v>#DIV/0!</v>
      </c>
      <c r="BN1041" s="66">
        <v>46283</v>
      </c>
      <c r="BO1041" s="117">
        <v>46289</v>
      </c>
      <c r="BP1041" s="39"/>
      <c r="BQ1041" s="39"/>
      <c r="BR1041" s="39"/>
      <c r="BS1041" s="39"/>
      <c r="BT1041" s="39"/>
      <c r="BU1041" s="39"/>
      <c r="BV1041" s="39"/>
      <c r="BW1041" s="39"/>
      <c r="BX1041" s="39"/>
      <c r="BY1041" s="39"/>
      <c r="BZ1041" s="39">
        <f t="shared" si="559"/>
        <v>0</v>
      </c>
      <c r="CA1041" s="39">
        <v>0</v>
      </c>
      <c r="CB1041" s="39">
        <f t="shared" si="671"/>
        <v>0</v>
      </c>
      <c r="CC1041" s="39">
        <f t="shared" si="672"/>
        <v>0</v>
      </c>
      <c r="CD1041" s="39">
        <f t="shared" si="560"/>
        <v>0</v>
      </c>
      <c r="CE1041" s="102" t="e">
        <f t="shared" si="673"/>
        <v>#DIV/0!</v>
      </c>
      <c r="CF1041" s="36"/>
      <c r="CG1041" s="39" t="s">
        <v>236</v>
      </c>
      <c r="CH1041" s="39"/>
      <c r="CI1041" s="25">
        <v>2</v>
      </c>
    </row>
    <row r="1042" spans="1:87" ht="24.75" customHeight="1">
      <c r="A1042" s="36" t="s">
        <v>85</v>
      </c>
      <c r="B1042" s="55" t="s">
        <v>2463</v>
      </c>
      <c r="C1042" s="227" t="s">
        <v>1841</v>
      </c>
      <c r="D1042" s="36" t="s">
        <v>24</v>
      </c>
      <c r="E1042" s="39">
        <v>180</v>
      </c>
      <c r="F1042" s="39" t="s">
        <v>58</v>
      </c>
      <c r="G1042" s="36" t="s">
        <v>2464</v>
      </c>
      <c r="H1042" s="36" t="s">
        <v>87</v>
      </c>
      <c r="I1042" s="39">
        <v>579</v>
      </c>
      <c r="J1042" s="39"/>
      <c r="K1042" s="39"/>
      <c r="L1042" s="39">
        <f t="shared" si="667"/>
        <v>579</v>
      </c>
      <c r="M1042" s="117">
        <v>46273</v>
      </c>
      <c r="N1042" s="117">
        <v>46280</v>
      </c>
      <c r="O1042" s="39"/>
      <c r="P1042" s="39"/>
      <c r="Q1042" s="39"/>
      <c r="R1042" s="39">
        <f t="shared" si="668"/>
        <v>0</v>
      </c>
      <c r="S1042" s="39" t="s">
        <v>130</v>
      </c>
      <c r="T1042" s="39"/>
      <c r="U1042" s="39"/>
      <c r="V1042" s="39"/>
      <c r="W1042" s="39"/>
      <c r="X1042" s="39"/>
      <c r="Y1042" s="39"/>
      <c r="Z1042" s="39"/>
      <c r="AA1042" s="39"/>
      <c r="AB1042" s="118">
        <f t="shared" si="669"/>
        <v>0</v>
      </c>
      <c r="AC1042" s="39"/>
      <c r="AD1042" s="39"/>
      <c r="AE1042" s="39"/>
      <c r="AF1042" s="39"/>
      <c r="AG1042" s="39"/>
      <c r="AH1042" s="39">
        <f t="shared" si="557"/>
        <v>0</v>
      </c>
      <c r="AI1042" s="39"/>
      <c r="AJ1042" s="39"/>
      <c r="AK1042" s="39"/>
      <c r="AL1042" s="39"/>
      <c r="AM1042" s="39"/>
      <c r="AN1042" s="39">
        <f t="shared" si="658"/>
        <v>0</v>
      </c>
      <c r="AO1042" s="39"/>
      <c r="AP1042" s="39"/>
      <c r="AQ1042" s="39"/>
      <c r="AR1042" s="39"/>
      <c r="AS1042" s="39"/>
      <c r="AT1042" s="39">
        <f t="shared" si="659"/>
        <v>0</v>
      </c>
      <c r="AU1042" s="39"/>
      <c r="AV1042" s="39"/>
      <c r="AW1042" s="39"/>
      <c r="AX1042" s="39"/>
      <c r="AY1042" s="39"/>
      <c r="AZ1042" s="39">
        <f t="shared" si="660"/>
        <v>0</v>
      </c>
      <c r="BA1042" s="39"/>
      <c r="BB1042" s="39"/>
      <c r="BC1042" s="39"/>
      <c r="BD1042" s="39"/>
      <c r="BE1042" s="39"/>
      <c r="BF1042" s="39">
        <f t="shared" si="661"/>
        <v>0</v>
      </c>
      <c r="BG1042" s="39"/>
      <c r="BH1042" s="39"/>
      <c r="BI1042" s="39"/>
      <c r="BJ1042" s="39"/>
      <c r="BK1042" s="39"/>
      <c r="BL1042" s="39">
        <f t="shared" si="558"/>
        <v>0</v>
      </c>
      <c r="BM1042" s="54">
        <f t="shared" ca="1" si="662"/>
        <v>46283</v>
      </c>
      <c r="BN1042" s="66">
        <v>46280</v>
      </c>
      <c r="BO1042" s="117">
        <v>46286</v>
      </c>
      <c r="BP1042" s="39"/>
      <c r="BQ1042" s="39"/>
      <c r="BR1042" s="39"/>
      <c r="BS1042" s="39"/>
      <c r="BT1042" s="39"/>
      <c r="BU1042" s="39"/>
      <c r="BV1042" s="39"/>
      <c r="BW1042" s="39"/>
      <c r="BX1042" s="39"/>
      <c r="BY1042" s="39"/>
      <c r="BZ1042" s="39">
        <f t="shared" si="559"/>
        <v>0</v>
      </c>
      <c r="CA1042" s="39">
        <f t="shared" si="670"/>
        <v>-579</v>
      </c>
      <c r="CB1042" s="39">
        <f t="shared" si="671"/>
        <v>0</v>
      </c>
      <c r="CC1042" s="39">
        <f t="shared" si="672"/>
        <v>0</v>
      </c>
      <c r="CD1042" s="39">
        <f t="shared" si="560"/>
        <v>-579</v>
      </c>
      <c r="CE1042" s="102">
        <f t="shared" si="673"/>
        <v>-1</v>
      </c>
      <c r="CF1042" s="36"/>
      <c r="CG1042" s="39" t="s">
        <v>236</v>
      </c>
      <c r="CH1042" s="39"/>
      <c r="CI1042" s="25">
        <v>2</v>
      </c>
    </row>
    <row r="1043" spans="1:87" ht="24.75" customHeight="1">
      <c r="A1043" s="36" t="s">
        <v>85</v>
      </c>
      <c r="B1043" s="55" t="s">
        <v>2463</v>
      </c>
      <c r="C1043" s="228"/>
      <c r="D1043" s="36"/>
      <c r="E1043" s="39">
        <v>180</v>
      </c>
      <c r="F1043" s="39" t="s">
        <v>58</v>
      </c>
      <c r="G1043" s="36" t="s">
        <v>2465</v>
      </c>
      <c r="H1043" s="36" t="s">
        <v>87</v>
      </c>
      <c r="I1043" s="39">
        <v>49</v>
      </c>
      <c r="J1043" s="39"/>
      <c r="K1043" s="39"/>
      <c r="L1043" s="39">
        <f t="shared" si="667"/>
        <v>49</v>
      </c>
      <c r="M1043" s="117">
        <v>46273</v>
      </c>
      <c r="N1043" s="117">
        <v>46280</v>
      </c>
      <c r="O1043" s="39"/>
      <c r="P1043" s="39"/>
      <c r="Q1043" s="39"/>
      <c r="R1043" s="39">
        <f t="shared" ref="R1043" si="674">SUM(O1043:Q1043)</f>
        <v>0</v>
      </c>
      <c r="S1043" s="39" t="s">
        <v>130</v>
      </c>
      <c r="T1043" s="39"/>
      <c r="U1043" s="39"/>
      <c r="V1043" s="39"/>
      <c r="W1043" s="39"/>
      <c r="X1043" s="39"/>
      <c r="Y1043" s="39"/>
      <c r="Z1043" s="39"/>
      <c r="AA1043" s="39"/>
      <c r="AB1043" s="118">
        <f t="shared" ref="AB1043" si="675">SUM(Y1043:AA1043)</f>
        <v>0</v>
      </c>
      <c r="AC1043" s="39"/>
      <c r="AD1043" s="39"/>
      <c r="AE1043" s="39"/>
      <c r="AF1043" s="39"/>
      <c r="AG1043" s="39"/>
      <c r="AH1043" s="39">
        <f t="shared" si="557"/>
        <v>0</v>
      </c>
      <c r="AI1043" s="39"/>
      <c r="AJ1043" s="39"/>
      <c r="AK1043" s="39"/>
      <c r="AL1043" s="39"/>
      <c r="AM1043" s="39"/>
      <c r="AN1043" s="39">
        <f t="shared" si="658"/>
        <v>0</v>
      </c>
      <c r="AO1043" s="39"/>
      <c r="AP1043" s="39"/>
      <c r="AQ1043" s="39"/>
      <c r="AR1043" s="39"/>
      <c r="AS1043" s="39"/>
      <c r="AT1043" s="39">
        <f t="shared" si="659"/>
        <v>0</v>
      </c>
      <c r="AU1043" s="39"/>
      <c r="AV1043" s="39"/>
      <c r="AW1043" s="39"/>
      <c r="AX1043" s="39"/>
      <c r="AY1043" s="39"/>
      <c r="AZ1043" s="39">
        <f t="shared" si="660"/>
        <v>0</v>
      </c>
      <c r="BA1043" s="39"/>
      <c r="BB1043" s="39"/>
      <c r="BC1043" s="39"/>
      <c r="BD1043" s="39"/>
      <c r="BE1043" s="39"/>
      <c r="BF1043" s="39">
        <f t="shared" si="661"/>
        <v>0</v>
      </c>
      <c r="BG1043" s="39"/>
      <c r="BH1043" s="39"/>
      <c r="BI1043" s="39"/>
      <c r="BJ1043" s="39"/>
      <c r="BK1043" s="39"/>
      <c r="BL1043" s="39">
        <f t="shared" si="558"/>
        <v>0</v>
      </c>
      <c r="BM1043" s="54">
        <f t="shared" ca="1" si="662"/>
        <v>46283</v>
      </c>
      <c r="BN1043" s="66">
        <v>46280</v>
      </c>
      <c r="BO1043" s="117">
        <v>46286</v>
      </c>
      <c r="BP1043" s="39"/>
      <c r="BQ1043" s="39"/>
      <c r="BR1043" s="39"/>
      <c r="BS1043" s="39"/>
      <c r="BT1043" s="39"/>
      <c r="BU1043" s="39"/>
      <c r="BV1043" s="39"/>
      <c r="BW1043" s="39"/>
      <c r="BX1043" s="39"/>
      <c r="BY1043" s="39"/>
      <c r="BZ1043" s="39">
        <f t="shared" si="559"/>
        <v>0</v>
      </c>
      <c r="CA1043" s="39">
        <f>BU1043-I1043</f>
        <v>-49</v>
      </c>
      <c r="CB1043" s="39">
        <f>BW1043-J1043</f>
        <v>0</v>
      </c>
      <c r="CC1043" s="39">
        <f>BY1043-K1043</f>
        <v>0</v>
      </c>
      <c r="CD1043" s="39">
        <f t="shared" si="560"/>
        <v>-49</v>
      </c>
      <c r="CE1043" s="102">
        <f>CD1043/L1043</f>
        <v>-1</v>
      </c>
      <c r="CF1043" s="36"/>
      <c r="CG1043" s="39" t="s">
        <v>236</v>
      </c>
      <c r="CH1043" s="39"/>
      <c r="CI1043" s="25">
        <v>2</v>
      </c>
    </row>
    <row r="1044" spans="1:87" ht="24.75" customHeight="1">
      <c r="A1044" s="36" t="s">
        <v>85</v>
      </c>
      <c r="B1044" s="55" t="s">
        <v>2466</v>
      </c>
      <c r="C1044" s="36">
        <v>9646803</v>
      </c>
      <c r="D1044" s="36" t="s">
        <v>24</v>
      </c>
      <c r="E1044" s="39">
        <v>200</v>
      </c>
      <c r="F1044" s="39" t="s">
        <v>58</v>
      </c>
      <c r="G1044" s="36" t="s">
        <v>2464</v>
      </c>
      <c r="H1044" s="36" t="s">
        <v>210</v>
      </c>
      <c r="I1044" s="39">
        <v>1649</v>
      </c>
      <c r="J1044" s="39"/>
      <c r="K1044" s="39"/>
      <c r="L1044" s="39">
        <f t="shared" si="667"/>
        <v>1649</v>
      </c>
      <c r="M1044" s="117">
        <v>46273</v>
      </c>
      <c r="N1044" s="117">
        <v>46283</v>
      </c>
      <c r="O1044" s="39"/>
      <c r="P1044" s="39"/>
      <c r="Q1044" s="39"/>
      <c r="R1044" s="39">
        <f t="shared" ref="R1044:R1048" si="676">SUM(O1044:Q1044)</f>
        <v>0</v>
      </c>
      <c r="S1044" s="39" t="s">
        <v>130</v>
      </c>
      <c r="T1044" s="39"/>
      <c r="U1044" s="39"/>
      <c r="V1044" s="39"/>
      <c r="W1044" s="39"/>
      <c r="X1044" s="39"/>
      <c r="Y1044" s="39"/>
      <c r="Z1044" s="39"/>
      <c r="AA1044" s="39"/>
      <c r="AB1044" s="118">
        <f t="shared" ref="AB1044" si="677">SUM(Y1044:AA1044)</f>
        <v>0</v>
      </c>
      <c r="AC1044" s="39"/>
      <c r="AD1044" s="39"/>
      <c r="AE1044" s="39"/>
      <c r="AF1044" s="39"/>
      <c r="AG1044" s="39"/>
      <c r="AH1044" s="39">
        <f t="shared" si="557"/>
        <v>0</v>
      </c>
      <c r="AI1044" s="39"/>
      <c r="AJ1044" s="39"/>
      <c r="AK1044" s="39"/>
      <c r="AL1044" s="39"/>
      <c r="AM1044" s="39"/>
      <c r="AN1044" s="39">
        <f t="shared" si="658"/>
        <v>0</v>
      </c>
      <c r="AO1044" s="39"/>
      <c r="AP1044" s="39"/>
      <c r="AQ1044" s="39"/>
      <c r="AR1044" s="39"/>
      <c r="AS1044" s="39"/>
      <c r="AT1044" s="39">
        <f t="shared" si="659"/>
        <v>0</v>
      </c>
      <c r="AU1044" s="39"/>
      <c r="AV1044" s="39"/>
      <c r="AW1044" s="39"/>
      <c r="AX1044" s="39"/>
      <c r="AY1044" s="39"/>
      <c r="AZ1044" s="39">
        <f t="shared" si="660"/>
        <v>0</v>
      </c>
      <c r="BA1044" s="39"/>
      <c r="BB1044" s="39"/>
      <c r="BC1044" s="39"/>
      <c r="BD1044" s="39"/>
      <c r="BE1044" s="39"/>
      <c r="BF1044" s="39">
        <f t="shared" si="661"/>
        <v>0</v>
      </c>
      <c r="BG1044" s="39"/>
      <c r="BH1044" s="39"/>
      <c r="BI1044" s="39"/>
      <c r="BJ1044" s="39"/>
      <c r="BK1044" s="39"/>
      <c r="BL1044" s="39">
        <f t="shared" si="558"/>
        <v>0</v>
      </c>
      <c r="BM1044" s="54">
        <f t="shared" ca="1" si="662"/>
        <v>46283</v>
      </c>
      <c r="BN1044" s="66">
        <v>46283</v>
      </c>
      <c r="BO1044" s="117">
        <v>46289</v>
      </c>
      <c r="BP1044" s="39"/>
      <c r="BQ1044" s="39"/>
      <c r="BR1044" s="39"/>
      <c r="BS1044" s="39"/>
      <c r="BT1044" s="39"/>
      <c r="BU1044" s="39"/>
      <c r="BV1044" s="39"/>
      <c r="BW1044" s="39"/>
      <c r="BX1044" s="39"/>
      <c r="BY1044" s="39"/>
      <c r="BZ1044" s="39">
        <f t="shared" si="559"/>
        <v>0</v>
      </c>
      <c r="CA1044" s="39">
        <f t="shared" ref="CA1044:CA1047" si="678">BU1044-I1044</f>
        <v>-1649</v>
      </c>
      <c r="CB1044" s="39">
        <f t="shared" ref="CB1044:CB1047" si="679">BW1044-J1044</f>
        <v>0</v>
      </c>
      <c r="CC1044" s="39">
        <f t="shared" ref="CC1044:CC1047" si="680">BY1044-K1044</f>
        <v>0</v>
      </c>
      <c r="CD1044" s="39">
        <f t="shared" si="560"/>
        <v>-1649</v>
      </c>
      <c r="CE1044" s="102">
        <f t="shared" ref="CE1044:CE1047" si="681">CD1044/L1044</f>
        <v>-1</v>
      </c>
      <c r="CF1044" s="36"/>
      <c r="CG1044" s="39" t="s">
        <v>236</v>
      </c>
      <c r="CH1044" s="39"/>
      <c r="CI1044" s="25">
        <v>2</v>
      </c>
    </row>
    <row r="1045" spans="1:87" ht="24.75" customHeight="1">
      <c r="A1045" s="36" t="s">
        <v>85</v>
      </c>
      <c r="B1045" s="55">
        <v>48711</v>
      </c>
      <c r="C1045" s="144" t="s">
        <v>2747</v>
      </c>
      <c r="D1045" s="36" t="s">
        <v>37</v>
      </c>
      <c r="E1045" s="39">
        <v>180</v>
      </c>
      <c r="F1045" s="39" t="s">
        <v>55</v>
      </c>
      <c r="G1045" s="36" t="s">
        <v>2746</v>
      </c>
      <c r="H1045" s="36" t="s">
        <v>87</v>
      </c>
      <c r="I1045" s="39">
        <f>1165+428</f>
        <v>1593</v>
      </c>
      <c r="J1045" s="39"/>
      <c r="K1045" s="39"/>
      <c r="L1045" s="39">
        <f t="shared" si="667"/>
        <v>1593</v>
      </c>
      <c r="M1045" s="117">
        <v>46268</v>
      </c>
      <c r="N1045" s="117">
        <v>46275</v>
      </c>
      <c r="O1045" s="39"/>
      <c r="P1045" s="39"/>
      <c r="Q1045" s="39"/>
      <c r="R1045" s="39">
        <f t="shared" si="676"/>
        <v>0</v>
      </c>
      <c r="S1045" s="39" t="s">
        <v>130</v>
      </c>
      <c r="T1045" s="39"/>
      <c r="U1045" s="39"/>
      <c r="V1045" s="39"/>
      <c r="W1045" s="39"/>
      <c r="X1045" s="39"/>
      <c r="Y1045" s="39"/>
      <c r="Z1045" s="39"/>
      <c r="AA1045" s="39"/>
      <c r="AB1045" s="118">
        <f t="shared" ref="AB1045" si="682">SUM(Y1045:AA1045)</f>
        <v>0</v>
      </c>
      <c r="AC1045" s="39"/>
      <c r="AD1045" s="39"/>
      <c r="AE1045" s="39"/>
      <c r="AF1045" s="39"/>
      <c r="AG1045" s="39"/>
      <c r="AH1045" s="39">
        <f t="shared" si="557"/>
        <v>0</v>
      </c>
      <c r="AI1045" s="39"/>
      <c r="AJ1045" s="39"/>
      <c r="AK1045" s="39"/>
      <c r="AL1045" s="39"/>
      <c r="AM1045" s="39"/>
      <c r="AN1045" s="39">
        <f t="shared" si="658"/>
        <v>0</v>
      </c>
      <c r="AO1045" s="39"/>
      <c r="AP1045" s="39"/>
      <c r="AQ1045" s="39"/>
      <c r="AR1045" s="39"/>
      <c r="AS1045" s="39"/>
      <c r="AT1045" s="39">
        <f t="shared" si="659"/>
        <v>0</v>
      </c>
      <c r="AU1045" s="39"/>
      <c r="AV1045" s="39"/>
      <c r="AW1045" s="39"/>
      <c r="AX1045" s="39"/>
      <c r="AY1045" s="39"/>
      <c r="AZ1045" s="39">
        <f t="shared" si="660"/>
        <v>0</v>
      </c>
      <c r="BA1045" s="39"/>
      <c r="BB1045" s="39"/>
      <c r="BC1045" s="39"/>
      <c r="BD1045" s="39"/>
      <c r="BE1045" s="39"/>
      <c r="BF1045" s="39">
        <f t="shared" si="661"/>
        <v>0</v>
      </c>
      <c r="BG1045" s="39"/>
      <c r="BH1045" s="39"/>
      <c r="BI1045" s="39"/>
      <c r="BJ1045" s="39"/>
      <c r="BK1045" s="39"/>
      <c r="BL1045" s="39">
        <f t="shared" si="558"/>
        <v>0</v>
      </c>
      <c r="BM1045" s="54">
        <f t="shared" ca="1" si="662"/>
        <v>46283</v>
      </c>
      <c r="BN1045" s="66">
        <v>46281</v>
      </c>
      <c r="BO1045" s="117">
        <v>46295</v>
      </c>
      <c r="BP1045" s="117">
        <v>46298</v>
      </c>
      <c r="BQ1045" s="117">
        <v>46307</v>
      </c>
      <c r="BR1045" s="39"/>
      <c r="BS1045" s="39"/>
      <c r="BT1045" s="39"/>
      <c r="BU1045" s="39"/>
      <c r="BV1045" s="39"/>
      <c r="BW1045" s="39"/>
      <c r="BX1045" s="39"/>
      <c r="BY1045" s="39"/>
      <c r="BZ1045" s="39">
        <f t="shared" si="559"/>
        <v>0</v>
      </c>
      <c r="CA1045" s="39">
        <f t="shared" si="678"/>
        <v>-1593</v>
      </c>
      <c r="CB1045" s="39">
        <f t="shared" si="679"/>
        <v>0</v>
      </c>
      <c r="CC1045" s="39">
        <f t="shared" si="680"/>
        <v>0</v>
      </c>
      <c r="CD1045" s="39">
        <f t="shared" si="560"/>
        <v>-1593</v>
      </c>
      <c r="CE1045" s="102">
        <f t="shared" si="681"/>
        <v>-1</v>
      </c>
      <c r="CF1045" s="36"/>
      <c r="CG1045" s="39" t="s">
        <v>236</v>
      </c>
      <c r="CH1045" s="39"/>
      <c r="CI1045" s="25">
        <v>2</v>
      </c>
    </row>
    <row r="1046" spans="1:87" ht="24.75" customHeight="1">
      <c r="A1046" s="36" t="s">
        <v>85</v>
      </c>
      <c r="B1046" s="55">
        <v>48728</v>
      </c>
      <c r="C1046" s="227" t="s">
        <v>2745</v>
      </c>
      <c r="D1046" s="36"/>
      <c r="E1046" s="39">
        <v>180</v>
      </c>
      <c r="F1046" s="39" t="s">
        <v>53</v>
      </c>
      <c r="G1046" s="36" t="s">
        <v>2603</v>
      </c>
      <c r="H1046" s="36" t="s">
        <v>87</v>
      </c>
      <c r="I1046" s="39">
        <f>757+316</f>
        <v>1073</v>
      </c>
      <c r="J1046" s="39"/>
      <c r="K1046" s="39"/>
      <c r="L1046" s="39">
        <f t="shared" ref="L1046" si="683">SUM(I1046:K1046)</f>
        <v>1073</v>
      </c>
      <c r="M1046" s="117">
        <v>46266</v>
      </c>
      <c r="N1046" s="117">
        <v>46275</v>
      </c>
      <c r="O1046" s="39"/>
      <c r="P1046" s="39"/>
      <c r="Q1046" s="39"/>
      <c r="R1046" s="39">
        <f t="shared" si="676"/>
        <v>0</v>
      </c>
      <c r="S1046" s="39" t="s">
        <v>130</v>
      </c>
      <c r="T1046" s="39"/>
      <c r="U1046" s="39"/>
      <c r="V1046" s="39"/>
      <c r="W1046" s="39"/>
      <c r="X1046" s="39"/>
      <c r="Y1046" s="39"/>
      <c r="Z1046" s="39"/>
      <c r="AA1046" s="39"/>
      <c r="AB1046" s="118">
        <f t="shared" ref="AB1046:AB1050" si="684">SUM(Y1046:AA1046)</f>
        <v>0</v>
      </c>
      <c r="AC1046" s="39"/>
      <c r="AD1046" s="39"/>
      <c r="AE1046" s="39"/>
      <c r="AF1046" s="39"/>
      <c r="AG1046" s="39"/>
      <c r="AH1046" s="39">
        <f t="shared" si="557"/>
        <v>0</v>
      </c>
      <c r="AI1046" s="39"/>
      <c r="AJ1046" s="39"/>
      <c r="AK1046" s="39"/>
      <c r="AL1046" s="39"/>
      <c r="AM1046" s="39"/>
      <c r="AN1046" s="39">
        <f t="shared" si="658"/>
        <v>0</v>
      </c>
      <c r="AO1046" s="39"/>
      <c r="AP1046" s="39"/>
      <c r="AQ1046" s="39"/>
      <c r="AR1046" s="39"/>
      <c r="AS1046" s="39"/>
      <c r="AT1046" s="39">
        <f t="shared" si="659"/>
        <v>0</v>
      </c>
      <c r="AU1046" s="39"/>
      <c r="AV1046" s="39"/>
      <c r="AW1046" s="39"/>
      <c r="AX1046" s="39"/>
      <c r="AY1046" s="39"/>
      <c r="AZ1046" s="39">
        <f t="shared" si="660"/>
        <v>0</v>
      </c>
      <c r="BA1046" s="39"/>
      <c r="BB1046" s="39"/>
      <c r="BC1046" s="39"/>
      <c r="BD1046" s="39"/>
      <c r="BE1046" s="39"/>
      <c r="BF1046" s="39">
        <f t="shared" si="661"/>
        <v>0</v>
      </c>
      <c r="BG1046" s="39"/>
      <c r="BH1046" s="39"/>
      <c r="BI1046" s="39"/>
      <c r="BJ1046" s="39"/>
      <c r="BK1046" s="39"/>
      <c r="BL1046" s="39">
        <f t="shared" si="558"/>
        <v>0</v>
      </c>
      <c r="BM1046" s="54">
        <f t="shared" ca="1" si="662"/>
        <v>46283</v>
      </c>
      <c r="BN1046" s="66">
        <v>46277</v>
      </c>
      <c r="BO1046" s="117">
        <v>46293</v>
      </c>
      <c r="BP1046" s="39"/>
      <c r="BQ1046" s="39"/>
      <c r="BR1046" s="39"/>
      <c r="BS1046" s="39"/>
      <c r="BT1046" s="39"/>
      <c r="BU1046" s="39"/>
      <c r="BV1046" s="39"/>
      <c r="BW1046" s="39"/>
      <c r="BX1046" s="39"/>
      <c r="BY1046" s="39"/>
      <c r="BZ1046" s="39">
        <f t="shared" si="559"/>
        <v>0</v>
      </c>
      <c r="CA1046" s="39">
        <f t="shared" si="678"/>
        <v>-1073</v>
      </c>
      <c r="CB1046" s="39">
        <f t="shared" si="679"/>
        <v>0</v>
      </c>
      <c r="CC1046" s="39">
        <f t="shared" si="680"/>
        <v>0</v>
      </c>
      <c r="CD1046" s="39">
        <f t="shared" si="560"/>
        <v>-1073</v>
      </c>
      <c r="CE1046" s="102">
        <f t="shared" si="681"/>
        <v>-1</v>
      </c>
      <c r="CF1046" s="36"/>
      <c r="CG1046" s="39" t="s">
        <v>236</v>
      </c>
      <c r="CH1046" s="39"/>
      <c r="CI1046" s="25">
        <v>2</v>
      </c>
    </row>
    <row r="1047" spans="1:87" ht="24.75" customHeight="1">
      <c r="A1047" s="36" t="s">
        <v>85</v>
      </c>
      <c r="B1047" s="55">
        <v>48728</v>
      </c>
      <c r="C1047" s="231"/>
      <c r="D1047" s="36"/>
      <c r="E1047" s="39">
        <v>180</v>
      </c>
      <c r="F1047" s="39" t="s">
        <v>53</v>
      </c>
      <c r="G1047" s="36" t="s">
        <v>2604</v>
      </c>
      <c r="H1047" s="36" t="s">
        <v>87</v>
      </c>
      <c r="I1047" s="39">
        <f>390+157</f>
        <v>547</v>
      </c>
      <c r="J1047" s="39"/>
      <c r="K1047" s="39"/>
      <c r="L1047" s="39">
        <f t="shared" ref="L1047:L1050" si="685">SUM(I1047:K1047)</f>
        <v>547</v>
      </c>
      <c r="M1047" s="117">
        <v>46266</v>
      </c>
      <c r="N1047" s="117">
        <v>46275</v>
      </c>
      <c r="O1047" s="39"/>
      <c r="P1047" s="39"/>
      <c r="Q1047" s="39"/>
      <c r="R1047" s="39">
        <f t="shared" si="676"/>
        <v>0</v>
      </c>
      <c r="S1047" s="39" t="s">
        <v>130</v>
      </c>
      <c r="T1047" s="39"/>
      <c r="U1047" s="39"/>
      <c r="V1047" s="39"/>
      <c r="W1047" s="39"/>
      <c r="X1047" s="39"/>
      <c r="Y1047" s="39"/>
      <c r="Z1047" s="39"/>
      <c r="AA1047" s="39"/>
      <c r="AB1047" s="118">
        <f t="shared" si="684"/>
        <v>0</v>
      </c>
      <c r="AC1047" s="39"/>
      <c r="AD1047" s="39"/>
      <c r="AE1047" s="39"/>
      <c r="AF1047" s="39"/>
      <c r="AG1047" s="39"/>
      <c r="AH1047" s="39">
        <f t="shared" si="557"/>
        <v>0</v>
      </c>
      <c r="AI1047" s="39"/>
      <c r="AJ1047" s="39"/>
      <c r="AK1047" s="39"/>
      <c r="AL1047" s="39"/>
      <c r="AM1047" s="39"/>
      <c r="AN1047" s="39">
        <f t="shared" si="658"/>
        <v>0</v>
      </c>
      <c r="AO1047" s="39"/>
      <c r="AP1047" s="39"/>
      <c r="AQ1047" s="39"/>
      <c r="AR1047" s="39"/>
      <c r="AS1047" s="39"/>
      <c r="AT1047" s="39">
        <f t="shared" si="659"/>
        <v>0</v>
      </c>
      <c r="AU1047" s="39"/>
      <c r="AV1047" s="39"/>
      <c r="AW1047" s="39"/>
      <c r="AX1047" s="39"/>
      <c r="AY1047" s="39"/>
      <c r="AZ1047" s="39">
        <f t="shared" si="660"/>
        <v>0</v>
      </c>
      <c r="BA1047" s="39"/>
      <c r="BB1047" s="39"/>
      <c r="BC1047" s="39"/>
      <c r="BD1047" s="39"/>
      <c r="BE1047" s="39"/>
      <c r="BF1047" s="39">
        <f t="shared" si="661"/>
        <v>0</v>
      </c>
      <c r="BG1047" s="39"/>
      <c r="BH1047" s="39"/>
      <c r="BI1047" s="39"/>
      <c r="BJ1047" s="39"/>
      <c r="BK1047" s="39"/>
      <c r="BL1047" s="39">
        <f t="shared" si="558"/>
        <v>0</v>
      </c>
      <c r="BM1047" s="54">
        <f t="shared" ca="1" si="662"/>
        <v>46283</v>
      </c>
      <c r="BN1047" s="66">
        <v>46277</v>
      </c>
      <c r="BO1047" s="117">
        <v>46293</v>
      </c>
      <c r="BP1047" s="39"/>
      <c r="BQ1047" s="39"/>
      <c r="BR1047" s="39"/>
      <c r="BS1047" s="39"/>
      <c r="BT1047" s="39"/>
      <c r="BU1047" s="39"/>
      <c r="BV1047" s="39"/>
      <c r="BW1047" s="39"/>
      <c r="BX1047" s="39"/>
      <c r="BY1047" s="39"/>
      <c r="BZ1047" s="39">
        <f t="shared" si="559"/>
        <v>0</v>
      </c>
      <c r="CA1047" s="39">
        <f t="shared" si="678"/>
        <v>-547</v>
      </c>
      <c r="CB1047" s="39">
        <f t="shared" si="679"/>
        <v>0</v>
      </c>
      <c r="CC1047" s="39">
        <f t="shared" si="680"/>
        <v>0</v>
      </c>
      <c r="CD1047" s="39">
        <f t="shared" si="560"/>
        <v>-547</v>
      </c>
      <c r="CE1047" s="102">
        <f t="shared" si="681"/>
        <v>-1</v>
      </c>
      <c r="CF1047" s="36"/>
      <c r="CG1047" s="39" t="s">
        <v>236</v>
      </c>
      <c r="CH1047" s="39"/>
      <c r="CI1047" s="25">
        <v>2</v>
      </c>
    </row>
    <row r="1048" spans="1:87" ht="24.75" customHeight="1">
      <c r="A1048" s="36" t="s">
        <v>85</v>
      </c>
      <c r="B1048" s="55">
        <v>48728</v>
      </c>
      <c r="C1048" s="228"/>
      <c r="D1048" s="36"/>
      <c r="E1048" s="39">
        <v>180</v>
      </c>
      <c r="F1048" s="39" t="s">
        <v>53</v>
      </c>
      <c r="G1048" s="36" t="s">
        <v>101</v>
      </c>
      <c r="H1048" s="36" t="s">
        <v>87</v>
      </c>
      <c r="I1048" s="39">
        <f>130+210</f>
        <v>340</v>
      </c>
      <c r="J1048" s="39"/>
      <c r="K1048" s="39"/>
      <c r="L1048" s="39">
        <f t="shared" si="685"/>
        <v>340</v>
      </c>
      <c r="M1048" s="117">
        <v>46266</v>
      </c>
      <c r="N1048" s="117">
        <v>46275</v>
      </c>
      <c r="O1048" s="39"/>
      <c r="P1048" s="39"/>
      <c r="Q1048" s="39"/>
      <c r="R1048" s="39">
        <f t="shared" si="676"/>
        <v>0</v>
      </c>
      <c r="S1048" s="39" t="s">
        <v>130</v>
      </c>
      <c r="T1048" s="39"/>
      <c r="U1048" s="39"/>
      <c r="V1048" s="39"/>
      <c r="W1048" s="39"/>
      <c r="X1048" s="39"/>
      <c r="Y1048" s="39"/>
      <c r="Z1048" s="39"/>
      <c r="AA1048" s="39"/>
      <c r="AB1048" s="118">
        <f t="shared" si="684"/>
        <v>0</v>
      </c>
      <c r="AC1048" s="39"/>
      <c r="AD1048" s="39"/>
      <c r="AE1048" s="39"/>
      <c r="AF1048" s="39"/>
      <c r="AG1048" s="39"/>
      <c r="AH1048" s="39">
        <f t="shared" si="557"/>
        <v>0</v>
      </c>
      <c r="AI1048" s="39"/>
      <c r="AJ1048" s="39"/>
      <c r="AK1048" s="39"/>
      <c r="AL1048" s="39"/>
      <c r="AM1048" s="39"/>
      <c r="AN1048" s="39">
        <f t="shared" si="658"/>
        <v>0</v>
      </c>
      <c r="AO1048" s="39"/>
      <c r="AP1048" s="39"/>
      <c r="AQ1048" s="39"/>
      <c r="AR1048" s="39"/>
      <c r="AS1048" s="39"/>
      <c r="AT1048" s="39">
        <f t="shared" si="659"/>
        <v>0</v>
      </c>
      <c r="AU1048" s="39"/>
      <c r="AV1048" s="39"/>
      <c r="AW1048" s="39"/>
      <c r="AX1048" s="39"/>
      <c r="AY1048" s="39"/>
      <c r="AZ1048" s="39">
        <f t="shared" si="660"/>
        <v>0</v>
      </c>
      <c r="BA1048" s="39"/>
      <c r="BB1048" s="39"/>
      <c r="BC1048" s="39"/>
      <c r="BD1048" s="39"/>
      <c r="BE1048" s="39"/>
      <c r="BF1048" s="39">
        <f t="shared" si="661"/>
        <v>0</v>
      </c>
      <c r="BG1048" s="39"/>
      <c r="BH1048" s="39"/>
      <c r="BI1048" s="39"/>
      <c r="BJ1048" s="39"/>
      <c r="BK1048" s="39"/>
      <c r="BL1048" s="39">
        <f t="shared" si="558"/>
        <v>0</v>
      </c>
      <c r="BM1048" s="54">
        <f t="shared" ca="1" si="662"/>
        <v>46283</v>
      </c>
      <c r="BN1048" s="66">
        <v>46277</v>
      </c>
      <c r="BO1048" s="117">
        <v>46293</v>
      </c>
      <c r="BP1048" s="39"/>
      <c r="BQ1048" s="39"/>
      <c r="BR1048" s="39"/>
      <c r="BS1048" s="39"/>
      <c r="BT1048" s="39"/>
      <c r="BU1048" s="39"/>
      <c r="BV1048" s="39"/>
      <c r="BW1048" s="39"/>
      <c r="BX1048" s="39"/>
      <c r="BY1048" s="39"/>
      <c r="BZ1048" s="39">
        <f t="shared" si="559"/>
        <v>0</v>
      </c>
      <c r="CA1048" s="39">
        <f>BU1048-I1048</f>
        <v>-340</v>
      </c>
      <c r="CB1048" s="39">
        <f>BW1048-J1048</f>
        <v>0</v>
      </c>
      <c r="CC1048" s="39">
        <f>BY1048-K1048</f>
        <v>0</v>
      </c>
      <c r="CD1048" s="39">
        <f t="shared" si="560"/>
        <v>-340</v>
      </c>
      <c r="CE1048" s="102">
        <f>CD1048/L1048</f>
        <v>-1</v>
      </c>
      <c r="CF1048" s="36"/>
      <c r="CG1048" s="39" t="s">
        <v>236</v>
      </c>
      <c r="CH1048" s="39"/>
      <c r="CI1048" s="25">
        <v>2</v>
      </c>
    </row>
    <row r="1049" spans="1:87" ht="24.75" customHeight="1">
      <c r="A1049" s="36" t="s">
        <v>85</v>
      </c>
      <c r="B1049" s="55" t="s">
        <v>2605</v>
      </c>
      <c r="C1049" s="36">
        <v>9148519</v>
      </c>
      <c r="D1049" s="36"/>
      <c r="E1049" s="39">
        <v>180</v>
      </c>
      <c r="F1049" s="39" t="s">
        <v>53</v>
      </c>
      <c r="G1049" s="36" t="s">
        <v>2603</v>
      </c>
      <c r="H1049" s="36" t="s">
        <v>87</v>
      </c>
      <c r="I1049" s="39">
        <v>1515</v>
      </c>
      <c r="J1049" s="39"/>
      <c r="K1049" s="39"/>
      <c r="L1049" s="39">
        <f t="shared" si="685"/>
        <v>1515</v>
      </c>
      <c r="M1049" s="117">
        <v>46266</v>
      </c>
      <c r="N1049" s="117">
        <v>46274</v>
      </c>
      <c r="O1049" s="39"/>
      <c r="P1049" s="39"/>
      <c r="Q1049" s="39"/>
      <c r="R1049" s="39">
        <f t="shared" ref="R1049:R1050" si="686">SUM(O1049:Q1049)</f>
        <v>0</v>
      </c>
      <c r="S1049" s="39" t="s">
        <v>130</v>
      </c>
      <c r="T1049" s="39"/>
      <c r="U1049" s="39"/>
      <c r="V1049" s="39"/>
      <c r="W1049" s="39"/>
      <c r="X1049" s="39"/>
      <c r="Y1049" s="39"/>
      <c r="Z1049" s="39"/>
      <c r="AA1049" s="39"/>
      <c r="AB1049" s="118">
        <f t="shared" si="684"/>
        <v>0</v>
      </c>
      <c r="AC1049" s="39"/>
      <c r="AD1049" s="39"/>
      <c r="AE1049" s="39"/>
      <c r="AF1049" s="39"/>
      <c r="AG1049" s="39"/>
      <c r="AH1049" s="39">
        <f t="shared" si="557"/>
        <v>0</v>
      </c>
      <c r="AI1049" s="39"/>
      <c r="AJ1049" s="39"/>
      <c r="AK1049" s="39"/>
      <c r="AL1049" s="39"/>
      <c r="AM1049" s="39"/>
      <c r="AN1049" s="39">
        <f t="shared" si="658"/>
        <v>0</v>
      </c>
      <c r="AO1049" s="39"/>
      <c r="AP1049" s="39"/>
      <c r="AQ1049" s="39"/>
      <c r="AR1049" s="39"/>
      <c r="AS1049" s="39"/>
      <c r="AT1049" s="39">
        <f t="shared" si="659"/>
        <v>0</v>
      </c>
      <c r="AU1049" s="39"/>
      <c r="AV1049" s="39"/>
      <c r="AW1049" s="39"/>
      <c r="AX1049" s="39"/>
      <c r="AY1049" s="39"/>
      <c r="AZ1049" s="39">
        <f t="shared" si="660"/>
        <v>0</v>
      </c>
      <c r="BA1049" s="39"/>
      <c r="BB1049" s="39"/>
      <c r="BC1049" s="39"/>
      <c r="BD1049" s="39"/>
      <c r="BE1049" s="39"/>
      <c r="BF1049" s="39">
        <f t="shared" si="661"/>
        <v>0</v>
      </c>
      <c r="BG1049" s="39"/>
      <c r="BH1049" s="39"/>
      <c r="BI1049" s="39"/>
      <c r="BJ1049" s="39"/>
      <c r="BK1049" s="39"/>
      <c r="BL1049" s="39">
        <f t="shared" si="558"/>
        <v>0</v>
      </c>
      <c r="BM1049" s="54">
        <f t="shared" ca="1" si="662"/>
        <v>46283</v>
      </c>
      <c r="BN1049" s="66">
        <v>46279</v>
      </c>
      <c r="BO1049" s="117">
        <v>46291</v>
      </c>
      <c r="BP1049" s="39"/>
      <c r="BQ1049" s="39"/>
      <c r="BR1049" s="39"/>
      <c r="BS1049" s="39"/>
      <c r="BT1049" s="39"/>
      <c r="BU1049" s="39"/>
      <c r="BV1049" s="39"/>
      <c r="BW1049" s="39"/>
      <c r="BX1049" s="39"/>
      <c r="BY1049" s="39"/>
      <c r="BZ1049" s="39">
        <f t="shared" si="559"/>
        <v>0</v>
      </c>
      <c r="CA1049" s="39">
        <f t="shared" ref="CA1049:CA1050" si="687">BU1049-I1049</f>
        <v>-1515</v>
      </c>
      <c r="CB1049" s="39">
        <f t="shared" ref="CB1049:CB1050" si="688">BW1049-J1049</f>
        <v>0</v>
      </c>
      <c r="CC1049" s="39">
        <f t="shared" ref="CC1049:CC1050" si="689">BY1049-K1049</f>
        <v>0</v>
      </c>
      <c r="CD1049" s="39">
        <f t="shared" si="560"/>
        <v>-1515</v>
      </c>
      <c r="CE1049" s="102">
        <f t="shared" ref="CE1049:CE1050" si="690">CD1049/L1049</f>
        <v>-1</v>
      </c>
      <c r="CF1049" s="36"/>
      <c r="CG1049" s="39" t="s">
        <v>236</v>
      </c>
      <c r="CH1049" s="39"/>
      <c r="CI1049" s="25">
        <v>2</v>
      </c>
    </row>
    <row r="1050" spans="1:87" ht="24.75" customHeight="1">
      <c r="A1050" s="36" t="s">
        <v>85</v>
      </c>
      <c r="B1050" s="55" t="s">
        <v>2606</v>
      </c>
      <c r="C1050" s="36">
        <v>9148519</v>
      </c>
      <c r="D1050" s="36"/>
      <c r="E1050" s="39">
        <v>180</v>
      </c>
      <c r="F1050" s="39" t="s">
        <v>53</v>
      </c>
      <c r="G1050" s="36" t="s">
        <v>2603</v>
      </c>
      <c r="H1050" s="36" t="s">
        <v>87</v>
      </c>
      <c r="I1050" s="39">
        <v>4652</v>
      </c>
      <c r="J1050" s="39"/>
      <c r="K1050" s="39"/>
      <c r="L1050" s="39">
        <f t="shared" si="685"/>
        <v>4652</v>
      </c>
      <c r="M1050" s="117">
        <v>46266</v>
      </c>
      <c r="N1050" s="117">
        <v>46277</v>
      </c>
      <c r="O1050" s="39"/>
      <c r="P1050" s="39"/>
      <c r="Q1050" s="39"/>
      <c r="R1050" s="39">
        <f t="shared" si="686"/>
        <v>0</v>
      </c>
      <c r="S1050" s="39" t="s">
        <v>130</v>
      </c>
      <c r="T1050" s="39">
        <v>109425</v>
      </c>
      <c r="U1050" s="117">
        <v>46281</v>
      </c>
      <c r="V1050" s="39"/>
      <c r="W1050" s="39"/>
      <c r="X1050" s="39"/>
      <c r="Y1050" s="39">
        <f>1139</f>
        <v>1139</v>
      </c>
      <c r="Z1050" s="39"/>
      <c r="AA1050" s="39"/>
      <c r="AB1050" s="118">
        <f t="shared" si="684"/>
        <v>1139</v>
      </c>
      <c r="AC1050" s="39"/>
      <c r="AD1050" s="39"/>
      <c r="AE1050" s="39"/>
      <c r="AF1050" s="39"/>
      <c r="AG1050" s="39"/>
      <c r="AH1050" s="39">
        <f t="shared" si="557"/>
        <v>0</v>
      </c>
      <c r="AI1050" s="39"/>
      <c r="AJ1050" s="39"/>
      <c r="AK1050" s="39"/>
      <c r="AL1050" s="39"/>
      <c r="AM1050" s="39"/>
      <c r="AN1050" s="39">
        <f t="shared" si="658"/>
        <v>0</v>
      </c>
      <c r="AO1050" s="39"/>
      <c r="AP1050" s="39"/>
      <c r="AQ1050" s="39"/>
      <c r="AR1050" s="39"/>
      <c r="AS1050" s="39"/>
      <c r="AT1050" s="39">
        <f t="shared" si="659"/>
        <v>0</v>
      </c>
      <c r="AU1050" s="39"/>
      <c r="AV1050" s="39"/>
      <c r="AW1050" s="39"/>
      <c r="AX1050" s="39"/>
      <c r="AY1050" s="39"/>
      <c r="AZ1050" s="39">
        <f t="shared" si="660"/>
        <v>0</v>
      </c>
      <c r="BA1050" s="39"/>
      <c r="BB1050" s="39"/>
      <c r="BC1050" s="39"/>
      <c r="BD1050" s="39"/>
      <c r="BE1050" s="39"/>
      <c r="BF1050" s="39">
        <f t="shared" si="661"/>
        <v>0</v>
      </c>
      <c r="BG1050" s="39"/>
      <c r="BH1050" s="39"/>
      <c r="BI1050" s="39"/>
      <c r="BJ1050" s="39"/>
      <c r="BK1050" s="39"/>
      <c r="BL1050" s="39">
        <f t="shared" si="558"/>
        <v>0</v>
      </c>
      <c r="BM1050" s="54">
        <f t="shared" ca="1" si="662"/>
        <v>2</v>
      </c>
      <c r="BN1050" s="66">
        <v>46277</v>
      </c>
      <c r="BO1050" s="117">
        <v>46291</v>
      </c>
      <c r="BP1050" s="39"/>
      <c r="BQ1050" s="39"/>
      <c r="BR1050" s="39"/>
      <c r="BS1050" s="39"/>
      <c r="BT1050" s="39"/>
      <c r="BU1050" s="39"/>
      <c r="BV1050" s="39"/>
      <c r="BW1050" s="39"/>
      <c r="BX1050" s="39"/>
      <c r="BY1050" s="39"/>
      <c r="BZ1050" s="39">
        <f t="shared" si="559"/>
        <v>0</v>
      </c>
      <c r="CA1050" s="39">
        <f t="shared" si="687"/>
        <v>-4652</v>
      </c>
      <c r="CB1050" s="39">
        <f t="shared" si="688"/>
        <v>0</v>
      </c>
      <c r="CC1050" s="39">
        <f t="shared" si="689"/>
        <v>0</v>
      </c>
      <c r="CD1050" s="39">
        <f t="shared" si="560"/>
        <v>-4652</v>
      </c>
      <c r="CE1050" s="102">
        <f t="shared" si="690"/>
        <v>-1</v>
      </c>
      <c r="CF1050" s="36"/>
      <c r="CG1050" s="39" t="s">
        <v>236</v>
      </c>
      <c r="CH1050" s="39"/>
      <c r="CI1050" s="25">
        <v>2</v>
      </c>
    </row>
    <row r="1051" spans="1:87" ht="24.75" customHeight="1">
      <c r="A1051" s="36" t="s">
        <v>85</v>
      </c>
      <c r="B1051" s="55"/>
      <c r="C1051" s="36"/>
      <c r="D1051" s="36"/>
      <c r="E1051" s="39"/>
      <c r="F1051" s="39"/>
      <c r="G1051" s="36"/>
      <c r="H1051" s="39"/>
      <c r="I1051" s="39"/>
      <c r="J1051" s="39"/>
      <c r="K1051" s="39"/>
      <c r="L1051" s="39">
        <f t="shared" si="582"/>
        <v>0</v>
      </c>
      <c r="M1051" s="39"/>
      <c r="N1051" s="39"/>
      <c r="O1051" s="39"/>
      <c r="P1051" s="39"/>
      <c r="Q1051" s="39"/>
      <c r="R1051" s="39">
        <f t="shared" si="583"/>
        <v>0</v>
      </c>
      <c r="S1051" s="39"/>
      <c r="T1051" s="39"/>
      <c r="U1051" s="39"/>
      <c r="V1051" s="39"/>
      <c r="W1051" s="39"/>
      <c r="X1051" s="39"/>
      <c r="Y1051" s="39"/>
      <c r="Z1051" s="39"/>
      <c r="AA1051" s="39"/>
      <c r="AB1051" s="39">
        <f t="shared" si="584"/>
        <v>0</v>
      </c>
      <c r="AC1051" s="39"/>
      <c r="AD1051" s="39"/>
      <c r="AE1051" s="39"/>
      <c r="AF1051" s="39"/>
      <c r="AG1051" s="39"/>
      <c r="AH1051" s="39">
        <f t="shared" si="557"/>
        <v>0</v>
      </c>
      <c r="AI1051" s="39"/>
      <c r="AJ1051" s="39"/>
      <c r="AK1051" s="39"/>
      <c r="AL1051" s="39"/>
      <c r="AM1051" s="39"/>
      <c r="AN1051" s="39">
        <f t="shared" si="658"/>
        <v>0</v>
      </c>
      <c r="AO1051" s="39"/>
      <c r="AP1051" s="39"/>
      <c r="AQ1051" s="39"/>
      <c r="AR1051" s="39"/>
      <c r="AS1051" s="39"/>
      <c r="AT1051" s="39">
        <f t="shared" si="659"/>
        <v>0</v>
      </c>
      <c r="AU1051" s="39"/>
      <c r="AV1051" s="39"/>
      <c r="AW1051" s="39"/>
      <c r="AX1051" s="39"/>
      <c r="AY1051" s="39"/>
      <c r="AZ1051" s="39">
        <f t="shared" si="660"/>
        <v>0</v>
      </c>
      <c r="BA1051" s="39"/>
      <c r="BB1051" s="39"/>
      <c r="BC1051" s="39"/>
      <c r="BD1051" s="39"/>
      <c r="BE1051" s="39"/>
      <c r="BF1051" s="39">
        <f t="shared" si="661"/>
        <v>0</v>
      </c>
      <c r="BG1051" s="39"/>
      <c r="BH1051" s="39"/>
      <c r="BI1051" s="39"/>
      <c r="BJ1051" s="39"/>
      <c r="BK1051" s="39"/>
      <c r="BL1051" s="39">
        <f t="shared" si="558"/>
        <v>0</v>
      </c>
      <c r="BM1051" s="54" t="e">
        <f t="shared" si="662"/>
        <v>#DIV/0!</v>
      </c>
      <c r="BN1051" s="67"/>
      <c r="BO1051" s="39"/>
      <c r="BP1051" s="39"/>
      <c r="BQ1051" s="39"/>
      <c r="BR1051" s="39"/>
      <c r="BS1051" s="39"/>
      <c r="BT1051" s="39"/>
      <c r="BU1051" s="39"/>
      <c r="BV1051" s="39"/>
      <c r="BW1051" s="39"/>
      <c r="BX1051" s="39"/>
      <c r="BY1051" s="39"/>
      <c r="BZ1051" s="39">
        <f t="shared" si="559"/>
        <v>0</v>
      </c>
      <c r="CA1051" s="39">
        <f t="shared" si="663"/>
        <v>0</v>
      </c>
      <c r="CB1051" s="39">
        <f t="shared" si="664"/>
        <v>0</v>
      </c>
      <c r="CC1051" s="39">
        <f t="shared" si="665"/>
        <v>0</v>
      </c>
      <c r="CD1051" s="39">
        <f t="shared" si="560"/>
        <v>0</v>
      </c>
      <c r="CE1051" s="47" t="e">
        <f t="shared" si="666"/>
        <v>#DIV/0!</v>
      </c>
      <c r="CF1051" s="36"/>
      <c r="CG1051" s="39"/>
      <c r="CH1051" s="39"/>
      <c r="CI1051" s="25">
        <v>2</v>
      </c>
    </row>
    <row r="1052" spans="1:87" ht="24.75" customHeight="1">
      <c r="A1052" s="36" t="s">
        <v>85</v>
      </c>
      <c r="B1052" s="55"/>
      <c r="C1052" s="36"/>
      <c r="D1052" s="36"/>
      <c r="E1052" s="39"/>
      <c r="F1052" s="39"/>
      <c r="G1052" s="36"/>
      <c r="H1052" s="39"/>
      <c r="I1052" s="39"/>
      <c r="J1052" s="39"/>
      <c r="K1052" s="39"/>
      <c r="L1052" s="39">
        <f t="shared" si="582"/>
        <v>0</v>
      </c>
      <c r="M1052" s="39"/>
      <c r="N1052" s="39"/>
      <c r="O1052" s="39"/>
      <c r="P1052" s="39"/>
      <c r="Q1052" s="39"/>
      <c r="R1052" s="39">
        <f t="shared" si="583"/>
        <v>0</v>
      </c>
      <c r="S1052" s="39"/>
      <c r="T1052" s="39"/>
      <c r="U1052" s="39"/>
      <c r="V1052" s="39"/>
      <c r="W1052" s="39"/>
      <c r="X1052" s="39"/>
      <c r="Y1052" s="39"/>
      <c r="Z1052" s="39"/>
      <c r="AA1052" s="39"/>
      <c r="AB1052" s="39">
        <f t="shared" si="584"/>
        <v>0</v>
      </c>
      <c r="AC1052" s="39"/>
      <c r="AD1052" s="39"/>
      <c r="AE1052" s="39"/>
      <c r="AF1052" s="39"/>
      <c r="AG1052" s="39"/>
      <c r="AH1052" s="39">
        <f t="shared" si="557"/>
        <v>0</v>
      </c>
      <c r="AI1052" s="39"/>
      <c r="AJ1052" s="39"/>
      <c r="AK1052" s="39"/>
      <c r="AL1052" s="39"/>
      <c r="AM1052" s="39"/>
      <c r="AN1052" s="39">
        <f t="shared" si="658"/>
        <v>0</v>
      </c>
      <c r="AO1052" s="39"/>
      <c r="AP1052" s="39"/>
      <c r="AQ1052" s="39"/>
      <c r="AR1052" s="39"/>
      <c r="AS1052" s="39"/>
      <c r="AT1052" s="39">
        <f t="shared" si="659"/>
        <v>0</v>
      </c>
      <c r="AU1052" s="39"/>
      <c r="AV1052" s="39"/>
      <c r="AW1052" s="39"/>
      <c r="AX1052" s="39"/>
      <c r="AY1052" s="39"/>
      <c r="AZ1052" s="39">
        <f t="shared" si="660"/>
        <v>0</v>
      </c>
      <c r="BA1052" s="39"/>
      <c r="BB1052" s="39"/>
      <c r="BC1052" s="39"/>
      <c r="BD1052" s="39"/>
      <c r="BE1052" s="39"/>
      <c r="BF1052" s="39">
        <f t="shared" si="661"/>
        <v>0</v>
      </c>
      <c r="BG1052" s="39"/>
      <c r="BH1052" s="39"/>
      <c r="BI1052" s="39"/>
      <c r="BJ1052" s="39"/>
      <c r="BK1052" s="39"/>
      <c r="BL1052" s="39">
        <f t="shared" si="558"/>
        <v>0</v>
      </c>
      <c r="BM1052" s="54" t="e">
        <f t="shared" si="662"/>
        <v>#DIV/0!</v>
      </c>
      <c r="BN1052" s="67"/>
      <c r="BO1052" s="39"/>
      <c r="BP1052" s="39"/>
      <c r="BQ1052" s="39"/>
      <c r="BR1052" s="39"/>
      <c r="BS1052" s="39"/>
      <c r="BT1052" s="39"/>
      <c r="BU1052" s="39"/>
      <c r="BV1052" s="39"/>
      <c r="BW1052" s="39"/>
      <c r="BX1052" s="39"/>
      <c r="BY1052" s="39"/>
      <c r="BZ1052" s="39">
        <f t="shared" si="559"/>
        <v>0</v>
      </c>
      <c r="CA1052" s="39">
        <f t="shared" si="663"/>
        <v>0</v>
      </c>
      <c r="CB1052" s="39">
        <f t="shared" si="664"/>
        <v>0</v>
      </c>
      <c r="CC1052" s="39">
        <f t="shared" si="665"/>
        <v>0</v>
      </c>
      <c r="CD1052" s="39">
        <f t="shared" si="560"/>
        <v>0</v>
      </c>
      <c r="CE1052" s="47" t="e">
        <f t="shared" si="666"/>
        <v>#DIV/0!</v>
      </c>
      <c r="CF1052" s="36"/>
      <c r="CG1052" s="39"/>
      <c r="CH1052" s="39"/>
      <c r="CI1052" s="25">
        <v>2</v>
      </c>
    </row>
    <row r="1053" spans="1:87" ht="24.75" customHeight="1">
      <c r="A1053" s="36" t="s">
        <v>85</v>
      </c>
      <c r="B1053" s="55"/>
      <c r="C1053" s="36"/>
      <c r="D1053" s="36"/>
      <c r="E1053" s="39"/>
      <c r="F1053" s="39"/>
      <c r="G1053" s="36"/>
      <c r="H1053" s="39"/>
      <c r="I1053" s="39"/>
      <c r="J1053" s="39"/>
      <c r="K1053" s="39"/>
      <c r="L1053" s="39">
        <f>SUM(I1053:K1053)</f>
        <v>0</v>
      </c>
      <c r="M1053" s="39"/>
      <c r="N1053" s="39"/>
      <c r="O1053" s="39"/>
      <c r="P1053" s="39"/>
      <c r="Q1053" s="39"/>
      <c r="R1053" s="39">
        <f>SUM(O1053:Q1053)</f>
        <v>0</v>
      </c>
      <c r="S1053" s="39"/>
      <c r="T1053" s="39"/>
      <c r="U1053" s="39"/>
      <c r="V1053" s="39"/>
      <c r="W1053" s="39"/>
      <c r="X1053" s="39"/>
      <c r="Y1053" s="39"/>
      <c r="Z1053" s="39"/>
      <c r="AA1053" s="39"/>
      <c r="AB1053" s="39">
        <f>SUM(Y1053:AA1053)</f>
        <v>0</v>
      </c>
      <c r="AC1053" s="39"/>
      <c r="AD1053" s="39"/>
      <c r="AE1053" s="39"/>
      <c r="AF1053" s="39"/>
      <c r="AG1053" s="39"/>
      <c r="AH1053" s="39">
        <f t="shared" si="557"/>
        <v>0</v>
      </c>
      <c r="AI1053" s="39"/>
      <c r="AJ1053" s="39"/>
      <c r="AK1053" s="39"/>
      <c r="AL1053" s="39"/>
      <c r="AM1053" s="39"/>
      <c r="AN1053" s="39">
        <f>AM1053-AK1053</f>
        <v>0</v>
      </c>
      <c r="AO1053" s="39"/>
      <c r="AP1053" s="39"/>
      <c r="AQ1053" s="39"/>
      <c r="AR1053" s="39"/>
      <c r="AS1053" s="39"/>
      <c r="AT1053" s="39">
        <f>AS1053-AQ1053</f>
        <v>0</v>
      </c>
      <c r="AU1053" s="39"/>
      <c r="AV1053" s="39"/>
      <c r="AW1053" s="39"/>
      <c r="AX1053" s="39"/>
      <c r="AY1053" s="39"/>
      <c r="AZ1053" s="39">
        <f>AY1053-AW1053</f>
        <v>0</v>
      </c>
      <c r="BA1053" s="39"/>
      <c r="BB1053" s="39"/>
      <c r="BC1053" s="39"/>
      <c r="BD1053" s="39"/>
      <c r="BE1053" s="39"/>
      <c r="BF1053" s="39">
        <f>BE1053-BC1053</f>
        <v>0</v>
      </c>
      <c r="BG1053" s="39"/>
      <c r="BH1053" s="39"/>
      <c r="BI1053" s="39"/>
      <c r="BJ1053" s="39"/>
      <c r="BK1053" s="39"/>
      <c r="BL1053" s="39">
        <f t="shared" si="558"/>
        <v>0</v>
      </c>
      <c r="BM1053" s="54" t="e">
        <f>IF((BZ1053/L1053)&lt;0.9,$CO$1-U1053,"")</f>
        <v>#DIV/0!</v>
      </c>
      <c r="BN1053" s="67"/>
      <c r="BO1053" s="39"/>
      <c r="BP1053" s="39"/>
      <c r="BQ1053" s="39"/>
      <c r="BR1053" s="39"/>
      <c r="BS1053" s="39"/>
      <c r="BT1053" s="39"/>
      <c r="BU1053" s="39"/>
      <c r="BV1053" s="39"/>
      <c r="BW1053" s="39"/>
      <c r="BX1053" s="39"/>
      <c r="BY1053" s="39"/>
      <c r="BZ1053" s="39">
        <f t="shared" si="559"/>
        <v>0</v>
      </c>
      <c r="CA1053" s="39">
        <f>BU1053-I1053</f>
        <v>0</v>
      </c>
      <c r="CB1053" s="39">
        <f>BW1053-J1053</f>
        <v>0</v>
      </c>
      <c r="CC1053" s="39">
        <f>BY1053-K1053</f>
        <v>0</v>
      </c>
      <c r="CD1053" s="39">
        <f t="shared" si="560"/>
        <v>0</v>
      </c>
      <c r="CE1053" s="47" t="e">
        <f>CD1053/L1053</f>
        <v>#DIV/0!</v>
      </c>
      <c r="CF1053" s="36"/>
      <c r="CG1053" s="39"/>
      <c r="CH1053" s="39"/>
      <c r="CI1053" s="25">
        <v>2</v>
      </c>
    </row>
    <row r="1054" spans="1:87" ht="24.75" customHeight="1">
      <c r="A1054" s="36" t="s">
        <v>85</v>
      </c>
      <c r="B1054" s="55"/>
      <c r="C1054" s="36"/>
      <c r="D1054" s="36"/>
      <c r="E1054" s="39"/>
      <c r="F1054" s="39"/>
      <c r="G1054" s="36"/>
      <c r="H1054" s="39"/>
      <c r="I1054" s="39"/>
      <c r="J1054" s="39"/>
      <c r="K1054" s="39"/>
      <c r="L1054" s="39">
        <f t="shared" si="582"/>
        <v>0</v>
      </c>
      <c r="M1054" s="39"/>
      <c r="N1054" s="39"/>
      <c r="O1054" s="39"/>
      <c r="P1054" s="39"/>
      <c r="Q1054" s="39"/>
      <c r="R1054" s="39">
        <f t="shared" si="583"/>
        <v>0</v>
      </c>
      <c r="S1054" s="39"/>
      <c r="T1054" s="39"/>
      <c r="U1054" s="39"/>
      <c r="V1054" s="39"/>
      <c r="W1054" s="39"/>
      <c r="X1054" s="39"/>
      <c r="Y1054" s="39"/>
      <c r="Z1054" s="39"/>
      <c r="AA1054" s="39"/>
      <c r="AB1054" s="39">
        <f t="shared" si="584"/>
        <v>0</v>
      </c>
      <c r="AC1054" s="39"/>
      <c r="AD1054" s="39"/>
      <c r="AE1054" s="39"/>
      <c r="AF1054" s="39"/>
      <c r="AG1054" s="39"/>
      <c r="AH1054" s="39">
        <f t="shared" si="557"/>
        <v>0</v>
      </c>
      <c r="AI1054" s="39"/>
      <c r="AJ1054" s="39"/>
      <c r="AK1054" s="39"/>
      <c r="AL1054" s="39"/>
      <c r="AM1054" s="39"/>
      <c r="AN1054" s="39">
        <f t="shared" ref="AN1054:AN1079" si="691">AM1054-AK1054</f>
        <v>0</v>
      </c>
      <c r="AO1054" s="39"/>
      <c r="AP1054" s="39"/>
      <c r="AQ1054" s="39"/>
      <c r="AR1054" s="39"/>
      <c r="AS1054" s="39"/>
      <c r="AT1054" s="39">
        <f t="shared" si="659"/>
        <v>0</v>
      </c>
      <c r="AU1054" s="39"/>
      <c r="AV1054" s="39"/>
      <c r="AW1054" s="39"/>
      <c r="AX1054" s="39"/>
      <c r="AY1054" s="39"/>
      <c r="AZ1054" s="39">
        <f t="shared" si="660"/>
        <v>0</v>
      </c>
      <c r="BA1054" s="39"/>
      <c r="BB1054" s="39"/>
      <c r="BC1054" s="39"/>
      <c r="BD1054" s="39"/>
      <c r="BE1054" s="39"/>
      <c r="BF1054" s="39">
        <f t="shared" si="661"/>
        <v>0</v>
      </c>
      <c r="BG1054" s="39"/>
      <c r="BH1054" s="39"/>
      <c r="BI1054" s="39"/>
      <c r="BJ1054" s="39"/>
      <c r="BK1054" s="39"/>
      <c r="BL1054" s="39">
        <f t="shared" si="558"/>
        <v>0</v>
      </c>
      <c r="BM1054" s="54" t="e">
        <f t="shared" si="662"/>
        <v>#DIV/0!</v>
      </c>
      <c r="BN1054" s="67"/>
      <c r="BO1054" s="39"/>
      <c r="BP1054" s="39"/>
      <c r="BQ1054" s="39"/>
      <c r="BR1054" s="39"/>
      <c r="BS1054" s="39"/>
      <c r="BT1054" s="39"/>
      <c r="BU1054" s="39"/>
      <c r="BV1054" s="39"/>
      <c r="BW1054" s="39"/>
      <c r="BX1054" s="39"/>
      <c r="BY1054" s="39"/>
      <c r="BZ1054" s="39">
        <f t="shared" si="559"/>
        <v>0</v>
      </c>
      <c r="CA1054" s="39">
        <f t="shared" si="663"/>
        <v>0</v>
      </c>
      <c r="CB1054" s="39">
        <f t="shared" si="664"/>
        <v>0</v>
      </c>
      <c r="CC1054" s="39">
        <f t="shared" si="665"/>
        <v>0</v>
      </c>
      <c r="CD1054" s="39">
        <f t="shared" si="560"/>
        <v>0</v>
      </c>
      <c r="CE1054" s="47" t="e">
        <f t="shared" si="666"/>
        <v>#DIV/0!</v>
      </c>
      <c r="CF1054" s="36"/>
      <c r="CG1054" s="39"/>
      <c r="CH1054" s="39"/>
      <c r="CI1054" s="25">
        <v>2</v>
      </c>
    </row>
    <row r="1055" spans="1:87" ht="24.75" customHeight="1">
      <c r="A1055" s="36" t="s">
        <v>85</v>
      </c>
      <c r="B1055" s="55"/>
      <c r="C1055" s="36"/>
      <c r="D1055" s="36"/>
      <c r="E1055" s="39"/>
      <c r="F1055" s="39"/>
      <c r="G1055" s="36"/>
      <c r="H1055" s="39"/>
      <c r="I1055" s="39"/>
      <c r="J1055" s="39"/>
      <c r="K1055" s="39"/>
      <c r="L1055" s="39">
        <f t="shared" si="582"/>
        <v>0</v>
      </c>
      <c r="M1055" s="39"/>
      <c r="N1055" s="39"/>
      <c r="O1055" s="39"/>
      <c r="P1055" s="39"/>
      <c r="Q1055" s="39"/>
      <c r="R1055" s="39">
        <f t="shared" si="583"/>
        <v>0</v>
      </c>
      <c r="S1055" s="39"/>
      <c r="T1055" s="39"/>
      <c r="U1055" s="39"/>
      <c r="V1055" s="39"/>
      <c r="W1055" s="39"/>
      <c r="X1055" s="39"/>
      <c r="Y1055" s="39"/>
      <c r="Z1055" s="39"/>
      <c r="AA1055" s="39"/>
      <c r="AB1055" s="39">
        <f t="shared" si="584"/>
        <v>0</v>
      </c>
      <c r="AC1055" s="39"/>
      <c r="AD1055" s="39"/>
      <c r="AE1055" s="39"/>
      <c r="AF1055" s="39"/>
      <c r="AG1055" s="39"/>
      <c r="AH1055" s="39">
        <f t="shared" si="557"/>
        <v>0</v>
      </c>
      <c r="AI1055" s="39"/>
      <c r="AJ1055" s="39"/>
      <c r="AK1055" s="39"/>
      <c r="AL1055" s="39"/>
      <c r="AM1055" s="39"/>
      <c r="AN1055" s="39">
        <f t="shared" si="691"/>
        <v>0</v>
      </c>
      <c r="AO1055" s="39"/>
      <c r="AP1055" s="39"/>
      <c r="AQ1055" s="39"/>
      <c r="AR1055" s="39"/>
      <c r="AS1055" s="39"/>
      <c r="AT1055" s="39">
        <f t="shared" si="659"/>
        <v>0</v>
      </c>
      <c r="AU1055" s="39"/>
      <c r="AV1055" s="39"/>
      <c r="AW1055" s="39"/>
      <c r="AX1055" s="39"/>
      <c r="AY1055" s="39"/>
      <c r="AZ1055" s="39">
        <f t="shared" si="660"/>
        <v>0</v>
      </c>
      <c r="BA1055" s="39"/>
      <c r="BB1055" s="39"/>
      <c r="BC1055" s="39"/>
      <c r="BD1055" s="39"/>
      <c r="BE1055" s="39"/>
      <c r="BF1055" s="39">
        <f t="shared" si="661"/>
        <v>0</v>
      </c>
      <c r="BG1055" s="39"/>
      <c r="BH1055" s="39"/>
      <c r="BI1055" s="39"/>
      <c r="BJ1055" s="39"/>
      <c r="BK1055" s="39"/>
      <c r="BL1055" s="39">
        <f t="shared" si="558"/>
        <v>0</v>
      </c>
      <c r="BM1055" s="54" t="e">
        <f t="shared" si="662"/>
        <v>#DIV/0!</v>
      </c>
      <c r="BN1055" s="67"/>
      <c r="BO1055" s="39"/>
      <c r="BP1055" s="39"/>
      <c r="BQ1055" s="39"/>
      <c r="BR1055" s="39"/>
      <c r="BS1055" s="39"/>
      <c r="BT1055" s="39"/>
      <c r="BU1055" s="39"/>
      <c r="BV1055" s="39"/>
      <c r="BW1055" s="39"/>
      <c r="BX1055" s="39"/>
      <c r="BY1055" s="39"/>
      <c r="BZ1055" s="39">
        <f t="shared" si="559"/>
        <v>0</v>
      </c>
      <c r="CA1055" s="39">
        <f t="shared" si="663"/>
        <v>0</v>
      </c>
      <c r="CB1055" s="39">
        <f t="shared" si="664"/>
        <v>0</v>
      </c>
      <c r="CC1055" s="39">
        <f t="shared" si="665"/>
        <v>0</v>
      </c>
      <c r="CD1055" s="39">
        <f t="shared" si="560"/>
        <v>0</v>
      </c>
      <c r="CE1055" s="47" t="e">
        <f t="shared" si="666"/>
        <v>#DIV/0!</v>
      </c>
      <c r="CF1055" s="36"/>
      <c r="CG1055" s="39"/>
      <c r="CH1055" s="39"/>
      <c r="CI1055" s="25">
        <v>2</v>
      </c>
    </row>
    <row r="1056" spans="1:87" ht="24.75" customHeight="1">
      <c r="A1056" s="36" t="s">
        <v>85</v>
      </c>
      <c r="B1056" s="55">
        <v>48328</v>
      </c>
      <c r="C1056" s="227">
        <v>9668391</v>
      </c>
      <c r="D1056" s="36"/>
      <c r="E1056" s="39">
        <v>200</v>
      </c>
      <c r="F1056" s="39" t="s">
        <v>183</v>
      </c>
      <c r="G1056" s="36" t="s">
        <v>313</v>
      </c>
      <c r="H1056" s="36" t="s">
        <v>212</v>
      </c>
      <c r="I1056" s="39">
        <v>563</v>
      </c>
      <c r="J1056" s="39">
        <v>37</v>
      </c>
      <c r="K1056" s="39"/>
      <c r="L1056" s="39">
        <f t="shared" ref="L1056" si="692">SUM(I1056:K1056)</f>
        <v>600</v>
      </c>
      <c r="M1056" s="117">
        <v>46275</v>
      </c>
      <c r="N1056" s="117">
        <v>46280</v>
      </c>
      <c r="O1056" s="39"/>
      <c r="P1056" s="39"/>
      <c r="Q1056" s="39"/>
      <c r="R1056" s="39">
        <f t="shared" ref="R1056:R1058" si="693">SUM(O1056:Q1056)</f>
        <v>0</v>
      </c>
      <c r="S1056" s="39" t="s">
        <v>130</v>
      </c>
      <c r="T1056" s="39"/>
      <c r="U1056" s="39"/>
      <c r="V1056" s="39"/>
      <c r="W1056" s="39"/>
      <c r="X1056" s="39"/>
      <c r="Y1056" s="39"/>
      <c r="Z1056" s="39"/>
      <c r="AA1056" s="39"/>
      <c r="AB1056" s="118">
        <f t="shared" ref="AB1056:AB1058" si="694">SUM(Y1056:AA1056)</f>
        <v>0</v>
      </c>
      <c r="AC1056" s="39"/>
      <c r="AD1056" s="39"/>
      <c r="AE1056" s="39"/>
      <c r="AF1056" s="39"/>
      <c r="AG1056" s="39"/>
      <c r="AH1056" s="39">
        <f t="shared" si="557"/>
        <v>0</v>
      </c>
      <c r="AI1056" s="39"/>
      <c r="AJ1056" s="39"/>
      <c r="AK1056" s="39"/>
      <c r="AL1056" s="39"/>
      <c r="AM1056" s="39"/>
      <c r="AN1056" s="39">
        <f t="shared" si="691"/>
        <v>0</v>
      </c>
      <c r="AO1056" s="39"/>
      <c r="AP1056" s="39"/>
      <c r="AQ1056" s="39"/>
      <c r="AR1056" s="39"/>
      <c r="AS1056" s="39"/>
      <c r="AT1056" s="39">
        <f t="shared" si="659"/>
        <v>0</v>
      </c>
      <c r="AU1056" s="39"/>
      <c r="AV1056" s="39"/>
      <c r="AW1056" s="39"/>
      <c r="AX1056" s="39"/>
      <c r="AY1056" s="39"/>
      <c r="AZ1056" s="39">
        <f t="shared" si="660"/>
        <v>0</v>
      </c>
      <c r="BA1056" s="39"/>
      <c r="BB1056" s="39"/>
      <c r="BC1056" s="39"/>
      <c r="BD1056" s="39"/>
      <c r="BE1056" s="39"/>
      <c r="BF1056" s="39">
        <f t="shared" si="661"/>
        <v>0</v>
      </c>
      <c r="BG1056" s="39"/>
      <c r="BH1056" s="39"/>
      <c r="BI1056" s="39"/>
      <c r="BJ1056" s="39"/>
      <c r="BK1056" s="39"/>
      <c r="BL1056" s="39">
        <f t="shared" si="558"/>
        <v>0</v>
      </c>
      <c r="BM1056" s="54">
        <f t="shared" ca="1" si="662"/>
        <v>46283</v>
      </c>
      <c r="BN1056" s="62">
        <v>46290</v>
      </c>
      <c r="BO1056" s="117">
        <v>46303</v>
      </c>
      <c r="BP1056" s="39"/>
      <c r="BQ1056" s="39"/>
      <c r="BR1056" s="39"/>
      <c r="BS1056" s="39"/>
      <c r="BT1056" s="39"/>
      <c r="BU1056" s="39"/>
      <c r="BV1056" s="39"/>
      <c r="BW1056" s="39"/>
      <c r="BX1056" s="39"/>
      <c r="BY1056" s="39"/>
      <c r="BZ1056" s="39">
        <f t="shared" si="559"/>
        <v>0</v>
      </c>
      <c r="CA1056" s="39">
        <f t="shared" si="663"/>
        <v>-563</v>
      </c>
      <c r="CB1056" s="39">
        <f t="shared" si="664"/>
        <v>-37</v>
      </c>
      <c r="CC1056" s="39">
        <f t="shared" si="665"/>
        <v>0</v>
      </c>
      <c r="CD1056" s="39">
        <f t="shared" si="560"/>
        <v>-600</v>
      </c>
      <c r="CE1056" s="102">
        <f t="shared" si="666"/>
        <v>-1</v>
      </c>
      <c r="CF1056" s="36"/>
      <c r="CG1056" s="39" t="s">
        <v>237</v>
      </c>
      <c r="CH1056" s="39"/>
      <c r="CI1056" s="25">
        <v>3</v>
      </c>
    </row>
    <row r="1057" spans="1:88" ht="24.75" customHeight="1">
      <c r="A1057" s="36" t="s">
        <v>85</v>
      </c>
      <c r="B1057" s="55">
        <v>48328</v>
      </c>
      <c r="C1057" s="228"/>
      <c r="D1057" s="36"/>
      <c r="E1057" s="39">
        <v>200</v>
      </c>
      <c r="F1057" s="39" t="s">
        <v>183</v>
      </c>
      <c r="G1057" s="36" t="s">
        <v>101</v>
      </c>
      <c r="H1057" s="36" t="s">
        <v>212</v>
      </c>
      <c r="I1057" s="39">
        <v>441</v>
      </c>
      <c r="J1057" s="39">
        <v>29</v>
      </c>
      <c r="K1057" s="39"/>
      <c r="L1057" s="39">
        <f t="shared" ref="L1057" si="695">SUM(I1057:K1057)</f>
        <v>470</v>
      </c>
      <c r="M1057" s="117">
        <v>46275</v>
      </c>
      <c r="N1057" s="117">
        <v>46280</v>
      </c>
      <c r="O1057" s="39"/>
      <c r="P1057" s="39"/>
      <c r="Q1057" s="39"/>
      <c r="R1057" s="39">
        <f t="shared" si="693"/>
        <v>0</v>
      </c>
      <c r="S1057" s="39" t="s">
        <v>130</v>
      </c>
      <c r="T1057" s="39"/>
      <c r="U1057" s="39"/>
      <c r="V1057" s="39"/>
      <c r="W1057" s="39"/>
      <c r="X1057" s="39"/>
      <c r="Y1057" s="39"/>
      <c r="Z1057" s="39"/>
      <c r="AA1057" s="39"/>
      <c r="AB1057" s="118">
        <f t="shared" si="694"/>
        <v>0</v>
      </c>
      <c r="AC1057" s="39"/>
      <c r="AD1057" s="39"/>
      <c r="AE1057" s="39"/>
      <c r="AF1057" s="39"/>
      <c r="AG1057" s="39"/>
      <c r="AH1057" s="39">
        <f t="shared" si="557"/>
        <v>0</v>
      </c>
      <c r="AI1057" s="39"/>
      <c r="AJ1057" s="39"/>
      <c r="AK1057" s="39"/>
      <c r="AL1057" s="39"/>
      <c r="AM1057" s="39"/>
      <c r="AN1057" s="39">
        <f t="shared" si="691"/>
        <v>0</v>
      </c>
      <c r="AO1057" s="39"/>
      <c r="AP1057" s="39"/>
      <c r="AQ1057" s="39"/>
      <c r="AR1057" s="39"/>
      <c r="AS1057" s="39"/>
      <c r="AT1057" s="39">
        <f t="shared" si="659"/>
        <v>0</v>
      </c>
      <c r="AU1057" s="39"/>
      <c r="AV1057" s="39"/>
      <c r="AW1057" s="39"/>
      <c r="AX1057" s="39"/>
      <c r="AY1057" s="39"/>
      <c r="AZ1057" s="39">
        <f t="shared" si="660"/>
        <v>0</v>
      </c>
      <c r="BA1057" s="39"/>
      <c r="BB1057" s="39"/>
      <c r="BC1057" s="39"/>
      <c r="BD1057" s="39"/>
      <c r="BE1057" s="39"/>
      <c r="BF1057" s="39">
        <f t="shared" si="661"/>
        <v>0</v>
      </c>
      <c r="BG1057" s="39"/>
      <c r="BH1057" s="39"/>
      <c r="BI1057" s="39"/>
      <c r="BJ1057" s="39"/>
      <c r="BK1057" s="39"/>
      <c r="BL1057" s="39">
        <f t="shared" si="558"/>
        <v>0</v>
      </c>
      <c r="BM1057" s="54">
        <f t="shared" ca="1" si="662"/>
        <v>46283</v>
      </c>
      <c r="BN1057" s="62">
        <v>46290</v>
      </c>
      <c r="BO1057" s="117">
        <v>46303</v>
      </c>
      <c r="BP1057" s="39"/>
      <c r="BQ1057" s="39"/>
      <c r="BR1057" s="39"/>
      <c r="BS1057" s="39"/>
      <c r="BT1057" s="39"/>
      <c r="BU1057" s="39"/>
      <c r="BV1057" s="39"/>
      <c r="BW1057" s="39"/>
      <c r="BX1057" s="39"/>
      <c r="BY1057" s="39"/>
      <c r="BZ1057" s="39">
        <f t="shared" si="559"/>
        <v>0</v>
      </c>
      <c r="CA1057" s="39">
        <f t="shared" si="663"/>
        <v>-441</v>
      </c>
      <c r="CB1057" s="39">
        <f t="shared" si="664"/>
        <v>-29</v>
      </c>
      <c r="CC1057" s="39">
        <f t="shared" si="665"/>
        <v>0</v>
      </c>
      <c r="CD1057" s="39">
        <f t="shared" si="560"/>
        <v>-470</v>
      </c>
      <c r="CE1057" s="102">
        <f t="shared" si="666"/>
        <v>-1</v>
      </c>
      <c r="CF1057" s="36"/>
      <c r="CG1057" s="39" t="s">
        <v>237</v>
      </c>
      <c r="CH1057" s="39"/>
      <c r="CI1057" s="25">
        <v>3</v>
      </c>
    </row>
    <row r="1058" spans="1:88" ht="24.75" customHeight="1">
      <c r="A1058" s="36" t="s">
        <v>85</v>
      </c>
      <c r="B1058" s="55" t="s">
        <v>2467</v>
      </c>
      <c r="C1058" s="227" t="s">
        <v>2750</v>
      </c>
      <c r="D1058" s="36" t="s">
        <v>24</v>
      </c>
      <c r="E1058" s="39">
        <v>180</v>
      </c>
      <c r="F1058" s="39" t="s">
        <v>58</v>
      </c>
      <c r="G1058" s="36" t="s">
        <v>2468</v>
      </c>
      <c r="H1058" s="36" t="s">
        <v>87</v>
      </c>
      <c r="I1058" s="39">
        <f>497+17</f>
        <v>514</v>
      </c>
      <c r="J1058" s="39"/>
      <c r="K1058" s="39">
        <f>226+8</f>
        <v>234</v>
      </c>
      <c r="L1058" s="39">
        <f t="shared" ref="L1058:L1060" si="696">SUM(I1058:K1058)</f>
        <v>748</v>
      </c>
      <c r="M1058" s="117">
        <v>46277</v>
      </c>
      <c r="N1058" s="117">
        <v>46288</v>
      </c>
      <c r="O1058" s="39"/>
      <c r="P1058" s="39"/>
      <c r="Q1058" s="39"/>
      <c r="R1058" s="39">
        <f t="shared" si="693"/>
        <v>0</v>
      </c>
      <c r="S1058" s="39" t="s">
        <v>130</v>
      </c>
      <c r="T1058" s="39"/>
      <c r="U1058" s="39"/>
      <c r="V1058" s="39"/>
      <c r="W1058" s="39"/>
      <c r="X1058" s="39"/>
      <c r="Y1058" s="39"/>
      <c r="Z1058" s="39"/>
      <c r="AA1058" s="39"/>
      <c r="AB1058" s="118">
        <f t="shared" si="694"/>
        <v>0</v>
      </c>
      <c r="AC1058" s="39"/>
      <c r="AD1058" s="39"/>
      <c r="AE1058" s="39"/>
      <c r="AF1058" s="39"/>
      <c r="AG1058" s="39"/>
      <c r="AH1058" s="39">
        <f t="shared" si="557"/>
        <v>0</v>
      </c>
      <c r="AI1058" s="39"/>
      <c r="AJ1058" s="39"/>
      <c r="AK1058" s="39"/>
      <c r="AL1058" s="39"/>
      <c r="AM1058" s="39"/>
      <c r="AN1058" s="39">
        <f t="shared" si="691"/>
        <v>0</v>
      </c>
      <c r="AO1058" s="39"/>
      <c r="AP1058" s="39"/>
      <c r="AQ1058" s="39"/>
      <c r="AR1058" s="39"/>
      <c r="AS1058" s="39"/>
      <c r="AT1058" s="39">
        <f t="shared" si="659"/>
        <v>0</v>
      </c>
      <c r="AU1058" s="39"/>
      <c r="AV1058" s="39"/>
      <c r="AW1058" s="39"/>
      <c r="AX1058" s="39"/>
      <c r="AY1058" s="39"/>
      <c r="AZ1058" s="39">
        <f t="shared" si="660"/>
        <v>0</v>
      </c>
      <c r="BA1058" s="39"/>
      <c r="BB1058" s="39"/>
      <c r="BC1058" s="39"/>
      <c r="BD1058" s="39"/>
      <c r="BE1058" s="39"/>
      <c r="BF1058" s="39">
        <f t="shared" si="661"/>
        <v>0</v>
      </c>
      <c r="BG1058" s="39"/>
      <c r="BH1058" s="39"/>
      <c r="BI1058" s="39"/>
      <c r="BJ1058" s="39"/>
      <c r="BK1058" s="39"/>
      <c r="BL1058" s="39">
        <f t="shared" si="558"/>
        <v>0</v>
      </c>
      <c r="BM1058" s="54">
        <f t="shared" ca="1" si="662"/>
        <v>46283</v>
      </c>
      <c r="BN1058" s="62">
        <v>46287</v>
      </c>
      <c r="BO1058" s="117">
        <v>46293</v>
      </c>
      <c r="BP1058" s="39"/>
      <c r="BQ1058" s="39"/>
      <c r="BR1058" s="39"/>
      <c r="BS1058" s="39"/>
      <c r="BT1058" s="39"/>
      <c r="BU1058" s="39"/>
      <c r="BV1058" s="39"/>
      <c r="BW1058" s="39"/>
      <c r="BX1058" s="39"/>
      <c r="BY1058" s="39"/>
      <c r="BZ1058" s="39">
        <f t="shared" si="559"/>
        <v>0</v>
      </c>
      <c r="CA1058" s="39">
        <f t="shared" si="663"/>
        <v>-514</v>
      </c>
      <c r="CB1058" s="39">
        <f t="shared" si="664"/>
        <v>0</v>
      </c>
      <c r="CC1058" s="39">
        <f t="shared" si="665"/>
        <v>-234</v>
      </c>
      <c r="CD1058" s="39">
        <f t="shared" si="560"/>
        <v>-748</v>
      </c>
      <c r="CE1058" s="102">
        <f t="shared" si="666"/>
        <v>-1</v>
      </c>
      <c r="CF1058" s="36"/>
      <c r="CG1058" s="39" t="s">
        <v>236</v>
      </c>
      <c r="CH1058" s="39"/>
      <c r="CI1058" s="25">
        <v>3</v>
      </c>
      <c r="CJ1058" s="6" t="s">
        <v>19</v>
      </c>
    </row>
    <row r="1059" spans="1:88" ht="24.75" customHeight="1">
      <c r="A1059" s="36" t="s">
        <v>85</v>
      </c>
      <c r="B1059" s="55" t="s">
        <v>2467</v>
      </c>
      <c r="C1059" s="231"/>
      <c r="D1059" s="36" t="s">
        <v>24</v>
      </c>
      <c r="E1059" s="39">
        <v>180</v>
      </c>
      <c r="F1059" s="39" t="s">
        <v>58</v>
      </c>
      <c r="G1059" s="36" t="s">
        <v>2469</v>
      </c>
      <c r="H1059" s="36" t="s">
        <v>87</v>
      </c>
      <c r="I1059" s="39">
        <v>307</v>
      </c>
      <c r="J1059" s="39"/>
      <c r="K1059" s="39">
        <v>141</v>
      </c>
      <c r="L1059" s="39">
        <f t="shared" si="696"/>
        <v>448</v>
      </c>
      <c r="M1059" s="117">
        <v>46277</v>
      </c>
      <c r="N1059" s="117">
        <v>46288</v>
      </c>
      <c r="O1059" s="39"/>
      <c r="P1059" s="39"/>
      <c r="Q1059" s="39"/>
      <c r="R1059" s="39">
        <f t="shared" ref="R1059:R1063" si="697">SUM(O1059:Q1059)</f>
        <v>0</v>
      </c>
      <c r="S1059" s="39" t="s">
        <v>130</v>
      </c>
      <c r="T1059" s="39"/>
      <c r="U1059" s="39"/>
      <c r="V1059" s="39"/>
      <c r="W1059" s="39"/>
      <c r="X1059" s="39"/>
      <c r="Y1059" s="39"/>
      <c r="Z1059" s="39"/>
      <c r="AA1059" s="39"/>
      <c r="AB1059" s="118">
        <f t="shared" ref="AB1059:AB1063" si="698">SUM(Y1059:AA1059)</f>
        <v>0</v>
      </c>
      <c r="AC1059" s="39"/>
      <c r="AD1059" s="39"/>
      <c r="AE1059" s="39"/>
      <c r="AF1059" s="39"/>
      <c r="AG1059" s="39"/>
      <c r="AH1059" s="39">
        <f t="shared" si="557"/>
        <v>0</v>
      </c>
      <c r="AI1059" s="39"/>
      <c r="AJ1059" s="39"/>
      <c r="AK1059" s="39"/>
      <c r="AL1059" s="39"/>
      <c r="AM1059" s="39"/>
      <c r="AN1059" s="39">
        <f t="shared" si="691"/>
        <v>0</v>
      </c>
      <c r="AO1059" s="39"/>
      <c r="AP1059" s="39"/>
      <c r="AQ1059" s="39"/>
      <c r="AR1059" s="39"/>
      <c r="AS1059" s="39"/>
      <c r="AT1059" s="39">
        <f t="shared" si="659"/>
        <v>0</v>
      </c>
      <c r="AU1059" s="39"/>
      <c r="AV1059" s="39"/>
      <c r="AW1059" s="39"/>
      <c r="AX1059" s="39"/>
      <c r="AY1059" s="39"/>
      <c r="AZ1059" s="39">
        <f t="shared" si="660"/>
        <v>0</v>
      </c>
      <c r="BA1059" s="39"/>
      <c r="BB1059" s="39"/>
      <c r="BC1059" s="39"/>
      <c r="BD1059" s="39"/>
      <c r="BE1059" s="39"/>
      <c r="BF1059" s="39">
        <f t="shared" si="661"/>
        <v>0</v>
      </c>
      <c r="BG1059" s="39"/>
      <c r="BH1059" s="39"/>
      <c r="BI1059" s="39"/>
      <c r="BJ1059" s="39"/>
      <c r="BK1059" s="39"/>
      <c r="BL1059" s="39">
        <f t="shared" si="558"/>
        <v>0</v>
      </c>
      <c r="BM1059" s="54">
        <f t="shared" ca="1" si="662"/>
        <v>46283</v>
      </c>
      <c r="BN1059" s="62">
        <v>46287</v>
      </c>
      <c r="BO1059" s="117">
        <v>46293</v>
      </c>
      <c r="BP1059" s="39"/>
      <c r="BQ1059" s="39"/>
      <c r="BR1059" s="39"/>
      <c r="BS1059" s="39"/>
      <c r="BT1059" s="39"/>
      <c r="BU1059" s="39"/>
      <c r="BV1059" s="39"/>
      <c r="BW1059" s="39"/>
      <c r="BX1059" s="39"/>
      <c r="BY1059" s="39"/>
      <c r="BZ1059" s="39">
        <f t="shared" si="559"/>
        <v>0</v>
      </c>
      <c r="CA1059" s="39">
        <f t="shared" si="663"/>
        <v>-307</v>
      </c>
      <c r="CB1059" s="39">
        <f t="shared" si="664"/>
        <v>0</v>
      </c>
      <c r="CC1059" s="39">
        <f t="shared" si="665"/>
        <v>-141</v>
      </c>
      <c r="CD1059" s="39">
        <f t="shared" si="560"/>
        <v>-448</v>
      </c>
      <c r="CE1059" s="102">
        <f t="shared" si="666"/>
        <v>-1</v>
      </c>
      <c r="CF1059" s="36"/>
      <c r="CG1059" s="39" t="s">
        <v>236</v>
      </c>
      <c r="CH1059" s="39"/>
      <c r="CI1059" s="25">
        <v>3</v>
      </c>
    </row>
    <row r="1060" spans="1:88" ht="24.75" customHeight="1">
      <c r="A1060" s="36" t="s">
        <v>85</v>
      </c>
      <c r="B1060" s="55" t="s">
        <v>2467</v>
      </c>
      <c r="C1060" s="228"/>
      <c r="D1060" s="36" t="s">
        <v>24</v>
      </c>
      <c r="E1060" s="39">
        <v>180</v>
      </c>
      <c r="F1060" s="39" t="s">
        <v>58</v>
      </c>
      <c r="G1060" s="36" t="s">
        <v>2470</v>
      </c>
      <c r="H1060" s="36" t="s">
        <v>87</v>
      </c>
      <c r="I1060" s="39">
        <f>307-264</f>
        <v>43</v>
      </c>
      <c r="J1060" s="39"/>
      <c r="K1060" s="39">
        <f>141-119</f>
        <v>22</v>
      </c>
      <c r="L1060" s="39">
        <f t="shared" si="696"/>
        <v>65</v>
      </c>
      <c r="M1060" s="117">
        <v>46277</v>
      </c>
      <c r="N1060" s="117">
        <v>46288</v>
      </c>
      <c r="O1060" s="39"/>
      <c r="P1060" s="39"/>
      <c r="Q1060" s="39"/>
      <c r="R1060" s="39">
        <f t="shared" si="697"/>
        <v>0</v>
      </c>
      <c r="S1060" s="39" t="s">
        <v>130</v>
      </c>
      <c r="T1060" s="39"/>
      <c r="U1060" s="39"/>
      <c r="V1060" s="39"/>
      <c r="W1060" s="39"/>
      <c r="X1060" s="39"/>
      <c r="Y1060" s="39"/>
      <c r="Z1060" s="39"/>
      <c r="AA1060" s="39"/>
      <c r="AB1060" s="118">
        <f t="shared" si="698"/>
        <v>0</v>
      </c>
      <c r="AC1060" s="39"/>
      <c r="AD1060" s="39"/>
      <c r="AE1060" s="39"/>
      <c r="AF1060" s="39"/>
      <c r="AG1060" s="39"/>
      <c r="AH1060" s="39">
        <f t="shared" si="557"/>
        <v>0</v>
      </c>
      <c r="AI1060" s="39"/>
      <c r="AJ1060" s="39"/>
      <c r="AK1060" s="39"/>
      <c r="AL1060" s="39"/>
      <c r="AM1060" s="39"/>
      <c r="AN1060" s="39">
        <f t="shared" si="691"/>
        <v>0</v>
      </c>
      <c r="AO1060" s="39"/>
      <c r="AP1060" s="39"/>
      <c r="AQ1060" s="39"/>
      <c r="AR1060" s="39"/>
      <c r="AS1060" s="39"/>
      <c r="AT1060" s="39">
        <f t="shared" si="659"/>
        <v>0</v>
      </c>
      <c r="AU1060" s="39"/>
      <c r="AV1060" s="39"/>
      <c r="AW1060" s="39"/>
      <c r="AX1060" s="39"/>
      <c r="AY1060" s="39"/>
      <c r="AZ1060" s="39">
        <f t="shared" si="660"/>
        <v>0</v>
      </c>
      <c r="BA1060" s="39"/>
      <c r="BB1060" s="39"/>
      <c r="BC1060" s="39"/>
      <c r="BD1060" s="39"/>
      <c r="BE1060" s="39"/>
      <c r="BF1060" s="39">
        <f t="shared" si="661"/>
        <v>0</v>
      </c>
      <c r="BG1060" s="39"/>
      <c r="BH1060" s="39"/>
      <c r="BI1060" s="39"/>
      <c r="BJ1060" s="39"/>
      <c r="BK1060" s="39"/>
      <c r="BL1060" s="39">
        <f t="shared" si="558"/>
        <v>0</v>
      </c>
      <c r="BM1060" s="54">
        <f t="shared" ca="1" si="662"/>
        <v>46283</v>
      </c>
      <c r="BN1060" s="62">
        <v>46287</v>
      </c>
      <c r="BO1060" s="117">
        <v>46293</v>
      </c>
      <c r="BP1060" s="39"/>
      <c r="BQ1060" s="39"/>
      <c r="BR1060" s="39"/>
      <c r="BS1060" s="39"/>
      <c r="BT1060" s="39"/>
      <c r="BU1060" s="39"/>
      <c r="BV1060" s="39"/>
      <c r="BW1060" s="39"/>
      <c r="BX1060" s="39"/>
      <c r="BY1060" s="39"/>
      <c r="BZ1060" s="39">
        <f t="shared" si="559"/>
        <v>0</v>
      </c>
      <c r="CA1060" s="39">
        <f>BU1060-I1060</f>
        <v>-43</v>
      </c>
      <c r="CB1060" s="39">
        <f>BW1060-J1060</f>
        <v>0</v>
      </c>
      <c r="CC1060" s="39">
        <f>BY1060-K1060</f>
        <v>-22</v>
      </c>
      <c r="CD1060" s="39">
        <f t="shared" si="560"/>
        <v>-65</v>
      </c>
      <c r="CE1060" s="102">
        <f>CD1060/L1060</f>
        <v>-1</v>
      </c>
      <c r="CF1060" s="36"/>
      <c r="CG1060" s="39" t="s">
        <v>236</v>
      </c>
      <c r="CH1060" s="39"/>
      <c r="CI1060" s="25">
        <v>3</v>
      </c>
    </row>
    <row r="1061" spans="1:88" ht="24.75" customHeight="1">
      <c r="A1061" s="36" t="s">
        <v>85</v>
      </c>
      <c r="B1061" s="55">
        <v>48726</v>
      </c>
      <c r="C1061" s="227" t="s">
        <v>2707</v>
      </c>
      <c r="D1061" s="36"/>
      <c r="E1061" s="39">
        <v>240</v>
      </c>
      <c r="F1061" s="39" t="s">
        <v>64</v>
      </c>
      <c r="G1061" s="36" t="s">
        <v>2607</v>
      </c>
      <c r="H1061" s="36" t="s">
        <v>91</v>
      </c>
      <c r="I1061" s="39">
        <f>183+16</f>
        <v>199</v>
      </c>
      <c r="J1061" s="39"/>
      <c r="K1061" s="39"/>
      <c r="L1061" s="39">
        <f t="shared" ref="L1061:L1062" si="699">SUM(I1061:K1061)</f>
        <v>199</v>
      </c>
      <c r="M1061" s="117">
        <v>46277</v>
      </c>
      <c r="N1061" s="117">
        <v>46282</v>
      </c>
      <c r="O1061" s="39"/>
      <c r="P1061" s="39"/>
      <c r="Q1061" s="39"/>
      <c r="R1061" s="39">
        <f t="shared" si="697"/>
        <v>0</v>
      </c>
      <c r="S1061" s="39" t="s">
        <v>130</v>
      </c>
      <c r="T1061" s="39"/>
      <c r="U1061" s="39"/>
      <c r="V1061" s="39"/>
      <c r="W1061" s="39"/>
      <c r="X1061" s="39"/>
      <c r="Y1061" s="39"/>
      <c r="Z1061" s="39"/>
      <c r="AA1061" s="39"/>
      <c r="AB1061" s="118">
        <f t="shared" si="698"/>
        <v>0</v>
      </c>
      <c r="AC1061" s="39"/>
      <c r="AD1061" s="39"/>
      <c r="AE1061" s="39"/>
      <c r="AF1061" s="39"/>
      <c r="AG1061" s="39"/>
      <c r="AH1061" s="39">
        <f t="shared" si="557"/>
        <v>0</v>
      </c>
      <c r="AI1061" s="39"/>
      <c r="AJ1061" s="39"/>
      <c r="AK1061" s="39"/>
      <c r="AL1061" s="39"/>
      <c r="AM1061" s="39"/>
      <c r="AN1061" s="39">
        <f t="shared" si="691"/>
        <v>0</v>
      </c>
      <c r="AO1061" s="39"/>
      <c r="AP1061" s="39"/>
      <c r="AQ1061" s="39"/>
      <c r="AR1061" s="39"/>
      <c r="AS1061" s="39"/>
      <c r="AT1061" s="39">
        <f t="shared" si="659"/>
        <v>0</v>
      </c>
      <c r="AU1061" s="39"/>
      <c r="AV1061" s="39"/>
      <c r="AW1061" s="39"/>
      <c r="AX1061" s="39"/>
      <c r="AY1061" s="39"/>
      <c r="AZ1061" s="39">
        <f t="shared" si="660"/>
        <v>0</v>
      </c>
      <c r="BA1061" s="39"/>
      <c r="BB1061" s="39"/>
      <c r="BC1061" s="39"/>
      <c r="BD1061" s="39"/>
      <c r="BE1061" s="39"/>
      <c r="BF1061" s="39">
        <f t="shared" si="661"/>
        <v>0</v>
      </c>
      <c r="BG1061" s="39"/>
      <c r="BH1061" s="39"/>
      <c r="BI1061" s="39"/>
      <c r="BJ1061" s="39"/>
      <c r="BK1061" s="39"/>
      <c r="BL1061" s="39">
        <f t="shared" si="558"/>
        <v>0</v>
      </c>
      <c r="BM1061" s="54">
        <f t="shared" ca="1" si="662"/>
        <v>46283</v>
      </c>
      <c r="BN1061" s="62">
        <v>46286</v>
      </c>
      <c r="BO1061" s="117">
        <v>46300</v>
      </c>
      <c r="BP1061" s="39"/>
      <c r="BQ1061" s="39"/>
      <c r="BR1061" s="39"/>
      <c r="BS1061" s="39"/>
      <c r="BT1061" s="39"/>
      <c r="BU1061" s="39"/>
      <c r="BV1061" s="39"/>
      <c r="BW1061" s="39"/>
      <c r="BX1061" s="39"/>
      <c r="BY1061" s="39"/>
      <c r="BZ1061" s="39">
        <f t="shared" si="559"/>
        <v>0</v>
      </c>
      <c r="CA1061" s="39">
        <f t="shared" ref="CA1061:CA1066" si="700">BU1061-I1061</f>
        <v>-199</v>
      </c>
      <c r="CB1061" s="39">
        <f t="shared" ref="CB1061:CB1066" si="701">BW1061-J1061</f>
        <v>0</v>
      </c>
      <c r="CC1061" s="39">
        <f t="shared" ref="CC1061:CC1066" si="702">BY1061-K1061</f>
        <v>0</v>
      </c>
      <c r="CD1061" s="39">
        <f t="shared" si="560"/>
        <v>-199</v>
      </c>
      <c r="CE1061" s="102">
        <f t="shared" ref="CE1061:CE1066" si="703">CD1061/L1061</f>
        <v>-1</v>
      </c>
      <c r="CF1061" s="36"/>
      <c r="CG1061" s="39" t="s">
        <v>236</v>
      </c>
      <c r="CH1061" s="39"/>
      <c r="CI1061" s="25">
        <v>3</v>
      </c>
    </row>
    <row r="1062" spans="1:88" ht="24.75" customHeight="1">
      <c r="A1062" s="36" t="s">
        <v>85</v>
      </c>
      <c r="B1062" s="55">
        <v>48726</v>
      </c>
      <c r="C1062" s="228"/>
      <c r="D1062" s="36"/>
      <c r="E1062" s="39">
        <v>240</v>
      </c>
      <c r="F1062" s="39" t="s">
        <v>64</v>
      </c>
      <c r="G1062" s="36" t="s">
        <v>2608</v>
      </c>
      <c r="H1062" s="36" t="s">
        <v>91</v>
      </c>
      <c r="I1062" s="39">
        <f>117+9</f>
        <v>126</v>
      </c>
      <c r="J1062" s="39"/>
      <c r="K1062" s="39"/>
      <c r="L1062" s="39">
        <f t="shared" si="699"/>
        <v>126</v>
      </c>
      <c r="M1062" s="117">
        <v>46277</v>
      </c>
      <c r="N1062" s="117">
        <v>46282</v>
      </c>
      <c r="O1062" s="39"/>
      <c r="P1062" s="39"/>
      <c r="Q1062" s="39"/>
      <c r="R1062" s="39">
        <f t="shared" si="697"/>
        <v>0</v>
      </c>
      <c r="S1062" s="39" t="s">
        <v>130</v>
      </c>
      <c r="T1062" s="39"/>
      <c r="U1062" s="39"/>
      <c r="V1062" s="39"/>
      <c r="W1062" s="39"/>
      <c r="X1062" s="39"/>
      <c r="Y1062" s="39"/>
      <c r="Z1062" s="39"/>
      <c r="AA1062" s="39"/>
      <c r="AB1062" s="118">
        <f t="shared" si="698"/>
        <v>0</v>
      </c>
      <c r="AC1062" s="39"/>
      <c r="AD1062" s="39"/>
      <c r="AE1062" s="39"/>
      <c r="AF1062" s="39"/>
      <c r="AG1062" s="39"/>
      <c r="AH1062" s="39">
        <f t="shared" si="557"/>
        <v>0</v>
      </c>
      <c r="AI1062" s="39"/>
      <c r="AJ1062" s="39"/>
      <c r="AK1062" s="39"/>
      <c r="AL1062" s="39"/>
      <c r="AM1062" s="39"/>
      <c r="AN1062" s="39">
        <f t="shared" si="691"/>
        <v>0</v>
      </c>
      <c r="AO1062" s="39"/>
      <c r="AP1062" s="39"/>
      <c r="AQ1062" s="39"/>
      <c r="AR1062" s="39"/>
      <c r="AS1062" s="39"/>
      <c r="AT1062" s="39">
        <f t="shared" si="659"/>
        <v>0</v>
      </c>
      <c r="AU1062" s="39"/>
      <c r="AV1062" s="39"/>
      <c r="AW1062" s="39"/>
      <c r="AX1062" s="39"/>
      <c r="AY1062" s="39"/>
      <c r="AZ1062" s="39">
        <f t="shared" si="660"/>
        <v>0</v>
      </c>
      <c r="BA1062" s="39"/>
      <c r="BB1062" s="39"/>
      <c r="BC1062" s="39"/>
      <c r="BD1062" s="39"/>
      <c r="BE1062" s="39"/>
      <c r="BF1062" s="39">
        <f t="shared" si="661"/>
        <v>0</v>
      </c>
      <c r="BG1062" s="39"/>
      <c r="BH1062" s="39"/>
      <c r="BI1062" s="39"/>
      <c r="BJ1062" s="39"/>
      <c r="BK1062" s="39"/>
      <c r="BL1062" s="39">
        <f t="shared" si="558"/>
        <v>0</v>
      </c>
      <c r="BM1062" s="54">
        <f t="shared" ca="1" si="662"/>
        <v>46283</v>
      </c>
      <c r="BN1062" s="62">
        <v>46286</v>
      </c>
      <c r="BO1062" s="117">
        <v>46300</v>
      </c>
      <c r="BP1062" s="39"/>
      <c r="BQ1062" s="39"/>
      <c r="BR1062" s="39"/>
      <c r="BS1062" s="39"/>
      <c r="BT1062" s="39"/>
      <c r="BU1062" s="39"/>
      <c r="BV1062" s="39"/>
      <c r="BW1062" s="39"/>
      <c r="BX1062" s="39"/>
      <c r="BY1062" s="39"/>
      <c r="BZ1062" s="39">
        <f t="shared" si="559"/>
        <v>0</v>
      </c>
      <c r="CA1062" s="39">
        <f t="shared" si="700"/>
        <v>-126</v>
      </c>
      <c r="CB1062" s="39">
        <f t="shared" si="701"/>
        <v>0</v>
      </c>
      <c r="CC1062" s="39">
        <f t="shared" si="702"/>
        <v>0</v>
      </c>
      <c r="CD1062" s="39">
        <f t="shared" si="560"/>
        <v>-126</v>
      </c>
      <c r="CE1062" s="102">
        <f t="shared" si="703"/>
        <v>-1</v>
      </c>
      <c r="CF1062" s="36"/>
      <c r="CG1062" s="39" t="s">
        <v>236</v>
      </c>
      <c r="CH1062" s="39"/>
      <c r="CI1062" s="25">
        <v>3</v>
      </c>
      <c r="CJ1062" s="6" t="s">
        <v>19</v>
      </c>
    </row>
    <row r="1063" spans="1:88" ht="24.75" customHeight="1">
      <c r="A1063" s="36" t="s">
        <v>85</v>
      </c>
      <c r="B1063" s="55">
        <v>48725</v>
      </c>
      <c r="C1063" s="227" t="s">
        <v>2892</v>
      </c>
      <c r="D1063" s="36" t="s">
        <v>24</v>
      </c>
      <c r="E1063" s="39">
        <v>200</v>
      </c>
      <c r="F1063" s="39" t="s">
        <v>58</v>
      </c>
      <c r="G1063" s="36" t="s">
        <v>2658</v>
      </c>
      <c r="H1063" s="36" t="s">
        <v>96</v>
      </c>
      <c r="I1063" s="39">
        <f>807+37</f>
        <v>844</v>
      </c>
      <c r="J1063" s="39">
        <v>93</v>
      </c>
      <c r="K1063" s="39"/>
      <c r="L1063" s="39">
        <f t="shared" ref="L1063" si="704">SUM(I1063:K1063)</f>
        <v>937</v>
      </c>
      <c r="M1063" s="117">
        <v>46284</v>
      </c>
      <c r="N1063" s="117">
        <v>46295</v>
      </c>
      <c r="O1063" s="39"/>
      <c r="P1063" s="39"/>
      <c r="Q1063" s="39"/>
      <c r="R1063" s="39">
        <f t="shared" si="697"/>
        <v>0</v>
      </c>
      <c r="S1063" s="39" t="s">
        <v>130</v>
      </c>
      <c r="T1063" s="39"/>
      <c r="U1063" s="39"/>
      <c r="V1063" s="39"/>
      <c r="W1063" s="39"/>
      <c r="X1063" s="39"/>
      <c r="Y1063" s="39"/>
      <c r="Z1063" s="39"/>
      <c r="AA1063" s="39"/>
      <c r="AB1063" s="118">
        <f t="shared" si="698"/>
        <v>0</v>
      </c>
      <c r="AC1063" s="39"/>
      <c r="AD1063" s="39"/>
      <c r="AE1063" s="39"/>
      <c r="AF1063" s="39"/>
      <c r="AG1063" s="39"/>
      <c r="AH1063" s="39">
        <f t="shared" si="557"/>
        <v>0</v>
      </c>
      <c r="AI1063" s="39"/>
      <c r="AJ1063" s="39"/>
      <c r="AK1063" s="39"/>
      <c r="AL1063" s="39"/>
      <c r="AM1063" s="39"/>
      <c r="AN1063" s="39">
        <f t="shared" si="691"/>
        <v>0</v>
      </c>
      <c r="AO1063" s="39"/>
      <c r="AP1063" s="39"/>
      <c r="AQ1063" s="39"/>
      <c r="AR1063" s="39"/>
      <c r="AS1063" s="39"/>
      <c r="AT1063" s="39">
        <f t="shared" si="659"/>
        <v>0</v>
      </c>
      <c r="AU1063" s="39"/>
      <c r="AV1063" s="39"/>
      <c r="AW1063" s="39"/>
      <c r="AX1063" s="39"/>
      <c r="AY1063" s="39"/>
      <c r="AZ1063" s="39">
        <f t="shared" si="660"/>
        <v>0</v>
      </c>
      <c r="BA1063" s="39"/>
      <c r="BB1063" s="39"/>
      <c r="BC1063" s="39"/>
      <c r="BD1063" s="39"/>
      <c r="BE1063" s="39"/>
      <c r="BF1063" s="39">
        <f t="shared" si="661"/>
        <v>0</v>
      </c>
      <c r="BG1063" s="39"/>
      <c r="BH1063" s="39"/>
      <c r="BI1063" s="39"/>
      <c r="BJ1063" s="39"/>
      <c r="BK1063" s="39"/>
      <c r="BL1063" s="39">
        <f t="shared" si="558"/>
        <v>0</v>
      </c>
      <c r="BM1063" s="54">
        <f t="shared" ca="1" si="662"/>
        <v>46283</v>
      </c>
      <c r="BN1063" s="62">
        <v>46293</v>
      </c>
      <c r="BO1063" s="117">
        <v>46300</v>
      </c>
      <c r="BP1063" s="39"/>
      <c r="BQ1063" s="39"/>
      <c r="BR1063" s="39"/>
      <c r="BS1063" s="39"/>
      <c r="BT1063" s="39"/>
      <c r="BU1063" s="39"/>
      <c r="BV1063" s="39"/>
      <c r="BW1063" s="39"/>
      <c r="BX1063" s="39"/>
      <c r="BY1063" s="39"/>
      <c r="BZ1063" s="39">
        <f t="shared" si="559"/>
        <v>0</v>
      </c>
      <c r="CA1063" s="39">
        <f t="shared" si="700"/>
        <v>-844</v>
      </c>
      <c r="CB1063" s="39">
        <f t="shared" si="701"/>
        <v>-93</v>
      </c>
      <c r="CC1063" s="39">
        <f t="shared" si="702"/>
        <v>0</v>
      </c>
      <c r="CD1063" s="39">
        <f t="shared" si="560"/>
        <v>-937</v>
      </c>
      <c r="CE1063" s="102">
        <f t="shared" si="703"/>
        <v>-1</v>
      </c>
      <c r="CF1063" s="36"/>
      <c r="CG1063" s="39" t="s">
        <v>236</v>
      </c>
      <c r="CH1063" s="39"/>
      <c r="CI1063" s="25">
        <v>3</v>
      </c>
    </row>
    <row r="1064" spans="1:88" ht="24.75" customHeight="1">
      <c r="A1064" s="36" t="s">
        <v>85</v>
      </c>
      <c r="B1064" s="55">
        <v>48725</v>
      </c>
      <c r="C1064" s="231"/>
      <c r="D1064" s="36" t="s">
        <v>24</v>
      </c>
      <c r="E1064" s="39">
        <v>200</v>
      </c>
      <c r="F1064" s="39" t="s">
        <v>58</v>
      </c>
      <c r="G1064" s="36" t="s">
        <v>2659</v>
      </c>
      <c r="H1064" s="36" t="s">
        <v>96</v>
      </c>
      <c r="I1064" s="39">
        <f>924+41</f>
        <v>965</v>
      </c>
      <c r="J1064" s="39">
        <v>108</v>
      </c>
      <c r="K1064" s="39"/>
      <c r="L1064" s="39">
        <f t="shared" ref="L1064:L1065" si="705">SUM(I1064:K1064)</f>
        <v>1073</v>
      </c>
      <c r="M1064" s="117">
        <v>46284</v>
      </c>
      <c r="N1064" s="117">
        <v>46295</v>
      </c>
      <c r="O1064" s="39"/>
      <c r="P1064" s="39"/>
      <c r="Q1064" s="39"/>
      <c r="R1064" s="39">
        <f t="shared" ref="R1064:R1065" si="706">SUM(O1064:Q1064)</f>
        <v>0</v>
      </c>
      <c r="S1064" s="39" t="s">
        <v>130</v>
      </c>
      <c r="T1064" s="39"/>
      <c r="U1064" s="39"/>
      <c r="V1064" s="39"/>
      <c r="W1064" s="39"/>
      <c r="X1064" s="39"/>
      <c r="Y1064" s="39"/>
      <c r="Z1064" s="39"/>
      <c r="AA1064" s="39"/>
      <c r="AB1064" s="118">
        <f t="shared" ref="AB1064:AB1065" si="707">SUM(Y1064:AA1064)</f>
        <v>0</v>
      </c>
      <c r="AC1064" s="39"/>
      <c r="AD1064" s="39"/>
      <c r="AE1064" s="39"/>
      <c r="AF1064" s="39"/>
      <c r="AG1064" s="39"/>
      <c r="AH1064" s="39">
        <f t="shared" si="557"/>
        <v>0</v>
      </c>
      <c r="AI1064" s="39"/>
      <c r="AJ1064" s="39"/>
      <c r="AK1064" s="39"/>
      <c r="AL1064" s="39"/>
      <c r="AM1064" s="39"/>
      <c r="AN1064" s="39">
        <f t="shared" si="691"/>
        <v>0</v>
      </c>
      <c r="AO1064" s="39"/>
      <c r="AP1064" s="39"/>
      <c r="AQ1064" s="39"/>
      <c r="AR1064" s="39"/>
      <c r="AS1064" s="39"/>
      <c r="AT1064" s="39">
        <f t="shared" si="659"/>
        <v>0</v>
      </c>
      <c r="AU1064" s="39"/>
      <c r="AV1064" s="39"/>
      <c r="AW1064" s="39"/>
      <c r="AX1064" s="39"/>
      <c r="AY1064" s="39"/>
      <c r="AZ1064" s="39">
        <f t="shared" si="660"/>
        <v>0</v>
      </c>
      <c r="BA1064" s="39"/>
      <c r="BB1064" s="39"/>
      <c r="BC1064" s="39"/>
      <c r="BD1064" s="39"/>
      <c r="BE1064" s="39"/>
      <c r="BF1064" s="39">
        <f t="shared" si="661"/>
        <v>0</v>
      </c>
      <c r="BG1064" s="39"/>
      <c r="BH1064" s="39"/>
      <c r="BI1064" s="39"/>
      <c r="BJ1064" s="39"/>
      <c r="BK1064" s="39"/>
      <c r="BL1064" s="39">
        <f t="shared" si="558"/>
        <v>0</v>
      </c>
      <c r="BM1064" s="54">
        <f t="shared" ca="1" si="662"/>
        <v>46283</v>
      </c>
      <c r="BN1064" s="62">
        <v>46293</v>
      </c>
      <c r="BO1064" s="117">
        <v>46300</v>
      </c>
      <c r="BP1064" s="39"/>
      <c r="BQ1064" s="39"/>
      <c r="BR1064" s="39"/>
      <c r="BS1064" s="39"/>
      <c r="BT1064" s="39"/>
      <c r="BU1064" s="39"/>
      <c r="BV1064" s="39"/>
      <c r="BW1064" s="39"/>
      <c r="BX1064" s="39"/>
      <c r="BY1064" s="39"/>
      <c r="BZ1064" s="39">
        <f t="shared" si="559"/>
        <v>0</v>
      </c>
      <c r="CA1064" s="39">
        <f t="shared" si="700"/>
        <v>-965</v>
      </c>
      <c r="CB1064" s="39">
        <f t="shared" si="701"/>
        <v>-108</v>
      </c>
      <c r="CC1064" s="39">
        <f t="shared" si="702"/>
        <v>0</v>
      </c>
      <c r="CD1064" s="39">
        <f t="shared" si="560"/>
        <v>-1073</v>
      </c>
      <c r="CE1064" s="102">
        <f t="shared" si="703"/>
        <v>-1</v>
      </c>
      <c r="CF1064" s="36"/>
      <c r="CG1064" s="39" t="s">
        <v>236</v>
      </c>
      <c r="CH1064" s="39"/>
      <c r="CI1064" s="25">
        <v>3</v>
      </c>
    </row>
    <row r="1065" spans="1:88" ht="24.75" customHeight="1">
      <c r="A1065" s="36" t="s">
        <v>85</v>
      </c>
      <c r="B1065" s="55">
        <v>48725</v>
      </c>
      <c r="C1065" s="228"/>
      <c r="D1065" s="36" t="s">
        <v>24</v>
      </c>
      <c r="E1065" s="39">
        <v>200</v>
      </c>
      <c r="F1065" s="39" t="s">
        <v>58</v>
      </c>
      <c r="G1065" s="36" t="s">
        <v>2660</v>
      </c>
      <c r="H1065" s="36" t="s">
        <v>96</v>
      </c>
      <c r="I1065" s="39">
        <f>226+10</f>
        <v>236</v>
      </c>
      <c r="J1065" s="39">
        <v>29</v>
      </c>
      <c r="K1065" s="39"/>
      <c r="L1065" s="39">
        <f t="shared" si="705"/>
        <v>265</v>
      </c>
      <c r="M1065" s="117">
        <v>46284</v>
      </c>
      <c r="N1065" s="117">
        <v>46295</v>
      </c>
      <c r="O1065" s="39"/>
      <c r="P1065" s="39"/>
      <c r="Q1065" s="39"/>
      <c r="R1065" s="39">
        <f t="shared" si="706"/>
        <v>0</v>
      </c>
      <c r="S1065" s="39" t="s">
        <v>130</v>
      </c>
      <c r="T1065" s="39"/>
      <c r="U1065" s="39"/>
      <c r="V1065" s="39"/>
      <c r="W1065" s="39"/>
      <c r="X1065" s="39"/>
      <c r="Y1065" s="39"/>
      <c r="Z1065" s="39"/>
      <c r="AA1065" s="39"/>
      <c r="AB1065" s="118">
        <f t="shared" si="707"/>
        <v>0</v>
      </c>
      <c r="AC1065" s="39"/>
      <c r="AD1065" s="39"/>
      <c r="AE1065" s="39"/>
      <c r="AF1065" s="39"/>
      <c r="AG1065" s="39"/>
      <c r="AH1065" s="39">
        <f t="shared" si="557"/>
        <v>0</v>
      </c>
      <c r="AI1065" s="39"/>
      <c r="AJ1065" s="39"/>
      <c r="AK1065" s="39"/>
      <c r="AL1065" s="39"/>
      <c r="AM1065" s="39"/>
      <c r="AN1065" s="39">
        <f t="shared" si="691"/>
        <v>0</v>
      </c>
      <c r="AO1065" s="39"/>
      <c r="AP1065" s="39"/>
      <c r="AQ1065" s="39"/>
      <c r="AR1065" s="39"/>
      <c r="AS1065" s="39"/>
      <c r="AT1065" s="39">
        <f t="shared" si="659"/>
        <v>0</v>
      </c>
      <c r="AU1065" s="39"/>
      <c r="AV1065" s="39"/>
      <c r="AW1065" s="39"/>
      <c r="AX1065" s="39"/>
      <c r="AY1065" s="39"/>
      <c r="AZ1065" s="39">
        <f t="shared" si="660"/>
        <v>0</v>
      </c>
      <c r="BA1065" s="39"/>
      <c r="BB1065" s="39"/>
      <c r="BC1065" s="39"/>
      <c r="BD1065" s="39"/>
      <c r="BE1065" s="39"/>
      <c r="BF1065" s="39">
        <f t="shared" si="661"/>
        <v>0</v>
      </c>
      <c r="BG1065" s="39"/>
      <c r="BH1065" s="39"/>
      <c r="BI1065" s="39"/>
      <c r="BJ1065" s="39"/>
      <c r="BK1065" s="39"/>
      <c r="BL1065" s="39">
        <f t="shared" si="558"/>
        <v>0</v>
      </c>
      <c r="BM1065" s="54">
        <f t="shared" ca="1" si="662"/>
        <v>46283</v>
      </c>
      <c r="BN1065" s="62">
        <v>46293</v>
      </c>
      <c r="BO1065" s="117">
        <v>46300</v>
      </c>
      <c r="BP1065" s="39"/>
      <c r="BQ1065" s="39"/>
      <c r="BR1065" s="39"/>
      <c r="BS1065" s="39"/>
      <c r="BT1065" s="39"/>
      <c r="BU1065" s="39"/>
      <c r="BV1065" s="39"/>
      <c r="BW1065" s="39"/>
      <c r="BX1065" s="39"/>
      <c r="BY1065" s="39"/>
      <c r="BZ1065" s="39">
        <f t="shared" si="559"/>
        <v>0</v>
      </c>
      <c r="CA1065" s="39">
        <f t="shared" si="700"/>
        <v>-236</v>
      </c>
      <c r="CB1065" s="39">
        <f t="shared" si="701"/>
        <v>-29</v>
      </c>
      <c r="CC1065" s="39">
        <f t="shared" si="702"/>
        <v>0</v>
      </c>
      <c r="CD1065" s="39">
        <f t="shared" si="560"/>
        <v>-265</v>
      </c>
      <c r="CE1065" s="102">
        <f t="shared" si="703"/>
        <v>-1</v>
      </c>
      <c r="CF1065" s="36"/>
      <c r="CG1065" s="39" t="s">
        <v>236</v>
      </c>
      <c r="CH1065" s="39"/>
      <c r="CI1065" s="25">
        <v>3</v>
      </c>
      <c r="CJ1065" s="6" t="s">
        <v>19</v>
      </c>
    </row>
    <row r="1066" spans="1:88" ht="24.75" customHeight="1">
      <c r="A1066" s="36" t="s">
        <v>85</v>
      </c>
      <c r="B1066" s="55">
        <v>48730</v>
      </c>
      <c r="C1066" s="36" t="s">
        <v>2895</v>
      </c>
      <c r="D1066" s="36"/>
      <c r="E1066" s="39">
        <v>160</v>
      </c>
      <c r="F1066" s="39" t="s">
        <v>55</v>
      </c>
      <c r="G1066" s="36" t="s">
        <v>101</v>
      </c>
      <c r="H1066" s="36" t="s">
        <v>26</v>
      </c>
      <c r="I1066" s="39">
        <v>116</v>
      </c>
      <c r="J1066" s="39"/>
      <c r="K1066" s="39"/>
      <c r="L1066" s="39">
        <f t="shared" ref="L1066" si="708">SUM(I1066:K1066)</f>
        <v>116</v>
      </c>
      <c r="M1066" s="117">
        <v>46275</v>
      </c>
      <c r="N1066" s="117">
        <v>46280</v>
      </c>
      <c r="O1066" s="39"/>
      <c r="P1066" s="39"/>
      <c r="Q1066" s="39"/>
      <c r="R1066" s="39">
        <f t="shared" ref="R1066" si="709">SUM(O1066:Q1066)</f>
        <v>0</v>
      </c>
      <c r="S1066" s="39" t="s">
        <v>130</v>
      </c>
      <c r="T1066" s="39"/>
      <c r="U1066" s="39"/>
      <c r="V1066" s="39"/>
      <c r="W1066" s="39"/>
      <c r="X1066" s="39"/>
      <c r="Y1066" s="39"/>
      <c r="Z1066" s="39"/>
      <c r="AA1066" s="39"/>
      <c r="AB1066" s="118">
        <f t="shared" ref="AB1066" si="710">SUM(Y1066:AA1066)</f>
        <v>0</v>
      </c>
      <c r="AC1066" s="39"/>
      <c r="AD1066" s="39"/>
      <c r="AE1066" s="39"/>
      <c r="AF1066" s="39"/>
      <c r="AG1066" s="39"/>
      <c r="AH1066" s="39">
        <f t="shared" si="557"/>
        <v>0</v>
      </c>
      <c r="AI1066" s="39"/>
      <c r="AJ1066" s="39"/>
      <c r="AK1066" s="39"/>
      <c r="AL1066" s="39"/>
      <c r="AM1066" s="39"/>
      <c r="AN1066" s="39">
        <f t="shared" si="691"/>
        <v>0</v>
      </c>
      <c r="AO1066" s="39"/>
      <c r="AP1066" s="39"/>
      <c r="AQ1066" s="39"/>
      <c r="AR1066" s="39"/>
      <c r="AS1066" s="39"/>
      <c r="AT1066" s="39">
        <f t="shared" si="659"/>
        <v>0</v>
      </c>
      <c r="AU1066" s="39"/>
      <c r="AV1066" s="39"/>
      <c r="AW1066" s="39"/>
      <c r="AX1066" s="39"/>
      <c r="AY1066" s="39"/>
      <c r="AZ1066" s="39">
        <f t="shared" si="660"/>
        <v>0</v>
      </c>
      <c r="BA1066" s="39"/>
      <c r="BB1066" s="39"/>
      <c r="BC1066" s="39"/>
      <c r="BD1066" s="39"/>
      <c r="BE1066" s="39"/>
      <c r="BF1066" s="39">
        <f t="shared" si="661"/>
        <v>0</v>
      </c>
      <c r="BG1066" s="39"/>
      <c r="BH1066" s="39"/>
      <c r="BI1066" s="39"/>
      <c r="BJ1066" s="39"/>
      <c r="BK1066" s="39"/>
      <c r="BL1066" s="39">
        <f t="shared" si="558"/>
        <v>0</v>
      </c>
      <c r="BM1066" s="54">
        <f t="shared" ca="1" si="662"/>
        <v>46283</v>
      </c>
      <c r="BN1066" s="62">
        <v>46289</v>
      </c>
      <c r="BO1066" s="117">
        <v>46300</v>
      </c>
      <c r="BP1066" s="39"/>
      <c r="BQ1066" s="39"/>
      <c r="BR1066" s="39"/>
      <c r="BS1066" s="39"/>
      <c r="BT1066" s="39"/>
      <c r="BU1066" s="39"/>
      <c r="BV1066" s="39"/>
      <c r="BW1066" s="39"/>
      <c r="BX1066" s="39"/>
      <c r="BY1066" s="39"/>
      <c r="BZ1066" s="39">
        <f t="shared" si="559"/>
        <v>0</v>
      </c>
      <c r="CA1066" s="39">
        <f t="shared" si="700"/>
        <v>-116</v>
      </c>
      <c r="CB1066" s="39">
        <f t="shared" si="701"/>
        <v>0</v>
      </c>
      <c r="CC1066" s="39">
        <f t="shared" si="702"/>
        <v>0</v>
      </c>
      <c r="CD1066" s="39">
        <f t="shared" si="560"/>
        <v>-116</v>
      </c>
      <c r="CE1066" s="102">
        <f t="shared" si="703"/>
        <v>-1</v>
      </c>
      <c r="CF1066" s="36"/>
      <c r="CG1066" s="39" t="s">
        <v>236</v>
      </c>
      <c r="CH1066" s="39"/>
      <c r="CI1066" s="25">
        <v>3</v>
      </c>
    </row>
    <row r="1067" spans="1:88" ht="24.75" customHeight="1">
      <c r="A1067" s="36" t="s">
        <v>85</v>
      </c>
      <c r="B1067" s="55">
        <v>48727</v>
      </c>
      <c r="C1067" s="36" t="s">
        <v>2661</v>
      </c>
      <c r="D1067" s="36" t="s">
        <v>37</v>
      </c>
      <c r="E1067" s="39">
        <v>180</v>
      </c>
      <c r="F1067" s="39" t="s">
        <v>53</v>
      </c>
      <c r="G1067" s="36" t="s">
        <v>2662</v>
      </c>
      <c r="H1067" s="36" t="s">
        <v>87</v>
      </c>
      <c r="I1067" s="39">
        <v>125</v>
      </c>
      <c r="J1067" s="39"/>
      <c r="K1067" s="39"/>
      <c r="L1067" s="39">
        <f t="shared" ref="L1067" si="711">SUM(I1067:K1067)</f>
        <v>125</v>
      </c>
      <c r="M1067" s="117">
        <v>46275</v>
      </c>
      <c r="N1067" s="117">
        <v>46279</v>
      </c>
      <c r="O1067" s="39"/>
      <c r="P1067" s="39"/>
      <c r="Q1067" s="39"/>
      <c r="R1067" s="39">
        <f>SUM(O1067:Q1067)</f>
        <v>0</v>
      </c>
      <c r="S1067" s="39" t="s">
        <v>130</v>
      </c>
      <c r="T1067" s="39"/>
      <c r="U1067" s="39"/>
      <c r="V1067" s="39"/>
      <c r="W1067" s="39"/>
      <c r="X1067" s="39"/>
      <c r="Y1067" s="39"/>
      <c r="Z1067" s="39"/>
      <c r="AA1067" s="39"/>
      <c r="AB1067" s="118">
        <f>SUM(Y1067:AA1067)</f>
        <v>0</v>
      </c>
      <c r="AC1067" s="39"/>
      <c r="AD1067" s="39"/>
      <c r="AE1067" s="39"/>
      <c r="AF1067" s="39"/>
      <c r="AG1067" s="39"/>
      <c r="AH1067" s="39">
        <f t="shared" si="557"/>
        <v>0</v>
      </c>
      <c r="AI1067" s="39"/>
      <c r="AJ1067" s="39"/>
      <c r="AK1067" s="39"/>
      <c r="AL1067" s="39"/>
      <c r="AM1067" s="39"/>
      <c r="AN1067" s="39">
        <f>AM1067-AK1067</f>
        <v>0</v>
      </c>
      <c r="AO1067" s="39"/>
      <c r="AP1067" s="39"/>
      <c r="AQ1067" s="39"/>
      <c r="AR1067" s="39"/>
      <c r="AS1067" s="39"/>
      <c r="AT1067" s="39">
        <f>AS1067-AQ1067</f>
        <v>0</v>
      </c>
      <c r="AU1067" s="39"/>
      <c r="AV1067" s="39"/>
      <c r="AW1067" s="39"/>
      <c r="AX1067" s="39"/>
      <c r="AY1067" s="39"/>
      <c r="AZ1067" s="39">
        <f>AY1067-AW1067</f>
        <v>0</v>
      </c>
      <c r="BA1067" s="39"/>
      <c r="BB1067" s="39"/>
      <c r="BC1067" s="39"/>
      <c r="BD1067" s="39"/>
      <c r="BE1067" s="39"/>
      <c r="BF1067" s="39">
        <f>BE1067-BC1067</f>
        <v>0</v>
      </c>
      <c r="BG1067" s="39"/>
      <c r="BH1067" s="39"/>
      <c r="BI1067" s="39"/>
      <c r="BJ1067" s="39"/>
      <c r="BK1067" s="39"/>
      <c r="BL1067" s="39">
        <f t="shared" si="558"/>
        <v>0</v>
      </c>
      <c r="BM1067" s="54">
        <f ca="1">IF((BZ1067/L1067)&lt;0.9,$CO$1-U1067,"")</f>
        <v>46283</v>
      </c>
      <c r="BN1067" s="62">
        <v>46286</v>
      </c>
      <c r="BO1067" s="117">
        <v>46295</v>
      </c>
      <c r="BP1067" s="117">
        <v>46297</v>
      </c>
      <c r="BQ1067" s="117">
        <v>46303</v>
      </c>
      <c r="BR1067" s="39"/>
      <c r="BS1067" s="39"/>
      <c r="BT1067" s="39"/>
      <c r="BU1067" s="39"/>
      <c r="BV1067" s="39"/>
      <c r="BW1067" s="39"/>
      <c r="BX1067" s="39"/>
      <c r="BY1067" s="39"/>
      <c r="BZ1067" s="39">
        <f t="shared" si="559"/>
        <v>0</v>
      </c>
      <c r="CA1067" s="39">
        <f>BU1067-I1067</f>
        <v>-125</v>
      </c>
      <c r="CB1067" s="39">
        <f>BW1067-J1067</f>
        <v>0</v>
      </c>
      <c r="CC1067" s="39">
        <f>BY1067-K1067</f>
        <v>0</v>
      </c>
      <c r="CD1067" s="39">
        <f t="shared" si="560"/>
        <v>-125</v>
      </c>
      <c r="CE1067" s="102">
        <f>CD1067/L1067</f>
        <v>-1</v>
      </c>
      <c r="CF1067" s="36"/>
      <c r="CG1067" s="39" t="s">
        <v>236</v>
      </c>
      <c r="CH1067" s="39"/>
      <c r="CI1067" s="25">
        <v>3</v>
      </c>
    </row>
    <row r="1068" spans="1:88" ht="24.75" customHeight="1">
      <c r="A1068" s="36" t="s">
        <v>85</v>
      </c>
      <c r="B1068" s="55">
        <v>48932</v>
      </c>
      <c r="C1068" s="36" t="s">
        <v>2663</v>
      </c>
      <c r="D1068" s="36" t="s">
        <v>37</v>
      </c>
      <c r="E1068" s="39">
        <v>180</v>
      </c>
      <c r="F1068" s="39" t="s">
        <v>58</v>
      </c>
      <c r="G1068" s="36" t="s">
        <v>2664</v>
      </c>
      <c r="H1068" s="36" t="s">
        <v>87</v>
      </c>
      <c r="I1068" s="39">
        <v>120</v>
      </c>
      <c r="J1068" s="39"/>
      <c r="K1068" s="39"/>
      <c r="L1068" s="39">
        <v>0</v>
      </c>
      <c r="M1068" s="117">
        <v>46275</v>
      </c>
      <c r="N1068" s="117">
        <v>46280</v>
      </c>
      <c r="O1068" s="39"/>
      <c r="P1068" s="39"/>
      <c r="Q1068" s="39"/>
      <c r="R1068" s="39">
        <f t="shared" ref="R1068" si="712">SUM(O1068:Q1068)</f>
        <v>0</v>
      </c>
      <c r="S1068" s="39" t="s">
        <v>130</v>
      </c>
      <c r="T1068" s="154" t="s">
        <v>3039</v>
      </c>
      <c r="U1068" s="39"/>
      <c r="V1068" s="39"/>
      <c r="W1068" s="39"/>
      <c r="X1068" s="39"/>
      <c r="Y1068" s="39"/>
      <c r="Z1068" s="39"/>
      <c r="AA1068" s="39"/>
      <c r="AB1068" s="39">
        <f t="shared" ref="AB1068:AB1072" si="713">SUM(Y1068:AA1068)</f>
        <v>0</v>
      </c>
      <c r="AC1068" s="39"/>
      <c r="AD1068" s="39"/>
      <c r="AE1068" s="39"/>
      <c r="AF1068" s="39"/>
      <c r="AG1068" s="39"/>
      <c r="AH1068" s="39">
        <f t="shared" si="557"/>
        <v>0</v>
      </c>
      <c r="AI1068" s="39"/>
      <c r="AJ1068" s="39"/>
      <c r="AK1068" s="39"/>
      <c r="AL1068" s="39"/>
      <c r="AM1068" s="39"/>
      <c r="AN1068" s="39">
        <f t="shared" ref="AN1068:AN1072" si="714">AM1068-AK1068</f>
        <v>0</v>
      </c>
      <c r="AO1068" s="39"/>
      <c r="AP1068" s="39"/>
      <c r="AQ1068" s="39"/>
      <c r="AR1068" s="39"/>
      <c r="AS1068" s="39"/>
      <c r="AT1068" s="39">
        <f t="shared" ref="AT1068:AT1072" si="715">AS1068-AQ1068</f>
        <v>0</v>
      </c>
      <c r="AU1068" s="39"/>
      <c r="AV1068" s="39"/>
      <c r="AW1068" s="39"/>
      <c r="AX1068" s="39"/>
      <c r="AY1068" s="39"/>
      <c r="AZ1068" s="39">
        <f t="shared" ref="AZ1068:AZ1072" si="716">AY1068-AW1068</f>
        <v>0</v>
      </c>
      <c r="BA1068" s="39"/>
      <c r="BB1068" s="39"/>
      <c r="BC1068" s="39"/>
      <c r="BD1068" s="39"/>
      <c r="BE1068" s="39"/>
      <c r="BF1068" s="39">
        <f t="shared" ref="BF1068:BF1072" si="717">BE1068-BC1068</f>
        <v>0</v>
      </c>
      <c r="BG1068" s="39"/>
      <c r="BH1068" s="39"/>
      <c r="BI1068" s="39"/>
      <c r="BJ1068" s="39"/>
      <c r="BK1068" s="39"/>
      <c r="BL1068" s="39">
        <f t="shared" si="558"/>
        <v>0</v>
      </c>
      <c r="BM1068" s="54" t="e">
        <f t="shared" ref="BM1068:BM1072" si="718">IF((BZ1068/L1068)&lt;0.9,$CO$1-U1068,"")</f>
        <v>#DIV/0!</v>
      </c>
      <c r="BN1068" s="62">
        <v>46286</v>
      </c>
      <c r="BO1068" s="117">
        <v>46295</v>
      </c>
      <c r="BP1068" s="117">
        <v>46297</v>
      </c>
      <c r="BQ1068" s="117">
        <v>46303</v>
      </c>
      <c r="BR1068" s="39"/>
      <c r="BS1068" s="39"/>
      <c r="BT1068" s="39"/>
      <c r="BU1068" s="39"/>
      <c r="BV1068" s="39"/>
      <c r="BW1068" s="39"/>
      <c r="BX1068" s="39"/>
      <c r="BY1068" s="39"/>
      <c r="BZ1068" s="39">
        <f t="shared" si="559"/>
        <v>0</v>
      </c>
      <c r="CA1068" s="39">
        <v>0</v>
      </c>
      <c r="CB1068" s="39">
        <f t="shared" ref="CB1068:CB1069" si="719">BW1068-J1068</f>
        <v>0</v>
      </c>
      <c r="CC1068" s="39">
        <f t="shared" ref="CC1068:CC1069" si="720">BY1068-K1068</f>
        <v>0</v>
      </c>
      <c r="CD1068" s="39">
        <f t="shared" si="560"/>
        <v>0</v>
      </c>
      <c r="CE1068" s="102" t="e">
        <f t="shared" ref="CE1068:CE1069" si="721">CD1068/L1068</f>
        <v>#DIV/0!</v>
      </c>
      <c r="CF1068" s="36"/>
      <c r="CG1068" s="39" t="s">
        <v>236</v>
      </c>
      <c r="CH1068" s="39"/>
      <c r="CI1068" s="25">
        <v>3</v>
      </c>
    </row>
    <row r="1069" spans="1:88" ht="24.75" customHeight="1">
      <c r="A1069" s="36" t="s">
        <v>85</v>
      </c>
      <c r="B1069" s="55" t="s">
        <v>2751</v>
      </c>
      <c r="C1069" s="227" t="s">
        <v>2752</v>
      </c>
      <c r="D1069" s="36"/>
      <c r="E1069" s="39">
        <v>150</v>
      </c>
      <c r="F1069" s="39" t="s">
        <v>69</v>
      </c>
      <c r="G1069" s="36" t="s">
        <v>2753</v>
      </c>
      <c r="H1069" s="36" t="s">
        <v>22</v>
      </c>
      <c r="I1069" s="39">
        <v>799</v>
      </c>
      <c r="J1069" s="39"/>
      <c r="K1069" s="39"/>
      <c r="L1069" s="39">
        <f t="shared" ref="L1069" si="722">SUM(I1069:K1069)</f>
        <v>799</v>
      </c>
      <c r="M1069" s="117">
        <v>46273</v>
      </c>
      <c r="N1069" s="117">
        <v>46281</v>
      </c>
      <c r="O1069" s="39"/>
      <c r="P1069" s="39"/>
      <c r="Q1069" s="39"/>
      <c r="R1069" s="39">
        <f t="shared" ref="R1069:R1072" si="723">SUM(O1069:Q1069)</f>
        <v>0</v>
      </c>
      <c r="S1069" s="39" t="s">
        <v>130</v>
      </c>
      <c r="T1069" s="39"/>
      <c r="U1069" s="39"/>
      <c r="V1069" s="39"/>
      <c r="W1069" s="39"/>
      <c r="X1069" s="39"/>
      <c r="Y1069" s="39"/>
      <c r="Z1069" s="39"/>
      <c r="AA1069" s="39"/>
      <c r="AB1069" s="118">
        <f t="shared" si="713"/>
        <v>0</v>
      </c>
      <c r="AC1069" s="39"/>
      <c r="AD1069" s="39"/>
      <c r="AE1069" s="39"/>
      <c r="AF1069" s="39"/>
      <c r="AG1069" s="39"/>
      <c r="AH1069" s="39">
        <f t="shared" si="557"/>
        <v>0</v>
      </c>
      <c r="AI1069" s="39"/>
      <c r="AJ1069" s="39"/>
      <c r="AK1069" s="39"/>
      <c r="AL1069" s="39"/>
      <c r="AM1069" s="39"/>
      <c r="AN1069" s="39">
        <f t="shared" si="714"/>
        <v>0</v>
      </c>
      <c r="AO1069" s="39"/>
      <c r="AP1069" s="39"/>
      <c r="AQ1069" s="39"/>
      <c r="AR1069" s="39"/>
      <c r="AS1069" s="39"/>
      <c r="AT1069" s="39">
        <f t="shared" si="715"/>
        <v>0</v>
      </c>
      <c r="AU1069" s="39"/>
      <c r="AV1069" s="39"/>
      <c r="AW1069" s="39"/>
      <c r="AX1069" s="39"/>
      <c r="AY1069" s="39"/>
      <c r="AZ1069" s="39">
        <f t="shared" si="716"/>
        <v>0</v>
      </c>
      <c r="BA1069" s="39"/>
      <c r="BB1069" s="39"/>
      <c r="BC1069" s="39"/>
      <c r="BD1069" s="39"/>
      <c r="BE1069" s="39"/>
      <c r="BF1069" s="39">
        <f t="shared" si="717"/>
        <v>0</v>
      </c>
      <c r="BG1069" s="39"/>
      <c r="BH1069" s="39"/>
      <c r="BI1069" s="39"/>
      <c r="BJ1069" s="39"/>
      <c r="BK1069" s="39"/>
      <c r="BL1069" s="39">
        <f t="shared" si="558"/>
        <v>0</v>
      </c>
      <c r="BM1069" s="54">
        <f t="shared" ca="1" si="718"/>
        <v>46283</v>
      </c>
      <c r="BN1069" s="62">
        <v>46286</v>
      </c>
      <c r="BO1069" s="117">
        <v>46304</v>
      </c>
      <c r="BP1069" s="39"/>
      <c r="BQ1069" s="39"/>
      <c r="BR1069" s="39"/>
      <c r="BS1069" s="39"/>
      <c r="BT1069" s="39"/>
      <c r="BU1069" s="39"/>
      <c r="BV1069" s="39"/>
      <c r="BW1069" s="39"/>
      <c r="BX1069" s="39"/>
      <c r="BY1069" s="39"/>
      <c r="BZ1069" s="39">
        <f t="shared" si="559"/>
        <v>0</v>
      </c>
      <c r="CA1069" s="39">
        <f t="shared" ref="CA1069" si="724">BU1069-I1069</f>
        <v>-799</v>
      </c>
      <c r="CB1069" s="39">
        <f t="shared" si="719"/>
        <v>0</v>
      </c>
      <c r="CC1069" s="39">
        <f t="shared" si="720"/>
        <v>0</v>
      </c>
      <c r="CD1069" s="39">
        <f t="shared" si="560"/>
        <v>-799</v>
      </c>
      <c r="CE1069" s="102">
        <f t="shared" si="721"/>
        <v>-1</v>
      </c>
      <c r="CF1069" s="36"/>
      <c r="CG1069" s="39" t="s">
        <v>236</v>
      </c>
      <c r="CH1069" s="39"/>
      <c r="CI1069" s="25">
        <v>3</v>
      </c>
    </row>
    <row r="1070" spans="1:88" ht="24.75" customHeight="1">
      <c r="A1070" s="36" t="s">
        <v>85</v>
      </c>
      <c r="B1070" s="55" t="s">
        <v>2751</v>
      </c>
      <c r="C1070" s="231"/>
      <c r="D1070" s="36"/>
      <c r="E1070" s="39">
        <v>150</v>
      </c>
      <c r="F1070" s="39" t="s">
        <v>58</v>
      </c>
      <c r="G1070" s="36" t="s">
        <v>307</v>
      </c>
      <c r="H1070" s="36" t="s">
        <v>22</v>
      </c>
      <c r="I1070" s="39">
        <v>691</v>
      </c>
      <c r="J1070" s="39">
        <v>108</v>
      </c>
      <c r="K1070" s="39"/>
      <c r="L1070" s="39">
        <f t="shared" ref="L1070:L1071" si="725">SUM(I1070:K1070)</f>
        <v>799</v>
      </c>
      <c r="M1070" s="117">
        <v>46273</v>
      </c>
      <c r="N1070" s="117">
        <v>46281</v>
      </c>
      <c r="O1070" s="39"/>
      <c r="P1070" s="39"/>
      <c r="Q1070" s="39"/>
      <c r="R1070" s="39">
        <f t="shared" si="723"/>
        <v>0</v>
      </c>
      <c r="S1070" s="39" t="s">
        <v>130</v>
      </c>
      <c r="T1070" s="39"/>
      <c r="U1070" s="39"/>
      <c r="V1070" s="39"/>
      <c r="W1070" s="39"/>
      <c r="X1070" s="39"/>
      <c r="Y1070" s="39"/>
      <c r="Z1070" s="39"/>
      <c r="AA1070" s="39"/>
      <c r="AB1070" s="118">
        <f t="shared" si="713"/>
        <v>0</v>
      </c>
      <c r="AC1070" s="39"/>
      <c r="AD1070" s="39"/>
      <c r="AE1070" s="39"/>
      <c r="AF1070" s="39"/>
      <c r="AG1070" s="39"/>
      <c r="AH1070" s="39">
        <f t="shared" si="557"/>
        <v>0</v>
      </c>
      <c r="AI1070" s="39"/>
      <c r="AJ1070" s="39"/>
      <c r="AK1070" s="39"/>
      <c r="AL1070" s="39"/>
      <c r="AM1070" s="39"/>
      <c r="AN1070" s="39">
        <f t="shared" si="714"/>
        <v>0</v>
      </c>
      <c r="AO1070" s="39"/>
      <c r="AP1070" s="39"/>
      <c r="AQ1070" s="39"/>
      <c r="AR1070" s="39"/>
      <c r="AS1070" s="39"/>
      <c r="AT1070" s="39">
        <f t="shared" si="715"/>
        <v>0</v>
      </c>
      <c r="AU1070" s="39"/>
      <c r="AV1070" s="39"/>
      <c r="AW1070" s="39"/>
      <c r="AX1070" s="39"/>
      <c r="AY1070" s="39"/>
      <c r="AZ1070" s="39">
        <f t="shared" si="716"/>
        <v>0</v>
      </c>
      <c r="BA1070" s="39"/>
      <c r="BB1070" s="39"/>
      <c r="BC1070" s="39"/>
      <c r="BD1070" s="39"/>
      <c r="BE1070" s="39"/>
      <c r="BF1070" s="39">
        <f t="shared" si="717"/>
        <v>0</v>
      </c>
      <c r="BG1070" s="39"/>
      <c r="BH1070" s="39"/>
      <c r="BI1070" s="39"/>
      <c r="BJ1070" s="39"/>
      <c r="BK1070" s="39"/>
      <c r="BL1070" s="39">
        <f t="shared" si="558"/>
        <v>0</v>
      </c>
      <c r="BM1070" s="54">
        <f t="shared" ca="1" si="718"/>
        <v>46283</v>
      </c>
      <c r="BN1070" s="62">
        <v>46286</v>
      </c>
      <c r="BO1070" s="117">
        <v>46304</v>
      </c>
      <c r="BP1070" s="39"/>
      <c r="BQ1070" s="39"/>
      <c r="BR1070" s="39"/>
      <c r="BS1070" s="39"/>
      <c r="BT1070" s="39"/>
      <c r="BU1070" s="39"/>
      <c r="BV1070" s="39"/>
      <c r="BW1070" s="39"/>
      <c r="BX1070" s="39"/>
      <c r="BY1070" s="39"/>
      <c r="BZ1070" s="39">
        <f t="shared" si="559"/>
        <v>0</v>
      </c>
      <c r="CA1070" s="39">
        <f>BU1070-I1070</f>
        <v>-691</v>
      </c>
      <c r="CB1070" s="39">
        <f>BW1070-J1070</f>
        <v>-108</v>
      </c>
      <c r="CC1070" s="39">
        <f>BY1070-K1070</f>
        <v>0</v>
      </c>
      <c r="CD1070" s="39">
        <f t="shared" si="560"/>
        <v>-799</v>
      </c>
      <c r="CE1070" s="102">
        <f>CD1070/L1070</f>
        <v>-1</v>
      </c>
      <c r="CF1070" s="36"/>
      <c r="CG1070" s="39" t="s">
        <v>236</v>
      </c>
      <c r="CH1070" s="39"/>
      <c r="CI1070" s="25">
        <v>3</v>
      </c>
    </row>
    <row r="1071" spans="1:88" ht="24.75" customHeight="1">
      <c r="A1071" s="36" t="s">
        <v>85</v>
      </c>
      <c r="B1071" s="55" t="s">
        <v>2751</v>
      </c>
      <c r="C1071" s="231"/>
      <c r="D1071" s="36"/>
      <c r="E1071" s="39">
        <v>150</v>
      </c>
      <c r="F1071" s="39" t="s">
        <v>69</v>
      </c>
      <c r="G1071" s="36" t="s">
        <v>21</v>
      </c>
      <c r="H1071" s="36" t="s">
        <v>22</v>
      </c>
      <c r="I1071" s="39">
        <v>429</v>
      </c>
      <c r="J1071" s="39"/>
      <c r="K1071" s="39"/>
      <c r="L1071" s="39">
        <f t="shared" si="725"/>
        <v>429</v>
      </c>
      <c r="M1071" s="117">
        <v>46273</v>
      </c>
      <c r="N1071" s="117">
        <v>46281</v>
      </c>
      <c r="O1071" s="39"/>
      <c r="P1071" s="39"/>
      <c r="Q1071" s="39"/>
      <c r="R1071" s="39">
        <f t="shared" si="723"/>
        <v>0</v>
      </c>
      <c r="S1071" s="39" t="s">
        <v>130</v>
      </c>
      <c r="T1071" s="39"/>
      <c r="U1071" s="39"/>
      <c r="V1071" s="39"/>
      <c r="W1071" s="39"/>
      <c r="X1071" s="39"/>
      <c r="Y1071" s="39"/>
      <c r="Z1071" s="39"/>
      <c r="AA1071" s="39"/>
      <c r="AB1071" s="118">
        <f t="shared" si="713"/>
        <v>0</v>
      </c>
      <c r="AC1071" s="39"/>
      <c r="AD1071" s="39"/>
      <c r="AE1071" s="39"/>
      <c r="AF1071" s="39"/>
      <c r="AG1071" s="39"/>
      <c r="AH1071" s="39">
        <f t="shared" si="557"/>
        <v>0</v>
      </c>
      <c r="AI1071" s="39"/>
      <c r="AJ1071" s="39"/>
      <c r="AK1071" s="39"/>
      <c r="AL1071" s="39"/>
      <c r="AM1071" s="39"/>
      <c r="AN1071" s="39">
        <f t="shared" si="714"/>
        <v>0</v>
      </c>
      <c r="AO1071" s="39"/>
      <c r="AP1071" s="39"/>
      <c r="AQ1071" s="39"/>
      <c r="AR1071" s="39"/>
      <c r="AS1071" s="39"/>
      <c r="AT1071" s="39">
        <f t="shared" si="715"/>
        <v>0</v>
      </c>
      <c r="AU1071" s="39"/>
      <c r="AV1071" s="39"/>
      <c r="AW1071" s="39"/>
      <c r="AX1071" s="39"/>
      <c r="AY1071" s="39"/>
      <c r="AZ1071" s="39">
        <f t="shared" si="716"/>
        <v>0</v>
      </c>
      <c r="BA1071" s="39"/>
      <c r="BB1071" s="39"/>
      <c r="BC1071" s="39"/>
      <c r="BD1071" s="39"/>
      <c r="BE1071" s="39"/>
      <c r="BF1071" s="39">
        <f t="shared" si="717"/>
        <v>0</v>
      </c>
      <c r="BG1071" s="39"/>
      <c r="BH1071" s="39"/>
      <c r="BI1071" s="39"/>
      <c r="BJ1071" s="39"/>
      <c r="BK1071" s="39"/>
      <c r="BL1071" s="39">
        <f t="shared" si="558"/>
        <v>0</v>
      </c>
      <c r="BM1071" s="54">
        <f t="shared" ca="1" si="718"/>
        <v>46283</v>
      </c>
      <c r="BN1071" s="62">
        <v>46286</v>
      </c>
      <c r="BO1071" s="117">
        <v>46304</v>
      </c>
      <c r="BP1071" s="39"/>
      <c r="BQ1071" s="39"/>
      <c r="BR1071" s="39"/>
      <c r="BS1071" s="39"/>
      <c r="BT1071" s="39"/>
      <c r="BU1071" s="39"/>
      <c r="BV1071" s="39"/>
      <c r="BW1071" s="39"/>
      <c r="BX1071" s="39"/>
      <c r="BY1071" s="39"/>
      <c r="BZ1071" s="39">
        <f t="shared" si="559"/>
        <v>0</v>
      </c>
      <c r="CA1071" s="39">
        <f t="shared" ref="CA1071:CA1072" si="726">BU1071-I1071</f>
        <v>-429</v>
      </c>
      <c r="CB1071" s="39">
        <f t="shared" ref="CB1071:CB1072" si="727">BW1071-J1071</f>
        <v>0</v>
      </c>
      <c r="CC1071" s="39">
        <f t="shared" ref="CC1071:CC1072" si="728">BY1071-K1071</f>
        <v>0</v>
      </c>
      <c r="CD1071" s="39">
        <f t="shared" si="560"/>
        <v>-429</v>
      </c>
      <c r="CE1071" s="102">
        <f t="shared" ref="CE1071:CE1072" si="729">CD1071/L1071</f>
        <v>-1</v>
      </c>
      <c r="CF1071" s="36"/>
      <c r="CG1071" s="39" t="s">
        <v>236</v>
      </c>
      <c r="CH1071" s="39"/>
      <c r="CI1071" s="25">
        <v>3</v>
      </c>
    </row>
    <row r="1072" spans="1:88" ht="24.75" customHeight="1">
      <c r="A1072" s="36" t="s">
        <v>85</v>
      </c>
      <c r="B1072" s="55" t="s">
        <v>2751</v>
      </c>
      <c r="C1072" s="228"/>
      <c r="D1072" s="36"/>
      <c r="E1072" s="39">
        <v>150</v>
      </c>
      <c r="F1072" s="39" t="s">
        <v>58</v>
      </c>
      <c r="G1072" s="36" t="s">
        <v>392</v>
      </c>
      <c r="H1072" s="36" t="s">
        <v>22</v>
      </c>
      <c r="I1072" s="39">
        <v>370</v>
      </c>
      <c r="J1072" s="39">
        <v>60</v>
      </c>
      <c r="K1072" s="39"/>
      <c r="L1072" s="39">
        <f t="shared" ref="L1072" si="730">SUM(I1072:K1072)</f>
        <v>430</v>
      </c>
      <c r="M1072" s="117">
        <v>46273</v>
      </c>
      <c r="N1072" s="117">
        <v>46281</v>
      </c>
      <c r="O1072" s="39"/>
      <c r="P1072" s="39"/>
      <c r="Q1072" s="39"/>
      <c r="R1072" s="39">
        <f t="shared" si="723"/>
        <v>0</v>
      </c>
      <c r="S1072" s="39" t="s">
        <v>130</v>
      </c>
      <c r="T1072" s="39"/>
      <c r="U1072" s="39"/>
      <c r="V1072" s="39"/>
      <c r="W1072" s="39"/>
      <c r="X1072" s="39"/>
      <c r="Y1072" s="39"/>
      <c r="Z1072" s="39"/>
      <c r="AA1072" s="39"/>
      <c r="AB1072" s="118">
        <f t="shared" si="713"/>
        <v>0</v>
      </c>
      <c r="AC1072" s="39"/>
      <c r="AD1072" s="39"/>
      <c r="AE1072" s="39"/>
      <c r="AF1072" s="39"/>
      <c r="AG1072" s="39"/>
      <c r="AH1072" s="39">
        <f t="shared" si="557"/>
        <v>0</v>
      </c>
      <c r="AI1072" s="39"/>
      <c r="AJ1072" s="39"/>
      <c r="AK1072" s="39"/>
      <c r="AL1072" s="39"/>
      <c r="AM1072" s="39"/>
      <c r="AN1072" s="39">
        <f t="shared" si="714"/>
        <v>0</v>
      </c>
      <c r="AO1072" s="39"/>
      <c r="AP1072" s="39"/>
      <c r="AQ1072" s="39"/>
      <c r="AR1072" s="39"/>
      <c r="AS1072" s="39"/>
      <c r="AT1072" s="39">
        <f t="shared" si="715"/>
        <v>0</v>
      </c>
      <c r="AU1072" s="39"/>
      <c r="AV1072" s="39"/>
      <c r="AW1072" s="39"/>
      <c r="AX1072" s="39"/>
      <c r="AY1072" s="39"/>
      <c r="AZ1072" s="39">
        <f t="shared" si="716"/>
        <v>0</v>
      </c>
      <c r="BA1072" s="39"/>
      <c r="BB1072" s="39"/>
      <c r="BC1072" s="39"/>
      <c r="BD1072" s="39"/>
      <c r="BE1072" s="39"/>
      <c r="BF1072" s="39">
        <f t="shared" si="717"/>
        <v>0</v>
      </c>
      <c r="BG1072" s="39"/>
      <c r="BH1072" s="39"/>
      <c r="BI1072" s="39"/>
      <c r="BJ1072" s="39"/>
      <c r="BK1072" s="39"/>
      <c r="BL1072" s="39">
        <f t="shared" si="558"/>
        <v>0</v>
      </c>
      <c r="BM1072" s="54">
        <f t="shared" ca="1" si="718"/>
        <v>46283</v>
      </c>
      <c r="BN1072" s="62">
        <v>46286</v>
      </c>
      <c r="BO1072" s="117">
        <v>46304</v>
      </c>
      <c r="BP1072" s="39"/>
      <c r="BQ1072" s="39"/>
      <c r="BR1072" s="39"/>
      <c r="BS1072" s="39"/>
      <c r="BT1072" s="39"/>
      <c r="BU1072" s="39"/>
      <c r="BV1072" s="39"/>
      <c r="BW1072" s="39"/>
      <c r="BX1072" s="39"/>
      <c r="BY1072" s="39"/>
      <c r="BZ1072" s="39">
        <f t="shared" si="559"/>
        <v>0</v>
      </c>
      <c r="CA1072" s="39">
        <f t="shared" si="726"/>
        <v>-370</v>
      </c>
      <c r="CB1072" s="39">
        <f t="shared" si="727"/>
        <v>-60</v>
      </c>
      <c r="CC1072" s="39">
        <f t="shared" si="728"/>
        <v>0</v>
      </c>
      <c r="CD1072" s="39">
        <f t="shared" si="560"/>
        <v>-430</v>
      </c>
      <c r="CE1072" s="102">
        <f t="shared" si="729"/>
        <v>-1</v>
      </c>
      <c r="CF1072" s="36"/>
      <c r="CG1072" s="39" t="s">
        <v>236</v>
      </c>
      <c r="CH1072" s="39"/>
      <c r="CI1072" s="25">
        <v>3</v>
      </c>
    </row>
    <row r="1073" spans="1:88" ht="24.75" customHeight="1">
      <c r="A1073" s="36" t="s">
        <v>85</v>
      </c>
      <c r="B1073" s="55">
        <v>48954</v>
      </c>
      <c r="C1073" s="227" t="s">
        <v>2957</v>
      </c>
      <c r="D1073" s="36"/>
      <c r="E1073" s="39">
        <v>180</v>
      </c>
      <c r="F1073" s="39" t="s">
        <v>56</v>
      </c>
      <c r="G1073" s="36" t="s">
        <v>21</v>
      </c>
      <c r="H1073" s="36" t="s">
        <v>87</v>
      </c>
      <c r="I1073" s="39">
        <f>414+71</f>
        <v>485</v>
      </c>
      <c r="J1073" s="39"/>
      <c r="K1073" s="39"/>
      <c r="L1073" s="39">
        <f t="shared" ref="L1073:L1074" si="731">SUM(I1073:K1073)</f>
        <v>485</v>
      </c>
      <c r="M1073" s="117">
        <v>46275</v>
      </c>
      <c r="N1073" s="117">
        <v>46282</v>
      </c>
      <c r="O1073" s="39"/>
      <c r="P1073" s="39"/>
      <c r="Q1073" s="39"/>
      <c r="R1073" s="39">
        <f>SUM(O1073:Q1073)</f>
        <v>0</v>
      </c>
      <c r="S1073" s="39" t="s">
        <v>130</v>
      </c>
      <c r="T1073" s="39"/>
      <c r="U1073" s="39"/>
      <c r="V1073" s="39"/>
      <c r="W1073" s="39"/>
      <c r="X1073" s="39"/>
      <c r="Y1073" s="39"/>
      <c r="Z1073" s="39"/>
      <c r="AA1073" s="39"/>
      <c r="AB1073" s="118">
        <f>SUM(Y1073:AA1073)</f>
        <v>0</v>
      </c>
      <c r="AC1073" s="39"/>
      <c r="AD1073" s="39"/>
      <c r="AE1073" s="39"/>
      <c r="AF1073" s="39"/>
      <c r="AG1073" s="39"/>
      <c r="AH1073" s="39">
        <f t="shared" si="557"/>
        <v>0</v>
      </c>
      <c r="AI1073" s="39"/>
      <c r="AJ1073" s="39"/>
      <c r="AK1073" s="39"/>
      <c r="AL1073" s="39"/>
      <c r="AM1073" s="39"/>
      <c r="AN1073" s="39">
        <f>AM1073-AK1073</f>
        <v>0</v>
      </c>
      <c r="AO1073" s="39"/>
      <c r="AP1073" s="39"/>
      <c r="AQ1073" s="39"/>
      <c r="AR1073" s="39"/>
      <c r="AS1073" s="39"/>
      <c r="AT1073" s="39">
        <f>AS1073-AQ1073</f>
        <v>0</v>
      </c>
      <c r="AU1073" s="39"/>
      <c r="AV1073" s="39"/>
      <c r="AW1073" s="39"/>
      <c r="AX1073" s="39"/>
      <c r="AY1073" s="39"/>
      <c r="AZ1073" s="39">
        <f>AY1073-AW1073</f>
        <v>0</v>
      </c>
      <c r="BA1073" s="39"/>
      <c r="BB1073" s="39"/>
      <c r="BC1073" s="39"/>
      <c r="BD1073" s="39"/>
      <c r="BE1073" s="39"/>
      <c r="BF1073" s="39">
        <f>BE1073-BC1073</f>
        <v>0</v>
      </c>
      <c r="BG1073" s="39"/>
      <c r="BH1073" s="39"/>
      <c r="BI1073" s="39"/>
      <c r="BJ1073" s="39"/>
      <c r="BK1073" s="39"/>
      <c r="BL1073" s="39">
        <f t="shared" si="558"/>
        <v>0</v>
      </c>
      <c r="BM1073" s="54">
        <f ca="1">IF((BZ1073/L1073)&lt;0.9,$CO$1-U1073,"")</f>
        <v>46283</v>
      </c>
      <c r="BN1073" s="62">
        <v>46287</v>
      </c>
      <c r="BO1073" s="117">
        <v>46304</v>
      </c>
      <c r="BP1073" s="39"/>
      <c r="BQ1073" s="39"/>
      <c r="BR1073" s="39"/>
      <c r="BS1073" s="39"/>
      <c r="BT1073" s="39"/>
      <c r="BU1073" s="39"/>
      <c r="BV1073" s="39"/>
      <c r="BW1073" s="39"/>
      <c r="BX1073" s="39"/>
      <c r="BY1073" s="39"/>
      <c r="BZ1073" s="39">
        <f t="shared" si="559"/>
        <v>0</v>
      </c>
      <c r="CA1073" s="39">
        <f>BU1073-I1073</f>
        <v>-485</v>
      </c>
      <c r="CB1073" s="39">
        <f>BW1073-J1073</f>
        <v>0</v>
      </c>
      <c r="CC1073" s="39">
        <f>BY1073-K1073</f>
        <v>0</v>
      </c>
      <c r="CD1073" s="39">
        <f t="shared" si="560"/>
        <v>-485</v>
      </c>
      <c r="CE1073" s="102">
        <f>CD1073/L1073</f>
        <v>-1</v>
      </c>
      <c r="CF1073" s="36"/>
      <c r="CG1073" s="39" t="s">
        <v>236</v>
      </c>
      <c r="CH1073" s="39"/>
      <c r="CI1073" s="25">
        <v>3</v>
      </c>
    </row>
    <row r="1074" spans="1:88" ht="24.75" customHeight="1">
      <c r="A1074" s="36" t="s">
        <v>85</v>
      </c>
      <c r="B1074" s="55">
        <v>48954</v>
      </c>
      <c r="C1074" s="231"/>
      <c r="D1074" s="36"/>
      <c r="E1074" s="39">
        <v>180</v>
      </c>
      <c r="F1074" s="39" t="s">
        <v>56</v>
      </c>
      <c r="G1074" s="36" t="s">
        <v>2228</v>
      </c>
      <c r="H1074" s="36" t="s">
        <v>87</v>
      </c>
      <c r="I1074" s="39">
        <f>469+137</f>
        <v>606</v>
      </c>
      <c r="J1074" s="39"/>
      <c r="K1074" s="39"/>
      <c r="L1074" s="39">
        <f t="shared" si="731"/>
        <v>606</v>
      </c>
      <c r="M1074" s="117">
        <v>46275</v>
      </c>
      <c r="N1074" s="117">
        <v>46282</v>
      </c>
      <c r="O1074" s="39"/>
      <c r="P1074" s="39"/>
      <c r="Q1074" s="39"/>
      <c r="R1074" s="39">
        <f t="shared" ref="R1074:R1076" si="732">SUM(O1074:Q1074)</f>
        <v>0</v>
      </c>
      <c r="S1074" s="39" t="s">
        <v>130</v>
      </c>
      <c r="T1074" s="39"/>
      <c r="U1074" s="39"/>
      <c r="V1074" s="39"/>
      <c r="W1074" s="39"/>
      <c r="X1074" s="39"/>
      <c r="Y1074" s="39"/>
      <c r="Z1074" s="39"/>
      <c r="AA1074" s="39"/>
      <c r="AB1074" s="118">
        <f t="shared" ref="AB1074:AB1076" si="733">SUM(Y1074:AA1074)</f>
        <v>0</v>
      </c>
      <c r="AC1074" s="39"/>
      <c r="AD1074" s="39"/>
      <c r="AE1074" s="39"/>
      <c r="AF1074" s="39"/>
      <c r="AG1074" s="39"/>
      <c r="AH1074" s="39">
        <f t="shared" si="557"/>
        <v>0</v>
      </c>
      <c r="AI1074" s="39"/>
      <c r="AJ1074" s="39"/>
      <c r="AK1074" s="39"/>
      <c r="AL1074" s="39"/>
      <c r="AM1074" s="39"/>
      <c r="AN1074" s="39">
        <f t="shared" ref="AN1074:AN1076" si="734">AM1074-AK1074</f>
        <v>0</v>
      </c>
      <c r="AO1074" s="39"/>
      <c r="AP1074" s="39"/>
      <c r="AQ1074" s="39"/>
      <c r="AR1074" s="39"/>
      <c r="AS1074" s="39"/>
      <c r="AT1074" s="39">
        <f t="shared" ref="AT1074:AT1076" si="735">AS1074-AQ1074</f>
        <v>0</v>
      </c>
      <c r="AU1074" s="39"/>
      <c r="AV1074" s="39"/>
      <c r="AW1074" s="39"/>
      <c r="AX1074" s="39"/>
      <c r="AY1074" s="39"/>
      <c r="AZ1074" s="39">
        <f t="shared" ref="AZ1074:AZ1076" si="736">AY1074-AW1074</f>
        <v>0</v>
      </c>
      <c r="BA1074" s="39"/>
      <c r="BB1074" s="39"/>
      <c r="BC1074" s="39"/>
      <c r="BD1074" s="39"/>
      <c r="BE1074" s="39"/>
      <c r="BF1074" s="39">
        <f t="shared" ref="BF1074:BF1076" si="737">BE1074-BC1074</f>
        <v>0</v>
      </c>
      <c r="BG1074" s="39"/>
      <c r="BH1074" s="39"/>
      <c r="BI1074" s="39"/>
      <c r="BJ1074" s="39"/>
      <c r="BK1074" s="39"/>
      <c r="BL1074" s="39">
        <f t="shared" si="558"/>
        <v>0</v>
      </c>
      <c r="BM1074" s="54">
        <f t="shared" ref="BM1074:BM1076" ca="1" si="738">IF((BZ1074/L1074)&lt;0.9,$CO$1-U1074,"")</f>
        <v>46283</v>
      </c>
      <c r="BN1074" s="62">
        <v>46287</v>
      </c>
      <c r="BO1074" s="117">
        <v>46304</v>
      </c>
      <c r="BP1074" s="39"/>
      <c r="BQ1074" s="39"/>
      <c r="BR1074" s="39"/>
      <c r="BS1074" s="39"/>
      <c r="BT1074" s="39"/>
      <c r="BU1074" s="39"/>
      <c r="BV1074" s="39"/>
      <c r="BW1074" s="39"/>
      <c r="BX1074" s="39"/>
      <c r="BY1074" s="39"/>
      <c r="BZ1074" s="39">
        <f t="shared" si="559"/>
        <v>0</v>
      </c>
      <c r="CA1074" s="39">
        <f t="shared" ref="CA1074:CA1075" si="739">BU1074-I1074</f>
        <v>-606</v>
      </c>
      <c r="CB1074" s="39">
        <f t="shared" ref="CB1074:CB1075" si="740">BW1074-J1074</f>
        <v>0</v>
      </c>
      <c r="CC1074" s="39">
        <f t="shared" ref="CC1074:CC1075" si="741">BY1074-K1074</f>
        <v>0</v>
      </c>
      <c r="CD1074" s="39">
        <f t="shared" si="560"/>
        <v>-606</v>
      </c>
      <c r="CE1074" s="102">
        <f t="shared" ref="CE1074:CE1075" si="742">CD1074/L1074</f>
        <v>-1</v>
      </c>
      <c r="CF1074" s="36"/>
      <c r="CG1074" s="39" t="s">
        <v>236</v>
      </c>
      <c r="CH1074" s="39"/>
      <c r="CI1074" s="25">
        <v>3</v>
      </c>
    </row>
    <row r="1075" spans="1:88" ht="24.75" customHeight="1">
      <c r="A1075" s="36" t="s">
        <v>85</v>
      </c>
      <c r="B1075" s="55">
        <v>48954</v>
      </c>
      <c r="C1075" s="231"/>
      <c r="D1075" s="36"/>
      <c r="E1075" s="39">
        <v>180</v>
      </c>
      <c r="F1075" s="39" t="s">
        <v>56</v>
      </c>
      <c r="G1075" s="36" t="s">
        <v>2570</v>
      </c>
      <c r="H1075" s="36" t="s">
        <v>87</v>
      </c>
      <c r="I1075" s="39">
        <f>163+26</f>
        <v>189</v>
      </c>
      <c r="J1075" s="39"/>
      <c r="K1075" s="39"/>
      <c r="L1075" s="39">
        <f t="shared" ref="L1075:L1076" si="743">SUM(I1075:K1075)</f>
        <v>189</v>
      </c>
      <c r="M1075" s="117">
        <v>46275</v>
      </c>
      <c r="N1075" s="117">
        <v>46282</v>
      </c>
      <c r="O1075" s="39"/>
      <c r="P1075" s="39"/>
      <c r="Q1075" s="39"/>
      <c r="R1075" s="39">
        <f t="shared" si="732"/>
        <v>0</v>
      </c>
      <c r="S1075" s="39" t="s">
        <v>130</v>
      </c>
      <c r="T1075" s="39"/>
      <c r="U1075" s="39"/>
      <c r="V1075" s="39"/>
      <c r="W1075" s="39"/>
      <c r="X1075" s="39"/>
      <c r="Y1075" s="39"/>
      <c r="Z1075" s="39"/>
      <c r="AA1075" s="39"/>
      <c r="AB1075" s="118">
        <f t="shared" si="733"/>
        <v>0</v>
      </c>
      <c r="AC1075" s="39"/>
      <c r="AD1075" s="39"/>
      <c r="AE1075" s="39"/>
      <c r="AF1075" s="39"/>
      <c r="AG1075" s="39"/>
      <c r="AH1075" s="39">
        <f t="shared" si="557"/>
        <v>0</v>
      </c>
      <c r="AI1075" s="39"/>
      <c r="AJ1075" s="39"/>
      <c r="AK1075" s="39"/>
      <c r="AL1075" s="39"/>
      <c r="AM1075" s="39"/>
      <c r="AN1075" s="39">
        <f t="shared" si="734"/>
        <v>0</v>
      </c>
      <c r="AO1075" s="39"/>
      <c r="AP1075" s="39"/>
      <c r="AQ1075" s="39"/>
      <c r="AR1075" s="39"/>
      <c r="AS1075" s="39"/>
      <c r="AT1075" s="39">
        <f t="shared" si="735"/>
        <v>0</v>
      </c>
      <c r="AU1075" s="39"/>
      <c r="AV1075" s="39"/>
      <c r="AW1075" s="39"/>
      <c r="AX1075" s="39"/>
      <c r="AY1075" s="39"/>
      <c r="AZ1075" s="39">
        <f t="shared" si="736"/>
        <v>0</v>
      </c>
      <c r="BA1075" s="39"/>
      <c r="BB1075" s="39"/>
      <c r="BC1075" s="39"/>
      <c r="BD1075" s="39"/>
      <c r="BE1075" s="39"/>
      <c r="BF1075" s="39">
        <f t="shared" si="737"/>
        <v>0</v>
      </c>
      <c r="BG1075" s="39"/>
      <c r="BH1075" s="39"/>
      <c r="BI1075" s="39"/>
      <c r="BJ1075" s="39"/>
      <c r="BK1075" s="39"/>
      <c r="BL1075" s="39">
        <f t="shared" si="558"/>
        <v>0</v>
      </c>
      <c r="BM1075" s="54">
        <f t="shared" ca="1" si="738"/>
        <v>46283</v>
      </c>
      <c r="BN1075" s="62">
        <v>46287</v>
      </c>
      <c r="BO1075" s="117">
        <v>46304</v>
      </c>
      <c r="BP1075" s="39"/>
      <c r="BQ1075" s="39"/>
      <c r="BR1075" s="39"/>
      <c r="BS1075" s="39"/>
      <c r="BT1075" s="39"/>
      <c r="BU1075" s="39"/>
      <c r="BV1075" s="39"/>
      <c r="BW1075" s="39"/>
      <c r="BX1075" s="39"/>
      <c r="BY1075" s="39"/>
      <c r="BZ1075" s="39">
        <f t="shared" si="559"/>
        <v>0</v>
      </c>
      <c r="CA1075" s="39">
        <f t="shared" si="739"/>
        <v>-189</v>
      </c>
      <c r="CB1075" s="39">
        <f t="shared" si="740"/>
        <v>0</v>
      </c>
      <c r="CC1075" s="39">
        <f t="shared" si="741"/>
        <v>0</v>
      </c>
      <c r="CD1075" s="39">
        <f t="shared" si="560"/>
        <v>-189</v>
      </c>
      <c r="CE1075" s="102">
        <f t="shared" si="742"/>
        <v>-1</v>
      </c>
      <c r="CF1075" s="36"/>
      <c r="CG1075" s="39" t="s">
        <v>236</v>
      </c>
      <c r="CH1075" s="39"/>
      <c r="CI1075" s="25">
        <v>3</v>
      </c>
    </row>
    <row r="1076" spans="1:88" ht="24.75" customHeight="1">
      <c r="A1076" s="36" t="s">
        <v>85</v>
      </c>
      <c r="B1076" s="55">
        <v>48954</v>
      </c>
      <c r="C1076" s="228"/>
      <c r="D1076" s="36"/>
      <c r="E1076" s="39">
        <v>180</v>
      </c>
      <c r="F1076" s="39" t="s">
        <v>56</v>
      </c>
      <c r="G1076" s="36" t="s">
        <v>2754</v>
      </c>
      <c r="H1076" s="36" t="s">
        <v>87</v>
      </c>
      <c r="I1076" s="39">
        <f>183+52</f>
        <v>235</v>
      </c>
      <c r="J1076" s="39"/>
      <c r="K1076" s="39"/>
      <c r="L1076" s="39">
        <f t="shared" si="743"/>
        <v>235</v>
      </c>
      <c r="M1076" s="117">
        <v>46275</v>
      </c>
      <c r="N1076" s="117">
        <v>46282</v>
      </c>
      <c r="O1076" s="39"/>
      <c r="P1076" s="39"/>
      <c r="Q1076" s="39"/>
      <c r="R1076" s="39">
        <f t="shared" si="732"/>
        <v>0</v>
      </c>
      <c r="S1076" s="39" t="s">
        <v>130</v>
      </c>
      <c r="T1076" s="39"/>
      <c r="U1076" s="39"/>
      <c r="V1076" s="39"/>
      <c r="W1076" s="39"/>
      <c r="X1076" s="39"/>
      <c r="Y1076" s="39"/>
      <c r="Z1076" s="39"/>
      <c r="AA1076" s="39"/>
      <c r="AB1076" s="118">
        <f t="shared" si="733"/>
        <v>0</v>
      </c>
      <c r="AC1076" s="39"/>
      <c r="AD1076" s="39"/>
      <c r="AE1076" s="39"/>
      <c r="AF1076" s="39"/>
      <c r="AG1076" s="39"/>
      <c r="AH1076" s="39">
        <f t="shared" si="557"/>
        <v>0</v>
      </c>
      <c r="AI1076" s="39"/>
      <c r="AJ1076" s="39"/>
      <c r="AK1076" s="39"/>
      <c r="AL1076" s="39"/>
      <c r="AM1076" s="39"/>
      <c r="AN1076" s="39">
        <f t="shared" si="734"/>
        <v>0</v>
      </c>
      <c r="AO1076" s="39"/>
      <c r="AP1076" s="39"/>
      <c r="AQ1076" s="39"/>
      <c r="AR1076" s="39"/>
      <c r="AS1076" s="39"/>
      <c r="AT1076" s="39">
        <f t="shared" si="735"/>
        <v>0</v>
      </c>
      <c r="AU1076" s="39"/>
      <c r="AV1076" s="39"/>
      <c r="AW1076" s="39"/>
      <c r="AX1076" s="39"/>
      <c r="AY1076" s="39"/>
      <c r="AZ1076" s="39">
        <f t="shared" si="736"/>
        <v>0</v>
      </c>
      <c r="BA1076" s="39"/>
      <c r="BB1076" s="39"/>
      <c r="BC1076" s="39"/>
      <c r="BD1076" s="39"/>
      <c r="BE1076" s="39"/>
      <c r="BF1076" s="39">
        <f t="shared" si="737"/>
        <v>0</v>
      </c>
      <c r="BG1076" s="39"/>
      <c r="BH1076" s="39"/>
      <c r="BI1076" s="39"/>
      <c r="BJ1076" s="39"/>
      <c r="BK1076" s="39"/>
      <c r="BL1076" s="39">
        <f t="shared" si="558"/>
        <v>0</v>
      </c>
      <c r="BM1076" s="54">
        <f t="shared" ca="1" si="738"/>
        <v>46283</v>
      </c>
      <c r="BN1076" s="62">
        <v>46287</v>
      </c>
      <c r="BO1076" s="117">
        <v>46304</v>
      </c>
      <c r="BP1076" s="39"/>
      <c r="BQ1076" s="39"/>
      <c r="BR1076" s="39"/>
      <c r="BS1076" s="39"/>
      <c r="BT1076" s="39"/>
      <c r="BU1076" s="39"/>
      <c r="BV1076" s="39"/>
      <c r="BW1076" s="39"/>
      <c r="BX1076" s="39"/>
      <c r="BY1076" s="39"/>
      <c r="BZ1076" s="39">
        <f t="shared" si="559"/>
        <v>0</v>
      </c>
      <c r="CA1076" s="39">
        <f>BU1076-I1076</f>
        <v>-235</v>
      </c>
      <c r="CB1076" s="39">
        <f>BW1076-J1076</f>
        <v>0</v>
      </c>
      <c r="CC1076" s="39">
        <f>BY1076-K1076</f>
        <v>0</v>
      </c>
      <c r="CD1076" s="39">
        <f t="shared" si="560"/>
        <v>-235</v>
      </c>
      <c r="CE1076" s="102">
        <f>CD1076/L1076</f>
        <v>-1</v>
      </c>
      <c r="CF1076" s="36"/>
      <c r="CG1076" s="39" t="s">
        <v>236</v>
      </c>
      <c r="CH1076" s="39"/>
      <c r="CI1076" s="25">
        <v>3</v>
      </c>
    </row>
    <row r="1077" spans="1:88" ht="24.75" customHeight="1">
      <c r="A1077" s="36" t="s">
        <v>85</v>
      </c>
      <c r="B1077" s="55"/>
      <c r="C1077" s="36"/>
      <c r="D1077" s="36"/>
      <c r="E1077" s="39"/>
      <c r="F1077" s="39"/>
      <c r="G1077" s="36"/>
      <c r="H1077" s="39"/>
      <c r="I1077" s="39"/>
      <c r="J1077" s="39"/>
      <c r="K1077" s="39"/>
      <c r="L1077" s="39">
        <f t="shared" si="582"/>
        <v>0</v>
      </c>
      <c r="M1077" s="39"/>
      <c r="N1077" s="39"/>
      <c r="O1077" s="39"/>
      <c r="P1077" s="39"/>
      <c r="Q1077" s="39"/>
      <c r="R1077" s="39">
        <f t="shared" si="583"/>
        <v>0</v>
      </c>
      <c r="S1077" s="39"/>
      <c r="T1077" s="39"/>
      <c r="U1077" s="39"/>
      <c r="V1077" s="39"/>
      <c r="W1077" s="39"/>
      <c r="X1077" s="39"/>
      <c r="Y1077" s="39"/>
      <c r="Z1077" s="39"/>
      <c r="AA1077" s="39"/>
      <c r="AB1077" s="39">
        <f t="shared" si="584"/>
        <v>0</v>
      </c>
      <c r="AC1077" s="39"/>
      <c r="AD1077" s="39"/>
      <c r="AE1077" s="39"/>
      <c r="AF1077" s="39"/>
      <c r="AG1077" s="39"/>
      <c r="AH1077" s="39">
        <f t="shared" si="557"/>
        <v>0</v>
      </c>
      <c r="AI1077" s="39"/>
      <c r="AJ1077" s="39"/>
      <c r="AK1077" s="39"/>
      <c r="AL1077" s="39"/>
      <c r="AM1077" s="39"/>
      <c r="AN1077" s="39">
        <f t="shared" si="691"/>
        <v>0</v>
      </c>
      <c r="AO1077" s="39"/>
      <c r="AP1077" s="39"/>
      <c r="AQ1077" s="39"/>
      <c r="AR1077" s="39"/>
      <c r="AS1077" s="39"/>
      <c r="AT1077" s="39">
        <f t="shared" si="659"/>
        <v>0</v>
      </c>
      <c r="AU1077" s="39"/>
      <c r="AV1077" s="39"/>
      <c r="AW1077" s="39"/>
      <c r="AX1077" s="39"/>
      <c r="AY1077" s="39"/>
      <c r="AZ1077" s="39">
        <f t="shared" si="660"/>
        <v>0</v>
      </c>
      <c r="BA1077" s="39"/>
      <c r="BB1077" s="39"/>
      <c r="BC1077" s="39"/>
      <c r="BD1077" s="39"/>
      <c r="BE1077" s="39"/>
      <c r="BF1077" s="39">
        <f t="shared" si="661"/>
        <v>0</v>
      </c>
      <c r="BG1077" s="39"/>
      <c r="BH1077" s="39"/>
      <c r="BI1077" s="39"/>
      <c r="BJ1077" s="39"/>
      <c r="BK1077" s="39"/>
      <c r="BL1077" s="39">
        <f t="shared" si="558"/>
        <v>0</v>
      </c>
      <c r="BM1077" s="54" t="e">
        <f t="shared" si="662"/>
        <v>#DIV/0!</v>
      </c>
      <c r="BN1077" s="63"/>
      <c r="BO1077" s="39"/>
      <c r="BP1077" s="39"/>
      <c r="BQ1077" s="39"/>
      <c r="BR1077" s="39"/>
      <c r="BS1077" s="39"/>
      <c r="BT1077" s="39"/>
      <c r="BU1077" s="39"/>
      <c r="BV1077" s="39"/>
      <c r="BW1077" s="39"/>
      <c r="BX1077" s="39"/>
      <c r="BY1077" s="39"/>
      <c r="BZ1077" s="39">
        <f t="shared" si="559"/>
        <v>0</v>
      </c>
      <c r="CA1077" s="39">
        <f t="shared" si="663"/>
        <v>0</v>
      </c>
      <c r="CB1077" s="39">
        <f t="shared" si="664"/>
        <v>0</v>
      </c>
      <c r="CC1077" s="39">
        <f t="shared" si="665"/>
        <v>0</v>
      </c>
      <c r="CD1077" s="39">
        <f t="shared" si="560"/>
        <v>0</v>
      </c>
      <c r="CE1077" s="47" t="e">
        <f t="shared" si="666"/>
        <v>#DIV/0!</v>
      </c>
      <c r="CF1077" s="36"/>
      <c r="CG1077" s="39"/>
      <c r="CH1077" s="39"/>
      <c r="CI1077" s="25">
        <v>3</v>
      </c>
    </row>
    <row r="1078" spans="1:88" ht="24.75" customHeight="1">
      <c r="A1078" s="36" t="s">
        <v>85</v>
      </c>
      <c r="B1078" s="55"/>
      <c r="C1078" s="36"/>
      <c r="D1078" s="36"/>
      <c r="E1078" s="39"/>
      <c r="F1078" s="39"/>
      <c r="G1078" s="36"/>
      <c r="H1078" s="39"/>
      <c r="I1078" s="39"/>
      <c r="J1078" s="39"/>
      <c r="K1078" s="39"/>
      <c r="L1078" s="39">
        <f t="shared" si="582"/>
        <v>0</v>
      </c>
      <c r="M1078" s="39"/>
      <c r="N1078" s="39"/>
      <c r="O1078" s="39"/>
      <c r="P1078" s="39"/>
      <c r="Q1078" s="39"/>
      <c r="R1078" s="39">
        <f t="shared" si="583"/>
        <v>0</v>
      </c>
      <c r="S1078" s="39"/>
      <c r="T1078" s="39"/>
      <c r="U1078" s="39"/>
      <c r="V1078" s="39"/>
      <c r="W1078" s="39"/>
      <c r="X1078" s="39"/>
      <c r="Y1078" s="39"/>
      <c r="Z1078" s="39"/>
      <c r="AA1078" s="39"/>
      <c r="AB1078" s="39">
        <f t="shared" si="584"/>
        <v>0</v>
      </c>
      <c r="AC1078" s="39"/>
      <c r="AD1078" s="39"/>
      <c r="AE1078" s="39"/>
      <c r="AF1078" s="39"/>
      <c r="AG1078" s="39"/>
      <c r="AH1078" s="39">
        <f t="shared" si="557"/>
        <v>0</v>
      </c>
      <c r="AI1078" s="39"/>
      <c r="AJ1078" s="39"/>
      <c r="AK1078" s="39"/>
      <c r="AL1078" s="39"/>
      <c r="AM1078" s="39"/>
      <c r="AN1078" s="39">
        <f t="shared" si="691"/>
        <v>0</v>
      </c>
      <c r="AO1078" s="39"/>
      <c r="AP1078" s="39"/>
      <c r="AQ1078" s="39"/>
      <c r="AR1078" s="39"/>
      <c r="AS1078" s="39"/>
      <c r="AT1078" s="39">
        <f t="shared" si="659"/>
        <v>0</v>
      </c>
      <c r="AU1078" s="39"/>
      <c r="AV1078" s="39"/>
      <c r="AW1078" s="39"/>
      <c r="AX1078" s="39"/>
      <c r="AY1078" s="39"/>
      <c r="AZ1078" s="39">
        <f t="shared" si="660"/>
        <v>0</v>
      </c>
      <c r="BA1078" s="39"/>
      <c r="BB1078" s="39"/>
      <c r="BC1078" s="39"/>
      <c r="BD1078" s="39"/>
      <c r="BE1078" s="39"/>
      <c r="BF1078" s="39">
        <f t="shared" si="661"/>
        <v>0</v>
      </c>
      <c r="BG1078" s="39"/>
      <c r="BH1078" s="39"/>
      <c r="BI1078" s="39"/>
      <c r="BJ1078" s="39"/>
      <c r="BK1078" s="39"/>
      <c r="BL1078" s="39">
        <f t="shared" si="558"/>
        <v>0</v>
      </c>
      <c r="BM1078" s="54" t="e">
        <f t="shared" si="662"/>
        <v>#DIV/0!</v>
      </c>
      <c r="BN1078" s="63"/>
      <c r="BO1078" s="39"/>
      <c r="BP1078" s="39"/>
      <c r="BQ1078" s="39"/>
      <c r="BR1078" s="39"/>
      <c r="BS1078" s="39"/>
      <c r="BT1078" s="39"/>
      <c r="BU1078" s="39"/>
      <c r="BV1078" s="39"/>
      <c r="BW1078" s="39"/>
      <c r="BX1078" s="39"/>
      <c r="BY1078" s="39"/>
      <c r="BZ1078" s="39">
        <f t="shared" si="559"/>
        <v>0</v>
      </c>
      <c r="CA1078" s="39">
        <f t="shared" si="663"/>
        <v>0</v>
      </c>
      <c r="CB1078" s="39">
        <f t="shared" si="664"/>
        <v>0</v>
      </c>
      <c r="CC1078" s="39">
        <f t="shared" si="665"/>
        <v>0</v>
      </c>
      <c r="CD1078" s="39">
        <f t="shared" si="560"/>
        <v>0</v>
      </c>
      <c r="CE1078" s="47" t="e">
        <f t="shared" si="666"/>
        <v>#DIV/0!</v>
      </c>
      <c r="CF1078" s="36"/>
      <c r="CG1078" s="39"/>
      <c r="CH1078" s="39"/>
      <c r="CI1078" s="25">
        <v>3</v>
      </c>
      <c r="CJ1078" s="6" t="s">
        <v>19</v>
      </c>
    </row>
    <row r="1079" spans="1:88" ht="24.75" customHeight="1">
      <c r="A1079" s="36" t="s">
        <v>85</v>
      </c>
      <c r="B1079" s="55"/>
      <c r="C1079" s="36"/>
      <c r="D1079" s="36"/>
      <c r="E1079" s="39"/>
      <c r="F1079" s="39"/>
      <c r="G1079" s="36"/>
      <c r="H1079" s="39"/>
      <c r="I1079" s="39"/>
      <c r="J1079" s="39"/>
      <c r="K1079" s="39"/>
      <c r="L1079" s="39">
        <f t="shared" si="582"/>
        <v>0</v>
      </c>
      <c r="M1079" s="39"/>
      <c r="N1079" s="39"/>
      <c r="O1079" s="39"/>
      <c r="P1079" s="39"/>
      <c r="Q1079" s="39"/>
      <c r="R1079" s="39">
        <f t="shared" si="583"/>
        <v>0</v>
      </c>
      <c r="S1079" s="39"/>
      <c r="T1079" s="39"/>
      <c r="U1079" s="39"/>
      <c r="V1079" s="39"/>
      <c r="W1079" s="39"/>
      <c r="X1079" s="39"/>
      <c r="Y1079" s="39"/>
      <c r="Z1079" s="39"/>
      <c r="AA1079" s="39"/>
      <c r="AB1079" s="39">
        <f t="shared" si="584"/>
        <v>0</v>
      </c>
      <c r="AC1079" s="39"/>
      <c r="AD1079" s="39"/>
      <c r="AE1079" s="39"/>
      <c r="AF1079" s="39"/>
      <c r="AG1079" s="39"/>
      <c r="AH1079" s="39">
        <f t="shared" si="557"/>
        <v>0</v>
      </c>
      <c r="AI1079" s="39"/>
      <c r="AJ1079" s="39"/>
      <c r="AK1079" s="39"/>
      <c r="AL1079" s="39"/>
      <c r="AM1079" s="39"/>
      <c r="AN1079" s="39">
        <f t="shared" si="691"/>
        <v>0</v>
      </c>
      <c r="AO1079" s="39"/>
      <c r="AP1079" s="39"/>
      <c r="AQ1079" s="39"/>
      <c r="AR1079" s="39"/>
      <c r="AS1079" s="39"/>
      <c r="AT1079" s="39">
        <f t="shared" si="659"/>
        <v>0</v>
      </c>
      <c r="AU1079" s="39"/>
      <c r="AV1079" s="39"/>
      <c r="AW1079" s="39"/>
      <c r="AX1079" s="39"/>
      <c r="AY1079" s="39"/>
      <c r="AZ1079" s="39">
        <f t="shared" si="660"/>
        <v>0</v>
      </c>
      <c r="BA1079" s="39"/>
      <c r="BB1079" s="39"/>
      <c r="BC1079" s="39"/>
      <c r="BD1079" s="39"/>
      <c r="BE1079" s="39"/>
      <c r="BF1079" s="39">
        <f t="shared" si="661"/>
        <v>0</v>
      </c>
      <c r="BG1079" s="39"/>
      <c r="BH1079" s="39"/>
      <c r="BI1079" s="39"/>
      <c r="BJ1079" s="39"/>
      <c r="BK1079" s="39"/>
      <c r="BL1079" s="39">
        <f t="shared" si="558"/>
        <v>0</v>
      </c>
      <c r="BM1079" s="54" t="e">
        <f t="shared" si="662"/>
        <v>#DIV/0!</v>
      </c>
      <c r="BN1079" s="63"/>
      <c r="BO1079" s="39"/>
      <c r="BP1079" s="39"/>
      <c r="BQ1079" s="39"/>
      <c r="BR1079" s="39"/>
      <c r="BS1079" s="39"/>
      <c r="BT1079" s="39"/>
      <c r="BU1079" s="39"/>
      <c r="BV1079" s="39"/>
      <c r="BW1079" s="39"/>
      <c r="BX1079" s="39"/>
      <c r="BY1079" s="39"/>
      <c r="BZ1079" s="39">
        <f t="shared" si="559"/>
        <v>0</v>
      </c>
      <c r="CA1079" s="39">
        <f t="shared" si="663"/>
        <v>0</v>
      </c>
      <c r="CB1079" s="39">
        <f t="shared" si="664"/>
        <v>0</v>
      </c>
      <c r="CC1079" s="39">
        <f t="shared" si="665"/>
        <v>0</v>
      </c>
      <c r="CD1079" s="39">
        <f t="shared" si="560"/>
        <v>0</v>
      </c>
      <c r="CE1079" s="47" t="e">
        <f t="shared" si="666"/>
        <v>#DIV/0!</v>
      </c>
      <c r="CF1079" s="36"/>
      <c r="CG1079" s="39"/>
      <c r="CH1079" s="39"/>
      <c r="CI1079" s="25">
        <v>3</v>
      </c>
    </row>
    <row r="1080" spans="1:88" ht="24.75" customHeight="1">
      <c r="A1080" s="36" t="s">
        <v>85</v>
      </c>
      <c r="B1080" s="55"/>
      <c r="C1080" s="36"/>
      <c r="D1080" s="36"/>
      <c r="E1080" s="39"/>
      <c r="F1080" s="39"/>
      <c r="G1080" s="36"/>
      <c r="H1080" s="39"/>
      <c r="I1080" s="39"/>
      <c r="J1080" s="39"/>
      <c r="K1080" s="39"/>
      <c r="L1080" s="39">
        <f>SUM(I1080:K1080)</f>
        <v>0</v>
      </c>
      <c r="M1080" s="39"/>
      <c r="N1080" s="39"/>
      <c r="O1080" s="39"/>
      <c r="P1080" s="39"/>
      <c r="Q1080" s="39"/>
      <c r="R1080" s="39">
        <f>SUM(O1080:Q1080)</f>
        <v>0</v>
      </c>
      <c r="S1080" s="39"/>
      <c r="T1080" s="39"/>
      <c r="U1080" s="39"/>
      <c r="V1080" s="39"/>
      <c r="W1080" s="39"/>
      <c r="X1080" s="39"/>
      <c r="Y1080" s="39"/>
      <c r="Z1080" s="39"/>
      <c r="AA1080" s="39"/>
      <c r="AB1080" s="39">
        <f>SUM(Y1080:AA1080)</f>
        <v>0</v>
      </c>
      <c r="AC1080" s="39"/>
      <c r="AD1080" s="39"/>
      <c r="AE1080" s="39"/>
      <c r="AF1080" s="39"/>
      <c r="AG1080" s="39"/>
      <c r="AH1080" s="39">
        <f t="shared" si="557"/>
        <v>0</v>
      </c>
      <c r="AI1080" s="39"/>
      <c r="AJ1080" s="39"/>
      <c r="AK1080" s="39"/>
      <c r="AL1080" s="39"/>
      <c r="AM1080" s="39"/>
      <c r="AN1080" s="39">
        <f>AM1080-AK1080</f>
        <v>0</v>
      </c>
      <c r="AO1080" s="39"/>
      <c r="AP1080" s="39"/>
      <c r="AQ1080" s="39"/>
      <c r="AR1080" s="39"/>
      <c r="AS1080" s="39"/>
      <c r="AT1080" s="39">
        <f>AS1080-AQ1080</f>
        <v>0</v>
      </c>
      <c r="AU1080" s="39"/>
      <c r="AV1080" s="39"/>
      <c r="AW1080" s="39"/>
      <c r="AX1080" s="39"/>
      <c r="AY1080" s="39"/>
      <c r="AZ1080" s="39">
        <f>AY1080-AW1080</f>
        <v>0</v>
      </c>
      <c r="BA1080" s="39"/>
      <c r="BB1080" s="39"/>
      <c r="BC1080" s="39"/>
      <c r="BD1080" s="39"/>
      <c r="BE1080" s="39"/>
      <c r="BF1080" s="39">
        <f>BE1080-BC1080</f>
        <v>0</v>
      </c>
      <c r="BG1080" s="39"/>
      <c r="BH1080" s="39"/>
      <c r="BI1080" s="39"/>
      <c r="BJ1080" s="39"/>
      <c r="BK1080" s="39"/>
      <c r="BL1080" s="39">
        <f t="shared" si="558"/>
        <v>0</v>
      </c>
      <c r="BM1080" s="54" t="e">
        <f>IF((BZ1080/L1080)&lt;0.9,$CO$1-U1080,"")</f>
        <v>#DIV/0!</v>
      </c>
      <c r="BN1080" s="63"/>
      <c r="BO1080" s="39"/>
      <c r="BP1080" s="39"/>
      <c r="BQ1080" s="39"/>
      <c r="BR1080" s="39"/>
      <c r="BS1080" s="39"/>
      <c r="BT1080" s="39"/>
      <c r="BU1080" s="39"/>
      <c r="BV1080" s="39"/>
      <c r="BW1080" s="39"/>
      <c r="BX1080" s="39"/>
      <c r="BY1080" s="39"/>
      <c r="BZ1080" s="39">
        <f t="shared" si="559"/>
        <v>0</v>
      </c>
      <c r="CA1080" s="39">
        <f>BU1080-I1080</f>
        <v>0</v>
      </c>
      <c r="CB1080" s="39">
        <f>BW1080-J1080</f>
        <v>0</v>
      </c>
      <c r="CC1080" s="39">
        <f>BY1080-K1080</f>
        <v>0</v>
      </c>
      <c r="CD1080" s="39">
        <f t="shared" si="560"/>
        <v>0</v>
      </c>
      <c r="CE1080" s="47" t="e">
        <f>CD1080/L1080</f>
        <v>#DIV/0!</v>
      </c>
      <c r="CF1080" s="36"/>
      <c r="CG1080" s="39"/>
      <c r="CH1080" s="39"/>
      <c r="CI1080" s="25">
        <v>3</v>
      </c>
    </row>
    <row r="1081" spans="1:88" ht="24.75" customHeight="1">
      <c r="A1081" s="36" t="s">
        <v>85</v>
      </c>
      <c r="B1081" s="55"/>
      <c r="C1081" s="36"/>
      <c r="D1081" s="36"/>
      <c r="E1081" s="39"/>
      <c r="F1081" s="39"/>
      <c r="G1081" s="36"/>
      <c r="H1081" s="39"/>
      <c r="I1081" s="39"/>
      <c r="J1081" s="39"/>
      <c r="K1081" s="39"/>
      <c r="L1081" s="39">
        <f t="shared" si="582"/>
        <v>0</v>
      </c>
      <c r="M1081" s="39"/>
      <c r="N1081" s="39"/>
      <c r="O1081" s="39"/>
      <c r="P1081" s="39"/>
      <c r="Q1081" s="39"/>
      <c r="R1081" s="39">
        <f t="shared" si="583"/>
        <v>0</v>
      </c>
      <c r="S1081" s="39"/>
      <c r="T1081" s="39"/>
      <c r="U1081" s="39"/>
      <c r="V1081" s="39"/>
      <c r="W1081" s="39"/>
      <c r="X1081" s="39"/>
      <c r="Y1081" s="39"/>
      <c r="Z1081" s="39"/>
      <c r="AA1081" s="39"/>
      <c r="AB1081" s="39">
        <f t="shared" si="584"/>
        <v>0</v>
      </c>
      <c r="AC1081" s="39"/>
      <c r="AD1081" s="39"/>
      <c r="AE1081" s="39"/>
      <c r="AF1081" s="39"/>
      <c r="AG1081" s="39"/>
      <c r="AH1081" s="39">
        <f t="shared" si="557"/>
        <v>0</v>
      </c>
      <c r="AI1081" s="39"/>
      <c r="AJ1081" s="39"/>
      <c r="AK1081" s="39"/>
      <c r="AL1081" s="39"/>
      <c r="AM1081" s="39"/>
      <c r="AN1081" s="39">
        <f t="shared" ref="AN1081:AN1195" si="744">AM1081-AK1081</f>
        <v>0</v>
      </c>
      <c r="AO1081" s="39"/>
      <c r="AP1081" s="39"/>
      <c r="AQ1081" s="39"/>
      <c r="AR1081" s="39"/>
      <c r="AS1081" s="39"/>
      <c r="AT1081" s="39">
        <f t="shared" si="659"/>
        <v>0</v>
      </c>
      <c r="AU1081" s="39"/>
      <c r="AV1081" s="39"/>
      <c r="AW1081" s="39"/>
      <c r="AX1081" s="39"/>
      <c r="AY1081" s="39"/>
      <c r="AZ1081" s="39">
        <f t="shared" si="660"/>
        <v>0</v>
      </c>
      <c r="BA1081" s="39"/>
      <c r="BB1081" s="39"/>
      <c r="BC1081" s="39"/>
      <c r="BD1081" s="39"/>
      <c r="BE1081" s="39"/>
      <c r="BF1081" s="39">
        <f t="shared" si="661"/>
        <v>0</v>
      </c>
      <c r="BG1081" s="39"/>
      <c r="BH1081" s="39"/>
      <c r="BI1081" s="39"/>
      <c r="BJ1081" s="39"/>
      <c r="BK1081" s="39"/>
      <c r="BL1081" s="39">
        <f t="shared" si="558"/>
        <v>0</v>
      </c>
      <c r="BM1081" s="54" t="e">
        <f t="shared" si="662"/>
        <v>#DIV/0!</v>
      </c>
      <c r="BN1081" s="63"/>
      <c r="BO1081" s="39"/>
      <c r="BP1081" s="39"/>
      <c r="BQ1081" s="39"/>
      <c r="BR1081" s="39"/>
      <c r="BS1081" s="39"/>
      <c r="BT1081" s="39"/>
      <c r="BU1081" s="39"/>
      <c r="BV1081" s="39"/>
      <c r="BW1081" s="39"/>
      <c r="BX1081" s="39"/>
      <c r="BY1081" s="39"/>
      <c r="BZ1081" s="39">
        <f t="shared" si="559"/>
        <v>0</v>
      </c>
      <c r="CA1081" s="39">
        <f t="shared" si="663"/>
        <v>0</v>
      </c>
      <c r="CB1081" s="39">
        <f t="shared" si="664"/>
        <v>0</v>
      </c>
      <c r="CC1081" s="39">
        <f t="shared" si="665"/>
        <v>0</v>
      </c>
      <c r="CD1081" s="39">
        <f t="shared" si="560"/>
        <v>0</v>
      </c>
      <c r="CE1081" s="47" t="e">
        <f t="shared" si="666"/>
        <v>#DIV/0!</v>
      </c>
      <c r="CF1081" s="36"/>
      <c r="CG1081" s="39"/>
      <c r="CH1081" s="39"/>
      <c r="CI1081" s="25">
        <v>3</v>
      </c>
    </row>
    <row r="1082" spans="1:88" ht="24.75" customHeight="1">
      <c r="A1082" s="36" t="s">
        <v>186</v>
      </c>
      <c r="B1082" s="55"/>
      <c r="C1082" s="36"/>
      <c r="D1082" s="36"/>
      <c r="E1082" s="39"/>
      <c r="F1082" s="39"/>
      <c r="G1082" s="36"/>
      <c r="H1082" s="39"/>
      <c r="I1082" s="39"/>
      <c r="J1082" s="39"/>
      <c r="K1082" s="39"/>
      <c r="L1082" s="39">
        <f t="shared" si="582"/>
        <v>0</v>
      </c>
      <c r="M1082" s="39"/>
      <c r="N1082" s="39"/>
      <c r="O1082" s="39"/>
      <c r="P1082" s="39"/>
      <c r="Q1082" s="39"/>
      <c r="R1082" s="39">
        <f t="shared" si="583"/>
        <v>0</v>
      </c>
      <c r="S1082" s="39"/>
      <c r="T1082" s="39"/>
      <c r="U1082" s="39"/>
      <c r="V1082" s="39"/>
      <c r="W1082" s="39"/>
      <c r="X1082" s="39"/>
      <c r="Y1082" s="39"/>
      <c r="Z1082" s="39"/>
      <c r="AA1082" s="39"/>
      <c r="AB1082" s="39">
        <f t="shared" si="584"/>
        <v>0</v>
      </c>
      <c r="AC1082" s="39"/>
      <c r="AD1082" s="39"/>
      <c r="AE1082" s="39"/>
      <c r="AF1082" s="39"/>
      <c r="AG1082" s="39"/>
      <c r="AH1082" s="39">
        <f t="shared" si="557"/>
        <v>0</v>
      </c>
      <c r="AI1082" s="39"/>
      <c r="AJ1082" s="39"/>
      <c r="AK1082" s="39"/>
      <c r="AL1082" s="39"/>
      <c r="AM1082" s="39"/>
      <c r="AN1082" s="39">
        <f t="shared" si="744"/>
        <v>0</v>
      </c>
      <c r="AO1082" s="39"/>
      <c r="AP1082" s="39"/>
      <c r="AQ1082" s="39"/>
      <c r="AR1082" s="39"/>
      <c r="AS1082" s="39"/>
      <c r="AT1082" s="39">
        <f t="shared" si="659"/>
        <v>0</v>
      </c>
      <c r="AU1082" s="39"/>
      <c r="AV1082" s="39"/>
      <c r="AW1082" s="39"/>
      <c r="AX1082" s="39"/>
      <c r="AY1082" s="39"/>
      <c r="AZ1082" s="39">
        <f t="shared" si="660"/>
        <v>0</v>
      </c>
      <c r="BA1082" s="39"/>
      <c r="BB1082" s="39"/>
      <c r="BC1082" s="39"/>
      <c r="BD1082" s="39"/>
      <c r="BE1082" s="39"/>
      <c r="BF1082" s="39">
        <f t="shared" si="661"/>
        <v>0</v>
      </c>
      <c r="BG1082" s="39"/>
      <c r="BH1082" s="39"/>
      <c r="BI1082" s="39"/>
      <c r="BJ1082" s="39"/>
      <c r="BK1082" s="39"/>
      <c r="BL1082" s="39">
        <f t="shared" si="558"/>
        <v>0</v>
      </c>
      <c r="BM1082" s="54" t="e">
        <f t="shared" si="662"/>
        <v>#DIV/0!</v>
      </c>
      <c r="BN1082" s="42"/>
      <c r="BO1082" s="39"/>
      <c r="BP1082" s="39"/>
      <c r="BQ1082" s="39"/>
      <c r="BR1082" s="39"/>
      <c r="BS1082" s="39"/>
      <c r="BT1082" s="39"/>
      <c r="BU1082" s="39"/>
      <c r="BV1082" s="39"/>
      <c r="BW1082" s="39"/>
      <c r="BX1082" s="39"/>
      <c r="BY1082" s="39"/>
      <c r="BZ1082" s="39">
        <f t="shared" si="559"/>
        <v>0</v>
      </c>
      <c r="CA1082" s="39">
        <f t="shared" si="663"/>
        <v>0</v>
      </c>
      <c r="CB1082" s="39">
        <f t="shared" si="664"/>
        <v>0</v>
      </c>
      <c r="CC1082" s="39">
        <f t="shared" si="665"/>
        <v>0</v>
      </c>
      <c r="CD1082" s="39">
        <f t="shared" si="560"/>
        <v>0</v>
      </c>
      <c r="CE1082" s="47" t="e">
        <f t="shared" si="666"/>
        <v>#DIV/0!</v>
      </c>
      <c r="CF1082" s="36"/>
      <c r="CG1082" s="39"/>
      <c r="CH1082" s="39"/>
      <c r="CI1082" s="25">
        <v>1</v>
      </c>
    </row>
    <row r="1083" spans="1:88" ht="24.75" customHeight="1">
      <c r="A1083" s="36" t="s">
        <v>186</v>
      </c>
      <c r="B1083" s="55"/>
      <c r="C1083" s="36"/>
      <c r="D1083" s="36"/>
      <c r="E1083" s="39"/>
      <c r="F1083" s="39"/>
      <c r="G1083" s="36"/>
      <c r="H1083" s="39"/>
      <c r="I1083" s="39"/>
      <c r="J1083" s="39"/>
      <c r="K1083" s="39"/>
      <c r="L1083" s="39">
        <f t="shared" si="582"/>
        <v>0</v>
      </c>
      <c r="M1083" s="39"/>
      <c r="N1083" s="39"/>
      <c r="O1083" s="39"/>
      <c r="P1083" s="39"/>
      <c r="Q1083" s="39"/>
      <c r="R1083" s="39">
        <f t="shared" si="583"/>
        <v>0</v>
      </c>
      <c r="S1083" s="39"/>
      <c r="T1083" s="39"/>
      <c r="U1083" s="39"/>
      <c r="V1083" s="39"/>
      <c r="W1083" s="39"/>
      <c r="X1083" s="39"/>
      <c r="Y1083" s="39"/>
      <c r="Z1083" s="39"/>
      <c r="AA1083" s="39"/>
      <c r="AB1083" s="39">
        <f t="shared" si="584"/>
        <v>0</v>
      </c>
      <c r="AC1083" s="39"/>
      <c r="AD1083" s="39"/>
      <c r="AE1083" s="39"/>
      <c r="AF1083" s="39"/>
      <c r="AG1083" s="39"/>
      <c r="AH1083" s="39">
        <f t="shared" si="557"/>
        <v>0</v>
      </c>
      <c r="AI1083" s="39"/>
      <c r="AJ1083" s="39"/>
      <c r="AK1083" s="39"/>
      <c r="AL1083" s="39"/>
      <c r="AM1083" s="39"/>
      <c r="AN1083" s="39">
        <f t="shared" si="744"/>
        <v>0</v>
      </c>
      <c r="AO1083" s="39"/>
      <c r="AP1083" s="39"/>
      <c r="AQ1083" s="39"/>
      <c r="AR1083" s="39"/>
      <c r="AS1083" s="39"/>
      <c r="AT1083" s="39">
        <f t="shared" si="659"/>
        <v>0</v>
      </c>
      <c r="AU1083" s="39"/>
      <c r="AV1083" s="39"/>
      <c r="AW1083" s="39"/>
      <c r="AX1083" s="39"/>
      <c r="AY1083" s="39"/>
      <c r="AZ1083" s="39">
        <f t="shared" si="660"/>
        <v>0</v>
      </c>
      <c r="BA1083" s="39"/>
      <c r="BB1083" s="39"/>
      <c r="BC1083" s="39"/>
      <c r="BD1083" s="39"/>
      <c r="BE1083" s="39"/>
      <c r="BF1083" s="39">
        <f t="shared" si="661"/>
        <v>0</v>
      </c>
      <c r="BG1083" s="39"/>
      <c r="BH1083" s="39"/>
      <c r="BI1083" s="39"/>
      <c r="BJ1083" s="39"/>
      <c r="BK1083" s="39"/>
      <c r="BL1083" s="39">
        <f t="shared" si="558"/>
        <v>0</v>
      </c>
      <c r="BM1083" s="54" t="e">
        <f t="shared" si="662"/>
        <v>#DIV/0!</v>
      </c>
      <c r="BN1083" s="42"/>
      <c r="BO1083" s="39"/>
      <c r="BP1083" s="39"/>
      <c r="BQ1083" s="39"/>
      <c r="BR1083" s="39"/>
      <c r="BS1083" s="39"/>
      <c r="BT1083" s="39"/>
      <c r="BU1083" s="39"/>
      <c r="BV1083" s="39"/>
      <c r="BW1083" s="39"/>
      <c r="BX1083" s="39"/>
      <c r="BY1083" s="39"/>
      <c r="BZ1083" s="39">
        <f t="shared" si="559"/>
        <v>0</v>
      </c>
      <c r="CA1083" s="39">
        <f t="shared" si="663"/>
        <v>0</v>
      </c>
      <c r="CB1083" s="39">
        <f t="shared" si="664"/>
        <v>0</v>
      </c>
      <c r="CC1083" s="39">
        <f t="shared" si="665"/>
        <v>0</v>
      </c>
      <c r="CD1083" s="39">
        <f t="shared" si="560"/>
        <v>0</v>
      </c>
      <c r="CE1083" s="47" t="e">
        <f t="shared" si="666"/>
        <v>#DIV/0!</v>
      </c>
      <c r="CF1083" s="36"/>
      <c r="CG1083" s="39"/>
      <c r="CH1083" s="39"/>
      <c r="CI1083" s="25">
        <v>1</v>
      </c>
    </row>
    <row r="1084" spans="1:88" ht="24.75" customHeight="1">
      <c r="A1084" s="36" t="s">
        <v>186</v>
      </c>
      <c r="B1084" s="55"/>
      <c r="C1084" s="36"/>
      <c r="D1084" s="36"/>
      <c r="E1084" s="39"/>
      <c r="F1084" s="39"/>
      <c r="G1084" s="36"/>
      <c r="H1084" s="39"/>
      <c r="I1084" s="39"/>
      <c r="J1084" s="39"/>
      <c r="K1084" s="39"/>
      <c r="L1084" s="39">
        <f>SUM(I1084:K1084)</f>
        <v>0</v>
      </c>
      <c r="M1084" s="39"/>
      <c r="N1084" s="39"/>
      <c r="O1084" s="39"/>
      <c r="P1084" s="39"/>
      <c r="Q1084" s="39"/>
      <c r="R1084" s="39">
        <f>SUM(O1084:Q1084)</f>
        <v>0</v>
      </c>
      <c r="S1084" s="39"/>
      <c r="T1084" s="39"/>
      <c r="U1084" s="39"/>
      <c r="V1084" s="39"/>
      <c r="W1084" s="39"/>
      <c r="X1084" s="39"/>
      <c r="Y1084" s="39"/>
      <c r="Z1084" s="39"/>
      <c r="AA1084" s="39"/>
      <c r="AB1084" s="39">
        <f>SUM(Y1084:AA1084)</f>
        <v>0</v>
      </c>
      <c r="AC1084" s="39"/>
      <c r="AD1084" s="39"/>
      <c r="AE1084" s="39"/>
      <c r="AF1084" s="39"/>
      <c r="AG1084" s="39"/>
      <c r="AH1084" s="39">
        <f t="shared" si="557"/>
        <v>0</v>
      </c>
      <c r="AI1084" s="39"/>
      <c r="AJ1084" s="39"/>
      <c r="AK1084" s="39"/>
      <c r="AL1084" s="39"/>
      <c r="AM1084" s="39"/>
      <c r="AN1084" s="39">
        <f t="shared" si="744"/>
        <v>0</v>
      </c>
      <c r="AO1084" s="39"/>
      <c r="AP1084" s="39"/>
      <c r="AQ1084" s="39"/>
      <c r="AR1084" s="39"/>
      <c r="AS1084" s="39"/>
      <c r="AT1084" s="39">
        <f t="shared" si="659"/>
        <v>0</v>
      </c>
      <c r="AU1084" s="39"/>
      <c r="AV1084" s="39"/>
      <c r="AW1084" s="39"/>
      <c r="AX1084" s="39"/>
      <c r="AY1084" s="39"/>
      <c r="AZ1084" s="39">
        <f t="shared" si="660"/>
        <v>0</v>
      </c>
      <c r="BA1084" s="39"/>
      <c r="BB1084" s="39"/>
      <c r="BC1084" s="39"/>
      <c r="BD1084" s="39"/>
      <c r="BE1084" s="39"/>
      <c r="BF1084" s="39">
        <f t="shared" si="661"/>
        <v>0</v>
      </c>
      <c r="BG1084" s="39"/>
      <c r="BH1084" s="39"/>
      <c r="BI1084" s="39"/>
      <c r="BJ1084" s="39"/>
      <c r="BK1084" s="39"/>
      <c r="BL1084" s="39">
        <f t="shared" si="558"/>
        <v>0</v>
      </c>
      <c r="BM1084" s="54" t="e">
        <f t="shared" si="662"/>
        <v>#DIV/0!</v>
      </c>
      <c r="BN1084" s="42"/>
      <c r="BO1084" s="39"/>
      <c r="BP1084" s="39"/>
      <c r="BQ1084" s="39"/>
      <c r="BR1084" s="39"/>
      <c r="BS1084" s="39"/>
      <c r="BT1084" s="39"/>
      <c r="BU1084" s="39"/>
      <c r="BV1084" s="39"/>
      <c r="BW1084" s="39"/>
      <c r="BX1084" s="39"/>
      <c r="BY1084" s="39"/>
      <c r="BZ1084" s="39">
        <f t="shared" si="559"/>
        <v>0</v>
      </c>
      <c r="CA1084" s="39">
        <f t="shared" si="663"/>
        <v>0</v>
      </c>
      <c r="CB1084" s="39">
        <f t="shared" si="664"/>
        <v>0</v>
      </c>
      <c r="CC1084" s="39">
        <f t="shared" si="665"/>
        <v>0</v>
      </c>
      <c r="CD1084" s="39">
        <f t="shared" si="560"/>
        <v>0</v>
      </c>
      <c r="CE1084" s="47" t="e">
        <f t="shared" si="666"/>
        <v>#DIV/0!</v>
      </c>
      <c r="CF1084" s="36"/>
      <c r="CG1084" s="39"/>
      <c r="CH1084" s="39"/>
      <c r="CI1084" s="25">
        <v>1</v>
      </c>
    </row>
    <row r="1085" spans="1:88" ht="24.75" customHeight="1">
      <c r="A1085" s="36" t="s">
        <v>186</v>
      </c>
      <c r="B1085" s="55"/>
      <c r="C1085" s="36"/>
      <c r="D1085" s="36"/>
      <c r="E1085" s="39"/>
      <c r="F1085" s="39"/>
      <c r="G1085" s="36"/>
      <c r="H1085" s="39"/>
      <c r="I1085" s="39"/>
      <c r="J1085" s="39"/>
      <c r="K1085" s="39"/>
      <c r="L1085" s="39">
        <f>SUM(I1085:K1085)</f>
        <v>0</v>
      </c>
      <c r="M1085" s="39"/>
      <c r="N1085" s="39"/>
      <c r="O1085" s="39"/>
      <c r="P1085" s="39"/>
      <c r="Q1085" s="39"/>
      <c r="R1085" s="39">
        <f>SUM(O1085:Q1085)</f>
        <v>0</v>
      </c>
      <c r="S1085" s="39"/>
      <c r="T1085" s="39"/>
      <c r="U1085" s="39"/>
      <c r="V1085" s="39"/>
      <c r="W1085" s="39"/>
      <c r="X1085" s="39"/>
      <c r="Y1085" s="39"/>
      <c r="Z1085" s="39"/>
      <c r="AA1085" s="39"/>
      <c r="AB1085" s="39">
        <f>SUM(Y1085:AA1085)</f>
        <v>0</v>
      </c>
      <c r="AC1085" s="39"/>
      <c r="AD1085" s="39"/>
      <c r="AE1085" s="39"/>
      <c r="AF1085" s="39"/>
      <c r="AG1085" s="39"/>
      <c r="AH1085" s="39">
        <f t="shared" si="557"/>
        <v>0</v>
      </c>
      <c r="AI1085" s="39"/>
      <c r="AJ1085" s="39"/>
      <c r="AK1085" s="39"/>
      <c r="AL1085" s="39"/>
      <c r="AM1085" s="39"/>
      <c r="AN1085" s="39">
        <f t="shared" si="744"/>
        <v>0</v>
      </c>
      <c r="AO1085" s="39"/>
      <c r="AP1085" s="39"/>
      <c r="AQ1085" s="39"/>
      <c r="AR1085" s="39"/>
      <c r="AS1085" s="39"/>
      <c r="AT1085" s="39">
        <f t="shared" si="659"/>
        <v>0</v>
      </c>
      <c r="AU1085" s="39"/>
      <c r="AV1085" s="39"/>
      <c r="AW1085" s="39"/>
      <c r="AX1085" s="39"/>
      <c r="AY1085" s="39"/>
      <c r="AZ1085" s="39">
        <f t="shared" si="660"/>
        <v>0</v>
      </c>
      <c r="BA1085" s="39"/>
      <c r="BB1085" s="39"/>
      <c r="BC1085" s="39"/>
      <c r="BD1085" s="39"/>
      <c r="BE1085" s="39"/>
      <c r="BF1085" s="39">
        <f t="shared" si="661"/>
        <v>0</v>
      </c>
      <c r="BG1085" s="39"/>
      <c r="BH1085" s="39"/>
      <c r="BI1085" s="39"/>
      <c r="BJ1085" s="39"/>
      <c r="BK1085" s="39"/>
      <c r="BL1085" s="39">
        <f t="shared" si="558"/>
        <v>0</v>
      </c>
      <c r="BM1085" s="54" t="e">
        <f t="shared" si="662"/>
        <v>#DIV/0!</v>
      </c>
      <c r="BN1085" s="42"/>
      <c r="BO1085" s="39"/>
      <c r="BP1085" s="39"/>
      <c r="BQ1085" s="39"/>
      <c r="BR1085" s="39"/>
      <c r="BS1085" s="39"/>
      <c r="BT1085" s="39"/>
      <c r="BU1085" s="39"/>
      <c r="BV1085" s="39"/>
      <c r="BW1085" s="39"/>
      <c r="BX1085" s="39"/>
      <c r="BY1085" s="39"/>
      <c r="BZ1085" s="39">
        <f t="shared" si="559"/>
        <v>0</v>
      </c>
      <c r="CA1085" s="39">
        <f t="shared" si="663"/>
        <v>0</v>
      </c>
      <c r="CB1085" s="39">
        <f t="shared" si="664"/>
        <v>0</v>
      </c>
      <c r="CC1085" s="39">
        <f t="shared" si="665"/>
        <v>0</v>
      </c>
      <c r="CD1085" s="39">
        <f t="shared" si="560"/>
        <v>0</v>
      </c>
      <c r="CE1085" s="47" t="e">
        <f t="shared" si="666"/>
        <v>#DIV/0!</v>
      </c>
      <c r="CF1085" s="36"/>
      <c r="CG1085" s="39"/>
      <c r="CH1085" s="39"/>
      <c r="CI1085" s="25">
        <v>1</v>
      </c>
    </row>
    <row r="1086" spans="1:88" ht="24.75" customHeight="1">
      <c r="A1086" s="36" t="s">
        <v>186</v>
      </c>
      <c r="B1086" s="55"/>
      <c r="C1086" s="36"/>
      <c r="D1086" s="36"/>
      <c r="E1086" s="39"/>
      <c r="F1086" s="39"/>
      <c r="G1086" s="36"/>
      <c r="H1086" s="39"/>
      <c r="I1086" s="39"/>
      <c r="J1086" s="39"/>
      <c r="K1086" s="39"/>
      <c r="L1086" s="39">
        <f>SUM(I1086:K1086)</f>
        <v>0</v>
      </c>
      <c r="M1086" s="39"/>
      <c r="N1086" s="39"/>
      <c r="O1086" s="39"/>
      <c r="P1086" s="39"/>
      <c r="Q1086" s="39"/>
      <c r="R1086" s="39">
        <f>SUM(O1086:Q1086)</f>
        <v>0</v>
      </c>
      <c r="S1086" s="39"/>
      <c r="T1086" s="39"/>
      <c r="U1086" s="39"/>
      <c r="V1086" s="39"/>
      <c r="W1086" s="39"/>
      <c r="X1086" s="39"/>
      <c r="Y1086" s="39"/>
      <c r="Z1086" s="39"/>
      <c r="AA1086" s="39"/>
      <c r="AB1086" s="39">
        <f>SUM(Y1086:AA1086)</f>
        <v>0</v>
      </c>
      <c r="AC1086" s="39"/>
      <c r="AD1086" s="39"/>
      <c r="AE1086" s="39"/>
      <c r="AF1086" s="39"/>
      <c r="AG1086" s="39"/>
      <c r="AH1086" s="39">
        <f t="shared" si="557"/>
        <v>0</v>
      </c>
      <c r="AI1086" s="39"/>
      <c r="AJ1086" s="39"/>
      <c r="AK1086" s="39"/>
      <c r="AL1086" s="39"/>
      <c r="AM1086" s="39"/>
      <c r="AN1086" s="39">
        <f t="shared" si="744"/>
        <v>0</v>
      </c>
      <c r="AO1086" s="39"/>
      <c r="AP1086" s="39"/>
      <c r="AQ1086" s="39"/>
      <c r="AR1086" s="39"/>
      <c r="AS1086" s="39"/>
      <c r="AT1086" s="39">
        <f t="shared" si="659"/>
        <v>0</v>
      </c>
      <c r="AU1086" s="39"/>
      <c r="AV1086" s="39"/>
      <c r="AW1086" s="39"/>
      <c r="AX1086" s="39"/>
      <c r="AY1086" s="39"/>
      <c r="AZ1086" s="39">
        <f t="shared" si="660"/>
        <v>0</v>
      </c>
      <c r="BA1086" s="39"/>
      <c r="BB1086" s="39"/>
      <c r="BC1086" s="39"/>
      <c r="BD1086" s="39"/>
      <c r="BE1086" s="39"/>
      <c r="BF1086" s="39">
        <f t="shared" si="661"/>
        <v>0</v>
      </c>
      <c r="BG1086" s="39"/>
      <c r="BH1086" s="39"/>
      <c r="BI1086" s="39"/>
      <c r="BJ1086" s="39"/>
      <c r="BK1086" s="39"/>
      <c r="BL1086" s="39">
        <f t="shared" si="558"/>
        <v>0</v>
      </c>
      <c r="BM1086" s="54" t="e">
        <f t="shared" si="662"/>
        <v>#DIV/0!</v>
      </c>
      <c r="BN1086" s="42"/>
      <c r="BO1086" s="39"/>
      <c r="BP1086" s="39"/>
      <c r="BQ1086" s="39"/>
      <c r="BR1086" s="39"/>
      <c r="BS1086" s="39"/>
      <c r="BT1086" s="39"/>
      <c r="BU1086" s="39"/>
      <c r="BV1086" s="39"/>
      <c r="BW1086" s="39"/>
      <c r="BX1086" s="39"/>
      <c r="BY1086" s="39"/>
      <c r="BZ1086" s="39">
        <f t="shared" si="559"/>
        <v>0</v>
      </c>
      <c r="CA1086" s="39">
        <f t="shared" si="663"/>
        <v>0</v>
      </c>
      <c r="CB1086" s="39">
        <f t="shared" si="664"/>
        <v>0</v>
      </c>
      <c r="CC1086" s="39">
        <f t="shared" si="665"/>
        <v>0</v>
      </c>
      <c r="CD1086" s="39">
        <f t="shared" si="560"/>
        <v>0</v>
      </c>
      <c r="CE1086" s="47" t="e">
        <f t="shared" si="666"/>
        <v>#DIV/0!</v>
      </c>
      <c r="CF1086" s="36"/>
      <c r="CG1086" s="39"/>
      <c r="CH1086" s="39"/>
      <c r="CI1086" s="25">
        <v>1</v>
      </c>
    </row>
    <row r="1087" spans="1:88" ht="24.75" customHeight="1">
      <c r="A1087" s="36" t="s">
        <v>186</v>
      </c>
      <c r="B1087" s="55"/>
      <c r="C1087" s="36"/>
      <c r="D1087" s="36"/>
      <c r="E1087" s="39"/>
      <c r="F1087" s="39"/>
      <c r="G1087" s="36"/>
      <c r="H1087" s="39"/>
      <c r="I1087" s="39"/>
      <c r="J1087" s="39"/>
      <c r="K1087" s="39"/>
      <c r="L1087" s="39">
        <f t="shared" si="582"/>
        <v>0</v>
      </c>
      <c r="M1087" s="39"/>
      <c r="N1087" s="39"/>
      <c r="O1087" s="39"/>
      <c r="P1087" s="39"/>
      <c r="Q1087" s="39"/>
      <c r="R1087" s="39">
        <f t="shared" si="583"/>
        <v>0</v>
      </c>
      <c r="S1087" s="39"/>
      <c r="T1087" s="39"/>
      <c r="U1087" s="39"/>
      <c r="V1087" s="39"/>
      <c r="W1087" s="39"/>
      <c r="X1087" s="39"/>
      <c r="Y1087" s="39"/>
      <c r="Z1087" s="39"/>
      <c r="AA1087" s="39"/>
      <c r="AB1087" s="39">
        <f t="shared" si="584"/>
        <v>0</v>
      </c>
      <c r="AC1087" s="39"/>
      <c r="AD1087" s="39"/>
      <c r="AE1087" s="39"/>
      <c r="AF1087" s="39"/>
      <c r="AG1087" s="39"/>
      <c r="AH1087" s="39">
        <f t="shared" si="557"/>
        <v>0</v>
      </c>
      <c r="AI1087" s="39"/>
      <c r="AJ1087" s="39"/>
      <c r="AK1087" s="39"/>
      <c r="AL1087" s="39"/>
      <c r="AM1087" s="39"/>
      <c r="AN1087" s="39">
        <f t="shared" si="744"/>
        <v>0</v>
      </c>
      <c r="AO1087" s="39"/>
      <c r="AP1087" s="39"/>
      <c r="AQ1087" s="39"/>
      <c r="AR1087" s="39"/>
      <c r="AS1087" s="39"/>
      <c r="AT1087" s="39">
        <f t="shared" si="659"/>
        <v>0</v>
      </c>
      <c r="AU1087" s="39"/>
      <c r="AV1087" s="39"/>
      <c r="AW1087" s="39"/>
      <c r="AX1087" s="39"/>
      <c r="AY1087" s="39"/>
      <c r="AZ1087" s="39">
        <f t="shared" si="660"/>
        <v>0</v>
      </c>
      <c r="BA1087" s="39"/>
      <c r="BB1087" s="39"/>
      <c r="BC1087" s="39"/>
      <c r="BD1087" s="39"/>
      <c r="BE1087" s="39"/>
      <c r="BF1087" s="39">
        <f t="shared" si="661"/>
        <v>0</v>
      </c>
      <c r="BG1087" s="39"/>
      <c r="BH1087" s="39"/>
      <c r="BI1087" s="39"/>
      <c r="BJ1087" s="39"/>
      <c r="BK1087" s="39"/>
      <c r="BL1087" s="39">
        <f t="shared" si="558"/>
        <v>0</v>
      </c>
      <c r="BM1087" s="54" t="e">
        <f t="shared" si="662"/>
        <v>#DIV/0!</v>
      </c>
      <c r="BN1087" s="67"/>
      <c r="BO1087" s="39"/>
      <c r="BP1087" s="39"/>
      <c r="BQ1087" s="39"/>
      <c r="BR1087" s="39"/>
      <c r="BS1087" s="39"/>
      <c r="BT1087" s="39"/>
      <c r="BU1087" s="39"/>
      <c r="BV1087" s="39"/>
      <c r="BW1087" s="39"/>
      <c r="BX1087" s="39"/>
      <c r="BY1087" s="39"/>
      <c r="BZ1087" s="39">
        <f t="shared" si="559"/>
        <v>0</v>
      </c>
      <c r="CA1087" s="39">
        <f t="shared" si="663"/>
        <v>0</v>
      </c>
      <c r="CB1087" s="39">
        <f t="shared" si="664"/>
        <v>0</v>
      </c>
      <c r="CC1087" s="39">
        <f t="shared" si="665"/>
        <v>0</v>
      </c>
      <c r="CD1087" s="39">
        <f t="shared" si="560"/>
        <v>0</v>
      </c>
      <c r="CE1087" s="47" t="e">
        <f t="shared" si="666"/>
        <v>#DIV/0!</v>
      </c>
      <c r="CF1087" s="36"/>
      <c r="CG1087" s="39"/>
      <c r="CH1087" s="39"/>
      <c r="CI1087" s="25">
        <v>2</v>
      </c>
    </row>
    <row r="1088" spans="1:88" ht="24.75" customHeight="1">
      <c r="A1088" s="36" t="s">
        <v>186</v>
      </c>
      <c r="B1088" s="55"/>
      <c r="C1088" s="36"/>
      <c r="D1088" s="36"/>
      <c r="E1088" s="39"/>
      <c r="F1088" s="39"/>
      <c r="G1088" s="36"/>
      <c r="H1088" s="39"/>
      <c r="I1088" s="39"/>
      <c r="J1088" s="39"/>
      <c r="K1088" s="39"/>
      <c r="L1088" s="39">
        <f t="shared" si="582"/>
        <v>0</v>
      </c>
      <c r="M1088" s="39"/>
      <c r="N1088" s="39"/>
      <c r="O1088" s="39"/>
      <c r="P1088" s="39"/>
      <c r="Q1088" s="39"/>
      <c r="R1088" s="39">
        <f t="shared" si="583"/>
        <v>0</v>
      </c>
      <c r="S1088" s="39"/>
      <c r="T1088" s="39"/>
      <c r="U1088" s="39"/>
      <c r="V1088" s="39"/>
      <c r="W1088" s="39"/>
      <c r="X1088" s="39"/>
      <c r="Y1088" s="39"/>
      <c r="Z1088" s="39"/>
      <c r="AA1088" s="39"/>
      <c r="AB1088" s="39">
        <f t="shared" si="584"/>
        <v>0</v>
      </c>
      <c r="AC1088" s="39"/>
      <c r="AD1088" s="39"/>
      <c r="AE1088" s="39"/>
      <c r="AF1088" s="39"/>
      <c r="AG1088" s="39"/>
      <c r="AH1088" s="39">
        <f t="shared" si="557"/>
        <v>0</v>
      </c>
      <c r="AI1088" s="39"/>
      <c r="AJ1088" s="39"/>
      <c r="AK1088" s="39"/>
      <c r="AL1088" s="39"/>
      <c r="AM1088" s="39"/>
      <c r="AN1088" s="39">
        <f t="shared" si="744"/>
        <v>0</v>
      </c>
      <c r="AO1088" s="39"/>
      <c r="AP1088" s="39"/>
      <c r="AQ1088" s="39"/>
      <c r="AR1088" s="39"/>
      <c r="AS1088" s="39"/>
      <c r="AT1088" s="39">
        <f t="shared" si="659"/>
        <v>0</v>
      </c>
      <c r="AU1088" s="39"/>
      <c r="AV1088" s="39"/>
      <c r="AW1088" s="39"/>
      <c r="AX1088" s="39"/>
      <c r="AY1088" s="39"/>
      <c r="AZ1088" s="39">
        <f t="shared" si="660"/>
        <v>0</v>
      </c>
      <c r="BA1088" s="39"/>
      <c r="BB1088" s="39"/>
      <c r="BC1088" s="39"/>
      <c r="BD1088" s="39"/>
      <c r="BE1088" s="39"/>
      <c r="BF1088" s="39">
        <f t="shared" si="661"/>
        <v>0</v>
      </c>
      <c r="BG1088" s="39"/>
      <c r="BH1088" s="39"/>
      <c r="BI1088" s="39"/>
      <c r="BJ1088" s="39"/>
      <c r="BK1088" s="39"/>
      <c r="BL1088" s="39">
        <f t="shared" si="558"/>
        <v>0</v>
      </c>
      <c r="BM1088" s="54" t="e">
        <f t="shared" si="662"/>
        <v>#DIV/0!</v>
      </c>
      <c r="BN1088" s="67"/>
      <c r="BO1088" s="39"/>
      <c r="BP1088" s="39"/>
      <c r="BQ1088" s="39"/>
      <c r="BR1088" s="39"/>
      <c r="BS1088" s="39"/>
      <c r="BT1088" s="39"/>
      <c r="BU1088" s="39"/>
      <c r="BV1088" s="39"/>
      <c r="BW1088" s="39"/>
      <c r="BX1088" s="39"/>
      <c r="BY1088" s="39"/>
      <c r="BZ1088" s="39">
        <f t="shared" si="559"/>
        <v>0</v>
      </c>
      <c r="CA1088" s="39">
        <f t="shared" si="663"/>
        <v>0</v>
      </c>
      <c r="CB1088" s="39">
        <f t="shared" si="664"/>
        <v>0</v>
      </c>
      <c r="CC1088" s="39">
        <f t="shared" si="665"/>
        <v>0</v>
      </c>
      <c r="CD1088" s="39">
        <f t="shared" si="560"/>
        <v>0</v>
      </c>
      <c r="CE1088" s="47" t="e">
        <f t="shared" si="666"/>
        <v>#DIV/0!</v>
      </c>
      <c r="CF1088" s="36"/>
      <c r="CG1088" s="39"/>
      <c r="CH1088" s="39"/>
      <c r="CI1088" s="25">
        <v>2</v>
      </c>
    </row>
    <row r="1089" spans="1:87" ht="24.75" customHeight="1">
      <c r="A1089" s="36" t="s">
        <v>186</v>
      </c>
      <c r="B1089" s="55"/>
      <c r="C1089" s="36"/>
      <c r="D1089" s="36"/>
      <c r="E1089" s="39"/>
      <c r="F1089" s="39"/>
      <c r="G1089" s="36"/>
      <c r="H1089" s="39"/>
      <c r="I1089" s="39"/>
      <c r="J1089" s="39"/>
      <c r="K1089" s="39"/>
      <c r="L1089" s="39">
        <f>SUM(I1089:K1089)</f>
        <v>0</v>
      </c>
      <c r="M1089" s="39"/>
      <c r="N1089" s="39"/>
      <c r="O1089" s="39"/>
      <c r="P1089" s="39"/>
      <c r="Q1089" s="39"/>
      <c r="R1089" s="39">
        <f>SUM(O1089:Q1089)</f>
        <v>0</v>
      </c>
      <c r="S1089" s="39"/>
      <c r="T1089" s="39"/>
      <c r="U1089" s="39"/>
      <c r="V1089" s="39"/>
      <c r="W1089" s="39"/>
      <c r="X1089" s="39"/>
      <c r="Y1089" s="39"/>
      <c r="Z1089" s="39"/>
      <c r="AA1089" s="39"/>
      <c r="AB1089" s="39">
        <f>SUM(Y1089:AA1089)</f>
        <v>0</v>
      </c>
      <c r="AC1089" s="39"/>
      <c r="AD1089" s="39"/>
      <c r="AE1089" s="39"/>
      <c r="AF1089" s="39"/>
      <c r="AG1089" s="39"/>
      <c r="AH1089" s="39">
        <f t="shared" si="557"/>
        <v>0</v>
      </c>
      <c r="AI1089" s="39"/>
      <c r="AJ1089" s="39"/>
      <c r="AK1089" s="39"/>
      <c r="AL1089" s="39"/>
      <c r="AM1089" s="39"/>
      <c r="AN1089" s="39">
        <f t="shared" si="744"/>
        <v>0</v>
      </c>
      <c r="AO1089" s="39"/>
      <c r="AP1089" s="39"/>
      <c r="AQ1089" s="39"/>
      <c r="AR1089" s="39"/>
      <c r="AS1089" s="39"/>
      <c r="AT1089" s="39">
        <f t="shared" si="659"/>
        <v>0</v>
      </c>
      <c r="AU1089" s="39"/>
      <c r="AV1089" s="39"/>
      <c r="AW1089" s="39"/>
      <c r="AX1089" s="39"/>
      <c r="AY1089" s="39"/>
      <c r="AZ1089" s="39">
        <f t="shared" si="660"/>
        <v>0</v>
      </c>
      <c r="BA1089" s="39"/>
      <c r="BB1089" s="39"/>
      <c r="BC1089" s="39"/>
      <c r="BD1089" s="39"/>
      <c r="BE1089" s="39"/>
      <c r="BF1089" s="39">
        <f t="shared" si="661"/>
        <v>0</v>
      </c>
      <c r="BG1089" s="39"/>
      <c r="BH1089" s="39"/>
      <c r="BI1089" s="39"/>
      <c r="BJ1089" s="39"/>
      <c r="BK1089" s="39"/>
      <c r="BL1089" s="39">
        <f t="shared" si="558"/>
        <v>0</v>
      </c>
      <c r="BM1089" s="54" t="e">
        <f t="shared" si="662"/>
        <v>#DIV/0!</v>
      </c>
      <c r="BN1089" s="67"/>
      <c r="BO1089" s="39"/>
      <c r="BP1089" s="39"/>
      <c r="BQ1089" s="39"/>
      <c r="BR1089" s="39"/>
      <c r="BS1089" s="39"/>
      <c r="BT1089" s="39"/>
      <c r="BU1089" s="39"/>
      <c r="BV1089" s="39"/>
      <c r="BW1089" s="39"/>
      <c r="BX1089" s="39"/>
      <c r="BY1089" s="39"/>
      <c r="BZ1089" s="39">
        <f t="shared" si="559"/>
        <v>0</v>
      </c>
      <c r="CA1089" s="39">
        <f t="shared" si="663"/>
        <v>0</v>
      </c>
      <c r="CB1089" s="39">
        <f t="shared" si="664"/>
        <v>0</v>
      </c>
      <c r="CC1089" s="39">
        <f t="shared" si="665"/>
        <v>0</v>
      </c>
      <c r="CD1089" s="39">
        <f t="shared" si="560"/>
        <v>0</v>
      </c>
      <c r="CE1089" s="47" t="e">
        <f t="shared" si="666"/>
        <v>#DIV/0!</v>
      </c>
      <c r="CF1089" s="36"/>
      <c r="CG1089" s="39"/>
      <c r="CH1089" s="39"/>
      <c r="CI1089" s="25">
        <v>2</v>
      </c>
    </row>
    <row r="1090" spans="1:87" ht="24.75" customHeight="1">
      <c r="A1090" s="36" t="s">
        <v>186</v>
      </c>
      <c r="B1090" s="55"/>
      <c r="C1090" s="36"/>
      <c r="D1090" s="36"/>
      <c r="E1090" s="39"/>
      <c r="F1090" s="39"/>
      <c r="G1090" s="36"/>
      <c r="H1090" s="39"/>
      <c r="I1090" s="39"/>
      <c r="J1090" s="39"/>
      <c r="K1090" s="39"/>
      <c r="L1090" s="39">
        <f>SUM(I1090:K1090)</f>
        <v>0</v>
      </c>
      <c r="M1090" s="39"/>
      <c r="N1090" s="39"/>
      <c r="O1090" s="39"/>
      <c r="P1090" s="39"/>
      <c r="Q1090" s="39"/>
      <c r="R1090" s="39">
        <f>SUM(O1090:Q1090)</f>
        <v>0</v>
      </c>
      <c r="S1090" s="39"/>
      <c r="T1090" s="39"/>
      <c r="U1090" s="39"/>
      <c r="V1090" s="39"/>
      <c r="W1090" s="39"/>
      <c r="X1090" s="39"/>
      <c r="Y1090" s="39"/>
      <c r="Z1090" s="39"/>
      <c r="AA1090" s="39"/>
      <c r="AB1090" s="39">
        <f>SUM(Y1090:AA1090)</f>
        <v>0</v>
      </c>
      <c r="AC1090" s="39"/>
      <c r="AD1090" s="39"/>
      <c r="AE1090" s="39"/>
      <c r="AF1090" s="39"/>
      <c r="AG1090" s="39"/>
      <c r="AH1090" s="39">
        <f t="shared" si="557"/>
        <v>0</v>
      </c>
      <c r="AI1090" s="39"/>
      <c r="AJ1090" s="39"/>
      <c r="AK1090" s="39"/>
      <c r="AL1090" s="39"/>
      <c r="AM1090" s="39"/>
      <c r="AN1090" s="39">
        <f t="shared" si="744"/>
        <v>0</v>
      </c>
      <c r="AO1090" s="39"/>
      <c r="AP1090" s="39"/>
      <c r="AQ1090" s="39"/>
      <c r="AR1090" s="39"/>
      <c r="AS1090" s="39"/>
      <c r="AT1090" s="39">
        <f t="shared" si="659"/>
        <v>0</v>
      </c>
      <c r="AU1090" s="39"/>
      <c r="AV1090" s="39"/>
      <c r="AW1090" s="39"/>
      <c r="AX1090" s="39"/>
      <c r="AY1090" s="39"/>
      <c r="AZ1090" s="39">
        <f t="shared" si="660"/>
        <v>0</v>
      </c>
      <c r="BA1090" s="39"/>
      <c r="BB1090" s="39"/>
      <c r="BC1090" s="39"/>
      <c r="BD1090" s="39"/>
      <c r="BE1090" s="39"/>
      <c r="BF1090" s="39">
        <f t="shared" si="661"/>
        <v>0</v>
      </c>
      <c r="BG1090" s="39"/>
      <c r="BH1090" s="39"/>
      <c r="BI1090" s="39"/>
      <c r="BJ1090" s="39"/>
      <c r="BK1090" s="39"/>
      <c r="BL1090" s="39">
        <f t="shared" si="558"/>
        <v>0</v>
      </c>
      <c r="BM1090" s="54" t="e">
        <f t="shared" si="662"/>
        <v>#DIV/0!</v>
      </c>
      <c r="BN1090" s="67"/>
      <c r="BO1090" s="39"/>
      <c r="BP1090" s="39"/>
      <c r="BQ1090" s="39"/>
      <c r="BR1090" s="39"/>
      <c r="BS1090" s="39"/>
      <c r="BT1090" s="39"/>
      <c r="BU1090" s="39"/>
      <c r="BV1090" s="39"/>
      <c r="BW1090" s="39"/>
      <c r="BX1090" s="39"/>
      <c r="BY1090" s="39"/>
      <c r="BZ1090" s="39">
        <f t="shared" si="559"/>
        <v>0</v>
      </c>
      <c r="CA1090" s="39">
        <f t="shared" si="663"/>
        <v>0</v>
      </c>
      <c r="CB1090" s="39">
        <f t="shared" si="664"/>
        <v>0</v>
      </c>
      <c r="CC1090" s="39">
        <f t="shared" si="665"/>
        <v>0</v>
      </c>
      <c r="CD1090" s="39">
        <f t="shared" si="560"/>
        <v>0</v>
      </c>
      <c r="CE1090" s="47" t="e">
        <f t="shared" si="666"/>
        <v>#DIV/0!</v>
      </c>
      <c r="CF1090" s="36"/>
      <c r="CG1090" s="39"/>
      <c r="CH1090" s="39"/>
      <c r="CI1090" s="25">
        <v>2</v>
      </c>
    </row>
    <row r="1091" spans="1:87" ht="24.75" customHeight="1">
      <c r="A1091" s="36" t="s">
        <v>186</v>
      </c>
      <c r="B1091" s="55"/>
      <c r="C1091" s="36"/>
      <c r="D1091" s="36"/>
      <c r="E1091" s="39"/>
      <c r="F1091" s="39"/>
      <c r="G1091" s="36"/>
      <c r="H1091" s="39"/>
      <c r="I1091" s="39"/>
      <c r="J1091" s="39"/>
      <c r="K1091" s="39"/>
      <c r="L1091" s="39">
        <f>SUM(I1091:K1091)</f>
        <v>0</v>
      </c>
      <c r="M1091" s="39"/>
      <c r="N1091" s="39"/>
      <c r="O1091" s="39"/>
      <c r="P1091" s="39"/>
      <c r="Q1091" s="39"/>
      <c r="R1091" s="39">
        <f>SUM(O1091:Q1091)</f>
        <v>0</v>
      </c>
      <c r="S1091" s="39"/>
      <c r="T1091" s="39"/>
      <c r="U1091" s="39"/>
      <c r="V1091" s="39"/>
      <c r="W1091" s="39"/>
      <c r="X1091" s="39"/>
      <c r="Y1091" s="39"/>
      <c r="Z1091" s="39"/>
      <c r="AA1091" s="39"/>
      <c r="AB1091" s="39">
        <f>SUM(Y1091:AA1091)</f>
        <v>0</v>
      </c>
      <c r="AC1091" s="39"/>
      <c r="AD1091" s="39"/>
      <c r="AE1091" s="39"/>
      <c r="AF1091" s="39"/>
      <c r="AG1091" s="39"/>
      <c r="AH1091" s="39">
        <f t="shared" ref="AH1091:AH1205" si="745">AG1091-AE1091</f>
        <v>0</v>
      </c>
      <c r="AI1091" s="39"/>
      <c r="AJ1091" s="39"/>
      <c r="AK1091" s="39"/>
      <c r="AL1091" s="39"/>
      <c r="AM1091" s="39"/>
      <c r="AN1091" s="39">
        <f t="shared" si="744"/>
        <v>0</v>
      </c>
      <c r="AO1091" s="39"/>
      <c r="AP1091" s="39"/>
      <c r="AQ1091" s="39"/>
      <c r="AR1091" s="39"/>
      <c r="AS1091" s="39"/>
      <c r="AT1091" s="39">
        <f t="shared" si="659"/>
        <v>0</v>
      </c>
      <c r="AU1091" s="39"/>
      <c r="AV1091" s="39"/>
      <c r="AW1091" s="39"/>
      <c r="AX1091" s="39"/>
      <c r="AY1091" s="39"/>
      <c r="AZ1091" s="39">
        <f t="shared" si="660"/>
        <v>0</v>
      </c>
      <c r="BA1091" s="39"/>
      <c r="BB1091" s="39"/>
      <c r="BC1091" s="39"/>
      <c r="BD1091" s="39"/>
      <c r="BE1091" s="39"/>
      <c r="BF1091" s="39">
        <f t="shared" si="661"/>
        <v>0</v>
      </c>
      <c r="BG1091" s="39"/>
      <c r="BH1091" s="39"/>
      <c r="BI1091" s="39"/>
      <c r="BJ1091" s="39"/>
      <c r="BK1091" s="39"/>
      <c r="BL1091" s="39">
        <f t="shared" ref="BL1091:BL1205" si="746">BK1091-BI1091</f>
        <v>0</v>
      </c>
      <c r="BM1091" s="54" t="e">
        <f t="shared" si="662"/>
        <v>#DIV/0!</v>
      </c>
      <c r="BN1091" s="67"/>
      <c r="BO1091" s="39"/>
      <c r="BP1091" s="39"/>
      <c r="BQ1091" s="39"/>
      <c r="BR1091" s="39"/>
      <c r="BS1091" s="39"/>
      <c r="BT1091" s="39"/>
      <c r="BU1091" s="39"/>
      <c r="BV1091" s="39"/>
      <c r="BW1091" s="39"/>
      <c r="BX1091" s="39"/>
      <c r="BY1091" s="39"/>
      <c r="BZ1091" s="39">
        <f t="shared" ref="BZ1091:BZ1205" si="747">BU1091+BW1091+BY1091</f>
        <v>0</v>
      </c>
      <c r="CA1091" s="39">
        <f t="shared" si="663"/>
        <v>0</v>
      </c>
      <c r="CB1091" s="39">
        <f t="shared" si="664"/>
        <v>0</v>
      </c>
      <c r="CC1091" s="39">
        <f t="shared" si="665"/>
        <v>0</v>
      </c>
      <c r="CD1091" s="39">
        <f t="shared" ref="CD1091:CD1205" si="748">SUMIF(CA1091:CC1091,"&lt;0")</f>
        <v>0</v>
      </c>
      <c r="CE1091" s="47" t="e">
        <f t="shared" si="666"/>
        <v>#DIV/0!</v>
      </c>
      <c r="CF1091" s="36"/>
      <c r="CG1091" s="39"/>
      <c r="CH1091" s="39"/>
      <c r="CI1091" s="25">
        <v>2</v>
      </c>
    </row>
    <row r="1092" spans="1:87" ht="24.75" customHeight="1">
      <c r="A1092" s="36" t="s">
        <v>186</v>
      </c>
      <c r="B1092" s="55"/>
      <c r="C1092" s="36"/>
      <c r="D1092" s="36"/>
      <c r="E1092" s="39"/>
      <c r="F1092" s="39"/>
      <c r="G1092" s="36"/>
      <c r="H1092" s="39"/>
      <c r="I1092" s="39"/>
      <c r="J1092" s="39"/>
      <c r="K1092" s="39"/>
      <c r="L1092" s="39">
        <f t="shared" si="582"/>
        <v>0</v>
      </c>
      <c r="M1092" s="39"/>
      <c r="N1092" s="39"/>
      <c r="O1092" s="39"/>
      <c r="P1092" s="39"/>
      <c r="Q1092" s="39"/>
      <c r="R1092" s="39">
        <f t="shared" si="583"/>
        <v>0</v>
      </c>
      <c r="S1092" s="39"/>
      <c r="T1092" s="39"/>
      <c r="U1092" s="39"/>
      <c r="V1092" s="39"/>
      <c r="W1092" s="39"/>
      <c r="X1092" s="39"/>
      <c r="Y1092" s="39"/>
      <c r="Z1092" s="39"/>
      <c r="AA1092" s="39"/>
      <c r="AB1092" s="39">
        <f t="shared" si="584"/>
        <v>0</v>
      </c>
      <c r="AC1092" s="39"/>
      <c r="AD1092" s="39"/>
      <c r="AE1092" s="39"/>
      <c r="AF1092" s="39"/>
      <c r="AG1092" s="39"/>
      <c r="AH1092" s="39">
        <f t="shared" si="745"/>
        <v>0</v>
      </c>
      <c r="AI1092" s="39"/>
      <c r="AJ1092" s="39"/>
      <c r="AK1092" s="39"/>
      <c r="AL1092" s="39"/>
      <c r="AM1092" s="39"/>
      <c r="AN1092" s="39">
        <f t="shared" si="744"/>
        <v>0</v>
      </c>
      <c r="AO1092" s="39"/>
      <c r="AP1092" s="39"/>
      <c r="AQ1092" s="39"/>
      <c r="AR1092" s="39"/>
      <c r="AS1092" s="39"/>
      <c r="AT1092" s="39">
        <f t="shared" si="659"/>
        <v>0</v>
      </c>
      <c r="AU1092" s="39"/>
      <c r="AV1092" s="39"/>
      <c r="AW1092" s="39"/>
      <c r="AX1092" s="39"/>
      <c r="AY1092" s="39"/>
      <c r="AZ1092" s="39">
        <f t="shared" si="660"/>
        <v>0</v>
      </c>
      <c r="BA1092" s="39"/>
      <c r="BB1092" s="39"/>
      <c r="BC1092" s="39"/>
      <c r="BD1092" s="39"/>
      <c r="BE1092" s="39"/>
      <c r="BF1092" s="39">
        <f t="shared" si="661"/>
        <v>0</v>
      </c>
      <c r="BG1092" s="39"/>
      <c r="BH1092" s="39"/>
      <c r="BI1092" s="39"/>
      <c r="BJ1092" s="39"/>
      <c r="BK1092" s="39"/>
      <c r="BL1092" s="39">
        <f t="shared" si="746"/>
        <v>0</v>
      </c>
      <c r="BM1092" s="54" t="e">
        <f t="shared" si="662"/>
        <v>#DIV/0!</v>
      </c>
      <c r="BN1092" s="63"/>
      <c r="BO1092" s="39"/>
      <c r="BP1092" s="39"/>
      <c r="BQ1092" s="39"/>
      <c r="BR1092" s="39"/>
      <c r="BS1092" s="39"/>
      <c r="BT1092" s="39"/>
      <c r="BU1092" s="39"/>
      <c r="BV1092" s="39"/>
      <c r="BW1092" s="39"/>
      <c r="BX1092" s="39"/>
      <c r="BY1092" s="39"/>
      <c r="BZ1092" s="39">
        <f t="shared" si="747"/>
        <v>0</v>
      </c>
      <c r="CA1092" s="39">
        <f t="shared" si="663"/>
        <v>0</v>
      </c>
      <c r="CB1092" s="39">
        <f t="shared" si="664"/>
        <v>0</v>
      </c>
      <c r="CC1092" s="39">
        <f t="shared" si="665"/>
        <v>0</v>
      </c>
      <c r="CD1092" s="39">
        <f t="shared" si="748"/>
        <v>0</v>
      </c>
      <c r="CE1092" s="47" t="e">
        <f t="shared" si="666"/>
        <v>#DIV/0!</v>
      </c>
      <c r="CF1092" s="36"/>
      <c r="CG1092" s="39"/>
      <c r="CH1092" s="39"/>
      <c r="CI1092" s="25">
        <v>3</v>
      </c>
    </row>
    <row r="1093" spans="1:87" ht="24.75" customHeight="1">
      <c r="A1093" s="36" t="s">
        <v>186</v>
      </c>
      <c r="B1093" s="55"/>
      <c r="C1093" s="36"/>
      <c r="D1093" s="36"/>
      <c r="E1093" s="39"/>
      <c r="F1093" s="39"/>
      <c r="G1093" s="36"/>
      <c r="H1093" s="39"/>
      <c r="I1093" s="39"/>
      <c r="J1093" s="39"/>
      <c r="K1093" s="39"/>
      <c r="L1093" s="39">
        <f t="shared" si="582"/>
        <v>0</v>
      </c>
      <c r="M1093" s="39"/>
      <c r="N1093" s="39"/>
      <c r="O1093" s="39"/>
      <c r="P1093" s="39"/>
      <c r="Q1093" s="39"/>
      <c r="R1093" s="39">
        <f t="shared" si="583"/>
        <v>0</v>
      </c>
      <c r="S1093" s="39"/>
      <c r="T1093" s="39"/>
      <c r="U1093" s="39"/>
      <c r="V1093" s="39"/>
      <c r="W1093" s="39"/>
      <c r="X1093" s="39"/>
      <c r="Y1093" s="39"/>
      <c r="Z1093" s="39"/>
      <c r="AA1093" s="39"/>
      <c r="AB1093" s="39">
        <f t="shared" si="584"/>
        <v>0</v>
      </c>
      <c r="AC1093" s="39"/>
      <c r="AD1093" s="39"/>
      <c r="AE1093" s="39"/>
      <c r="AF1093" s="39"/>
      <c r="AG1093" s="39"/>
      <c r="AH1093" s="39">
        <f t="shared" si="745"/>
        <v>0</v>
      </c>
      <c r="AI1093" s="39"/>
      <c r="AJ1093" s="39"/>
      <c r="AK1093" s="39"/>
      <c r="AL1093" s="39"/>
      <c r="AM1093" s="39"/>
      <c r="AN1093" s="39">
        <f t="shared" si="744"/>
        <v>0</v>
      </c>
      <c r="AO1093" s="39"/>
      <c r="AP1093" s="39"/>
      <c r="AQ1093" s="39"/>
      <c r="AR1093" s="39"/>
      <c r="AS1093" s="39"/>
      <c r="AT1093" s="39">
        <f t="shared" si="659"/>
        <v>0</v>
      </c>
      <c r="AU1093" s="39"/>
      <c r="AV1093" s="39"/>
      <c r="AW1093" s="39"/>
      <c r="AX1093" s="39"/>
      <c r="AY1093" s="39"/>
      <c r="AZ1093" s="39">
        <f t="shared" si="660"/>
        <v>0</v>
      </c>
      <c r="BA1093" s="39"/>
      <c r="BB1093" s="39"/>
      <c r="BC1093" s="39"/>
      <c r="BD1093" s="39"/>
      <c r="BE1093" s="39"/>
      <c r="BF1093" s="39">
        <f t="shared" si="661"/>
        <v>0</v>
      </c>
      <c r="BG1093" s="39"/>
      <c r="BH1093" s="39"/>
      <c r="BI1093" s="39"/>
      <c r="BJ1093" s="39"/>
      <c r="BK1093" s="39"/>
      <c r="BL1093" s="39">
        <f t="shared" si="746"/>
        <v>0</v>
      </c>
      <c r="BM1093" s="54" t="e">
        <f t="shared" si="662"/>
        <v>#DIV/0!</v>
      </c>
      <c r="BN1093" s="63"/>
      <c r="BO1093" s="39"/>
      <c r="BP1093" s="39"/>
      <c r="BQ1093" s="39"/>
      <c r="BR1093" s="39"/>
      <c r="BS1093" s="39"/>
      <c r="BT1093" s="39"/>
      <c r="BU1093" s="39"/>
      <c r="BV1093" s="39"/>
      <c r="BW1093" s="39"/>
      <c r="BX1093" s="39"/>
      <c r="BY1093" s="39"/>
      <c r="BZ1093" s="39">
        <f t="shared" si="747"/>
        <v>0</v>
      </c>
      <c r="CA1093" s="39">
        <f t="shared" si="663"/>
        <v>0</v>
      </c>
      <c r="CB1093" s="39">
        <f t="shared" si="664"/>
        <v>0</v>
      </c>
      <c r="CC1093" s="39">
        <f t="shared" si="665"/>
        <v>0</v>
      </c>
      <c r="CD1093" s="39">
        <f t="shared" si="748"/>
        <v>0</v>
      </c>
      <c r="CE1093" s="47" t="e">
        <f t="shared" si="666"/>
        <v>#DIV/0!</v>
      </c>
      <c r="CF1093" s="36"/>
      <c r="CG1093" s="39"/>
      <c r="CH1093" s="39"/>
      <c r="CI1093" s="25">
        <v>3</v>
      </c>
    </row>
    <row r="1094" spans="1:87" ht="24.75" customHeight="1">
      <c r="A1094" s="36" t="s">
        <v>186</v>
      </c>
      <c r="B1094" s="55"/>
      <c r="C1094" s="36"/>
      <c r="D1094" s="36"/>
      <c r="E1094" s="39"/>
      <c r="F1094" s="39"/>
      <c r="G1094" s="36"/>
      <c r="H1094" s="39"/>
      <c r="I1094" s="39"/>
      <c r="J1094" s="39"/>
      <c r="K1094" s="39"/>
      <c r="L1094" s="39">
        <f t="shared" ref="L1094:L1101" si="749">SUM(I1094:K1094)</f>
        <v>0</v>
      </c>
      <c r="M1094" s="39"/>
      <c r="N1094" s="39"/>
      <c r="O1094" s="39"/>
      <c r="P1094" s="39"/>
      <c r="Q1094" s="39"/>
      <c r="R1094" s="39">
        <f t="shared" si="583"/>
        <v>0</v>
      </c>
      <c r="S1094" s="39"/>
      <c r="T1094" s="39"/>
      <c r="U1094" s="39"/>
      <c r="V1094" s="39"/>
      <c r="W1094" s="39"/>
      <c r="X1094" s="39"/>
      <c r="Y1094" s="39"/>
      <c r="Z1094" s="39"/>
      <c r="AA1094" s="39"/>
      <c r="AB1094" s="39">
        <f t="shared" si="584"/>
        <v>0</v>
      </c>
      <c r="AC1094" s="39"/>
      <c r="AD1094" s="39"/>
      <c r="AE1094" s="39"/>
      <c r="AF1094" s="39"/>
      <c r="AG1094" s="39"/>
      <c r="AH1094" s="39">
        <f t="shared" si="745"/>
        <v>0</v>
      </c>
      <c r="AI1094" s="39"/>
      <c r="AJ1094" s="39"/>
      <c r="AK1094" s="39"/>
      <c r="AL1094" s="39"/>
      <c r="AM1094" s="39"/>
      <c r="AN1094" s="39">
        <f t="shared" si="744"/>
        <v>0</v>
      </c>
      <c r="AO1094" s="39"/>
      <c r="AP1094" s="39"/>
      <c r="AQ1094" s="39"/>
      <c r="AR1094" s="39"/>
      <c r="AS1094" s="39"/>
      <c r="AT1094" s="39">
        <f t="shared" si="659"/>
        <v>0</v>
      </c>
      <c r="AU1094" s="39"/>
      <c r="AV1094" s="39"/>
      <c r="AW1094" s="39"/>
      <c r="AX1094" s="39"/>
      <c r="AY1094" s="39"/>
      <c r="AZ1094" s="39">
        <f t="shared" si="660"/>
        <v>0</v>
      </c>
      <c r="BA1094" s="39"/>
      <c r="BB1094" s="39"/>
      <c r="BC1094" s="39"/>
      <c r="BD1094" s="39"/>
      <c r="BE1094" s="39"/>
      <c r="BF1094" s="39">
        <f t="shared" si="661"/>
        <v>0</v>
      </c>
      <c r="BG1094" s="39"/>
      <c r="BH1094" s="39"/>
      <c r="BI1094" s="39"/>
      <c r="BJ1094" s="39"/>
      <c r="BK1094" s="39"/>
      <c r="BL1094" s="39">
        <f t="shared" si="746"/>
        <v>0</v>
      </c>
      <c r="BM1094" s="54" t="e">
        <f t="shared" si="662"/>
        <v>#DIV/0!</v>
      </c>
      <c r="BN1094" s="63"/>
      <c r="BO1094" s="39"/>
      <c r="BP1094" s="39"/>
      <c r="BQ1094" s="39"/>
      <c r="BR1094" s="39"/>
      <c r="BS1094" s="39"/>
      <c r="BT1094" s="39"/>
      <c r="BU1094" s="39"/>
      <c r="BV1094" s="39"/>
      <c r="BW1094" s="39"/>
      <c r="BX1094" s="39"/>
      <c r="BY1094" s="39"/>
      <c r="BZ1094" s="39">
        <f t="shared" si="747"/>
        <v>0</v>
      </c>
      <c r="CA1094" s="39">
        <f t="shared" si="663"/>
        <v>0</v>
      </c>
      <c r="CB1094" s="39">
        <f t="shared" si="664"/>
        <v>0</v>
      </c>
      <c r="CC1094" s="39">
        <f t="shared" si="665"/>
        <v>0</v>
      </c>
      <c r="CD1094" s="39">
        <f t="shared" si="748"/>
        <v>0</v>
      </c>
      <c r="CE1094" s="47" t="e">
        <f t="shared" si="666"/>
        <v>#DIV/0!</v>
      </c>
      <c r="CF1094" s="36"/>
      <c r="CG1094" s="39"/>
      <c r="CH1094" s="39"/>
      <c r="CI1094" s="25">
        <v>3</v>
      </c>
    </row>
    <row r="1095" spans="1:87" ht="24.75" customHeight="1">
      <c r="A1095" s="36" t="s">
        <v>186</v>
      </c>
      <c r="B1095" s="55"/>
      <c r="C1095" s="36"/>
      <c r="D1095" s="36"/>
      <c r="E1095" s="39"/>
      <c r="F1095" s="39"/>
      <c r="G1095" s="36"/>
      <c r="H1095" s="39"/>
      <c r="I1095" s="39"/>
      <c r="J1095" s="39"/>
      <c r="K1095" s="39"/>
      <c r="L1095" s="39">
        <f t="shared" si="749"/>
        <v>0</v>
      </c>
      <c r="M1095" s="39"/>
      <c r="N1095" s="39"/>
      <c r="O1095" s="39"/>
      <c r="P1095" s="39"/>
      <c r="Q1095" s="39"/>
      <c r="R1095" s="39">
        <f t="shared" si="583"/>
        <v>0</v>
      </c>
      <c r="S1095" s="39"/>
      <c r="T1095" s="39"/>
      <c r="U1095" s="39"/>
      <c r="V1095" s="39"/>
      <c r="W1095" s="39"/>
      <c r="X1095" s="39"/>
      <c r="Y1095" s="39"/>
      <c r="Z1095" s="39"/>
      <c r="AA1095" s="39"/>
      <c r="AB1095" s="39">
        <f t="shared" si="584"/>
        <v>0</v>
      </c>
      <c r="AC1095" s="39"/>
      <c r="AD1095" s="39"/>
      <c r="AE1095" s="39"/>
      <c r="AF1095" s="39"/>
      <c r="AG1095" s="39"/>
      <c r="AH1095" s="39">
        <f t="shared" si="745"/>
        <v>0</v>
      </c>
      <c r="AI1095" s="39"/>
      <c r="AJ1095" s="39"/>
      <c r="AK1095" s="39"/>
      <c r="AL1095" s="39"/>
      <c r="AM1095" s="39"/>
      <c r="AN1095" s="39">
        <f t="shared" si="744"/>
        <v>0</v>
      </c>
      <c r="AO1095" s="39"/>
      <c r="AP1095" s="39"/>
      <c r="AQ1095" s="39"/>
      <c r="AR1095" s="39"/>
      <c r="AS1095" s="39"/>
      <c r="AT1095" s="39">
        <f t="shared" si="659"/>
        <v>0</v>
      </c>
      <c r="AU1095" s="39"/>
      <c r="AV1095" s="39"/>
      <c r="AW1095" s="39"/>
      <c r="AX1095" s="39"/>
      <c r="AY1095" s="39"/>
      <c r="AZ1095" s="39">
        <f t="shared" si="660"/>
        <v>0</v>
      </c>
      <c r="BA1095" s="39"/>
      <c r="BB1095" s="39"/>
      <c r="BC1095" s="39"/>
      <c r="BD1095" s="39"/>
      <c r="BE1095" s="39"/>
      <c r="BF1095" s="39">
        <f t="shared" si="661"/>
        <v>0</v>
      </c>
      <c r="BG1095" s="39"/>
      <c r="BH1095" s="39"/>
      <c r="BI1095" s="39"/>
      <c r="BJ1095" s="39"/>
      <c r="BK1095" s="39"/>
      <c r="BL1095" s="39">
        <f t="shared" si="746"/>
        <v>0</v>
      </c>
      <c r="BM1095" s="54" t="e">
        <f t="shared" si="662"/>
        <v>#DIV/0!</v>
      </c>
      <c r="BN1095" s="63"/>
      <c r="BO1095" s="39"/>
      <c r="BP1095" s="39"/>
      <c r="BQ1095" s="39"/>
      <c r="BR1095" s="39"/>
      <c r="BS1095" s="39"/>
      <c r="BT1095" s="39"/>
      <c r="BU1095" s="39"/>
      <c r="BV1095" s="39"/>
      <c r="BW1095" s="39"/>
      <c r="BX1095" s="39"/>
      <c r="BY1095" s="39"/>
      <c r="BZ1095" s="39">
        <f t="shared" si="747"/>
        <v>0</v>
      </c>
      <c r="CA1095" s="39">
        <f t="shared" si="663"/>
        <v>0</v>
      </c>
      <c r="CB1095" s="39">
        <f t="shared" si="664"/>
        <v>0</v>
      </c>
      <c r="CC1095" s="39">
        <f t="shared" si="665"/>
        <v>0</v>
      </c>
      <c r="CD1095" s="39">
        <f t="shared" si="748"/>
        <v>0</v>
      </c>
      <c r="CE1095" s="47" t="e">
        <f t="shared" si="666"/>
        <v>#DIV/0!</v>
      </c>
      <c r="CF1095" s="36"/>
      <c r="CG1095" s="39"/>
      <c r="CH1095" s="39"/>
      <c r="CI1095" s="25">
        <v>3</v>
      </c>
    </row>
    <row r="1096" spans="1:87" ht="24.75" customHeight="1">
      <c r="A1096" s="36" t="s">
        <v>186</v>
      </c>
      <c r="B1096" s="55"/>
      <c r="C1096" s="36"/>
      <c r="D1096" s="36"/>
      <c r="E1096" s="39"/>
      <c r="F1096" s="39"/>
      <c r="G1096" s="36"/>
      <c r="H1096" s="39"/>
      <c r="I1096" s="39"/>
      <c r="J1096" s="39"/>
      <c r="K1096" s="39"/>
      <c r="L1096" s="39">
        <f t="shared" si="749"/>
        <v>0</v>
      </c>
      <c r="M1096" s="39"/>
      <c r="N1096" s="39"/>
      <c r="O1096" s="39"/>
      <c r="P1096" s="39"/>
      <c r="Q1096" s="39"/>
      <c r="R1096" s="39">
        <f t="shared" si="583"/>
        <v>0</v>
      </c>
      <c r="S1096" s="39"/>
      <c r="T1096" s="39"/>
      <c r="U1096" s="39"/>
      <c r="V1096" s="39"/>
      <c r="W1096" s="39"/>
      <c r="X1096" s="39"/>
      <c r="Y1096" s="39"/>
      <c r="Z1096" s="39"/>
      <c r="AA1096" s="39"/>
      <c r="AB1096" s="39">
        <f t="shared" si="584"/>
        <v>0</v>
      </c>
      <c r="AC1096" s="39"/>
      <c r="AD1096" s="39"/>
      <c r="AE1096" s="39"/>
      <c r="AF1096" s="39"/>
      <c r="AG1096" s="39"/>
      <c r="AH1096" s="39">
        <f t="shared" si="745"/>
        <v>0</v>
      </c>
      <c r="AI1096" s="39"/>
      <c r="AJ1096" s="39"/>
      <c r="AK1096" s="39"/>
      <c r="AL1096" s="39"/>
      <c r="AM1096" s="39"/>
      <c r="AN1096" s="39">
        <f t="shared" si="744"/>
        <v>0</v>
      </c>
      <c r="AO1096" s="39"/>
      <c r="AP1096" s="39"/>
      <c r="AQ1096" s="39"/>
      <c r="AR1096" s="39"/>
      <c r="AS1096" s="39"/>
      <c r="AT1096" s="39">
        <f t="shared" si="659"/>
        <v>0</v>
      </c>
      <c r="AU1096" s="39"/>
      <c r="AV1096" s="39"/>
      <c r="AW1096" s="39"/>
      <c r="AX1096" s="39"/>
      <c r="AY1096" s="39"/>
      <c r="AZ1096" s="39">
        <f t="shared" si="660"/>
        <v>0</v>
      </c>
      <c r="BA1096" s="39"/>
      <c r="BB1096" s="39"/>
      <c r="BC1096" s="39"/>
      <c r="BD1096" s="39"/>
      <c r="BE1096" s="39"/>
      <c r="BF1096" s="39">
        <f t="shared" si="661"/>
        <v>0</v>
      </c>
      <c r="BG1096" s="39"/>
      <c r="BH1096" s="39"/>
      <c r="BI1096" s="39"/>
      <c r="BJ1096" s="39"/>
      <c r="BK1096" s="39"/>
      <c r="BL1096" s="39">
        <f t="shared" si="746"/>
        <v>0</v>
      </c>
      <c r="BM1096" s="54" t="e">
        <f t="shared" si="662"/>
        <v>#DIV/0!</v>
      </c>
      <c r="BN1096" s="63"/>
      <c r="BO1096" s="39"/>
      <c r="BP1096" s="39"/>
      <c r="BQ1096" s="39"/>
      <c r="BR1096" s="39"/>
      <c r="BS1096" s="39"/>
      <c r="BT1096" s="39"/>
      <c r="BU1096" s="39"/>
      <c r="BV1096" s="39"/>
      <c r="BW1096" s="39"/>
      <c r="BX1096" s="39"/>
      <c r="BY1096" s="39"/>
      <c r="BZ1096" s="39">
        <f t="shared" si="747"/>
        <v>0</v>
      </c>
      <c r="CA1096" s="39">
        <f t="shared" si="663"/>
        <v>0</v>
      </c>
      <c r="CB1096" s="39">
        <f t="shared" si="664"/>
        <v>0</v>
      </c>
      <c r="CC1096" s="39">
        <f t="shared" si="665"/>
        <v>0</v>
      </c>
      <c r="CD1096" s="39">
        <f t="shared" si="748"/>
        <v>0</v>
      </c>
      <c r="CE1096" s="47" t="e">
        <f t="shared" si="666"/>
        <v>#DIV/0!</v>
      </c>
      <c r="CF1096" s="36"/>
      <c r="CG1096" s="39"/>
      <c r="CH1096" s="39"/>
      <c r="CI1096" s="25">
        <v>3</v>
      </c>
    </row>
    <row r="1097" spans="1:87" ht="24.75" customHeight="1">
      <c r="A1097" s="36" t="s">
        <v>84</v>
      </c>
      <c r="B1097" s="55"/>
      <c r="C1097" s="36"/>
      <c r="D1097" s="36"/>
      <c r="E1097" s="39"/>
      <c r="F1097" s="39"/>
      <c r="G1097" s="36"/>
      <c r="H1097" s="39"/>
      <c r="I1097" s="39"/>
      <c r="J1097" s="39"/>
      <c r="K1097" s="39"/>
      <c r="L1097" s="39">
        <f t="shared" si="749"/>
        <v>0</v>
      </c>
      <c r="M1097" s="39"/>
      <c r="N1097" s="39"/>
      <c r="O1097" s="39"/>
      <c r="P1097" s="39"/>
      <c r="Q1097" s="39"/>
      <c r="R1097" s="39">
        <f t="shared" si="583"/>
        <v>0</v>
      </c>
      <c r="S1097" s="39"/>
      <c r="T1097" s="39"/>
      <c r="U1097" s="39"/>
      <c r="V1097" s="39"/>
      <c r="W1097" s="39"/>
      <c r="X1097" s="39"/>
      <c r="Y1097" s="39"/>
      <c r="Z1097" s="39"/>
      <c r="AA1097" s="39"/>
      <c r="AB1097" s="39">
        <f t="shared" si="584"/>
        <v>0</v>
      </c>
      <c r="AC1097" s="39"/>
      <c r="AD1097" s="39"/>
      <c r="AE1097" s="39"/>
      <c r="AF1097" s="39"/>
      <c r="AG1097" s="39"/>
      <c r="AH1097" s="39">
        <f t="shared" si="745"/>
        <v>0</v>
      </c>
      <c r="AI1097" s="39"/>
      <c r="AJ1097" s="39"/>
      <c r="AK1097" s="39"/>
      <c r="AL1097" s="39"/>
      <c r="AM1097" s="39"/>
      <c r="AN1097" s="39">
        <f t="shared" si="744"/>
        <v>0</v>
      </c>
      <c r="AO1097" s="39"/>
      <c r="AP1097" s="39"/>
      <c r="AQ1097" s="39"/>
      <c r="AR1097" s="39"/>
      <c r="AS1097" s="39"/>
      <c r="AT1097" s="39">
        <f t="shared" si="659"/>
        <v>0</v>
      </c>
      <c r="AU1097" s="39"/>
      <c r="AV1097" s="39"/>
      <c r="AW1097" s="39"/>
      <c r="AX1097" s="39"/>
      <c r="AY1097" s="39"/>
      <c r="AZ1097" s="39">
        <f t="shared" si="660"/>
        <v>0</v>
      </c>
      <c r="BA1097" s="39"/>
      <c r="BB1097" s="39"/>
      <c r="BC1097" s="39"/>
      <c r="BD1097" s="39"/>
      <c r="BE1097" s="39"/>
      <c r="BF1097" s="39">
        <f t="shared" si="661"/>
        <v>0</v>
      </c>
      <c r="BG1097" s="39"/>
      <c r="BH1097" s="39"/>
      <c r="BI1097" s="39"/>
      <c r="BJ1097" s="39"/>
      <c r="BK1097" s="39"/>
      <c r="BL1097" s="39">
        <f t="shared" si="746"/>
        <v>0</v>
      </c>
      <c r="BM1097" s="54" t="e">
        <f t="shared" si="662"/>
        <v>#DIV/0!</v>
      </c>
      <c r="BN1097" s="42"/>
      <c r="BO1097" s="39"/>
      <c r="BP1097" s="39"/>
      <c r="BQ1097" s="39"/>
      <c r="BR1097" s="39"/>
      <c r="BS1097" s="39"/>
      <c r="BT1097" s="39"/>
      <c r="BU1097" s="39"/>
      <c r="BV1097" s="39"/>
      <c r="BW1097" s="39"/>
      <c r="BX1097" s="39"/>
      <c r="BY1097" s="39"/>
      <c r="BZ1097" s="39">
        <f t="shared" si="747"/>
        <v>0</v>
      </c>
      <c r="CA1097" s="39">
        <f t="shared" si="663"/>
        <v>0</v>
      </c>
      <c r="CB1097" s="39">
        <f t="shared" si="664"/>
        <v>0</v>
      </c>
      <c r="CC1097" s="39">
        <f t="shared" si="665"/>
        <v>0</v>
      </c>
      <c r="CD1097" s="39">
        <f t="shared" si="748"/>
        <v>0</v>
      </c>
      <c r="CE1097" s="47" t="e">
        <f t="shared" si="666"/>
        <v>#DIV/0!</v>
      </c>
      <c r="CF1097" s="36"/>
      <c r="CG1097" s="39"/>
      <c r="CH1097" s="39"/>
      <c r="CI1097" s="25">
        <v>1</v>
      </c>
    </row>
    <row r="1098" spans="1:87" ht="24.75" customHeight="1">
      <c r="A1098" s="36" t="s">
        <v>84</v>
      </c>
      <c r="B1098" s="55"/>
      <c r="C1098" s="36"/>
      <c r="D1098" s="36"/>
      <c r="E1098" s="39"/>
      <c r="F1098" s="39"/>
      <c r="G1098" s="36"/>
      <c r="H1098" s="39"/>
      <c r="I1098" s="39"/>
      <c r="J1098" s="39"/>
      <c r="K1098" s="39"/>
      <c r="L1098" s="39">
        <f t="shared" si="749"/>
        <v>0</v>
      </c>
      <c r="M1098" s="39"/>
      <c r="N1098" s="39"/>
      <c r="O1098" s="39"/>
      <c r="P1098" s="39"/>
      <c r="Q1098" s="39"/>
      <c r="R1098" s="39">
        <f t="shared" si="583"/>
        <v>0</v>
      </c>
      <c r="S1098" s="39"/>
      <c r="T1098" s="39"/>
      <c r="U1098" s="39"/>
      <c r="V1098" s="39"/>
      <c r="W1098" s="39"/>
      <c r="X1098" s="39"/>
      <c r="Y1098" s="39"/>
      <c r="Z1098" s="39"/>
      <c r="AA1098" s="39"/>
      <c r="AB1098" s="39">
        <f t="shared" si="584"/>
        <v>0</v>
      </c>
      <c r="AC1098" s="39"/>
      <c r="AD1098" s="39"/>
      <c r="AE1098" s="39"/>
      <c r="AF1098" s="39"/>
      <c r="AG1098" s="39"/>
      <c r="AH1098" s="39">
        <f t="shared" si="745"/>
        <v>0</v>
      </c>
      <c r="AI1098" s="39"/>
      <c r="AJ1098" s="39"/>
      <c r="AK1098" s="39"/>
      <c r="AL1098" s="39"/>
      <c r="AM1098" s="39"/>
      <c r="AN1098" s="39">
        <f t="shared" si="744"/>
        <v>0</v>
      </c>
      <c r="AO1098" s="39"/>
      <c r="AP1098" s="39"/>
      <c r="AQ1098" s="39"/>
      <c r="AR1098" s="39"/>
      <c r="AS1098" s="39"/>
      <c r="AT1098" s="39">
        <f t="shared" si="659"/>
        <v>0</v>
      </c>
      <c r="AU1098" s="39"/>
      <c r="AV1098" s="39"/>
      <c r="AW1098" s="39"/>
      <c r="AX1098" s="39"/>
      <c r="AY1098" s="39"/>
      <c r="AZ1098" s="39">
        <f t="shared" si="660"/>
        <v>0</v>
      </c>
      <c r="BA1098" s="39"/>
      <c r="BB1098" s="39"/>
      <c r="BC1098" s="39"/>
      <c r="BD1098" s="39"/>
      <c r="BE1098" s="39"/>
      <c r="BF1098" s="39">
        <f t="shared" si="661"/>
        <v>0</v>
      </c>
      <c r="BG1098" s="39"/>
      <c r="BH1098" s="39"/>
      <c r="BI1098" s="39"/>
      <c r="BJ1098" s="39"/>
      <c r="BK1098" s="39"/>
      <c r="BL1098" s="39">
        <f t="shared" si="746"/>
        <v>0</v>
      </c>
      <c r="BM1098" s="54" t="e">
        <f t="shared" si="662"/>
        <v>#DIV/0!</v>
      </c>
      <c r="BN1098" s="42"/>
      <c r="BO1098" s="39"/>
      <c r="BP1098" s="39"/>
      <c r="BQ1098" s="39"/>
      <c r="BR1098" s="39"/>
      <c r="BS1098" s="39"/>
      <c r="BT1098" s="39"/>
      <c r="BU1098" s="39"/>
      <c r="BV1098" s="39"/>
      <c r="BW1098" s="39"/>
      <c r="BX1098" s="39"/>
      <c r="BY1098" s="39"/>
      <c r="BZ1098" s="39">
        <f t="shared" si="747"/>
        <v>0</v>
      </c>
      <c r="CA1098" s="39">
        <f t="shared" si="663"/>
        <v>0</v>
      </c>
      <c r="CB1098" s="39">
        <f t="shared" si="664"/>
        <v>0</v>
      </c>
      <c r="CC1098" s="39">
        <f t="shared" si="665"/>
        <v>0</v>
      </c>
      <c r="CD1098" s="39">
        <f t="shared" si="748"/>
        <v>0</v>
      </c>
      <c r="CE1098" s="47" t="e">
        <f t="shared" si="666"/>
        <v>#DIV/0!</v>
      </c>
      <c r="CF1098" s="36"/>
      <c r="CG1098" s="39"/>
      <c r="CH1098" s="39"/>
      <c r="CI1098" s="25">
        <v>1</v>
      </c>
    </row>
    <row r="1099" spans="1:87" ht="24.75" customHeight="1">
      <c r="A1099" s="36" t="s">
        <v>84</v>
      </c>
      <c r="B1099" s="55"/>
      <c r="C1099" s="36"/>
      <c r="D1099" s="36"/>
      <c r="E1099" s="39"/>
      <c r="F1099" s="39"/>
      <c r="G1099" s="36"/>
      <c r="H1099" s="39"/>
      <c r="I1099" s="39"/>
      <c r="J1099" s="39"/>
      <c r="K1099" s="39"/>
      <c r="L1099" s="39">
        <f t="shared" si="749"/>
        <v>0</v>
      </c>
      <c r="M1099" s="39"/>
      <c r="N1099" s="39"/>
      <c r="O1099" s="39"/>
      <c r="P1099" s="39"/>
      <c r="Q1099" s="39"/>
      <c r="R1099" s="39">
        <f t="shared" si="583"/>
        <v>0</v>
      </c>
      <c r="S1099" s="39"/>
      <c r="T1099" s="39"/>
      <c r="U1099" s="39"/>
      <c r="V1099" s="39"/>
      <c r="W1099" s="39"/>
      <c r="X1099" s="39"/>
      <c r="Y1099" s="39"/>
      <c r="Z1099" s="39"/>
      <c r="AA1099" s="39"/>
      <c r="AB1099" s="39">
        <f t="shared" si="584"/>
        <v>0</v>
      </c>
      <c r="AC1099" s="39"/>
      <c r="AD1099" s="39"/>
      <c r="AE1099" s="39"/>
      <c r="AF1099" s="39"/>
      <c r="AG1099" s="39"/>
      <c r="AH1099" s="39">
        <f t="shared" si="745"/>
        <v>0</v>
      </c>
      <c r="AI1099" s="39"/>
      <c r="AJ1099" s="39"/>
      <c r="AK1099" s="39"/>
      <c r="AL1099" s="39"/>
      <c r="AM1099" s="39"/>
      <c r="AN1099" s="39">
        <f t="shared" si="744"/>
        <v>0</v>
      </c>
      <c r="AO1099" s="39"/>
      <c r="AP1099" s="39"/>
      <c r="AQ1099" s="39"/>
      <c r="AR1099" s="39"/>
      <c r="AS1099" s="39"/>
      <c r="AT1099" s="39">
        <f t="shared" si="659"/>
        <v>0</v>
      </c>
      <c r="AU1099" s="39"/>
      <c r="AV1099" s="39"/>
      <c r="AW1099" s="39"/>
      <c r="AX1099" s="39"/>
      <c r="AY1099" s="39"/>
      <c r="AZ1099" s="39">
        <f t="shared" si="660"/>
        <v>0</v>
      </c>
      <c r="BA1099" s="39"/>
      <c r="BB1099" s="39"/>
      <c r="BC1099" s="39"/>
      <c r="BD1099" s="39"/>
      <c r="BE1099" s="39"/>
      <c r="BF1099" s="39">
        <f t="shared" si="661"/>
        <v>0</v>
      </c>
      <c r="BG1099" s="39"/>
      <c r="BH1099" s="39"/>
      <c r="BI1099" s="39"/>
      <c r="BJ1099" s="39"/>
      <c r="BK1099" s="39"/>
      <c r="BL1099" s="39">
        <f t="shared" si="746"/>
        <v>0</v>
      </c>
      <c r="BM1099" s="54" t="e">
        <f t="shared" si="662"/>
        <v>#DIV/0!</v>
      </c>
      <c r="BN1099" s="42"/>
      <c r="BO1099" s="39"/>
      <c r="BP1099" s="39"/>
      <c r="BQ1099" s="39"/>
      <c r="BR1099" s="39"/>
      <c r="BS1099" s="39"/>
      <c r="BT1099" s="39"/>
      <c r="BU1099" s="39"/>
      <c r="BV1099" s="39"/>
      <c r="BW1099" s="39"/>
      <c r="BX1099" s="39"/>
      <c r="BY1099" s="39"/>
      <c r="BZ1099" s="39">
        <f t="shared" si="747"/>
        <v>0</v>
      </c>
      <c r="CA1099" s="39">
        <f t="shared" si="663"/>
        <v>0</v>
      </c>
      <c r="CB1099" s="39">
        <f t="shared" si="664"/>
        <v>0</v>
      </c>
      <c r="CC1099" s="39">
        <f t="shared" si="665"/>
        <v>0</v>
      </c>
      <c r="CD1099" s="39">
        <f t="shared" si="748"/>
        <v>0</v>
      </c>
      <c r="CE1099" s="47" t="e">
        <f t="shared" si="666"/>
        <v>#DIV/0!</v>
      </c>
      <c r="CF1099" s="36"/>
      <c r="CG1099" s="39"/>
      <c r="CH1099" s="39"/>
      <c r="CI1099" s="25">
        <v>1</v>
      </c>
    </row>
    <row r="1100" spans="1:87" ht="24.75" customHeight="1">
      <c r="A1100" s="36" t="s">
        <v>84</v>
      </c>
      <c r="B1100" s="55"/>
      <c r="C1100" s="36"/>
      <c r="D1100" s="36"/>
      <c r="E1100" s="39"/>
      <c r="F1100" s="39"/>
      <c r="G1100" s="36"/>
      <c r="H1100" s="39"/>
      <c r="I1100" s="39"/>
      <c r="J1100" s="39"/>
      <c r="K1100" s="39"/>
      <c r="L1100" s="39">
        <f t="shared" si="749"/>
        <v>0</v>
      </c>
      <c r="M1100" s="39"/>
      <c r="N1100" s="39"/>
      <c r="O1100" s="39"/>
      <c r="P1100" s="39"/>
      <c r="Q1100" s="39"/>
      <c r="R1100" s="39">
        <f t="shared" si="583"/>
        <v>0</v>
      </c>
      <c r="S1100" s="39"/>
      <c r="T1100" s="39"/>
      <c r="U1100" s="39"/>
      <c r="V1100" s="39"/>
      <c r="W1100" s="39"/>
      <c r="X1100" s="39"/>
      <c r="Y1100" s="39"/>
      <c r="Z1100" s="39"/>
      <c r="AA1100" s="39"/>
      <c r="AB1100" s="39">
        <f t="shared" si="584"/>
        <v>0</v>
      </c>
      <c r="AC1100" s="39"/>
      <c r="AD1100" s="39"/>
      <c r="AE1100" s="39"/>
      <c r="AF1100" s="39"/>
      <c r="AG1100" s="39"/>
      <c r="AH1100" s="39">
        <f t="shared" si="745"/>
        <v>0</v>
      </c>
      <c r="AI1100" s="39"/>
      <c r="AJ1100" s="39"/>
      <c r="AK1100" s="39"/>
      <c r="AL1100" s="39"/>
      <c r="AM1100" s="39"/>
      <c r="AN1100" s="39">
        <f t="shared" si="744"/>
        <v>0</v>
      </c>
      <c r="AO1100" s="39"/>
      <c r="AP1100" s="39"/>
      <c r="AQ1100" s="39"/>
      <c r="AR1100" s="39"/>
      <c r="AS1100" s="39"/>
      <c r="AT1100" s="39">
        <f t="shared" si="659"/>
        <v>0</v>
      </c>
      <c r="AU1100" s="39"/>
      <c r="AV1100" s="39"/>
      <c r="AW1100" s="39"/>
      <c r="AX1100" s="39"/>
      <c r="AY1100" s="39"/>
      <c r="AZ1100" s="39">
        <f t="shared" si="660"/>
        <v>0</v>
      </c>
      <c r="BA1100" s="39"/>
      <c r="BB1100" s="39"/>
      <c r="BC1100" s="39"/>
      <c r="BD1100" s="39"/>
      <c r="BE1100" s="39"/>
      <c r="BF1100" s="39">
        <f t="shared" si="661"/>
        <v>0</v>
      </c>
      <c r="BG1100" s="39"/>
      <c r="BH1100" s="39"/>
      <c r="BI1100" s="39"/>
      <c r="BJ1100" s="39"/>
      <c r="BK1100" s="39"/>
      <c r="BL1100" s="39">
        <f t="shared" si="746"/>
        <v>0</v>
      </c>
      <c r="BM1100" s="54" t="e">
        <f t="shared" si="662"/>
        <v>#DIV/0!</v>
      </c>
      <c r="BN1100" s="42"/>
      <c r="BO1100" s="39"/>
      <c r="BP1100" s="39"/>
      <c r="BQ1100" s="39"/>
      <c r="BR1100" s="39"/>
      <c r="BS1100" s="39"/>
      <c r="BT1100" s="39"/>
      <c r="BU1100" s="39"/>
      <c r="BV1100" s="39"/>
      <c r="BW1100" s="39"/>
      <c r="BX1100" s="39"/>
      <c r="BY1100" s="39"/>
      <c r="BZ1100" s="39">
        <f t="shared" si="747"/>
        <v>0</v>
      </c>
      <c r="CA1100" s="39">
        <f t="shared" si="663"/>
        <v>0</v>
      </c>
      <c r="CB1100" s="39">
        <f t="shared" si="664"/>
        <v>0</v>
      </c>
      <c r="CC1100" s="39">
        <f t="shared" si="665"/>
        <v>0</v>
      </c>
      <c r="CD1100" s="39">
        <f t="shared" si="748"/>
        <v>0</v>
      </c>
      <c r="CE1100" s="47" t="e">
        <f t="shared" si="666"/>
        <v>#DIV/0!</v>
      </c>
      <c r="CF1100" s="36"/>
      <c r="CG1100" s="39"/>
      <c r="CH1100" s="39"/>
      <c r="CI1100" s="25">
        <v>1</v>
      </c>
    </row>
    <row r="1101" spans="1:87" ht="24.75" customHeight="1">
      <c r="A1101" s="36" t="s">
        <v>84</v>
      </c>
      <c r="B1101" s="55"/>
      <c r="C1101" s="36"/>
      <c r="D1101" s="36"/>
      <c r="E1101" s="39"/>
      <c r="F1101" s="39"/>
      <c r="G1101" s="36"/>
      <c r="H1101" s="39"/>
      <c r="I1101" s="39"/>
      <c r="J1101" s="39"/>
      <c r="K1101" s="39"/>
      <c r="L1101" s="39">
        <f t="shared" si="749"/>
        <v>0</v>
      </c>
      <c r="M1101" s="39"/>
      <c r="N1101" s="39"/>
      <c r="O1101" s="39"/>
      <c r="P1101" s="39"/>
      <c r="Q1101" s="39"/>
      <c r="R1101" s="39">
        <f t="shared" si="583"/>
        <v>0</v>
      </c>
      <c r="S1101" s="39"/>
      <c r="T1101" s="39"/>
      <c r="U1101" s="39"/>
      <c r="V1101" s="39"/>
      <c r="W1101" s="39"/>
      <c r="X1101" s="39"/>
      <c r="Y1101" s="39"/>
      <c r="Z1101" s="39"/>
      <c r="AA1101" s="39"/>
      <c r="AB1101" s="39">
        <f t="shared" si="584"/>
        <v>0</v>
      </c>
      <c r="AC1101" s="39"/>
      <c r="AD1101" s="39"/>
      <c r="AE1101" s="39"/>
      <c r="AF1101" s="39"/>
      <c r="AG1101" s="39"/>
      <c r="AH1101" s="39">
        <f t="shared" si="745"/>
        <v>0</v>
      </c>
      <c r="AI1101" s="39"/>
      <c r="AJ1101" s="39"/>
      <c r="AK1101" s="39"/>
      <c r="AL1101" s="39"/>
      <c r="AM1101" s="39"/>
      <c r="AN1101" s="39">
        <f t="shared" si="744"/>
        <v>0</v>
      </c>
      <c r="AO1101" s="39"/>
      <c r="AP1101" s="39"/>
      <c r="AQ1101" s="39"/>
      <c r="AR1101" s="39"/>
      <c r="AS1101" s="39"/>
      <c r="AT1101" s="39">
        <f t="shared" si="659"/>
        <v>0</v>
      </c>
      <c r="AU1101" s="39"/>
      <c r="AV1101" s="39"/>
      <c r="AW1101" s="39"/>
      <c r="AX1101" s="39"/>
      <c r="AY1101" s="39"/>
      <c r="AZ1101" s="39">
        <f t="shared" si="660"/>
        <v>0</v>
      </c>
      <c r="BA1101" s="39"/>
      <c r="BB1101" s="39"/>
      <c r="BC1101" s="39"/>
      <c r="BD1101" s="39"/>
      <c r="BE1101" s="39"/>
      <c r="BF1101" s="39">
        <f t="shared" si="661"/>
        <v>0</v>
      </c>
      <c r="BG1101" s="39"/>
      <c r="BH1101" s="39"/>
      <c r="BI1101" s="39"/>
      <c r="BJ1101" s="39"/>
      <c r="BK1101" s="39"/>
      <c r="BL1101" s="39">
        <f t="shared" si="746"/>
        <v>0</v>
      </c>
      <c r="BM1101" s="54" t="e">
        <f t="shared" si="662"/>
        <v>#DIV/0!</v>
      </c>
      <c r="BN1101" s="42"/>
      <c r="BO1101" s="39"/>
      <c r="BP1101" s="39"/>
      <c r="BQ1101" s="39"/>
      <c r="BR1101" s="39"/>
      <c r="BS1101" s="39"/>
      <c r="BT1101" s="39"/>
      <c r="BU1101" s="39"/>
      <c r="BV1101" s="39"/>
      <c r="BW1101" s="39"/>
      <c r="BX1101" s="39"/>
      <c r="BY1101" s="39"/>
      <c r="BZ1101" s="39">
        <f t="shared" si="747"/>
        <v>0</v>
      </c>
      <c r="CA1101" s="39">
        <f t="shared" si="663"/>
        <v>0</v>
      </c>
      <c r="CB1101" s="39">
        <f t="shared" si="664"/>
        <v>0</v>
      </c>
      <c r="CC1101" s="39">
        <f t="shared" si="665"/>
        <v>0</v>
      </c>
      <c r="CD1101" s="39">
        <f t="shared" si="748"/>
        <v>0</v>
      </c>
      <c r="CE1101" s="47" t="e">
        <f t="shared" si="666"/>
        <v>#DIV/0!</v>
      </c>
      <c r="CF1101" s="36"/>
      <c r="CG1101" s="39"/>
      <c r="CH1101" s="39"/>
      <c r="CI1101" s="25">
        <v>1</v>
      </c>
    </row>
    <row r="1102" spans="1:87" ht="24.75" customHeight="1">
      <c r="A1102" s="36" t="s">
        <v>84</v>
      </c>
      <c r="B1102" s="55"/>
      <c r="C1102" s="36"/>
      <c r="D1102" s="36"/>
      <c r="E1102" s="39"/>
      <c r="F1102" s="39"/>
      <c r="G1102" s="36"/>
      <c r="H1102" s="39"/>
      <c r="I1102" s="39"/>
      <c r="J1102" s="39"/>
      <c r="K1102" s="39"/>
      <c r="L1102" s="39">
        <f t="shared" ref="L1102:L1108" si="750">SUM(I1102:K1102)</f>
        <v>0</v>
      </c>
      <c r="M1102" s="39"/>
      <c r="N1102" s="39"/>
      <c r="O1102" s="39"/>
      <c r="P1102" s="39"/>
      <c r="Q1102" s="39"/>
      <c r="R1102" s="39">
        <f t="shared" si="583"/>
        <v>0</v>
      </c>
      <c r="S1102" s="39"/>
      <c r="T1102" s="39"/>
      <c r="U1102" s="39"/>
      <c r="V1102" s="39"/>
      <c r="W1102" s="39"/>
      <c r="X1102" s="39"/>
      <c r="Y1102" s="39"/>
      <c r="Z1102" s="39"/>
      <c r="AA1102" s="39"/>
      <c r="AB1102" s="39">
        <f t="shared" si="584"/>
        <v>0</v>
      </c>
      <c r="AC1102" s="39"/>
      <c r="AD1102" s="39"/>
      <c r="AE1102" s="39"/>
      <c r="AF1102" s="39"/>
      <c r="AG1102" s="39"/>
      <c r="AH1102" s="39">
        <f t="shared" si="745"/>
        <v>0</v>
      </c>
      <c r="AI1102" s="39"/>
      <c r="AJ1102" s="39"/>
      <c r="AK1102" s="39"/>
      <c r="AL1102" s="39"/>
      <c r="AM1102" s="39"/>
      <c r="AN1102" s="39">
        <f t="shared" si="744"/>
        <v>0</v>
      </c>
      <c r="AO1102" s="39"/>
      <c r="AP1102" s="39"/>
      <c r="AQ1102" s="39"/>
      <c r="AR1102" s="39"/>
      <c r="AS1102" s="39"/>
      <c r="AT1102" s="39">
        <f t="shared" si="659"/>
        <v>0</v>
      </c>
      <c r="AU1102" s="39"/>
      <c r="AV1102" s="39"/>
      <c r="AW1102" s="39"/>
      <c r="AX1102" s="39"/>
      <c r="AY1102" s="39"/>
      <c r="AZ1102" s="39">
        <f t="shared" si="660"/>
        <v>0</v>
      </c>
      <c r="BA1102" s="39"/>
      <c r="BB1102" s="39"/>
      <c r="BC1102" s="39"/>
      <c r="BD1102" s="39"/>
      <c r="BE1102" s="39"/>
      <c r="BF1102" s="39">
        <f t="shared" si="661"/>
        <v>0</v>
      </c>
      <c r="BG1102" s="39"/>
      <c r="BH1102" s="39"/>
      <c r="BI1102" s="39"/>
      <c r="BJ1102" s="39"/>
      <c r="BK1102" s="39"/>
      <c r="BL1102" s="39">
        <f t="shared" si="746"/>
        <v>0</v>
      </c>
      <c r="BM1102" s="54" t="e">
        <f t="shared" si="662"/>
        <v>#DIV/0!</v>
      </c>
      <c r="BN1102" s="67"/>
      <c r="BO1102" s="39"/>
      <c r="BP1102" s="39"/>
      <c r="BQ1102" s="39"/>
      <c r="BR1102" s="39"/>
      <c r="BS1102" s="39"/>
      <c r="BT1102" s="39"/>
      <c r="BU1102" s="39"/>
      <c r="BV1102" s="39"/>
      <c r="BW1102" s="39"/>
      <c r="BX1102" s="39"/>
      <c r="BY1102" s="39"/>
      <c r="BZ1102" s="39">
        <f t="shared" si="747"/>
        <v>0</v>
      </c>
      <c r="CA1102" s="39">
        <f t="shared" si="663"/>
        <v>0</v>
      </c>
      <c r="CB1102" s="39">
        <f t="shared" si="664"/>
        <v>0</v>
      </c>
      <c r="CC1102" s="39">
        <f t="shared" si="665"/>
        <v>0</v>
      </c>
      <c r="CD1102" s="39">
        <f t="shared" si="748"/>
        <v>0</v>
      </c>
      <c r="CE1102" s="47" t="e">
        <f t="shared" si="666"/>
        <v>#DIV/0!</v>
      </c>
      <c r="CF1102" s="36"/>
      <c r="CG1102" s="39"/>
      <c r="CH1102" s="39"/>
      <c r="CI1102" s="25">
        <v>2</v>
      </c>
    </row>
    <row r="1103" spans="1:87" ht="24.75" customHeight="1">
      <c r="A1103" s="36" t="s">
        <v>84</v>
      </c>
      <c r="B1103" s="55"/>
      <c r="C1103" s="36"/>
      <c r="D1103" s="36"/>
      <c r="E1103" s="39"/>
      <c r="F1103" s="39"/>
      <c r="G1103" s="36"/>
      <c r="H1103" s="39"/>
      <c r="I1103" s="39"/>
      <c r="J1103" s="39"/>
      <c r="K1103" s="39"/>
      <c r="L1103" s="39">
        <f t="shared" si="750"/>
        <v>0</v>
      </c>
      <c r="M1103" s="39"/>
      <c r="N1103" s="39"/>
      <c r="O1103" s="39"/>
      <c r="P1103" s="39"/>
      <c r="Q1103" s="39"/>
      <c r="R1103" s="39">
        <f t="shared" si="583"/>
        <v>0</v>
      </c>
      <c r="S1103" s="39"/>
      <c r="T1103" s="39"/>
      <c r="U1103" s="39"/>
      <c r="V1103" s="39"/>
      <c r="W1103" s="39"/>
      <c r="X1103" s="39"/>
      <c r="Y1103" s="39"/>
      <c r="Z1103" s="39"/>
      <c r="AA1103" s="39"/>
      <c r="AB1103" s="39">
        <f t="shared" si="584"/>
        <v>0</v>
      </c>
      <c r="AC1103" s="39"/>
      <c r="AD1103" s="39"/>
      <c r="AE1103" s="39"/>
      <c r="AF1103" s="39"/>
      <c r="AG1103" s="39"/>
      <c r="AH1103" s="39">
        <f t="shared" si="745"/>
        <v>0</v>
      </c>
      <c r="AI1103" s="39"/>
      <c r="AJ1103" s="39"/>
      <c r="AK1103" s="39"/>
      <c r="AL1103" s="39"/>
      <c r="AM1103" s="39"/>
      <c r="AN1103" s="39">
        <f t="shared" si="744"/>
        <v>0</v>
      </c>
      <c r="AO1103" s="39"/>
      <c r="AP1103" s="39"/>
      <c r="AQ1103" s="39"/>
      <c r="AR1103" s="39"/>
      <c r="AS1103" s="39"/>
      <c r="AT1103" s="39">
        <f t="shared" si="659"/>
        <v>0</v>
      </c>
      <c r="AU1103" s="39"/>
      <c r="AV1103" s="39"/>
      <c r="AW1103" s="39"/>
      <c r="AX1103" s="39"/>
      <c r="AY1103" s="39"/>
      <c r="AZ1103" s="39">
        <f t="shared" si="660"/>
        <v>0</v>
      </c>
      <c r="BA1103" s="39"/>
      <c r="BB1103" s="39"/>
      <c r="BC1103" s="39"/>
      <c r="BD1103" s="39"/>
      <c r="BE1103" s="39"/>
      <c r="BF1103" s="39">
        <f t="shared" si="661"/>
        <v>0</v>
      </c>
      <c r="BG1103" s="39"/>
      <c r="BH1103" s="39"/>
      <c r="BI1103" s="39"/>
      <c r="BJ1103" s="39"/>
      <c r="BK1103" s="39"/>
      <c r="BL1103" s="39">
        <f t="shared" si="746"/>
        <v>0</v>
      </c>
      <c r="BM1103" s="54" t="e">
        <f t="shared" si="662"/>
        <v>#DIV/0!</v>
      </c>
      <c r="BN1103" s="67"/>
      <c r="BO1103" s="39"/>
      <c r="BP1103" s="39"/>
      <c r="BQ1103" s="39"/>
      <c r="BR1103" s="39"/>
      <c r="BS1103" s="39"/>
      <c r="BT1103" s="39"/>
      <c r="BU1103" s="39"/>
      <c r="BV1103" s="39"/>
      <c r="BW1103" s="39"/>
      <c r="BX1103" s="39"/>
      <c r="BY1103" s="39"/>
      <c r="BZ1103" s="39">
        <f t="shared" si="747"/>
        <v>0</v>
      </c>
      <c r="CA1103" s="39">
        <f t="shared" si="663"/>
        <v>0</v>
      </c>
      <c r="CB1103" s="39">
        <f t="shared" si="664"/>
        <v>0</v>
      </c>
      <c r="CC1103" s="39">
        <f t="shared" si="665"/>
        <v>0</v>
      </c>
      <c r="CD1103" s="39">
        <f t="shared" si="748"/>
        <v>0</v>
      </c>
      <c r="CE1103" s="47" t="e">
        <f t="shared" si="666"/>
        <v>#DIV/0!</v>
      </c>
      <c r="CF1103" s="36"/>
      <c r="CG1103" s="39"/>
      <c r="CH1103" s="39"/>
      <c r="CI1103" s="25">
        <v>2</v>
      </c>
    </row>
    <row r="1104" spans="1:87" ht="24.75" customHeight="1">
      <c r="A1104" s="36" t="s">
        <v>84</v>
      </c>
      <c r="B1104" s="55"/>
      <c r="C1104" s="36"/>
      <c r="D1104" s="36"/>
      <c r="E1104" s="39"/>
      <c r="F1104" s="39"/>
      <c r="G1104" s="36"/>
      <c r="H1104" s="39"/>
      <c r="I1104" s="39"/>
      <c r="J1104" s="39"/>
      <c r="K1104" s="39"/>
      <c r="L1104" s="39">
        <f>SUM(I1104:K1104)</f>
        <v>0</v>
      </c>
      <c r="M1104" s="39"/>
      <c r="N1104" s="39"/>
      <c r="O1104" s="39"/>
      <c r="P1104" s="39"/>
      <c r="Q1104" s="39"/>
      <c r="R1104" s="39">
        <f>SUM(O1104:Q1104)</f>
        <v>0</v>
      </c>
      <c r="S1104" s="39"/>
      <c r="T1104" s="39"/>
      <c r="U1104" s="39"/>
      <c r="V1104" s="39"/>
      <c r="W1104" s="39"/>
      <c r="X1104" s="39"/>
      <c r="Y1104" s="39"/>
      <c r="Z1104" s="39"/>
      <c r="AA1104" s="39"/>
      <c r="AB1104" s="39">
        <f>SUM(Y1104:AA1104)</f>
        <v>0</v>
      </c>
      <c r="AC1104" s="39"/>
      <c r="AD1104" s="39"/>
      <c r="AE1104" s="39"/>
      <c r="AF1104" s="39"/>
      <c r="AG1104" s="39"/>
      <c r="AH1104" s="39">
        <f>AG1104-AE1104</f>
        <v>0</v>
      </c>
      <c r="AI1104" s="39"/>
      <c r="AJ1104" s="39"/>
      <c r="AK1104" s="39"/>
      <c r="AL1104" s="39"/>
      <c r="AM1104" s="39"/>
      <c r="AN1104" s="39">
        <f t="shared" si="744"/>
        <v>0</v>
      </c>
      <c r="AO1104" s="39"/>
      <c r="AP1104" s="39"/>
      <c r="AQ1104" s="39"/>
      <c r="AR1104" s="39"/>
      <c r="AS1104" s="39"/>
      <c r="AT1104" s="39">
        <f t="shared" si="659"/>
        <v>0</v>
      </c>
      <c r="AU1104" s="39"/>
      <c r="AV1104" s="39"/>
      <c r="AW1104" s="39"/>
      <c r="AX1104" s="39"/>
      <c r="AY1104" s="39"/>
      <c r="AZ1104" s="39">
        <f t="shared" si="660"/>
        <v>0</v>
      </c>
      <c r="BA1104" s="39"/>
      <c r="BB1104" s="39"/>
      <c r="BC1104" s="39"/>
      <c r="BD1104" s="39"/>
      <c r="BE1104" s="39"/>
      <c r="BF1104" s="39">
        <f t="shared" si="661"/>
        <v>0</v>
      </c>
      <c r="BG1104" s="39"/>
      <c r="BH1104" s="39"/>
      <c r="BI1104" s="39"/>
      <c r="BJ1104" s="39"/>
      <c r="BK1104" s="39"/>
      <c r="BL1104" s="39">
        <f>BK1104-BI1104</f>
        <v>0</v>
      </c>
      <c r="BM1104" s="54" t="e">
        <f t="shared" si="662"/>
        <v>#DIV/0!</v>
      </c>
      <c r="BN1104" s="67"/>
      <c r="BO1104" s="39"/>
      <c r="BP1104" s="39"/>
      <c r="BQ1104" s="39"/>
      <c r="BR1104" s="39"/>
      <c r="BS1104" s="39"/>
      <c r="BT1104" s="39"/>
      <c r="BU1104" s="39"/>
      <c r="BV1104" s="39"/>
      <c r="BW1104" s="39"/>
      <c r="BX1104" s="39"/>
      <c r="BY1104" s="39"/>
      <c r="BZ1104" s="39">
        <f>BU1104+BW1104+BY1104</f>
        <v>0</v>
      </c>
      <c r="CA1104" s="39">
        <f t="shared" si="663"/>
        <v>0</v>
      </c>
      <c r="CB1104" s="39">
        <f t="shared" si="664"/>
        <v>0</v>
      </c>
      <c r="CC1104" s="39">
        <f t="shared" si="665"/>
        <v>0</v>
      </c>
      <c r="CD1104" s="39">
        <f>SUMIF(CA1104:CC1104,"&lt;0")</f>
        <v>0</v>
      </c>
      <c r="CE1104" s="47" t="e">
        <f t="shared" si="666"/>
        <v>#DIV/0!</v>
      </c>
      <c r="CF1104" s="36"/>
      <c r="CG1104" s="39"/>
      <c r="CH1104" s="39"/>
      <c r="CI1104" s="25">
        <v>2</v>
      </c>
    </row>
    <row r="1105" spans="1:87" ht="24.75" customHeight="1">
      <c r="A1105" s="36" t="s">
        <v>84</v>
      </c>
      <c r="B1105" s="55"/>
      <c r="C1105" s="36"/>
      <c r="D1105" s="36"/>
      <c r="E1105" s="39"/>
      <c r="F1105" s="39"/>
      <c r="G1105" s="36"/>
      <c r="H1105" s="39"/>
      <c r="I1105" s="39"/>
      <c r="J1105" s="39"/>
      <c r="K1105" s="39"/>
      <c r="L1105" s="39">
        <f>SUM(I1105:K1105)</f>
        <v>0</v>
      </c>
      <c r="M1105" s="39"/>
      <c r="N1105" s="39"/>
      <c r="O1105" s="39"/>
      <c r="P1105" s="39"/>
      <c r="Q1105" s="39"/>
      <c r="R1105" s="39">
        <f>SUM(O1105:Q1105)</f>
        <v>0</v>
      </c>
      <c r="S1105" s="39"/>
      <c r="T1105" s="39"/>
      <c r="U1105" s="39"/>
      <c r="V1105" s="39"/>
      <c r="W1105" s="39"/>
      <c r="X1105" s="39"/>
      <c r="Y1105" s="39"/>
      <c r="Z1105" s="39"/>
      <c r="AA1105" s="39"/>
      <c r="AB1105" s="39">
        <f>SUM(Y1105:AA1105)</f>
        <v>0</v>
      </c>
      <c r="AC1105" s="39"/>
      <c r="AD1105" s="39"/>
      <c r="AE1105" s="39"/>
      <c r="AF1105" s="39"/>
      <c r="AG1105" s="39"/>
      <c r="AH1105" s="39">
        <f>AG1105-AE1105</f>
        <v>0</v>
      </c>
      <c r="AI1105" s="39"/>
      <c r="AJ1105" s="39"/>
      <c r="AK1105" s="39"/>
      <c r="AL1105" s="39"/>
      <c r="AM1105" s="39"/>
      <c r="AN1105" s="39">
        <f t="shared" si="744"/>
        <v>0</v>
      </c>
      <c r="AO1105" s="39"/>
      <c r="AP1105" s="39"/>
      <c r="AQ1105" s="39"/>
      <c r="AR1105" s="39"/>
      <c r="AS1105" s="39"/>
      <c r="AT1105" s="39">
        <f t="shared" si="659"/>
        <v>0</v>
      </c>
      <c r="AU1105" s="39"/>
      <c r="AV1105" s="39"/>
      <c r="AW1105" s="39"/>
      <c r="AX1105" s="39"/>
      <c r="AY1105" s="39"/>
      <c r="AZ1105" s="39">
        <f t="shared" si="660"/>
        <v>0</v>
      </c>
      <c r="BA1105" s="39"/>
      <c r="BB1105" s="39"/>
      <c r="BC1105" s="39"/>
      <c r="BD1105" s="39"/>
      <c r="BE1105" s="39"/>
      <c r="BF1105" s="39">
        <f t="shared" si="661"/>
        <v>0</v>
      </c>
      <c r="BG1105" s="39"/>
      <c r="BH1105" s="39"/>
      <c r="BI1105" s="39"/>
      <c r="BJ1105" s="39"/>
      <c r="BK1105" s="39"/>
      <c r="BL1105" s="39">
        <f>BK1105-BI1105</f>
        <v>0</v>
      </c>
      <c r="BM1105" s="54" t="e">
        <f t="shared" si="662"/>
        <v>#DIV/0!</v>
      </c>
      <c r="BN1105" s="67"/>
      <c r="BO1105" s="39"/>
      <c r="BP1105" s="39"/>
      <c r="BQ1105" s="39"/>
      <c r="BR1105" s="39"/>
      <c r="BS1105" s="39"/>
      <c r="BT1105" s="39"/>
      <c r="BU1105" s="39"/>
      <c r="BV1105" s="39"/>
      <c r="BW1105" s="39"/>
      <c r="BX1105" s="39"/>
      <c r="BY1105" s="39"/>
      <c r="BZ1105" s="39">
        <f>BU1105+BW1105+BY1105</f>
        <v>0</v>
      </c>
      <c r="CA1105" s="39">
        <f t="shared" si="663"/>
        <v>0</v>
      </c>
      <c r="CB1105" s="39">
        <f t="shared" si="664"/>
        <v>0</v>
      </c>
      <c r="CC1105" s="39">
        <f t="shared" si="665"/>
        <v>0</v>
      </c>
      <c r="CD1105" s="39">
        <f>SUMIF(CA1105:CC1105,"&lt;0")</f>
        <v>0</v>
      </c>
      <c r="CE1105" s="47" t="e">
        <f t="shared" si="666"/>
        <v>#DIV/0!</v>
      </c>
      <c r="CF1105" s="36"/>
      <c r="CG1105" s="39"/>
      <c r="CH1105" s="39"/>
      <c r="CI1105" s="25">
        <v>2</v>
      </c>
    </row>
    <row r="1106" spans="1:87" ht="24.75" customHeight="1">
      <c r="A1106" s="36" t="s">
        <v>84</v>
      </c>
      <c r="B1106" s="55"/>
      <c r="C1106" s="36"/>
      <c r="D1106" s="36"/>
      <c r="E1106" s="39"/>
      <c r="F1106" s="39"/>
      <c r="G1106" s="36"/>
      <c r="H1106" s="39"/>
      <c r="I1106" s="39"/>
      <c r="J1106" s="39"/>
      <c r="K1106" s="39"/>
      <c r="L1106" s="39">
        <f>SUM(I1106:K1106)</f>
        <v>0</v>
      </c>
      <c r="M1106" s="39"/>
      <c r="N1106" s="39"/>
      <c r="O1106" s="39"/>
      <c r="P1106" s="39"/>
      <c r="Q1106" s="39"/>
      <c r="R1106" s="39">
        <f>SUM(O1106:Q1106)</f>
        <v>0</v>
      </c>
      <c r="S1106" s="39"/>
      <c r="T1106" s="39"/>
      <c r="U1106" s="39"/>
      <c r="V1106" s="39"/>
      <c r="W1106" s="39"/>
      <c r="X1106" s="39"/>
      <c r="Y1106" s="39"/>
      <c r="Z1106" s="39"/>
      <c r="AA1106" s="39"/>
      <c r="AB1106" s="39">
        <f>SUM(Y1106:AA1106)</f>
        <v>0</v>
      </c>
      <c r="AC1106" s="39"/>
      <c r="AD1106" s="39"/>
      <c r="AE1106" s="39"/>
      <c r="AF1106" s="39"/>
      <c r="AG1106" s="39"/>
      <c r="AH1106" s="39">
        <f>AG1106-AE1106</f>
        <v>0</v>
      </c>
      <c r="AI1106" s="39"/>
      <c r="AJ1106" s="39"/>
      <c r="AK1106" s="39"/>
      <c r="AL1106" s="39"/>
      <c r="AM1106" s="39"/>
      <c r="AN1106" s="39">
        <f t="shared" si="744"/>
        <v>0</v>
      </c>
      <c r="AO1106" s="39"/>
      <c r="AP1106" s="39"/>
      <c r="AQ1106" s="39"/>
      <c r="AR1106" s="39"/>
      <c r="AS1106" s="39"/>
      <c r="AT1106" s="39">
        <f t="shared" si="659"/>
        <v>0</v>
      </c>
      <c r="AU1106" s="39"/>
      <c r="AV1106" s="39"/>
      <c r="AW1106" s="39"/>
      <c r="AX1106" s="39"/>
      <c r="AY1106" s="39"/>
      <c r="AZ1106" s="39">
        <f t="shared" si="660"/>
        <v>0</v>
      </c>
      <c r="BA1106" s="39"/>
      <c r="BB1106" s="39"/>
      <c r="BC1106" s="39"/>
      <c r="BD1106" s="39"/>
      <c r="BE1106" s="39"/>
      <c r="BF1106" s="39">
        <f t="shared" si="661"/>
        <v>0</v>
      </c>
      <c r="BG1106" s="39"/>
      <c r="BH1106" s="39"/>
      <c r="BI1106" s="39"/>
      <c r="BJ1106" s="39"/>
      <c r="BK1106" s="39"/>
      <c r="BL1106" s="39">
        <f>BK1106-BI1106</f>
        <v>0</v>
      </c>
      <c r="BM1106" s="54" t="e">
        <f t="shared" si="662"/>
        <v>#DIV/0!</v>
      </c>
      <c r="BN1106" s="67"/>
      <c r="BO1106" s="39"/>
      <c r="BP1106" s="39"/>
      <c r="BQ1106" s="39"/>
      <c r="BR1106" s="39"/>
      <c r="BS1106" s="39"/>
      <c r="BT1106" s="39"/>
      <c r="BU1106" s="39"/>
      <c r="BV1106" s="39"/>
      <c r="BW1106" s="39"/>
      <c r="BX1106" s="39"/>
      <c r="BY1106" s="39"/>
      <c r="BZ1106" s="39">
        <f>BU1106+BW1106+BY1106</f>
        <v>0</v>
      </c>
      <c r="CA1106" s="39">
        <f t="shared" si="663"/>
        <v>0</v>
      </c>
      <c r="CB1106" s="39">
        <f t="shared" si="664"/>
        <v>0</v>
      </c>
      <c r="CC1106" s="39">
        <f t="shared" si="665"/>
        <v>0</v>
      </c>
      <c r="CD1106" s="39">
        <f>SUMIF(CA1106:CC1106,"&lt;0")</f>
        <v>0</v>
      </c>
      <c r="CE1106" s="47" t="e">
        <f t="shared" si="666"/>
        <v>#DIV/0!</v>
      </c>
      <c r="CF1106" s="36"/>
      <c r="CG1106" s="39"/>
      <c r="CH1106" s="39"/>
      <c r="CI1106" s="25">
        <v>2</v>
      </c>
    </row>
    <row r="1107" spans="1:87" ht="24.75" customHeight="1">
      <c r="A1107" s="36" t="s">
        <v>84</v>
      </c>
      <c r="B1107" s="55"/>
      <c r="C1107" s="36"/>
      <c r="D1107" s="36"/>
      <c r="E1107" s="39"/>
      <c r="F1107" s="39"/>
      <c r="G1107" s="36"/>
      <c r="H1107" s="39"/>
      <c r="I1107" s="39"/>
      <c r="J1107" s="39"/>
      <c r="K1107" s="39"/>
      <c r="L1107" s="39">
        <f t="shared" si="750"/>
        <v>0</v>
      </c>
      <c r="M1107" s="39"/>
      <c r="N1107" s="39"/>
      <c r="O1107" s="39"/>
      <c r="P1107" s="39"/>
      <c r="Q1107" s="39"/>
      <c r="R1107" s="39">
        <f t="shared" si="583"/>
        <v>0</v>
      </c>
      <c r="S1107" s="39"/>
      <c r="T1107" s="39"/>
      <c r="U1107" s="39"/>
      <c r="V1107" s="39"/>
      <c r="W1107" s="39"/>
      <c r="X1107" s="39"/>
      <c r="Y1107" s="39"/>
      <c r="Z1107" s="39"/>
      <c r="AA1107" s="39"/>
      <c r="AB1107" s="39">
        <f t="shared" si="584"/>
        <v>0</v>
      </c>
      <c r="AC1107" s="39"/>
      <c r="AD1107" s="39"/>
      <c r="AE1107" s="39"/>
      <c r="AF1107" s="39"/>
      <c r="AG1107" s="39"/>
      <c r="AH1107" s="39">
        <f t="shared" si="745"/>
        <v>0</v>
      </c>
      <c r="AI1107" s="39"/>
      <c r="AJ1107" s="39"/>
      <c r="AK1107" s="39"/>
      <c r="AL1107" s="39"/>
      <c r="AM1107" s="39"/>
      <c r="AN1107" s="39">
        <f t="shared" si="744"/>
        <v>0</v>
      </c>
      <c r="AO1107" s="39"/>
      <c r="AP1107" s="39"/>
      <c r="AQ1107" s="39"/>
      <c r="AR1107" s="39"/>
      <c r="AS1107" s="39"/>
      <c r="AT1107" s="39">
        <f t="shared" si="659"/>
        <v>0</v>
      </c>
      <c r="AU1107" s="39"/>
      <c r="AV1107" s="39"/>
      <c r="AW1107" s="39"/>
      <c r="AX1107" s="39"/>
      <c r="AY1107" s="39"/>
      <c r="AZ1107" s="39">
        <f t="shared" si="660"/>
        <v>0</v>
      </c>
      <c r="BA1107" s="39"/>
      <c r="BB1107" s="39"/>
      <c r="BC1107" s="39"/>
      <c r="BD1107" s="39"/>
      <c r="BE1107" s="39"/>
      <c r="BF1107" s="39">
        <f t="shared" si="661"/>
        <v>0</v>
      </c>
      <c r="BG1107" s="39"/>
      <c r="BH1107" s="39"/>
      <c r="BI1107" s="39"/>
      <c r="BJ1107" s="39"/>
      <c r="BK1107" s="39"/>
      <c r="BL1107" s="39">
        <f t="shared" si="746"/>
        <v>0</v>
      </c>
      <c r="BM1107" s="54" t="e">
        <f t="shared" si="662"/>
        <v>#DIV/0!</v>
      </c>
      <c r="BN1107" s="63"/>
      <c r="BO1107" s="39"/>
      <c r="BP1107" s="39"/>
      <c r="BQ1107" s="39"/>
      <c r="BR1107" s="39"/>
      <c r="BS1107" s="39"/>
      <c r="BT1107" s="39"/>
      <c r="BU1107" s="39"/>
      <c r="BV1107" s="39"/>
      <c r="BW1107" s="39"/>
      <c r="BX1107" s="39"/>
      <c r="BY1107" s="39"/>
      <c r="BZ1107" s="39">
        <f t="shared" si="747"/>
        <v>0</v>
      </c>
      <c r="CA1107" s="39">
        <f t="shared" si="663"/>
        <v>0</v>
      </c>
      <c r="CB1107" s="39">
        <f t="shared" si="664"/>
        <v>0</v>
      </c>
      <c r="CC1107" s="39">
        <f t="shared" si="665"/>
        <v>0</v>
      </c>
      <c r="CD1107" s="39">
        <f t="shared" si="748"/>
        <v>0</v>
      </c>
      <c r="CE1107" s="47" t="e">
        <f t="shared" si="666"/>
        <v>#DIV/0!</v>
      </c>
      <c r="CF1107" s="36"/>
      <c r="CG1107" s="39"/>
      <c r="CH1107" s="39"/>
      <c r="CI1107" s="25">
        <v>3</v>
      </c>
    </row>
    <row r="1108" spans="1:87" ht="24.75" customHeight="1">
      <c r="A1108" s="36" t="s">
        <v>84</v>
      </c>
      <c r="B1108" s="55"/>
      <c r="C1108" s="36"/>
      <c r="D1108" s="36"/>
      <c r="E1108" s="39"/>
      <c r="F1108" s="39"/>
      <c r="G1108" s="36"/>
      <c r="H1108" s="39"/>
      <c r="I1108" s="39"/>
      <c r="J1108" s="39"/>
      <c r="K1108" s="39"/>
      <c r="L1108" s="39">
        <f t="shared" si="750"/>
        <v>0</v>
      </c>
      <c r="M1108" s="39"/>
      <c r="N1108" s="39"/>
      <c r="O1108" s="39"/>
      <c r="P1108" s="39"/>
      <c r="Q1108" s="39"/>
      <c r="R1108" s="39">
        <f t="shared" si="583"/>
        <v>0</v>
      </c>
      <c r="S1108" s="39"/>
      <c r="T1108" s="39"/>
      <c r="U1108" s="39"/>
      <c r="V1108" s="39"/>
      <c r="W1108" s="39"/>
      <c r="X1108" s="39"/>
      <c r="Y1108" s="39"/>
      <c r="Z1108" s="39"/>
      <c r="AA1108" s="39"/>
      <c r="AB1108" s="39">
        <f t="shared" si="584"/>
        <v>0</v>
      </c>
      <c r="AC1108" s="39"/>
      <c r="AD1108" s="39"/>
      <c r="AE1108" s="39"/>
      <c r="AF1108" s="39"/>
      <c r="AG1108" s="39"/>
      <c r="AH1108" s="39">
        <f t="shared" si="745"/>
        <v>0</v>
      </c>
      <c r="AI1108" s="39"/>
      <c r="AJ1108" s="39"/>
      <c r="AK1108" s="39"/>
      <c r="AL1108" s="39"/>
      <c r="AM1108" s="39"/>
      <c r="AN1108" s="39">
        <f t="shared" si="744"/>
        <v>0</v>
      </c>
      <c r="AO1108" s="39"/>
      <c r="AP1108" s="39"/>
      <c r="AQ1108" s="39"/>
      <c r="AR1108" s="39"/>
      <c r="AS1108" s="39"/>
      <c r="AT1108" s="39">
        <f t="shared" si="659"/>
        <v>0</v>
      </c>
      <c r="AU1108" s="39"/>
      <c r="AV1108" s="39"/>
      <c r="AW1108" s="39"/>
      <c r="AX1108" s="39"/>
      <c r="AY1108" s="39"/>
      <c r="AZ1108" s="39">
        <f t="shared" si="660"/>
        <v>0</v>
      </c>
      <c r="BA1108" s="39"/>
      <c r="BB1108" s="39"/>
      <c r="BC1108" s="39"/>
      <c r="BD1108" s="39"/>
      <c r="BE1108" s="39"/>
      <c r="BF1108" s="39">
        <f t="shared" si="661"/>
        <v>0</v>
      </c>
      <c r="BG1108" s="39"/>
      <c r="BH1108" s="39"/>
      <c r="BI1108" s="39"/>
      <c r="BJ1108" s="39"/>
      <c r="BK1108" s="39"/>
      <c r="BL1108" s="39">
        <f t="shared" si="746"/>
        <v>0</v>
      </c>
      <c r="BM1108" s="54" t="e">
        <f t="shared" si="662"/>
        <v>#DIV/0!</v>
      </c>
      <c r="BN1108" s="63"/>
      <c r="BO1108" s="39"/>
      <c r="BP1108" s="39"/>
      <c r="BQ1108" s="39"/>
      <c r="BR1108" s="39"/>
      <c r="BS1108" s="39"/>
      <c r="BT1108" s="39"/>
      <c r="BU1108" s="39"/>
      <c r="BV1108" s="39"/>
      <c r="BW1108" s="39"/>
      <c r="BX1108" s="39"/>
      <c r="BY1108" s="39"/>
      <c r="BZ1108" s="39">
        <f t="shared" si="747"/>
        <v>0</v>
      </c>
      <c r="CA1108" s="39">
        <f t="shared" si="663"/>
        <v>0</v>
      </c>
      <c r="CB1108" s="39">
        <f t="shared" si="664"/>
        <v>0</v>
      </c>
      <c r="CC1108" s="39">
        <f t="shared" si="665"/>
        <v>0</v>
      </c>
      <c r="CD1108" s="39">
        <f t="shared" si="748"/>
        <v>0</v>
      </c>
      <c r="CE1108" s="47" t="e">
        <f t="shared" si="666"/>
        <v>#DIV/0!</v>
      </c>
      <c r="CF1108" s="36"/>
      <c r="CG1108" s="39"/>
      <c r="CH1108" s="39"/>
      <c r="CI1108" s="25">
        <v>3</v>
      </c>
    </row>
    <row r="1109" spans="1:87" ht="24.75" customHeight="1">
      <c r="A1109" s="36" t="s">
        <v>84</v>
      </c>
      <c r="B1109" s="55"/>
      <c r="C1109" s="36"/>
      <c r="D1109" s="36"/>
      <c r="E1109" s="39"/>
      <c r="F1109" s="39"/>
      <c r="G1109" s="36"/>
      <c r="H1109" s="39"/>
      <c r="I1109" s="39"/>
      <c r="J1109" s="39"/>
      <c r="K1109" s="39"/>
      <c r="L1109" s="39">
        <f t="shared" ref="L1109:L1338" si="751">SUM(I1109:K1109)</f>
        <v>0</v>
      </c>
      <c r="M1109" s="39"/>
      <c r="N1109" s="39"/>
      <c r="O1109" s="39"/>
      <c r="P1109" s="39"/>
      <c r="Q1109" s="39"/>
      <c r="R1109" s="39">
        <f t="shared" ref="R1109:R1338" si="752">SUM(O1109:Q1109)</f>
        <v>0</v>
      </c>
      <c r="S1109" s="39"/>
      <c r="T1109" s="39"/>
      <c r="U1109" s="39"/>
      <c r="V1109" s="39"/>
      <c r="W1109" s="39"/>
      <c r="X1109" s="39"/>
      <c r="Y1109" s="39"/>
      <c r="Z1109" s="39"/>
      <c r="AA1109" s="39"/>
      <c r="AB1109" s="39">
        <f t="shared" ref="AB1109:AB1338" si="753">SUM(Y1109:AA1109)</f>
        <v>0</v>
      </c>
      <c r="AC1109" s="39"/>
      <c r="AD1109" s="39"/>
      <c r="AE1109" s="39"/>
      <c r="AF1109" s="39"/>
      <c r="AG1109" s="39"/>
      <c r="AH1109" s="39">
        <f>AG1109-AE1109</f>
        <v>0</v>
      </c>
      <c r="AI1109" s="39"/>
      <c r="AJ1109" s="39"/>
      <c r="AK1109" s="39"/>
      <c r="AL1109" s="39"/>
      <c r="AM1109" s="39"/>
      <c r="AN1109" s="39">
        <f t="shared" si="744"/>
        <v>0</v>
      </c>
      <c r="AO1109" s="39"/>
      <c r="AP1109" s="39"/>
      <c r="AQ1109" s="39"/>
      <c r="AR1109" s="39"/>
      <c r="AS1109" s="39"/>
      <c r="AT1109" s="39">
        <f t="shared" si="659"/>
        <v>0</v>
      </c>
      <c r="AU1109" s="39"/>
      <c r="AV1109" s="39"/>
      <c r="AW1109" s="39"/>
      <c r="AX1109" s="39"/>
      <c r="AY1109" s="39"/>
      <c r="AZ1109" s="39">
        <f t="shared" si="660"/>
        <v>0</v>
      </c>
      <c r="BA1109" s="39"/>
      <c r="BB1109" s="39"/>
      <c r="BC1109" s="39"/>
      <c r="BD1109" s="39"/>
      <c r="BE1109" s="39"/>
      <c r="BF1109" s="39">
        <f t="shared" si="661"/>
        <v>0</v>
      </c>
      <c r="BG1109" s="39"/>
      <c r="BH1109" s="39"/>
      <c r="BI1109" s="39"/>
      <c r="BJ1109" s="39"/>
      <c r="BK1109" s="39"/>
      <c r="BL1109" s="39">
        <f>BK1109-BI1109</f>
        <v>0</v>
      </c>
      <c r="BM1109" s="54" t="e">
        <f t="shared" si="662"/>
        <v>#DIV/0!</v>
      </c>
      <c r="BN1109" s="63"/>
      <c r="BO1109" s="39"/>
      <c r="BP1109" s="39"/>
      <c r="BQ1109" s="39"/>
      <c r="BR1109" s="39"/>
      <c r="BS1109" s="39"/>
      <c r="BT1109" s="39"/>
      <c r="BU1109" s="39"/>
      <c r="BV1109" s="39"/>
      <c r="BW1109" s="39"/>
      <c r="BX1109" s="39"/>
      <c r="BY1109" s="39"/>
      <c r="BZ1109" s="39">
        <f>BU1109+BW1109+BY1109</f>
        <v>0</v>
      </c>
      <c r="CA1109" s="39">
        <f t="shared" si="663"/>
        <v>0</v>
      </c>
      <c r="CB1109" s="39">
        <f t="shared" si="664"/>
        <v>0</v>
      </c>
      <c r="CC1109" s="39">
        <f t="shared" si="665"/>
        <v>0</v>
      </c>
      <c r="CD1109" s="39">
        <f>SUMIF(CA1109:CC1109,"&lt;0")</f>
        <v>0</v>
      </c>
      <c r="CE1109" s="47" t="e">
        <f t="shared" si="666"/>
        <v>#DIV/0!</v>
      </c>
      <c r="CF1109" s="36"/>
      <c r="CG1109" s="39"/>
      <c r="CH1109" s="39"/>
      <c r="CI1109" s="25">
        <v>3</v>
      </c>
    </row>
    <row r="1110" spans="1:87" ht="24.75" customHeight="1">
      <c r="A1110" s="36" t="s">
        <v>84</v>
      </c>
      <c r="B1110" s="55"/>
      <c r="C1110" s="36"/>
      <c r="D1110" s="36"/>
      <c r="E1110" s="39"/>
      <c r="F1110" s="39"/>
      <c r="G1110" s="36"/>
      <c r="H1110" s="39"/>
      <c r="I1110" s="39"/>
      <c r="J1110" s="39"/>
      <c r="K1110" s="39"/>
      <c r="L1110" s="39">
        <f t="shared" si="751"/>
        <v>0</v>
      </c>
      <c r="M1110" s="39"/>
      <c r="N1110" s="39"/>
      <c r="O1110" s="39"/>
      <c r="P1110" s="39"/>
      <c r="Q1110" s="39"/>
      <c r="R1110" s="39">
        <f t="shared" si="752"/>
        <v>0</v>
      </c>
      <c r="S1110" s="39"/>
      <c r="T1110" s="39"/>
      <c r="U1110" s="39"/>
      <c r="V1110" s="39"/>
      <c r="W1110" s="39"/>
      <c r="X1110" s="39"/>
      <c r="Y1110" s="39"/>
      <c r="Z1110" s="39"/>
      <c r="AA1110" s="39"/>
      <c r="AB1110" s="39">
        <f t="shared" si="753"/>
        <v>0</v>
      </c>
      <c r="AC1110" s="39"/>
      <c r="AD1110" s="39"/>
      <c r="AE1110" s="39"/>
      <c r="AF1110" s="39"/>
      <c r="AG1110" s="39"/>
      <c r="AH1110" s="39">
        <f>AG1110-AE1110</f>
        <v>0</v>
      </c>
      <c r="AI1110" s="39"/>
      <c r="AJ1110" s="39"/>
      <c r="AK1110" s="39"/>
      <c r="AL1110" s="39"/>
      <c r="AM1110" s="39"/>
      <c r="AN1110" s="39">
        <f t="shared" si="744"/>
        <v>0</v>
      </c>
      <c r="AO1110" s="39"/>
      <c r="AP1110" s="39"/>
      <c r="AQ1110" s="39"/>
      <c r="AR1110" s="39"/>
      <c r="AS1110" s="39"/>
      <c r="AT1110" s="39">
        <f t="shared" si="659"/>
        <v>0</v>
      </c>
      <c r="AU1110" s="39"/>
      <c r="AV1110" s="39"/>
      <c r="AW1110" s="39"/>
      <c r="AX1110" s="39"/>
      <c r="AY1110" s="39"/>
      <c r="AZ1110" s="39">
        <f t="shared" si="660"/>
        <v>0</v>
      </c>
      <c r="BA1110" s="39"/>
      <c r="BB1110" s="39"/>
      <c r="BC1110" s="39"/>
      <c r="BD1110" s="39"/>
      <c r="BE1110" s="39"/>
      <c r="BF1110" s="39">
        <f t="shared" si="661"/>
        <v>0</v>
      </c>
      <c r="BG1110" s="39"/>
      <c r="BH1110" s="39"/>
      <c r="BI1110" s="39"/>
      <c r="BJ1110" s="39"/>
      <c r="BK1110" s="39"/>
      <c r="BL1110" s="39">
        <f>BK1110-BI1110</f>
        <v>0</v>
      </c>
      <c r="BM1110" s="54" t="e">
        <f t="shared" si="662"/>
        <v>#DIV/0!</v>
      </c>
      <c r="BN1110" s="63"/>
      <c r="BO1110" s="39"/>
      <c r="BP1110" s="39"/>
      <c r="BQ1110" s="39"/>
      <c r="BR1110" s="39"/>
      <c r="BS1110" s="39"/>
      <c r="BT1110" s="39"/>
      <c r="BU1110" s="39"/>
      <c r="BV1110" s="39"/>
      <c r="BW1110" s="39"/>
      <c r="BX1110" s="39"/>
      <c r="BY1110" s="39"/>
      <c r="BZ1110" s="39">
        <f>BU1110+BW1110+BY1110</f>
        <v>0</v>
      </c>
      <c r="CA1110" s="39">
        <f t="shared" si="663"/>
        <v>0</v>
      </c>
      <c r="CB1110" s="39">
        <f t="shared" si="664"/>
        <v>0</v>
      </c>
      <c r="CC1110" s="39">
        <f t="shared" si="665"/>
        <v>0</v>
      </c>
      <c r="CD1110" s="39">
        <f>SUMIF(CA1110:CC1110,"&lt;0")</f>
        <v>0</v>
      </c>
      <c r="CE1110" s="47" t="e">
        <f t="shared" si="666"/>
        <v>#DIV/0!</v>
      </c>
      <c r="CF1110" s="36"/>
      <c r="CG1110" s="39"/>
      <c r="CH1110" s="39"/>
      <c r="CI1110" s="25">
        <v>3</v>
      </c>
    </row>
    <row r="1111" spans="1:87" ht="24.75" customHeight="1">
      <c r="A1111" s="36" t="s">
        <v>84</v>
      </c>
      <c r="B1111" s="55"/>
      <c r="C1111" s="36"/>
      <c r="D1111" s="36"/>
      <c r="E1111" s="39"/>
      <c r="F1111" s="39"/>
      <c r="G1111" s="36"/>
      <c r="H1111" s="39"/>
      <c r="I1111" s="39"/>
      <c r="J1111" s="39"/>
      <c r="K1111" s="39"/>
      <c r="L1111" s="39">
        <f t="shared" si="751"/>
        <v>0</v>
      </c>
      <c r="M1111" s="39"/>
      <c r="N1111" s="39"/>
      <c r="O1111" s="39"/>
      <c r="P1111" s="39"/>
      <c r="Q1111" s="39"/>
      <c r="R1111" s="39">
        <f t="shared" si="752"/>
        <v>0</v>
      </c>
      <c r="S1111" s="39"/>
      <c r="T1111" s="39"/>
      <c r="U1111" s="39"/>
      <c r="V1111" s="39"/>
      <c r="W1111" s="39"/>
      <c r="X1111" s="39"/>
      <c r="Y1111" s="39"/>
      <c r="Z1111" s="39"/>
      <c r="AA1111" s="39"/>
      <c r="AB1111" s="39">
        <f t="shared" si="753"/>
        <v>0</v>
      </c>
      <c r="AC1111" s="39"/>
      <c r="AD1111" s="39"/>
      <c r="AE1111" s="39"/>
      <c r="AF1111" s="39"/>
      <c r="AG1111" s="39"/>
      <c r="AH1111" s="39">
        <f>AG1111-AE1111</f>
        <v>0</v>
      </c>
      <c r="AI1111" s="39"/>
      <c r="AJ1111" s="39"/>
      <c r="AK1111" s="39"/>
      <c r="AL1111" s="39"/>
      <c r="AM1111" s="39"/>
      <c r="AN1111" s="39">
        <f t="shared" si="744"/>
        <v>0</v>
      </c>
      <c r="AO1111" s="39"/>
      <c r="AP1111" s="39"/>
      <c r="AQ1111" s="39"/>
      <c r="AR1111" s="39"/>
      <c r="AS1111" s="39"/>
      <c r="AT1111" s="39">
        <f t="shared" si="659"/>
        <v>0</v>
      </c>
      <c r="AU1111" s="39"/>
      <c r="AV1111" s="39"/>
      <c r="AW1111" s="39"/>
      <c r="AX1111" s="39"/>
      <c r="AY1111" s="39"/>
      <c r="AZ1111" s="39">
        <f t="shared" si="660"/>
        <v>0</v>
      </c>
      <c r="BA1111" s="39"/>
      <c r="BB1111" s="39"/>
      <c r="BC1111" s="39"/>
      <c r="BD1111" s="39"/>
      <c r="BE1111" s="39"/>
      <c r="BF1111" s="39">
        <f t="shared" si="661"/>
        <v>0</v>
      </c>
      <c r="BG1111" s="39"/>
      <c r="BH1111" s="39"/>
      <c r="BI1111" s="39"/>
      <c r="BJ1111" s="39"/>
      <c r="BK1111" s="39"/>
      <c r="BL1111" s="39">
        <f>BK1111-BI1111</f>
        <v>0</v>
      </c>
      <c r="BM1111" s="54" t="e">
        <f t="shared" si="662"/>
        <v>#DIV/0!</v>
      </c>
      <c r="BN1111" s="63"/>
      <c r="BO1111" s="39"/>
      <c r="BP1111" s="39"/>
      <c r="BQ1111" s="39"/>
      <c r="BR1111" s="39"/>
      <c r="BS1111" s="39"/>
      <c r="BT1111" s="39"/>
      <c r="BU1111" s="39"/>
      <c r="BV1111" s="39"/>
      <c r="BW1111" s="39"/>
      <c r="BX1111" s="39"/>
      <c r="BY1111" s="39"/>
      <c r="BZ1111" s="39">
        <f>BU1111+BW1111+BY1111</f>
        <v>0</v>
      </c>
      <c r="CA1111" s="39">
        <f t="shared" si="663"/>
        <v>0</v>
      </c>
      <c r="CB1111" s="39">
        <f t="shared" si="664"/>
        <v>0</v>
      </c>
      <c r="CC1111" s="39">
        <f t="shared" si="665"/>
        <v>0</v>
      </c>
      <c r="CD1111" s="39">
        <f>SUMIF(CA1111:CC1111,"&lt;0")</f>
        <v>0</v>
      </c>
      <c r="CE1111" s="47" t="e">
        <f t="shared" si="666"/>
        <v>#DIV/0!</v>
      </c>
      <c r="CF1111" s="36"/>
      <c r="CG1111" s="39"/>
      <c r="CH1111" s="39"/>
      <c r="CI1111" s="25">
        <v>3</v>
      </c>
    </row>
    <row r="1112" spans="1:87" ht="24.75" customHeight="1">
      <c r="A1112" s="36" t="s">
        <v>215</v>
      </c>
      <c r="B1112" s="55"/>
      <c r="C1112" s="36"/>
      <c r="D1112" s="36"/>
      <c r="E1112" s="39"/>
      <c r="F1112" s="39"/>
      <c r="G1112" s="36"/>
      <c r="H1112" s="39"/>
      <c r="I1112" s="39"/>
      <c r="J1112" s="39"/>
      <c r="K1112" s="39"/>
      <c r="L1112" s="39">
        <f t="shared" si="751"/>
        <v>0</v>
      </c>
      <c r="M1112" s="39"/>
      <c r="N1112" s="39"/>
      <c r="O1112" s="39"/>
      <c r="P1112" s="39"/>
      <c r="Q1112" s="39"/>
      <c r="R1112" s="39">
        <f t="shared" si="752"/>
        <v>0</v>
      </c>
      <c r="S1112" s="39"/>
      <c r="T1112" s="39"/>
      <c r="U1112" s="39"/>
      <c r="V1112" s="39"/>
      <c r="W1112" s="39"/>
      <c r="X1112" s="39"/>
      <c r="Y1112" s="39"/>
      <c r="Z1112" s="39"/>
      <c r="AA1112" s="39"/>
      <c r="AB1112" s="39">
        <f t="shared" si="753"/>
        <v>0</v>
      </c>
      <c r="AC1112" s="39"/>
      <c r="AD1112" s="39"/>
      <c r="AE1112" s="39"/>
      <c r="AF1112" s="39"/>
      <c r="AG1112" s="39"/>
      <c r="AH1112" s="39">
        <f t="shared" si="745"/>
        <v>0</v>
      </c>
      <c r="AI1112" s="39"/>
      <c r="AJ1112" s="39"/>
      <c r="AK1112" s="39"/>
      <c r="AL1112" s="39"/>
      <c r="AM1112" s="39"/>
      <c r="AN1112" s="39">
        <f t="shared" si="744"/>
        <v>0</v>
      </c>
      <c r="AO1112" s="39"/>
      <c r="AP1112" s="39"/>
      <c r="AQ1112" s="39"/>
      <c r="AR1112" s="39"/>
      <c r="AS1112" s="39"/>
      <c r="AT1112" s="39">
        <f t="shared" si="659"/>
        <v>0</v>
      </c>
      <c r="AU1112" s="39"/>
      <c r="AV1112" s="39"/>
      <c r="AW1112" s="39"/>
      <c r="AX1112" s="39"/>
      <c r="AY1112" s="39"/>
      <c r="AZ1112" s="39">
        <f t="shared" si="660"/>
        <v>0</v>
      </c>
      <c r="BA1112" s="39"/>
      <c r="BB1112" s="39"/>
      <c r="BC1112" s="39"/>
      <c r="BD1112" s="39"/>
      <c r="BE1112" s="39"/>
      <c r="BF1112" s="39">
        <f t="shared" si="661"/>
        <v>0</v>
      </c>
      <c r="BG1112" s="39"/>
      <c r="BH1112" s="39"/>
      <c r="BI1112" s="39"/>
      <c r="BJ1112" s="39"/>
      <c r="BK1112" s="39"/>
      <c r="BL1112" s="39">
        <f t="shared" si="746"/>
        <v>0</v>
      </c>
      <c r="BM1112" s="54" t="e">
        <f t="shared" si="662"/>
        <v>#DIV/0!</v>
      </c>
      <c r="BN1112" s="42"/>
      <c r="BO1112" s="39"/>
      <c r="BP1112" s="39"/>
      <c r="BQ1112" s="39"/>
      <c r="BR1112" s="39"/>
      <c r="BS1112" s="39"/>
      <c r="BT1112" s="39"/>
      <c r="BU1112" s="39"/>
      <c r="BV1112" s="39"/>
      <c r="BW1112" s="39"/>
      <c r="BX1112" s="39"/>
      <c r="BY1112" s="39"/>
      <c r="BZ1112" s="39">
        <f t="shared" si="747"/>
        <v>0</v>
      </c>
      <c r="CA1112" s="39">
        <f t="shared" si="663"/>
        <v>0</v>
      </c>
      <c r="CB1112" s="39">
        <f t="shared" si="664"/>
        <v>0</v>
      </c>
      <c r="CC1112" s="39">
        <f t="shared" si="665"/>
        <v>0</v>
      </c>
      <c r="CD1112" s="39">
        <f t="shared" si="748"/>
        <v>0</v>
      </c>
      <c r="CE1112" s="47" t="e">
        <f t="shared" si="666"/>
        <v>#DIV/0!</v>
      </c>
      <c r="CF1112" s="36"/>
      <c r="CG1112" s="39"/>
      <c r="CH1112" s="39"/>
      <c r="CI1112" s="25">
        <v>1</v>
      </c>
    </row>
    <row r="1113" spans="1:87" ht="24.75" customHeight="1">
      <c r="A1113" s="36" t="s">
        <v>215</v>
      </c>
      <c r="B1113" s="55"/>
      <c r="C1113" s="36"/>
      <c r="D1113" s="36"/>
      <c r="E1113" s="39"/>
      <c r="F1113" s="39"/>
      <c r="G1113" s="36"/>
      <c r="H1113" s="39"/>
      <c r="I1113" s="39"/>
      <c r="J1113" s="39"/>
      <c r="K1113" s="39"/>
      <c r="L1113" s="39">
        <f t="shared" si="751"/>
        <v>0</v>
      </c>
      <c r="M1113" s="39"/>
      <c r="N1113" s="39"/>
      <c r="O1113" s="39"/>
      <c r="P1113" s="39"/>
      <c r="Q1113" s="39"/>
      <c r="R1113" s="39">
        <f t="shared" si="752"/>
        <v>0</v>
      </c>
      <c r="S1113" s="39"/>
      <c r="T1113" s="39"/>
      <c r="U1113" s="39"/>
      <c r="V1113" s="39"/>
      <c r="W1113" s="39"/>
      <c r="X1113" s="39"/>
      <c r="Y1113" s="39"/>
      <c r="Z1113" s="39"/>
      <c r="AA1113" s="39"/>
      <c r="AB1113" s="39">
        <f t="shared" si="753"/>
        <v>0</v>
      </c>
      <c r="AC1113" s="39"/>
      <c r="AD1113" s="39"/>
      <c r="AE1113" s="39"/>
      <c r="AF1113" s="39"/>
      <c r="AG1113" s="39"/>
      <c r="AH1113" s="39">
        <f t="shared" si="745"/>
        <v>0</v>
      </c>
      <c r="AI1113" s="39"/>
      <c r="AJ1113" s="39"/>
      <c r="AK1113" s="39"/>
      <c r="AL1113" s="39"/>
      <c r="AM1113" s="39"/>
      <c r="AN1113" s="39">
        <f t="shared" si="744"/>
        <v>0</v>
      </c>
      <c r="AO1113" s="39"/>
      <c r="AP1113" s="39"/>
      <c r="AQ1113" s="39"/>
      <c r="AR1113" s="39"/>
      <c r="AS1113" s="39"/>
      <c r="AT1113" s="39">
        <f t="shared" si="659"/>
        <v>0</v>
      </c>
      <c r="AU1113" s="39"/>
      <c r="AV1113" s="39"/>
      <c r="AW1113" s="39"/>
      <c r="AX1113" s="39"/>
      <c r="AY1113" s="39"/>
      <c r="AZ1113" s="39">
        <f t="shared" si="660"/>
        <v>0</v>
      </c>
      <c r="BA1113" s="39"/>
      <c r="BB1113" s="39"/>
      <c r="BC1113" s="39"/>
      <c r="BD1113" s="39"/>
      <c r="BE1113" s="39"/>
      <c r="BF1113" s="39">
        <f t="shared" si="661"/>
        <v>0</v>
      </c>
      <c r="BG1113" s="39"/>
      <c r="BH1113" s="39"/>
      <c r="BI1113" s="39"/>
      <c r="BJ1113" s="39"/>
      <c r="BK1113" s="39"/>
      <c r="BL1113" s="39">
        <f t="shared" si="746"/>
        <v>0</v>
      </c>
      <c r="BM1113" s="54" t="e">
        <f t="shared" si="662"/>
        <v>#DIV/0!</v>
      </c>
      <c r="BN1113" s="42"/>
      <c r="BO1113" s="39"/>
      <c r="BP1113" s="39"/>
      <c r="BQ1113" s="39"/>
      <c r="BR1113" s="39"/>
      <c r="BS1113" s="39"/>
      <c r="BT1113" s="39"/>
      <c r="BU1113" s="39"/>
      <c r="BV1113" s="39"/>
      <c r="BW1113" s="39"/>
      <c r="BX1113" s="39"/>
      <c r="BY1113" s="39"/>
      <c r="BZ1113" s="39">
        <f t="shared" si="747"/>
        <v>0</v>
      </c>
      <c r="CA1113" s="39">
        <f t="shared" si="663"/>
        <v>0</v>
      </c>
      <c r="CB1113" s="39">
        <f t="shared" si="664"/>
        <v>0</v>
      </c>
      <c r="CC1113" s="39">
        <f t="shared" si="665"/>
        <v>0</v>
      </c>
      <c r="CD1113" s="39">
        <f t="shared" si="748"/>
        <v>0</v>
      </c>
      <c r="CE1113" s="47" t="e">
        <f t="shared" si="666"/>
        <v>#DIV/0!</v>
      </c>
      <c r="CF1113" s="36"/>
      <c r="CG1113" s="39"/>
      <c r="CH1113" s="39"/>
      <c r="CI1113" s="25">
        <v>1</v>
      </c>
    </row>
    <row r="1114" spans="1:87" ht="24.75" customHeight="1">
      <c r="A1114" s="36" t="s">
        <v>215</v>
      </c>
      <c r="B1114" s="55"/>
      <c r="C1114" s="36"/>
      <c r="D1114" s="36"/>
      <c r="E1114" s="39"/>
      <c r="F1114" s="39"/>
      <c r="G1114" s="36"/>
      <c r="H1114" s="39"/>
      <c r="I1114" s="39"/>
      <c r="J1114" s="39"/>
      <c r="K1114" s="39"/>
      <c r="L1114" s="39">
        <f t="shared" si="751"/>
        <v>0</v>
      </c>
      <c r="M1114" s="39"/>
      <c r="N1114" s="39"/>
      <c r="O1114" s="39"/>
      <c r="P1114" s="39"/>
      <c r="Q1114" s="39"/>
      <c r="R1114" s="39">
        <f t="shared" si="752"/>
        <v>0</v>
      </c>
      <c r="S1114" s="39"/>
      <c r="T1114" s="39"/>
      <c r="U1114" s="39"/>
      <c r="V1114" s="39"/>
      <c r="W1114" s="39"/>
      <c r="X1114" s="39"/>
      <c r="Y1114" s="39"/>
      <c r="Z1114" s="39"/>
      <c r="AA1114" s="39"/>
      <c r="AB1114" s="39">
        <f t="shared" si="753"/>
        <v>0</v>
      </c>
      <c r="AC1114" s="39"/>
      <c r="AD1114" s="39"/>
      <c r="AE1114" s="39"/>
      <c r="AF1114" s="39"/>
      <c r="AG1114" s="39"/>
      <c r="AH1114" s="39">
        <f t="shared" si="745"/>
        <v>0</v>
      </c>
      <c r="AI1114" s="39"/>
      <c r="AJ1114" s="39"/>
      <c r="AK1114" s="39"/>
      <c r="AL1114" s="39"/>
      <c r="AM1114" s="39"/>
      <c r="AN1114" s="39">
        <f t="shared" si="744"/>
        <v>0</v>
      </c>
      <c r="AO1114" s="39"/>
      <c r="AP1114" s="39"/>
      <c r="AQ1114" s="39"/>
      <c r="AR1114" s="39"/>
      <c r="AS1114" s="39"/>
      <c r="AT1114" s="39">
        <f t="shared" si="659"/>
        <v>0</v>
      </c>
      <c r="AU1114" s="39"/>
      <c r="AV1114" s="39"/>
      <c r="AW1114" s="39"/>
      <c r="AX1114" s="39"/>
      <c r="AY1114" s="39"/>
      <c r="AZ1114" s="39">
        <f t="shared" si="660"/>
        <v>0</v>
      </c>
      <c r="BA1114" s="39"/>
      <c r="BB1114" s="39"/>
      <c r="BC1114" s="39"/>
      <c r="BD1114" s="39"/>
      <c r="BE1114" s="39"/>
      <c r="BF1114" s="39">
        <f t="shared" si="661"/>
        <v>0</v>
      </c>
      <c r="BG1114" s="39"/>
      <c r="BH1114" s="39"/>
      <c r="BI1114" s="39"/>
      <c r="BJ1114" s="39"/>
      <c r="BK1114" s="39"/>
      <c r="BL1114" s="39">
        <f t="shared" si="746"/>
        <v>0</v>
      </c>
      <c r="BM1114" s="54" t="e">
        <f t="shared" si="662"/>
        <v>#DIV/0!</v>
      </c>
      <c r="BN1114" s="42"/>
      <c r="BO1114" s="39"/>
      <c r="BP1114" s="39"/>
      <c r="BQ1114" s="39"/>
      <c r="BR1114" s="39"/>
      <c r="BS1114" s="39"/>
      <c r="BT1114" s="39"/>
      <c r="BU1114" s="39"/>
      <c r="BV1114" s="39"/>
      <c r="BW1114" s="39"/>
      <c r="BX1114" s="39"/>
      <c r="BY1114" s="39"/>
      <c r="BZ1114" s="39">
        <f t="shared" si="747"/>
        <v>0</v>
      </c>
      <c r="CA1114" s="39">
        <f t="shared" si="663"/>
        <v>0</v>
      </c>
      <c r="CB1114" s="39">
        <f t="shared" si="664"/>
        <v>0</v>
      </c>
      <c r="CC1114" s="39">
        <f t="shared" si="665"/>
        <v>0</v>
      </c>
      <c r="CD1114" s="39">
        <f t="shared" si="748"/>
        <v>0</v>
      </c>
      <c r="CE1114" s="47" t="e">
        <f t="shared" si="666"/>
        <v>#DIV/0!</v>
      </c>
      <c r="CF1114" s="36"/>
      <c r="CG1114" s="39"/>
      <c r="CH1114" s="39"/>
      <c r="CI1114" s="25">
        <v>1</v>
      </c>
    </row>
    <row r="1115" spans="1:87" ht="24.75" customHeight="1">
      <c r="A1115" s="36" t="s">
        <v>215</v>
      </c>
      <c r="B1115" s="55"/>
      <c r="C1115" s="36"/>
      <c r="D1115" s="36"/>
      <c r="E1115" s="39"/>
      <c r="F1115" s="39"/>
      <c r="G1115" s="36"/>
      <c r="H1115" s="39"/>
      <c r="I1115" s="39"/>
      <c r="J1115" s="39"/>
      <c r="K1115" s="39"/>
      <c r="L1115" s="39">
        <f t="shared" si="751"/>
        <v>0</v>
      </c>
      <c r="M1115" s="39"/>
      <c r="N1115" s="39"/>
      <c r="O1115" s="39"/>
      <c r="P1115" s="39"/>
      <c r="Q1115" s="39"/>
      <c r="R1115" s="39">
        <f t="shared" si="752"/>
        <v>0</v>
      </c>
      <c r="S1115" s="39"/>
      <c r="T1115" s="39"/>
      <c r="U1115" s="39"/>
      <c r="V1115" s="39"/>
      <c r="W1115" s="39"/>
      <c r="X1115" s="39"/>
      <c r="Y1115" s="39"/>
      <c r="Z1115" s="39"/>
      <c r="AA1115" s="39"/>
      <c r="AB1115" s="39">
        <f t="shared" si="753"/>
        <v>0</v>
      </c>
      <c r="AC1115" s="39"/>
      <c r="AD1115" s="39"/>
      <c r="AE1115" s="39"/>
      <c r="AF1115" s="39"/>
      <c r="AG1115" s="39"/>
      <c r="AH1115" s="39">
        <f t="shared" si="745"/>
        <v>0</v>
      </c>
      <c r="AI1115" s="39"/>
      <c r="AJ1115" s="39"/>
      <c r="AK1115" s="39"/>
      <c r="AL1115" s="39"/>
      <c r="AM1115" s="39"/>
      <c r="AN1115" s="39">
        <f t="shared" si="744"/>
        <v>0</v>
      </c>
      <c r="AO1115" s="39"/>
      <c r="AP1115" s="39"/>
      <c r="AQ1115" s="39"/>
      <c r="AR1115" s="39"/>
      <c r="AS1115" s="39"/>
      <c r="AT1115" s="39">
        <f t="shared" si="659"/>
        <v>0</v>
      </c>
      <c r="AU1115" s="39"/>
      <c r="AV1115" s="39"/>
      <c r="AW1115" s="39"/>
      <c r="AX1115" s="39"/>
      <c r="AY1115" s="39"/>
      <c r="AZ1115" s="39">
        <f t="shared" si="660"/>
        <v>0</v>
      </c>
      <c r="BA1115" s="39"/>
      <c r="BB1115" s="39"/>
      <c r="BC1115" s="39"/>
      <c r="BD1115" s="39"/>
      <c r="BE1115" s="39"/>
      <c r="BF1115" s="39">
        <f t="shared" si="661"/>
        <v>0</v>
      </c>
      <c r="BG1115" s="39"/>
      <c r="BH1115" s="39"/>
      <c r="BI1115" s="39"/>
      <c r="BJ1115" s="39"/>
      <c r="BK1115" s="39"/>
      <c r="BL1115" s="39">
        <f t="shared" si="746"/>
        <v>0</v>
      </c>
      <c r="BM1115" s="54" t="e">
        <f t="shared" si="662"/>
        <v>#DIV/0!</v>
      </c>
      <c r="BN1115" s="42"/>
      <c r="BO1115" s="39"/>
      <c r="BP1115" s="39"/>
      <c r="BQ1115" s="39"/>
      <c r="BR1115" s="39"/>
      <c r="BS1115" s="39"/>
      <c r="BT1115" s="39"/>
      <c r="BU1115" s="39"/>
      <c r="BV1115" s="39"/>
      <c r="BW1115" s="39"/>
      <c r="BX1115" s="39"/>
      <c r="BY1115" s="39"/>
      <c r="BZ1115" s="39">
        <f t="shared" si="747"/>
        <v>0</v>
      </c>
      <c r="CA1115" s="39">
        <f t="shared" si="663"/>
        <v>0</v>
      </c>
      <c r="CB1115" s="39">
        <f t="shared" si="664"/>
        <v>0</v>
      </c>
      <c r="CC1115" s="39">
        <f t="shared" si="665"/>
        <v>0</v>
      </c>
      <c r="CD1115" s="39">
        <f t="shared" si="748"/>
        <v>0</v>
      </c>
      <c r="CE1115" s="47" t="e">
        <f t="shared" si="666"/>
        <v>#DIV/0!</v>
      </c>
      <c r="CF1115" s="36"/>
      <c r="CG1115" s="39"/>
      <c r="CH1115" s="39"/>
      <c r="CI1115" s="25">
        <v>1</v>
      </c>
    </row>
    <row r="1116" spans="1:87" ht="24.75" customHeight="1">
      <c r="A1116" s="36" t="s">
        <v>215</v>
      </c>
      <c r="B1116" s="55"/>
      <c r="C1116" s="36"/>
      <c r="D1116" s="36"/>
      <c r="E1116" s="39"/>
      <c r="F1116" s="39"/>
      <c r="G1116" s="36"/>
      <c r="H1116" s="39"/>
      <c r="I1116" s="39"/>
      <c r="J1116" s="39"/>
      <c r="K1116" s="39"/>
      <c r="L1116" s="39">
        <f t="shared" si="751"/>
        <v>0</v>
      </c>
      <c r="M1116" s="39"/>
      <c r="N1116" s="39"/>
      <c r="O1116" s="39"/>
      <c r="P1116" s="39"/>
      <c r="Q1116" s="39"/>
      <c r="R1116" s="39">
        <f t="shared" si="752"/>
        <v>0</v>
      </c>
      <c r="S1116" s="39"/>
      <c r="T1116" s="39"/>
      <c r="U1116" s="39"/>
      <c r="V1116" s="39"/>
      <c r="W1116" s="39"/>
      <c r="X1116" s="39"/>
      <c r="Y1116" s="39"/>
      <c r="Z1116" s="39"/>
      <c r="AA1116" s="39"/>
      <c r="AB1116" s="39">
        <f t="shared" si="753"/>
        <v>0</v>
      </c>
      <c r="AC1116" s="39"/>
      <c r="AD1116" s="39"/>
      <c r="AE1116" s="39"/>
      <c r="AF1116" s="39"/>
      <c r="AG1116" s="39"/>
      <c r="AH1116" s="39">
        <f t="shared" si="745"/>
        <v>0</v>
      </c>
      <c r="AI1116" s="39"/>
      <c r="AJ1116" s="39"/>
      <c r="AK1116" s="39"/>
      <c r="AL1116" s="39"/>
      <c r="AM1116" s="39"/>
      <c r="AN1116" s="39">
        <f t="shared" si="744"/>
        <v>0</v>
      </c>
      <c r="AO1116" s="39"/>
      <c r="AP1116" s="39"/>
      <c r="AQ1116" s="39"/>
      <c r="AR1116" s="39"/>
      <c r="AS1116" s="39"/>
      <c r="AT1116" s="39">
        <f t="shared" si="659"/>
        <v>0</v>
      </c>
      <c r="AU1116" s="39"/>
      <c r="AV1116" s="39"/>
      <c r="AW1116" s="39"/>
      <c r="AX1116" s="39"/>
      <c r="AY1116" s="39"/>
      <c r="AZ1116" s="39">
        <f t="shared" si="660"/>
        <v>0</v>
      </c>
      <c r="BA1116" s="39"/>
      <c r="BB1116" s="39"/>
      <c r="BC1116" s="39"/>
      <c r="BD1116" s="39"/>
      <c r="BE1116" s="39"/>
      <c r="BF1116" s="39">
        <f t="shared" si="661"/>
        <v>0</v>
      </c>
      <c r="BG1116" s="39"/>
      <c r="BH1116" s="39"/>
      <c r="BI1116" s="39"/>
      <c r="BJ1116" s="39"/>
      <c r="BK1116" s="39"/>
      <c r="BL1116" s="39">
        <f t="shared" si="746"/>
        <v>0</v>
      </c>
      <c r="BM1116" s="54" t="e">
        <f t="shared" si="662"/>
        <v>#DIV/0!</v>
      </c>
      <c r="BN1116" s="42"/>
      <c r="BO1116" s="39"/>
      <c r="BP1116" s="39"/>
      <c r="BQ1116" s="39"/>
      <c r="BR1116" s="39"/>
      <c r="BS1116" s="39"/>
      <c r="BT1116" s="39"/>
      <c r="BU1116" s="39"/>
      <c r="BV1116" s="39"/>
      <c r="BW1116" s="39"/>
      <c r="BX1116" s="39"/>
      <c r="BY1116" s="39"/>
      <c r="BZ1116" s="39">
        <f t="shared" si="747"/>
        <v>0</v>
      </c>
      <c r="CA1116" s="39">
        <f t="shared" si="663"/>
        <v>0</v>
      </c>
      <c r="CB1116" s="39">
        <f t="shared" si="664"/>
        <v>0</v>
      </c>
      <c r="CC1116" s="39">
        <f t="shared" si="665"/>
        <v>0</v>
      </c>
      <c r="CD1116" s="39">
        <f t="shared" si="748"/>
        <v>0</v>
      </c>
      <c r="CE1116" s="47" t="e">
        <f t="shared" si="666"/>
        <v>#DIV/0!</v>
      </c>
      <c r="CF1116" s="36"/>
      <c r="CG1116" s="39"/>
      <c r="CH1116" s="39"/>
      <c r="CI1116" s="25">
        <v>1</v>
      </c>
    </row>
    <row r="1117" spans="1:87" ht="24.75" customHeight="1">
      <c r="A1117" s="36" t="s">
        <v>215</v>
      </c>
      <c r="B1117" s="55"/>
      <c r="C1117" s="36"/>
      <c r="D1117" s="36"/>
      <c r="E1117" s="39"/>
      <c r="F1117" s="39"/>
      <c r="G1117" s="36"/>
      <c r="H1117" s="39"/>
      <c r="I1117" s="39"/>
      <c r="J1117" s="39"/>
      <c r="K1117" s="39"/>
      <c r="L1117" s="39">
        <f t="shared" si="751"/>
        <v>0</v>
      </c>
      <c r="M1117" s="39"/>
      <c r="N1117" s="39"/>
      <c r="O1117" s="39"/>
      <c r="P1117" s="39"/>
      <c r="Q1117" s="39"/>
      <c r="R1117" s="39">
        <f t="shared" si="752"/>
        <v>0</v>
      </c>
      <c r="S1117" s="39"/>
      <c r="T1117" s="39"/>
      <c r="U1117" s="39"/>
      <c r="V1117" s="39"/>
      <c r="W1117" s="39"/>
      <c r="X1117" s="39"/>
      <c r="Y1117" s="39"/>
      <c r="Z1117" s="39"/>
      <c r="AA1117" s="39"/>
      <c r="AB1117" s="39">
        <f t="shared" si="753"/>
        <v>0</v>
      </c>
      <c r="AC1117" s="39"/>
      <c r="AD1117" s="39"/>
      <c r="AE1117" s="39"/>
      <c r="AF1117" s="39"/>
      <c r="AG1117" s="39"/>
      <c r="AH1117" s="39">
        <f t="shared" si="745"/>
        <v>0</v>
      </c>
      <c r="AI1117" s="39"/>
      <c r="AJ1117" s="39"/>
      <c r="AK1117" s="39"/>
      <c r="AL1117" s="39"/>
      <c r="AM1117" s="39"/>
      <c r="AN1117" s="39">
        <f t="shared" si="744"/>
        <v>0</v>
      </c>
      <c r="AO1117" s="39"/>
      <c r="AP1117" s="39"/>
      <c r="AQ1117" s="39"/>
      <c r="AR1117" s="39"/>
      <c r="AS1117" s="39"/>
      <c r="AT1117" s="39">
        <f t="shared" si="659"/>
        <v>0</v>
      </c>
      <c r="AU1117" s="39"/>
      <c r="AV1117" s="39"/>
      <c r="AW1117" s="39"/>
      <c r="AX1117" s="39"/>
      <c r="AY1117" s="39"/>
      <c r="AZ1117" s="39">
        <f t="shared" si="660"/>
        <v>0</v>
      </c>
      <c r="BA1117" s="39"/>
      <c r="BB1117" s="39"/>
      <c r="BC1117" s="39"/>
      <c r="BD1117" s="39"/>
      <c r="BE1117" s="39"/>
      <c r="BF1117" s="39">
        <f t="shared" si="661"/>
        <v>0</v>
      </c>
      <c r="BG1117" s="39"/>
      <c r="BH1117" s="39"/>
      <c r="BI1117" s="39"/>
      <c r="BJ1117" s="39"/>
      <c r="BK1117" s="39"/>
      <c r="BL1117" s="39">
        <f t="shared" si="746"/>
        <v>0</v>
      </c>
      <c r="BM1117" s="54" t="e">
        <f t="shared" si="662"/>
        <v>#DIV/0!</v>
      </c>
      <c r="BN1117" s="67"/>
      <c r="BO1117" s="39"/>
      <c r="BP1117" s="39"/>
      <c r="BQ1117" s="39"/>
      <c r="BR1117" s="39"/>
      <c r="BS1117" s="39"/>
      <c r="BT1117" s="39"/>
      <c r="BU1117" s="39"/>
      <c r="BV1117" s="39"/>
      <c r="BW1117" s="39"/>
      <c r="BX1117" s="39"/>
      <c r="BY1117" s="39"/>
      <c r="BZ1117" s="39">
        <f t="shared" si="747"/>
        <v>0</v>
      </c>
      <c r="CA1117" s="39">
        <f t="shared" si="663"/>
        <v>0</v>
      </c>
      <c r="CB1117" s="39">
        <f t="shared" si="664"/>
        <v>0</v>
      </c>
      <c r="CC1117" s="39">
        <f t="shared" si="665"/>
        <v>0</v>
      </c>
      <c r="CD1117" s="39">
        <f t="shared" si="748"/>
        <v>0</v>
      </c>
      <c r="CE1117" s="47" t="e">
        <f t="shared" si="666"/>
        <v>#DIV/0!</v>
      </c>
      <c r="CF1117" s="36"/>
      <c r="CG1117" s="39"/>
      <c r="CH1117" s="39"/>
      <c r="CI1117" s="25">
        <v>2</v>
      </c>
    </row>
    <row r="1118" spans="1:87" ht="24.75" customHeight="1">
      <c r="A1118" s="36" t="s">
        <v>215</v>
      </c>
      <c r="B1118" s="55"/>
      <c r="C1118" s="36"/>
      <c r="D1118" s="36"/>
      <c r="E1118" s="39"/>
      <c r="F1118" s="39"/>
      <c r="G1118" s="36"/>
      <c r="H1118" s="39"/>
      <c r="I1118" s="39"/>
      <c r="J1118" s="39"/>
      <c r="K1118" s="39"/>
      <c r="L1118" s="39">
        <f t="shared" si="751"/>
        <v>0</v>
      </c>
      <c r="M1118" s="39"/>
      <c r="N1118" s="39"/>
      <c r="O1118" s="39"/>
      <c r="P1118" s="39"/>
      <c r="Q1118" s="39"/>
      <c r="R1118" s="39">
        <f t="shared" si="752"/>
        <v>0</v>
      </c>
      <c r="S1118" s="39"/>
      <c r="T1118" s="39"/>
      <c r="U1118" s="39"/>
      <c r="V1118" s="39"/>
      <c r="W1118" s="39"/>
      <c r="X1118" s="39"/>
      <c r="Y1118" s="39"/>
      <c r="Z1118" s="39"/>
      <c r="AA1118" s="39"/>
      <c r="AB1118" s="39">
        <f t="shared" si="753"/>
        <v>0</v>
      </c>
      <c r="AC1118" s="39"/>
      <c r="AD1118" s="39"/>
      <c r="AE1118" s="39"/>
      <c r="AF1118" s="39"/>
      <c r="AG1118" s="39"/>
      <c r="AH1118" s="39">
        <f t="shared" si="745"/>
        <v>0</v>
      </c>
      <c r="AI1118" s="39"/>
      <c r="AJ1118" s="39"/>
      <c r="AK1118" s="39"/>
      <c r="AL1118" s="39"/>
      <c r="AM1118" s="39"/>
      <c r="AN1118" s="39">
        <f t="shared" si="744"/>
        <v>0</v>
      </c>
      <c r="AO1118" s="39"/>
      <c r="AP1118" s="39"/>
      <c r="AQ1118" s="39"/>
      <c r="AR1118" s="39"/>
      <c r="AS1118" s="39"/>
      <c r="AT1118" s="39">
        <f t="shared" si="659"/>
        <v>0</v>
      </c>
      <c r="AU1118" s="39"/>
      <c r="AV1118" s="39"/>
      <c r="AW1118" s="39"/>
      <c r="AX1118" s="39"/>
      <c r="AY1118" s="39"/>
      <c r="AZ1118" s="39">
        <f t="shared" si="660"/>
        <v>0</v>
      </c>
      <c r="BA1118" s="39"/>
      <c r="BB1118" s="39"/>
      <c r="BC1118" s="39"/>
      <c r="BD1118" s="39"/>
      <c r="BE1118" s="39"/>
      <c r="BF1118" s="39">
        <f t="shared" si="661"/>
        <v>0</v>
      </c>
      <c r="BG1118" s="39"/>
      <c r="BH1118" s="39"/>
      <c r="BI1118" s="39"/>
      <c r="BJ1118" s="39"/>
      <c r="BK1118" s="39"/>
      <c r="BL1118" s="39">
        <f t="shared" si="746"/>
        <v>0</v>
      </c>
      <c r="BM1118" s="54" t="e">
        <f t="shared" si="662"/>
        <v>#DIV/0!</v>
      </c>
      <c r="BN1118" s="67"/>
      <c r="BO1118" s="39"/>
      <c r="BP1118" s="39"/>
      <c r="BQ1118" s="39"/>
      <c r="BR1118" s="39"/>
      <c r="BS1118" s="39"/>
      <c r="BT1118" s="39"/>
      <c r="BU1118" s="39"/>
      <c r="BV1118" s="39"/>
      <c r="BW1118" s="39"/>
      <c r="BX1118" s="39"/>
      <c r="BY1118" s="39"/>
      <c r="BZ1118" s="39">
        <f t="shared" si="747"/>
        <v>0</v>
      </c>
      <c r="CA1118" s="39">
        <f t="shared" si="663"/>
        <v>0</v>
      </c>
      <c r="CB1118" s="39">
        <f t="shared" si="664"/>
        <v>0</v>
      </c>
      <c r="CC1118" s="39">
        <f t="shared" si="665"/>
        <v>0</v>
      </c>
      <c r="CD1118" s="39">
        <f t="shared" si="748"/>
        <v>0</v>
      </c>
      <c r="CE1118" s="47" t="e">
        <f t="shared" si="666"/>
        <v>#DIV/0!</v>
      </c>
      <c r="CF1118" s="36"/>
      <c r="CG1118" s="39"/>
      <c r="CH1118" s="39"/>
      <c r="CI1118" s="25">
        <v>2</v>
      </c>
    </row>
    <row r="1119" spans="1:87" ht="24.75" customHeight="1">
      <c r="A1119" s="36" t="s">
        <v>215</v>
      </c>
      <c r="B1119" s="55"/>
      <c r="C1119" s="36"/>
      <c r="D1119" s="36"/>
      <c r="E1119" s="39"/>
      <c r="F1119" s="39"/>
      <c r="G1119" s="36"/>
      <c r="H1119" s="39"/>
      <c r="I1119" s="39"/>
      <c r="J1119" s="39"/>
      <c r="K1119" s="39"/>
      <c r="L1119" s="39">
        <f t="shared" si="751"/>
        <v>0</v>
      </c>
      <c r="M1119" s="39"/>
      <c r="N1119" s="39"/>
      <c r="O1119" s="39"/>
      <c r="P1119" s="39"/>
      <c r="Q1119" s="39"/>
      <c r="R1119" s="39">
        <f t="shared" si="752"/>
        <v>0</v>
      </c>
      <c r="S1119" s="39"/>
      <c r="T1119" s="39"/>
      <c r="U1119" s="39"/>
      <c r="V1119" s="39"/>
      <c r="W1119" s="39"/>
      <c r="X1119" s="39"/>
      <c r="Y1119" s="39"/>
      <c r="Z1119" s="39"/>
      <c r="AA1119" s="39"/>
      <c r="AB1119" s="39">
        <f t="shared" si="753"/>
        <v>0</v>
      </c>
      <c r="AC1119" s="39"/>
      <c r="AD1119" s="39"/>
      <c r="AE1119" s="39"/>
      <c r="AF1119" s="39"/>
      <c r="AG1119" s="39"/>
      <c r="AH1119" s="39">
        <f t="shared" si="745"/>
        <v>0</v>
      </c>
      <c r="AI1119" s="39"/>
      <c r="AJ1119" s="39"/>
      <c r="AK1119" s="39"/>
      <c r="AL1119" s="39"/>
      <c r="AM1119" s="39"/>
      <c r="AN1119" s="39">
        <f t="shared" si="744"/>
        <v>0</v>
      </c>
      <c r="AO1119" s="39"/>
      <c r="AP1119" s="39"/>
      <c r="AQ1119" s="39"/>
      <c r="AR1119" s="39"/>
      <c r="AS1119" s="39"/>
      <c r="AT1119" s="39">
        <f t="shared" si="659"/>
        <v>0</v>
      </c>
      <c r="AU1119" s="39"/>
      <c r="AV1119" s="39"/>
      <c r="AW1119" s="39"/>
      <c r="AX1119" s="39"/>
      <c r="AY1119" s="39"/>
      <c r="AZ1119" s="39">
        <f t="shared" si="660"/>
        <v>0</v>
      </c>
      <c r="BA1119" s="39"/>
      <c r="BB1119" s="39"/>
      <c r="BC1119" s="39"/>
      <c r="BD1119" s="39"/>
      <c r="BE1119" s="39"/>
      <c r="BF1119" s="39">
        <f t="shared" si="661"/>
        <v>0</v>
      </c>
      <c r="BG1119" s="39"/>
      <c r="BH1119" s="39"/>
      <c r="BI1119" s="39"/>
      <c r="BJ1119" s="39"/>
      <c r="BK1119" s="39"/>
      <c r="BL1119" s="39">
        <f t="shared" si="746"/>
        <v>0</v>
      </c>
      <c r="BM1119" s="54" t="e">
        <f t="shared" si="662"/>
        <v>#DIV/0!</v>
      </c>
      <c r="BN1119" s="67"/>
      <c r="BO1119" s="39"/>
      <c r="BP1119" s="39"/>
      <c r="BQ1119" s="39"/>
      <c r="BR1119" s="39"/>
      <c r="BS1119" s="39"/>
      <c r="BT1119" s="39"/>
      <c r="BU1119" s="39"/>
      <c r="BV1119" s="39"/>
      <c r="BW1119" s="39"/>
      <c r="BX1119" s="39"/>
      <c r="BY1119" s="39"/>
      <c r="BZ1119" s="39">
        <f t="shared" si="747"/>
        <v>0</v>
      </c>
      <c r="CA1119" s="39">
        <f t="shared" si="663"/>
        <v>0</v>
      </c>
      <c r="CB1119" s="39">
        <f t="shared" si="664"/>
        <v>0</v>
      </c>
      <c r="CC1119" s="39">
        <f t="shared" si="665"/>
        <v>0</v>
      </c>
      <c r="CD1119" s="39">
        <f t="shared" si="748"/>
        <v>0</v>
      </c>
      <c r="CE1119" s="47" t="e">
        <f t="shared" si="666"/>
        <v>#DIV/0!</v>
      </c>
      <c r="CF1119" s="36"/>
      <c r="CG1119" s="39"/>
      <c r="CH1119" s="39"/>
      <c r="CI1119" s="25">
        <v>2</v>
      </c>
    </row>
    <row r="1120" spans="1:87" ht="24.75" customHeight="1">
      <c r="A1120" s="36" t="s">
        <v>215</v>
      </c>
      <c r="B1120" s="55"/>
      <c r="C1120" s="36"/>
      <c r="D1120" s="36"/>
      <c r="E1120" s="39"/>
      <c r="F1120" s="39"/>
      <c r="G1120" s="36"/>
      <c r="H1120" s="39"/>
      <c r="I1120" s="39"/>
      <c r="J1120" s="39"/>
      <c r="K1120" s="39"/>
      <c r="L1120" s="39">
        <f t="shared" si="751"/>
        <v>0</v>
      </c>
      <c r="M1120" s="39"/>
      <c r="N1120" s="39"/>
      <c r="O1120" s="39"/>
      <c r="P1120" s="39"/>
      <c r="Q1120" s="39"/>
      <c r="R1120" s="39">
        <f t="shared" si="752"/>
        <v>0</v>
      </c>
      <c r="S1120" s="39"/>
      <c r="T1120" s="39"/>
      <c r="U1120" s="39"/>
      <c r="V1120" s="39"/>
      <c r="W1120" s="39"/>
      <c r="X1120" s="39"/>
      <c r="Y1120" s="39"/>
      <c r="Z1120" s="39"/>
      <c r="AA1120" s="39"/>
      <c r="AB1120" s="39">
        <f t="shared" si="753"/>
        <v>0</v>
      </c>
      <c r="AC1120" s="39"/>
      <c r="AD1120" s="39"/>
      <c r="AE1120" s="39"/>
      <c r="AF1120" s="39"/>
      <c r="AG1120" s="39"/>
      <c r="AH1120" s="39">
        <f t="shared" si="745"/>
        <v>0</v>
      </c>
      <c r="AI1120" s="39"/>
      <c r="AJ1120" s="39"/>
      <c r="AK1120" s="39"/>
      <c r="AL1120" s="39"/>
      <c r="AM1120" s="39"/>
      <c r="AN1120" s="39">
        <f t="shared" si="744"/>
        <v>0</v>
      </c>
      <c r="AO1120" s="39"/>
      <c r="AP1120" s="39"/>
      <c r="AQ1120" s="39"/>
      <c r="AR1120" s="39"/>
      <c r="AS1120" s="39"/>
      <c r="AT1120" s="39">
        <f t="shared" si="659"/>
        <v>0</v>
      </c>
      <c r="AU1120" s="39"/>
      <c r="AV1120" s="39"/>
      <c r="AW1120" s="39"/>
      <c r="AX1120" s="39"/>
      <c r="AY1120" s="39"/>
      <c r="AZ1120" s="39">
        <f t="shared" si="660"/>
        <v>0</v>
      </c>
      <c r="BA1120" s="39"/>
      <c r="BB1120" s="39"/>
      <c r="BC1120" s="39"/>
      <c r="BD1120" s="39"/>
      <c r="BE1120" s="39"/>
      <c r="BF1120" s="39">
        <f t="shared" si="661"/>
        <v>0</v>
      </c>
      <c r="BG1120" s="39"/>
      <c r="BH1120" s="39"/>
      <c r="BI1120" s="39"/>
      <c r="BJ1120" s="39"/>
      <c r="BK1120" s="39"/>
      <c r="BL1120" s="39">
        <f t="shared" si="746"/>
        <v>0</v>
      </c>
      <c r="BM1120" s="54" t="e">
        <f t="shared" si="662"/>
        <v>#DIV/0!</v>
      </c>
      <c r="BN1120" s="67"/>
      <c r="BO1120" s="39"/>
      <c r="BP1120" s="39"/>
      <c r="BQ1120" s="39"/>
      <c r="BR1120" s="39"/>
      <c r="BS1120" s="39"/>
      <c r="BT1120" s="39"/>
      <c r="BU1120" s="39"/>
      <c r="BV1120" s="39"/>
      <c r="BW1120" s="39"/>
      <c r="BX1120" s="39"/>
      <c r="BY1120" s="39"/>
      <c r="BZ1120" s="39">
        <f t="shared" si="747"/>
        <v>0</v>
      </c>
      <c r="CA1120" s="39">
        <f t="shared" si="663"/>
        <v>0</v>
      </c>
      <c r="CB1120" s="39">
        <f t="shared" si="664"/>
        <v>0</v>
      </c>
      <c r="CC1120" s="39">
        <f t="shared" si="665"/>
        <v>0</v>
      </c>
      <c r="CD1120" s="39">
        <f t="shared" si="748"/>
        <v>0</v>
      </c>
      <c r="CE1120" s="47" t="e">
        <f t="shared" si="666"/>
        <v>#DIV/0!</v>
      </c>
      <c r="CF1120" s="36"/>
      <c r="CG1120" s="39"/>
      <c r="CH1120" s="39"/>
      <c r="CI1120" s="25">
        <v>2</v>
      </c>
    </row>
    <row r="1121" spans="1:87" ht="24.75" customHeight="1">
      <c r="A1121" s="36" t="s">
        <v>215</v>
      </c>
      <c r="B1121" s="55"/>
      <c r="C1121" s="36"/>
      <c r="D1121" s="36"/>
      <c r="E1121" s="39"/>
      <c r="F1121" s="39"/>
      <c r="G1121" s="36"/>
      <c r="H1121" s="39"/>
      <c r="I1121" s="39"/>
      <c r="J1121" s="39"/>
      <c r="K1121" s="39"/>
      <c r="L1121" s="39">
        <f t="shared" si="751"/>
        <v>0</v>
      </c>
      <c r="M1121" s="39"/>
      <c r="N1121" s="39"/>
      <c r="O1121" s="39"/>
      <c r="P1121" s="39"/>
      <c r="Q1121" s="39"/>
      <c r="R1121" s="39">
        <f t="shared" si="752"/>
        <v>0</v>
      </c>
      <c r="S1121" s="39"/>
      <c r="T1121" s="39"/>
      <c r="U1121" s="39"/>
      <c r="V1121" s="39"/>
      <c r="W1121" s="39"/>
      <c r="X1121" s="39"/>
      <c r="Y1121" s="39"/>
      <c r="Z1121" s="39"/>
      <c r="AA1121" s="39"/>
      <c r="AB1121" s="39">
        <f t="shared" si="753"/>
        <v>0</v>
      </c>
      <c r="AC1121" s="39"/>
      <c r="AD1121" s="39"/>
      <c r="AE1121" s="39"/>
      <c r="AF1121" s="39"/>
      <c r="AG1121" s="39"/>
      <c r="AH1121" s="39">
        <f t="shared" si="745"/>
        <v>0</v>
      </c>
      <c r="AI1121" s="39"/>
      <c r="AJ1121" s="39"/>
      <c r="AK1121" s="39"/>
      <c r="AL1121" s="39"/>
      <c r="AM1121" s="39"/>
      <c r="AN1121" s="39">
        <f t="shared" si="744"/>
        <v>0</v>
      </c>
      <c r="AO1121" s="39"/>
      <c r="AP1121" s="39"/>
      <c r="AQ1121" s="39"/>
      <c r="AR1121" s="39"/>
      <c r="AS1121" s="39"/>
      <c r="AT1121" s="39">
        <f t="shared" si="659"/>
        <v>0</v>
      </c>
      <c r="AU1121" s="39"/>
      <c r="AV1121" s="39"/>
      <c r="AW1121" s="39"/>
      <c r="AX1121" s="39"/>
      <c r="AY1121" s="39"/>
      <c r="AZ1121" s="39">
        <f t="shared" si="660"/>
        <v>0</v>
      </c>
      <c r="BA1121" s="39"/>
      <c r="BB1121" s="39"/>
      <c r="BC1121" s="39"/>
      <c r="BD1121" s="39"/>
      <c r="BE1121" s="39"/>
      <c r="BF1121" s="39">
        <f t="shared" si="661"/>
        <v>0</v>
      </c>
      <c r="BG1121" s="39"/>
      <c r="BH1121" s="39"/>
      <c r="BI1121" s="39"/>
      <c r="BJ1121" s="39"/>
      <c r="BK1121" s="39"/>
      <c r="BL1121" s="39">
        <f t="shared" si="746"/>
        <v>0</v>
      </c>
      <c r="BM1121" s="54" t="e">
        <f t="shared" si="662"/>
        <v>#DIV/0!</v>
      </c>
      <c r="BN1121" s="67"/>
      <c r="BO1121" s="39"/>
      <c r="BP1121" s="39"/>
      <c r="BQ1121" s="39"/>
      <c r="BR1121" s="39"/>
      <c r="BS1121" s="39"/>
      <c r="BT1121" s="39"/>
      <c r="BU1121" s="39"/>
      <c r="BV1121" s="39"/>
      <c r="BW1121" s="39"/>
      <c r="BX1121" s="39"/>
      <c r="BY1121" s="39"/>
      <c r="BZ1121" s="39">
        <f t="shared" si="747"/>
        <v>0</v>
      </c>
      <c r="CA1121" s="39">
        <f t="shared" si="663"/>
        <v>0</v>
      </c>
      <c r="CB1121" s="39">
        <f t="shared" si="664"/>
        <v>0</v>
      </c>
      <c r="CC1121" s="39">
        <f t="shared" si="665"/>
        <v>0</v>
      </c>
      <c r="CD1121" s="39">
        <f t="shared" si="748"/>
        <v>0</v>
      </c>
      <c r="CE1121" s="47" t="e">
        <f t="shared" si="666"/>
        <v>#DIV/0!</v>
      </c>
      <c r="CF1121" s="36"/>
      <c r="CG1121" s="39"/>
      <c r="CH1121" s="39"/>
      <c r="CI1121" s="25">
        <v>2</v>
      </c>
    </row>
    <row r="1122" spans="1:87" ht="24.75" customHeight="1">
      <c r="A1122" s="36" t="s">
        <v>215</v>
      </c>
      <c r="B1122" s="55"/>
      <c r="C1122" s="36"/>
      <c r="D1122" s="36"/>
      <c r="E1122" s="39"/>
      <c r="F1122" s="39"/>
      <c r="G1122" s="36"/>
      <c r="H1122" s="39"/>
      <c r="I1122" s="39"/>
      <c r="J1122" s="39"/>
      <c r="K1122" s="39"/>
      <c r="L1122" s="39">
        <f t="shared" si="751"/>
        <v>0</v>
      </c>
      <c r="M1122" s="39"/>
      <c r="N1122" s="39"/>
      <c r="O1122" s="39"/>
      <c r="P1122" s="39"/>
      <c r="Q1122" s="39"/>
      <c r="R1122" s="39">
        <f t="shared" si="752"/>
        <v>0</v>
      </c>
      <c r="S1122" s="39"/>
      <c r="T1122" s="39"/>
      <c r="U1122" s="39"/>
      <c r="V1122" s="39"/>
      <c r="W1122" s="39"/>
      <c r="X1122" s="39"/>
      <c r="Y1122" s="39"/>
      <c r="Z1122" s="39"/>
      <c r="AA1122" s="39"/>
      <c r="AB1122" s="39">
        <f t="shared" si="753"/>
        <v>0</v>
      </c>
      <c r="AC1122" s="39"/>
      <c r="AD1122" s="39"/>
      <c r="AE1122" s="39"/>
      <c r="AF1122" s="39"/>
      <c r="AG1122" s="39"/>
      <c r="AH1122" s="39">
        <f t="shared" si="745"/>
        <v>0</v>
      </c>
      <c r="AI1122" s="39"/>
      <c r="AJ1122" s="39"/>
      <c r="AK1122" s="39"/>
      <c r="AL1122" s="39"/>
      <c r="AM1122" s="39"/>
      <c r="AN1122" s="39">
        <f t="shared" si="744"/>
        <v>0</v>
      </c>
      <c r="AO1122" s="39"/>
      <c r="AP1122" s="39"/>
      <c r="AQ1122" s="39"/>
      <c r="AR1122" s="39"/>
      <c r="AS1122" s="39"/>
      <c r="AT1122" s="39">
        <f t="shared" si="659"/>
        <v>0</v>
      </c>
      <c r="AU1122" s="39"/>
      <c r="AV1122" s="39"/>
      <c r="AW1122" s="39"/>
      <c r="AX1122" s="39"/>
      <c r="AY1122" s="39"/>
      <c r="AZ1122" s="39">
        <f t="shared" si="660"/>
        <v>0</v>
      </c>
      <c r="BA1122" s="39"/>
      <c r="BB1122" s="39"/>
      <c r="BC1122" s="39"/>
      <c r="BD1122" s="39"/>
      <c r="BE1122" s="39"/>
      <c r="BF1122" s="39">
        <f t="shared" si="661"/>
        <v>0</v>
      </c>
      <c r="BG1122" s="39"/>
      <c r="BH1122" s="39"/>
      <c r="BI1122" s="39"/>
      <c r="BJ1122" s="39"/>
      <c r="BK1122" s="39"/>
      <c r="BL1122" s="39">
        <f t="shared" si="746"/>
        <v>0</v>
      </c>
      <c r="BM1122" s="54" t="e">
        <f t="shared" si="662"/>
        <v>#DIV/0!</v>
      </c>
      <c r="BN1122" s="63"/>
      <c r="BO1122" s="39"/>
      <c r="BP1122" s="39"/>
      <c r="BQ1122" s="39"/>
      <c r="BR1122" s="39"/>
      <c r="BS1122" s="39"/>
      <c r="BT1122" s="39"/>
      <c r="BU1122" s="39"/>
      <c r="BV1122" s="39"/>
      <c r="BW1122" s="39"/>
      <c r="BX1122" s="39"/>
      <c r="BY1122" s="39"/>
      <c r="BZ1122" s="39">
        <f t="shared" si="747"/>
        <v>0</v>
      </c>
      <c r="CA1122" s="39">
        <f t="shared" si="663"/>
        <v>0</v>
      </c>
      <c r="CB1122" s="39">
        <f t="shared" si="664"/>
        <v>0</v>
      </c>
      <c r="CC1122" s="39">
        <f t="shared" si="665"/>
        <v>0</v>
      </c>
      <c r="CD1122" s="39">
        <f t="shared" si="748"/>
        <v>0</v>
      </c>
      <c r="CE1122" s="47" t="e">
        <f t="shared" si="666"/>
        <v>#DIV/0!</v>
      </c>
      <c r="CF1122" s="36"/>
      <c r="CG1122" s="39"/>
      <c r="CH1122" s="39"/>
      <c r="CI1122" s="25">
        <v>3</v>
      </c>
    </row>
    <row r="1123" spans="1:87" ht="24.75" customHeight="1">
      <c r="A1123" s="36" t="s">
        <v>215</v>
      </c>
      <c r="B1123" s="55"/>
      <c r="C1123" s="36"/>
      <c r="D1123" s="36"/>
      <c r="E1123" s="39"/>
      <c r="F1123" s="39"/>
      <c r="G1123" s="36"/>
      <c r="H1123" s="39"/>
      <c r="I1123" s="39"/>
      <c r="J1123" s="39"/>
      <c r="K1123" s="39"/>
      <c r="L1123" s="39">
        <f t="shared" si="751"/>
        <v>0</v>
      </c>
      <c r="M1123" s="39"/>
      <c r="N1123" s="39"/>
      <c r="O1123" s="39"/>
      <c r="P1123" s="39"/>
      <c r="Q1123" s="39"/>
      <c r="R1123" s="39">
        <f t="shared" si="752"/>
        <v>0</v>
      </c>
      <c r="S1123" s="39"/>
      <c r="T1123" s="39"/>
      <c r="U1123" s="39"/>
      <c r="V1123" s="39"/>
      <c r="W1123" s="39"/>
      <c r="X1123" s="39"/>
      <c r="Y1123" s="39"/>
      <c r="Z1123" s="39"/>
      <c r="AA1123" s="39"/>
      <c r="AB1123" s="39">
        <f t="shared" si="753"/>
        <v>0</v>
      </c>
      <c r="AC1123" s="39"/>
      <c r="AD1123" s="39"/>
      <c r="AE1123" s="39"/>
      <c r="AF1123" s="39"/>
      <c r="AG1123" s="39"/>
      <c r="AH1123" s="39">
        <f t="shared" si="745"/>
        <v>0</v>
      </c>
      <c r="AI1123" s="39"/>
      <c r="AJ1123" s="39"/>
      <c r="AK1123" s="39"/>
      <c r="AL1123" s="39"/>
      <c r="AM1123" s="39"/>
      <c r="AN1123" s="39">
        <f t="shared" si="744"/>
        <v>0</v>
      </c>
      <c r="AO1123" s="39"/>
      <c r="AP1123" s="39"/>
      <c r="AQ1123" s="39"/>
      <c r="AR1123" s="39"/>
      <c r="AS1123" s="39"/>
      <c r="AT1123" s="39">
        <f t="shared" si="659"/>
        <v>0</v>
      </c>
      <c r="AU1123" s="39"/>
      <c r="AV1123" s="39"/>
      <c r="AW1123" s="39"/>
      <c r="AX1123" s="39"/>
      <c r="AY1123" s="39"/>
      <c r="AZ1123" s="39">
        <f t="shared" si="660"/>
        <v>0</v>
      </c>
      <c r="BA1123" s="39"/>
      <c r="BB1123" s="39"/>
      <c r="BC1123" s="39"/>
      <c r="BD1123" s="39"/>
      <c r="BE1123" s="39"/>
      <c r="BF1123" s="39">
        <f t="shared" si="661"/>
        <v>0</v>
      </c>
      <c r="BG1123" s="39"/>
      <c r="BH1123" s="39"/>
      <c r="BI1123" s="39"/>
      <c r="BJ1123" s="39"/>
      <c r="BK1123" s="39"/>
      <c r="BL1123" s="39">
        <f t="shared" si="746"/>
        <v>0</v>
      </c>
      <c r="BM1123" s="54" t="e">
        <f t="shared" si="662"/>
        <v>#DIV/0!</v>
      </c>
      <c r="BN1123" s="63"/>
      <c r="BO1123" s="39"/>
      <c r="BP1123" s="39"/>
      <c r="BQ1123" s="39"/>
      <c r="BR1123" s="39"/>
      <c r="BS1123" s="39"/>
      <c r="BT1123" s="39"/>
      <c r="BU1123" s="39"/>
      <c r="BV1123" s="39"/>
      <c r="BW1123" s="39"/>
      <c r="BX1123" s="39"/>
      <c r="BY1123" s="39"/>
      <c r="BZ1123" s="39">
        <f t="shared" si="747"/>
        <v>0</v>
      </c>
      <c r="CA1123" s="39">
        <f t="shared" si="663"/>
        <v>0</v>
      </c>
      <c r="CB1123" s="39">
        <f t="shared" si="664"/>
        <v>0</v>
      </c>
      <c r="CC1123" s="39">
        <f t="shared" si="665"/>
        <v>0</v>
      </c>
      <c r="CD1123" s="39">
        <f t="shared" si="748"/>
        <v>0</v>
      </c>
      <c r="CE1123" s="47" t="e">
        <f t="shared" si="666"/>
        <v>#DIV/0!</v>
      </c>
      <c r="CF1123" s="36"/>
      <c r="CG1123" s="39"/>
      <c r="CH1123" s="39"/>
      <c r="CI1123" s="25">
        <v>3</v>
      </c>
    </row>
    <row r="1124" spans="1:87" ht="24.75" customHeight="1">
      <c r="A1124" s="36" t="s">
        <v>215</v>
      </c>
      <c r="B1124" s="55"/>
      <c r="C1124" s="36"/>
      <c r="D1124" s="36"/>
      <c r="E1124" s="39"/>
      <c r="F1124" s="39"/>
      <c r="G1124" s="36"/>
      <c r="H1124" s="39"/>
      <c r="I1124" s="39"/>
      <c r="J1124" s="39"/>
      <c r="K1124" s="39"/>
      <c r="L1124" s="39">
        <f t="shared" si="751"/>
        <v>0</v>
      </c>
      <c r="M1124" s="39"/>
      <c r="N1124" s="39"/>
      <c r="O1124" s="39"/>
      <c r="P1124" s="39"/>
      <c r="Q1124" s="39"/>
      <c r="R1124" s="39">
        <f t="shared" si="752"/>
        <v>0</v>
      </c>
      <c r="S1124" s="39"/>
      <c r="T1124" s="39"/>
      <c r="U1124" s="39"/>
      <c r="V1124" s="39"/>
      <c r="W1124" s="39"/>
      <c r="X1124" s="39"/>
      <c r="Y1124" s="39"/>
      <c r="Z1124" s="39"/>
      <c r="AA1124" s="39"/>
      <c r="AB1124" s="39">
        <f t="shared" si="753"/>
        <v>0</v>
      </c>
      <c r="AC1124" s="39"/>
      <c r="AD1124" s="39"/>
      <c r="AE1124" s="39"/>
      <c r="AF1124" s="39"/>
      <c r="AG1124" s="39"/>
      <c r="AH1124" s="39">
        <f t="shared" si="745"/>
        <v>0</v>
      </c>
      <c r="AI1124" s="39"/>
      <c r="AJ1124" s="39"/>
      <c r="AK1124" s="39"/>
      <c r="AL1124" s="39"/>
      <c r="AM1124" s="39"/>
      <c r="AN1124" s="39">
        <f t="shared" si="744"/>
        <v>0</v>
      </c>
      <c r="AO1124" s="39"/>
      <c r="AP1124" s="39"/>
      <c r="AQ1124" s="39"/>
      <c r="AR1124" s="39"/>
      <c r="AS1124" s="39"/>
      <c r="AT1124" s="39">
        <f t="shared" si="659"/>
        <v>0</v>
      </c>
      <c r="AU1124" s="39"/>
      <c r="AV1124" s="39"/>
      <c r="AW1124" s="39"/>
      <c r="AX1124" s="39"/>
      <c r="AY1124" s="39"/>
      <c r="AZ1124" s="39">
        <f t="shared" si="660"/>
        <v>0</v>
      </c>
      <c r="BA1124" s="39"/>
      <c r="BB1124" s="39"/>
      <c r="BC1124" s="39"/>
      <c r="BD1124" s="39"/>
      <c r="BE1124" s="39"/>
      <c r="BF1124" s="39">
        <f t="shared" si="661"/>
        <v>0</v>
      </c>
      <c r="BG1124" s="39"/>
      <c r="BH1124" s="39"/>
      <c r="BI1124" s="39"/>
      <c r="BJ1124" s="39"/>
      <c r="BK1124" s="39"/>
      <c r="BL1124" s="39">
        <f t="shared" si="746"/>
        <v>0</v>
      </c>
      <c r="BM1124" s="54" t="e">
        <f t="shared" si="662"/>
        <v>#DIV/0!</v>
      </c>
      <c r="BN1124" s="63"/>
      <c r="BO1124" s="39"/>
      <c r="BP1124" s="39"/>
      <c r="BQ1124" s="39"/>
      <c r="BR1124" s="39"/>
      <c r="BS1124" s="39"/>
      <c r="BT1124" s="39"/>
      <c r="BU1124" s="39"/>
      <c r="BV1124" s="39"/>
      <c r="BW1124" s="39"/>
      <c r="BX1124" s="39"/>
      <c r="BY1124" s="39"/>
      <c r="BZ1124" s="39">
        <f t="shared" si="747"/>
        <v>0</v>
      </c>
      <c r="CA1124" s="39">
        <f t="shared" si="663"/>
        <v>0</v>
      </c>
      <c r="CB1124" s="39">
        <f t="shared" si="664"/>
        <v>0</v>
      </c>
      <c r="CC1124" s="39">
        <f t="shared" si="665"/>
        <v>0</v>
      </c>
      <c r="CD1124" s="39">
        <f t="shared" si="748"/>
        <v>0</v>
      </c>
      <c r="CE1124" s="47" t="e">
        <f t="shared" si="666"/>
        <v>#DIV/0!</v>
      </c>
      <c r="CF1124" s="36"/>
      <c r="CG1124" s="39"/>
      <c r="CH1124" s="39"/>
      <c r="CI1124" s="25">
        <v>3</v>
      </c>
    </row>
    <row r="1125" spans="1:87" ht="24.75" customHeight="1">
      <c r="A1125" s="36" t="s">
        <v>215</v>
      </c>
      <c r="B1125" s="55"/>
      <c r="C1125" s="36"/>
      <c r="D1125" s="36"/>
      <c r="E1125" s="39"/>
      <c r="F1125" s="39"/>
      <c r="G1125" s="36"/>
      <c r="H1125" s="39"/>
      <c r="I1125" s="39"/>
      <c r="J1125" s="39"/>
      <c r="K1125" s="39"/>
      <c r="L1125" s="39">
        <f t="shared" si="751"/>
        <v>0</v>
      </c>
      <c r="M1125" s="39"/>
      <c r="N1125" s="39"/>
      <c r="O1125" s="39"/>
      <c r="P1125" s="39"/>
      <c r="Q1125" s="39"/>
      <c r="R1125" s="39">
        <f t="shared" si="752"/>
        <v>0</v>
      </c>
      <c r="S1125" s="39"/>
      <c r="T1125" s="39"/>
      <c r="U1125" s="39"/>
      <c r="V1125" s="39"/>
      <c r="W1125" s="39"/>
      <c r="X1125" s="39"/>
      <c r="Y1125" s="39"/>
      <c r="Z1125" s="39"/>
      <c r="AA1125" s="39"/>
      <c r="AB1125" s="39">
        <f t="shared" si="753"/>
        <v>0</v>
      </c>
      <c r="AC1125" s="39"/>
      <c r="AD1125" s="39"/>
      <c r="AE1125" s="39"/>
      <c r="AF1125" s="39"/>
      <c r="AG1125" s="39"/>
      <c r="AH1125" s="39">
        <f t="shared" si="745"/>
        <v>0</v>
      </c>
      <c r="AI1125" s="39"/>
      <c r="AJ1125" s="39"/>
      <c r="AK1125" s="39"/>
      <c r="AL1125" s="39"/>
      <c r="AM1125" s="39"/>
      <c r="AN1125" s="39">
        <f t="shared" si="744"/>
        <v>0</v>
      </c>
      <c r="AO1125" s="39"/>
      <c r="AP1125" s="39"/>
      <c r="AQ1125" s="39"/>
      <c r="AR1125" s="39"/>
      <c r="AS1125" s="39"/>
      <c r="AT1125" s="39">
        <f t="shared" si="659"/>
        <v>0</v>
      </c>
      <c r="AU1125" s="39"/>
      <c r="AV1125" s="39"/>
      <c r="AW1125" s="39"/>
      <c r="AX1125" s="39"/>
      <c r="AY1125" s="39"/>
      <c r="AZ1125" s="39">
        <f t="shared" si="660"/>
        <v>0</v>
      </c>
      <c r="BA1125" s="39"/>
      <c r="BB1125" s="39"/>
      <c r="BC1125" s="39"/>
      <c r="BD1125" s="39"/>
      <c r="BE1125" s="39"/>
      <c r="BF1125" s="39">
        <f t="shared" si="661"/>
        <v>0</v>
      </c>
      <c r="BG1125" s="39"/>
      <c r="BH1125" s="39"/>
      <c r="BI1125" s="39"/>
      <c r="BJ1125" s="39"/>
      <c r="BK1125" s="39"/>
      <c r="BL1125" s="39">
        <f t="shared" si="746"/>
        <v>0</v>
      </c>
      <c r="BM1125" s="54" t="e">
        <f t="shared" si="662"/>
        <v>#DIV/0!</v>
      </c>
      <c r="BN1125" s="63"/>
      <c r="BO1125" s="39"/>
      <c r="BP1125" s="39"/>
      <c r="BQ1125" s="39"/>
      <c r="BR1125" s="39"/>
      <c r="BS1125" s="39"/>
      <c r="BT1125" s="39"/>
      <c r="BU1125" s="39"/>
      <c r="BV1125" s="39"/>
      <c r="BW1125" s="39"/>
      <c r="BX1125" s="39"/>
      <c r="BY1125" s="39"/>
      <c r="BZ1125" s="39">
        <f t="shared" si="747"/>
        <v>0</v>
      </c>
      <c r="CA1125" s="39">
        <f t="shared" si="663"/>
        <v>0</v>
      </c>
      <c r="CB1125" s="39">
        <f t="shared" si="664"/>
        <v>0</v>
      </c>
      <c r="CC1125" s="39">
        <f t="shared" si="665"/>
        <v>0</v>
      </c>
      <c r="CD1125" s="39">
        <f t="shared" si="748"/>
        <v>0</v>
      </c>
      <c r="CE1125" s="47" t="e">
        <f t="shared" si="666"/>
        <v>#DIV/0!</v>
      </c>
      <c r="CF1125" s="36"/>
      <c r="CG1125" s="39"/>
      <c r="CH1125" s="39"/>
      <c r="CI1125" s="25">
        <v>3</v>
      </c>
    </row>
    <row r="1126" spans="1:87" ht="24.75" customHeight="1">
      <c r="A1126" s="36" t="s">
        <v>215</v>
      </c>
      <c r="B1126" s="55"/>
      <c r="C1126" s="36"/>
      <c r="D1126" s="36"/>
      <c r="E1126" s="39"/>
      <c r="F1126" s="39"/>
      <c r="G1126" s="36"/>
      <c r="H1126" s="39"/>
      <c r="I1126" s="39"/>
      <c r="J1126" s="39"/>
      <c r="K1126" s="39"/>
      <c r="L1126" s="39">
        <f t="shared" si="751"/>
        <v>0</v>
      </c>
      <c r="M1126" s="39"/>
      <c r="N1126" s="39"/>
      <c r="O1126" s="39"/>
      <c r="P1126" s="39"/>
      <c r="Q1126" s="39"/>
      <c r="R1126" s="39">
        <f t="shared" si="752"/>
        <v>0</v>
      </c>
      <c r="S1126" s="39"/>
      <c r="T1126" s="39"/>
      <c r="U1126" s="39"/>
      <c r="V1126" s="39"/>
      <c r="W1126" s="39"/>
      <c r="X1126" s="39"/>
      <c r="Y1126" s="39"/>
      <c r="Z1126" s="39"/>
      <c r="AA1126" s="39"/>
      <c r="AB1126" s="39">
        <f t="shared" si="753"/>
        <v>0</v>
      </c>
      <c r="AC1126" s="39"/>
      <c r="AD1126" s="39"/>
      <c r="AE1126" s="39"/>
      <c r="AF1126" s="39"/>
      <c r="AG1126" s="39"/>
      <c r="AH1126" s="39">
        <f t="shared" si="745"/>
        <v>0</v>
      </c>
      <c r="AI1126" s="39"/>
      <c r="AJ1126" s="39"/>
      <c r="AK1126" s="39"/>
      <c r="AL1126" s="39"/>
      <c r="AM1126" s="39"/>
      <c r="AN1126" s="39">
        <f t="shared" si="744"/>
        <v>0</v>
      </c>
      <c r="AO1126" s="39"/>
      <c r="AP1126" s="39"/>
      <c r="AQ1126" s="39"/>
      <c r="AR1126" s="39"/>
      <c r="AS1126" s="39"/>
      <c r="AT1126" s="39">
        <f t="shared" si="659"/>
        <v>0</v>
      </c>
      <c r="AU1126" s="39"/>
      <c r="AV1126" s="39"/>
      <c r="AW1126" s="39"/>
      <c r="AX1126" s="39"/>
      <c r="AY1126" s="39"/>
      <c r="AZ1126" s="39">
        <f t="shared" si="660"/>
        <v>0</v>
      </c>
      <c r="BA1126" s="39"/>
      <c r="BB1126" s="39"/>
      <c r="BC1126" s="39"/>
      <c r="BD1126" s="39"/>
      <c r="BE1126" s="39"/>
      <c r="BF1126" s="39">
        <f t="shared" si="661"/>
        <v>0</v>
      </c>
      <c r="BG1126" s="39"/>
      <c r="BH1126" s="39"/>
      <c r="BI1126" s="39"/>
      <c r="BJ1126" s="39"/>
      <c r="BK1126" s="39"/>
      <c r="BL1126" s="39">
        <f t="shared" si="746"/>
        <v>0</v>
      </c>
      <c r="BM1126" s="54" t="e">
        <f t="shared" si="662"/>
        <v>#DIV/0!</v>
      </c>
      <c r="BN1126" s="63"/>
      <c r="BO1126" s="39"/>
      <c r="BP1126" s="39"/>
      <c r="BQ1126" s="39"/>
      <c r="BR1126" s="39"/>
      <c r="BS1126" s="39"/>
      <c r="BT1126" s="39"/>
      <c r="BU1126" s="39"/>
      <c r="BV1126" s="39"/>
      <c r="BW1126" s="39"/>
      <c r="BX1126" s="39"/>
      <c r="BY1126" s="39"/>
      <c r="BZ1126" s="39">
        <f t="shared" si="747"/>
        <v>0</v>
      </c>
      <c r="CA1126" s="39">
        <f t="shared" si="663"/>
        <v>0</v>
      </c>
      <c r="CB1126" s="39">
        <f t="shared" si="664"/>
        <v>0</v>
      </c>
      <c r="CC1126" s="39">
        <f t="shared" si="665"/>
        <v>0</v>
      </c>
      <c r="CD1126" s="39">
        <f t="shared" si="748"/>
        <v>0</v>
      </c>
      <c r="CE1126" s="47" t="e">
        <f t="shared" si="666"/>
        <v>#DIV/0!</v>
      </c>
      <c r="CF1126" s="36"/>
      <c r="CG1126" s="39"/>
      <c r="CH1126" s="39"/>
      <c r="CI1126" s="25">
        <v>3</v>
      </c>
    </row>
    <row r="1127" spans="1:87" ht="24.75" customHeight="1">
      <c r="A1127" s="36" t="s">
        <v>303</v>
      </c>
      <c r="B1127" s="55"/>
      <c r="C1127" s="36"/>
      <c r="D1127" s="36"/>
      <c r="E1127" s="39"/>
      <c r="F1127" s="39"/>
      <c r="G1127" s="36"/>
      <c r="H1127" s="39"/>
      <c r="I1127" s="39"/>
      <c r="J1127" s="39"/>
      <c r="K1127" s="39"/>
      <c r="L1127" s="39">
        <f t="shared" si="751"/>
        <v>0</v>
      </c>
      <c r="M1127" s="39"/>
      <c r="N1127" s="39"/>
      <c r="O1127" s="39"/>
      <c r="P1127" s="39"/>
      <c r="Q1127" s="39"/>
      <c r="R1127" s="39">
        <f t="shared" si="752"/>
        <v>0</v>
      </c>
      <c r="S1127" s="39"/>
      <c r="T1127" s="39"/>
      <c r="U1127" s="39"/>
      <c r="V1127" s="39"/>
      <c r="W1127" s="39"/>
      <c r="X1127" s="39"/>
      <c r="Y1127" s="39"/>
      <c r="Z1127" s="39"/>
      <c r="AA1127" s="39"/>
      <c r="AB1127" s="39">
        <f t="shared" si="753"/>
        <v>0</v>
      </c>
      <c r="AC1127" s="39"/>
      <c r="AD1127" s="39"/>
      <c r="AE1127" s="39"/>
      <c r="AF1127" s="39"/>
      <c r="AG1127" s="39"/>
      <c r="AH1127" s="39">
        <f t="shared" si="745"/>
        <v>0</v>
      </c>
      <c r="AI1127" s="39"/>
      <c r="AJ1127" s="39"/>
      <c r="AK1127" s="39"/>
      <c r="AL1127" s="39"/>
      <c r="AM1127" s="39"/>
      <c r="AN1127" s="39">
        <f t="shared" si="744"/>
        <v>0</v>
      </c>
      <c r="AO1127" s="39"/>
      <c r="AP1127" s="39"/>
      <c r="AQ1127" s="39"/>
      <c r="AR1127" s="39"/>
      <c r="AS1127" s="39"/>
      <c r="AT1127" s="39">
        <f t="shared" si="659"/>
        <v>0</v>
      </c>
      <c r="AU1127" s="39"/>
      <c r="AV1127" s="39"/>
      <c r="AW1127" s="39"/>
      <c r="AX1127" s="39"/>
      <c r="AY1127" s="39"/>
      <c r="AZ1127" s="39">
        <f t="shared" si="660"/>
        <v>0</v>
      </c>
      <c r="BA1127" s="39"/>
      <c r="BB1127" s="39"/>
      <c r="BC1127" s="39"/>
      <c r="BD1127" s="39"/>
      <c r="BE1127" s="39"/>
      <c r="BF1127" s="39">
        <f t="shared" si="661"/>
        <v>0</v>
      </c>
      <c r="BG1127" s="39"/>
      <c r="BH1127" s="39"/>
      <c r="BI1127" s="39"/>
      <c r="BJ1127" s="39"/>
      <c r="BK1127" s="39"/>
      <c r="BL1127" s="39">
        <f t="shared" si="746"/>
        <v>0</v>
      </c>
      <c r="BM1127" s="54" t="e">
        <f t="shared" si="662"/>
        <v>#DIV/0!</v>
      </c>
      <c r="BN1127" s="42"/>
      <c r="BO1127" s="39"/>
      <c r="BP1127" s="39"/>
      <c r="BQ1127" s="39"/>
      <c r="BR1127" s="39"/>
      <c r="BS1127" s="39"/>
      <c r="BT1127" s="39"/>
      <c r="BU1127" s="39"/>
      <c r="BV1127" s="39"/>
      <c r="BW1127" s="39"/>
      <c r="BX1127" s="39"/>
      <c r="BY1127" s="39"/>
      <c r="BZ1127" s="39">
        <f t="shared" si="747"/>
        <v>0</v>
      </c>
      <c r="CA1127" s="39">
        <f t="shared" si="663"/>
        <v>0</v>
      </c>
      <c r="CB1127" s="39">
        <f t="shared" si="664"/>
        <v>0</v>
      </c>
      <c r="CC1127" s="39">
        <f t="shared" si="665"/>
        <v>0</v>
      </c>
      <c r="CD1127" s="39">
        <f t="shared" si="748"/>
        <v>0</v>
      </c>
      <c r="CE1127" s="47" t="e">
        <f t="shared" si="666"/>
        <v>#DIV/0!</v>
      </c>
      <c r="CF1127" s="36"/>
      <c r="CG1127" s="39"/>
      <c r="CH1127" s="39"/>
      <c r="CI1127" s="25">
        <v>1</v>
      </c>
    </row>
    <row r="1128" spans="1:87" ht="24.75" customHeight="1">
      <c r="A1128" s="36" t="s">
        <v>303</v>
      </c>
      <c r="B1128" s="55"/>
      <c r="C1128" s="36"/>
      <c r="D1128" s="36"/>
      <c r="E1128" s="39"/>
      <c r="F1128" s="39"/>
      <c r="G1128" s="36"/>
      <c r="H1128" s="39"/>
      <c r="I1128" s="39"/>
      <c r="J1128" s="39"/>
      <c r="K1128" s="39"/>
      <c r="L1128" s="39">
        <f t="shared" si="751"/>
        <v>0</v>
      </c>
      <c r="M1128" s="39"/>
      <c r="N1128" s="39"/>
      <c r="O1128" s="39"/>
      <c r="P1128" s="39"/>
      <c r="Q1128" s="39"/>
      <c r="R1128" s="39">
        <f t="shared" si="752"/>
        <v>0</v>
      </c>
      <c r="S1128" s="39"/>
      <c r="T1128" s="39"/>
      <c r="U1128" s="39"/>
      <c r="V1128" s="39"/>
      <c r="W1128" s="39"/>
      <c r="X1128" s="39"/>
      <c r="Y1128" s="39"/>
      <c r="Z1128" s="39"/>
      <c r="AA1128" s="39"/>
      <c r="AB1128" s="39">
        <f t="shared" si="753"/>
        <v>0</v>
      </c>
      <c r="AC1128" s="39"/>
      <c r="AD1128" s="39"/>
      <c r="AE1128" s="39"/>
      <c r="AF1128" s="39"/>
      <c r="AG1128" s="39"/>
      <c r="AH1128" s="39">
        <f t="shared" si="745"/>
        <v>0</v>
      </c>
      <c r="AI1128" s="39"/>
      <c r="AJ1128" s="39"/>
      <c r="AK1128" s="39"/>
      <c r="AL1128" s="39"/>
      <c r="AM1128" s="39"/>
      <c r="AN1128" s="39">
        <f t="shared" si="744"/>
        <v>0</v>
      </c>
      <c r="AO1128" s="39"/>
      <c r="AP1128" s="39"/>
      <c r="AQ1128" s="39"/>
      <c r="AR1128" s="39"/>
      <c r="AS1128" s="39"/>
      <c r="AT1128" s="39">
        <f t="shared" si="659"/>
        <v>0</v>
      </c>
      <c r="AU1128" s="39"/>
      <c r="AV1128" s="39"/>
      <c r="AW1128" s="39"/>
      <c r="AX1128" s="39"/>
      <c r="AY1128" s="39"/>
      <c r="AZ1128" s="39">
        <f t="shared" si="660"/>
        <v>0</v>
      </c>
      <c r="BA1128" s="39"/>
      <c r="BB1128" s="39"/>
      <c r="BC1128" s="39"/>
      <c r="BD1128" s="39"/>
      <c r="BE1128" s="39"/>
      <c r="BF1128" s="39">
        <f t="shared" si="661"/>
        <v>0</v>
      </c>
      <c r="BG1128" s="39"/>
      <c r="BH1128" s="39"/>
      <c r="BI1128" s="39"/>
      <c r="BJ1128" s="39"/>
      <c r="BK1128" s="39"/>
      <c r="BL1128" s="39">
        <f t="shared" si="746"/>
        <v>0</v>
      </c>
      <c r="BM1128" s="54" t="e">
        <f t="shared" si="662"/>
        <v>#DIV/0!</v>
      </c>
      <c r="BN1128" s="42"/>
      <c r="BO1128" s="39"/>
      <c r="BP1128" s="39"/>
      <c r="BQ1128" s="39"/>
      <c r="BR1128" s="39"/>
      <c r="BS1128" s="39"/>
      <c r="BT1128" s="39"/>
      <c r="BU1128" s="39"/>
      <c r="BV1128" s="39"/>
      <c r="BW1128" s="39"/>
      <c r="BX1128" s="39"/>
      <c r="BY1128" s="39"/>
      <c r="BZ1128" s="39">
        <f t="shared" si="747"/>
        <v>0</v>
      </c>
      <c r="CA1128" s="39">
        <f t="shared" si="663"/>
        <v>0</v>
      </c>
      <c r="CB1128" s="39">
        <f t="shared" si="664"/>
        <v>0</v>
      </c>
      <c r="CC1128" s="39">
        <f t="shared" si="665"/>
        <v>0</v>
      </c>
      <c r="CD1128" s="39">
        <f t="shared" si="748"/>
        <v>0</v>
      </c>
      <c r="CE1128" s="47" t="e">
        <f t="shared" si="666"/>
        <v>#DIV/0!</v>
      </c>
      <c r="CF1128" s="36"/>
      <c r="CG1128" s="39"/>
      <c r="CH1128" s="39"/>
      <c r="CI1128" s="25">
        <v>1</v>
      </c>
    </row>
    <row r="1129" spans="1:87" ht="24.75" customHeight="1">
      <c r="A1129" s="36" t="s">
        <v>303</v>
      </c>
      <c r="B1129" s="55"/>
      <c r="C1129" s="36"/>
      <c r="D1129" s="36"/>
      <c r="E1129" s="39"/>
      <c r="F1129" s="39"/>
      <c r="G1129" s="36"/>
      <c r="H1129" s="39"/>
      <c r="I1129" s="39"/>
      <c r="J1129" s="39"/>
      <c r="K1129" s="39"/>
      <c r="L1129" s="39">
        <f t="shared" si="751"/>
        <v>0</v>
      </c>
      <c r="M1129" s="39"/>
      <c r="N1129" s="39"/>
      <c r="O1129" s="39"/>
      <c r="P1129" s="39"/>
      <c r="Q1129" s="39"/>
      <c r="R1129" s="39">
        <f t="shared" si="752"/>
        <v>0</v>
      </c>
      <c r="S1129" s="39"/>
      <c r="T1129" s="39"/>
      <c r="U1129" s="39"/>
      <c r="V1129" s="39"/>
      <c r="W1129" s="39"/>
      <c r="X1129" s="39"/>
      <c r="Y1129" s="39"/>
      <c r="Z1129" s="39"/>
      <c r="AA1129" s="39"/>
      <c r="AB1129" s="39">
        <f t="shared" si="753"/>
        <v>0</v>
      </c>
      <c r="AC1129" s="39"/>
      <c r="AD1129" s="39"/>
      <c r="AE1129" s="39"/>
      <c r="AF1129" s="39"/>
      <c r="AG1129" s="39"/>
      <c r="AH1129" s="39">
        <f t="shared" si="745"/>
        <v>0</v>
      </c>
      <c r="AI1129" s="39"/>
      <c r="AJ1129" s="39"/>
      <c r="AK1129" s="39"/>
      <c r="AL1129" s="39"/>
      <c r="AM1129" s="39"/>
      <c r="AN1129" s="39">
        <f t="shared" si="744"/>
        <v>0</v>
      </c>
      <c r="AO1129" s="39"/>
      <c r="AP1129" s="39"/>
      <c r="AQ1129" s="39"/>
      <c r="AR1129" s="39"/>
      <c r="AS1129" s="39"/>
      <c r="AT1129" s="39">
        <f t="shared" si="659"/>
        <v>0</v>
      </c>
      <c r="AU1129" s="39"/>
      <c r="AV1129" s="39"/>
      <c r="AW1129" s="39"/>
      <c r="AX1129" s="39"/>
      <c r="AY1129" s="39"/>
      <c r="AZ1129" s="39">
        <f t="shared" si="660"/>
        <v>0</v>
      </c>
      <c r="BA1129" s="39"/>
      <c r="BB1129" s="39"/>
      <c r="BC1129" s="39"/>
      <c r="BD1129" s="39"/>
      <c r="BE1129" s="39"/>
      <c r="BF1129" s="39">
        <f t="shared" si="661"/>
        <v>0</v>
      </c>
      <c r="BG1129" s="39"/>
      <c r="BH1129" s="39"/>
      <c r="BI1129" s="39"/>
      <c r="BJ1129" s="39"/>
      <c r="BK1129" s="39"/>
      <c r="BL1129" s="39">
        <f t="shared" si="746"/>
        <v>0</v>
      </c>
      <c r="BM1129" s="54" t="e">
        <f t="shared" si="662"/>
        <v>#DIV/0!</v>
      </c>
      <c r="BN1129" s="42"/>
      <c r="BO1129" s="39"/>
      <c r="BP1129" s="39"/>
      <c r="BQ1129" s="39"/>
      <c r="BR1129" s="39"/>
      <c r="BS1129" s="39"/>
      <c r="BT1129" s="39"/>
      <c r="BU1129" s="39"/>
      <c r="BV1129" s="39"/>
      <c r="BW1129" s="39"/>
      <c r="BX1129" s="39"/>
      <c r="BY1129" s="39"/>
      <c r="BZ1129" s="39">
        <f t="shared" si="747"/>
        <v>0</v>
      </c>
      <c r="CA1129" s="39">
        <f t="shared" si="663"/>
        <v>0</v>
      </c>
      <c r="CB1129" s="39">
        <f t="shared" si="664"/>
        <v>0</v>
      </c>
      <c r="CC1129" s="39">
        <f t="shared" si="665"/>
        <v>0</v>
      </c>
      <c r="CD1129" s="39">
        <f t="shared" si="748"/>
        <v>0</v>
      </c>
      <c r="CE1129" s="47" t="e">
        <f t="shared" si="666"/>
        <v>#DIV/0!</v>
      </c>
      <c r="CF1129" s="36"/>
      <c r="CG1129" s="39"/>
      <c r="CH1129" s="39"/>
      <c r="CI1129" s="25">
        <v>1</v>
      </c>
    </row>
    <row r="1130" spans="1:87" ht="24.75" customHeight="1">
      <c r="A1130" s="36" t="s">
        <v>303</v>
      </c>
      <c r="B1130" s="55"/>
      <c r="C1130" s="36"/>
      <c r="D1130" s="36"/>
      <c r="E1130" s="39"/>
      <c r="F1130" s="39"/>
      <c r="G1130" s="36"/>
      <c r="H1130" s="39"/>
      <c r="I1130" s="39"/>
      <c r="J1130" s="39"/>
      <c r="K1130" s="39"/>
      <c r="L1130" s="39">
        <f t="shared" si="751"/>
        <v>0</v>
      </c>
      <c r="M1130" s="39"/>
      <c r="N1130" s="39"/>
      <c r="O1130" s="39"/>
      <c r="P1130" s="39"/>
      <c r="Q1130" s="39"/>
      <c r="R1130" s="39">
        <f t="shared" si="752"/>
        <v>0</v>
      </c>
      <c r="S1130" s="39"/>
      <c r="T1130" s="39"/>
      <c r="U1130" s="39"/>
      <c r="V1130" s="39"/>
      <c r="W1130" s="39"/>
      <c r="X1130" s="39"/>
      <c r="Y1130" s="39"/>
      <c r="Z1130" s="39"/>
      <c r="AA1130" s="39"/>
      <c r="AB1130" s="39">
        <f t="shared" si="753"/>
        <v>0</v>
      </c>
      <c r="AC1130" s="39"/>
      <c r="AD1130" s="39"/>
      <c r="AE1130" s="39"/>
      <c r="AF1130" s="39"/>
      <c r="AG1130" s="39"/>
      <c r="AH1130" s="39">
        <f t="shared" si="745"/>
        <v>0</v>
      </c>
      <c r="AI1130" s="39"/>
      <c r="AJ1130" s="39"/>
      <c r="AK1130" s="39"/>
      <c r="AL1130" s="39"/>
      <c r="AM1130" s="39"/>
      <c r="AN1130" s="39">
        <f t="shared" si="744"/>
        <v>0</v>
      </c>
      <c r="AO1130" s="39"/>
      <c r="AP1130" s="39"/>
      <c r="AQ1130" s="39"/>
      <c r="AR1130" s="39"/>
      <c r="AS1130" s="39"/>
      <c r="AT1130" s="39">
        <f t="shared" si="659"/>
        <v>0</v>
      </c>
      <c r="AU1130" s="39"/>
      <c r="AV1130" s="39"/>
      <c r="AW1130" s="39"/>
      <c r="AX1130" s="39"/>
      <c r="AY1130" s="39"/>
      <c r="AZ1130" s="39">
        <f t="shared" si="660"/>
        <v>0</v>
      </c>
      <c r="BA1130" s="39"/>
      <c r="BB1130" s="39"/>
      <c r="BC1130" s="39"/>
      <c r="BD1130" s="39"/>
      <c r="BE1130" s="39"/>
      <c r="BF1130" s="39">
        <f t="shared" si="661"/>
        <v>0</v>
      </c>
      <c r="BG1130" s="39"/>
      <c r="BH1130" s="39"/>
      <c r="BI1130" s="39"/>
      <c r="BJ1130" s="39"/>
      <c r="BK1130" s="39"/>
      <c r="BL1130" s="39">
        <f t="shared" si="746"/>
        <v>0</v>
      </c>
      <c r="BM1130" s="54" t="e">
        <f t="shared" si="662"/>
        <v>#DIV/0!</v>
      </c>
      <c r="BN1130" s="42"/>
      <c r="BO1130" s="39"/>
      <c r="BP1130" s="39"/>
      <c r="BQ1130" s="39"/>
      <c r="BR1130" s="39"/>
      <c r="BS1130" s="39"/>
      <c r="BT1130" s="39"/>
      <c r="BU1130" s="39"/>
      <c r="BV1130" s="39"/>
      <c r="BW1130" s="39"/>
      <c r="BX1130" s="39"/>
      <c r="BY1130" s="39"/>
      <c r="BZ1130" s="39">
        <f t="shared" si="747"/>
        <v>0</v>
      </c>
      <c r="CA1130" s="39">
        <f t="shared" si="663"/>
        <v>0</v>
      </c>
      <c r="CB1130" s="39">
        <f t="shared" si="664"/>
        <v>0</v>
      </c>
      <c r="CC1130" s="39">
        <f t="shared" si="665"/>
        <v>0</v>
      </c>
      <c r="CD1130" s="39">
        <f t="shared" si="748"/>
        <v>0</v>
      </c>
      <c r="CE1130" s="47" t="e">
        <f t="shared" si="666"/>
        <v>#DIV/0!</v>
      </c>
      <c r="CF1130" s="36"/>
      <c r="CG1130" s="39"/>
      <c r="CH1130" s="39"/>
      <c r="CI1130" s="25">
        <v>1</v>
      </c>
    </row>
    <row r="1131" spans="1:87" ht="24.75" customHeight="1">
      <c r="A1131" s="36" t="s">
        <v>303</v>
      </c>
      <c r="B1131" s="55"/>
      <c r="C1131" s="36"/>
      <c r="D1131" s="36"/>
      <c r="E1131" s="39"/>
      <c r="F1131" s="39"/>
      <c r="G1131" s="36"/>
      <c r="H1131" s="39"/>
      <c r="I1131" s="39"/>
      <c r="J1131" s="39"/>
      <c r="K1131" s="39"/>
      <c r="L1131" s="39">
        <f t="shared" si="751"/>
        <v>0</v>
      </c>
      <c r="M1131" s="39"/>
      <c r="N1131" s="39"/>
      <c r="O1131" s="39"/>
      <c r="P1131" s="39"/>
      <c r="Q1131" s="39"/>
      <c r="R1131" s="39">
        <f t="shared" si="752"/>
        <v>0</v>
      </c>
      <c r="S1131" s="39"/>
      <c r="T1131" s="39"/>
      <c r="U1131" s="39"/>
      <c r="V1131" s="39"/>
      <c r="W1131" s="39"/>
      <c r="X1131" s="39"/>
      <c r="Y1131" s="39"/>
      <c r="Z1131" s="39"/>
      <c r="AA1131" s="39"/>
      <c r="AB1131" s="39">
        <f t="shared" si="753"/>
        <v>0</v>
      </c>
      <c r="AC1131" s="39"/>
      <c r="AD1131" s="39"/>
      <c r="AE1131" s="39"/>
      <c r="AF1131" s="39"/>
      <c r="AG1131" s="39"/>
      <c r="AH1131" s="39">
        <f t="shared" si="745"/>
        <v>0</v>
      </c>
      <c r="AI1131" s="39"/>
      <c r="AJ1131" s="39"/>
      <c r="AK1131" s="39"/>
      <c r="AL1131" s="39"/>
      <c r="AM1131" s="39"/>
      <c r="AN1131" s="39">
        <f t="shared" si="744"/>
        <v>0</v>
      </c>
      <c r="AO1131" s="39"/>
      <c r="AP1131" s="39"/>
      <c r="AQ1131" s="39"/>
      <c r="AR1131" s="39"/>
      <c r="AS1131" s="39"/>
      <c r="AT1131" s="39">
        <f t="shared" si="659"/>
        <v>0</v>
      </c>
      <c r="AU1131" s="39"/>
      <c r="AV1131" s="39"/>
      <c r="AW1131" s="39"/>
      <c r="AX1131" s="39"/>
      <c r="AY1131" s="39"/>
      <c r="AZ1131" s="39">
        <f t="shared" si="660"/>
        <v>0</v>
      </c>
      <c r="BA1131" s="39"/>
      <c r="BB1131" s="39"/>
      <c r="BC1131" s="39"/>
      <c r="BD1131" s="39"/>
      <c r="BE1131" s="39"/>
      <c r="BF1131" s="39">
        <f t="shared" si="661"/>
        <v>0</v>
      </c>
      <c r="BG1131" s="39"/>
      <c r="BH1131" s="39"/>
      <c r="BI1131" s="39"/>
      <c r="BJ1131" s="39"/>
      <c r="BK1131" s="39"/>
      <c r="BL1131" s="39">
        <f t="shared" si="746"/>
        <v>0</v>
      </c>
      <c r="BM1131" s="54" t="e">
        <f t="shared" si="662"/>
        <v>#DIV/0!</v>
      </c>
      <c r="BN1131" s="42"/>
      <c r="BO1131" s="39"/>
      <c r="BP1131" s="39"/>
      <c r="BQ1131" s="39"/>
      <c r="BR1131" s="39"/>
      <c r="BS1131" s="39"/>
      <c r="BT1131" s="39"/>
      <c r="BU1131" s="39"/>
      <c r="BV1131" s="39"/>
      <c r="BW1131" s="39"/>
      <c r="BX1131" s="39"/>
      <c r="BY1131" s="39"/>
      <c r="BZ1131" s="39">
        <f t="shared" si="747"/>
        <v>0</v>
      </c>
      <c r="CA1131" s="39">
        <f t="shared" si="663"/>
        <v>0</v>
      </c>
      <c r="CB1131" s="39">
        <f t="shared" si="664"/>
        <v>0</v>
      </c>
      <c r="CC1131" s="39">
        <f t="shared" si="665"/>
        <v>0</v>
      </c>
      <c r="CD1131" s="39">
        <f t="shared" si="748"/>
        <v>0</v>
      </c>
      <c r="CE1131" s="47" t="e">
        <f t="shared" si="666"/>
        <v>#DIV/0!</v>
      </c>
      <c r="CF1131" s="36"/>
      <c r="CG1131" s="39"/>
      <c r="CH1131" s="39"/>
      <c r="CI1131" s="25">
        <v>1</v>
      </c>
    </row>
    <row r="1132" spans="1:87" ht="24.75" customHeight="1">
      <c r="A1132" s="36" t="s">
        <v>303</v>
      </c>
      <c r="B1132" s="55">
        <v>48562</v>
      </c>
      <c r="C1132" s="227" t="s">
        <v>2955</v>
      </c>
      <c r="D1132" s="36"/>
      <c r="E1132" s="39">
        <v>280</v>
      </c>
      <c r="F1132" s="39" t="s">
        <v>57</v>
      </c>
      <c r="G1132" s="36" t="s">
        <v>23</v>
      </c>
      <c r="H1132" s="36" t="s">
        <v>2363</v>
      </c>
      <c r="I1132" s="39">
        <v>235</v>
      </c>
      <c r="J1132" s="39"/>
      <c r="K1132" s="39"/>
      <c r="L1132" s="39">
        <f t="shared" ref="L1132:L1153" si="754">SUM(I1132:K1132)</f>
        <v>235</v>
      </c>
      <c r="M1132" s="117">
        <v>46270</v>
      </c>
      <c r="N1132" s="117">
        <v>46283</v>
      </c>
      <c r="O1132" s="39"/>
      <c r="P1132" s="39"/>
      <c r="Q1132" s="39"/>
      <c r="R1132" s="39">
        <f t="shared" ref="R1132:R1136" si="755">SUM(O1132:Q1132)</f>
        <v>0</v>
      </c>
      <c r="S1132" s="39" t="s">
        <v>130</v>
      </c>
      <c r="T1132" s="39"/>
      <c r="U1132" s="39"/>
      <c r="V1132" s="39"/>
      <c r="W1132" s="39"/>
      <c r="X1132" s="39"/>
      <c r="Y1132" s="39"/>
      <c r="Z1132" s="39"/>
      <c r="AA1132" s="39"/>
      <c r="AB1132" s="118">
        <f t="shared" si="753"/>
        <v>0</v>
      </c>
      <c r="AC1132" s="39"/>
      <c r="AD1132" s="39"/>
      <c r="AE1132" s="39"/>
      <c r="AF1132" s="39"/>
      <c r="AG1132" s="39"/>
      <c r="AH1132" s="39">
        <f t="shared" si="745"/>
        <v>0</v>
      </c>
      <c r="AI1132" s="39"/>
      <c r="AJ1132" s="39"/>
      <c r="AK1132" s="39"/>
      <c r="AL1132" s="39"/>
      <c r="AM1132" s="39"/>
      <c r="AN1132" s="39">
        <f t="shared" si="744"/>
        <v>0</v>
      </c>
      <c r="AO1132" s="39"/>
      <c r="AP1132" s="39"/>
      <c r="AQ1132" s="39"/>
      <c r="AR1132" s="39"/>
      <c r="AS1132" s="39"/>
      <c r="AT1132" s="39">
        <f t="shared" si="659"/>
        <v>0</v>
      </c>
      <c r="AU1132" s="39"/>
      <c r="AV1132" s="39"/>
      <c r="AW1132" s="39"/>
      <c r="AX1132" s="39"/>
      <c r="AY1132" s="39"/>
      <c r="AZ1132" s="39">
        <f t="shared" si="660"/>
        <v>0</v>
      </c>
      <c r="BA1132" s="39"/>
      <c r="BB1132" s="39"/>
      <c r="BC1132" s="39"/>
      <c r="BD1132" s="39"/>
      <c r="BE1132" s="39"/>
      <c r="BF1132" s="39">
        <f t="shared" si="661"/>
        <v>0</v>
      </c>
      <c r="BG1132" s="39"/>
      <c r="BH1132" s="39"/>
      <c r="BI1132" s="39"/>
      <c r="BJ1132" s="39"/>
      <c r="BK1132" s="39"/>
      <c r="BL1132" s="39">
        <f t="shared" si="746"/>
        <v>0</v>
      </c>
      <c r="BM1132" s="54">
        <f t="shared" ca="1" si="662"/>
        <v>46283</v>
      </c>
      <c r="BN1132" s="66">
        <v>46285</v>
      </c>
      <c r="BO1132" s="117">
        <v>46299</v>
      </c>
      <c r="BP1132" s="39"/>
      <c r="BQ1132" s="39"/>
      <c r="BR1132" s="39"/>
      <c r="BS1132" s="39"/>
      <c r="BT1132" s="39"/>
      <c r="BU1132" s="39"/>
      <c r="BV1132" s="39"/>
      <c r="BW1132" s="39"/>
      <c r="BX1132" s="39"/>
      <c r="BY1132" s="39"/>
      <c r="BZ1132" s="39">
        <f t="shared" si="747"/>
        <v>0</v>
      </c>
      <c r="CA1132" s="39">
        <f t="shared" si="663"/>
        <v>-235</v>
      </c>
      <c r="CB1132" s="39">
        <f t="shared" si="664"/>
        <v>0</v>
      </c>
      <c r="CC1132" s="39">
        <f t="shared" si="665"/>
        <v>0</v>
      </c>
      <c r="CD1132" s="39">
        <f t="shared" si="748"/>
        <v>-235</v>
      </c>
      <c r="CE1132" s="102">
        <f t="shared" si="666"/>
        <v>-1</v>
      </c>
      <c r="CF1132" s="36"/>
      <c r="CG1132" s="39" t="s">
        <v>235</v>
      </c>
      <c r="CH1132" s="39"/>
      <c r="CI1132" s="25">
        <v>2</v>
      </c>
    </row>
    <row r="1133" spans="1:87" ht="24.75" customHeight="1">
      <c r="A1133" s="36" t="s">
        <v>303</v>
      </c>
      <c r="B1133" s="55">
        <v>48562</v>
      </c>
      <c r="C1133" s="231"/>
      <c r="D1133" s="36"/>
      <c r="E1133" s="39">
        <v>280</v>
      </c>
      <c r="F1133" s="39" t="s">
        <v>57</v>
      </c>
      <c r="G1133" s="36" t="s">
        <v>41</v>
      </c>
      <c r="H1133" s="36" t="s">
        <v>2363</v>
      </c>
      <c r="I1133" s="39">
        <v>235</v>
      </c>
      <c r="J1133" s="39"/>
      <c r="K1133" s="39"/>
      <c r="L1133" s="39">
        <f t="shared" si="754"/>
        <v>235</v>
      </c>
      <c r="M1133" s="117">
        <v>46270</v>
      </c>
      <c r="N1133" s="117">
        <v>46283</v>
      </c>
      <c r="O1133" s="39"/>
      <c r="P1133" s="39"/>
      <c r="Q1133" s="39"/>
      <c r="R1133" s="39">
        <f t="shared" si="755"/>
        <v>0</v>
      </c>
      <c r="S1133" s="39" t="s">
        <v>130</v>
      </c>
      <c r="T1133" s="39"/>
      <c r="U1133" s="39"/>
      <c r="V1133" s="39"/>
      <c r="W1133" s="39"/>
      <c r="X1133" s="39"/>
      <c r="Y1133" s="39"/>
      <c r="Z1133" s="39"/>
      <c r="AA1133" s="39"/>
      <c r="AB1133" s="118">
        <f t="shared" si="753"/>
        <v>0</v>
      </c>
      <c r="AC1133" s="39"/>
      <c r="AD1133" s="39"/>
      <c r="AE1133" s="39"/>
      <c r="AF1133" s="39"/>
      <c r="AG1133" s="39"/>
      <c r="AH1133" s="39">
        <f t="shared" si="745"/>
        <v>0</v>
      </c>
      <c r="AI1133" s="39"/>
      <c r="AJ1133" s="39"/>
      <c r="AK1133" s="39"/>
      <c r="AL1133" s="39"/>
      <c r="AM1133" s="39"/>
      <c r="AN1133" s="39">
        <f t="shared" si="744"/>
        <v>0</v>
      </c>
      <c r="AO1133" s="39"/>
      <c r="AP1133" s="39"/>
      <c r="AQ1133" s="39"/>
      <c r="AR1133" s="39"/>
      <c r="AS1133" s="39"/>
      <c r="AT1133" s="39">
        <f t="shared" si="659"/>
        <v>0</v>
      </c>
      <c r="AU1133" s="39"/>
      <c r="AV1133" s="39"/>
      <c r="AW1133" s="39"/>
      <c r="AX1133" s="39"/>
      <c r="AY1133" s="39"/>
      <c r="AZ1133" s="39">
        <f t="shared" si="660"/>
        <v>0</v>
      </c>
      <c r="BA1133" s="39"/>
      <c r="BB1133" s="39"/>
      <c r="BC1133" s="39"/>
      <c r="BD1133" s="39"/>
      <c r="BE1133" s="39"/>
      <c r="BF1133" s="39">
        <f t="shared" si="661"/>
        <v>0</v>
      </c>
      <c r="BG1133" s="39"/>
      <c r="BH1133" s="39"/>
      <c r="BI1133" s="39"/>
      <c r="BJ1133" s="39"/>
      <c r="BK1133" s="39"/>
      <c r="BL1133" s="39">
        <f t="shared" si="746"/>
        <v>0</v>
      </c>
      <c r="BM1133" s="54">
        <f t="shared" ca="1" si="662"/>
        <v>46283</v>
      </c>
      <c r="BN1133" s="66">
        <v>46285</v>
      </c>
      <c r="BO1133" s="117">
        <v>46299</v>
      </c>
      <c r="BP1133" s="39"/>
      <c r="BQ1133" s="39"/>
      <c r="BR1133" s="39"/>
      <c r="BS1133" s="39"/>
      <c r="BT1133" s="39"/>
      <c r="BU1133" s="39"/>
      <c r="BV1133" s="39"/>
      <c r="BW1133" s="39"/>
      <c r="BX1133" s="39"/>
      <c r="BY1133" s="39"/>
      <c r="BZ1133" s="39">
        <f t="shared" si="747"/>
        <v>0</v>
      </c>
      <c r="CA1133" s="39">
        <f t="shared" si="663"/>
        <v>-235</v>
      </c>
      <c r="CB1133" s="39">
        <f t="shared" si="664"/>
        <v>0</v>
      </c>
      <c r="CC1133" s="39">
        <f t="shared" si="665"/>
        <v>0</v>
      </c>
      <c r="CD1133" s="39">
        <f t="shared" si="748"/>
        <v>-235</v>
      </c>
      <c r="CE1133" s="102">
        <f t="shared" si="666"/>
        <v>-1</v>
      </c>
      <c r="CF1133" s="36"/>
      <c r="CG1133" s="39" t="s">
        <v>235</v>
      </c>
      <c r="CH1133" s="39"/>
      <c r="CI1133" s="25">
        <v>2</v>
      </c>
    </row>
    <row r="1134" spans="1:87" ht="24.75" customHeight="1">
      <c r="A1134" s="36" t="s">
        <v>303</v>
      </c>
      <c r="B1134" s="55">
        <v>48562</v>
      </c>
      <c r="C1134" s="231"/>
      <c r="D1134" s="36"/>
      <c r="E1134" s="39">
        <v>280</v>
      </c>
      <c r="F1134" s="39" t="s">
        <v>57</v>
      </c>
      <c r="G1134" s="36" t="s">
        <v>1016</v>
      </c>
      <c r="H1134" s="36" t="s">
        <v>2363</v>
      </c>
      <c r="I1134" s="39">
        <v>235</v>
      </c>
      <c r="J1134" s="39"/>
      <c r="K1134" s="39"/>
      <c r="L1134" s="39">
        <f t="shared" si="754"/>
        <v>235</v>
      </c>
      <c r="M1134" s="117">
        <v>46270</v>
      </c>
      <c r="N1134" s="117">
        <v>46283</v>
      </c>
      <c r="O1134" s="39"/>
      <c r="P1134" s="39"/>
      <c r="Q1134" s="39"/>
      <c r="R1134" s="39">
        <f t="shared" si="755"/>
        <v>0</v>
      </c>
      <c r="S1134" s="39" t="s">
        <v>130</v>
      </c>
      <c r="T1134" s="39"/>
      <c r="U1134" s="39"/>
      <c r="V1134" s="39"/>
      <c r="W1134" s="39"/>
      <c r="X1134" s="39"/>
      <c r="Y1134" s="39"/>
      <c r="Z1134" s="39"/>
      <c r="AA1134" s="39"/>
      <c r="AB1134" s="118">
        <f t="shared" si="753"/>
        <v>0</v>
      </c>
      <c r="AC1134" s="39"/>
      <c r="AD1134" s="39"/>
      <c r="AE1134" s="39"/>
      <c r="AF1134" s="39"/>
      <c r="AG1134" s="39"/>
      <c r="AH1134" s="39">
        <f t="shared" si="745"/>
        <v>0</v>
      </c>
      <c r="AI1134" s="39"/>
      <c r="AJ1134" s="39"/>
      <c r="AK1134" s="39"/>
      <c r="AL1134" s="39"/>
      <c r="AM1134" s="39"/>
      <c r="AN1134" s="39">
        <f t="shared" si="744"/>
        <v>0</v>
      </c>
      <c r="AO1134" s="39"/>
      <c r="AP1134" s="39"/>
      <c r="AQ1134" s="39"/>
      <c r="AR1134" s="39"/>
      <c r="AS1134" s="39"/>
      <c r="AT1134" s="39">
        <f t="shared" si="659"/>
        <v>0</v>
      </c>
      <c r="AU1134" s="39"/>
      <c r="AV1134" s="39"/>
      <c r="AW1134" s="39"/>
      <c r="AX1134" s="39"/>
      <c r="AY1134" s="39"/>
      <c r="AZ1134" s="39">
        <f t="shared" si="660"/>
        <v>0</v>
      </c>
      <c r="BA1134" s="39"/>
      <c r="BB1134" s="39"/>
      <c r="BC1134" s="39"/>
      <c r="BD1134" s="39"/>
      <c r="BE1134" s="39"/>
      <c r="BF1134" s="39">
        <f t="shared" si="661"/>
        <v>0</v>
      </c>
      <c r="BG1134" s="39"/>
      <c r="BH1134" s="39"/>
      <c r="BI1134" s="39"/>
      <c r="BJ1134" s="39"/>
      <c r="BK1134" s="39"/>
      <c r="BL1134" s="39">
        <f t="shared" si="746"/>
        <v>0</v>
      </c>
      <c r="BM1134" s="54">
        <f t="shared" ca="1" si="662"/>
        <v>46283</v>
      </c>
      <c r="BN1134" s="66">
        <v>46285</v>
      </c>
      <c r="BO1134" s="117">
        <v>46299</v>
      </c>
      <c r="BP1134" s="39"/>
      <c r="BQ1134" s="39"/>
      <c r="BR1134" s="39"/>
      <c r="BS1134" s="39"/>
      <c r="BT1134" s="39"/>
      <c r="BU1134" s="39"/>
      <c r="BV1134" s="39"/>
      <c r="BW1134" s="39"/>
      <c r="BX1134" s="39"/>
      <c r="BY1134" s="39"/>
      <c r="BZ1134" s="39">
        <f t="shared" si="747"/>
        <v>0</v>
      </c>
      <c r="CA1134" s="39">
        <f t="shared" si="663"/>
        <v>-235</v>
      </c>
      <c r="CB1134" s="39">
        <f t="shared" si="664"/>
        <v>0</v>
      </c>
      <c r="CC1134" s="39">
        <f t="shared" si="665"/>
        <v>0</v>
      </c>
      <c r="CD1134" s="39">
        <f t="shared" si="748"/>
        <v>-235</v>
      </c>
      <c r="CE1134" s="102">
        <f t="shared" si="666"/>
        <v>-1</v>
      </c>
      <c r="CF1134" s="36"/>
      <c r="CG1134" s="39" t="s">
        <v>235</v>
      </c>
      <c r="CH1134" s="39"/>
      <c r="CI1134" s="25">
        <v>2</v>
      </c>
    </row>
    <row r="1135" spans="1:87" ht="24.75" customHeight="1">
      <c r="A1135" s="36" t="s">
        <v>303</v>
      </c>
      <c r="B1135" s="55">
        <v>48562</v>
      </c>
      <c r="C1135" s="231"/>
      <c r="D1135" s="36"/>
      <c r="E1135" s="39">
        <v>280</v>
      </c>
      <c r="F1135" s="39" t="s">
        <v>57</v>
      </c>
      <c r="G1135" s="36" t="s">
        <v>2364</v>
      </c>
      <c r="H1135" s="36" t="s">
        <v>2363</v>
      </c>
      <c r="I1135" s="39">
        <v>235</v>
      </c>
      <c r="J1135" s="39"/>
      <c r="K1135" s="39"/>
      <c r="L1135" s="39">
        <f t="shared" si="754"/>
        <v>235</v>
      </c>
      <c r="M1135" s="117">
        <v>46270</v>
      </c>
      <c r="N1135" s="117">
        <v>46283</v>
      </c>
      <c r="O1135" s="39"/>
      <c r="P1135" s="39"/>
      <c r="Q1135" s="39"/>
      <c r="R1135" s="39">
        <f t="shared" si="755"/>
        <v>0</v>
      </c>
      <c r="S1135" s="39" t="s">
        <v>130</v>
      </c>
      <c r="T1135" s="39"/>
      <c r="U1135" s="39"/>
      <c r="V1135" s="39"/>
      <c r="W1135" s="39"/>
      <c r="X1135" s="39"/>
      <c r="Y1135" s="39"/>
      <c r="Z1135" s="39"/>
      <c r="AA1135" s="39"/>
      <c r="AB1135" s="118">
        <f t="shared" si="753"/>
        <v>0</v>
      </c>
      <c r="AC1135" s="39"/>
      <c r="AD1135" s="39"/>
      <c r="AE1135" s="39"/>
      <c r="AF1135" s="39"/>
      <c r="AG1135" s="39"/>
      <c r="AH1135" s="39">
        <f t="shared" si="745"/>
        <v>0</v>
      </c>
      <c r="AI1135" s="39"/>
      <c r="AJ1135" s="39"/>
      <c r="AK1135" s="39"/>
      <c r="AL1135" s="39"/>
      <c r="AM1135" s="39"/>
      <c r="AN1135" s="39">
        <f t="shared" si="744"/>
        <v>0</v>
      </c>
      <c r="AO1135" s="39"/>
      <c r="AP1135" s="39"/>
      <c r="AQ1135" s="39"/>
      <c r="AR1135" s="39"/>
      <c r="AS1135" s="39"/>
      <c r="AT1135" s="39">
        <f t="shared" si="659"/>
        <v>0</v>
      </c>
      <c r="AU1135" s="39"/>
      <c r="AV1135" s="39"/>
      <c r="AW1135" s="39"/>
      <c r="AX1135" s="39"/>
      <c r="AY1135" s="39"/>
      <c r="AZ1135" s="39">
        <f t="shared" si="660"/>
        <v>0</v>
      </c>
      <c r="BA1135" s="39"/>
      <c r="BB1135" s="39"/>
      <c r="BC1135" s="39"/>
      <c r="BD1135" s="39"/>
      <c r="BE1135" s="39"/>
      <c r="BF1135" s="39">
        <f t="shared" si="661"/>
        <v>0</v>
      </c>
      <c r="BG1135" s="39"/>
      <c r="BH1135" s="39"/>
      <c r="BI1135" s="39"/>
      <c r="BJ1135" s="39"/>
      <c r="BK1135" s="39"/>
      <c r="BL1135" s="39">
        <f t="shared" si="746"/>
        <v>0</v>
      </c>
      <c r="BM1135" s="54">
        <f t="shared" ca="1" si="662"/>
        <v>46283</v>
      </c>
      <c r="BN1135" s="66">
        <v>46285</v>
      </c>
      <c r="BO1135" s="117">
        <v>46299</v>
      </c>
      <c r="BP1135" s="39"/>
      <c r="BQ1135" s="39"/>
      <c r="BR1135" s="39"/>
      <c r="BS1135" s="39"/>
      <c r="BT1135" s="39"/>
      <c r="BU1135" s="39"/>
      <c r="BV1135" s="39"/>
      <c r="BW1135" s="39"/>
      <c r="BX1135" s="39"/>
      <c r="BY1135" s="39"/>
      <c r="BZ1135" s="39">
        <f t="shared" si="747"/>
        <v>0</v>
      </c>
      <c r="CA1135" s="39">
        <f t="shared" si="663"/>
        <v>-235</v>
      </c>
      <c r="CB1135" s="39">
        <f t="shared" si="664"/>
        <v>0</v>
      </c>
      <c r="CC1135" s="39">
        <f t="shared" si="665"/>
        <v>0</v>
      </c>
      <c r="CD1135" s="39">
        <f t="shared" si="748"/>
        <v>-235</v>
      </c>
      <c r="CE1135" s="102">
        <f t="shared" si="666"/>
        <v>-1</v>
      </c>
      <c r="CF1135" s="36"/>
      <c r="CG1135" s="39" t="s">
        <v>235</v>
      </c>
      <c r="CH1135" s="39"/>
      <c r="CI1135" s="25">
        <v>2</v>
      </c>
    </row>
    <row r="1136" spans="1:87" ht="24.75" customHeight="1">
      <c r="A1136" s="36" t="s">
        <v>303</v>
      </c>
      <c r="B1136" s="55">
        <v>48562</v>
      </c>
      <c r="C1136" s="228"/>
      <c r="D1136" s="36"/>
      <c r="E1136" s="39">
        <v>280</v>
      </c>
      <c r="F1136" s="39" t="s">
        <v>57</v>
      </c>
      <c r="G1136" s="36" t="s">
        <v>731</v>
      </c>
      <c r="H1136" s="36" t="s">
        <v>2363</v>
      </c>
      <c r="I1136" s="39">
        <v>235</v>
      </c>
      <c r="J1136" s="39"/>
      <c r="K1136" s="39"/>
      <c r="L1136" s="39">
        <f t="shared" si="754"/>
        <v>235</v>
      </c>
      <c r="M1136" s="117">
        <v>46270</v>
      </c>
      <c r="N1136" s="117">
        <v>46283</v>
      </c>
      <c r="O1136" s="39"/>
      <c r="P1136" s="39"/>
      <c r="Q1136" s="39"/>
      <c r="R1136" s="39">
        <f t="shared" si="755"/>
        <v>0</v>
      </c>
      <c r="S1136" s="39" t="s">
        <v>130</v>
      </c>
      <c r="T1136" s="39"/>
      <c r="U1136" s="39"/>
      <c r="V1136" s="39"/>
      <c r="W1136" s="39"/>
      <c r="X1136" s="39"/>
      <c r="Y1136" s="39"/>
      <c r="Z1136" s="39"/>
      <c r="AA1136" s="39"/>
      <c r="AB1136" s="118">
        <f t="shared" si="753"/>
        <v>0</v>
      </c>
      <c r="AC1136" s="39"/>
      <c r="AD1136" s="39"/>
      <c r="AE1136" s="39"/>
      <c r="AF1136" s="39"/>
      <c r="AG1136" s="39"/>
      <c r="AH1136" s="39">
        <f t="shared" si="745"/>
        <v>0</v>
      </c>
      <c r="AI1136" s="39"/>
      <c r="AJ1136" s="39"/>
      <c r="AK1136" s="39"/>
      <c r="AL1136" s="39"/>
      <c r="AM1136" s="39"/>
      <c r="AN1136" s="39">
        <f t="shared" si="744"/>
        <v>0</v>
      </c>
      <c r="AO1136" s="39"/>
      <c r="AP1136" s="39"/>
      <c r="AQ1136" s="39"/>
      <c r="AR1136" s="39"/>
      <c r="AS1136" s="39"/>
      <c r="AT1136" s="39">
        <f t="shared" si="659"/>
        <v>0</v>
      </c>
      <c r="AU1136" s="39"/>
      <c r="AV1136" s="39"/>
      <c r="AW1136" s="39"/>
      <c r="AX1136" s="39"/>
      <c r="AY1136" s="39"/>
      <c r="AZ1136" s="39">
        <f t="shared" si="660"/>
        <v>0</v>
      </c>
      <c r="BA1136" s="39"/>
      <c r="BB1136" s="39"/>
      <c r="BC1136" s="39"/>
      <c r="BD1136" s="39"/>
      <c r="BE1136" s="39"/>
      <c r="BF1136" s="39">
        <f t="shared" si="661"/>
        <v>0</v>
      </c>
      <c r="BG1136" s="39"/>
      <c r="BH1136" s="39"/>
      <c r="BI1136" s="39"/>
      <c r="BJ1136" s="39"/>
      <c r="BK1136" s="39"/>
      <c r="BL1136" s="39">
        <f t="shared" si="746"/>
        <v>0</v>
      </c>
      <c r="BM1136" s="54">
        <f t="shared" ca="1" si="662"/>
        <v>46283</v>
      </c>
      <c r="BN1136" s="66">
        <v>46285</v>
      </c>
      <c r="BO1136" s="117">
        <v>46299</v>
      </c>
      <c r="BP1136" s="39"/>
      <c r="BQ1136" s="39"/>
      <c r="BR1136" s="39"/>
      <c r="BS1136" s="39"/>
      <c r="BT1136" s="39"/>
      <c r="BU1136" s="39"/>
      <c r="BV1136" s="39"/>
      <c r="BW1136" s="39"/>
      <c r="BX1136" s="39"/>
      <c r="BY1136" s="39"/>
      <c r="BZ1136" s="39">
        <f t="shared" si="747"/>
        <v>0</v>
      </c>
      <c r="CA1136" s="39">
        <f t="shared" si="663"/>
        <v>-235</v>
      </c>
      <c r="CB1136" s="39">
        <f t="shared" si="664"/>
        <v>0</v>
      </c>
      <c r="CC1136" s="39">
        <f t="shared" si="665"/>
        <v>0</v>
      </c>
      <c r="CD1136" s="39">
        <f t="shared" si="748"/>
        <v>-235</v>
      </c>
      <c r="CE1136" s="102">
        <f t="shared" si="666"/>
        <v>-1</v>
      </c>
      <c r="CF1136" s="36"/>
      <c r="CG1136" s="39" t="s">
        <v>235</v>
      </c>
      <c r="CH1136" s="39"/>
      <c r="CI1136" s="25">
        <v>2</v>
      </c>
    </row>
    <row r="1137" spans="1:87" ht="24.75" customHeight="1">
      <c r="A1137" s="36" t="s">
        <v>303</v>
      </c>
      <c r="B1137" s="55">
        <v>48564</v>
      </c>
      <c r="C1137" s="227" t="s">
        <v>2644</v>
      </c>
      <c r="D1137" s="36"/>
      <c r="E1137" s="39">
        <v>340</v>
      </c>
      <c r="F1137" s="39" t="s">
        <v>60</v>
      </c>
      <c r="G1137" s="36" t="s">
        <v>785</v>
      </c>
      <c r="H1137" s="36" t="s">
        <v>212</v>
      </c>
      <c r="I1137" s="39">
        <v>286</v>
      </c>
      <c r="J1137" s="39">
        <v>27</v>
      </c>
      <c r="K1137" s="39"/>
      <c r="L1137" s="39">
        <f t="shared" si="754"/>
        <v>313</v>
      </c>
      <c r="M1137" s="117">
        <v>46268</v>
      </c>
      <c r="N1137" s="117">
        <v>46277</v>
      </c>
      <c r="O1137" s="39"/>
      <c r="P1137" s="39"/>
      <c r="Q1137" s="39"/>
      <c r="R1137" s="39">
        <f t="shared" ref="R1137:R1153" si="756">SUM(O1137:Q1137)</f>
        <v>0</v>
      </c>
      <c r="S1137" s="39" t="s">
        <v>130</v>
      </c>
      <c r="T1137" s="39"/>
      <c r="U1137" s="39"/>
      <c r="V1137" s="39"/>
      <c r="W1137" s="39"/>
      <c r="X1137" s="39"/>
      <c r="Y1137" s="39"/>
      <c r="Z1137" s="39"/>
      <c r="AA1137" s="39"/>
      <c r="AB1137" s="118">
        <f t="shared" si="753"/>
        <v>0</v>
      </c>
      <c r="AC1137" s="39"/>
      <c r="AD1137" s="39"/>
      <c r="AE1137" s="39"/>
      <c r="AF1137" s="39"/>
      <c r="AG1137" s="39"/>
      <c r="AH1137" s="39">
        <f t="shared" si="745"/>
        <v>0</v>
      </c>
      <c r="AI1137" s="39"/>
      <c r="AJ1137" s="39"/>
      <c r="AK1137" s="39"/>
      <c r="AL1137" s="39"/>
      <c r="AM1137" s="39"/>
      <c r="AN1137" s="39">
        <f t="shared" si="744"/>
        <v>0</v>
      </c>
      <c r="AO1137" s="39"/>
      <c r="AP1137" s="39"/>
      <c r="AQ1137" s="39"/>
      <c r="AR1137" s="39"/>
      <c r="AS1137" s="39"/>
      <c r="AT1137" s="39">
        <f t="shared" si="659"/>
        <v>0</v>
      </c>
      <c r="AU1137" s="39"/>
      <c r="AV1137" s="39"/>
      <c r="AW1137" s="39"/>
      <c r="AX1137" s="39"/>
      <c r="AY1137" s="39"/>
      <c r="AZ1137" s="39">
        <f t="shared" si="660"/>
        <v>0</v>
      </c>
      <c r="BA1137" s="39"/>
      <c r="BB1137" s="39"/>
      <c r="BC1137" s="39"/>
      <c r="BD1137" s="39"/>
      <c r="BE1137" s="39"/>
      <c r="BF1137" s="39">
        <f t="shared" si="661"/>
        <v>0</v>
      </c>
      <c r="BG1137" s="39"/>
      <c r="BH1137" s="39"/>
      <c r="BI1137" s="39"/>
      <c r="BJ1137" s="39"/>
      <c r="BK1137" s="39"/>
      <c r="BL1137" s="39">
        <f t="shared" si="746"/>
        <v>0</v>
      </c>
      <c r="BM1137" s="54">
        <f t="shared" ca="1" si="662"/>
        <v>46283</v>
      </c>
      <c r="BN1137" s="66">
        <v>46282</v>
      </c>
      <c r="BO1137" s="117">
        <v>46297</v>
      </c>
      <c r="BP1137" s="39"/>
      <c r="BQ1137" s="39"/>
      <c r="BR1137" s="39"/>
      <c r="BS1137" s="39"/>
      <c r="BT1137" s="39"/>
      <c r="BU1137" s="39"/>
      <c r="BV1137" s="39"/>
      <c r="BW1137" s="39"/>
      <c r="BX1137" s="39"/>
      <c r="BY1137" s="39"/>
      <c r="BZ1137" s="39">
        <f t="shared" si="747"/>
        <v>0</v>
      </c>
      <c r="CA1137" s="39">
        <f t="shared" si="663"/>
        <v>-286</v>
      </c>
      <c r="CB1137" s="39">
        <f t="shared" si="664"/>
        <v>-27</v>
      </c>
      <c r="CC1137" s="39">
        <f t="shared" si="665"/>
        <v>0</v>
      </c>
      <c r="CD1137" s="39">
        <f t="shared" si="748"/>
        <v>-313</v>
      </c>
      <c r="CE1137" s="102">
        <f t="shared" si="666"/>
        <v>-1</v>
      </c>
      <c r="CF1137" s="36"/>
      <c r="CG1137" s="39" t="s">
        <v>235</v>
      </c>
      <c r="CH1137" s="39"/>
      <c r="CI1137" s="25">
        <v>2</v>
      </c>
    </row>
    <row r="1138" spans="1:87" ht="24.75" customHeight="1">
      <c r="A1138" s="36" t="s">
        <v>303</v>
      </c>
      <c r="B1138" s="55">
        <v>48564</v>
      </c>
      <c r="C1138" s="231"/>
      <c r="D1138" s="36"/>
      <c r="E1138" s="39">
        <v>340</v>
      </c>
      <c r="F1138" s="39" t="s">
        <v>60</v>
      </c>
      <c r="G1138" s="36" t="s">
        <v>1015</v>
      </c>
      <c r="H1138" s="36" t="s">
        <v>212</v>
      </c>
      <c r="I1138" s="39">
        <v>286</v>
      </c>
      <c r="J1138" s="39">
        <v>27</v>
      </c>
      <c r="K1138" s="39"/>
      <c r="L1138" s="39">
        <f t="shared" si="754"/>
        <v>313</v>
      </c>
      <c r="M1138" s="117">
        <v>46268</v>
      </c>
      <c r="N1138" s="117">
        <v>46277</v>
      </c>
      <c r="O1138" s="39"/>
      <c r="P1138" s="39"/>
      <c r="Q1138" s="39"/>
      <c r="R1138" s="39">
        <f t="shared" si="756"/>
        <v>0</v>
      </c>
      <c r="S1138" s="39" t="s">
        <v>130</v>
      </c>
      <c r="T1138" s="39"/>
      <c r="U1138" s="39"/>
      <c r="V1138" s="39"/>
      <c r="W1138" s="39"/>
      <c r="X1138" s="39"/>
      <c r="Y1138" s="39"/>
      <c r="Z1138" s="39"/>
      <c r="AA1138" s="39"/>
      <c r="AB1138" s="118">
        <f t="shared" si="753"/>
        <v>0</v>
      </c>
      <c r="AC1138" s="39"/>
      <c r="AD1138" s="39"/>
      <c r="AE1138" s="39"/>
      <c r="AF1138" s="39"/>
      <c r="AG1138" s="39"/>
      <c r="AH1138" s="39">
        <f t="shared" si="745"/>
        <v>0</v>
      </c>
      <c r="AI1138" s="39"/>
      <c r="AJ1138" s="39"/>
      <c r="AK1138" s="39"/>
      <c r="AL1138" s="39"/>
      <c r="AM1138" s="39"/>
      <c r="AN1138" s="39">
        <f t="shared" si="744"/>
        <v>0</v>
      </c>
      <c r="AO1138" s="39"/>
      <c r="AP1138" s="39"/>
      <c r="AQ1138" s="39"/>
      <c r="AR1138" s="39"/>
      <c r="AS1138" s="39"/>
      <c r="AT1138" s="39">
        <f t="shared" si="659"/>
        <v>0</v>
      </c>
      <c r="AU1138" s="39"/>
      <c r="AV1138" s="39"/>
      <c r="AW1138" s="39"/>
      <c r="AX1138" s="39"/>
      <c r="AY1138" s="39"/>
      <c r="AZ1138" s="39">
        <f t="shared" si="660"/>
        <v>0</v>
      </c>
      <c r="BA1138" s="39"/>
      <c r="BB1138" s="39"/>
      <c r="BC1138" s="39"/>
      <c r="BD1138" s="39"/>
      <c r="BE1138" s="39"/>
      <c r="BF1138" s="39">
        <f t="shared" si="661"/>
        <v>0</v>
      </c>
      <c r="BG1138" s="39"/>
      <c r="BH1138" s="39"/>
      <c r="BI1138" s="39"/>
      <c r="BJ1138" s="39"/>
      <c r="BK1138" s="39"/>
      <c r="BL1138" s="39">
        <f t="shared" si="746"/>
        <v>0</v>
      </c>
      <c r="BM1138" s="54">
        <f t="shared" ca="1" si="662"/>
        <v>46283</v>
      </c>
      <c r="BN1138" s="66">
        <v>46282</v>
      </c>
      <c r="BO1138" s="117">
        <v>46297</v>
      </c>
      <c r="BP1138" s="39"/>
      <c r="BQ1138" s="39"/>
      <c r="BR1138" s="39"/>
      <c r="BS1138" s="39"/>
      <c r="BT1138" s="39"/>
      <c r="BU1138" s="39"/>
      <c r="BV1138" s="39"/>
      <c r="BW1138" s="39"/>
      <c r="BX1138" s="39"/>
      <c r="BY1138" s="39"/>
      <c r="BZ1138" s="39">
        <f t="shared" si="747"/>
        <v>0</v>
      </c>
      <c r="CA1138" s="39">
        <f t="shared" si="663"/>
        <v>-286</v>
      </c>
      <c r="CB1138" s="39">
        <f t="shared" si="664"/>
        <v>-27</v>
      </c>
      <c r="CC1138" s="39">
        <f t="shared" si="665"/>
        <v>0</v>
      </c>
      <c r="CD1138" s="39">
        <f t="shared" si="748"/>
        <v>-313</v>
      </c>
      <c r="CE1138" s="102">
        <f t="shared" si="666"/>
        <v>-1</v>
      </c>
      <c r="CF1138" s="36"/>
      <c r="CG1138" s="39" t="s">
        <v>235</v>
      </c>
      <c r="CH1138" s="39"/>
      <c r="CI1138" s="25">
        <v>2</v>
      </c>
    </row>
    <row r="1139" spans="1:87" ht="24.75" customHeight="1">
      <c r="A1139" s="36" t="s">
        <v>303</v>
      </c>
      <c r="B1139" s="55">
        <v>48564</v>
      </c>
      <c r="C1139" s="231"/>
      <c r="D1139" s="36"/>
      <c r="E1139" s="39">
        <v>340</v>
      </c>
      <c r="F1139" s="39" t="s">
        <v>60</v>
      </c>
      <c r="G1139" s="36" t="s">
        <v>784</v>
      </c>
      <c r="H1139" s="36" t="s">
        <v>212</v>
      </c>
      <c r="I1139" s="39">
        <v>286</v>
      </c>
      <c r="J1139" s="39">
        <v>27</v>
      </c>
      <c r="K1139" s="39"/>
      <c r="L1139" s="39">
        <f t="shared" si="754"/>
        <v>313</v>
      </c>
      <c r="M1139" s="117">
        <v>46268</v>
      </c>
      <c r="N1139" s="117">
        <v>46277</v>
      </c>
      <c r="O1139" s="39"/>
      <c r="P1139" s="39"/>
      <c r="Q1139" s="39"/>
      <c r="R1139" s="39">
        <f t="shared" si="756"/>
        <v>0</v>
      </c>
      <c r="S1139" s="39" t="s">
        <v>130</v>
      </c>
      <c r="T1139" s="39"/>
      <c r="U1139" s="39"/>
      <c r="V1139" s="39"/>
      <c r="W1139" s="39"/>
      <c r="X1139" s="39"/>
      <c r="Y1139" s="39"/>
      <c r="Z1139" s="39"/>
      <c r="AA1139" s="39"/>
      <c r="AB1139" s="118">
        <f t="shared" si="753"/>
        <v>0</v>
      </c>
      <c r="AC1139" s="39"/>
      <c r="AD1139" s="39"/>
      <c r="AE1139" s="39"/>
      <c r="AF1139" s="39"/>
      <c r="AG1139" s="39"/>
      <c r="AH1139" s="39">
        <f t="shared" si="745"/>
        <v>0</v>
      </c>
      <c r="AI1139" s="39"/>
      <c r="AJ1139" s="39"/>
      <c r="AK1139" s="39"/>
      <c r="AL1139" s="39"/>
      <c r="AM1139" s="39"/>
      <c r="AN1139" s="39">
        <f t="shared" si="744"/>
        <v>0</v>
      </c>
      <c r="AO1139" s="39"/>
      <c r="AP1139" s="39"/>
      <c r="AQ1139" s="39"/>
      <c r="AR1139" s="39"/>
      <c r="AS1139" s="39"/>
      <c r="AT1139" s="39">
        <f t="shared" si="659"/>
        <v>0</v>
      </c>
      <c r="AU1139" s="39"/>
      <c r="AV1139" s="39"/>
      <c r="AW1139" s="39"/>
      <c r="AX1139" s="39"/>
      <c r="AY1139" s="39"/>
      <c r="AZ1139" s="39">
        <f t="shared" si="660"/>
        <v>0</v>
      </c>
      <c r="BA1139" s="39"/>
      <c r="BB1139" s="39"/>
      <c r="BC1139" s="39"/>
      <c r="BD1139" s="39"/>
      <c r="BE1139" s="39"/>
      <c r="BF1139" s="39">
        <f t="shared" si="661"/>
        <v>0</v>
      </c>
      <c r="BG1139" s="39"/>
      <c r="BH1139" s="39"/>
      <c r="BI1139" s="39"/>
      <c r="BJ1139" s="39"/>
      <c r="BK1139" s="39"/>
      <c r="BL1139" s="39">
        <f t="shared" si="746"/>
        <v>0</v>
      </c>
      <c r="BM1139" s="54">
        <f t="shared" ca="1" si="662"/>
        <v>46283</v>
      </c>
      <c r="BN1139" s="66">
        <v>46282</v>
      </c>
      <c r="BO1139" s="117">
        <v>46297</v>
      </c>
      <c r="BP1139" s="39"/>
      <c r="BQ1139" s="39"/>
      <c r="BR1139" s="39"/>
      <c r="BS1139" s="39"/>
      <c r="BT1139" s="39"/>
      <c r="BU1139" s="39"/>
      <c r="BV1139" s="39"/>
      <c r="BW1139" s="39"/>
      <c r="BX1139" s="39"/>
      <c r="BY1139" s="39"/>
      <c r="BZ1139" s="39">
        <f t="shared" si="747"/>
        <v>0</v>
      </c>
      <c r="CA1139" s="39">
        <f t="shared" si="663"/>
        <v>-286</v>
      </c>
      <c r="CB1139" s="39">
        <f t="shared" si="664"/>
        <v>-27</v>
      </c>
      <c r="CC1139" s="39">
        <f t="shared" si="665"/>
        <v>0</v>
      </c>
      <c r="CD1139" s="39">
        <f t="shared" si="748"/>
        <v>-313</v>
      </c>
      <c r="CE1139" s="102">
        <f t="shared" si="666"/>
        <v>-1</v>
      </c>
      <c r="CF1139" s="36"/>
      <c r="CG1139" s="39" t="s">
        <v>235</v>
      </c>
      <c r="CH1139" s="39"/>
      <c r="CI1139" s="25">
        <v>2</v>
      </c>
    </row>
    <row r="1140" spans="1:87" ht="24.75" customHeight="1">
      <c r="A1140" s="36" t="s">
        <v>303</v>
      </c>
      <c r="B1140" s="55">
        <v>48564</v>
      </c>
      <c r="C1140" s="231"/>
      <c r="D1140" s="36"/>
      <c r="E1140" s="39"/>
      <c r="F1140" s="39"/>
      <c r="G1140" s="36" t="s">
        <v>329</v>
      </c>
      <c r="H1140" s="36">
        <f>3000+3600</f>
        <v>6600</v>
      </c>
      <c r="I1140" s="39" t="s">
        <v>90</v>
      </c>
      <c r="J1140" s="39"/>
      <c r="K1140" s="39"/>
      <c r="L1140" s="39">
        <f t="shared" si="754"/>
        <v>0</v>
      </c>
      <c r="M1140" s="117">
        <v>46268</v>
      </c>
      <c r="N1140" s="117">
        <v>46277</v>
      </c>
      <c r="O1140" s="39"/>
      <c r="P1140" s="39"/>
      <c r="Q1140" s="39"/>
      <c r="R1140" s="39">
        <f t="shared" si="756"/>
        <v>0</v>
      </c>
      <c r="S1140" s="39" t="s">
        <v>130</v>
      </c>
      <c r="T1140" s="39"/>
      <c r="U1140" s="39"/>
      <c r="V1140" s="39"/>
      <c r="W1140" s="39"/>
      <c r="X1140" s="39"/>
      <c r="Y1140" s="39"/>
      <c r="Z1140" s="39"/>
      <c r="AA1140" s="39"/>
      <c r="AB1140" s="39">
        <f t="shared" si="753"/>
        <v>0</v>
      </c>
      <c r="AC1140" s="39"/>
      <c r="AD1140" s="39"/>
      <c r="AE1140" s="39"/>
      <c r="AF1140" s="39"/>
      <c r="AG1140" s="39"/>
      <c r="AH1140" s="39">
        <f t="shared" si="745"/>
        <v>0</v>
      </c>
      <c r="AI1140" s="39"/>
      <c r="AJ1140" s="39"/>
      <c r="AK1140" s="39"/>
      <c r="AL1140" s="39"/>
      <c r="AM1140" s="39"/>
      <c r="AN1140" s="39">
        <f t="shared" si="744"/>
        <v>0</v>
      </c>
      <c r="AO1140" s="39"/>
      <c r="AP1140" s="39"/>
      <c r="AQ1140" s="39"/>
      <c r="AR1140" s="39"/>
      <c r="AS1140" s="39"/>
      <c r="AT1140" s="39">
        <f t="shared" si="659"/>
        <v>0</v>
      </c>
      <c r="AU1140" s="39"/>
      <c r="AV1140" s="39"/>
      <c r="AW1140" s="39"/>
      <c r="AX1140" s="39"/>
      <c r="AY1140" s="39"/>
      <c r="AZ1140" s="39">
        <f t="shared" si="660"/>
        <v>0</v>
      </c>
      <c r="BA1140" s="39"/>
      <c r="BB1140" s="39"/>
      <c r="BC1140" s="39"/>
      <c r="BD1140" s="39"/>
      <c r="BE1140" s="39"/>
      <c r="BF1140" s="39">
        <f t="shared" si="661"/>
        <v>0</v>
      </c>
      <c r="BG1140" s="39"/>
      <c r="BH1140" s="39"/>
      <c r="BI1140" s="39"/>
      <c r="BJ1140" s="39"/>
      <c r="BK1140" s="39"/>
      <c r="BL1140" s="39">
        <f t="shared" si="746"/>
        <v>0</v>
      </c>
      <c r="BM1140" s="54" t="e">
        <f t="shared" si="662"/>
        <v>#DIV/0!</v>
      </c>
      <c r="BN1140" s="66">
        <v>46282</v>
      </c>
      <c r="BO1140" s="117">
        <v>46297</v>
      </c>
      <c r="BP1140" s="39"/>
      <c r="BQ1140" s="39"/>
      <c r="BR1140" s="39"/>
      <c r="BS1140" s="39"/>
      <c r="BT1140" s="39"/>
      <c r="BU1140" s="39"/>
      <c r="BV1140" s="39"/>
      <c r="BW1140" s="39"/>
      <c r="BX1140" s="39"/>
      <c r="BY1140" s="39"/>
      <c r="BZ1140" s="39">
        <f t="shared" si="747"/>
        <v>0</v>
      </c>
      <c r="CA1140" s="39" t="e">
        <f t="shared" si="663"/>
        <v>#VALUE!</v>
      </c>
      <c r="CB1140" s="39">
        <f t="shared" si="664"/>
        <v>0</v>
      </c>
      <c r="CC1140" s="39">
        <f t="shared" si="665"/>
        <v>0</v>
      </c>
      <c r="CD1140" s="39">
        <f t="shared" si="748"/>
        <v>0</v>
      </c>
      <c r="CE1140" s="102" t="e">
        <f t="shared" si="666"/>
        <v>#DIV/0!</v>
      </c>
      <c r="CF1140" s="36"/>
      <c r="CG1140" s="39" t="s">
        <v>235</v>
      </c>
      <c r="CH1140" s="39"/>
      <c r="CI1140" s="25">
        <v>2</v>
      </c>
    </row>
    <row r="1141" spans="1:87" ht="24.75" customHeight="1">
      <c r="A1141" s="36" t="s">
        <v>303</v>
      </c>
      <c r="B1141" s="55">
        <v>48564</v>
      </c>
      <c r="C1141" s="228"/>
      <c r="D1141" s="36"/>
      <c r="E1141" s="39"/>
      <c r="F1141" s="39"/>
      <c r="G1141" s="36" t="s">
        <v>944</v>
      </c>
      <c r="H1141" s="36">
        <f>700+700+700</f>
        <v>2100</v>
      </c>
      <c r="I1141" s="39" t="s">
        <v>90</v>
      </c>
      <c r="J1141" s="39"/>
      <c r="K1141" s="39"/>
      <c r="L1141" s="39">
        <f t="shared" si="754"/>
        <v>0</v>
      </c>
      <c r="M1141" s="117">
        <v>46268</v>
      </c>
      <c r="N1141" s="117">
        <v>46277</v>
      </c>
      <c r="O1141" s="39"/>
      <c r="P1141" s="39"/>
      <c r="Q1141" s="39"/>
      <c r="R1141" s="39">
        <f t="shared" si="756"/>
        <v>0</v>
      </c>
      <c r="S1141" s="39" t="s">
        <v>130</v>
      </c>
      <c r="T1141" s="39"/>
      <c r="U1141" s="39"/>
      <c r="V1141" s="39"/>
      <c r="W1141" s="39"/>
      <c r="X1141" s="39"/>
      <c r="Y1141" s="39"/>
      <c r="Z1141" s="39"/>
      <c r="AA1141" s="39"/>
      <c r="AB1141" s="39">
        <f t="shared" si="753"/>
        <v>0</v>
      </c>
      <c r="AC1141" s="39"/>
      <c r="AD1141" s="39"/>
      <c r="AE1141" s="39"/>
      <c r="AF1141" s="39"/>
      <c r="AG1141" s="39"/>
      <c r="AH1141" s="39">
        <f t="shared" si="745"/>
        <v>0</v>
      </c>
      <c r="AI1141" s="39"/>
      <c r="AJ1141" s="39"/>
      <c r="AK1141" s="39"/>
      <c r="AL1141" s="39"/>
      <c r="AM1141" s="39"/>
      <c r="AN1141" s="39">
        <f t="shared" si="744"/>
        <v>0</v>
      </c>
      <c r="AO1141" s="39"/>
      <c r="AP1141" s="39"/>
      <c r="AQ1141" s="39"/>
      <c r="AR1141" s="39"/>
      <c r="AS1141" s="39"/>
      <c r="AT1141" s="39">
        <f t="shared" si="659"/>
        <v>0</v>
      </c>
      <c r="AU1141" s="39"/>
      <c r="AV1141" s="39"/>
      <c r="AW1141" s="39"/>
      <c r="AX1141" s="39"/>
      <c r="AY1141" s="39"/>
      <c r="AZ1141" s="39">
        <f t="shared" si="660"/>
        <v>0</v>
      </c>
      <c r="BA1141" s="39"/>
      <c r="BB1141" s="39"/>
      <c r="BC1141" s="39"/>
      <c r="BD1141" s="39"/>
      <c r="BE1141" s="39"/>
      <c r="BF1141" s="39">
        <f t="shared" si="661"/>
        <v>0</v>
      </c>
      <c r="BG1141" s="39"/>
      <c r="BH1141" s="39"/>
      <c r="BI1141" s="39"/>
      <c r="BJ1141" s="39"/>
      <c r="BK1141" s="39"/>
      <c r="BL1141" s="39">
        <f t="shared" si="746"/>
        <v>0</v>
      </c>
      <c r="BM1141" s="54" t="e">
        <f t="shared" si="662"/>
        <v>#DIV/0!</v>
      </c>
      <c r="BN1141" s="66">
        <v>46282</v>
      </c>
      <c r="BO1141" s="117">
        <v>46297</v>
      </c>
      <c r="BP1141" s="39"/>
      <c r="BQ1141" s="39"/>
      <c r="BR1141" s="39"/>
      <c r="BS1141" s="39"/>
      <c r="BT1141" s="39"/>
      <c r="BU1141" s="39"/>
      <c r="BV1141" s="39"/>
      <c r="BW1141" s="39"/>
      <c r="BX1141" s="39"/>
      <c r="BY1141" s="39"/>
      <c r="BZ1141" s="39">
        <f t="shared" si="747"/>
        <v>0</v>
      </c>
      <c r="CA1141" s="39" t="e">
        <f t="shared" si="663"/>
        <v>#VALUE!</v>
      </c>
      <c r="CB1141" s="39">
        <f t="shared" si="664"/>
        <v>0</v>
      </c>
      <c r="CC1141" s="39">
        <f t="shared" si="665"/>
        <v>0</v>
      </c>
      <c r="CD1141" s="39">
        <f t="shared" si="748"/>
        <v>0</v>
      </c>
      <c r="CE1141" s="102" t="e">
        <f t="shared" si="666"/>
        <v>#DIV/0!</v>
      </c>
      <c r="CF1141" s="36"/>
      <c r="CG1141" s="39" t="s">
        <v>235</v>
      </c>
      <c r="CH1141" s="39"/>
      <c r="CI1141" s="25">
        <v>2</v>
      </c>
    </row>
    <row r="1142" spans="1:87" ht="24.75" customHeight="1">
      <c r="A1142" s="36" t="s">
        <v>303</v>
      </c>
      <c r="B1142" s="55">
        <v>48560</v>
      </c>
      <c r="C1142" s="227" t="s">
        <v>2643</v>
      </c>
      <c r="D1142" s="36"/>
      <c r="E1142" s="39">
        <v>340</v>
      </c>
      <c r="F1142" s="39" t="s">
        <v>63</v>
      </c>
      <c r="G1142" s="36" t="s">
        <v>41</v>
      </c>
      <c r="H1142" s="36" t="s">
        <v>2365</v>
      </c>
      <c r="I1142" s="39">
        <f>399+3</f>
        <v>402</v>
      </c>
      <c r="J1142" s="39"/>
      <c r="K1142" s="39"/>
      <c r="L1142" s="39">
        <f t="shared" si="754"/>
        <v>402</v>
      </c>
      <c r="M1142" s="117">
        <v>46266</v>
      </c>
      <c r="N1142" s="117">
        <v>46278</v>
      </c>
      <c r="O1142" s="39"/>
      <c r="P1142" s="39"/>
      <c r="Q1142" s="39"/>
      <c r="R1142" s="39">
        <f t="shared" si="756"/>
        <v>0</v>
      </c>
      <c r="S1142" s="39" t="s">
        <v>130</v>
      </c>
      <c r="T1142" s="39"/>
      <c r="U1142" s="39"/>
      <c r="V1142" s="39"/>
      <c r="W1142" s="39"/>
      <c r="X1142" s="39"/>
      <c r="Y1142" s="39"/>
      <c r="Z1142" s="39"/>
      <c r="AA1142" s="39"/>
      <c r="AB1142" s="118">
        <f t="shared" si="753"/>
        <v>0</v>
      </c>
      <c r="AC1142" s="39"/>
      <c r="AD1142" s="39"/>
      <c r="AE1142" s="39"/>
      <c r="AF1142" s="39"/>
      <c r="AG1142" s="39"/>
      <c r="AH1142" s="39">
        <f t="shared" si="745"/>
        <v>0</v>
      </c>
      <c r="AI1142" s="39"/>
      <c r="AJ1142" s="39"/>
      <c r="AK1142" s="39"/>
      <c r="AL1142" s="39"/>
      <c r="AM1142" s="39"/>
      <c r="AN1142" s="39">
        <f t="shared" si="744"/>
        <v>0</v>
      </c>
      <c r="AO1142" s="39"/>
      <c r="AP1142" s="39"/>
      <c r="AQ1142" s="39"/>
      <c r="AR1142" s="39"/>
      <c r="AS1142" s="39"/>
      <c r="AT1142" s="39">
        <f t="shared" si="659"/>
        <v>0</v>
      </c>
      <c r="AU1142" s="39"/>
      <c r="AV1142" s="39"/>
      <c r="AW1142" s="39"/>
      <c r="AX1142" s="39"/>
      <c r="AY1142" s="39"/>
      <c r="AZ1142" s="39">
        <f t="shared" si="660"/>
        <v>0</v>
      </c>
      <c r="BA1142" s="39"/>
      <c r="BB1142" s="39"/>
      <c r="BC1142" s="39"/>
      <c r="BD1142" s="39"/>
      <c r="BE1142" s="39"/>
      <c r="BF1142" s="39">
        <f t="shared" si="661"/>
        <v>0</v>
      </c>
      <c r="BG1142" s="39"/>
      <c r="BH1142" s="39"/>
      <c r="BI1142" s="39"/>
      <c r="BJ1142" s="39"/>
      <c r="BK1142" s="39"/>
      <c r="BL1142" s="39">
        <f t="shared" si="746"/>
        <v>0</v>
      </c>
      <c r="BM1142" s="54">
        <f t="shared" ca="1" si="662"/>
        <v>46283</v>
      </c>
      <c r="BN1142" s="66">
        <v>46280</v>
      </c>
      <c r="BO1142" s="117">
        <v>46299</v>
      </c>
      <c r="BP1142" s="39"/>
      <c r="BQ1142" s="39"/>
      <c r="BR1142" s="39"/>
      <c r="BS1142" s="39"/>
      <c r="BT1142" s="39"/>
      <c r="BU1142" s="39"/>
      <c r="BV1142" s="39"/>
      <c r="BW1142" s="39"/>
      <c r="BX1142" s="39"/>
      <c r="BY1142" s="39"/>
      <c r="BZ1142" s="39">
        <f t="shared" si="747"/>
        <v>0</v>
      </c>
      <c r="CA1142" s="39">
        <f t="shared" si="663"/>
        <v>-402</v>
      </c>
      <c r="CB1142" s="39">
        <f t="shared" si="664"/>
        <v>0</v>
      </c>
      <c r="CC1142" s="39">
        <f t="shared" si="665"/>
        <v>0</v>
      </c>
      <c r="CD1142" s="39">
        <f t="shared" si="748"/>
        <v>-402</v>
      </c>
      <c r="CE1142" s="102">
        <f t="shared" si="666"/>
        <v>-1</v>
      </c>
      <c r="CF1142" s="36"/>
      <c r="CG1142" s="39" t="s">
        <v>235</v>
      </c>
      <c r="CH1142" s="39"/>
      <c r="CI1142" s="25">
        <v>2</v>
      </c>
    </row>
    <row r="1143" spans="1:87" ht="24.75" customHeight="1">
      <c r="A1143" s="36" t="s">
        <v>303</v>
      </c>
      <c r="B1143" s="55">
        <v>48560</v>
      </c>
      <c r="C1143" s="231"/>
      <c r="D1143" s="36"/>
      <c r="E1143" s="39">
        <v>340</v>
      </c>
      <c r="F1143" s="39" t="s">
        <v>63</v>
      </c>
      <c r="G1143" s="36" t="s">
        <v>922</v>
      </c>
      <c r="H1143" s="36" t="s">
        <v>2365</v>
      </c>
      <c r="I1143" s="39">
        <f>399+3</f>
        <v>402</v>
      </c>
      <c r="J1143" s="39"/>
      <c r="K1143" s="39"/>
      <c r="L1143" s="39">
        <f t="shared" si="754"/>
        <v>402</v>
      </c>
      <c r="M1143" s="117">
        <v>46266</v>
      </c>
      <c r="N1143" s="117">
        <v>46278</v>
      </c>
      <c r="O1143" s="39"/>
      <c r="P1143" s="39"/>
      <c r="Q1143" s="39"/>
      <c r="R1143" s="39">
        <f t="shared" si="756"/>
        <v>0</v>
      </c>
      <c r="S1143" s="39" t="s">
        <v>130</v>
      </c>
      <c r="T1143" s="39"/>
      <c r="U1143" s="39"/>
      <c r="V1143" s="39"/>
      <c r="W1143" s="39"/>
      <c r="X1143" s="39"/>
      <c r="Y1143" s="39"/>
      <c r="Z1143" s="39"/>
      <c r="AA1143" s="39"/>
      <c r="AB1143" s="118">
        <f t="shared" si="753"/>
        <v>0</v>
      </c>
      <c r="AC1143" s="39"/>
      <c r="AD1143" s="39"/>
      <c r="AE1143" s="39"/>
      <c r="AF1143" s="39"/>
      <c r="AG1143" s="39"/>
      <c r="AH1143" s="39">
        <f t="shared" si="745"/>
        <v>0</v>
      </c>
      <c r="AI1143" s="39"/>
      <c r="AJ1143" s="39"/>
      <c r="AK1143" s="39"/>
      <c r="AL1143" s="39"/>
      <c r="AM1143" s="39"/>
      <c r="AN1143" s="39">
        <f t="shared" si="744"/>
        <v>0</v>
      </c>
      <c r="AO1143" s="39"/>
      <c r="AP1143" s="39"/>
      <c r="AQ1143" s="39"/>
      <c r="AR1143" s="39"/>
      <c r="AS1143" s="39"/>
      <c r="AT1143" s="39">
        <f t="shared" si="659"/>
        <v>0</v>
      </c>
      <c r="AU1143" s="39"/>
      <c r="AV1143" s="39"/>
      <c r="AW1143" s="39"/>
      <c r="AX1143" s="39"/>
      <c r="AY1143" s="39"/>
      <c r="AZ1143" s="39">
        <f t="shared" si="660"/>
        <v>0</v>
      </c>
      <c r="BA1143" s="39"/>
      <c r="BB1143" s="39"/>
      <c r="BC1143" s="39"/>
      <c r="BD1143" s="39"/>
      <c r="BE1143" s="39"/>
      <c r="BF1143" s="39">
        <f t="shared" si="661"/>
        <v>0</v>
      </c>
      <c r="BG1143" s="39"/>
      <c r="BH1143" s="39"/>
      <c r="BI1143" s="39"/>
      <c r="BJ1143" s="39"/>
      <c r="BK1143" s="39"/>
      <c r="BL1143" s="39">
        <f t="shared" si="746"/>
        <v>0</v>
      </c>
      <c r="BM1143" s="54">
        <f t="shared" ca="1" si="662"/>
        <v>46283</v>
      </c>
      <c r="BN1143" s="66">
        <v>46280</v>
      </c>
      <c r="BO1143" s="117">
        <v>46299</v>
      </c>
      <c r="BP1143" s="39"/>
      <c r="BQ1143" s="39"/>
      <c r="BR1143" s="39"/>
      <c r="BS1143" s="39"/>
      <c r="BT1143" s="39"/>
      <c r="BU1143" s="39"/>
      <c r="BV1143" s="39"/>
      <c r="BW1143" s="39"/>
      <c r="BX1143" s="39"/>
      <c r="BY1143" s="39"/>
      <c r="BZ1143" s="39">
        <f t="shared" si="747"/>
        <v>0</v>
      </c>
      <c r="CA1143" s="39">
        <f t="shared" si="663"/>
        <v>-402</v>
      </c>
      <c r="CB1143" s="39">
        <f t="shared" si="664"/>
        <v>0</v>
      </c>
      <c r="CC1143" s="39">
        <f t="shared" si="665"/>
        <v>0</v>
      </c>
      <c r="CD1143" s="39">
        <f t="shared" si="748"/>
        <v>-402</v>
      </c>
      <c r="CE1143" s="102">
        <f t="shared" si="666"/>
        <v>-1</v>
      </c>
      <c r="CF1143" s="36"/>
      <c r="CG1143" s="39" t="s">
        <v>235</v>
      </c>
      <c r="CH1143" s="39"/>
      <c r="CI1143" s="25">
        <v>2</v>
      </c>
    </row>
    <row r="1144" spans="1:87" ht="24.75" customHeight="1">
      <c r="A1144" s="36" t="s">
        <v>303</v>
      </c>
      <c r="B1144" s="55">
        <v>48560</v>
      </c>
      <c r="C1144" s="231"/>
      <c r="D1144" s="36"/>
      <c r="E1144" s="39">
        <v>340</v>
      </c>
      <c r="F1144" s="39" t="s">
        <v>63</v>
      </c>
      <c r="G1144" s="36" t="s">
        <v>213</v>
      </c>
      <c r="H1144" s="36" t="s">
        <v>2365</v>
      </c>
      <c r="I1144" s="39">
        <f>529+3</f>
        <v>532</v>
      </c>
      <c r="J1144" s="39"/>
      <c r="K1144" s="39"/>
      <c r="L1144" s="39">
        <f t="shared" si="754"/>
        <v>532</v>
      </c>
      <c r="M1144" s="117">
        <v>46266</v>
      </c>
      <c r="N1144" s="117">
        <v>46278</v>
      </c>
      <c r="O1144" s="39"/>
      <c r="P1144" s="39"/>
      <c r="Q1144" s="39"/>
      <c r="R1144" s="39">
        <f t="shared" si="756"/>
        <v>0</v>
      </c>
      <c r="S1144" s="39" t="s">
        <v>130</v>
      </c>
      <c r="T1144" s="39"/>
      <c r="U1144" s="39"/>
      <c r="V1144" s="39"/>
      <c r="W1144" s="39"/>
      <c r="X1144" s="39"/>
      <c r="Y1144" s="39"/>
      <c r="Z1144" s="39"/>
      <c r="AA1144" s="39"/>
      <c r="AB1144" s="118">
        <f t="shared" si="753"/>
        <v>0</v>
      </c>
      <c r="AC1144" s="39"/>
      <c r="AD1144" s="39"/>
      <c r="AE1144" s="39"/>
      <c r="AF1144" s="39"/>
      <c r="AG1144" s="39"/>
      <c r="AH1144" s="39">
        <f t="shared" si="745"/>
        <v>0</v>
      </c>
      <c r="AI1144" s="39"/>
      <c r="AJ1144" s="39"/>
      <c r="AK1144" s="39"/>
      <c r="AL1144" s="39"/>
      <c r="AM1144" s="39"/>
      <c r="AN1144" s="39">
        <f t="shared" si="744"/>
        <v>0</v>
      </c>
      <c r="AO1144" s="39"/>
      <c r="AP1144" s="39"/>
      <c r="AQ1144" s="39"/>
      <c r="AR1144" s="39"/>
      <c r="AS1144" s="39"/>
      <c r="AT1144" s="39">
        <f t="shared" si="659"/>
        <v>0</v>
      </c>
      <c r="AU1144" s="39"/>
      <c r="AV1144" s="39"/>
      <c r="AW1144" s="39"/>
      <c r="AX1144" s="39"/>
      <c r="AY1144" s="39"/>
      <c r="AZ1144" s="39">
        <f t="shared" si="660"/>
        <v>0</v>
      </c>
      <c r="BA1144" s="39"/>
      <c r="BB1144" s="39"/>
      <c r="BC1144" s="39"/>
      <c r="BD1144" s="39"/>
      <c r="BE1144" s="39"/>
      <c r="BF1144" s="39">
        <f t="shared" si="661"/>
        <v>0</v>
      </c>
      <c r="BG1144" s="39"/>
      <c r="BH1144" s="39"/>
      <c r="BI1144" s="39"/>
      <c r="BJ1144" s="39"/>
      <c r="BK1144" s="39"/>
      <c r="BL1144" s="39">
        <f t="shared" si="746"/>
        <v>0</v>
      </c>
      <c r="BM1144" s="54">
        <f t="shared" ca="1" si="662"/>
        <v>46283</v>
      </c>
      <c r="BN1144" s="66">
        <v>46280</v>
      </c>
      <c r="BO1144" s="117">
        <v>46299</v>
      </c>
      <c r="BP1144" s="39"/>
      <c r="BQ1144" s="39"/>
      <c r="BR1144" s="39"/>
      <c r="BS1144" s="39"/>
      <c r="BT1144" s="39"/>
      <c r="BU1144" s="39"/>
      <c r="BV1144" s="39"/>
      <c r="BW1144" s="39"/>
      <c r="BX1144" s="39"/>
      <c r="BY1144" s="39"/>
      <c r="BZ1144" s="39">
        <f t="shared" si="747"/>
        <v>0</v>
      </c>
      <c r="CA1144" s="39">
        <f t="shared" si="663"/>
        <v>-532</v>
      </c>
      <c r="CB1144" s="39">
        <f t="shared" si="664"/>
        <v>0</v>
      </c>
      <c r="CC1144" s="39">
        <f t="shared" si="665"/>
        <v>0</v>
      </c>
      <c r="CD1144" s="39">
        <f t="shared" si="748"/>
        <v>-532</v>
      </c>
      <c r="CE1144" s="102">
        <f t="shared" si="666"/>
        <v>-1</v>
      </c>
      <c r="CF1144" s="36"/>
      <c r="CG1144" s="39" t="s">
        <v>235</v>
      </c>
      <c r="CH1144" s="39"/>
      <c r="CI1144" s="25">
        <v>2</v>
      </c>
    </row>
    <row r="1145" spans="1:87" ht="24.75" customHeight="1">
      <c r="A1145" s="36" t="s">
        <v>303</v>
      </c>
      <c r="B1145" s="55">
        <v>48560</v>
      </c>
      <c r="C1145" s="228"/>
      <c r="D1145" s="36"/>
      <c r="E1145" s="39"/>
      <c r="F1145" s="39"/>
      <c r="G1145" s="36" t="s">
        <v>329</v>
      </c>
      <c r="H1145" s="36">
        <f>900+900+1200</f>
        <v>3000</v>
      </c>
      <c r="I1145" s="39" t="s">
        <v>90</v>
      </c>
      <c r="J1145" s="39"/>
      <c r="K1145" s="39"/>
      <c r="L1145" s="39">
        <f t="shared" si="754"/>
        <v>0</v>
      </c>
      <c r="M1145" s="117">
        <v>46266</v>
      </c>
      <c r="N1145" s="117">
        <v>46278</v>
      </c>
      <c r="O1145" s="39"/>
      <c r="P1145" s="39"/>
      <c r="Q1145" s="39"/>
      <c r="R1145" s="39">
        <f t="shared" si="756"/>
        <v>0</v>
      </c>
      <c r="S1145" s="39" t="s">
        <v>130</v>
      </c>
      <c r="T1145" s="39"/>
      <c r="U1145" s="39"/>
      <c r="V1145" s="39"/>
      <c r="W1145" s="39"/>
      <c r="X1145" s="39"/>
      <c r="Y1145" s="39"/>
      <c r="Z1145" s="39"/>
      <c r="AA1145" s="39"/>
      <c r="AB1145" s="39">
        <f t="shared" si="753"/>
        <v>0</v>
      </c>
      <c r="AC1145" s="39"/>
      <c r="AD1145" s="39"/>
      <c r="AE1145" s="39"/>
      <c r="AF1145" s="39"/>
      <c r="AG1145" s="39"/>
      <c r="AH1145" s="39">
        <f t="shared" si="745"/>
        <v>0</v>
      </c>
      <c r="AI1145" s="39"/>
      <c r="AJ1145" s="39"/>
      <c r="AK1145" s="39"/>
      <c r="AL1145" s="39"/>
      <c r="AM1145" s="39"/>
      <c r="AN1145" s="39">
        <f t="shared" si="744"/>
        <v>0</v>
      </c>
      <c r="AO1145" s="39"/>
      <c r="AP1145" s="39"/>
      <c r="AQ1145" s="39"/>
      <c r="AR1145" s="39"/>
      <c r="AS1145" s="39"/>
      <c r="AT1145" s="39">
        <f t="shared" si="659"/>
        <v>0</v>
      </c>
      <c r="AU1145" s="39"/>
      <c r="AV1145" s="39"/>
      <c r="AW1145" s="39"/>
      <c r="AX1145" s="39"/>
      <c r="AY1145" s="39"/>
      <c r="AZ1145" s="39">
        <f t="shared" si="660"/>
        <v>0</v>
      </c>
      <c r="BA1145" s="39"/>
      <c r="BB1145" s="39"/>
      <c r="BC1145" s="39"/>
      <c r="BD1145" s="39"/>
      <c r="BE1145" s="39"/>
      <c r="BF1145" s="39">
        <f t="shared" si="661"/>
        <v>0</v>
      </c>
      <c r="BG1145" s="39"/>
      <c r="BH1145" s="39"/>
      <c r="BI1145" s="39"/>
      <c r="BJ1145" s="39"/>
      <c r="BK1145" s="39"/>
      <c r="BL1145" s="39">
        <f t="shared" si="746"/>
        <v>0</v>
      </c>
      <c r="BM1145" s="54" t="e">
        <f t="shared" si="662"/>
        <v>#DIV/0!</v>
      </c>
      <c r="BN1145" s="66">
        <v>46280</v>
      </c>
      <c r="BO1145" s="117">
        <v>46299</v>
      </c>
      <c r="BP1145" s="39"/>
      <c r="BQ1145" s="39"/>
      <c r="BR1145" s="39"/>
      <c r="BS1145" s="39"/>
      <c r="BT1145" s="39"/>
      <c r="BU1145" s="39"/>
      <c r="BV1145" s="39"/>
      <c r="BW1145" s="39"/>
      <c r="BX1145" s="39"/>
      <c r="BY1145" s="39"/>
      <c r="BZ1145" s="39">
        <f t="shared" si="747"/>
        <v>0</v>
      </c>
      <c r="CA1145" s="39" t="e">
        <f t="shared" si="663"/>
        <v>#VALUE!</v>
      </c>
      <c r="CB1145" s="39">
        <f t="shared" si="664"/>
        <v>0</v>
      </c>
      <c r="CC1145" s="39">
        <f t="shared" si="665"/>
        <v>0</v>
      </c>
      <c r="CD1145" s="39">
        <f t="shared" si="748"/>
        <v>0</v>
      </c>
      <c r="CE1145" s="102" t="e">
        <f t="shared" si="666"/>
        <v>#DIV/0!</v>
      </c>
      <c r="CF1145" s="36"/>
      <c r="CG1145" s="39" t="s">
        <v>235</v>
      </c>
      <c r="CH1145" s="39"/>
      <c r="CI1145" s="25">
        <v>2</v>
      </c>
    </row>
    <row r="1146" spans="1:87" ht="24.75" customHeight="1">
      <c r="A1146" s="36" t="s">
        <v>303</v>
      </c>
      <c r="B1146" s="55">
        <v>48563</v>
      </c>
      <c r="C1146" s="227" t="s">
        <v>2646</v>
      </c>
      <c r="D1146" s="36"/>
      <c r="E1146" s="39">
        <v>340</v>
      </c>
      <c r="F1146" s="39" t="s">
        <v>63</v>
      </c>
      <c r="G1146" s="36" t="s">
        <v>2645</v>
      </c>
      <c r="H1146" s="36" t="s">
        <v>212</v>
      </c>
      <c r="I1146" s="39">
        <v>344</v>
      </c>
      <c r="J1146" s="39">
        <v>27</v>
      </c>
      <c r="K1146" s="39"/>
      <c r="L1146" s="39">
        <f t="shared" si="754"/>
        <v>371</v>
      </c>
      <c r="M1146" s="117">
        <v>46266</v>
      </c>
      <c r="N1146" s="117">
        <v>46275</v>
      </c>
      <c r="O1146" s="39"/>
      <c r="P1146" s="39"/>
      <c r="Q1146" s="39"/>
      <c r="R1146" s="39">
        <f t="shared" si="756"/>
        <v>0</v>
      </c>
      <c r="S1146" s="39" t="s">
        <v>130</v>
      </c>
      <c r="T1146" s="39"/>
      <c r="U1146" s="39"/>
      <c r="V1146" s="39"/>
      <c r="W1146" s="39"/>
      <c r="X1146" s="39"/>
      <c r="Y1146" s="39"/>
      <c r="Z1146" s="39"/>
      <c r="AA1146" s="39"/>
      <c r="AB1146" s="118">
        <f t="shared" si="753"/>
        <v>0</v>
      </c>
      <c r="AC1146" s="39"/>
      <c r="AD1146" s="39"/>
      <c r="AE1146" s="39"/>
      <c r="AF1146" s="39"/>
      <c r="AG1146" s="39"/>
      <c r="AH1146" s="39">
        <f t="shared" si="745"/>
        <v>0</v>
      </c>
      <c r="AI1146" s="39"/>
      <c r="AJ1146" s="39"/>
      <c r="AK1146" s="39"/>
      <c r="AL1146" s="39"/>
      <c r="AM1146" s="39"/>
      <c r="AN1146" s="39">
        <f t="shared" si="744"/>
        <v>0</v>
      </c>
      <c r="AO1146" s="39"/>
      <c r="AP1146" s="39"/>
      <c r="AQ1146" s="39"/>
      <c r="AR1146" s="39"/>
      <c r="AS1146" s="39"/>
      <c r="AT1146" s="39">
        <f t="shared" si="659"/>
        <v>0</v>
      </c>
      <c r="AU1146" s="39"/>
      <c r="AV1146" s="39"/>
      <c r="AW1146" s="39"/>
      <c r="AX1146" s="39"/>
      <c r="AY1146" s="39"/>
      <c r="AZ1146" s="39">
        <f t="shared" si="660"/>
        <v>0</v>
      </c>
      <c r="BA1146" s="39"/>
      <c r="BB1146" s="39"/>
      <c r="BC1146" s="39"/>
      <c r="BD1146" s="39"/>
      <c r="BE1146" s="39"/>
      <c r="BF1146" s="39">
        <f t="shared" si="661"/>
        <v>0</v>
      </c>
      <c r="BG1146" s="39"/>
      <c r="BH1146" s="39"/>
      <c r="BI1146" s="39"/>
      <c r="BJ1146" s="39"/>
      <c r="BK1146" s="39"/>
      <c r="BL1146" s="39">
        <f t="shared" si="746"/>
        <v>0</v>
      </c>
      <c r="BM1146" s="54">
        <f t="shared" ca="1" si="662"/>
        <v>46283</v>
      </c>
      <c r="BN1146" s="66">
        <v>46278</v>
      </c>
      <c r="BO1146" s="117">
        <v>46295</v>
      </c>
      <c r="BP1146" s="39"/>
      <c r="BQ1146" s="39"/>
      <c r="BR1146" s="39"/>
      <c r="BS1146" s="39"/>
      <c r="BT1146" s="39"/>
      <c r="BU1146" s="39"/>
      <c r="BV1146" s="39"/>
      <c r="BW1146" s="39"/>
      <c r="BX1146" s="39"/>
      <c r="BY1146" s="39"/>
      <c r="BZ1146" s="39">
        <f t="shared" si="747"/>
        <v>0</v>
      </c>
      <c r="CA1146" s="39">
        <f t="shared" si="663"/>
        <v>-344</v>
      </c>
      <c r="CB1146" s="39">
        <f t="shared" si="664"/>
        <v>-27</v>
      </c>
      <c r="CC1146" s="39">
        <f t="shared" si="665"/>
        <v>0</v>
      </c>
      <c r="CD1146" s="39">
        <f t="shared" si="748"/>
        <v>-371</v>
      </c>
      <c r="CE1146" s="102">
        <f t="shared" si="666"/>
        <v>-1</v>
      </c>
      <c r="CF1146" s="36"/>
      <c r="CG1146" s="39" t="s">
        <v>235</v>
      </c>
      <c r="CH1146" s="39"/>
      <c r="CI1146" s="25">
        <v>2</v>
      </c>
    </row>
    <row r="1147" spans="1:87" ht="24.75" customHeight="1">
      <c r="A1147" s="36" t="s">
        <v>303</v>
      </c>
      <c r="B1147" s="55">
        <v>48563</v>
      </c>
      <c r="C1147" s="231"/>
      <c r="D1147" s="36"/>
      <c r="E1147" s="39">
        <v>340</v>
      </c>
      <c r="F1147" s="39" t="s">
        <v>63</v>
      </c>
      <c r="G1147" s="36" t="s">
        <v>784</v>
      </c>
      <c r="H1147" s="36" t="s">
        <v>212</v>
      </c>
      <c r="I1147" s="39">
        <v>344</v>
      </c>
      <c r="J1147" s="39">
        <v>27</v>
      </c>
      <c r="K1147" s="39"/>
      <c r="L1147" s="39">
        <f t="shared" si="754"/>
        <v>371</v>
      </c>
      <c r="M1147" s="117">
        <v>46266</v>
      </c>
      <c r="N1147" s="117">
        <v>46275</v>
      </c>
      <c r="O1147" s="39"/>
      <c r="P1147" s="39"/>
      <c r="Q1147" s="39"/>
      <c r="R1147" s="39">
        <f t="shared" si="756"/>
        <v>0</v>
      </c>
      <c r="S1147" s="39" t="s">
        <v>130</v>
      </c>
      <c r="T1147" s="39"/>
      <c r="U1147" s="39"/>
      <c r="V1147" s="39"/>
      <c r="W1147" s="39"/>
      <c r="X1147" s="39"/>
      <c r="Y1147" s="39"/>
      <c r="Z1147" s="39"/>
      <c r="AA1147" s="39"/>
      <c r="AB1147" s="118">
        <f t="shared" si="753"/>
        <v>0</v>
      </c>
      <c r="AC1147" s="39"/>
      <c r="AD1147" s="39"/>
      <c r="AE1147" s="39"/>
      <c r="AF1147" s="39"/>
      <c r="AG1147" s="39"/>
      <c r="AH1147" s="39">
        <f t="shared" si="745"/>
        <v>0</v>
      </c>
      <c r="AI1147" s="39"/>
      <c r="AJ1147" s="39"/>
      <c r="AK1147" s="39"/>
      <c r="AL1147" s="39"/>
      <c r="AM1147" s="39"/>
      <c r="AN1147" s="39">
        <f t="shared" si="744"/>
        <v>0</v>
      </c>
      <c r="AO1147" s="39"/>
      <c r="AP1147" s="39"/>
      <c r="AQ1147" s="39"/>
      <c r="AR1147" s="39"/>
      <c r="AS1147" s="39"/>
      <c r="AT1147" s="39">
        <f t="shared" si="659"/>
        <v>0</v>
      </c>
      <c r="AU1147" s="39"/>
      <c r="AV1147" s="39"/>
      <c r="AW1147" s="39"/>
      <c r="AX1147" s="39"/>
      <c r="AY1147" s="39"/>
      <c r="AZ1147" s="39">
        <f t="shared" si="660"/>
        <v>0</v>
      </c>
      <c r="BA1147" s="39"/>
      <c r="BB1147" s="39"/>
      <c r="BC1147" s="39"/>
      <c r="BD1147" s="39"/>
      <c r="BE1147" s="39"/>
      <c r="BF1147" s="39">
        <f t="shared" si="661"/>
        <v>0</v>
      </c>
      <c r="BG1147" s="39"/>
      <c r="BH1147" s="39"/>
      <c r="BI1147" s="39"/>
      <c r="BJ1147" s="39"/>
      <c r="BK1147" s="39"/>
      <c r="BL1147" s="39">
        <f t="shared" si="746"/>
        <v>0</v>
      </c>
      <c r="BM1147" s="54">
        <f t="shared" ca="1" si="662"/>
        <v>46283</v>
      </c>
      <c r="BN1147" s="66">
        <v>46278</v>
      </c>
      <c r="BO1147" s="117">
        <v>46295</v>
      </c>
      <c r="BP1147" s="39"/>
      <c r="BQ1147" s="39"/>
      <c r="BR1147" s="39"/>
      <c r="BS1147" s="39"/>
      <c r="BT1147" s="39"/>
      <c r="BU1147" s="39"/>
      <c r="BV1147" s="39"/>
      <c r="BW1147" s="39"/>
      <c r="BX1147" s="39"/>
      <c r="BY1147" s="39"/>
      <c r="BZ1147" s="39">
        <f t="shared" si="747"/>
        <v>0</v>
      </c>
      <c r="CA1147" s="39">
        <f t="shared" si="663"/>
        <v>-344</v>
      </c>
      <c r="CB1147" s="39">
        <f t="shared" si="664"/>
        <v>-27</v>
      </c>
      <c r="CC1147" s="39">
        <f t="shared" si="665"/>
        <v>0</v>
      </c>
      <c r="CD1147" s="39">
        <f t="shared" si="748"/>
        <v>-371</v>
      </c>
      <c r="CE1147" s="102">
        <f t="shared" si="666"/>
        <v>-1</v>
      </c>
      <c r="CF1147" s="36"/>
      <c r="CG1147" s="39" t="s">
        <v>235</v>
      </c>
      <c r="CH1147" s="39"/>
      <c r="CI1147" s="25">
        <v>2</v>
      </c>
    </row>
    <row r="1148" spans="1:87" ht="24.75" customHeight="1">
      <c r="A1148" s="36" t="s">
        <v>303</v>
      </c>
      <c r="B1148" s="55">
        <v>48563</v>
      </c>
      <c r="C1148" s="231"/>
      <c r="D1148" s="36"/>
      <c r="E1148" s="39"/>
      <c r="F1148" s="39"/>
      <c r="G1148" s="36" t="s">
        <v>329</v>
      </c>
      <c r="H1148" s="36">
        <f>3000+3800</f>
        <v>6800</v>
      </c>
      <c r="I1148" s="39" t="s">
        <v>90</v>
      </c>
      <c r="J1148" s="39"/>
      <c r="K1148" s="39"/>
      <c r="L1148" s="39">
        <f t="shared" si="754"/>
        <v>0</v>
      </c>
      <c r="M1148" s="117">
        <v>46266</v>
      </c>
      <c r="N1148" s="117">
        <v>46275</v>
      </c>
      <c r="O1148" s="39"/>
      <c r="P1148" s="39"/>
      <c r="Q1148" s="39"/>
      <c r="R1148" s="39">
        <f t="shared" si="756"/>
        <v>0</v>
      </c>
      <c r="S1148" s="39" t="s">
        <v>130</v>
      </c>
      <c r="T1148" s="39"/>
      <c r="U1148" s="39"/>
      <c r="V1148" s="39"/>
      <c r="W1148" s="39"/>
      <c r="X1148" s="39"/>
      <c r="Y1148" s="39"/>
      <c r="Z1148" s="39"/>
      <c r="AA1148" s="39"/>
      <c r="AB1148" s="39">
        <f t="shared" si="753"/>
        <v>0</v>
      </c>
      <c r="AC1148" s="39"/>
      <c r="AD1148" s="39"/>
      <c r="AE1148" s="39"/>
      <c r="AF1148" s="39"/>
      <c r="AG1148" s="39"/>
      <c r="AH1148" s="39">
        <f t="shared" si="745"/>
        <v>0</v>
      </c>
      <c r="AI1148" s="39"/>
      <c r="AJ1148" s="39"/>
      <c r="AK1148" s="39"/>
      <c r="AL1148" s="39"/>
      <c r="AM1148" s="39"/>
      <c r="AN1148" s="39">
        <f t="shared" si="744"/>
        <v>0</v>
      </c>
      <c r="AO1148" s="39"/>
      <c r="AP1148" s="39"/>
      <c r="AQ1148" s="39"/>
      <c r="AR1148" s="39"/>
      <c r="AS1148" s="39"/>
      <c r="AT1148" s="39">
        <f t="shared" si="659"/>
        <v>0</v>
      </c>
      <c r="AU1148" s="39"/>
      <c r="AV1148" s="39"/>
      <c r="AW1148" s="39"/>
      <c r="AX1148" s="39"/>
      <c r="AY1148" s="39"/>
      <c r="AZ1148" s="39">
        <f t="shared" si="660"/>
        <v>0</v>
      </c>
      <c r="BA1148" s="39"/>
      <c r="BB1148" s="39"/>
      <c r="BC1148" s="39"/>
      <c r="BD1148" s="39"/>
      <c r="BE1148" s="39"/>
      <c r="BF1148" s="39">
        <f t="shared" si="661"/>
        <v>0</v>
      </c>
      <c r="BG1148" s="39"/>
      <c r="BH1148" s="39"/>
      <c r="BI1148" s="39"/>
      <c r="BJ1148" s="39"/>
      <c r="BK1148" s="39"/>
      <c r="BL1148" s="39">
        <f t="shared" si="746"/>
        <v>0</v>
      </c>
      <c r="BM1148" s="54" t="e">
        <f t="shared" si="662"/>
        <v>#DIV/0!</v>
      </c>
      <c r="BN1148" s="66">
        <v>46278</v>
      </c>
      <c r="BO1148" s="117">
        <v>46295</v>
      </c>
      <c r="BP1148" s="39"/>
      <c r="BQ1148" s="39"/>
      <c r="BR1148" s="39"/>
      <c r="BS1148" s="39"/>
      <c r="BT1148" s="39"/>
      <c r="BU1148" s="39"/>
      <c r="BV1148" s="39"/>
      <c r="BW1148" s="39"/>
      <c r="BX1148" s="39"/>
      <c r="BY1148" s="39"/>
      <c r="BZ1148" s="39">
        <f t="shared" si="747"/>
        <v>0</v>
      </c>
      <c r="CA1148" s="39" t="e">
        <f t="shared" si="663"/>
        <v>#VALUE!</v>
      </c>
      <c r="CB1148" s="39">
        <f t="shared" si="664"/>
        <v>0</v>
      </c>
      <c r="CC1148" s="39">
        <f t="shared" si="665"/>
        <v>0</v>
      </c>
      <c r="CD1148" s="39">
        <f t="shared" si="748"/>
        <v>0</v>
      </c>
      <c r="CE1148" s="102" t="e">
        <f t="shared" si="666"/>
        <v>#DIV/0!</v>
      </c>
      <c r="CF1148" s="36"/>
      <c r="CG1148" s="39" t="s">
        <v>235</v>
      </c>
      <c r="CH1148" s="39"/>
      <c r="CI1148" s="25">
        <v>2</v>
      </c>
    </row>
    <row r="1149" spans="1:87" ht="24.75" customHeight="1">
      <c r="A1149" s="36" t="s">
        <v>303</v>
      </c>
      <c r="B1149" s="55">
        <v>48563</v>
      </c>
      <c r="C1149" s="228"/>
      <c r="D1149" s="36"/>
      <c r="E1149" s="39"/>
      <c r="F1149" s="39"/>
      <c r="G1149" s="36" t="s">
        <v>944</v>
      </c>
      <c r="H1149" s="36">
        <f>900+900+900</f>
        <v>2700</v>
      </c>
      <c r="I1149" s="39" t="s">
        <v>90</v>
      </c>
      <c r="J1149" s="39"/>
      <c r="K1149" s="39"/>
      <c r="L1149" s="39">
        <f t="shared" si="754"/>
        <v>0</v>
      </c>
      <c r="M1149" s="117">
        <v>46266</v>
      </c>
      <c r="N1149" s="117">
        <v>46275</v>
      </c>
      <c r="O1149" s="39"/>
      <c r="P1149" s="39"/>
      <c r="Q1149" s="39"/>
      <c r="R1149" s="39">
        <f t="shared" si="756"/>
        <v>0</v>
      </c>
      <c r="S1149" s="39" t="s">
        <v>130</v>
      </c>
      <c r="T1149" s="39"/>
      <c r="U1149" s="39"/>
      <c r="V1149" s="39"/>
      <c r="W1149" s="39"/>
      <c r="X1149" s="39"/>
      <c r="Y1149" s="39"/>
      <c r="Z1149" s="39"/>
      <c r="AA1149" s="39"/>
      <c r="AB1149" s="39">
        <f t="shared" si="753"/>
        <v>0</v>
      </c>
      <c r="AC1149" s="39"/>
      <c r="AD1149" s="39"/>
      <c r="AE1149" s="39"/>
      <c r="AF1149" s="39"/>
      <c r="AG1149" s="39"/>
      <c r="AH1149" s="39">
        <f t="shared" si="745"/>
        <v>0</v>
      </c>
      <c r="AI1149" s="39"/>
      <c r="AJ1149" s="39"/>
      <c r="AK1149" s="39"/>
      <c r="AL1149" s="39"/>
      <c r="AM1149" s="39"/>
      <c r="AN1149" s="39">
        <f t="shared" si="744"/>
        <v>0</v>
      </c>
      <c r="AO1149" s="39"/>
      <c r="AP1149" s="39"/>
      <c r="AQ1149" s="39"/>
      <c r="AR1149" s="39"/>
      <c r="AS1149" s="39"/>
      <c r="AT1149" s="39">
        <f t="shared" si="659"/>
        <v>0</v>
      </c>
      <c r="AU1149" s="39"/>
      <c r="AV1149" s="39"/>
      <c r="AW1149" s="39"/>
      <c r="AX1149" s="39"/>
      <c r="AY1149" s="39"/>
      <c r="AZ1149" s="39">
        <f t="shared" si="660"/>
        <v>0</v>
      </c>
      <c r="BA1149" s="39"/>
      <c r="BB1149" s="39"/>
      <c r="BC1149" s="39"/>
      <c r="BD1149" s="39"/>
      <c r="BE1149" s="39"/>
      <c r="BF1149" s="39">
        <f t="shared" si="661"/>
        <v>0</v>
      </c>
      <c r="BG1149" s="39"/>
      <c r="BH1149" s="39"/>
      <c r="BI1149" s="39"/>
      <c r="BJ1149" s="39"/>
      <c r="BK1149" s="39"/>
      <c r="BL1149" s="39">
        <f t="shared" si="746"/>
        <v>0</v>
      </c>
      <c r="BM1149" s="54" t="e">
        <f t="shared" si="662"/>
        <v>#DIV/0!</v>
      </c>
      <c r="BN1149" s="66">
        <v>46278</v>
      </c>
      <c r="BO1149" s="117">
        <v>46295</v>
      </c>
      <c r="BP1149" s="39"/>
      <c r="BQ1149" s="39"/>
      <c r="BR1149" s="39"/>
      <c r="BS1149" s="39"/>
      <c r="BT1149" s="39"/>
      <c r="BU1149" s="39"/>
      <c r="BV1149" s="39"/>
      <c r="BW1149" s="39"/>
      <c r="BX1149" s="39"/>
      <c r="BY1149" s="39"/>
      <c r="BZ1149" s="39">
        <f t="shared" si="747"/>
        <v>0</v>
      </c>
      <c r="CA1149" s="39" t="e">
        <f t="shared" si="663"/>
        <v>#VALUE!</v>
      </c>
      <c r="CB1149" s="39">
        <f t="shared" si="664"/>
        <v>0</v>
      </c>
      <c r="CC1149" s="39">
        <f t="shared" si="665"/>
        <v>0</v>
      </c>
      <c r="CD1149" s="39">
        <f t="shared" si="748"/>
        <v>0</v>
      </c>
      <c r="CE1149" s="102" t="e">
        <f t="shared" si="666"/>
        <v>#DIV/0!</v>
      </c>
      <c r="CF1149" s="36"/>
      <c r="CG1149" s="39" t="s">
        <v>235</v>
      </c>
      <c r="CH1149" s="39"/>
      <c r="CI1149" s="25">
        <v>2</v>
      </c>
    </row>
    <row r="1150" spans="1:87" ht="24.75" customHeight="1">
      <c r="A1150" s="36" t="s">
        <v>303</v>
      </c>
      <c r="B1150" s="55">
        <v>48559</v>
      </c>
      <c r="C1150" s="227" t="s">
        <v>2366</v>
      </c>
      <c r="D1150" s="36"/>
      <c r="E1150" s="39">
        <v>320</v>
      </c>
      <c r="F1150" s="156" t="s">
        <v>62</v>
      </c>
      <c r="G1150" s="36" t="s">
        <v>2063</v>
      </c>
      <c r="H1150" s="36" t="s">
        <v>2367</v>
      </c>
      <c r="I1150" s="39">
        <v>406</v>
      </c>
      <c r="J1150" s="39"/>
      <c r="K1150" s="39">
        <v>12</v>
      </c>
      <c r="L1150" s="39">
        <f t="shared" si="754"/>
        <v>418</v>
      </c>
      <c r="M1150" s="117">
        <v>46270</v>
      </c>
      <c r="N1150" s="117">
        <v>46280</v>
      </c>
      <c r="O1150" s="39"/>
      <c r="P1150" s="39"/>
      <c r="Q1150" s="39"/>
      <c r="R1150" s="39">
        <f t="shared" si="756"/>
        <v>0</v>
      </c>
      <c r="S1150" s="39" t="s">
        <v>130</v>
      </c>
      <c r="T1150" s="39"/>
      <c r="U1150" s="39"/>
      <c r="V1150" s="39"/>
      <c r="W1150" s="39"/>
      <c r="X1150" s="39"/>
      <c r="Y1150" s="39"/>
      <c r="Z1150" s="39"/>
      <c r="AA1150" s="39"/>
      <c r="AB1150" s="118">
        <f t="shared" si="753"/>
        <v>0</v>
      </c>
      <c r="AC1150" s="39"/>
      <c r="AD1150" s="39"/>
      <c r="AE1150" s="39"/>
      <c r="AF1150" s="39"/>
      <c r="AG1150" s="39"/>
      <c r="AH1150" s="39">
        <f t="shared" si="745"/>
        <v>0</v>
      </c>
      <c r="AI1150" s="39"/>
      <c r="AJ1150" s="39"/>
      <c r="AK1150" s="39"/>
      <c r="AL1150" s="39"/>
      <c r="AM1150" s="39"/>
      <c r="AN1150" s="39">
        <f t="shared" si="744"/>
        <v>0</v>
      </c>
      <c r="AO1150" s="39"/>
      <c r="AP1150" s="39"/>
      <c r="AQ1150" s="39"/>
      <c r="AR1150" s="39"/>
      <c r="AS1150" s="39"/>
      <c r="AT1150" s="39">
        <f t="shared" si="659"/>
        <v>0</v>
      </c>
      <c r="AU1150" s="39"/>
      <c r="AV1150" s="39"/>
      <c r="AW1150" s="39"/>
      <c r="AX1150" s="39"/>
      <c r="AY1150" s="39"/>
      <c r="AZ1150" s="39">
        <f t="shared" si="660"/>
        <v>0</v>
      </c>
      <c r="BA1150" s="39"/>
      <c r="BB1150" s="39"/>
      <c r="BC1150" s="39"/>
      <c r="BD1150" s="39"/>
      <c r="BE1150" s="39"/>
      <c r="BF1150" s="39">
        <f t="shared" si="661"/>
        <v>0</v>
      </c>
      <c r="BG1150" s="39"/>
      <c r="BH1150" s="39"/>
      <c r="BI1150" s="39"/>
      <c r="BJ1150" s="39"/>
      <c r="BK1150" s="39"/>
      <c r="BL1150" s="39">
        <f t="shared" si="746"/>
        <v>0</v>
      </c>
      <c r="BM1150" s="54">
        <f t="shared" ca="1" si="662"/>
        <v>46283</v>
      </c>
      <c r="BN1150" s="66">
        <v>46285</v>
      </c>
      <c r="BO1150" s="117">
        <v>46300</v>
      </c>
      <c r="BP1150" s="39"/>
      <c r="BQ1150" s="39"/>
      <c r="BR1150" s="39"/>
      <c r="BS1150" s="39"/>
      <c r="BT1150" s="39"/>
      <c r="BU1150" s="39"/>
      <c r="BV1150" s="39"/>
      <c r="BW1150" s="39"/>
      <c r="BX1150" s="39"/>
      <c r="BY1150" s="39"/>
      <c r="BZ1150" s="39">
        <f t="shared" si="747"/>
        <v>0</v>
      </c>
      <c r="CA1150" s="39">
        <f t="shared" si="663"/>
        <v>-406</v>
      </c>
      <c r="CB1150" s="39">
        <f t="shared" si="664"/>
        <v>0</v>
      </c>
      <c r="CC1150" s="39">
        <f t="shared" si="665"/>
        <v>-12</v>
      </c>
      <c r="CD1150" s="39">
        <f t="shared" si="748"/>
        <v>-418</v>
      </c>
      <c r="CE1150" s="102">
        <f t="shared" si="666"/>
        <v>-1</v>
      </c>
      <c r="CF1150" s="36"/>
      <c r="CG1150" s="39" t="s">
        <v>235</v>
      </c>
      <c r="CH1150" s="39"/>
      <c r="CI1150" s="25">
        <v>2</v>
      </c>
    </row>
    <row r="1151" spans="1:87" ht="24.75" customHeight="1">
      <c r="A1151" s="36" t="s">
        <v>303</v>
      </c>
      <c r="B1151" s="55">
        <v>48559</v>
      </c>
      <c r="C1151" s="231"/>
      <c r="D1151" s="36"/>
      <c r="E1151" s="39">
        <v>320</v>
      </c>
      <c r="F1151" s="156" t="s">
        <v>62</v>
      </c>
      <c r="G1151" s="36" t="s">
        <v>922</v>
      </c>
      <c r="H1151" s="36" t="s">
        <v>2367</v>
      </c>
      <c r="I1151" s="39">
        <v>340</v>
      </c>
      <c r="J1151" s="39"/>
      <c r="K1151" s="39">
        <v>11</v>
      </c>
      <c r="L1151" s="39">
        <f t="shared" si="754"/>
        <v>351</v>
      </c>
      <c r="M1151" s="117">
        <v>46270</v>
      </c>
      <c r="N1151" s="117">
        <v>46280</v>
      </c>
      <c r="O1151" s="39"/>
      <c r="P1151" s="39"/>
      <c r="Q1151" s="39"/>
      <c r="R1151" s="39">
        <f t="shared" si="756"/>
        <v>0</v>
      </c>
      <c r="S1151" s="39" t="s">
        <v>130</v>
      </c>
      <c r="T1151" s="39"/>
      <c r="U1151" s="39"/>
      <c r="V1151" s="39"/>
      <c r="W1151" s="39"/>
      <c r="X1151" s="39"/>
      <c r="Y1151" s="39"/>
      <c r="Z1151" s="39"/>
      <c r="AA1151" s="39"/>
      <c r="AB1151" s="118">
        <f t="shared" si="753"/>
        <v>0</v>
      </c>
      <c r="AC1151" s="39"/>
      <c r="AD1151" s="39"/>
      <c r="AE1151" s="39"/>
      <c r="AF1151" s="39"/>
      <c r="AG1151" s="39"/>
      <c r="AH1151" s="39">
        <f t="shared" si="745"/>
        <v>0</v>
      </c>
      <c r="AI1151" s="39"/>
      <c r="AJ1151" s="39"/>
      <c r="AK1151" s="39"/>
      <c r="AL1151" s="39"/>
      <c r="AM1151" s="39"/>
      <c r="AN1151" s="39">
        <f t="shared" si="744"/>
        <v>0</v>
      </c>
      <c r="AO1151" s="39"/>
      <c r="AP1151" s="39"/>
      <c r="AQ1151" s="39"/>
      <c r="AR1151" s="39"/>
      <c r="AS1151" s="39"/>
      <c r="AT1151" s="39">
        <f t="shared" si="659"/>
        <v>0</v>
      </c>
      <c r="AU1151" s="39"/>
      <c r="AV1151" s="39"/>
      <c r="AW1151" s="39"/>
      <c r="AX1151" s="39"/>
      <c r="AY1151" s="39"/>
      <c r="AZ1151" s="39">
        <f t="shared" si="660"/>
        <v>0</v>
      </c>
      <c r="BA1151" s="39"/>
      <c r="BB1151" s="39"/>
      <c r="BC1151" s="39"/>
      <c r="BD1151" s="39"/>
      <c r="BE1151" s="39"/>
      <c r="BF1151" s="39">
        <f t="shared" si="661"/>
        <v>0</v>
      </c>
      <c r="BG1151" s="39"/>
      <c r="BH1151" s="39"/>
      <c r="BI1151" s="39"/>
      <c r="BJ1151" s="39"/>
      <c r="BK1151" s="39"/>
      <c r="BL1151" s="39">
        <f t="shared" si="746"/>
        <v>0</v>
      </c>
      <c r="BM1151" s="54">
        <f t="shared" ca="1" si="662"/>
        <v>46283</v>
      </c>
      <c r="BN1151" s="66">
        <v>46285</v>
      </c>
      <c r="BO1151" s="117">
        <v>46300</v>
      </c>
      <c r="BP1151" s="39"/>
      <c r="BQ1151" s="39"/>
      <c r="BR1151" s="39"/>
      <c r="BS1151" s="39"/>
      <c r="BT1151" s="39"/>
      <c r="BU1151" s="39"/>
      <c r="BV1151" s="39"/>
      <c r="BW1151" s="39"/>
      <c r="BX1151" s="39"/>
      <c r="BY1151" s="39"/>
      <c r="BZ1151" s="39">
        <f t="shared" si="747"/>
        <v>0</v>
      </c>
      <c r="CA1151" s="39">
        <f t="shared" si="663"/>
        <v>-340</v>
      </c>
      <c r="CB1151" s="39">
        <f t="shared" si="664"/>
        <v>0</v>
      </c>
      <c r="CC1151" s="39">
        <f t="shared" si="665"/>
        <v>-11</v>
      </c>
      <c r="CD1151" s="39">
        <f t="shared" si="748"/>
        <v>-351</v>
      </c>
      <c r="CE1151" s="102">
        <f t="shared" si="666"/>
        <v>-1</v>
      </c>
      <c r="CF1151" s="36"/>
      <c r="CG1151" s="39" t="s">
        <v>235</v>
      </c>
      <c r="CH1151" s="39"/>
      <c r="CI1151" s="25">
        <v>2</v>
      </c>
    </row>
    <row r="1152" spans="1:87" ht="24.75" customHeight="1">
      <c r="A1152" s="36" t="s">
        <v>303</v>
      </c>
      <c r="B1152" s="55">
        <v>48559</v>
      </c>
      <c r="C1152" s="231"/>
      <c r="D1152" s="36"/>
      <c r="E1152" s="39">
        <v>320</v>
      </c>
      <c r="F1152" s="156" t="s">
        <v>62</v>
      </c>
      <c r="G1152" s="36" t="s">
        <v>547</v>
      </c>
      <c r="H1152" s="36" t="s">
        <v>2367</v>
      </c>
      <c r="I1152" s="39">
        <v>274</v>
      </c>
      <c r="J1152" s="39"/>
      <c r="K1152" s="39">
        <v>9</v>
      </c>
      <c r="L1152" s="39">
        <f t="shared" si="754"/>
        <v>283</v>
      </c>
      <c r="M1152" s="117">
        <v>46270</v>
      </c>
      <c r="N1152" s="117">
        <v>46280</v>
      </c>
      <c r="O1152" s="39"/>
      <c r="P1152" s="39"/>
      <c r="Q1152" s="39"/>
      <c r="R1152" s="39">
        <f t="shared" si="756"/>
        <v>0</v>
      </c>
      <c r="S1152" s="39" t="s">
        <v>130</v>
      </c>
      <c r="T1152" s="39"/>
      <c r="U1152" s="39"/>
      <c r="V1152" s="39"/>
      <c r="W1152" s="39"/>
      <c r="X1152" s="39"/>
      <c r="Y1152" s="39"/>
      <c r="Z1152" s="39"/>
      <c r="AA1152" s="39"/>
      <c r="AB1152" s="118">
        <f t="shared" si="753"/>
        <v>0</v>
      </c>
      <c r="AC1152" s="39"/>
      <c r="AD1152" s="39"/>
      <c r="AE1152" s="39"/>
      <c r="AF1152" s="39"/>
      <c r="AG1152" s="39"/>
      <c r="AH1152" s="39">
        <f t="shared" si="745"/>
        <v>0</v>
      </c>
      <c r="AI1152" s="39"/>
      <c r="AJ1152" s="39"/>
      <c r="AK1152" s="39"/>
      <c r="AL1152" s="39"/>
      <c r="AM1152" s="39"/>
      <c r="AN1152" s="39">
        <f t="shared" si="744"/>
        <v>0</v>
      </c>
      <c r="AO1152" s="39"/>
      <c r="AP1152" s="39"/>
      <c r="AQ1152" s="39"/>
      <c r="AR1152" s="39"/>
      <c r="AS1152" s="39"/>
      <c r="AT1152" s="39">
        <f t="shared" si="659"/>
        <v>0</v>
      </c>
      <c r="AU1152" s="39"/>
      <c r="AV1152" s="39"/>
      <c r="AW1152" s="39"/>
      <c r="AX1152" s="39"/>
      <c r="AY1152" s="39"/>
      <c r="AZ1152" s="39">
        <f t="shared" si="660"/>
        <v>0</v>
      </c>
      <c r="BA1152" s="39"/>
      <c r="BB1152" s="39"/>
      <c r="BC1152" s="39"/>
      <c r="BD1152" s="39"/>
      <c r="BE1152" s="39"/>
      <c r="BF1152" s="39">
        <f t="shared" si="661"/>
        <v>0</v>
      </c>
      <c r="BG1152" s="39"/>
      <c r="BH1152" s="39"/>
      <c r="BI1152" s="39"/>
      <c r="BJ1152" s="39"/>
      <c r="BK1152" s="39"/>
      <c r="BL1152" s="39">
        <f t="shared" si="746"/>
        <v>0</v>
      </c>
      <c r="BM1152" s="54">
        <f t="shared" ca="1" si="662"/>
        <v>46283</v>
      </c>
      <c r="BN1152" s="66">
        <v>46285</v>
      </c>
      <c r="BO1152" s="117">
        <v>46300</v>
      </c>
      <c r="BP1152" s="39"/>
      <c r="BQ1152" s="39"/>
      <c r="BR1152" s="39"/>
      <c r="BS1152" s="39"/>
      <c r="BT1152" s="39"/>
      <c r="BU1152" s="39"/>
      <c r="BV1152" s="39"/>
      <c r="BW1152" s="39"/>
      <c r="BX1152" s="39"/>
      <c r="BY1152" s="39"/>
      <c r="BZ1152" s="39">
        <f t="shared" si="747"/>
        <v>0</v>
      </c>
      <c r="CA1152" s="39">
        <f t="shared" si="663"/>
        <v>-274</v>
      </c>
      <c r="CB1152" s="39">
        <f t="shared" si="664"/>
        <v>0</v>
      </c>
      <c r="CC1152" s="39">
        <f t="shared" si="665"/>
        <v>-9</v>
      </c>
      <c r="CD1152" s="39">
        <f t="shared" si="748"/>
        <v>-283</v>
      </c>
      <c r="CE1152" s="102">
        <f t="shared" si="666"/>
        <v>-1</v>
      </c>
      <c r="CF1152" s="36"/>
      <c r="CG1152" s="39" t="s">
        <v>235</v>
      </c>
      <c r="CH1152" s="39"/>
      <c r="CI1152" s="25">
        <v>2</v>
      </c>
    </row>
    <row r="1153" spans="1:87" ht="24.75" customHeight="1">
      <c r="A1153" s="36" t="s">
        <v>303</v>
      </c>
      <c r="B1153" s="55">
        <v>48559</v>
      </c>
      <c r="C1153" s="228"/>
      <c r="D1153" s="36"/>
      <c r="E1153" s="39">
        <v>320</v>
      </c>
      <c r="F1153" s="156" t="s">
        <v>62</v>
      </c>
      <c r="G1153" s="36" t="s">
        <v>2368</v>
      </c>
      <c r="H1153" s="36" t="s">
        <v>2367</v>
      </c>
      <c r="I1153" s="39">
        <v>274</v>
      </c>
      <c r="J1153" s="39"/>
      <c r="K1153" s="39">
        <v>9</v>
      </c>
      <c r="L1153" s="39">
        <f t="shared" si="754"/>
        <v>283</v>
      </c>
      <c r="M1153" s="117">
        <v>46270</v>
      </c>
      <c r="N1153" s="117">
        <v>46280</v>
      </c>
      <c r="O1153" s="39"/>
      <c r="P1153" s="39"/>
      <c r="Q1153" s="39"/>
      <c r="R1153" s="39">
        <f t="shared" si="756"/>
        <v>0</v>
      </c>
      <c r="S1153" s="39" t="s">
        <v>130</v>
      </c>
      <c r="T1153" s="39"/>
      <c r="U1153" s="39"/>
      <c r="V1153" s="39"/>
      <c r="W1153" s="39"/>
      <c r="X1153" s="39"/>
      <c r="Y1153" s="39"/>
      <c r="Z1153" s="39"/>
      <c r="AA1153" s="39"/>
      <c r="AB1153" s="118">
        <f t="shared" si="753"/>
        <v>0</v>
      </c>
      <c r="AC1153" s="39"/>
      <c r="AD1153" s="39"/>
      <c r="AE1153" s="39"/>
      <c r="AF1153" s="39"/>
      <c r="AG1153" s="39"/>
      <c r="AH1153" s="39">
        <f t="shared" si="745"/>
        <v>0</v>
      </c>
      <c r="AI1153" s="39"/>
      <c r="AJ1153" s="39"/>
      <c r="AK1153" s="39"/>
      <c r="AL1153" s="39"/>
      <c r="AM1153" s="39"/>
      <c r="AN1153" s="39">
        <f t="shared" si="744"/>
        <v>0</v>
      </c>
      <c r="AO1153" s="39"/>
      <c r="AP1153" s="39"/>
      <c r="AQ1153" s="39"/>
      <c r="AR1153" s="39"/>
      <c r="AS1153" s="39"/>
      <c r="AT1153" s="39">
        <f t="shared" si="659"/>
        <v>0</v>
      </c>
      <c r="AU1153" s="39"/>
      <c r="AV1153" s="39"/>
      <c r="AW1153" s="39"/>
      <c r="AX1153" s="39"/>
      <c r="AY1153" s="39"/>
      <c r="AZ1153" s="39">
        <f t="shared" si="660"/>
        <v>0</v>
      </c>
      <c r="BA1153" s="39"/>
      <c r="BB1153" s="39"/>
      <c r="BC1153" s="39"/>
      <c r="BD1153" s="39"/>
      <c r="BE1153" s="39"/>
      <c r="BF1153" s="39">
        <f t="shared" si="661"/>
        <v>0</v>
      </c>
      <c r="BG1153" s="39"/>
      <c r="BH1153" s="39"/>
      <c r="BI1153" s="39"/>
      <c r="BJ1153" s="39"/>
      <c r="BK1153" s="39"/>
      <c r="BL1153" s="39">
        <f t="shared" si="746"/>
        <v>0</v>
      </c>
      <c r="BM1153" s="54">
        <f t="shared" ca="1" si="662"/>
        <v>46283</v>
      </c>
      <c r="BN1153" s="66">
        <v>46285</v>
      </c>
      <c r="BO1153" s="117">
        <v>46300</v>
      </c>
      <c r="BP1153" s="39"/>
      <c r="BQ1153" s="39"/>
      <c r="BR1153" s="39"/>
      <c r="BS1153" s="39"/>
      <c r="BT1153" s="39"/>
      <c r="BU1153" s="39"/>
      <c r="BV1153" s="39"/>
      <c r="BW1153" s="39"/>
      <c r="BX1153" s="39"/>
      <c r="BY1153" s="39"/>
      <c r="BZ1153" s="39">
        <f t="shared" si="747"/>
        <v>0</v>
      </c>
      <c r="CA1153" s="39">
        <f t="shared" si="663"/>
        <v>-274</v>
      </c>
      <c r="CB1153" s="39">
        <f t="shared" si="664"/>
        <v>0</v>
      </c>
      <c r="CC1153" s="39">
        <f t="shared" si="665"/>
        <v>-9</v>
      </c>
      <c r="CD1153" s="39">
        <f t="shared" si="748"/>
        <v>-283</v>
      </c>
      <c r="CE1153" s="102">
        <f t="shared" si="666"/>
        <v>-1</v>
      </c>
      <c r="CF1153" s="36"/>
      <c r="CG1153" s="39" t="s">
        <v>235</v>
      </c>
      <c r="CH1153" s="39"/>
      <c r="CI1153" s="25">
        <v>2</v>
      </c>
    </row>
    <row r="1154" spans="1:87" ht="24.75" customHeight="1">
      <c r="A1154" s="36" t="s">
        <v>303</v>
      </c>
      <c r="B1154" s="55">
        <v>48558</v>
      </c>
      <c r="C1154" s="227" t="s">
        <v>2471</v>
      </c>
      <c r="D1154" s="36"/>
      <c r="E1154" s="39">
        <v>230</v>
      </c>
      <c r="F1154" s="39" t="s">
        <v>67</v>
      </c>
      <c r="G1154" s="36" t="s">
        <v>21</v>
      </c>
      <c r="H1154" s="36" t="s">
        <v>2472</v>
      </c>
      <c r="I1154" s="39">
        <v>180</v>
      </c>
      <c r="J1154" s="39"/>
      <c r="K1154" s="39"/>
      <c r="L1154" s="39">
        <f t="shared" ref="L1154:L1156" si="757">SUM(I1154:K1154)</f>
        <v>180</v>
      </c>
      <c r="M1154" s="117">
        <v>46267</v>
      </c>
      <c r="N1154" s="117">
        <v>46277</v>
      </c>
      <c r="O1154" s="39"/>
      <c r="P1154" s="39"/>
      <c r="Q1154" s="39"/>
      <c r="R1154" s="39">
        <f t="shared" ref="R1154:R1156" si="758">SUM(O1154:Q1154)</f>
        <v>0</v>
      </c>
      <c r="S1154" s="39" t="s">
        <v>130</v>
      </c>
      <c r="T1154" s="39"/>
      <c r="U1154" s="39"/>
      <c r="V1154" s="39"/>
      <c r="W1154" s="39"/>
      <c r="X1154" s="39"/>
      <c r="Y1154" s="39"/>
      <c r="Z1154" s="39"/>
      <c r="AA1154" s="39"/>
      <c r="AB1154" s="118">
        <f t="shared" ref="AB1154:AB1161" si="759">SUM(Y1154:AA1154)</f>
        <v>0</v>
      </c>
      <c r="AC1154" s="39"/>
      <c r="AD1154" s="39"/>
      <c r="AE1154" s="39"/>
      <c r="AF1154" s="39"/>
      <c r="AG1154" s="39"/>
      <c r="AH1154" s="39">
        <f t="shared" si="745"/>
        <v>0</v>
      </c>
      <c r="AI1154" s="39"/>
      <c r="AJ1154" s="39"/>
      <c r="AK1154" s="39"/>
      <c r="AL1154" s="39"/>
      <c r="AM1154" s="39"/>
      <c r="AN1154" s="39">
        <f t="shared" si="744"/>
        <v>0</v>
      </c>
      <c r="AO1154" s="39"/>
      <c r="AP1154" s="39"/>
      <c r="AQ1154" s="39"/>
      <c r="AR1154" s="39"/>
      <c r="AS1154" s="39"/>
      <c r="AT1154" s="39">
        <f t="shared" si="659"/>
        <v>0</v>
      </c>
      <c r="AU1154" s="39"/>
      <c r="AV1154" s="39"/>
      <c r="AW1154" s="39"/>
      <c r="AX1154" s="39"/>
      <c r="AY1154" s="39"/>
      <c r="AZ1154" s="39">
        <f t="shared" si="660"/>
        <v>0</v>
      </c>
      <c r="BA1154" s="39"/>
      <c r="BB1154" s="39"/>
      <c r="BC1154" s="39"/>
      <c r="BD1154" s="39"/>
      <c r="BE1154" s="39"/>
      <c r="BF1154" s="39">
        <f t="shared" si="661"/>
        <v>0</v>
      </c>
      <c r="BG1154" s="39"/>
      <c r="BH1154" s="39"/>
      <c r="BI1154" s="39"/>
      <c r="BJ1154" s="39"/>
      <c r="BK1154" s="39"/>
      <c r="BL1154" s="39">
        <f t="shared" si="746"/>
        <v>0</v>
      </c>
      <c r="BM1154" s="54">
        <f t="shared" ca="1" si="662"/>
        <v>46283</v>
      </c>
      <c r="BN1154" s="66">
        <v>46281</v>
      </c>
      <c r="BO1154" s="117">
        <v>46295</v>
      </c>
      <c r="BP1154" s="39"/>
      <c r="BQ1154" s="39"/>
      <c r="BR1154" s="39"/>
      <c r="BS1154" s="39"/>
      <c r="BT1154" s="39"/>
      <c r="BU1154" s="39"/>
      <c r="BV1154" s="39"/>
      <c r="BW1154" s="39"/>
      <c r="BX1154" s="39"/>
      <c r="BY1154" s="39"/>
      <c r="BZ1154" s="39">
        <f t="shared" si="747"/>
        <v>0</v>
      </c>
      <c r="CA1154" s="39">
        <f t="shared" si="663"/>
        <v>-180</v>
      </c>
      <c r="CB1154" s="39">
        <f t="shared" si="664"/>
        <v>0</v>
      </c>
      <c r="CC1154" s="39">
        <f t="shared" si="665"/>
        <v>0</v>
      </c>
      <c r="CD1154" s="39">
        <f t="shared" si="748"/>
        <v>-180</v>
      </c>
      <c r="CE1154" s="102">
        <f t="shared" si="666"/>
        <v>-1</v>
      </c>
      <c r="CF1154" s="36"/>
      <c r="CG1154" s="39" t="s">
        <v>235</v>
      </c>
      <c r="CH1154" s="39"/>
      <c r="CI1154" s="25">
        <v>2</v>
      </c>
    </row>
    <row r="1155" spans="1:87" ht="24.75" customHeight="1">
      <c r="A1155" s="36" t="s">
        <v>303</v>
      </c>
      <c r="B1155" s="55">
        <v>48558</v>
      </c>
      <c r="C1155" s="231"/>
      <c r="D1155" s="36"/>
      <c r="E1155" s="39">
        <v>230</v>
      </c>
      <c r="F1155" s="39" t="s">
        <v>67</v>
      </c>
      <c r="G1155" s="36" t="s">
        <v>23</v>
      </c>
      <c r="H1155" s="36" t="s">
        <v>2472</v>
      </c>
      <c r="I1155" s="39">
        <v>180</v>
      </c>
      <c r="J1155" s="39"/>
      <c r="K1155" s="39"/>
      <c r="L1155" s="39">
        <f t="shared" si="757"/>
        <v>180</v>
      </c>
      <c r="M1155" s="117">
        <v>46267</v>
      </c>
      <c r="N1155" s="117">
        <v>46277</v>
      </c>
      <c r="O1155" s="39"/>
      <c r="P1155" s="39"/>
      <c r="Q1155" s="39"/>
      <c r="R1155" s="39">
        <f t="shared" si="758"/>
        <v>0</v>
      </c>
      <c r="S1155" s="39" t="s">
        <v>130</v>
      </c>
      <c r="T1155" s="39"/>
      <c r="U1155" s="39"/>
      <c r="V1155" s="39"/>
      <c r="W1155" s="39"/>
      <c r="X1155" s="39"/>
      <c r="Y1155" s="39"/>
      <c r="Z1155" s="39"/>
      <c r="AA1155" s="39"/>
      <c r="AB1155" s="118">
        <f t="shared" si="759"/>
        <v>0</v>
      </c>
      <c r="AC1155" s="39"/>
      <c r="AD1155" s="39"/>
      <c r="AE1155" s="39"/>
      <c r="AF1155" s="39"/>
      <c r="AG1155" s="39"/>
      <c r="AH1155" s="39">
        <f t="shared" si="745"/>
        <v>0</v>
      </c>
      <c r="AI1155" s="39"/>
      <c r="AJ1155" s="39"/>
      <c r="AK1155" s="39"/>
      <c r="AL1155" s="39"/>
      <c r="AM1155" s="39"/>
      <c r="AN1155" s="39">
        <f t="shared" si="744"/>
        <v>0</v>
      </c>
      <c r="AO1155" s="39"/>
      <c r="AP1155" s="39"/>
      <c r="AQ1155" s="39"/>
      <c r="AR1155" s="39"/>
      <c r="AS1155" s="39"/>
      <c r="AT1155" s="39">
        <f t="shared" si="659"/>
        <v>0</v>
      </c>
      <c r="AU1155" s="39"/>
      <c r="AV1155" s="39"/>
      <c r="AW1155" s="39"/>
      <c r="AX1155" s="39"/>
      <c r="AY1155" s="39"/>
      <c r="AZ1155" s="39">
        <f t="shared" si="660"/>
        <v>0</v>
      </c>
      <c r="BA1155" s="39"/>
      <c r="BB1155" s="39"/>
      <c r="BC1155" s="39"/>
      <c r="BD1155" s="39"/>
      <c r="BE1155" s="39"/>
      <c r="BF1155" s="39">
        <f t="shared" si="661"/>
        <v>0</v>
      </c>
      <c r="BG1155" s="39"/>
      <c r="BH1155" s="39"/>
      <c r="BI1155" s="39"/>
      <c r="BJ1155" s="39"/>
      <c r="BK1155" s="39"/>
      <c r="BL1155" s="39">
        <f t="shared" si="746"/>
        <v>0</v>
      </c>
      <c r="BM1155" s="54">
        <f t="shared" ca="1" si="662"/>
        <v>46283</v>
      </c>
      <c r="BN1155" s="66">
        <v>46281</v>
      </c>
      <c r="BO1155" s="117">
        <v>46295</v>
      </c>
      <c r="BP1155" s="39"/>
      <c r="BQ1155" s="39"/>
      <c r="BR1155" s="39"/>
      <c r="BS1155" s="39"/>
      <c r="BT1155" s="39"/>
      <c r="BU1155" s="39"/>
      <c r="BV1155" s="39"/>
      <c r="BW1155" s="39"/>
      <c r="BX1155" s="39"/>
      <c r="BY1155" s="39"/>
      <c r="BZ1155" s="39">
        <f t="shared" si="747"/>
        <v>0</v>
      </c>
      <c r="CA1155" s="39">
        <f t="shared" si="663"/>
        <v>-180</v>
      </c>
      <c r="CB1155" s="39">
        <f t="shared" si="664"/>
        <v>0</v>
      </c>
      <c r="CC1155" s="39">
        <f t="shared" si="665"/>
        <v>0</v>
      </c>
      <c r="CD1155" s="39">
        <f t="shared" si="748"/>
        <v>-180</v>
      </c>
      <c r="CE1155" s="102">
        <f t="shared" si="666"/>
        <v>-1</v>
      </c>
      <c r="CF1155" s="36"/>
      <c r="CG1155" s="39" t="s">
        <v>235</v>
      </c>
      <c r="CH1155" s="39"/>
      <c r="CI1155" s="25">
        <v>2</v>
      </c>
    </row>
    <row r="1156" spans="1:87" ht="24.75" customHeight="1">
      <c r="A1156" s="36" t="s">
        <v>303</v>
      </c>
      <c r="B1156" s="55">
        <v>48558</v>
      </c>
      <c r="C1156" s="228"/>
      <c r="D1156" s="36"/>
      <c r="E1156" s="39">
        <v>230</v>
      </c>
      <c r="F1156" s="39" t="s">
        <v>67</v>
      </c>
      <c r="G1156" s="36" t="s">
        <v>41</v>
      </c>
      <c r="H1156" s="36" t="s">
        <v>2472</v>
      </c>
      <c r="I1156" s="39">
        <v>180</v>
      </c>
      <c r="J1156" s="39"/>
      <c r="K1156" s="39"/>
      <c r="L1156" s="39">
        <f t="shared" si="757"/>
        <v>180</v>
      </c>
      <c r="M1156" s="117">
        <v>46267</v>
      </c>
      <c r="N1156" s="117">
        <v>46277</v>
      </c>
      <c r="O1156" s="39"/>
      <c r="P1156" s="39"/>
      <c r="Q1156" s="39"/>
      <c r="R1156" s="39">
        <f t="shared" si="758"/>
        <v>0</v>
      </c>
      <c r="S1156" s="39" t="s">
        <v>130</v>
      </c>
      <c r="T1156" s="39"/>
      <c r="U1156" s="39"/>
      <c r="V1156" s="39"/>
      <c r="W1156" s="39"/>
      <c r="X1156" s="39"/>
      <c r="Y1156" s="39"/>
      <c r="Z1156" s="39"/>
      <c r="AA1156" s="39"/>
      <c r="AB1156" s="118">
        <f t="shared" si="759"/>
        <v>0</v>
      </c>
      <c r="AC1156" s="39"/>
      <c r="AD1156" s="39"/>
      <c r="AE1156" s="39"/>
      <c r="AF1156" s="39"/>
      <c r="AG1156" s="39"/>
      <c r="AH1156" s="39">
        <f t="shared" si="745"/>
        <v>0</v>
      </c>
      <c r="AI1156" s="39"/>
      <c r="AJ1156" s="39"/>
      <c r="AK1156" s="39"/>
      <c r="AL1156" s="39"/>
      <c r="AM1156" s="39"/>
      <c r="AN1156" s="39">
        <f t="shared" si="744"/>
        <v>0</v>
      </c>
      <c r="AO1156" s="39"/>
      <c r="AP1156" s="39"/>
      <c r="AQ1156" s="39"/>
      <c r="AR1156" s="39"/>
      <c r="AS1156" s="39"/>
      <c r="AT1156" s="39">
        <f t="shared" si="659"/>
        <v>0</v>
      </c>
      <c r="AU1156" s="39"/>
      <c r="AV1156" s="39"/>
      <c r="AW1156" s="39"/>
      <c r="AX1156" s="39"/>
      <c r="AY1156" s="39"/>
      <c r="AZ1156" s="39">
        <f t="shared" si="660"/>
        <v>0</v>
      </c>
      <c r="BA1156" s="39"/>
      <c r="BB1156" s="39"/>
      <c r="BC1156" s="39"/>
      <c r="BD1156" s="39"/>
      <c r="BE1156" s="39"/>
      <c r="BF1156" s="39">
        <f t="shared" si="661"/>
        <v>0</v>
      </c>
      <c r="BG1156" s="39"/>
      <c r="BH1156" s="39"/>
      <c r="BI1156" s="39"/>
      <c r="BJ1156" s="39"/>
      <c r="BK1156" s="39"/>
      <c r="BL1156" s="39">
        <f t="shared" si="746"/>
        <v>0</v>
      </c>
      <c r="BM1156" s="54">
        <f t="shared" ca="1" si="662"/>
        <v>46283</v>
      </c>
      <c r="BN1156" s="66">
        <v>46281</v>
      </c>
      <c r="BO1156" s="117">
        <v>46295</v>
      </c>
      <c r="BP1156" s="39"/>
      <c r="BQ1156" s="39"/>
      <c r="BR1156" s="39"/>
      <c r="BS1156" s="39"/>
      <c r="BT1156" s="39"/>
      <c r="BU1156" s="39"/>
      <c r="BV1156" s="39"/>
      <c r="BW1156" s="39"/>
      <c r="BX1156" s="39"/>
      <c r="BY1156" s="39"/>
      <c r="BZ1156" s="39">
        <f t="shared" si="747"/>
        <v>0</v>
      </c>
      <c r="CA1156" s="39">
        <f t="shared" si="663"/>
        <v>-180</v>
      </c>
      <c r="CB1156" s="39">
        <f t="shared" si="664"/>
        <v>0</v>
      </c>
      <c r="CC1156" s="39">
        <f t="shared" si="665"/>
        <v>0</v>
      </c>
      <c r="CD1156" s="39">
        <f t="shared" si="748"/>
        <v>-180</v>
      </c>
      <c r="CE1156" s="102">
        <f t="shared" si="666"/>
        <v>-1</v>
      </c>
      <c r="CF1156" s="36"/>
      <c r="CG1156" s="39" t="s">
        <v>235</v>
      </c>
      <c r="CH1156" s="39"/>
      <c r="CI1156" s="25">
        <v>2</v>
      </c>
    </row>
    <row r="1157" spans="1:87" ht="24.75" customHeight="1">
      <c r="A1157" s="36" t="s">
        <v>303</v>
      </c>
      <c r="B1157" s="55">
        <v>48573</v>
      </c>
      <c r="C1157" s="227">
        <v>68881</v>
      </c>
      <c r="D1157" s="36"/>
      <c r="E1157" s="39">
        <v>280</v>
      </c>
      <c r="F1157" s="39" t="s">
        <v>57</v>
      </c>
      <c r="G1157" s="36" t="s">
        <v>2639</v>
      </c>
      <c r="H1157" s="36" t="s">
        <v>2363</v>
      </c>
      <c r="I1157" s="39">
        <v>339</v>
      </c>
      <c r="J1157" s="39"/>
      <c r="K1157" s="39"/>
      <c r="L1157" s="39">
        <f t="shared" ref="L1157:L1161" si="760">SUM(I1157:K1157)</f>
        <v>339</v>
      </c>
      <c r="M1157" s="117">
        <v>46266</v>
      </c>
      <c r="N1157" s="117">
        <v>46279</v>
      </c>
      <c r="O1157" s="39"/>
      <c r="P1157" s="39"/>
      <c r="Q1157" s="39"/>
      <c r="R1157" s="39">
        <f t="shared" ref="R1157:R1161" si="761">SUM(O1157:Q1157)</f>
        <v>0</v>
      </c>
      <c r="S1157" s="39" t="s">
        <v>130</v>
      </c>
      <c r="T1157" s="39"/>
      <c r="U1157" s="39"/>
      <c r="V1157" s="39"/>
      <c r="W1157" s="39"/>
      <c r="X1157" s="39"/>
      <c r="Y1157" s="39"/>
      <c r="Z1157" s="39"/>
      <c r="AA1157" s="39"/>
      <c r="AB1157" s="118">
        <f t="shared" si="759"/>
        <v>0</v>
      </c>
      <c r="AC1157" s="39"/>
      <c r="AD1157" s="39"/>
      <c r="AE1157" s="39"/>
      <c r="AF1157" s="39"/>
      <c r="AG1157" s="39"/>
      <c r="AH1157" s="39">
        <f t="shared" si="745"/>
        <v>0</v>
      </c>
      <c r="AI1157" s="39"/>
      <c r="AJ1157" s="39"/>
      <c r="AK1157" s="39"/>
      <c r="AL1157" s="39"/>
      <c r="AM1157" s="39"/>
      <c r="AN1157" s="39">
        <f t="shared" si="744"/>
        <v>0</v>
      </c>
      <c r="AO1157" s="39"/>
      <c r="AP1157" s="39"/>
      <c r="AQ1157" s="39"/>
      <c r="AR1157" s="39"/>
      <c r="AS1157" s="39"/>
      <c r="AT1157" s="39">
        <f t="shared" si="659"/>
        <v>0</v>
      </c>
      <c r="AU1157" s="39"/>
      <c r="AV1157" s="39"/>
      <c r="AW1157" s="39"/>
      <c r="AX1157" s="39"/>
      <c r="AY1157" s="39"/>
      <c r="AZ1157" s="39">
        <f t="shared" si="660"/>
        <v>0</v>
      </c>
      <c r="BA1157" s="39"/>
      <c r="BB1157" s="39"/>
      <c r="BC1157" s="39"/>
      <c r="BD1157" s="39"/>
      <c r="BE1157" s="39"/>
      <c r="BF1157" s="39">
        <f t="shared" si="661"/>
        <v>0</v>
      </c>
      <c r="BG1157" s="39"/>
      <c r="BH1157" s="39"/>
      <c r="BI1157" s="39"/>
      <c r="BJ1157" s="39"/>
      <c r="BK1157" s="39"/>
      <c r="BL1157" s="39">
        <f t="shared" si="746"/>
        <v>0</v>
      </c>
      <c r="BM1157" s="54">
        <f t="shared" ca="1" si="662"/>
        <v>46283</v>
      </c>
      <c r="BN1157" s="66">
        <v>46281</v>
      </c>
      <c r="BO1157" s="117">
        <v>46298</v>
      </c>
      <c r="BP1157" s="39"/>
      <c r="BQ1157" s="39"/>
      <c r="BR1157" s="39"/>
      <c r="BS1157" s="39"/>
      <c r="BT1157" s="39"/>
      <c r="BU1157" s="39"/>
      <c r="BV1157" s="39"/>
      <c r="BW1157" s="39"/>
      <c r="BX1157" s="39"/>
      <c r="BY1157" s="39"/>
      <c r="BZ1157" s="39">
        <f t="shared" si="747"/>
        <v>0</v>
      </c>
      <c r="CA1157" s="39">
        <f t="shared" si="663"/>
        <v>-339</v>
      </c>
      <c r="CB1157" s="39">
        <f t="shared" si="664"/>
        <v>0</v>
      </c>
      <c r="CC1157" s="39">
        <f t="shared" si="665"/>
        <v>0</v>
      </c>
      <c r="CD1157" s="39">
        <f t="shared" si="748"/>
        <v>-339</v>
      </c>
      <c r="CE1157" s="102">
        <f t="shared" si="666"/>
        <v>-1</v>
      </c>
      <c r="CF1157" s="36"/>
      <c r="CG1157" s="39" t="s">
        <v>235</v>
      </c>
      <c r="CH1157" s="39"/>
      <c r="CI1157" s="25">
        <v>2</v>
      </c>
    </row>
    <row r="1158" spans="1:87" ht="24.75" customHeight="1">
      <c r="A1158" s="36" t="s">
        <v>303</v>
      </c>
      <c r="B1158" s="55">
        <v>48573</v>
      </c>
      <c r="C1158" s="231"/>
      <c r="D1158" s="36"/>
      <c r="E1158" s="39">
        <v>280</v>
      </c>
      <c r="F1158" s="39" t="s">
        <v>57</v>
      </c>
      <c r="G1158" s="36" t="s">
        <v>547</v>
      </c>
      <c r="H1158" s="36" t="s">
        <v>2363</v>
      </c>
      <c r="I1158" s="39">
        <v>339</v>
      </c>
      <c r="J1158" s="39"/>
      <c r="K1158" s="39"/>
      <c r="L1158" s="39">
        <f t="shared" si="760"/>
        <v>339</v>
      </c>
      <c r="M1158" s="117">
        <v>46266</v>
      </c>
      <c r="N1158" s="117">
        <v>46279</v>
      </c>
      <c r="O1158" s="39"/>
      <c r="P1158" s="39"/>
      <c r="Q1158" s="39"/>
      <c r="R1158" s="39">
        <f t="shared" si="761"/>
        <v>0</v>
      </c>
      <c r="S1158" s="39" t="s">
        <v>130</v>
      </c>
      <c r="T1158" s="39"/>
      <c r="U1158" s="39"/>
      <c r="V1158" s="39"/>
      <c r="W1158" s="39"/>
      <c r="X1158" s="39"/>
      <c r="Y1158" s="39"/>
      <c r="Z1158" s="39"/>
      <c r="AA1158" s="39"/>
      <c r="AB1158" s="118">
        <f t="shared" si="759"/>
        <v>0</v>
      </c>
      <c r="AC1158" s="39"/>
      <c r="AD1158" s="39"/>
      <c r="AE1158" s="39"/>
      <c r="AF1158" s="39"/>
      <c r="AG1158" s="39"/>
      <c r="AH1158" s="39">
        <f t="shared" si="745"/>
        <v>0</v>
      </c>
      <c r="AI1158" s="39"/>
      <c r="AJ1158" s="39"/>
      <c r="AK1158" s="39"/>
      <c r="AL1158" s="39"/>
      <c r="AM1158" s="39"/>
      <c r="AN1158" s="39">
        <f t="shared" si="744"/>
        <v>0</v>
      </c>
      <c r="AO1158" s="39"/>
      <c r="AP1158" s="39"/>
      <c r="AQ1158" s="39"/>
      <c r="AR1158" s="39"/>
      <c r="AS1158" s="39"/>
      <c r="AT1158" s="39">
        <f t="shared" si="659"/>
        <v>0</v>
      </c>
      <c r="AU1158" s="39"/>
      <c r="AV1158" s="39"/>
      <c r="AW1158" s="39"/>
      <c r="AX1158" s="39"/>
      <c r="AY1158" s="39"/>
      <c r="AZ1158" s="39">
        <f t="shared" si="660"/>
        <v>0</v>
      </c>
      <c r="BA1158" s="39"/>
      <c r="BB1158" s="39"/>
      <c r="BC1158" s="39"/>
      <c r="BD1158" s="39"/>
      <c r="BE1158" s="39"/>
      <c r="BF1158" s="39">
        <f t="shared" si="661"/>
        <v>0</v>
      </c>
      <c r="BG1158" s="39"/>
      <c r="BH1158" s="39"/>
      <c r="BI1158" s="39"/>
      <c r="BJ1158" s="39"/>
      <c r="BK1158" s="39"/>
      <c r="BL1158" s="39">
        <f t="shared" si="746"/>
        <v>0</v>
      </c>
      <c r="BM1158" s="54">
        <f t="shared" ca="1" si="662"/>
        <v>46283</v>
      </c>
      <c r="BN1158" s="66">
        <v>46281</v>
      </c>
      <c r="BO1158" s="117">
        <v>46298</v>
      </c>
      <c r="BP1158" s="39"/>
      <c r="BQ1158" s="39"/>
      <c r="BR1158" s="39"/>
      <c r="BS1158" s="39"/>
      <c r="BT1158" s="39"/>
      <c r="BU1158" s="39"/>
      <c r="BV1158" s="39"/>
      <c r="BW1158" s="39"/>
      <c r="BX1158" s="39"/>
      <c r="BY1158" s="39"/>
      <c r="BZ1158" s="39">
        <f t="shared" si="747"/>
        <v>0</v>
      </c>
      <c r="CA1158" s="39">
        <f t="shared" si="663"/>
        <v>-339</v>
      </c>
      <c r="CB1158" s="39">
        <f t="shared" si="664"/>
        <v>0</v>
      </c>
      <c r="CC1158" s="39">
        <f t="shared" si="665"/>
        <v>0</v>
      </c>
      <c r="CD1158" s="39">
        <f t="shared" si="748"/>
        <v>-339</v>
      </c>
      <c r="CE1158" s="102">
        <f t="shared" si="666"/>
        <v>-1</v>
      </c>
      <c r="CF1158" s="36"/>
      <c r="CG1158" s="39" t="s">
        <v>235</v>
      </c>
      <c r="CH1158" s="39"/>
      <c r="CI1158" s="25">
        <v>2</v>
      </c>
    </row>
    <row r="1159" spans="1:87" ht="24.75" customHeight="1">
      <c r="A1159" s="36" t="s">
        <v>303</v>
      </c>
      <c r="B1159" s="55">
        <v>48573</v>
      </c>
      <c r="C1159" s="231"/>
      <c r="D1159" s="36"/>
      <c r="E1159" s="39">
        <v>280</v>
      </c>
      <c r="F1159" s="39" t="s">
        <v>57</v>
      </c>
      <c r="G1159" s="36" t="s">
        <v>41</v>
      </c>
      <c r="H1159" s="36" t="s">
        <v>2363</v>
      </c>
      <c r="I1159" s="39">
        <v>339</v>
      </c>
      <c r="J1159" s="39"/>
      <c r="K1159" s="39"/>
      <c r="L1159" s="39">
        <f t="shared" si="760"/>
        <v>339</v>
      </c>
      <c r="M1159" s="117">
        <v>46266</v>
      </c>
      <c r="N1159" s="117">
        <v>46279</v>
      </c>
      <c r="O1159" s="39"/>
      <c r="P1159" s="39"/>
      <c r="Q1159" s="39"/>
      <c r="R1159" s="39">
        <f t="shared" si="761"/>
        <v>0</v>
      </c>
      <c r="S1159" s="39" t="s">
        <v>130</v>
      </c>
      <c r="T1159" s="39"/>
      <c r="U1159" s="39"/>
      <c r="V1159" s="39"/>
      <c r="W1159" s="39"/>
      <c r="X1159" s="39"/>
      <c r="Y1159" s="39"/>
      <c r="Z1159" s="39"/>
      <c r="AA1159" s="39"/>
      <c r="AB1159" s="118">
        <f t="shared" si="759"/>
        <v>0</v>
      </c>
      <c r="AC1159" s="39"/>
      <c r="AD1159" s="39"/>
      <c r="AE1159" s="39"/>
      <c r="AF1159" s="39"/>
      <c r="AG1159" s="39"/>
      <c r="AH1159" s="39">
        <f t="shared" si="745"/>
        <v>0</v>
      </c>
      <c r="AI1159" s="39"/>
      <c r="AJ1159" s="39"/>
      <c r="AK1159" s="39"/>
      <c r="AL1159" s="39"/>
      <c r="AM1159" s="39"/>
      <c r="AN1159" s="39">
        <f t="shared" si="744"/>
        <v>0</v>
      </c>
      <c r="AO1159" s="39"/>
      <c r="AP1159" s="39"/>
      <c r="AQ1159" s="39"/>
      <c r="AR1159" s="39"/>
      <c r="AS1159" s="39"/>
      <c r="AT1159" s="39">
        <f t="shared" si="659"/>
        <v>0</v>
      </c>
      <c r="AU1159" s="39"/>
      <c r="AV1159" s="39"/>
      <c r="AW1159" s="39"/>
      <c r="AX1159" s="39"/>
      <c r="AY1159" s="39"/>
      <c r="AZ1159" s="39">
        <f t="shared" si="660"/>
        <v>0</v>
      </c>
      <c r="BA1159" s="39"/>
      <c r="BB1159" s="39"/>
      <c r="BC1159" s="39"/>
      <c r="BD1159" s="39"/>
      <c r="BE1159" s="39"/>
      <c r="BF1159" s="39">
        <f t="shared" si="661"/>
        <v>0</v>
      </c>
      <c r="BG1159" s="39"/>
      <c r="BH1159" s="39"/>
      <c r="BI1159" s="39"/>
      <c r="BJ1159" s="39"/>
      <c r="BK1159" s="39"/>
      <c r="BL1159" s="39">
        <f t="shared" si="746"/>
        <v>0</v>
      </c>
      <c r="BM1159" s="54">
        <f t="shared" ca="1" si="662"/>
        <v>46283</v>
      </c>
      <c r="BN1159" s="66">
        <v>46281</v>
      </c>
      <c r="BO1159" s="117">
        <v>46298</v>
      </c>
      <c r="BP1159" s="39"/>
      <c r="BQ1159" s="39"/>
      <c r="BR1159" s="39"/>
      <c r="BS1159" s="39"/>
      <c r="BT1159" s="39"/>
      <c r="BU1159" s="39"/>
      <c r="BV1159" s="39"/>
      <c r="BW1159" s="39"/>
      <c r="BX1159" s="39"/>
      <c r="BY1159" s="39"/>
      <c r="BZ1159" s="39">
        <f t="shared" si="747"/>
        <v>0</v>
      </c>
      <c r="CA1159" s="39">
        <f t="shared" si="663"/>
        <v>-339</v>
      </c>
      <c r="CB1159" s="39">
        <f t="shared" si="664"/>
        <v>0</v>
      </c>
      <c r="CC1159" s="39">
        <f t="shared" si="665"/>
        <v>0</v>
      </c>
      <c r="CD1159" s="39">
        <f t="shared" si="748"/>
        <v>-339</v>
      </c>
      <c r="CE1159" s="102">
        <f t="shared" si="666"/>
        <v>-1</v>
      </c>
      <c r="CF1159" s="36"/>
      <c r="CG1159" s="39" t="s">
        <v>235</v>
      </c>
      <c r="CH1159" s="39"/>
      <c r="CI1159" s="25">
        <v>2</v>
      </c>
    </row>
    <row r="1160" spans="1:87" ht="24.75" customHeight="1">
      <c r="A1160" s="36" t="s">
        <v>303</v>
      </c>
      <c r="B1160" s="55">
        <v>48573</v>
      </c>
      <c r="C1160" s="231"/>
      <c r="D1160" s="36"/>
      <c r="E1160" s="39">
        <v>280</v>
      </c>
      <c r="F1160" s="39" t="s">
        <v>57</v>
      </c>
      <c r="G1160" s="36" t="s">
        <v>344</v>
      </c>
      <c r="H1160" s="36" t="s">
        <v>2363</v>
      </c>
      <c r="I1160" s="39">
        <v>339</v>
      </c>
      <c r="J1160" s="39"/>
      <c r="K1160" s="39"/>
      <c r="L1160" s="39">
        <f t="shared" si="760"/>
        <v>339</v>
      </c>
      <c r="M1160" s="117">
        <v>46266</v>
      </c>
      <c r="N1160" s="117">
        <v>46279</v>
      </c>
      <c r="O1160" s="39"/>
      <c r="P1160" s="39"/>
      <c r="Q1160" s="39"/>
      <c r="R1160" s="39">
        <f t="shared" si="761"/>
        <v>0</v>
      </c>
      <c r="S1160" s="39" t="s">
        <v>130</v>
      </c>
      <c r="T1160" s="39"/>
      <c r="U1160" s="39"/>
      <c r="V1160" s="39"/>
      <c r="W1160" s="39"/>
      <c r="X1160" s="39"/>
      <c r="Y1160" s="39"/>
      <c r="Z1160" s="39"/>
      <c r="AA1160" s="39"/>
      <c r="AB1160" s="118">
        <f t="shared" si="759"/>
        <v>0</v>
      </c>
      <c r="AC1160" s="39"/>
      <c r="AD1160" s="39"/>
      <c r="AE1160" s="39"/>
      <c r="AF1160" s="39"/>
      <c r="AG1160" s="39"/>
      <c r="AH1160" s="39">
        <f t="shared" si="745"/>
        <v>0</v>
      </c>
      <c r="AI1160" s="39"/>
      <c r="AJ1160" s="39"/>
      <c r="AK1160" s="39"/>
      <c r="AL1160" s="39"/>
      <c r="AM1160" s="39"/>
      <c r="AN1160" s="39">
        <f t="shared" si="744"/>
        <v>0</v>
      </c>
      <c r="AO1160" s="39"/>
      <c r="AP1160" s="39"/>
      <c r="AQ1160" s="39"/>
      <c r="AR1160" s="39"/>
      <c r="AS1160" s="39"/>
      <c r="AT1160" s="39">
        <f t="shared" si="659"/>
        <v>0</v>
      </c>
      <c r="AU1160" s="39"/>
      <c r="AV1160" s="39"/>
      <c r="AW1160" s="39"/>
      <c r="AX1160" s="39"/>
      <c r="AY1160" s="39"/>
      <c r="AZ1160" s="39">
        <f t="shared" si="660"/>
        <v>0</v>
      </c>
      <c r="BA1160" s="39"/>
      <c r="BB1160" s="39"/>
      <c r="BC1160" s="39"/>
      <c r="BD1160" s="39"/>
      <c r="BE1160" s="39"/>
      <c r="BF1160" s="39">
        <f t="shared" si="661"/>
        <v>0</v>
      </c>
      <c r="BG1160" s="39"/>
      <c r="BH1160" s="39"/>
      <c r="BI1160" s="39"/>
      <c r="BJ1160" s="39"/>
      <c r="BK1160" s="39"/>
      <c r="BL1160" s="39">
        <f t="shared" si="746"/>
        <v>0</v>
      </c>
      <c r="BM1160" s="54">
        <f t="shared" ca="1" si="662"/>
        <v>46283</v>
      </c>
      <c r="BN1160" s="66">
        <v>46281</v>
      </c>
      <c r="BO1160" s="117">
        <v>46298</v>
      </c>
      <c r="BP1160" s="39"/>
      <c r="BQ1160" s="39"/>
      <c r="BR1160" s="39"/>
      <c r="BS1160" s="39"/>
      <c r="BT1160" s="39"/>
      <c r="BU1160" s="39"/>
      <c r="BV1160" s="39"/>
      <c r="BW1160" s="39"/>
      <c r="BX1160" s="39"/>
      <c r="BY1160" s="39"/>
      <c r="BZ1160" s="39">
        <f t="shared" si="747"/>
        <v>0</v>
      </c>
      <c r="CA1160" s="39">
        <f t="shared" si="663"/>
        <v>-339</v>
      </c>
      <c r="CB1160" s="39">
        <f t="shared" si="664"/>
        <v>0</v>
      </c>
      <c r="CC1160" s="39">
        <f t="shared" si="665"/>
        <v>0</v>
      </c>
      <c r="CD1160" s="39">
        <f t="shared" si="748"/>
        <v>-339</v>
      </c>
      <c r="CE1160" s="102">
        <f t="shared" si="666"/>
        <v>-1</v>
      </c>
      <c r="CF1160" s="36"/>
      <c r="CG1160" s="39" t="s">
        <v>235</v>
      </c>
      <c r="CH1160" s="39"/>
      <c r="CI1160" s="25">
        <v>2</v>
      </c>
    </row>
    <row r="1161" spans="1:87" ht="24.75" customHeight="1">
      <c r="A1161" s="36" t="s">
        <v>303</v>
      </c>
      <c r="B1161" s="55">
        <v>48573</v>
      </c>
      <c r="C1161" s="228"/>
      <c r="D1161" s="36"/>
      <c r="E1161" s="39">
        <v>280</v>
      </c>
      <c r="F1161" s="39" t="s">
        <v>57</v>
      </c>
      <c r="G1161" s="36" t="s">
        <v>23</v>
      </c>
      <c r="H1161" s="36" t="s">
        <v>2363</v>
      </c>
      <c r="I1161" s="39">
        <v>232</v>
      </c>
      <c r="J1161" s="39"/>
      <c r="K1161" s="39"/>
      <c r="L1161" s="39">
        <f t="shared" si="760"/>
        <v>232</v>
      </c>
      <c r="M1161" s="117">
        <v>46266</v>
      </c>
      <c r="N1161" s="117">
        <v>46279</v>
      </c>
      <c r="O1161" s="39"/>
      <c r="P1161" s="39"/>
      <c r="Q1161" s="39"/>
      <c r="R1161" s="39">
        <f t="shared" si="761"/>
        <v>0</v>
      </c>
      <c r="S1161" s="39" t="s">
        <v>130</v>
      </c>
      <c r="T1161" s="39"/>
      <c r="U1161" s="39"/>
      <c r="V1161" s="39"/>
      <c r="W1161" s="39"/>
      <c r="X1161" s="39"/>
      <c r="Y1161" s="39"/>
      <c r="Z1161" s="39"/>
      <c r="AA1161" s="39"/>
      <c r="AB1161" s="118">
        <f t="shared" si="759"/>
        <v>0</v>
      </c>
      <c r="AC1161" s="39"/>
      <c r="AD1161" s="39"/>
      <c r="AE1161" s="39"/>
      <c r="AF1161" s="39"/>
      <c r="AG1161" s="39"/>
      <c r="AH1161" s="39">
        <f t="shared" si="745"/>
        <v>0</v>
      </c>
      <c r="AI1161" s="39"/>
      <c r="AJ1161" s="39"/>
      <c r="AK1161" s="39"/>
      <c r="AL1161" s="39"/>
      <c r="AM1161" s="39"/>
      <c r="AN1161" s="39">
        <f t="shared" si="744"/>
        <v>0</v>
      </c>
      <c r="AO1161" s="39"/>
      <c r="AP1161" s="39"/>
      <c r="AQ1161" s="39"/>
      <c r="AR1161" s="39"/>
      <c r="AS1161" s="39"/>
      <c r="AT1161" s="39">
        <f t="shared" si="659"/>
        <v>0</v>
      </c>
      <c r="AU1161" s="39"/>
      <c r="AV1161" s="39"/>
      <c r="AW1161" s="39"/>
      <c r="AX1161" s="39"/>
      <c r="AY1161" s="39"/>
      <c r="AZ1161" s="39">
        <f t="shared" si="660"/>
        <v>0</v>
      </c>
      <c r="BA1161" s="39"/>
      <c r="BB1161" s="39"/>
      <c r="BC1161" s="39"/>
      <c r="BD1161" s="39"/>
      <c r="BE1161" s="39"/>
      <c r="BF1161" s="39">
        <f t="shared" si="661"/>
        <v>0</v>
      </c>
      <c r="BG1161" s="39"/>
      <c r="BH1161" s="39"/>
      <c r="BI1161" s="39"/>
      <c r="BJ1161" s="39"/>
      <c r="BK1161" s="39"/>
      <c r="BL1161" s="39">
        <f t="shared" si="746"/>
        <v>0</v>
      </c>
      <c r="BM1161" s="54">
        <f t="shared" ca="1" si="662"/>
        <v>46283</v>
      </c>
      <c r="BN1161" s="66">
        <v>46281</v>
      </c>
      <c r="BO1161" s="117">
        <v>46298</v>
      </c>
      <c r="BP1161" s="39"/>
      <c r="BQ1161" s="39"/>
      <c r="BR1161" s="39"/>
      <c r="BS1161" s="39"/>
      <c r="BT1161" s="39"/>
      <c r="BU1161" s="39"/>
      <c r="BV1161" s="39"/>
      <c r="BW1161" s="39"/>
      <c r="BX1161" s="39"/>
      <c r="BY1161" s="39"/>
      <c r="BZ1161" s="39">
        <f t="shared" si="747"/>
        <v>0</v>
      </c>
      <c r="CA1161" s="39">
        <f t="shared" si="663"/>
        <v>-232</v>
      </c>
      <c r="CB1161" s="39">
        <f t="shared" si="664"/>
        <v>0</v>
      </c>
      <c r="CC1161" s="39">
        <f t="shared" si="665"/>
        <v>0</v>
      </c>
      <c r="CD1161" s="39">
        <f t="shared" si="748"/>
        <v>-232</v>
      </c>
      <c r="CE1161" s="102">
        <f t="shared" si="666"/>
        <v>-1</v>
      </c>
      <c r="CF1161" s="36"/>
      <c r="CG1161" s="39" t="s">
        <v>235</v>
      </c>
      <c r="CH1161" s="39"/>
      <c r="CI1161" s="25">
        <v>2</v>
      </c>
    </row>
    <row r="1162" spans="1:87" ht="24.75" customHeight="1">
      <c r="A1162" s="36" t="s">
        <v>303</v>
      </c>
      <c r="B1162" s="55"/>
      <c r="C1162" s="36"/>
      <c r="D1162" s="36"/>
      <c r="E1162" s="39"/>
      <c r="F1162" s="39"/>
      <c r="G1162" s="36"/>
      <c r="H1162" s="39"/>
      <c r="I1162" s="39"/>
      <c r="J1162" s="39"/>
      <c r="K1162" s="39"/>
      <c r="L1162" s="39">
        <f t="shared" si="751"/>
        <v>0</v>
      </c>
      <c r="M1162" s="39"/>
      <c r="N1162" s="39"/>
      <c r="O1162" s="39"/>
      <c r="P1162" s="39"/>
      <c r="Q1162" s="39"/>
      <c r="R1162" s="39">
        <f t="shared" si="752"/>
        <v>0</v>
      </c>
      <c r="S1162" s="39"/>
      <c r="T1162" s="39"/>
      <c r="U1162" s="39"/>
      <c r="V1162" s="39"/>
      <c r="W1162" s="39"/>
      <c r="X1162" s="39"/>
      <c r="Y1162" s="39"/>
      <c r="Z1162" s="39"/>
      <c r="AA1162" s="39"/>
      <c r="AB1162" s="39">
        <f t="shared" si="753"/>
        <v>0</v>
      </c>
      <c r="AC1162" s="39"/>
      <c r="AD1162" s="39"/>
      <c r="AE1162" s="39"/>
      <c r="AF1162" s="39"/>
      <c r="AG1162" s="39"/>
      <c r="AH1162" s="39">
        <f t="shared" si="745"/>
        <v>0</v>
      </c>
      <c r="AI1162" s="39"/>
      <c r="AJ1162" s="39"/>
      <c r="AK1162" s="39"/>
      <c r="AL1162" s="39"/>
      <c r="AM1162" s="39"/>
      <c r="AN1162" s="39">
        <f t="shared" si="744"/>
        <v>0</v>
      </c>
      <c r="AO1162" s="39"/>
      <c r="AP1162" s="39"/>
      <c r="AQ1162" s="39"/>
      <c r="AR1162" s="39"/>
      <c r="AS1162" s="39"/>
      <c r="AT1162" s="39">
        <f t="shared" si="659"/>
        <v>0</v>
      </c>
      <c r="AU1162" s="39"/>
      <c r="AV1162" s="39"/>
      <c r="AW1162" s="39"/>
      <c r="AX1162" s="39"/>
      <c r="AY1162" s="39"/>
      <c r="AZ1162" s="39">
        <f t="shared" si="660"/>
        <v>0</v>
      </c>
      <c r="BA1162" s="39"/>
      <c r="BB1162" s="39"/>
      <c r="BC1162" s="39"/>
      <c r="BD1162" s="39"/>
      <c r="BE1162" s="39"/>
      <c r="BF1162" s="39">
        <f t="shared" si="661"/>
        <v>0</v>
      </c>
      <c r="BG1162" s="39"/>
      <c r="BH1162" s="39"/>
      <c r="BI1162" s="39"/>
      <c r="BJ1162" s="39"/>
      <c r="BK1162" s="39"/>
      <c r="BL1162" s="39">
        <f t="shared" si="746"/>
        <v>0</v>
      </c>
      <c r="BM1162" s="54" t="e">
        <f t="shared" si="662"/>
        <v>#DIV/0!</v>
      </c>
      <c r="BN1162" s="67"/>
      <c r="BO1162" s="39"/>
      <c r="BP1162" s="39"/>
      <c r="BQ1162" s="39"/>
      <c r="BR1162" s="39"/>
      <c r="BS1162" s="39"/>
      <c r="BT1162" s="39"/>
      <c r="BU1162" s="39"/>
      <c r="BV1162" s="39"/>
      <c r="BW1162" s="39"/>
      <c r="BX1162" s="39"/>
      <c r="BY1162" s="39"/>
      <c r="BZ1162" s="39">
        <f t="shared" si="747"/>
        <v>0</v>
      </c>
      <c r="CA1162" s="39">
        <f t="shared" si="663"/>
        <v>0</v>
      </c>
      <c r="CB1162" s="39">
        <f t="shared" si="664"/>
        <v>0</v>
      </c>
      <c r="CC1162" s="39">
        <f t="shared" si="665"/>
        <v>0</v>
      </c>
      <c r="CD1162" s="39">
        <f t="shared" si="748"/>
        <v>0</v>
      </c>
      <c r="CE1162" s="47" t="e">
        <f t="shared" si="666"/>
        <v>#DIV/0!</v>
      </c>
      <c r="CF1162" s="36"/>
      <c r="CG1162" s="39"/>
      <c r="CH1162" s="39"/>
      <c r="CI1162" s="25">
        <v>2</v>
      </c>
    </row>
    <row r="1163" spans="1:87" ht="24.75" customHeight="1">
      <c r="A1163" s="36" t="s">
        <v>303</v>
      </c>
      <c r="B1163" s="55"/>
      <c r="C1163" s="36"/>
      <c r="D1163" s="36"/>
      <c r="E1163" s="39"/>
      <c r="F1163" s="39"/>
      <c r="G1163" s="36"/>
      <c r="H1163" s="39"/>
      <c r="I1163" s="39"/>
      <c r="J1163" s="39"/>
      <c r="K1163" s="39"/>
      <c r="L1163" s="39">
        <f t="shared" si="751"/>
        <v>0</v>
      </c>
      <c r="M1163" s="39"/>
      <c r="N1163" s="39"/>
      <c r="O1163" s="39"/>
      <c r="P1163" s="39"/>
      <c r="Q1163" s="39"/>
      <c r="R1163" s="39">
        <f t="shared" si="752"/>
        <v>0</v>
      </c>
      <c r="S1163" s="39"/>
      <c r="T1163" s="39"/>
      <c r="U1163" s="39"/>
      <c r="V1163" s="39"/>
      <c r="W1163" s="39"/>
      <c r="X1163" s="39"/>
      <c r="Y1163" s="39"/>
      <c r="Z1163" s="39"/>
      <c r="AA1163" s="39"/>
      <c r="AB1163" s="39">
        <f t="shared" si="753"/>
        <v>0</v>
      </c>
      <c r="AC1163" s="39"/>
      <c r="AD1163" s="39"/>
      <c r="AE1163" s="39"/>
      <c r="AF1163" s="39"/>
      <c r="AG1163" s="39"/>
      <c r="AH1163" s="39">
        <f t="shared" si="745"/>
        <v>0</v>
      </c>
      <c r="AI1163" s="39"/>
      <c r="AJ1163" s="39"/>
      <c r="AK1163" s="39"/>
      <c r="AL1163" s="39"/>
      <c r="AM1163" s="39"/>
      <c r="AN1163" s="39">
        <f t="shared" si="744"/>
        <v>0</v>
      </c>
      <c r="AO1163" s="39"/>
      <c r="AP1163" s="39"/>
      <c r="AQ1163" s="39"/>
      <c r="AR1163" s="39"/>
      <c r="AS1163" s="39"/>
      <c r="AT1163" s="39">
        <f t="shared" si="659"/>
        <v>0</v>
      </c>
      <c r="AU1163" s="39"/>
      <c r="AV1163" s="39"/>
      <c r="AW1163" s="39"/>
      <c r="AX1163" s="39"/>
      <c r="AY1163" s="39"/>
      <c r="AZ1163" s="39">
        <f t="shared" si="660"/>
        <v>0</v>
      </c>
      <c r="BA1163" s="39"/>
      <c r="BB1163" s="39"/>
      <c r="BC1163" s="39"/>
      <c r="BD1163" s="39"/>
      <c r="BE1163" s="39"/>
      <c r="BF1163" s="39">
        <f t="shared" si="661"/>
        <v>0</v>
      </c>
      <c r="BG1163" s="39"/>
      <c r="BH1163" s="39"/>
      <c r="BI1163" s="39"/>
      <c r="BJ1163" s="39"/>
      <c r="BK1163" s="39"/>
      <c r="BL1163" s="39">
        <f t="shared" si="746"/>
        <v>0</v>
      </c>
      <c r="BM1163" s="54" t="e">
        <f t="shared" si="662"/>
        <v>#DIV/0!</v>
      </c>
      <c r="BN1163" s="67"/>
      <c r="BO1163" s="39"/>
      <c r="BP1163" s="39"/>
      <c r="BQ1163" s="39"/>
      <c r="BR1163" s="39"/>
      <c r="BS1163" s="39"/>
      <c r="BT1163" s="39"/>
      <c r="BU1163" s="39"/>
      <c r="BV1163" s="39"/>
      <c r="BW1163" s="39"/>
      <c r="BX1163" s="39"/>
      <c r="BY1163" s="39"/>
      <c r="BZ1163" s="39">
        <f t="shared" si="747"/>
        <v>0</v>
      </c>
      <c r="CA1163" s="39">
        <f t="shared" si="663"/>
        <v>0</v>
      </c>
      <c r="CB1163" s="39">
        <f t="shared" si="664"/>
        <v>0</v>
      </c>
      <c r="CC1163" s="39">
        <f t="shared" si="665"/>
        <v>0</v>
      </c>
      <c r="CD1163" s="39">
        <f t="shared" si="748"/>
        <v>0</v>
      </c>
      <c r="CE1163" s="47" t="e">
        <f t="shared" si="666"/>
        <v>#DIV/0!</v>
      </c>
      <c r="CF1163" s="36"/>
      <c r="CG1163" s="39"/>
      <c r="CH1163" s="39"/>
      <c r="CI1163" s="25">
        <v>2</v>
      </c>
    </row>
    <row r="1164" spans="1:87" ht="24.75" customHeight="1">
      <c r="A1164" s="36" t="s">
        <v>303</v>
      </c>
      <c r="B1164" s="55"/>
      <c r="C1164" s="36"/>
      <c r="D1164" s="36"/>
      <c r="E1164" s="39"/>
      <c r="F1164" s="39"/>
      <c r="G1164" s="36"/>
      <c r="H1164" s="39"/>
      <c r="I1164" s="39"/>
      <c r="J1164" s="39"/>
      <c r="K1164" s="39"/>
      <c r="L1164" s="39">
        <f t="shared" si="751"/>
        <v>0</v>
      </c>
      <c r="M1164" s="39"/>
      <c r="N1164" s="39"/>
      <c r="O1164" s="39"/>
      <c r="P1164" s="39"/>
      <c r="Q1164" s="39"/>
      <c r="R1164" s="39">
        <f t="shared" si="752"/>
        <v>0</v>
      </c>
      <c r="S1164" s="39"/>
      <c r="T1164" s="39"/>
      <c r="U1164" s="39"/>
      <c r="V1164" s="39"/>
      <c r="W1164" s="39"/>
      <c r="X1164" s="39"/>
      <c r="Y1164" s="39"/>
      <c r="Z1164" s="39"/>
      <c r="AA1164" s="39"/>
      <c r="AB1164" s="39">
        <f t="shared" si="753"/>
        <v>0</v>
      </c>
      <c r="AC1164" s="39"/>
      <c r="AD1164" s="39"/>
      <c r="AE1164" s="39"/>
      <c r="AF1164" s="39"/>
      <c r="AG1164" s="39"/>
      <c r="AH1164" s="39">
        <f t="shared" si="745"/>
        <v>0</v>
      </c>
      <c r="AI1164" s="39"/>
      <c r="AJ1164" s="39"/>
      <c r="AK1164" s="39"/>
      <c r="AL1164" s="39"/>
      <c r="AM1164" s="39"/>
      <c r="AN1164" s="39">
        <f t="shared" si="744"/>
        <v>0</v>
      </c>
      <c r="AO1164" s="39"/>
      <c r="AP1164" s="39"/>
      <c r="AQ1164" s="39"/>
      <c r="AR1164" s="39"/>
      <c r="AS1164" s="39"/>
      <c r="AT1164" s="39">
        <f t="shared" ref="AT1164:AT1405" si="762">AS1164-AQ1164</f>
        <v>0</v>
      </c>
      <c r="AU1164" s="39"/>
      <c r="AV1164" s="39"/>
      <c r="AW1164" s="39"/>
      <c r="AX1164" s="39"/>
      <c r="AY1164" s="39"/>
      <c r="AZ1164" s="39">
        <f t="shared" ref="AZ1164:AZ1405" si="763">AY1164-AW1164</f>
        <v>0</v>
      </c>
      <c r="BA1164" s="39"/>
      <c r="BB1164" s="39"/>
      <c r="BC1164" s="39"/>
      <c r="BD1164" s="39"/>
      <c r="BE1164" s="39"/>
      <c r="BF1164" s="39">
        <f t="shared" ref="BF1164:BF1405" si="764">BE1164-BC1164</f>
        <v>0</v>
      </c>
      <c r="BG1164" s="39"/>
      <c r="BH1164" s="39"/>
      <c r="BI1164" s="39"/>
      <c r="BJ1164" s="39"/>
      <c r="BK1164" s="39"/>
      <c r="BL1164" s="39">
        <f t="shared" si="746"/>
        <v>0</v>
      </c>
      <c r="BM1164" s="54" t="e">
        <f t="shared" ref="BM1164:BM1405" si="765">IF((BZ1164/L1164)&lt;0.9,$CO$1-U1164,"")</f>
        <v>#DIV/0!</v>
      </c>
      <c r="BN1164" s="67"/>
      <c r="BO1164" s="39"/>
      <c r="BP1164" s="39"/>
      <c r="BQ1164" s="39"/>
      <c r="BR1164" s="39"/>
      <c r="BS1164" s="39"/>
      <c r="BT1164" s="39"/>
      <c r="BU1164" s="39"/>
      <c r="BV1164" s="39"/>
      <c r="BW1164" s="39"/>
      <c r="BX1164" s="39"/>
      <c r="BY1164" s="39"/>
      <c r="BZ1164" s="39">
        <f t="shared" si="747"/>
        <v>0</v>
      </c>
      <c r="CA1164" s="39">
        <f t="shared" ref="CA1164:CA1405" si="766">BU1164-I1164</f>
        <v>0</v>
      </c>
      <c r="CB1164" s="39">
        <f t="shared" ref="CB1164:CB1405" si="767">BW1164-J1164</f>
        <v>0</v>
      </c>
      <c r="CC1164" s="39">
        <f t="shared" ref="CC1164:CC1405" si="768">BY1164-K1164</f>
        <v>0</v>
      </c>
      <c r="CD1164" s="39">
        <f t="shared" si="748"/>
        <v>0</v>
      </c>
      <c r="CE1164" s="47" t="e">
        <f t="shared" ref="CE1164:CE1405" si="769">CD1164/L1164</f>
        <v>#DIV/0!</v>
      </c>
      <c r="CF1164" s="36"/>
      <c r="CG1164" s="39"/>
      <c r="CH1164" s="39"/>
      <c r="CI1164" s="25">
        <v>2</v>
      </c>
    </row>
    <row r="1165" spans="1:87" ht="24.75" customHeight="1">
      <c r="A1165" s="36" t="s">
        <v>303</v>
      </c>
      <c r="B1165" s="55"/>
      <c r="C1165" s="36"/>
      <c r="D1165" s="36"/>
      <c r="E1165" s="39"/>
      <c r="F1165" s="39"/>
      <c r="G1165" s="36"/>
      <c r="H1165" s="39"/>
      <c r="I1165" s="39"/>
      <c r="J1165" s="39"/>
      <c r="K1165" s="39"/>
      <c r="L1165" s="39">
        <f t="shared" si="751"/>
        <v>0</v>
      </c>
      <c r="M1165" s="39"/>
      <c r="N1165" s="39"/>
      <c r="O1165" s="39"/>
      <c r="P1165" s="39"/>
      <c r="Q1165" s="39"/>
      <c r="R1165" s="39">
        <f t="shared" si="752"/>
        <v>0</v>
      </c>
      <c r="S1165" s="39"/>
      <c r="T1165" s="39"/>
      <c r="U1165" s="39"/>
      <c r="V1165" s="39"/>
      <c r="W1165" s="39"/>
      <c r="X1165" s="39"/>
      <c r="Y1165" s="39"/>
      <c r="Z1165" s="39"/>
      <c r="AA1165" s="39"/>
      <c r="AB1165" s="39">
        <f t="shared" si="753"/>
        <v>0</v>
      </c>
      <c r="AC1165" s="39"/>
      <c r="AD1165" s="39"/>
      <c r="AE1165" s="39"/>
      <c r="AF1165" s="39"/>
      <c r="AG1165" s="39"/>
      <c r="AH1165" s="39">
        <f t="shared" si="745"/>
        <v>0</v>
      </c>
      <c r="AI1165" s="39"/>
      <c r="AJ1165" s="39"/>
      <c r="AK1165" s="39"/>
      <c r="AL1165" s="39"/>
      <c r="AM1165" s="39"/>
      <c r="AN1165" s="39">
        <f t="shared" si="744"/>
        <v>0</v>
      </c>
      <c r="AO1165" s="39"/>
      <c r="AP1165" s="39"/>
      <c r="AQ1165" s="39"/>
      <c r="AR1165" s="39"/>
      <c r="AS1165" s="39"/>
      <c r="AT1165" s="39">
        <f t="shared" si="762"/>
        <v>0</v>
      </c>
      <c r="AU1165" s="39"/>
      <c r="AV1165" s="39"/>
      <c r="AW1165" s="39"/>
      <c r="AX1165" s="39"/>
      <c r="AY1165" s="39"/>
      <c r="AZ1165" s="39">
        <f t="shared" si="763"/>
        <v>0</v>
      </c>
      <c r="BA1165" s="39"/>
      <c r="BB1165" s="39"/>
      <c r="BC1165" s="39"/>
      <c r="BD1165" s="39"/>
      <c r="BE1165" s="39"/>
      <c r="BF1165" s="39">
        <f t="shared" si="764"/>
        <v>0</v>
      </c>
      <c r="BG1165" s="39"/>
      <c r="BH1165" s="39"/>
      <c r="BI1165" s="39"/>
      <c r="BJ1165" s="39"/>
      <c r="BK1165" s="39"/>
      <c r="BL1165" s="39">
        <f t="shared" si="746"/>
        <v>0</v>
      </c>
      <c r="BM1165" s="54" t="e">
        <f t="shared" si="765"/>
        <v>#DIV/0!</v>
      </c>
      <c r="BN1165" s="67"/>
      <c r="BO1165" s="39"/>
      <c r="BP1165" s="39"/>
      <c r="BQ1165" s="39"/>
      <c r="BR1165" s="39"/>
      <c r="BS1165" s="39"/>
      <c r="BT1165" s="39"/>
      <c r="BU1165" s="39"/>
      <c r="BV1165" s="39"/>
      <c r="BW1165" s="39"/>
      <c r="BX1165" s="39"/>
      <c r="BY1165" s="39"/>
      <c r="BZ1165" s="39">
        <f t="shared" si="747"/>
        <v>0</v>
      </c>
      <c r="CA1165" s="39">
        <f t="shared" si="766"/>
        <v>0</v>
      </c>
      <c r="CB1165" s="39">
        <f t="shared" si="767"/>
        <v>0</v>
      </c>
      <c r="CC1165" s="39">
        <f t="shared" si="768"/>
        <v>0</v>
      </c>
      <c r="CD1165" s="39">
        <f t="shared" si="748"/>
        <v>0</v>
      </c>
      <c r="CE1165" s="47" t="e">
        <f t="shared" si="769"/>
        <v>#DIV/0!</v>
      </c>
      <c r="CF1165" s="36"/>
      <c r="CG1165" s="39"/>
      <c r="CH1165" s="39"/>
      <c r="CI1165" s="25">
        <v>2</v>
      </c>
    </row>
    <row r="1166" spans="1:87" ht="24.75" customHeight="1">
      <c r="A1166" s="36" t="s">
        <v>303</v>
      </c>
      <c r="B1166" s="55"/>
      <c r="C1166" s="36"/>
      <c r="D1166" s="36"/>
      <c r="E1166" s="39"/>
      <c r="F1166" s="39"/>
      <c r="G1166" s="36"/>
      <c r="H1166" s="39"/>
      <c r="I1166" s="39"/>
      <c r="J1166" s="39"/>
      <c r="K1166" s="39"/>
      <c r="L1166" s="39">
        <f t="shared" si="751"/>
        <v>0</v>
      </c>
      <c r="M1166" s="39"/>
      <c r="N1166" s="39"/>
      <c r="O1166" s="39"/>
      <c r="P1166" s="39"/>
      <c r="Q1166" s="39"/>
      <c r="R1166" s="39">
        <f t="shared" si="752"/>
        <v>0</v>
      </c>
      <c r="S1166" s="39"/>
      <c r="T1166" s="39"/>
      <c r="U1166" s="39"/>
      <c r="V1166" s="39"/>
      <c r="W1166" s="39"/>
      <c r="X1166" s="39"/>
      <c r="Y1166" s="39"/>
      <c r="Z1166" s="39"/>
      <c r="AA1166" s="39"/>
      <c r="AB1166" s="39">
        <f t="shared" si="753"/>
        <v>0</v>
      </c>
      <c r="AC1166" s="39"/>
      <c r="AD1166" s="39"/>
      <c r="AE1166" s="39"/>
      <c r="AF1166" s="39"/>
      <c r="AG1166" s="39"/>
      <c r="AH1166" s="39">
        <f t="shared" si="745"/>
        <v>0</v>
      </c>
      <c r="AI1166" s="39"/>
      <c r="AJ1166" s="39"/>
      <c r="AK1166" s="39"/>
      <c r="AL1166" s="39"/>
      <c r="AM1166" s="39"/>
      <c r="AN1166" s="39">
        <f t="shared" si="744"/>
        <v>0</v>
      </c>
      <c r="AO1166" s="39"/>
      <c r="AP1166" s="39"/>
      <c r="AQ1166" s="39"/>
      <c r="AR1166" s="39"/>
      <c r="AS1166" s="39"/>
      <c r="AT1166" s="39">
        <f t="shared" si="762"/>
        <v>0</v>
      </c>
      <c r="AU1166" s="39"/>
      <c r="AV1166" s="39"/>
      <c r="AW1166" s="39"/>
      <c r="AX1166" s="39"/>
      <c r="AY1166" s="39"/>
      <c r="AZ1166" s="39">
        <f t="shared" si="763"/>
        <v>0</v>
      </c>
      <c r="BA1166" s="39"/>
      <c r="BB1166" s="39"/>
      <c r="BC1166" s="39"/>
      <c r="BD1166" s="39"/>
      <c r="BE1166" s="39"/>
      <c r="BF1166" s="39">
        <f t="shared" si="764"/>
        <v>0</v>
      </c>
      <c r="BG1166" s="39"/>
      <c r="BH1166" s="39"/>
      <c r="BI1166" s="39"/>
      <c r="BJ1166" s="39"/>
      <c r="BK1166" s="39"/>
      <c r="BL1166" s="39">
        <f t="shared" si="746"/>
        <v>0</v>
      </c>
      <c r="BM1166" s="54" t="e">
        <f t="shared" si="765"/>
        <v>#DIV/0!</v>
      </c>
      <c r="BN1166" s="67"/>
      <c r="BO1166" s="39"/>
      <c r="BP1166" s="39"/>
      <c r="BQ1166" s="39"/>
      <c r="BR1166" s="39"/>
      <c r="BS1166" s="39"/>
      <c r="BT1166" s="39"/>
      <c r="BU1166" s="39"/>
      <c r="BV1166" s="39"/>
      <c r="BW1166" s="39"/>
      <c r="BX1166" s="39"/>
      <c r="BY1166" s="39"/>
      <c r="BZ1166" s="39">
        <f t="shared" si="747"/>
        <v>0</v>
      </c>
      <c r="CA1166" s="39">
        <f t="shared" si="766"/>
        <v>0</v>
      </c>
      <c r="CB1166" s="39">
        <f t="shared" si="767"/>
        <v>0</v>
      </c>
      <c r="CC1166" s="39">
        <f t="shared" si="768"/>
        <v>0</v>
      </c>
      <c r="CD1166" s="39">
        <f t="shared" si="748"/>
        <v>0</v>
      </c>
      <c r="CE1166" s="47" t="e">
        <f t="shared" si="769"/>
        <v>#DIV/0!</v>
      </c>
      <c r="CF1166" s="36"/>
      <c r="CG1166" s="39"/>
      <c r="CH1166" s="39"/>
      <c r="CI1166" s="25">
        <v>2</v>
      </c>
    </row>
    <row r="1167" spans="1:87" ht="24.75" customHeight="1">
      <c r="A1167" s="36" t="s">
        <v>303</v>
      </c>
      <c r="B1167" s="55">
        <v>48561</v>
      </c>
      <c r="C1167" s="227" t="s">
        <v>2473</v>
      </c>
      <c r="D1167" s="36"/>
      <c r="E1167" s="39">
        <v>310</v>
      </c>
      <c r="F1167" s="39" t="s">
        <v>58</v>
      </c>
      <c r="G1167" s="36" t="s">
        <v>41</v>
      </c>
      <c r="H1167" s="36" t="s">
        <v>2474</v>
      </c>
      <c r="I1167" s="39">
        <v>227</v>
      </c>
      <c r="J1167" s="39"/>
      <c r="K1167" s="39">
        <v>11</v>
      </c>
      <c r="L1167" s="39">
        <f t="shared" ref="L1167:L1169" si="770">SUM(I1167:K1167)</f>
        <v>238</v>
      </c>
      <c r="M1167" s="117">
        <v>46275</v>
      </c>
      <c r="N1167" s="117">
        <v>46287</v>
      </c>
      <c r="O1167" s="39"/>
      <c r="P1167" s="39"/>
      <c r="Q1167" s="39"/>
      <c r="R1167" s="39">
        <f t="shared" ref="R1167" si="771">SUM(O1167:Q1167)</f>
        <v>0</v>
      </c>
      <c r="S1167" s="39" t="s">
        <v>130</v>
      </c>
      <c r="T1167" s="39"/>
      <c r="U1167" s="39"/>
      <c r="V1167" s="39"/>
      <c r="W1167" s="39"/>
      <c r="X1167" s="39"/>
      <c r="Y1167" s="39"/>
      <c r="Z1167" s="39"/>
      <c r="AA1167" s="39"/>
      <c r="AB1167" s="118">
        <f t="shared" si="753"/>
        <v>0</v>
      </c>
      <c r="AC1167" s="39"/>
      <c r="AD1167" s="39"/>
      <c r="AE1167" s="39"/>
      <c r="AF1167" s="39"/>
      <c r="AG1167" s="39"/>
      <c r="AH1167" s="39">
        <f t="shared" si="745"/>
        <v>0</v>
      </c>
      <c r="AI1167" s="39"/>
      <c r="AJ1167" s="39"/>
      <c r="AK1167" s="39"/>
      <c r="AL1167" s="39"/>
      <c r="AM1167" s="39"/>
      <c r="AN1167" s="39">
        <f t="shared" si="744"/>
        <v>0</v>
      </c>
      <c r="AO1167" s="39"/>
      <c r="AP1167" s="39"/>
      <c r="AQ1167" s="39"/>
      <c r="AR1167" s="39"/>
      <c r="AS1167" s="39"/>
      <c r="AT1167" s="39">
        <f t="shared" si="762"/>
        <v>0</v>
      </c>
      <c r="AU1167" s="39"/>
      <c r="AV1167" s="39"/>
      <c r="AW1167" s="39"/>
      <c r="AX1167" s="39"/>
      <c r="AY1167" s="39"/>
      <c r="AZ1167" s="39">
        <f t="shared" si="763"/>
        <v>0</v>
      </c>
      <c r="BA1167" s="39"/>
      <c r="BB1167" s="39"/>
      <c r="BC1167" s="39"/>
      <c r="BD1167" s="39"/>
      <c r="BE1167" s="39"/>
      <c r="BF1167" s="39">
        <f t="shared" si="764"/>
        <v>0</v>
      </c>
      <c r="BG1167" s="39"/>
      <c r="BH1167" s="39"/>
      <c r="BI1167" s="39"/>
      <c r="BJ1167" s="39"/>
      <c r="BK1167" s="39"/>
      <c r="BL1167" s="39">
        <f t="shared" si="746"/>
        <v>0</v>
      </c>
      <c r="BM1167" s="54">
        <f t="shared" ca="1" si="765"/>
        <v>46283</v>
      </c>
      <c r="BN1167" s="62">
        <v>46287</v>
      </c>
      <c r="BO1167" s="117">
        <v>46301</v>
      </c>
      <c r="BP1167" s="39"/>
      <c r="BQ1167" s="39"/>
      <c r="BR1167" s="39"/>
      <c r="BS1167" s="39"/>
      <c r="BT1167" s="39"/>
      <c r="BU1167" s="39"/>
      <c r="BV1167" s="39"/>
      <c r="BW1167" s="39"/>
      <c r="BX1167" s="39"/>
      <c r="BY1167" s="39"/>
      <c r="BZ1167" s="39">
        <f t="shared" si="747"/>
        <v>0</v>
      </c>
      <c r="CA1167" s="39">
        <f t="shared" si="766"/>
        <v>-227</v>
      </c>
      <c r="CB1167" s="39">
        <f t="shared" si="767"/>
        <v>0</v>
      </c>
      <c r="CC1167" s="39">
        <f t="shared" si="768"/>
        <v>-11</v>
      </c>
      <c r="CD1167" s="39">
        <f t="shared" si="748"/>
        <v>-238</v>
      </c>
      <c r="CE1167" s="102">
        <f t="shared" si="769"/>
        <v>-1</v>
      </c>
      <c r="CF1167" s="36"/>
      <c r="CG1167" s="39" t="s">
        <v>235</v>
      </c>
      <c r="CH1167" s="39"/>
      <c r="CI1167" s="25">
        <v>3</v>
      </c>
    </row>
    <row r="1168" spans="1:87" ht="24.75" customHeight="1">
      <c r="A1168" s="36" t="s">
        <v>303</v>
      </c>
      <c r="B1168" s="55">
        <v>48561</v>
      </c>
      <c r="C1168" s="231"/>
      <c r="D1168" s="36"/>
      <c r="E1168" s="39">
        <v>310</v>
      </c>
      <c r="F1168" s="39" t="s">
        <v>58</v>
      </c>
      <c r="G1168" s="36" t="s">
        <v>2475</v>
      </c>
      <c r="H1168" s="36" t="s">
        <v>2474</v>
      </c>
      <c r="I1168" s="39">
        <v>227</v>
      </c>
      <c r="J1168" s="39"/>
      <c r="K1168" s="39">
        <v>11</v>
      </c>
      <c r="L1168" s="39">
        <f t="shared" si="770"/>
        <v>238</v>
      </c>
      <c r="M1168" s="117">
        <v>46275</v>
      </c>
      <c r="N1168" s="117">
        <v>46287</v>
      </c>
      <c r="O1168" s="39"/>
      <c r="P1168" s="39"/>
      <c r="Q1168" s="39"/>
      <c r="R1168" s="39">
        <f t="shared" ref="R1168:R1169" si="772">SUM(O1168:Q1168)</f>
        <v>0</v>
      </c>
      <c r="S1168" s="39" t="s">
        <v>130</v>
      </c>
      <c r="T1168" s="39"/>
      <c r="U1168" s="39"/>
      <c r="V1168" s="39"/>
      <c r="W1168" s="39"/>
      <c r="X1168" s="39"/>
      <c r="Y1168" s="39"/>
      <c r="Z1168" s="39"/>
      <c r="AA1168" s="39"/>
      <c r="AB1168" s="118">
        <f t="shared" si="753"/>
        <v>0</v>
      </c>
      <c r="AC1168" s="39"/>
      <c r="AD1168" s="39"/>
      <c r="AE1168" s="39"/>
      <c r="AF1168" s="39"/>
      <c r="AG1168" s="39"/>
      <c r="AH1168" s="39">
        <f t="shared" si="745"/>
        <v>0</v>
      </c>
      <c r="AI1168" s="39"/>
      <c r="AJ1168" s="39"/>
      <c r="AK1168" s="39"/>
      <c r="AL1168" s="39"/>
      <c r="AM1168" s="39"/>
      <c r="AN1168" s="39">
        <f t="shared" si="744"/>
        <v>0</v>
      </c>
      <c r="AO1168" s="39"/>
      <c r="AP1168" s="39"/>
      <c r="AQ1168" s="39"/>
      <c r="AR1168" s="39"/>
      <c r="AS1168" s="39"/>
      <c r="AT1168" s="39">
        <f t="shared" si="762"/>
        <v>0</v>
      </c>
      <c r="AU1168" s="39"/>
      <c r="AV1168" s="39"/>
      <c r="AW1168" s="39"/>
      <c r="AX1168" s="39"/>
      <c r="AY1168" s="39"/>
      <c r="AZ1168" s="39">
        <f t="shared" si="763"/>
        <v>0</v>
      </c>
      <c r="BA1168" s="39"/>
      <c r="BB1168" s="39"/>
      <c r="BC1168" s="39"/>
      <c r="BD1168" s="39"/>
      <c r="BE1168" s="39"/>
      <c r="BF1168" s="39">
        <f t="shared" si="764"/>
        <v>0</v>
      </c>
      <c r="BG1168" s="39"/>
      <c r="BH1168" s="39"/>
      <c r="BI1168" s="39"/>
      <c r="BJ1168" s="39"/>
      <c r="BK1168" s="39"/>
      <c r="BL1168" s="39">
        <f t="shared" si="746"/>
        <v>0</v>
      </c>
      <c r="BM1168" s="54">
        <f t="shared" ca="1" si="765"/>
        <v>46283</v>
      </c>
      <c r="BN1168" s="62">
        <v>46287</v>
      </c>
      <c r="BO1168" s="117">
        <v>46301</v>
      </c>
      <c r="BP1168" s="39"/>
      <c r="BQ1168" s="39"/>
      <c r="BR1168" s="39"/>
      <c r="BS1168" s="39"/>
      <c r="BT1168" s="39"/>
      <c r="BU1168" s="39"/>
      <c r="BV1168" s="39"/>
      <c r="BW1168" s="39"/>
      <c r="BX1168" s="39"/>
      <c r="BY1168" s="39"/>
      <c r="BZ1168" s="39">
        <f t="shared" si="747"/>
        <v>0</v>
      </c>
      <c r="CA1168" s="39">
        <f t="shared" si="766"/>
        <v>-227</v>
      </c>
      <c r="CB1168" s="39">
        <f t="shared" si="767"/>
        <v>0</v>
      </c>
      <c r="CC1168" s="39">
        <f t="shared" si="768"/>
        <v>-11</v>
      </c>
      <c r="CD1168" s="39">
        <f t="shared" si="748"/>
        <v>-238</v>
      </c>
      <c r="CE1168" s="102">
        <f t="shared" si="769"/>
        <v>-1</v>
      </c>
      <c r="CF1168" s="36"/>
      <c r="CG1168" s="39" t="s">
        <v>235</v>
      </c>
      <c r="CH1168" s="39"/>
      <c r="CI1168" s="25">
        <v>3</v>
      </c>
    </row>
    <row r="1169" spans="1:87" ht="24.75" customHeight="1">
      <c r="A1169" s="36" t="s">
        <v>303</v>
      </c>
      <c r="B1169" s="55">
        <v>48561</v>
      </c>
      <c r="C1169" s="228"/>
      <c r="D1169" s="36"/>
      <c r="E1169" s="39">
        <v>310</v>
      </c>
      <c r="F1169" s="39" t="s">
        <v>58</v>
      </c>
      <c r="G1169" s="36" t="s">
        <v>2476</v>
      </c>
      <c r="H1169" s="36" t="s">
        <v>2474</v>
      </c>
      <c r="I1169" s="39">
        <v>227</v>
      </c>
      <c r="J1169" s="39"/>
      <c r="K1169" s="39">
        <v>11</v>
      </c>
      <c r="L1169" s="39">
        <f t="shared" si="770"/>
        <v>238</v>
      </c>
      <c r="M1169" s="117">
        <v>46275</v>
      </c>
      <c r="N1169" s="117">
        <v>46287</v>
      </c>
      <c r="O1169" s="39"/>
      <c r="P1169" s="39"/>
      <c r="Q1169" s="39"/>
      <c r="R1169" s="39">
        <f t="shared" si="772"/>
        <v>0</v>
      </c>
      <c r="S1169" s="39" t="s">
        <v>130</v>
      </c>
      <c r="T1169" s="39"/>
      <c r="U1169" s="39"/>
      <c r="V1169" s="39"/>
      <c r="W1169" s="39"/>
      <c r="X1169" s="39"/>
      <c r="Y1169" s="39"/>
      <c r="Z1169" s="39"/>
      <c r="AA1169" s="39"/>
      <c r="AB1169" s="118">
        <f t="shared" si="753"/>
        <v>0</v>
      </c>
      <c r="AC1169" s="39"/>
      <c r="AD1169" s="39"/>
      <c r="AE1169" s="39"/>
      <c r="AF1169" s="39"/>
      <c r="AG1169" s="39"/>
      <c r="AH1169" s="39">
        <f t="shared" si="745"/>
        <v>0</v>
      </c>
      <c r="AI1169" s="39"/>
      <c r="AJ1169" s="39"/>
      <c r="AK1169" s="39"/>
      <c r="AL1169" s="39"/>
      <c r="AM1169" s="39"/>
      <c r="AN1169" s="39">
        <f t="shared" si="744"/>
        <v>0</v>
      </c>
      <c r="AO1169" s="39"/>
      <c r="AP1169" s="39"/>
      <c r="AQ1169" s="39"/>
      <c r="AR1169" s="39"/>
      <c r="AS1169" s="39"/>
      <c r="AT1169" s="39">
        <f t="shared" si="762"/>
        <v>0</v>
      </c>
      <c r="AU1169" s="39"/>
      <c r="AV1169" s="39"/>
      <c r="AW1169" s="39"/>
      <c r="AX1169" s="39"/>
      <c r="AY1169" s="39"/>
      <c r="AZ1169" s="39">
        <f t="shared" si="763"/>
        <v>0</v>
      </c>
      <c r="BA1169" s="39"/>
      <c r="BB1169" s="39"/>
      <c r="BC1169" s="39"/>
      <c r="BD1169" s="39"/>
      <c r="BE1169" s="39"/>
      <c r="BF1169" s="39">
        <f t="shared" si="764"/>
        <v>0</v>
      </c>
      <c r="BG1169" s="39"/>
      <c r="BH1169" s="39"/>
      <c r="BI1169" s="39"/>
      <c r="BJ1169" s="39"/>
      <c r="BK1169" s="39"/>
      <c r="BL1169" s="39">
        <f t="shared" si="746"/>
        <v>0</v>
      </c>
      <c r="BM1169" s="54">
        <f t="shared" ca="1" si="765"/>
        <v>46283</v>
      </c>
      <c r="BN1169" s="62">
        <v>46287</v>
      </c>
      <c r="BO1169" s="117">
        <v>46301</v>
      </c>
      <c r="BP1169" s="39"/>
      <c r="BQ1169" s="39"/>
      <c r="BR1169" s="39"/>
      <c r="BS1169" s="39"/>
      <c r="BT1169" s="39"/>
      <c r="BU1169" s="39"/>
      <c r="BV1169" s="39"/>
      <c r="BW1169" s="39"/>
      <c r="BX1169" s="39"/>
      <c r="BY1169" s="39"/>
      <c r="BZ1169" s="39">
        <f t="shared" si="747"/>
        <v>0</v>
      </c>
      <c r="CA1169" s="39">
        <f t="shared" si="766"/>
        <v>-227</v>
      </c>
      <c r="CB1169" s="39">
        <f t="shared" si="767"/>
        <v>0</v>
      </c>
      <c r="CC1169" s="39">
        <f t="shared" si="768"/>
        <v>-11</v>
      </c>
      <c r="CD1169" s="39">
        <f t="shared" si="748"/>
        <v>-238</v>
      </c>
      <c r="CE1169" s="102">
        <f t="shared" si="769"/>
        <v>-1</v>
      </c>
      <c r="CF1169" s="36"/>
      <c r="CG1169" s="39" t="s">
        <v>235</v>
      </c>
      <c r="CH1169" s="39"/>
      <c r="CI1169" s="25">
        <v>3</v>
      </c>
    </row>
    <row r="1170" spans="1:87" ht="24.75" customHeight="1">
      <c r="A1170" s="36" t="s">
        <v>303</v>
      </c>
      <c r="B1170" s="55" t="s">
        <v>2648</v>
      </c>
      <c r="C1170" s="227" t="s">
        <v>2649</v>
      </c>
      <c r="D1170" s="36"/>
      <c r="E1170" s="39">
        <v>340</v>
      </c>
      <c r="F1170" s="39" t="s">
        <v>63</v>
      </c>
      <c r="G1170" s="36" t="s">
        <v>1015</v>
      </c>
      <c r="H1170" s="36" t="s">
        <v>212</v>
      </c>
      <c r="I1170" s="39">
        <v>273</v>
      </c>
      <c r="J1170" s="39">
        <v>28</v>
      </c>
      <c r="K1170" s="39"/>
      <c r="L1170" s="39">
        <f t="shared" ref="L1170:L1172" si="773">SUM(I1170:K1170)</f>
        <v>301</v>
      </c>
      <c r="M1170" s="117">
        <v>46277</v>
      </c>
      <c r="N1170" s="117">
        <v>46286</v>
      </c>
      <c r="O1170" s="39"/>
      <c r="P1170" s="39"/>
      <c r="Q1170" s="39"/>
      <c r="R1170" s="39">
        <f t="shared" ref="R1170:R1173" si="774">SUM(O1170:Q1170)</f>
        <v>0</v>
      </c>
      <c r="S1170" s="39" t="s">
        <v>130</v>
      </c>
      <c r="T1170" s="39"/>
      <c r="U1170" s="39"/>
      <c r="V1170" s="39"/>
      <c r="W1170" s="39"/>
      <c r="X1170" s="39"/>
      <c r="Y1170" s="39"/>
      <c r="Z1170" s="39"/>
      <c r="AA1170" s="39"/>
      <c r="AB1170" s="118">
        <f t="shared" si="753"/>
        <v>0</v>
      </c>
      <c r="AC1170" s="39"/>
      <c r="AD1170" s="39"/>
      <c r="AE1170" s="39"/>
      <c r="AF1170" s="39"/>
      <c r="AG1170" s="39"/>
      <c r="AH1170" s="39">
        <f t="shared" si="745"/>
        <v>0</v>
      </c>
      <c r="AI1170" s="39"/>
      <c r="AJ1170" s="39"/>
      <c r="AK1170" s="39"/>
      <c r="AL1170" s="39"/>
      <c r="AM1170" s="39"/>
      <c r="AN1170" s="39">
        <f t="shared" si="744"/>
        <v>0</v>
      </c>
      <c r="AO1170" s="39"/>
      <c r="AP1170" s="39"/>
      <c r="AQ1170" s="39"/>
      <c r="AR1170" s="39"/>
      <c r="AS1170" s="39"/>
      <c r="AT1170" s="39">
        <f t="shared" si="762"/>
        <v>0</v>
      </c>
      <c r="AU1170" s="39"/>
      <c r="AV1170" s="39"/>
      <c r="AW1170" s="39"/>
      <c r="AX1170" s="39"/>
      <c r="AY1170" s="39"/>
      <c r="AZ1170" s="39">
        <f t="shared" si="763"/>
        <v>0</v>
      </c>
      <c r="BA1170" s="39"/>
      <c r="BB1170" s="39"/>
      <c r="BC1170" s="39"/>
      <c r="BD1170" s="39"/>
      <c r="BE1170" s="39"/>
      <c r="BF1170" s="39">
        <f t="shared" si="764"/>
        <v>0</v>
      </c>
      <c r="BG1170" s="39"/>
      <c r="BH1170" s="39"/>
      <c r="BI1170" s="39"/>
      <c r="BJ1170" s="39"/>
      <c r="BK1170" s="39"/>
      <c r="BL1170" s="39">
        <f t="shared" si="746"/>
        <v>0</v>
      </c>
      <c r="BM1170" s="54">
        <f t="shared" ca="1" si="765"/>
        <v>46283</v>
      </c>
      <c r="BN1170" s="62">
        <v>46290</v>
      </c>
      <c r="BO1170" s="117">
        <v>46305</v>
      </c>
      <c r="BP1170" s="39"/>
      <c r="BQ1170" s="39"/>
      <c r="BR1170" s="39"/>
      <c r="BS1170" s="39"/>
      <c r="BT1170" s="39"/>
      <c r="BU1170" s="39"/>
      <c r="BV1170" s="39"/>
      <c r="BW1170" s="39"/>
      <c r="BX1170" s="39"/>
      <c r="BY1170" s="39"/>
      <c r="BZ1170" s="39">
        <f t="shared" si="747"/>
        <v>0</v>
      </c>
      <c r="CA1170" s="39">
        <f t="shared" si="766"/>
        <v>-273</v>
      </c>
      <c r="CB1170" s="39">
        <f t="shared" si="767"/>
        <v>-28</v>
      </c>
      <c r="CC1170" s="39">
        <f t="shared" si="768"/>
        <v>0</v>
      </c>
      <c r="CD1170" s="39">
        <f t="shared" si="748"/>
        <v>-301</v>
      </c>
      <c r="CE1170" s="102">
        <f t="shared" si="769"/>
        <v>-1</v>
      </c>
      <c r="CF1170" s="36"/>
      <c r="CG1170" s="39" t="s">
        <v>235</v>
      </c>
      <c r="CH1170" s="39"/>
      <c r="CI1170" s="25">
        <v>3</v>
      </c>
    </row>
    <row r="1171" spans="1:87" ht="24.75" customHeight="1">
      <c r="A1171" s="36" t="s">
        <v>303</v>
      </c>
      <c r="B1171" s="55" t="s">
        <v>2648</v>
      </c>
      <c r="C1171" s="231"/>
      <c r="D1171" s="36"/>
      <c r="E1171" s="39">
        <v>340</v>
      </c>
      <c r="F1171" s="39" t="s">
        <v>63</v>
      </c>
      <c r="G1171" s="36" t="s">
        <v>21</v>
      </c>
      <c r="H1171" s="36" t="s">
        <v>212</v>
      </c>
      <c r="I1171" s="39">
        <v>92</v>
      </c>
      <c r="J1171" s="39"/>
      <c r="K1171" s="39"/>
      <c r="L1171" s="39">
        <f t="shared" si="773"/>
        <v>92</v>
      </c>
      <c r="M1171" s="117">
        <v>46277</v>
      </c>
      <c r="N1171" s="117">
        <v>46286</v>
      </c>
      <c r="O1171" s="39"/>
      <c r="P1171" s="39"/>
      <c r="Q1171" s="39"/>
      <c r="R1171" s="39">
        <f t="shared" si="774"/>
        <v>0</v>
      </c>
      <c r="S1171" s="39" t="s">
        <v>130</v>
      </c>
      <c r="T1171" s="39"/>
      <c r="U1171" s="39"/>
      <c r="V1171" s="39"/>
      <c r="W1171" s="39"/>
      <c r="X1171" s="39"/>
      <c r="Y1171" s="39"/>
      <c r="Z1171" s="39"/>
      <c r="AA1171" s="39"/>
      <c r="AB1171" s="118">
        <f t="shared" si="753"/>
        <v>0</v>
      </c>
      <c r="AC1171" s="39"/>
      <c r="AD1171" s="39"/>
      <c r="AE1171" s="39"/>
      <c r="AF1171" s="39"/>
      <c r="AG1171" s="39"/>
      <c r="AH1171" s="39">
        <f t="shared" si="745"/>
        <v>0</v>
      </c>
      <c r="AI1171" s="39"/>
      <c r="AJ1171" s="39"/>
      <c r="AK1171" s="39"/>
      <c r="AL1171" s="39"/>
      <c r="AM1171" s="39"/>
      <c r="AN1171" s="39">
        <f t="shared" si="744"/>
        <v>0</v>
      </c>
      <c r="AO1171" s="39"/>
      <c r="AP1171" s="39"/>
      <c r="AQ1171" s="39"/>
      <c r="AR1171" s="39"/>
      <c r="AS1171" s="39"/>
      <c r="AT1171" s="39">
        <f t="shared" si="762"/>
        <v>0</v>
      </c>
      <c r="AU1171" s="39"/>
      <c r="AV1171" s="39"/>
      <c r="AW1171" s="39"/>
      <c r="AX1171" s="39"/>
      <c r="AY1171" s="39"/>
      <c r="AZ1171" s="39">
        <f t="shared" si="763"/>
        <v>0</v>
      </c>
      <c r="BA1171" s="39"/>
      <c r="BB1171" s="39"/>
      <c r="BC1171" s="39"/>
      <c r="BD1171" s="39"/>
      <c r="BE1171" s="39"/>
      <c r="BF1171" s="39">
        <f t="shared" si="764"/>
        <v>0</v>
      </c>
      <c r="BG1171" s="39"/>
      <c r="BH1171" s="39"/>
      <c r="BI1171" s="39"/>
      <c r="BJ1171" s="39"/>
      <c r="BK1171" s="39"/>
      <c r="BL1171" s="39">
        <f t="shared" si="746"/>
        <v>0</v>
      </c>
      <c r="BM1171" s="54">
        <f t="shared" ca="1" si="765"/>
        <v>46283</v>
      </c>
      <c r="BN1171" s="62">
        <v>46290</v>
      </c>
      <c r="BO1171" s="117">
        <v>46305</v>
      </c>
      <c r="BP1171" s="39"/>
      <c r="BQ1171" s="39"/>
      <c r="BR1171" s="39"/>
      <c r="BS1171" s="39"/>
      <c r="BT1171" s="39"/>
      <c r="BU1171" s="39"/>
      <c r="BV1171" s="39"/>
      <c r="BW1171" s="39"/>
      <c r="BX1171" s="39"/>
      <c r="BY1171" s="39"/>
      <c r="BZ1171" s="39">
        <f t="shared" si="747"/>
        <v>0</v>
      </c>
      <c r="CA1171" s="39">
        <f t="shared" si="766"/>
        <v>-92</v>
      </c>
      <c r="CB1171" s="39">
        <f t="shared" si="767"/>
        <v>0</v>
      </c>
      <c r="CC1171" s="39">
        <f t="shared" si="768"/>
        <v>0</v>
      </c>
      <c r="CD1171" s="39">
        <f t="shared" si="748"/>
        <v>-92</v>
      </c>
      <c r="CE1171" s="102">
        <f t="shared" si="769"/>
        <v>-1</v>
      </c>
      <c r="CF1171" s="36"/>
      <c r="CG1171" s="39" t="s">
        <v>235</v>
      </c>
      <c r="CH1171" s="39"/>
      <c r="CI1171" s="25">
        <v>3</v>
      </c>
    </row>
    <row r="1172" spans="1:87" ht="24.75" customHeight="1">
      <c r="A1172" s="36" t="s">
        <v>303</v>
      </c>
      <c r="B1172" s="55" t="s">
        <v>2648</v>
      </c>
      <c r="C1172" s="231"/>
      <c r="D1172" s="36"/>
      <c r="E1172" s="39"/>
      <c r="F1172" s="39"/>
      <c r="G1172" s="36" t="s">
        <v>944</v>
      </c>
      <c r="H1172" s="36">
        <v>500</v>
      </c>
      <c r="I1172" s="39" t="s">
        <v>90</v>
      </c>
      <c r="J1172" s="39"/>
      <c r="K1172" s="39"/>
      <c r="L1172" s="39">
        <f t="shared" si="773"/>
        <v>0</v>
      </c>
      <c r="M1172" s="117">
        <v>46277</v>
      </c>
      <c r="N1172" s="117">
        <v>46286</v>
      </c>
      <c r="O1172" s="39"/>
      <c r="P1172" s="39"/>
      <c r="Q1172" s="39"/>
      <c r="R1172" s="39">
        <f t="shared" si="774"/>
        <v>0</v>
      </c>
      <c r="S1172" s="39" t="s">
        <v>130</v>
      </c>
      <c r="T1172" s="39"/>
      <c r="U1172" s="39"/>
      <c r="V1172" s="39"/>
      <c r="W1172" s="39"/>
      <c r="X1172" s="39"/>
      <c r="Y1172" s="39"/>
      <c r="Z1172" s="39"/>
      <c r="AA1172" s="39"/>
      <c r="AB1172" s="39">
        <f t="shared" si="753"/>
        <v>0</v>
      </c>
      <c r="AC1172" s="39"/>
      <c r="AD1172" s="39"/>
      <c r="AE1172" s="39"/>
      <c r="AF1172" s="39"/>
      <c r="AG1172" s="39"/>
      <c r="AH1172" s="39">
        <f t="shared" si="745"/>
        <v>0</v>
      </c>
      <c r="AI1172" s="39"/>
      <c r="AJ1172" s="39"/>
      <c r="AK1172" s="39"/>
      <c r="AL1172" s="39"/>
      <c r="AM1172" s="39"/>
      <c r="AN1172" s="39">
        <f t="shared" si="744"/>
        <v>0</v>
      </c>
      <c r="AO1172" s="39"/>
      <c r="AP1172" s="39"/>
      <c r="AQ1172" s="39"/>
      <c r="AR1172" s="39"/>
      <c r="AS1172" s="39"/>
      <c r="AT1172" s="39">
        <f t="shared" si="762"/>
        <v>0</v>
      </c>
      <c r="AU1172" s="39"/>
      <c r="AV1172" s="39"/>
      <c r="AW1172" s="39"/>
      <c r="AX1172" s="39"/>
      <c r="AY1172" s="39"/>
      <c r="AZ1172" s="39">
        <f t="shared" si="763"/>
        <v>0</v>
      </c>
      <c r="BA1172" s="39"/>
      <c r="BB1172" s="39"/>
      <c r="BC1172" s="39"/>
      <c r="BD1172" s="39"/>
      <c r="BE1172" s="39"/>
      <c r="BF1172" s="39">
        <f t="shared" si="764"/>
        <v>0</v>
      </c>
      <c r="BG1172" s="39"/>
      <c r="BH1172" s="39"/>
      <c r="BI1172" s="39"/>
      <c r="BJ1172" s="39"/>
      <c r="BK1172" s="39"/>
      <c r="BL1172" s="39">
        <f t="shared" si="746"/>
        <v>0</v>
      </c>
      <c r="BM1172" s="54" t="e">
        <f t="shared" si="765"/>
        <v>#DIV/0!</v>
      </c>
      <c r="BN1172" s="62">
        <v>46290</v>
      </c>
      <c r="BO1172" s="117">
        <v>46305</v>
      </c>
      <c r="BP1172" s="39"/>
      <c r="BQ1172" s="39"/>
      <c r="BR1172" s="39"/>
      <c r="BS1172" s="39"/>
      <c r="BT1172" s="39"/>
      <c r="BU1172" s="39"/>
      <c r="BV1172" s="39"/>
      <c r="BW1172" s="39"/>
      <c r="BX1172" s="39"/>
      <c r="BY1172" s="39"/>
      <c r="BZ1172" s="39">
        <f t="shared" si="747"/>
        <v>0</v>
      </c>
      <c r="CA1172" s="39" t="e">
        <f t="shared" si="766"/>
        <v>#VALUE!</v>
      </c>
      <c r="CB1172" s="39">
        <f t="shared" si="767"/>
        <v>0</v>
      </c>
      <c r="CC1172" s="39">
        <f t="shared" si="768"/>
        <v>0</v>
      </c>
      <c r="CD1172" s="39">
        <f t="shared" si="748"/>
        <v>0</v>
      </c>
      <c r="CE1172" s="102" t="e">
        <f t="shared" si="769"/>
        <v>#DIV/0!</v>
      </c>
      <c r="CF1172" s="36"/>
      <c r="CG1172" s="39" t="s">
        <v>235</v>
      </c>
      <c r="CH1172" s="39"/>
      <c r="CI1172" s="25">
        <v>3</v>
      </c>
    </row>
    <row r="1173" spans="1:87" ht="24.75" customHeight="1">
      <c r="A1173" s="36" t="s">
        <v>303</v>
      </c>
      <c r="B1173" s="55" t="s">
        <v>2648</v>
      </c>
      <c r="C1173" s="228"/>
      <c r="D1173" s="36"/>
      <c r="E1173" s="39"/>
      <c r="F1173" s="39"/>
      <c r="G1173" s="36" t="s">
        <v>329</v>
      </c>
      <c r="H1173" s="36">
        <f>1000+1000</f>
        <v>2000</v>
      </c>
      <c r="I1173" s="39" t="s">
        <v>90</v>
      </c>
      <c r="J1173" s="39"/>
      <c r="K1173" s="39"/>
      <c r="L1173" s="39">
        <f t="shared" ref="L1173" si="775">SUM(I1173:K1173)</f>
        <v>0</v>
      </c>
      <c r="M1173" s="117">
        <v>46277</v>
      </c>
      <c r="N1173" s="117">
        <v>46286</v>
      </c>
      <c r="O1173" s="39"/>
      <c r="P1173" s="39"/>
      <c r="Q1173" s="39"/>
      <c r="R1173" s="39">
        <f t="shared" si="774"/>
        <v>0</v>
      </c>
      <c r="S1173" s="39" t="s">
        <v>130</v>
      </c>
      <c r="T1173" s="39"/>
      <c r="U1173" s="39"/>
      <c r="V1173" s="39"/>
      <c r="W1173" s="39"/>
      <c r="X1173" s="39"/>
      <c r="Y1173" s="39"/>
      <c r="Z1173" s="39"/>
      <c r="AA1173" s="39"/>
      <c r="AB1173" s="39">
        <f t="shared" si="753"/>
        <v>0</v>
      </c>
      <c r="AC1173" s="39"/>
      <c r="AD1173" s="39"/>
      <c r="AE1173" s="39"/>
      <c r="AF1173" s="39"/>
      <c r="AG1173" s="39"/>
      <c r="AH1173" s="39">
        <f t="shared" si="745"/>
        <v>0</v>
      </c>
      <c r="AI1173" s="39"/>
      <c r="AJ1173" s="39"/>
      <c r="AK1173" s="39"/>
      <c r="AL1173" s="39"/>
      <c r="AM1173" s="39"/>
      <c r="AN1173" s="39">
        <f t="shared" si="744"/>
        <v>0</v>
      </c>
      <c r="AO1173" s="39"/>
      <c r="AP1173" s="39"/>
      <c r="AQ1173" s="39"/>
      <c r="AR1173" s="39"/>
      <c r="AS1173" s="39"/>
      <c r="AT1173" s="39">
        <f t="shared" si="762"/>
        <v>0</v>
      </c>
      <c r="AU1173" s="39"/>
      <c r="AV1173" s="39"/>
      <c r="AW1173" s="39"/>
      <c r="AX1173" s="39"/>
      <c r="AY1173" s="39"/>
      <c r="AZ1173" s="39">
        <f t="shared" si="763"/>
        <v>0</v>
      </c>
      <c r="BA1173" s="39"/>
      <c r="BB1173" s="39"/>
      <c r="BC1173" s="39"/>
      <c r="BD1173" s="39"/>
      <c r="BE1173" s="39"/>
      <c r="BF1173" s="39">
        <f t="shared" si="764"/>
        <v>0</v>
      </c>
      <c r="BG1173" s="39"/>
      <c r="BH1173" s="39"/>
      <c r="BI1173" s="39"/>
      <c r="BJ1173" s="39"/>
      <c r="BK1173" s="39"/>
      <c r="BL1173" s="39">
        <f t="shared" si="746"/>
        <v>0</v>
      </c>
      <c r="BM1173" s="54" t="e">
        <f t="shared" si="765"/>
        <v>#DIV/0!</v>
      </c>
      <c r="BN1173" s="62">
        <v>46290</v>
      </c>
      <c r="BO1173" s="117">
        <v>46305</v>
      </c>
      <c r="BP1173" s="39"/>
      <c r="BQ1173" s="39"/>
      <c r="BR1173" s="39"/>
      <c r="BS1173" s="39"/>
      <c r="BT1173" s="39"/>
      <c r="BU1173" s="39"/>
      <c r="BV1173" s="39"/>
      <c r="BW1173" s="39"/>
      <c r="BX1173" s="39"/>
      <c r="BY1173" s="39"/>
      <c r="BZ1173" s="39">
        <f t="shared" si="747"/>
        <v>0</v>
      </c>
      <c r="CA1173" s="39" t="e">
        <f t="shared" si="766"/>
        <v>#VALUE!</v>
      </c>
      <c r="CB1173" s="39">
        <f t="shared" si="767"/>
        <v>0</v>
      </c>
      <c r="CC1173" s="39">
        <f t="shared" si="768"/>
        <v>0</v>
      </c>
      <c r="CD1173" s="39">
        <f t="shared" si="748"/>
        <v>0</v>
      </c>
      <c r="CE1173" s="102" t="e">
        <f t="shared" si="769"/>
        <v>#DIV/0!</v>
      </c>
      <c r="CF1173" s="36"/>
      <c r="CG1173" s="39" t="s">
        <v>235</v>
      </c>
      <c r="CH1173" s="39"/>
      <c r="CI1173" s="25">
        <v>3</v>
      </c>
    </row>
    <row r="1174" spans="1:87" ht="24.75" customHeight="1">
      <c r="A1174" s="36" t="s">
        <v>303</v>
      </c>
      <c r="B1174" s="55" t="s">
        <v>2844</v>
      </c>
      <c r="C1174" s="227" t="s">
        <v>3018</v>
      </c>
      <c r="D1174" s="36"/>
      <c r="E1174" s="39">
        <v>180</v>
      </c>
      <c r="F1174" s="39" t="s">
        <v>55</v>
      </c>
      <c r="G1174" s="36" t="s">
        <v>21</v>
      </c>
      <c r="H1174" s="36" t="s">
        <v>22</v>
      </c>
      <c r="I1174" s="39">
        <v>876</v>
      </c>
      <c r="J1174" s="39"/>
      <c r="K1174" s="39"/>
      <c r="L1174" s="39">
        <f t="shared" ref="L1174:L1187" si="776">SUM(I1174:K1174)</f>
        <v>876</v>
      </c>
      <c r="M1174" s="117">
        <v>46279</v>
      </c>
      <c r="N1174" s="117">
        <v>46291</v>
      </c>
      <c r="O1174" s="39"/>
      <c r="P1174" s="39"/>
      <c r="Q1174" s="39"/>
      <c r="R1174" s="39">
        <f t="shared" ref="R1174:R1187" si="777">SUM(O1174:Q1174)</f>
        <v>0</v>
      </c>
      <c r="S1174" s="39" t="s">
        <v>130</v>
      </c>
      <c r="T1174" s="39"/>
      <c r="U1174" s="39"/>
      <c r="V1174" s="39"/>
      <c r="W1174" s="39"/>
      <c r="X1174" s="39"/>
      <c r="Y1174" s="39"/>
      <c r="Z1174" s="39"/>
      <c r="AA1174" s="39"/>
      <c r="AB1174" s="118">
        <f t="shared" si="753"/>
        <v>0</v>
      </c>
      <c r="AC1174" s="39"/>
      <c r="AD1174" s="39"/>
      <c r="AE1174" s="39"/>
      <c r="AF1174" s="39"/>
      <c r="AG1174" s="39"/>
      <c r="AH1174" s="39">
        <f t="shared" si="745"/>
        <v>0</v>
      </c>
      <c r="AI1174" s="39"/>
      <c r="AJ1174" s="39"/>
      <c r="AK1174" s="39"/>
      <c r="AL1174" s="39"/>
      <c r="AM1174" s="39"/>
      <c r="AN1174" s="39">
        <f t="shared" si="744"/>
        <v>0</v>
      </c>
      <c r="AO1174" s="39"/>
      <c r="AP1174" s="39"/>
      <c r="AQ1174" s="39"/>
      <c r="AR1174" s="39"/>
      <c r="AS1174" s="39"/>
      <c r="AT1174" s="39">
        <f t="shared" si="762"/>
        <v>0</v>
      </c>
      <c r="AU1174" s="39"/>
      <c r="AV1174" s="39"/>
      <c r="AW1174" s="39"/>
      <c r="AX1174" s="39"/>
      <c r="AY1174" s="39"/>
      <c r="AZ1174" s="39">
        <f t="shared" si="763"/>
        <v>0</v>
      </c>
      <c r="BA1174" s="39"/>
      <c r="BB1174" s="39"/>
      <c r="BC1174" s="39"/>
      <c r="BD1174" s="39"/>
      <c r="BE1174" s="39"/>
      <c r="BF1174" s="39">
        <f t="shared" si="764"/>
        <v>0</v>
      </c>
      <c r="BG1174" s="39"/>
      <c r="BH1174" s="39"/>
      <c r="BI1174" s="39"/>
      <c r="BJ1174" s="39"/>
      <c r="BK1174" s="39"/>
      <c r="BL1174" s="39">
        <f t="shared" si="746"/>
        <v>0</v>
      </c>
      <c r="BM1174" s="54">
        <f t="shared" ca="1" si="765"/>
        <v>46283</v>
      </c>
      <c r="BN1174" s="62">
        <v>46291</v>
      </c>
      <c r="BO1174" s="117">
        <v>46305</v>
      </c>
      <c r="BP1174" s="39"/>
      <c r="BQ1174" s="39"/>
      <c r="BR1174" s="39"/>
      <c r="BS1174" s="39"/>
      <c r="BT1174" s="39"/>
      <c r="BU1174" s="39"/>
      <c r="BV1174" s="39"/>
      <c r="BW1174" s="39"/>
      <c r="BX1174" s="39"/>
      <c r="BY1174" s="39"/>
      <c r="BZ1174" s="39">
        <f t="shared" si="747"/>
        <v>0</v>
      </c>
      <c r="CA1174" s="39">
        <f t="shared" si="766"/>
        <v>-876</v>
      </c>
      <c r="CB1174" s="39">
        <f t="shared" si="767"/>
        <v>0</v>
      </c>
      <c r="CC1174" s="39">
        <f t="shared" si="768"/>
        <v>0</v>
      </c>
      <c r="CD1174" s="39">
        <f t="shared" si="748"/>
        <v>-876</v>
      </c>
      <c r="CE1174" s="102">
        <f t="shared" si="769"/>
        <v>-1</v>
      </c>
      <c r="CF1174" s="36"/>
      <c r="CG1174" s="39" t="s">
        <v>235</v>
      </c>
      <c r="CH1174" s="39"/>
      <c r="CI1174" s="25">
        <v>3</v>
      </c>
    </row>
    <row r="1175" spans="1:87" ht="24.75" customHeight="1">
      <c r="A1175" s="36" t="s">
        <v>303</v>
      </c>
      <c r="B1175" s="55" t="s">
        <v>2844</v>
      </c>
      <c r="C1175" s="231"/>
      <c r="D1175" s="36"/>
      <c r="E1175" s="39">
        <v>180</v>
      </c>
      <c r="F1175" s="39" t="s">
        <v>55</v>
      </c>
      <c r="G1175" s="36" t="s">
        <v>41</v>
      </c>
      <c r="H1175" s="36" t="s">
        <v>22</v>
      </c>
      <c r="I1175" s="39">
        <v>1050</v>
      </c>
      <c r="J1175" s="39"/>
      <c r="K1175" s="39"/>
      <c r="L1175" s="39">
        <f t="shared" si="776"/>
        <v>1050</v>
      </c>
      <c r="M1175" s="117">
        <v>46279</v>
      </c>
      <c r="N1175" s="117">
        <v>46291</v>
      </c>
      <c r="O1175" s="39"/>
      <c r="P1175" s="39"/>
      <c r="Q1175" s="39"/>
      <c r="R1175" s="39">
        <f t="shared" si="777"/>
        <v>0</v>
      </c>
      <c r="S1175" s="39" t="s">
        <v>130</v>
      </c>
      <c r="T1175" s="39"/>
      <c r="U1175" s="39"/>
      <c r="V1175" s="39"/>
      <c r="W1175" s="39"/>
      <c r="X1175" s="39"/>
      <c r="Y1175" s="39"/>
      <c r="Z1175" s="39"/>
      <c r="AA1175" s="39"/>
      <c r="AB1175" s="118">
        <f t="shared" si="753"/>
        <v>0</v>
      </c>
      <c r="AC1175" s="39"/>
      <c r="AD1175" s="39"/>
      <c r="AE1175" s="39"/>
      <c r="AF1175" s="39"/>
      <c r="AG1175" s="39"/>
      <c r="AH1175" s="39">
        <f t="shared" si="745"/>
        <v>0</v>
      </c>
      <c r="AI1175" s="39"/>
      <c r="AJ1175" s="39"/>
      <c r="AK1175" s="39"/>
      <c r="AL1175" s="39"/>
      <c r="AM1175" s="39"/>
      <c r="AN1175" s="39">
        <f t="shared" si="744"/>
        <v>0</v>
      </c>
      <c r="AO1175" s="39"/>
      <c r="AP1175" s="39"/>
      <c r="AQ1175" s="39"/>
      <c r="AR1175" s="39"/>
      <c r="AS1175" s="39"/>
      <c r="AT1175" s="39">
        <f t="shared" si="762"/>
        <v>0</v>
      </c>
      <c r="AU1175" s="39"/>
      <c r="AV1175" s="39"/>
      <c r="AW1175" s="39"/>
      <c r="AX1175" s="39"/>
      <c r="AY1175" s="39"/>
      <c r="AZ1175" s="39">
        <f t="shared" si="763"/>
        <v>0</v>
      </c>
      <c r="BA1175" s="39"/>
      <c r="BB1175" s="39"/>
      <c r="BC1175" s="39"/>
      <c r="BD1175" s="39"/>
      <c r="BE1175" s="39"/>
      <c r="BF1175" s="39">
        <f t="shared" si="764"/>
        <v>0</v>
      </c>
      <c r="BG1175" s="39"/>
      <c r="BH1175" s="39"/>
      <c r="BI1175" s="39"/>
      <c r="BJ1175" s="39"/>
      <c r="BK1175" s="39"/>
      <c r="BL1175" s="39">
        <f t="shared" si="746"/>
        <v>0</v>
      </c>
      <c r="BM1175" s="54">
        <f t="shared" ca="1" si="765"/>
        <v>46283</v>
      </c>
      <c r="BN1175" s="62">
        <v>46291</v>
      </c>
      <c r="BO1175" s="117">
        <v>46305</v>
      </c>
      <c r="BP1175" s="39"/>
      <c r="BQ1175" s="39"/>
      <c r="BR1175" s="39"/>
      <c r="BS1175" s="39"/>
      <c r="BT1175" s="39"/>
      <c r="BU1175" s="39"/>
      <c r="BV1175" s="39"/>
      <c r="BW1175" s="39"/>
      <c r="BX1175" s="39"/>
      <c r="BY1175" s="39"/>
      <c r="BZ1175" s="39">
        <f t="shared" si="747"/>
        <v>0</v>
      </c>
      <c r="CA1175" s="39">
        <f t="shared" si="766"/>
        <v>-1050</v>
      </c>
      <c r="CB1175" s="39">
        <f t="shared" si="767"/>
        <v>0</v>
      </c>
      <c r="CC1175" s="39">
        <f t="shared" si="768"/>
        <v>0</v>
      </c>
      <c r="CD1175" s="39">
        <f t="shared" si="748"/>
        <v>-1050</v>
      </c>
      <c r="CE1175" s="102">
        <f t="shared" si="769"/>
        <v>-1</v>
      </c>
      <c r="CF1175" s="36"/>
      <c r="CG1175" s="39" t="s">
        <v>235</v>
      </c>
      <c r="CH1175" s="39"/>
      <c r="CI1175" s="25">
        <v>3</v>
      </c>
    </row>
    <row r="1176" spans="1:87" ht="24.75" customHeight="1">
      <c r="A1176" s="36" t="s">
        <v>303</v>
      </c>
      <c r="B1176" s="166" t="s">
        <v>2844</v>
      </c>
      <c r="C1176" s="231"/>
      <c r="D1176" s="36"/>
      <c r="E1176" s="39">
        <v>180</v>
      </c>
      <c r="F1176" s="39" t="s">
        <v>55</v>
      </c>
      <c r="G1176" s="163" t="s">
        <v>23</v>
      </c>
      <c r="H1176" s="36" t="s">
        <v>22</v>
      </c>
      <c r="I1176" s="162">
        <f>1050+348</f>
        <v>1398</v>
      </c>
      <c r="J1176" s="39"/>
      <c r="K1176" s="39"/>
      <c r="L1176" s="39">
        <f t="shared" si="776"/>
        <v>1398</v>
      </c>
      <c r="M1176" s="117">
        <v>46279</v>
      </c>
      <c r="N1176" s="117">
        <v>46291</v>
      </c>
      <c r="O1176" s="39"/>
      <c r="P1176" s="39"/>
      <c r="Q1176" s="39"/>
      <c r="R1176" s="39">
        <f t="shared" si="777"/>
        <v>0</v>
      </c>
      <c r="S1176" s="39" t="s">
        <v>130</v>
      </c>
      <c r="T1176" s="39"/>
      <c r="U1176" s="39"/>
      <c r="V1176" s="39"/>
      <c r="W1176" s="39"/>
      <c r="X1176" s="39"/>
      <c r="Y1176" s="39"/>
      <c r="Z1176" s="39"/>
      <c r="AA1176" s="39"/>
      <c r="AB1176" s="118">
        <f t="shared" si="753"/>
        <v>0</v>
      </c>
      <c r="AC1176" s="39"/>
      <c r="AD1176" s="39"/>
      <c r="AE1176" s="39"/>
      <c r="AF1176" s="39"/>
      <c r="AG1176" s="39"/>
      <c r="AH1176" s="39">
        <f t="shared" si="745"/>
        <v>0</v>
      </c>
      <c r="AI1176" s="39"/>
      <c r="AJ1176" s="39"/>
      <c r="AK1176" s="39"/>
      <c r="AL1176" s="39"/>
      <c r="AM1176" s="39"/>
      <c r="AN1176" s="39">
        <f t="shared" si="744"/>
        <v>0</v>
      </c>
      <c r="AO1176" s="39"/>
      <c r="AP1176" s="39"/>
      <c r="AQ1176" s="39"/>
      <c r="AR1176" s="39"/>
      <c r="AS1176" s="39"/>
      <c r="AT1176" s="39">
        <f t="shared" si="762"/>
        <v>0</v>
      </c>
      <c r="AU1176" s="39"/>
      <c r="AV1176" s="39"/>
      <c r="AW1176" s="39"/>
      <c r="AX1176" s="39"/>
      <c r="AY1176" s="39"/>
      <c r="AZ1176" s="39">
        <f t="shared" si="763"/>
        <v>0</v>
      </c>
      <c r="BA1176" s="39"/>
      <c r="BB1176" s="39"/>
      <c r="BC1176" s="39"/>
      <c r="BD1176" s="39"/>
      <c r="BE1176" s="39"/>
      <c r="BF1176" s="39">
        <f t="shared" si="764"/>
        <v>0</v>
      </c>
      <c r="BG1176" s="39"/>
      <c r="BH1176" s="39"/>
      <c r="BI1176" s="39"/>
      <c r="BJ1176" s="39"/>
      <c r="BK1176" s="39"/>
      <c r="BL1176" s="39">
        <f t="shared" si="746"/>
        <v>0</v>
      </c>
      <c r="BM1176" s="54">
        <f t="shared" ca="1" si="765"/>
        <v>46283</v>
      </c>
      <c r="BN1176" s="62">
        <v>46291</v>
      </c>
      <c r="BO1176" s="117">
        <v>46305</v>
      </c>
      <c r="BP1176" s="39"/>
      <c r="BQ1176" s="39"/>
      <c r="BR1176" s="39"/>
      <c r="BS1176" s="39"/>
      <c r="BT1176" s="39"/>
      <c r="BU1176" s="39"/>
      <c r="BV1176" s="39"/>
      <c r="BW1176" s="39"/>
      <c r="BX1176" s="39"/>
      <c r="BY1176" s="39"/>
      <c r="BZ1176" s="39">
        <f t="shared" si="747"/>
        <v>0</v>
      </c>
      <c r="CA1176" s="39">
        <f t="shared" si="766"/>
        <v>-1398</v>
      </c>
      <c r="CB1176" s="39">
        <f t="shared" si="767"/>
        <v>0</v>
      </c>
      <c r="CC1176" s="39">
        <f t="shared" si="768"/>
        <v>0</v>
      </c>
      <c r="CD1176" s="39">
        <f t="shared" si="748"/>
        <v>-1398</v>
      </c>
      <c r="CE1176" s="102">
        <f t="shared" si="769"/>
        <v>-1</v>
      </c>
      <c r="CF1176" s="36"/>
      <c r="CG1176" s="39" t="s">
        <v>235</v>
      </c>
      <c r="CH1176" s="39"/>
      <c r="CI1176" s="25">
        <v>3</v>
      </c>
    </row>
    <row r="1177" spans="1:87" ht="24.75" customHeight="1">
      <c r="A1177" s="36" t="s">
        <v>303</v>
      </c>
      <c r="B1177" s="166" t="s">
        <v>2844</v>
      </c>
      <c r="C1177" s="231"/>
      <c r="D1177" s="36"/>
      <c r="E1177" s="39">
        <v>180</v>
      </c>
      <c r="F1177" s="39" t="s">
        <v>55</v>
      </c>
      <c r="G1177" s="163" t="s">
        <v>470</v>
      </c>
      <c r="H1177" s="36" t="s">
        <v>22</v>
      </c>
      <c r="I1177" s="162">
        <f>285+279</f>
        <v>564</v>
      </c>
      <c r="J1177" s="39"/>
      <c r="K1177" s="39"/>
      <c r="L1177" s="39">
        <f t="shared" si="776"/>
        <v>564</v>
      </c>
      <c r="M1177" s="117">
        <v>46279</v>
      </c>
      <c r="N1177" s="117">
        <v>46291</v>
      </c>
      <c r="O1177" s="39"/>
      <c r="P1177" s="39"/>
      <c r="Q1177" s="39"/>
      <c r="R1177" s="39">
        <f t="shared" si="777"/>
        <v>0</v>
      </c>
      <c r="S1177" s="39" t="s">
        <v>130</v>
      </c>
      <c r="T1177" s="39"/>
      <c r="U1177" s="39"/>
      <c r="V1177" s="39"/>
      <c r="W1177" s="39"/>
      <c r="X1177" s="39"/>
      <c r="Y1177" s="39"/>
      <c r="Z1177" s="39"/>
      <c r="AA1177" s="39"/>
      <c r="AB1177" s="118">
        <f t="shared" si="753"/>
        <v>0</v>
      </c>
      <c r="AC1177" s="39"/>
      <c r="AD1177" s="39"/>
      <c r="AE1177" s="39"/>
      <c r="AF1177" s="39"/>
      <c r="AG1177" s="39"/>
      <c r="AH1177" s="39">
        <f t="shared" si="745"/>
        <v>0</v>
      </c>
      <c r="AI1177" s="39"/>
      <c r="AJ1177" s="39"/>
      <c r="AK1177" s="39"/>
      <c r="AL1177" s="39"/>
      <c r="AM1177" s="39"/>
      <c r="AN1177" s="39">
        <f t="shared" si="744"/>
        <v>0</v>
      </c>
      <c r="AO1177" s="39"/>
      <c r="AP1177" s="39"/>
      <c r="AQ1177" s="39"/>
      <c r="AR1177" s="39"/>
      <c r="AS1177" s="39"/>
      <c r="AT1177" s="39">
        <f t="shared" si="762"/>
        <v>0</v>
      </c>
      <c r="AU1177" s="39"/>
      <c r="AV1177" s="39"/>
      <c r="AW1177" s="39"/>
      <c r="AX1177" s="39"/>
      <c r="AY1177" s="39"/>
      <c r="AZ1177" s="39">
        <f t="shared" si="763"/>
        <v>0</v>
      </c>
      <c r="BA1177" s="39"/>
      <c r="BB1177" s="39"/>
      <c r="BC1177" s="39"/>
      <c r="BD1177" s="39"/>
      <c r="BE1177" s="39"/>
      <c r="BF1177" s="39">
        <f t="shared" si="764"/>
        <v>0</v>
      </c>
      <c r="BG1177" s="39"/>
      <c r="BH1177" s="39"/>
      <c r="BI1177" s="39"/>
      <c r="BJ1177" s="39"/>
      <c r="BK1177" s="39"/>
      <c r="BL1177" s="39">
        <f t="shared" si="746"/>
        <v>0</v>
      </c>
      <c r="BM1177" s="54">
        <f t="shared" ca="1" si="765"/>
        <v>46283</v>
      </c>
      <c r="BN1177" s="62">
        <v>46291</v>
      </c>
      <c r="BO1177" s="117">
        <v>46305</v>
      </c>
      <c r="BP1177" s="39"/>
      <c r="BQ1177" s="39"/>
      <c r="BR1177" s="39"/>
      <c r="BS1177" s="39"/>
      <c r="BT1177" s="39"/>
      <c r="BU1177" s="39"/>
      <c r="BV1177" s="39"/>
      <c r="BW1177" s="39"/>
      <c r="BX1177" s="39"/>
      <c r="BY1177" s="39"/>
      <c r="BZ1177" s="39">
        <f t="shared" si="747"/>
        <v>0</v>
      </c>
      <c r="CA1177" s="39">
        <f t="shared" si="766"/>
        <v>-564</v>
      </c>
      <c r="CB1177" s="39">
        <f t="shared" si="767"/>
        <v>0</v>
      </c>
      <c r="CC1177" s="39">
        <f t="shared" si="768"/>
        <v>0</v>
      </c>
      <c r="CD1177" s="39">
        <f t="shared" si="748"/>
        <v>-564</v>
      </c>
      <c r="CE1177" s="102">
        <f t="shared" si="769"/>
        <v>-1</v>
      </c>
      <c r="CF1177" s="36"/>
      <c r="CG1177" s="39" t="s">
        <v>235</v>
      </c>
      <c r="CH1177" s="39"/>
      <c r="CI1177" s="25">
        <v>3</v>
      </c>
    </row>
    <row r="1178" spans="1:87" ht="24.75" customHeight="1">
      <c r="A1178" s="36" t="s">
        <v>303</v>
      </c>
      <c r="B1178" s="166" t="s">
        <v>2844</v>
      </c>
      <c r="C1178" s="228"/>
      <c r="D1178" s="36"/>
      <c r="E1178" s="39">
        <v>180</v>
      </c>
      <c r="F1178" s="39" t="s">
        <v>55</v>
      </c>
      <c r="G1178" s="163" t="s">
        <v>345</v>
      </c>
      <c r="H1178" s="36" t="s">
        <v>22</v>
      </c>
      <c r="I1178" s="162">
        <f>181+290</f>
        <v>471</v>
      </c>
      <c r="J1178" s="39"/>
      <c r="K1178" s="39"/>
      <c r="L1178" s="39">
        <f t="shared" si="776"/>
        <v>471</v>
      </c>
      <c r="M1178" s="117">
        <v>46279</v>
      </c>
      <c r="N1178" s="117">
        <v>46291</v>
      </c>
      <c r="O1178" s="39"/>
      <c r="P1178" s="39"/>
      <c r="Q1178" s="39"/>
      <c r="R1178" s="39">
        <f t="shared" si="777"/>
        <v>0</v>
      </c>
      <c r="S1178" s="39" t="s">
        <v>130</v>
      </c>
      <c r="T1178" s="39"/>
      <c r="U1178" s="39"/>
      <c r="V1178" s="39"/>
      <c r="W1178" s="39"/>
      <c r="X1178" s="39"/>
      <c r="Y1178" s="39"/>
      <c r="Z1178" s="39"/>
      <c r="AA1178" s="39"/>
      <c r="AB1178" s="118">
        <f t="shared" si="753"/>
        <v>0</v>
      </c>
      <c r="AC1178" s="39"/>
      <c r="AD1178" s="39"/>
      <c r="AE1178" s="39"/>
      <c r="AF1178" s="39"/>
      <c r="AG1178" s="39"/>
      <c r="AH1178" s="39">
        <f t="shared" si="745"/>
        <v>0</v>
      </c>
      <c r="AI1178" s="39"/>
      <c r="AJ1178" s="39"/>
      <c r="AK1178" s="39"/>
      <c r="AL1178" s="39"/>
      <c r="AM1178" s="39"/>
      <c r="AN1178" s="39">
        <f t="shared" si="744"/>
        <v>0</v>
      </c>
      <c r="AO1178" s="39"/>
      <c r="AP1178" s="39"/>
      <c r="AQ1178" s="39"/>
      <c r="AR1178" s="39"/>
      <c r="AS1178" s="39"/>
      <c r="AT1178" s="39">
        <f t="shared" si="762"/>
        <v>0</v>
      </c>
      <c r="AU1178" s="39"/>
      <c r="AV1178" s="39"/>
      <c r="AW1178" s="39"/>
      <c r="AX1178" s="39"/>
      <c r="AY1178" s="39"/>
      <c r="AZ1178" s="39">
        <f t="shared" si="763"/>
        <v>0</v>
      </c>
      <c r="BA1178" s="39"/>
      <c r="BB1178" s="39"/>
      <c r="BC1178" s="39"/>
      <c r="BD1178" s="39"/>
      <c r="BE1178" s="39"/>
      <c r="BF1178" s="39">
        <f t="shared" si="764"/>
        <v>0</v>
      </c>
      <c r="BG1178" s="39"/>
      <c r="BH1178" s="39"/>
      <c r="BI1178" s="39"/>
      <c r="BJ1178" s="39"/>
      <c r="BK1178" s="39"/>
      <c r="BL1178" s="39">
        <f t="shared" si="746"/>
        <v>0</v>
      </c>
      <c r="BM1178" s="54">
        <f t="shared" ca="1" si="765"/>
        <v>46283</v>
      </c>
      <c r="BN1178" s="62">
        <v>46291</v>
      </c>
      <c r="BO1178" s="117">
        <v>46305</v>
      </c>
      <c r="BP1178" s="39"/>
      <c r="BQ1178" s="39"/>
      <c r="BR1178" s="39"/>
      <c r="BS1178" s="39"/>
      <c r="BT1178" s="39"/>
      <c r="BU1178" s="39"/>
      <c r="BV1178" s="39"/>
      <c r="BW1178" s="39"/>
      <c r="BX1178" s="39"/>
      <c r="BY1178" s="39"/>
      <c r="BZ1178" s="39">
        <f t="shared" si="747"/>
        <v>0</v>
      </c>
      <c r="CA1178" s="39">
        <f t="shared" si="766"/>
        <v>-471</v>
      </c>
      <c r="CB1178" s="39">
        <f t="shared" si="767"/>
        <v>0</v>
      </c>
      <c r="CC1178" s="39">
        <f t="shared" si="768"/>
        <v>0</v>
      </c>
      <c r="CD1178" s="39">
        <f t="shared" si="748"/>
        <v>-471</v>
      </c>
      <c r="CE1178" s="102">
        <f t="shared" si="769"/>
        <v>-1</v>
      </c>
      <c r="CF1178" s="36"/>
      <c r="CG1178" s="39" t="s">
        <v>235</v>
      </c>
      <c r="CH1178" s="39"/>
      <c r="CI1178" s="25">
        <v>3</v>
      </c>
    </row>
    <row r="1179" spans="1:87" ht="24.75" customHeight="1">
      <c r="A1179" s="36" t="s">
        <v>303</v>
      </c>
      <c r="B1179" s="55">
        <v>46696</v>
      </c>
      <c r="C1179" s="227">
        <v>68490</v>
      </c>
      <c r="D1179" s="36"/>
      <c r="E1179" s="39">
        <v>180</v>
      </c>
      <c r="F1179" s="39" t="s">
        <v>55</v>
      </c>
      <c r="G1179" s="36" t="s">
        <v>21</v>
      </c>
      <c r="H1179" s="36" t="s">
        <v>22</v>
      </c>
      <c r="I1179" s="39">
        <v>139</v>
      </c>
      <c r="J1179" s="39">
        <v>9</v>
      </c>
      <c r="K1179" s="39"/>
      <c r="L1179" s="39">
        <f t="shared" si="776"/>
        <v>148</v>
      </c>
      <c r="M1179" s="117">
        <v>46280</v>
      </c>
      <c r="N1179" s="117">
        <v>46284</v>
      </c>
      <c r="O1179" s="39"/>
      <c r="P1179" s="39"/>
      <c r="Q1179" s="39"/>
      <c r="R1179" s="39">
        <f t="shared" si="777"/>
        <v>0</v>
      </c>
      <c r="S1179" s="39" t="s">
        <v>130</v>
      </c>
      <c r="T1179" s="39"/>
      <c r="U1179" s="39"/>
      <c r="V1179" s="39"/>
      <c r="W1179" s="39"/>
      <c r="X1179" s="39"/>
      <c r="Y1179" s="39"/>
      <c r="Z1179" s="39"/>
      <c r="AA1179" s="39"/>
      <c r="AB1179" s="118">
        <f t="shared" si="753"/>
        <v>0</v>
      </c>
      <c r="AC1179" s="39"/>
      <c r="AD1179" s="39"/>
      <c r="AE1179" s="39"/>
      <c r="AF1179" s="39"/>
      <c r="AG1179" s="39"/>
      <c r="AH1179" s="39">
        <f t="shared" si="745"/>
        <v>0</v>
      </c>
      <c r="AI1179" s="39"/>
      <c r="AJ1179" s="39"/>
      <c r="AK1179" s="39"/>
      <c r="AL1179" s="39"/>
      <c r="AM1179" s="39"/>
      <c r="AN1179" s="39">
        <f t="shared" si="744"/>
        <v>0</v>
      </c>
      <c r="AO1179" s="39"/>
      <c r="AP1179" s="39"/>
      <c r="AQ1179" s="39"/>
      <c r="AR1179" s="39"/>
      <c r="AS1179" s="39"/>
      <c r="AT1179" s="39">
        <f t="shared" si="762"/>
        <v>0</v>
      </c>
      <c r="AU1179" s="39"/>
      <c r="AV1179" s="39"/>
      <c r="AW1179" s="39"/>
      <c r="AX1179" s="39"/>
      <c r="AY1179" s="39"/>
      <c r="AZ1179" s="39">
        <f t="shared" si="763"/>
        <v>0</v>
      </c>
      <c r="BA1179" s="39"/>
      <c r="BB1179" s="39"/>
      <c r="BC1179" s="39"/>
      <c r="BD1179" s="39"/>
      <c r="BE1179" s="39"/>
      <c r="BF1179" s="39">
        <f t="shared" si="764"/>
        <v>0</v>
      </c>
      <c r="BG1179" s="39"/>
      <c r="BH1179" s="39"/>
      <c r="BI1179" s="39"/>
      <c r="BJ1179" s="39"/>
      <c r="BK1179" s="39"/>
      <c r="BL1179" s="39">
        <f t="shared" si="746"/>
        <v>0</v>
      </c>
      <c r="BM1179" s="54">
        <f t="shared" ca="1" si="765"/>
        <v>46283</v>
      </c>
      <c r="BN1179" s="62">
        <v>46291</v>
      </c>
      <c r="BO1179" s="117">
        <v>46305</v>
      </c>
      <c r="BP1179" s="39"/>
      <c r="BQ1179" s="39"/>
      <c r="BR1179" s="39"/>
      <c r="BS1179" s="39"/>
      <c r="BT1179" s="39"/>
      <c r="BU1179" s="39"/>
      <c r="BV1179" s="39"/>
      <c r="BW1179" s="39"/>
      <c r="BX1179" s="39"/>
      <c r="BY1179" s="39"/>
      <c r="BZ1179" s="39">
        <f t="shared" si="747"/>
        <v>0</v>
      </c>
      <c r="CA1179" s="39">
        <f t="shared" si="766"/>
        <v>-139</v>
      </c>
      <c r="CB1179" s="39">
        <f t="shared" si="767"/>
        <v>-9</v>
      </c>
      <c r="CC1179" s="39">
        <f t="shared" si="768"/>
        <v>0</v>
      </c>
      <c r="CD1179" s="39">
        <f t="shared" si="748"/>
        <v>-148</v>
      </c>
      <c r="CE1179" s="102">
        <f t="shared" si="769"/>
        <v>-1</v>
      </c>
      <c r="CF1179" s="36"/>
      <c r="CG1179" s="39" t="s">
        <v>235</v>
      </c>
      <c r="CH1179" s="39"/>
      <c r="CI1179" s="25">
        <v>3</v>
      </c>
    </row>
    <row r="1180" spans="1:87" ht="24.75" customHeight="1">
      <c r="A1180" s="36" t="s">
        <v>303</v>
      </c>
      <c r="B1180" s="55">
        <v>46696</v>
      </c>
      <c r="C1180" s="231"/>
      <c r="D1180" s="36"/>
      <c r="E1180" s="39">
        <v>180</v>
      </c>
      <c r="F1180" s="39" t="s">
        <v>55</v>
      </c>
      <c r="G1180" s="36" t="s">
        <v>23</v>
      </c>
      <c r="H1180" s="36" t="s">
        <v>22</v>
      </c>
      <c r="I1180" s="39">
        <v>217</v>
      </c>
      <c r="J1180" s="39">
        <v>13</v>
      </c>
      <c r="K1180" s="39"/>
      <c r="L1180" s="39">
        <f t="shared" si="776"/>
        <v>230</v>
      </c>
      <c r="M1180" s="117">
        <v>46280</v>
      </c>
      <c r="N1180" s="117">
        <v>46284</v>
      </c>
      <c r="O1180" s="39"/>
      <c r="P1180" s="39"/>
      <c r="Q1180" s="39"/>
      <c r="R1180" s="39">
        <f t="shared" si="777"/>
        <v>0</v>
      </c>
      <c r="S1180" s="39" t="s">
        <v>130</v>
      </c>
      <c r="T1180" s="39"/>
      <c r="U1180" s="39"/>
      <c r="V1180" s="39"/>
      <c r="W1180" s="39"/>
      <c r="X1180" s="39"/>
      <c r="Y1180" s="39"/>
      <c r="Z1180" s="39"/>
      <c r="AA1180" s="39"/>
      <c r="AB1180" s="118">
        <f t="shared" si="753"/>
        <v>0</v>
      </c>
      <c r="AC1180" s="39"/>
      <c r="AD1180" s="39"/>
      <c r="AE1180" s="39"/>
      <c r="AF1180" s="39"/>
      <c r="AG1180" s="39"/>
      <c r="AH1180" s="39">
        <f t="shared" si="745"/>
        <v>0</v>
      </c>
      <c r="AI1180" s="39"/>
      <c r="AJ1180" s="39"/>
      <c r="AK1180" s="39"/>
      <c r="AL1180" s="39"/>
      <c r="AM1180" s="39"/>
      <c r="AN1180" s="39">
        <f t="shared" si="744"/>
        <v>0</v>
      </c>
      <c r="AO1180" s="39"/>
      <c r="AP1180" s="39"/>
      <c r="AQ1180" s="39"/>
      <c r="AR1180" s="39"/>
      <c r="AS1180" s="39"/>
      <c r="AT1180" s="39">
        <f t="shared" si="762"/>
        <v>0</v>
      </c>
      <c r="AU1180" s="39"/>
      <c r="AV1180" s="39"/>
      <c r="AW1180" s="39"/>
      <c r="AX1180" s="39"/>
      <c r="AY1180" s="39"/>
      <c r="AZ1180" s="39">
        <f t="shared" si="763"/>
        <v>0</v>
      </c>
      <c r="BA1180" s="39"/>
      <c r="BB1180" s="39"/>
      <c r="BC1180" s="39"/>
      <c r="BD1180" s="39"/>
      <c r="BE1180" s="39"/>
      <c r="BF1180" s="39">
        <f t="shared" si="764"/>
        <v>0</v>
      </c>
      <c r="BG1180" s="39"/>
      <c r="BH1180" s="39"/>
      <c r="BI1180" s="39"/>
      <c r="BJ1180" s="39"/>
      <c r="BK1180" s="39"/>
      <c r="BL1180" s="39">
        <f t="shared" si="746"/>
        <v>0</v>
      </c>
      <c r="BM1180" s="54">
        <f t="shared" ca="1" si="765"/>
        <v>46283</v>
      </c>
      <c r="BN1180" s="62">
        <v>46291</v>
      </c>
      <c r="BO1180" s="117">
        <v>46305</v>
      </c>
      <c r="BP1180" s="39"/>
      <c r="BQ1180" s="39"/>
      <c r="BR1180" s="39"/>
      <c r="BS1180" s="39"/>
      <c r="BT1180" s="39"/>
      <c r="BU1180" s="39"/>
      <c r="BV1180" s="39"/>
      <c r="BW1180" s="39"/>
      <c r="BX1180" s="39"/>
      <c r="BY1180" s="39"/>
      <c r="BZ1180" s="39">
        <f t="shared" si="747"/>
        <v>0</v>
      </c>
      <c r="CA1180" s="39">
        <f t="shared" si="766"/>
        <v>-217</v>
      </c>
      <c r="CB1180" s="39">
        <f t="shared" si="767"/>
        <v>-13</v>
      </c>
      <c r="CC1180" s="39">
        <f t="shared" si="768"/>
        <v>0</v>
      </c>
      <c r="CD1180" s="39">
        <f t="shared" si="748"/>
        <v>-230</v>
      </c>
      <c r="CE1180" s="102">
        <f t="shared" si="769"/>
        <v>-1</v>
      </c>
      <c r="CF1180" s="36"/>
      <c r="CG1180" s="39" t="s">
        <v>235</v>
      </c>
      <c r="CH1180" s="39"/>
      <c r="CI1180" s="25">
        <v>3</v>
      </c>
    </row>
    <row r="1181" spans="1:87" ht="24.75" customHeight="1">
      <c r="A1181" s="36" t="s">
        <v>303</v>
      </c>
      <c r="B1181" s="55">
        <v>46696</v>
      </c>
      <c r="C1181" s="231"/>
      <c r="D1181" s="36"/>
      <c r="E1181" s="39">
        <v>180</v>
      </c>
      <c r="F1181" s="39" t="s">
        <v>55</v>
      </c>
      <c r="G1181" s="36" t="s">
        <v>41</v>
      </c>
      <c r="H1181" s="36" t="s">
        <v>22</v>
      </c>
      <c r="I1181" s="39">
        <v>271</v>
      </c>
      <c r="J1181" s="39">
        <v>15</v>
      </c>
      <c r="K1181" s="39"/>
      <c r="L1181" s="39">
        <f t="shared" si="776"/>
        <v>286</v>
      </c>
      <c r="M1181" s="117">
        <v>46280</v>
      </c>
      <c r="N1181" s="117">
        <v>46284</v>
      </c>
      <c r="O1181" s="39"/>
      <c r="P1181" s="39"/>
      <c r="Q1181" s="39"/>
      <c r="R1181" s="39">
        <f t="shared" si="777"/>
        <v>0</v>
      </c>
      <c r="S1181" s="39" t="s">
        <v>130</v>
      </c>
      <c r="T1181" s="39"/>
      <c r="U1181" s="39"/>
      <c r="V1181" s="39"/>
      <c r="W1181" s="39"/>
      <c r="X1181" s="39"/>
      <c r="Y1181" s="39"/>
      <c r="Z1181" s="39"/>
      <c r="AA1181" s="39"/>
      <c r="AB1181" s="118">
        <f t="shared" si="753"/>
        <v>0</v>
      </c>
      <c r="AC1181" s="39"/>
      <c r="AD1181" s="39"/>
      <c r="AE1181" s="39"/>
      <c r="AF1181" s="39"/>
      <c r="AG1181" s="39"/>
      <c r="AH1181" s="39">
        <f t="shared" si="745"/>
        <v>0</v>
      </c>
      <c r="AI1181" s="39"/>
      <c r="AJ1181" s="39"/>
      <c r="AK1181" s="39"/>
      <c r="AL1181" s="39"/>
      <c r="AM1181" s="39"/>
      <c r="AN1181" s="39">
        <f t="shared" si="744"/>
        <v>0</v>
      </c>
      <c r="AO1181" s="39"/>
      <c r="AP1181" s="39"/>
      <c r="AQ1181" s="39"/>
      <c r="AR1181" s="39"/>
      <c r="AS1181" s="39"/>
      <c r="AT1181" s="39">
        <f t="shared" si="762"/>
        <v>0</v>
      </c>
      <c r="AU1181" s="39"/>
      <c r="AV1181" s="39"/>
      <c r="AW1181" s="39"/>
      <c r="AX1181" s="39"/>
      <c r="AY1181" s="39"/>
      <c r="AZ1181" s="39">
        <f t="shared" si="763"/>
        <v>0</v>
      </c>
      <c r="BA1181" s="39"/>
      <c r="BB1181" s="39"/>
      <c r="BC1181" s="39"/>
      <c r="BD1181" s="39"/>
      <c r="BE1181" s="39"/>
      <c r="BF1181" s="39">
        <f t="shared" si="764"/>
        <v>0</v>
      </c>
      <c r="BG1181" s="39"/>
      <c r="BH1181" s="39"/>
      <c r="BI1181" s="39"/>
      <c r="BJ1181" s="39"/>
      <c r="BK1181" s="39"/>
      <c r="BL1181" s="39">
        <f t="shared" si="746"/>
        <v>0</v>
      </c>
      <c r="BM1181" s="54">
        <f t="shared" ca="1" si="765"/>
        <v>46283</v>
      </c>
      <c r="BN1181" s="62">
        <v>46291</v>
      </c>
      <c r="BO1181" s="117">
        <v>46305</v>
      </c>
      <c r="BP1181" s="39"/>
      <c r="BQ1181" s="39"/>
      <c r="BR1181" s="39"/>
      <c r="BS1181" s="39"/>
      <c r="BT1181" s="39"/>
      <c r="BU1181" s="39"/>
      <c r="BV1181" s="39"/>
      <c r="BW1181" s="39"/>
      <c r="BX1181" s="39"/>
      <c r="BY1181" s="39"/>
      <c r="BZ1181" s="39">
        <f t="shared" si="747"/>
        <v>0</v>
      </c>
      <c r="CA1181" s="39">
        <f t="shared" si="766"/>
        <v>-271</v>
      </c>
      <c r="CB1181" s="39">
        <f t="shared" si="767"/>
        <v>-15</v>
      </c>
      <c r="CC1181" s="39">
        <f t="shared" si="768"/>
        <v>0</v>
      </c>
      <c r="CD1181" s="39">
        <f t="shared" si="748"/>
        <v>-286</v>
      </c>
      <c r="CE1181" s="102">
        <f t="shared" si="769"/>
        <v>-1</v>
      </c>
      <c r="CF1181" s="36"/>
      <c r="CG1181" s="39" t="s">
        <v>235</v>
      </c>
      <c r="CH1181" s="39"/>
      <c r="CI1181" s="25">
        <v>3</v>
      </c>
    </row>
    <row r="1182" spans="1:87" ht="24.75" customHeight="1">
      <c r="A1182" s="36" t="s">
        <v>303</v>
      </c>
      <c r="B1182" s="55">
        <v>46696</v>
      </c>
      <c r="C1182" s="228"/>
      <c r="D1182" s="36"/>
      <c r="E1182" s="39">
        <v>180</v>
      </c>
      <c r="F1182" s="39" t="s">
        <v>55</v>
      </c>
      <c r="G1182" s="36" t="s">
        <v>553</v>
      </c>
      <c r="H1182" s="36" t="s">
        <v>22</v>
      </c>
      <c r="I1182" s="39">
        <v>115</v>
      </c>
      <c r="J1182" s="39">
        <v>8</v>
      </c>
      <c r="K1182" s="39"/>
      <c r="L1182" s="39">
        <f t="shared" si="776"/>
        <v>123</v>
      </c>
      <c r="M1182" s="117">
        <v>46280</v>
      </c>
      <c r="N1182" s="117">
        <v>46284</v>
      </c>
      <c r="O1182" s="39"/>
      <c r="P1182" s="39"/>
      <c r="Q1182" s="39"/>
      <c r="R1182" s="39">
        <f t="shared" si="777"/>
        <v>0</v>
      </c>
      <c r="S1182" s="39" t="s">
        <v>130</v>
      </c>
      <c r="T1182" s="39"/>
      <c r="U1182" s="39"/>
      <c r="V1182" s="39"/>
      <c r="W1182" s="39"/>
      <c r="X1182" s="39"/>
      <c r="Y1182" s="39"/>
      <c r="Z1182" s="39"/>
      <c r="AA1182" s="39"/>
      <c r="AB1182" s="118">
        <f t="shared" si="753"/>
        <v>0</v>
      </c>
      <c r="AC1182" s="39"/>
      <c r="AD1182" s="39"/>
      <c r="AE1182" s="39"/>
      <c r="AF1182" s="39"/>
      <c r="AG1182" s="39"/>
      <c r="AH1182" s="39">
        <f t="shared" si="745"/>
        <v>0</v>
      </c>
      <c r="AI1182" s="39"/>
      <c r="AJ1182" s="39"/>
      <c r="AK1182" s="39"/>
      <c r="AL1182" s="39"/>
      <c r="AM1182" s="39"/>
      <c r="AN1182" s="39">
        <f t="shared" si="744"/>
        <v>0</v>
      </c>
      <c r="AO1182" s="39"/>
      <c r="AP1182" s="39"/>
      <c r="AQ1182" s="39"/>
      <c r="AR1182" s="39"/>
      <c r="AS1182" s="39"/>
      <c r="AT1182" s="39">
        <f t="shared" si="762"/>
        <v>0</v>
      </c>
      <c r="AU1182" s="39"/>
      <c r="AV1182" s="39"/>
      <c r="AW1182" s="39"/>
      <c r="AX1182" s="39"/>
      <c r="AY1182" s="39"/>
      <c r="AZ1182" s="39">
        <f t="shared" si="763"/>
        <v>0</v>
      </c>
      <c r="BA1182" s="39"/>
      <c r="BB1182" s="39"/>
      <c r="BC1182" s="39"/>
      <c r="BD1182" s="39"/>
      <c r="BE1182" s="39"/>
      <c r="BF1182" s="39">
        <f t="shared" si="764"/>
        <v>0</v>
      </c>
      <c r="BG1182" s="39"/>
      <c r="BH1182" s="39"/>
      <c r="BI1182" s="39"/>
      <c r="BJ1182" s="39"/>
      <c r="BK1182" s="39"/>
      <c r="BL1182" s="39">
        <f t="shared" si="746"/>
        <v>0</v>
      </c>
      <c r="BM1182" s="54">
        <f t="shared" ca="1" si="765"/>
        <v>46283</v>
      </c>
      <c r="BN1182" s="62">
        <v>46291</v>
      </c>
      <c r="BO1182" s="117">
        <v>46305</v>
      </c>
      <c r="BP1182" s="39"/>
      <c r="BQ1182" s="39"/>
      <c r="BR1182" s="39"/>
      <c r="BS1182" s="39"/>
      <c r="BT1182" s="39"/>
      <c r="BU1182" s="39"/>
      <c r="BV1182" s="39"/>
      <c r="BW1182" s="39"/>
      <c r="BX1182" s="39"/>
      <c r="BY1182" s="39"/>
      <c r="BZ1182" s="39">
        <f t="shared" si="747"/>
        <v>0</v>
      </c>
      <c r="CA1182" s="39">
        <f t="shared" si="766"/>
        <v>-115</v>
      </c>
      <c r="CB1182" s="39">
        <f t="shared" si="767"/>
        <v>-8</v>
      </c>
      <c r="CC1182" s="39">
        <f t="shared" si="768"/>
        <v>0</v>
      </c>
      <c r="CD1182" s="39">
        <f t="shared" si="748"/>
        <v>-123</v>
      </c>
      <c r="CE1182" s="102">
        <f t="shared" si="769"/>
        <v>-1</v>
      </c>
      <c r="CF1182" s="36"/>
      <c r="CG1182" s="39" t="s">
        <v>235</v>
      </c>
      <c r="CH1182" s="39"/>
      <c r="CI1182" s="25">
        <v>3</v>
      </c>
    </row>
    <row r="1183" spans="1:87" ht="24.75" customHeight="1">
      <c r="A1183" s="36" t="s">
        <v>303</v>
      </c>
      <c r="B1183" s="55" t="s">
        <v>2845</v>
      </c>
      <c r="C1183" s="227" t="s">
        <v>3019</v>
      </c>
      <c r="D1183" s="36"/>
      <c r="E1183" s="39">
        <v>180</v>
      </c>
      <c r="F1183" s="39" t="s">
        <v>55</v>
      </c>
      <c r="G1183" s="36" t="s">
        <v>21</v>
      </c>
      <c r="H1183" s="36" t="s">
        <v>22</v>
      </c>
      <c r="I1183" s="39">
        <v>725</v>
      </c>
      <c r="J1183" s="39">
        <v>37</v>
      </c>
      <c r="K1183" s="39"/>
      <c r="L1183" s="39">
        <f t="shared" si="776"/>
        <v>762</v>
      </c>
      <c r="M1183" s="117">
        <v>46279</v>
      </c>
      <c r="N1183" s="117">
        <v>46287</v>
      </c>
      <c r="O1183" s="39"/>
      <c r="P1183" s="39"/>
      <c r="Q1183" s="39"/>
      <c r="R1183" s="39">
        <f t="shared" si="777"/>
        <v>0</v>
      </c>
      <c r="S1183" s="39" t="s">
        <v>130</v>
      </c>
      <c r="T1183" s="39"/>
      <c r="U1183" s="39"/>
      <c r="V1183" s="39"/>
      <c r="W1183" s="39"/>
      <c r="X1183" s="39"/>
      <c r="Y1183" s="39"/>
      <c r="Z1183" s="39"/>
      <c r="AA1183" s="39"/>
      <c r="AB1183" s="118">
        <f t="shared" si="753"/>
        <v>0</v>
      </c>
      <c r="AC1183" s="39"/>
      <c r="AD1183" s="39"/>
      <c r="AE1183" s="39"/>
      <c r="AF1183" s="39"/>
      <c r="AG1183" s="39"/>
      <c r="AH1183" s="39">
        <f t="shared" si="745"/>
        <v>0</v>
      </c>
      <c r="AI1183" s="39"/>
      <c r="AJ1183" s="39"/>
      <c r="AK1183" s="39"/>
      <c r="AL1183" s="39"/>
      <c r="AM1183" s="39"/>
      <c r="AN1183" s="39">
        <f t="shared" si="744"/>
        <v>0</v>
      </c>
      <c r="AO1183" s="39"/>
      <c r="AP1183" s="39"/>
      <c r="AQ1183" s="39"/>
      <c r="AR1183" s="39"/>
      <c r="AS1183" s="39"/>
      <c r="AT1183" s="39">
        <f t="shared" si="762"/>
        <v>0</v>
      </c>
      <c r="AU1183" s="39"/>
      <c r="AV1183" s="39"/>
      <c r="AW1183" s="39"/>
      <c r="AX1183" s="39"/>
      <c r="AY1183" s="39"/>
      <c r="AZ1183" s="39">
        <f t="shared" si="763"/>
        <v>0</v>
      </c>
      <c r="BA1183" s="39"/>
      <c r="BB1183" s="39"/>
      <c r="BC1183" s="39"/>
      <c r="BD1183" s="39"/>
      <c r="BE1183" s="39"/>
      <c r="BF1183" s="39">
        <f t="shared" si="764"/>
        <v>0</v>
      </c>
      <c r="BG1183" s="39"/>
      <c r="BH1183" s="39"/>
      <c r="BI1183" s="39"/>
      <c r="BJ1183" s="39"/>
      <c r="BK1183" s="39"/>
      <c r="BL1183" s="39">
        <f t="shared" si="746"/>
        <v>0</v>
      </c>
      <c r="BM1183" s="54">
        <f t="shared" ca="1" si="765"/>
        <v>46283</v>
      </c>
      <c r="BN1183" s="62">
        <v>46291</v>
      </c>
      <c r="BO1183" s="117">
        <v>46305</v>
      </c>
      <c r="BP1183" s="39"/>
      <c r="BQ1183" s="39"/>
      <c r="BR1183" s="39"/>
      <c r="BS1183" s="39"/>
      <c r="BT1183" s="39"/>
      <c r="BU1183" s="39"/>
      <c r="BV1183" s="39"/>
      <c r="BW1183" s="39"/>
      <c r="BX1183" s="39"/>
      <c r="BY1183" s="39"/>
      <c r="BZ1183" s="39">
        <f t="shared" si="747"/>
        <v>0</v>
      </c>
      <c r="CA1183" s="39">
        <f t="shared" si="766"/>
        <v>-725</v>
      </c>
      <c r="CB1183" s="39">
        <f t="shared" si="767"/>
        <v>-37</v>
      </c>
      <c r="CC1183" s="39">
        <f t="shared" si="768"/>
        <v>0</v>
      </c>
      <c r="CD1183" s="39">
        <f t="shared" si="748"/>
        <v>-762</v>
      </c>
      <c r="CE1183" s="102">
        <f t="shared" si="769"/>
        <v>-1</v>
      </c>
      <c r="CF1183" s="36"/>
      <c r="CG1183" s="39" t="s">
        <v>235</v>
      </c>
      <c r="CH1183" s="39"/>
      <c r="CI1183" s="25">
        <v>3</v>
      </c>
    </row>
    <row r="1184" spans="1:87" ht="24.75" customHeight="1">
      <c r="A1184" s="36" t="s">
        <v>303</v>
      </c>
      <c r="B1184" s="55" t="s">
        <v>2845</v>
      </c>
      <c r="C1184" s="231"/>
      <c r="D1184" s="36"/>
      <c r="E1184" s="39">
        <v>180</v>
      </c>
      <c r="F1184" s="39" t="s">
        <v>55</v>
      </c>
      <c r="G1184" s="36" t="s">
        <v>23</v>
      </c>
      <c r="H1184" s="36" t="s">
        <v>22</v>
      </c>
      <c r="I1184" s="39">
        <v>196</v>
      </c>
      <c r="J1184" s="39">
        <v>12</v>
      </c>
      <c r="K1184" s="39"/>
      <c r="L1184" s="39">
        <f t="shared" si="776"/>
        <v>208</v>
      </c>
      <c r="M1184" s="117">
        <v>46279</v>
      </c>
      <c r="N1184" s="117">
        <v>46287</v>
      </c>
      <c r="O1184" s="39"/>
      <c r="P1184" s="39"/>
      <c r="Q1184" s="39"/>
      <c r="R1184" s="39">
        <f t="shared" si="777"/>
        <v>0</v>
      </c>
      <c r="S1184" s="39" t="s">
        <v>130</v>
      </c>
      <c r="T1184" s="39"/>
      <c r="U1184" s="39"/>
      <c r="V1184" s="39"/>
      <c r="W1184" s="39"/>
      <c r="X1184" s="39"/>
      <c r="Y1184" s="39"/>
      <c r="Z1184" s="39"/>
      <c r="AA1184" s="39"/>
      <c r="AB1184" s="118">
        <f t="shared" si="753"/>
        <v>0</v>
      </c>
      <c r="AC1184" s="39"/>
      <c r="AD1184" s="39"/>
      <c r="AE1184" s="39"/>
      <c r="AF1184" s="39"/>
      <c r="AG1184" s="39"/>
      <c r="AH1184" s="39">
        <f t="shared" si="745"/>
        <v>0</v>
      </c>
      <c r="AI1184" s="39"/>
      <c r="AJ1184" s="39"/>
      <c r="AK1184" s="39"/>
      <c r="AL1184" s="39"/>
      <c r="AM1184" s="39"/>
      <c r="AN1184" s="39">
        <f t="shared" si="744"/>
        <v>0</v>
      </c>
      <c r="AO1184" s="39"/>
      <c r="AP1184" s="39"/>
      <c r="AQ1184" s="39"/>
      <c r="AR1184" s="39"/>
      <c r="AS1184" s="39"/>
      <c r="AT1184" s="39">
        <f t="shared" si="762"/>
        <v>0</v>
      </c>
      <c r="AU1184" s="39"/>
      <c r="AV1184" s="39"/>
      <c r="AW1184" s="39"/>
      <c r="AX1184" s="39"/>
      <c r="AY1184" s="39"/>
      <c r="AZ1184" s="39">
        <f t="shared" si="763"/>
        <v>0</v>
      </c>
      <c r="BA1184" s="39"/>
      <c r="BB1184" s="39"/>
      <c r="BC1184" s="39"/>
      <c r="BD1184" s="39"/>
      <c r="BE1184" s="39"/>
      <c r="BF1184" s="39">
        <f t="shared" si="764"/>
        <v>0</v>
      </c>
      <c r="BG1184" s="39"/>
      <c r="BH1184" s="39"/>
      <c r="BI1184" s="39"/>
      <c r="BJ1184" s="39"/>
      <c r="BK1184" s="39"/>
      <c r="BL1184" s="39">
        <f t="shared" si="746"/>
        <v>0</v>
      </c>
      <c r="BM1184" s="54">
        <f t="shared" ca="1" si="765"/>
        <v>46283</v>
      </c>
      <c r="BN1184" s="62">
        <v>46291</v>
      </c>
      <c r="BO1184" s="117">
        <v>46305</v>
      </c>
      <c r="BP1184" s="39"/>
      <c r="BQ1184" s="39"/>
      <c r="BR1184" s="39"/>
      <c r="BS1184" s="39"/>
      <c r="BT1184" s="39"/>
      <c r="BU1184" s="39"/>
      <c r="BV1184" s="39"/>
      <c r="BW1184" s="39"/>
      <c r="BX1184" s="39"/>
      <c r="BY1184" s="39"/>
      <c r="BZ1184" s="39">
        <f t="shared" si="747"/>
        <v>0</v>
      </c>
      <c r="CA1184" s="39">
        <f t="shared" si="766"/>
        <v>-196</v>
      </c>
      <c r="CB1184" s="39">
        <f t="shared" si="767"/>
        <v>-12</v>
      </c>
      <c r="CC1184" s="39">
        <f t="shared" si="768"/>
        <v>0</v>
      </c>
      <c r="CD1184" s="39">
        <f t="shared" si="748"/>
        <v>-208</v>
      </c>
      <c r="CE1184" s="102">
        <f t="shared" si="769"/>
        <v>-1</v>
      </c>
      <c r="CF1184" s="36"/>
      <c r="CG1184" s="39" t="s">
        <v>235</v>
      </c>
      <c r="CH1184" s="39"/>
      <c r="CI1184" s="25">
        <v>3</v>
      </c>
    </row>
    <row r="1185" spans="1:87" ht="24.75" customHeight="1">
      <c r="A1185" s="36" t="s">
        <v>303</v>
      </c>
      <c r="B1185" s="55" t="s">
        <v>2845</v>
      </c>
      <c r="C1185" s="231"/>
      <c r="D1185" s="36"/>
      <c r="E1185" s="39">
        <v>180</v>
      </c>
      <c r="F1185" s="39" t="s">
        <v>55</v>
      </c>
      <c r="G1185" s="36" t="s">
        <v>343</v>
      </c>
      <c r="H1185" s="36" t="s">
        <v>22</v>
      </c>
      <c r="I1185" s="39">
        <v>102</v>
      </c>
      <c r="J1185" s="39">
        <v>8</v>
      </c>
      <c r="K1185" s="39"/>
      <c r="L1185" s="39">
        <f t="shared" si="776"/>
        <v>110</v>
      </c>
      <c r="M1185" s="117">
        <v>46279</v>
      </c>
      <c r="N1185" s="117">
        <v>46287</v>
      </c>
      <c r="O1185" s="39"/>
      <c r="P1185" s="39"/>
      <c r="Q1185" s="39"/>
      <c r="R1185" s="39">
        <f t="shared" si="777"/>
        <v>0</v>
      </c>
      <c r="S1185" s="39" t="s">
        <v>130</v>
      </c>
      <c r="T1185" s="39"/>
      <c r="U1185" s="39"/>
      <c r="V1185" s="39"/>
      <c r="W1185" s="39"/>
      <c r="X1185" s="39"/>
      <c r="Y1185" s="39"/>
      <c r="Z1185" s="39"/>
      <c r="AA1185" s="39"/>
      <c r="AB1185" s="118">
        <f t="shared" si="753"/>
        <v>0</v>
      </c>
      <c r="AC1185" s="39"/>
      <c r="AD1185" s="39"/>
      <c r="AE1185" s="39"/>
      <c r="AF1185" s="39"/>
      <c r="AG1185" s="39"/>
      <c r="AH1185" s="39">
        <f t="shared" si="745"/>
        <v>0</v>
      </c>
      <c r="AI1185" s="39"/>
      <c r="AJ1185" s="39"/>
      <c r="AK1185" s="39"/>
      <c r="AL1185" s="39"/>
      <c r="AM1185" s="39"/>
      <c r="AN1185" s="39">
        <f t="shared" si="744"/>
        <v>0</v>
      </c>
      <c r="AO1185" s="39"/>
      <c r="AP1185" s="39"/>
      <c r="AQ1185" s="39"/>
      <c r="AR1185" s="39"/>
      <c r="AS1185" s="39"/>
      <c r="AT1185" s="39">
        <f t="shared" si="762"/>
        <v>0</v>
      </c>
      <c r="AU1185" s="39"/>
      <c r="AV1185" s="39"/>
      <c r="AW1185" s="39"/>
      <c r="AX1185" s="39"/>
      <c r="AY1185" s="39"/>
      <c r="AZ1185" s="39">
        <f t="shared" si="763"/>
        <v>0</v>
      </c>
      <c r="BA1185" s="39"/>
      <c r="BB1185" s="39"/>
      <c r="BC1185" s="39"/>
      <c r="BD1185" s="39"/>
      <c r="BE1185" s="39"/>
      <c r="BF1185" s="39">
        <f t="shared" si="764"/>
        <v>0</v>
      </c>
      <c r="BG1185" s="39"/>
      <c r="BH1185" s="39"/>
      <c r="BI1185" s="39"/>
      <c r="BJ1185" s="39"/>
      <c r="BK1185" s="39"/>
      <c r="BL1185" s="39">
        <f t="shared" si="746"/>
        <v>0</v>
      </c>
      <c r="BM1185" s="54">
        <f t="shared" ca="1" si="765"/>
        <v>46283</v>
      </c>
      <c r="BN1185" s="62">
        <v>46291</v>
      </c>
      <c r="BO1185" s="117">
        <v>46305</v>
      </c>
      <c r="BP1185" s="39"/>
      <c r="BQ1185" s="39"/>
      <c r="BR1185" s="39"/>
      <c r="BS1185" s="39"/>
      <c r="BT1185" s="39"/>
      <c r="BU1185" s="39"/>
      <c r="BV1185" s="39"/>
      <c r="BW1185" s="39"/>
      <c r="BX1185" s="39"/>
      <c r="BY1185" s="39"/>
      <c r="BZ1185" s="39">
        <f t="shared" si="747"/>
        <v>0</v>
      </c>
      <c r="CA1185" s="39">
        <f t="shared" si="766"/>
        <v>-102</v>
      </c>
      <c r="CB1185" s="39">
        <f t="shared" si="767"/>
        <v>-8</v>
      </c>
      <c r="CC1185" s="39">
        <f t="shared" si="768"/>
        <v>0</v>
      </c>
      <c r="CD1185" s="39">
        <f t="shared" si="748"/>
        <v>-110</v>
      </c>
      <c r="CE1185" s="102">
        <f t="shared" si="769"/>
        <v>-1</v>
      </c>
      <c r="CF1185" s="36"/>
      <c r="CG1185" s="39" t="s">
        <v>235</v>
      </c>
      <c r="CH1185" s="39"/>
      <c r="CI1185" s="25">
        <v>3</v>
      </c>
    </row>
    <row r="1186" spans="1:87" ht="24.75" customHeight="1">
      <c r="A1186" s="36" t="s">
        <v>303</v>
      </c>
      <c r="B1186" s="166" t="s">
        <v>2845</v>
      </c>
      <c r="C1186" s="231"/>
      <c r="D1186" s="36"/>
      <c r="E1186" s="39">
        <v>180</v>
      </c>
      <c r="F1186" s="39" t="s">
        <v>55</v>
      </c>
      <c r="G1186" s="163" t="s">
        <v>314</v>
      </c>
      <c r="H1186" s="36" t="s">
        <v>22</v>
      </c>
      <c r="I1186" s="162">
        <f>196+192</f>
        <v>388</v>
      </c>
      <c r="J1186" s="162">
        <f>12+9</f>
        <v>21</v>
      </c>
      <c r="K1186" s="39"/>
      <c r="L1186" s="39">
        <f t="shared" si="776"/>
        <v>409</v>
      </c>
      <c r="M1186" s="117">
        <v>46279</v>
      </c>
      <c r="N1186" s="117">
        <v>46287</v>
      </c>
      <c r="O1186" s="39"/>
      <c r="P1186" s="39"/>
      <c r="Q1186" s="39"/>
      <c r="R1186" s="39">
        <f t="shared" si="777"/>
        <v>0</v>
      </c>
      <c r="S1186" s="39" t="s">
        <v>130</v>
      </c>
      <c r="T1186" s="39"/>
      <c r="U1186" s="39"/>
      <c r="V1186" s="39"/>
      <c r="W1186" s="39"/>
      <c r="X1186" s="39"/>
      <c r="Y1186" s="39"/>
      <c r="Z1186" s="39"/>
      <c r="AA1186" s="39"/>
      <c r="AB1186" s="118">
        <f t="shared" si="753"/>
        <v>0</v>
      </c>
      <c r="AC1186" s="39"/>
      <c r="AD1186" s="39"/>
      <c r="AE1186" s="39"/>
      <c r="AF1186" s="39"/>
      <c r="AG1186" s="39"/>
      <c r="AH1186" s="39">
        <f t="shared" si="745"/>
        <v>0</v>
      </c>
      <c r="AI1186" s="39"/>
      <c r="AJ1186" s="39"/>
      <c r="AK1186" s="39"/>
      <c r="AL1186" s="39"/>
      <c r="AM1186" s="39"/>
      <c r="AN1186" s="39">
        <f t="shared" si="744"/>
        <v>0</v>
      </c>
      <c r="AO1186" s="39"/>
      <c r="AP1186" s="39"/>
      <c r="AQ1186" s="39"/>
      <c r="AR1186" s="39"/>
      <c r="AS1186" s="39"/>
      <c r="AT1186" s="39">
        <f t="shared" si="762"/>
        <v>0</v>
      </c>
      <c r="AU1186" s="39"/>
      <c r="AV1186" s="39"/>
      <c r="AW1186" s="39"/>
      <c r="AX1186" s="39"/>
      <c r="AY1186" s="39"/>
      <c r="AZ1186" s="39">
        <f t="shared" si="763"/>
        <v>0</v>
      </c>
      <c r="BA1186" s="39"/>
      <c r="BB1186" s="39"/>
      <c r="BC1186" s="39"/>
      <c r="BD1186" s="39"/>
      <c r="BE1186" s="39"/>
      <c r="BF1186" s="39">
        <f t="shared" si="764"/>
        <v>0</v>
      </c>
      <c r="BG1186" s="39"/>
      <c r="BH1186" s="39"/>
      <c r="BI1186" s="39"/>
      <c r="BJ1186" s="39"/>
      <c r="BK1186" s="39"/>
      <c r="BL1186" s="39">
        <f t="shared" si="746"/>
        <v>0</v>
      </c>
      <c r="BM1186" s="54">
        <f t="shared" ca="1" si="765"/>
        <v>46283</v>
      </c>
      <c r="BN1186" s="62">
        <v>46291</v>
      </c>
      <c r="BO1186" s="117">
        <v>46305</v>
      </c>
      <c r="BP1186" s="39"/>
      <c r="BQ1186" s="39"/>
      <c r="BR1186" s="39"/>
      <c r="BS1186" s="39"/>
      <c r="BT1186" s="39"/>
      <c r="BU1186" s="39"/>
      <c r="BV1186" s="39"/>
      <c r="BW1186" s="39"/>
      <c r="BX1186" s="39"/>
      <c r="BY1186" s="39"/>
      <c r="BZ1186" s="39">
        <f t="shared" si="747"/>
        <v>0</v>
      </c>
      <c r="CA1186" s="39">
        <f t="shared" si="766"/>
        <v>-388</v>
      </c>
      <c r="CB1186" s="39">
        <f t="shared" si="767"/>
        <v>-21</v>
      </c>
      <c r="CC1186" s="39">
        <f t="shared" si="768"/>
        <v>0</v>
      </c>
      <c r="CD1186" s="39">
        <f t="shared" si="748"/>
        <v>-409</v>
      </c>
      <c r="CE1186" s="102">
        <f t="shared" si="769"/>
        <v>-1</v>
      </c>
      <c r="CF1186" s="36"/>
      <c r="CG1186" s="39" t="s">
        <v>235</v>
      </c>
      <c r="CH1186" s="39"/>
      <c r="CI1186" s="25">
        <v>3</v>
      </c>
    </row>
    <row r="1187" spans="1:87" ht="24.75" customHeight="1">
      <c r="A1187" s="36" t="s">
        <v>303</v>
      </c>
      <c r="B1187" s="55" t="s">
        <v>2845</v>
      </c>
      <c r="C1187" s="228"/>
      <c r="D1187" s="36"/>
      <c r="E1187" s="39">
        <v>180</v>
      </c>
      <c r="F1187" s="39" t="s">
        <v>55</v>
      </c>
      <c r="G1187" s="36" t="s">
        <v>2846</v>
      </c>
      <c r="H1187" s="36" t="s">
        <v>22</v>
      </c>
      <c r="I1187" s="39">
        <v>126</v>
      </c>
      <c r="J1187" s="39">
        <v>9</v>
      </c>
      <c r="K1187" s="39"/>
      <c r="L1187" s="39">
        <f t="shared" si="776"/>
        <v>135</v>
      </c>
      <c r="M1187" s="117">
        <v>46279</v>
      </c>
      <c r="N1187" s="117">
        <v>46287</v>
      </c>
      <c r="O1187" s="39"/>
      <c r="P1187" s="39"/>
      <c r="Q1187" s="39"/>
      <c r="R1187" s="39">
        <f t="shared" si="777"/>
        <v>0</v>
      </c>
      <c r="S1187" s="39" t="s">
        <v>130</v>
      </c>
      <c r="T1187" s="39"/>
      <c r="U1187" s="39"/>
      <c r="V1187" s="39"/>
      <c r="W1187" s="39"/>
      <c r="X1187" s="39"/>
      <c r="Y1187" s="39"/>
      <c r="Z1187" s="39"/>
      <c r="AA1187" s="39"/>
      <c r="AB1187" s="118">
        <f t="shared" si="753"/>
        <v>0</v>
      </c>
      <c r="AC1187" s="39"/>
      <c r="AD1187" s="39"/>
      <c r="AE1187" s="39"/>
      <c r="AF1187" s="39"/>
      <c r="AG1187" s="39"/>
      <c r="AH1187" s="39">
        <f t="shared" si="745"/>
        <v>0</v>
      </c>
      <c r="AI1187" s="39"/>
      <c r="AJ1187" s="39"/>
      <c r="AK1187" s="39"/>
      <c r="AL1187" s="39"/>
      <c r="AM1187" s="39"/>
      <c r="AN1187" s="39">
        <f t="shared" si="744"/>
        <v>0</v>
      </c>
      <c r="AO1187" s="39"/>
      <c r="AP1187" s="39"/>
      <c r="AQ1187" s="39"/>
      <c r="AR1187" s="39"/>
      <c r="AS1187" s="39"/>
      <c r="AT1187" s="39">
        <f t="shared" si="762"/>
        <v>0</v>
      </c>
      <c r="AU1187" s="39"/>
      <c r="AV1187" s="39"/>
      <c r="AW1187" s="39"/>
      <c r="AX1187" s="39"/>
      <c r="AY1187" s="39"/>
      <c r="AZ1187" s="39">
        <f t="shared" si="763"/>
        <v>0</v>
      </c>
      <c r="BA1187" s="39"/>
      <c r="BB1187" s="39"/>
      <c r="BC1187" s="39"/>
      <c r="BD1187" s="39"/>
      <c r="BE1187" s="39"/>
      <c r="BF1187" s="39">
        <f t="shared" si="764"/>
        <v>0</v>
      </c>
      <c r="BG1187" s="39"/>
      <c r="BH1187" s="39"/>
      <c r="BI1187" s="39"/>
      <c r="BJ1187" s="39"/>
      <c r="BK1187" s="39"/>
      <c r="BL1187" s="39">
        <f t="shared" si="746"/>
        <v>0</v>
      </c>
      <c r="BM1187" s="54">
        <f t="shared" ca="1" si="765"/>
        <v>46283</v>
      </c>
      <c r="BN1187" s="62">
        <v>46291</v>
      </c>
      <c r="BO1187" s="117">
        <v>46305</v>
      </c>
      <c r="BP1187" s="39"/>
      <c r="BQ1187" s="39"/>
      <c r="BR1187" s="39"/>
      <c r="BS1187" s="39"/>
      <c r="BT1187" s="39"/>
      <c r="BU1187" s="39"/>
      <c r="BV1187" s="39"/>
      <c r="BW1187" s="39"/>
      <c r="BX1187" s="39"/>
      <c r="BY1187" s="39"/>
      <c r="BZ1187" s="39">
        <f t="shared" si="747"/>
        <v>0</v>
      </c>
      <c r="CA1187" s="39">
        <f t="shared" si="766"/>
        <v>-126</v>
      </c>
      <c r="CB1187" s="39">
        <f t="shared" si="767"/>
        <v>-9</v>
      </c>
      <c r="CC1187" s="39">
        <f t="shared" si="768"/>
        <v>0</v>
      </c>
      <c r="CD1187" s="39">
        <f t="shared" si="748"/>
        <v>-135</v>
      </c>
      <c r="CE1187" s="102">
        <f t="shared" si="769"/>
        <v>-1</v>
      </c>
      <c r="CF1187" s="36"/>
      <c r="CG1187" s="39" t="s">
        <v>235</v>
      </c>
      <c r="CH1187" s="39"/>
      <c r="CI1187" s="25">
        <v>3</v>
      </c>
    </row>
    <row r="1188" spans="1:87" ht="24.75" customHeight="1">
      <c r="A1188" s="36" t="s">
        <v>303</v>
      </c>
      <c r="B1188" s="55"/>
      <c r="C1188" s="36"/>
      <c r="D1188" s="36"/>
      <c r="E1188" s="39"/>
      <c r="F1188" s="39"/>
      <c r="G1188" s="36"/>
      <c r="H1188" s="39"/>
      <c r="I1188" s="39"/>
      <c r="J1188" s="39"/>
      <c r="K1188" s="39"/>
      <c r="L1188" s="39">
        <f t="shared" si="751"/>
        <v>0</v>
      </c>
      <c r="M1188" s="39"/>
      <c r="N1188" s="39"/>
      <c r="O1188" s="39"/>
      <c r="P1188" s="39"/>
      <c r="Q1188" s="39"/>
      <c r="R1188" s="39">
        <f t="shared" si="752"/>
        <v>0</v>
      </c>
      <c r="S1188" s="39"/>
      <c r="T1188" s="39"/>
      <c r="U1188" s="39"/>
      <c r="V1188" s="39"/>
      <c r="W1188" s="39"/>
      <c r="X1188" s="39"/>
      <c r="Y1188" s="39"/>
      <c r="Z1188" s="39"/>
      <c r="AA1188" s="39"/>
      <c r="AB1188" s="39">
        <f t="shared" si="753"/>
        <v>0</v>
      </c>
      <c r="AC1188" s="39"/>
      <c r="AD1188" s="39"/>
      <c r="AE1188" s="39"/>
      <c r="AF1188" s="39"/>
      <c r="AG1188" s="39"/>
      <c r="AH1188" s="39">
        <f t="shared" si="745"/>
        <v>0</v>
      </c>
      <c r="AI1188" s="39"/>
      <c r="AJ1188" s="39"/>
      <c r="AK1188" s="39"/>
      <c r="AL1188" s="39"/>
      <c r="AM1188" s="39"/>
      <c r="AN1188" s="39">
        <f t="shared" si="744"/>
        <v>0</v>
      </c>
      <c r="AO1188" s="39"/>
      <c r="AP1188" s="39"/>
      <c r="AQ1188" s="39"/>
      <c r="AR1188" s="39"/>
      <c r="AS1188" s="39"/>
      <c r="AT1188" s="39">
        <f t="shared" si="762"/>
        <v>0</v>
      </c>
      <c r="AU1188" s="39"/>
      <c r="AV1188" s="39"/>
      <c r="AW1188" s="39"/>
      <c r="AX1188" s="39"/>
      <c r="AY1188" s="39"/>
      <c r="AZ1188" s="39">
        <f t="shared" si="763"/>
        <v>0</v>
      </c>
      <c r="BA1188" s="39"/>
      <c r="BB1188" s="39"/>
      <c r="BC1188" s="39"/>
      <c r="BD1188" s="39"/>
      <c r="BE1188" s="39"/>
      <c r="BF1188" s="39">
        <f t="shared" si="764"/>
        <v>0</v>
      </c>
      <c r="BG1188" s="39"/>
      <c r="BH1188" s="39"/>
      <c r="BI1188" s="39"/>
      <c r="BJ1188" s="39"/>
      <c r="BK1188" s="39"/>
      <c r="BL1188" s="39">
        <f t="shared" si="746"/>
        <v>0</v>
      </c>
      <c r="BM1188" s="54" t="e">
        <f t="shared" si="765"/>
        <v>#DIV/0!</v>
      </c>
      <c r="BN1188" s="63"/>
      <c r="BO1188" s="39"/>
      <c r="BP1188" s="39"/>
      <c r="BQ1188" s="39"/>
      <c r="BR1188" s="39"/>
      <c r="BS1188" s="39"/>
      <c r="BT1188" s="39"/>
      <c r="BU1188" s="39"/>
      <c r="BV1188" s="39"/>
      <c r="BW1188" s="39"/>
      <c r="BX1188" s="39"/>
      <c r="BY1188" s="39"/>
      <c r="BZ1188" s="39">
        <f t="shared" si="747"/>
        <v>0</v>
      </c>
      <c r="CA1188" s="39">
        <f t="shared" si="766"/>
        <v>0</v>
      </c>
      <c r="CB1188" s="39">
        <f t="shared" si="767"/>
        <v>0</v>
      </c>
      <c r="CC1188" s="39">
        <f t="shared" si="768"/>
        <v>0</v>
      </c>
      <c r="CD1188" s="39">
        <f t="shared" si="748"/>
        <v>0</v>
      </c>
      <c r="CE1188" s="47" t="e">
        <f t="shared" si="769"/>
        <v>#DIV/0!</v>
      </c>
      <c r="CF1188" s="36"/>
      <c r="CG1188" s="39"/>
      <c r="CH1188" s="39"/>
      <c r="CI1188" s="25">
        <v>3</v>
      </c>
    </row>
    <row r="1189" spans="1:87" ht="24.75" customHeight="1">
      <c r="A1189" s="36" t="s">
        <v>303</v>
      </c>
      <c r="B1189" s="55"/>
      <c r="C1189" s="36"/>
      <c r="D1189" s="36"/>
      <c r="E1189" s="39"/>
      <c r="F1189" s="39"/>
      <c r="G1189" s="36"/>
      <c r="H1189" s="39"/>
      <c r="I1189" s="39"/>
      <c r="J1189" s="39"/>
      <c r="K1189" s="39"/>
      <c r="L1189" s="39">
        <f t="shared" si="751"/>
        <v>0</v>
      </c>
      <c r="M1189" s="39"/>
      <c r="N1189" s="39"/>
      <c r="O1189" s="39"/>
      <c r="P1189" s="39"/>
      <c r="Q1189" s="39"/>
      <c r="R1189" s="39">
        <f t="shared" si="752"/>
        <v>0</v>
      </c>
      <c r="S1189" s="39"/>
      <c r="T1189" s="39"/>
      <c r="U1189" s="39"/>
      <c r="V1189" s="39"/>
      <c r="W1189" s="39"/>
      <c r="X1189" s="39"/>
      <c r="Y1189" s="39"/>
      <c r="Z1189" s="39"/>
      <c r="AA1189" s="39"/>
      <c r="AB1189" s="39">
        <f t="shared" si="753"/>
        <v>0</v>
      </c>
      <c r="AC1189" s="39"/>
      <c r="AD1189" s="39"/>
      <c r="AE1189" s="39"/>
      <c r="AF1189" s="39"/>
      <c r="AG1189" s="39"/>
      <c r="AH1189" s="39">
        <f t="shared" si="745"/>
        <v>0</v>
      </c>
      <c r="AI1189" s="39"/>
      <c r="AJ1189" s="39"/>
      <c r="AK1189" s="39"/>
      <c r="AL1189" s="39"/>
      <c r="AM1189" s="39"/>
      <c r="AN1189" s="39">
        <f t="shared" si="744"/>
        <v>0</v>
      </c>
      <c r="AO1189" s="39"/>
      <c r="AP1189" s="39"/>
      <c r="AQ1189" s="39"/>
      <c r="AR1189" s="39"/>
      <c r="AS1189" s="39"/>
      <c r="AT1189" s="39">
        <f t="shared" si="762"/>
        <v>0</v>
      </c>
      <c r="AU1189" s="39"/>
      <c r="AV1189" s="39"/>
      <c r="AW1189" s="39"/>
      <c r="AX1189" s="39"/>
      <c r="AY1189" s="39"/>
      <c r="AZ1189" s="39">
        <f t="shared" si="763"/>
        <v>0</v>
      </c>
      <c r="BA1189" s="39"/>
      <c r="BB1189" s="39"/>
      <c r="BC1189" s="39"/>
      <c r="BD1189" s="39"/>
      <c r="BE1189" s="39"/>
      <c r="BF1189" s="39">
        <f t="shared" si="764"/>
        <v>0</v>
      </c>
      <c r="BG1189" s="39"/>
      <c r="BH1189" s="39"/>
      <c r="BI1189" s="39"/>
      <c r="BJ1189" s="39"/>
      <c r="BK1189" s="39"/>
      <c r="BL1189" s="39">
        <f t="shared" si="746"/>
        <v>0</v>
      </c>
      <c r="BM1189" s="54" t="e">
        <f t="shared" si="765"/>
        <v>#DIV/0!</v>
      </c>
      <c r="BN1189" s="63"/>
      <c r="BO1189" s="39"/>
      <c r="BP1189" s="39"/>
      <c r="BQ1189" s="39"/>
      <c r="BR1189" s="39"/>
      <c r="BS1189" s="39"/>
      <c r="BT1189" s="39"/>
      <c r="BU1189" s="39"/>
      <c r="BV1189" s="39"/>
      <c r="BW1189" s="39"/>
      <c r="BX1189" s="39"/>
      <c r="BY1189" s="39"/>
      <c r="BZ1189" s="39">
        <f t="shared" si="747"/>
        <v>0</v>
      </c>
      <c r="CA1189" s="39">
        <f t="shared" si="766"/>
        <v>0</v>
      </c>
      <c r="CB1189" s="39">
        <f t="shared" si="767"/>
        <v>0</v>
      </c>
      <c r="CC1189" s="39">
        <f t="shared" si="768"/>
        <v>0</v>
      </c>
      <c r="CD1189" s="39">
        <f t="shared" si="748"/>
        <v>0</v>
      </c>
      <c r="CE1189" s="47" t="e">
        <f t="shared" si="769"/>
        <v>#DIV/0!</v>
      </c>
      <c r="CF1189" s="36"/>
      <c r="CG1189" s="39"/>
      <c r="CH1189" s="39"/>
      <c r="CI1189" s="25">
        <v>3</v>
      </c>
    </row>
    <row r="1190" spans="1:87" ht="24.75" customHeight="1">
      <c r="A1190" s="36" t="s">
        <v>303</v>
      </c>
      <c r="B1190" s="55"/>
      <c r="C1190" s="36"/>
      <c r="D1190" s="36"/>
      <c r="E1190" s="39"/>
      <c r="F1190" s="39"/>
      <c r="G1190" s="36"/>
      <c r="H1190" s="39"/>
      <c r="I1190" s="39"/>
      <c r="J1190" s="39"/>
      <c r="K1190" s="39"/>
      <c r="L1190" s="39">
        <f t="shared" si="751"/>
        <v>0</v>
      </c>
      <c r="M1190" s="39"/>
      <c r="N1190" s="39"/>
      <c r="O1190" s="39"/>
      <c r="P1190" s="39"/>
      <c r="Q1190" s="39"/>
      <c r="R1190" s="39">
        <f t="shared" si="752"/>
        <v>0</v>
      </c>
      <c r="S1190" s="39"/>
      <c r="T1190" s="39"/>
      <c r="U1190" s="39"/>
      <c r="V1190" s="39"/>
      <c r="W1190" s="39"/>
      <c r="X1190" s="39"/>
      <c r="Y1190" s="39"/>
      <c r="Z1190" s="39"/>
      <c r="AA1190" s="39"/>
      <c r="AB1190" s="39">
        <f t="shared" si="753"/>
        <v>0</v>
      </c>
      <c r="AC1190" s="39"/>
      <c r="AD1190" s="39"/>
      <c r="AE1190" s="39"/>
      <c r="AF1190" s="39"/>
      <c r="AG1190" s="39"/>
      <c r="AH1190" s="39">
        <f t="shared" si="745"/>
        <v>0</v>
      </c>
      <c r="AI1190" s="39"/>
      <c r="AJ1190" s="39"/>
      <c r="AK1190" s="39"/>
      <c r="AL1190" s="39"/>
      <c r="AM1190" s="39"/>
      <c r="AN1190" s="39">
        <f t="shared" si="744"/>
        <v>0</v>
      </c>
      <c r="AO1190" s="39"/>
      <c r="AP1190" s="39"/>
      <c r="AQ1190" s="39"/>
      <c r="AR1190" s="39"/>
      <c r="AS1190" s="39"/>
      <c r="AT1190" s="39">
        <f t="shared" si="762"/>
        <v>0</v>
      </c>
      <c r="AU1190" s="39"/>
      <c r="AV1190" s="39"/>
      <c r="AW1190" s="39"/>
      <c r="AX1190" s="39"/>
      <c r="AY1190" s="39"/>
      <c r="AZ1190" s="39">
        <f t="shared" si="763"/>
        <v>0</v>
      </c>
      <c r="BA1190" s="39"/>
      <c r="BB1190" s="39"/>
      <c r="BC1190" s="39"/>
      <c r="BD1190" s="39"/>
      <c r="BE1190" s="39"/>
      <c r="BF1190" s="39">
        <f t="shared" si="764"/>
        <v>0</v>
      </c>
      <c r="BG1190" s="39"/>
      <c r="BH1190" s="39"/>
      <c r="BI1190" s="39"/>
      <c r="BJ1190" s="39"/>
      <c r="BK1190" s="39"/>
      <c r="BL1190" s="39">
        <f t="shared" si="746"/>
        <v>0</v>
      </c>
      <c r="BM1190" s="54" t="e">
        <f t="shared" si="765"/>
        <v>#DIV/0!</v>
      </c>
      <c r="BN1190" s="63"/>
      <c r="BO1190" s="39"/>
      <c r="BP1190" s="39"/>
      <c r="BQ1190" s="39"/>
      <c r="BR1190" s="39"/>
      <c r="BS1190" s="39"/>
      <c r="BT1190" s="39"/>
      <c r="BU1190" s="39"/>
      <c r="BV1190" s="39"/>
      <c r="BW1190" s="39"/>
      <c r="BX1190" s="39"/>
      <c r="BY1190" s="39"/>
      <c r="BZ1190" s="39">
        <f t="shared" si="747"/>
        <v>0</v>
      </c>
      <c r="CA1190" s="39">
        <f t="shared" si="766"/>
        <v>0</v>
      </c>
      <c r="CB1190" s="39">
        <f t="shared" si="767"/>
        <v>0</v>
      </c>
      <c r="CC1190" s="39">
        <f t="shared" si="768"/>
        <v>0</v>
      </c>
      <c r="CD1190" s="39">
        <f t="shared" si="748"/>
        <v>0</v>
      </c>
      <c r="CE1190" s="47" t="e">
        <f t="shared" si="769"/>
        <v>#DIV/0!</v>
      </c>
      <c r="CF1190" s="36"/>
      <c r="CG1190" s="39"/>
      <c r="CH1190" s="39"/>
      <c r="CI1190" s="25">
        <v>3</v>
      </c>
    </row>
    <row r="1191" spans="1:87" ht="24.75" customHeight="1">
      <c r="A1191" s="36" t="s">
        <v>303</v>
      </c>
      <c r="B1191" s="55"/>
      <c r="C1191" s="36"/>
      <c r="D1191" s="36"/>
      <c r="E1191" s="39"/>
      <c r="F1191" s="39"/>
      <c r="G1191" s="36"/>
      <c r="H1191" s="39"/>
      <c r="I1191" s="39"/>
      <c r="J1191" s="39"/>
      <c r="K1191" s="39"/>
      <c r="L1191" s="39">
        <f t="shared" si="751"/>
        <v>0</v>
      </c>
      <c r="M1191" s="39"/>
      <c r="N1191" s="39"/>
      <c r="O1191" s="39"/>
      <c r="P1191" s="39"/>
      <c r="Q1191" s="39"/>
      <c r="R1191" s="39">
        <f t="shared" si="752"/>
        <v>0</v>
      </c>
      <c r="S1191" s="39"/>
      <c r="T1191" s="39"/>
      <c r="U1191" s="39"/>
      <c r="V1191" s="39"/>
      <c r="W1191" s="39"/>
      <c r="X1191" s="39"/>
      <c r="Y1191" s="39"/>
      <c r="Z1191" s="39"/>
      <c r="AA1191" s="39"/>
      <c r="AB1191" s="39">
        <f t="shared" si="753"/>
        <v>0</v>
      </c>
      <c r="AC1191" s="39"/>
      <c r="AD1191" s="39"/>
      <c r="AE1191" s="39"/>
      <c r="AF1191" s="39"/>
      <c r="AG1191" s="39"/>
      <c r="AH1191" s="39">
        <f t="shared" si="745"/>
        <v>0</v>
      </c>
      <c r="AI1191" s="39"/>
      <c r="AJ1191" s="39"/>
      <c r="AK1191" s="39"/>
      <c r="AL1191" s="39"/>
      <c r="AM1191" s="39"/>
      <c r="AN1191" s="39">
        <f t="shared" si="744"/>
        <v>0</v>
      </c>
      <c r="AO1191" s="39"/>
      <c r="AP1191" s="39"/>
      <c r="AQ1191" s="39"/>
      <c r="AR1191" s="39"/>
      <c r="AS1191" s="39"/>
      <c r="AT1191" s="39">
        <f t="shared" si="762"/>
        <v>0</v>
      </c>
      <c r="AU1191" s="39"/>
      <c r="AV1191" s="39"/>
      <c r="AW1191" s="39"/>
      <c r="AX1191" s="39"/>
      <c r="AY1191" s="39"/>
      <c r="AZ1191" s="39">
        <f t="shared" si="763"/>
        <v>0</v>
      </c>
      <c r="BA1191" s="39"/>
      <c r="BB1191" s="39"/>
      <c r="BC1191" s="39"/>
      <c r="BD1191" s="39"/>
      <c r="BE1191" s="39"/>
      <c r="BF1191" s="39">
        <f t="shared" si="764"/>
        <v>0</v>
      </c>
      <c r="BG1191" s="39"/>
      <c r="BH1191" s="39"/>
      <c r="BI1191" s="39"/>
      <c r="BJ1191" s="39"/>
      <c r="BK1191" s="39"/>
      <c r="BL1191" s="39">
        <f t="shared" si="746"/>
        <v>0</v>
      </c>
      <c r="BM1191" s="54" t="e">
        <f t="shared" si="765"/>
        <v>#DIV/0!</v>
      </c>
      <c r="BN1191" s="63"/>
      <c r="BO1191" s="39"/>
      <c r="BP1191" s="39"/>
      <c r="BQ1191" s="39"/>
      <c r="BR1191" s="39"/>
      <c r="BS1191" s="39"/>
      <c r="BT1191" s="39"/>
      <c r="BU1191" s="39"/>
      <c r="BV1191" s="39"/>
      <c r="BW1191" s="39"/>
      <c r="BX1191" s="39"/>
      <c r="BY1191" s="39"/>
      <c r="BZ1191" s="39">
        <f t="shared" si="747"/>
        <v>0</v>
      </c>
      <c r="CA1191" s="39">
        <f t="shared" si="766"/>
        <v>0</v>
      </c>
      <c r="CB1191" s="39">
        <f t="shared" si="767"/>
        <v>0</v>
      </c>
      <c r="CC1191" s="39">
        <f t="shared" si="768"/>
        <v>0</v>
      </c>
      <c r="CD1191" s="39">
        <f t="shared" si="748"/>
        <v>0</v>
      </c>
      <c r="CE1191" s="47" t="e">
        <f t="shared" si="769"/>
        <v>#DIV/0!</v>
      </c>
      <c r="CF1191" s="36"/>
      <c r="CG1191" s="39"/>
      <c r="CH1191" s="39"/>
      <c r="CI1191" s="25">
        <v>3</v>
      </c>
    </row>
    <row r="1192" spans="1:87" ht="24.75" customHeight="1">
      <c r="A1192" s="36" t="s">
        <v>303</v>
      </c>
      <c r="B1192" s="55"/>
      <c r="C1192" s="36"/>
      <c r="D1192" s="36"/>
      <c r="E1192" s="39"/>
      <c r="F1192" s="39"/>
      <c r="G1192" s="36"/>
      <c r="H1192" s="39"/>
      <c r="I1192" s="39"/>
      <c r="J1192" s="39"/>
      <c r="K1192" s="39"/>
      <c r="L1192" s="39">
        <f t="shared" si="751"/>
        <v>0</v>
      </c>
      <c r="M1192" s="39"/>
      <c r="N1192" s="39"/>
      <c r="O1192" s="39"/>
      <c r="P1192" s="39"/>
      <c r="Q1192" s="39"/>
      <c r="R1192" s="39">
        <f t="shared" si="752"/>
        <v>0</v>
      </c>
      <c r="S1192" s="39"/>
      <c r="T1192" s="39"/>
      <c r="U1192" s="39"/>
      <c r="V1192" s="39"/>
      <c r="W1192" s="39"/>
      <c r="X1192" s="39"/>
      <c r="Y1192" s="39"/>
      <c r="Z1192" s="39"/>
      <c r="AA1192" s="39"/>
      <c r="AB1192" s="39">
        <f t="shared" si="753"/>
        <v>0</v>
      </c>
      <c r="AC1192" s="39"/>
      <c r="AD1192" s="39"/>
      <c r="AE1192" s="39"/>
      <c r="AF1192" s="39"/>
      <c r="AG1192" s="39"/>
      <c r="AH1192" s="39">
        <f t="shared" si="745"/>
        <v>0</v>
      </c>
      <c r="AI1192" s="39"/>
      <c r="AJ1192" s="39"/>
      <c r="AK1192" s="39"/>
      <c r="AL1192" s="39"/>
      <c r="AM1192" s="39"/>
      <c r="AN1192" s="39">
        <f t="shared" si="744"/>
        <v>0</v>
      </c>
      <c r="AO1192" s="39"/>
      <c r="AP1192" s="39"/>
      <c r="AQ1192" s="39"/>
      <c r="AR1192" s="39"/>
      <c r="AS1192" s="39"/>
      <c r="AT1192" s="39">
        <f t="shared" si="762"/>
        <v>0</v>
      </c>
      <c r="AU1192" s="39"/>
      <c r="AV1192" s="39"/>
      <c r="AW1192" s="39"/>
      <c r="AX1192" s="39"/>
      <c r="AY1192" s="39"/>
      <c r="AZ1192" s="39">
        <f t="shared" si="763"/>
        <v>0</v>
      </c>
      <c r="BA1192" s="39"/>
      <c r="BB1192" s="39"/>
      <c r="BC1192" s="39"/>
      <c r="BD1192" s="39"/>
      <c r="BE1192" s="39"/>
      <c r="BF1192" s="39">
        <f t="shared" si="764"/>
        <v>0</v>
      </c>
      <c r="BG1192" s="39"/>
      <c r="BH1192" s="39"/>
      <c r="BI1192" s="39"/>
      <c r="BJ1192" s="39"/>
      <c r="BK1192" s="39"/>
      <c r="BL1192" s="39">
        <f t="shared" si="746"/>
        <v>0</v>
      </c>
      <c r="BM1192" s="54" t="e">
        <f t="shared" si="765"/>
        <v>#DIV/0!</v>
      </c>
      <c r="BN1192" s="63"/>
      <c r="BO1192" s="39"/>
      <c r="BP1192" s="39"/>
      <c r="BQ1192" s="39"/>
      <c r="BR1192" s="39"/>
      <c r="BS1192" s="39"/>
      <c r="BT1192" s="39"/>
      <c r="BU1192" s="39"/>
      <c r="BV1192" s="39"/>
      <c r="BW1192" s="39"/>
      <c r="BX1192" s="39"/>
      <c r="BY1192" s="39"/>
      <c r="BZ1192" s="39">
        <f t="shared" si="747"/>
        <v>0</v>
      </c>
      <c r="CA1192" s="39">
        <f t="shared" si="766"/>
        <v>0</v>
      </c>
      <c r="CB1192" s="39">
        <f t="shared" si="767"/>
        <v>0</v>
      </c>
      <c r="CC1192" s="39">
        <f t="shared" si="768"/>
        <v>0</v>
      </c>
      <c r="CD1192" s="39">
        <f t="shared" si="748"/>
        <v>0</v>
      </c>
      <c r="CE1192" s="47" t="e">
        <f t="shared" si="769"/>
        <v>#DIV/0!</v>
      </c>
      <c r="CF1192" s="36"/>
      <c r="CG1192" s="39"/>
      <c r="CH1192" s="39"/>
      <c r="CI1192" s="25">
        <v>3</v>
      </c>
    </row>
    <row r="1193" spans="1:87" ht="24.75" customHeight="1">
      <c r="A1193" s="36" t="s">
        <v>299</v>
      </c>
      <c r="B1193" s="55"/>
      <c r="C1193" s="36"/>
      <c r="D1193" s="36"/>
      <c r="E1193" s="39"/>
      <c r="F1193" s="39"/>
      <c r="G1193" s="36"/>
      <c r="H1193" s="39"/>
      <c r="I1193" s="39"/>
      <c r="J1193" s="39"/>
      <c r="K1193" s="39"/>
      <c r="L1193" s="39">
        <f t="shared" si="751"/>
        <v>0</v>
      </c>
      <c r="M1193" s="39"/>
      <c r="N1193" s="39"/>
      <c r="O1193" s="39"/>
      <c r="P1193" s="39"/>
      <c r="Q1193" s="39"/>
      <c r="R1193" s="39">
        <f t="shared" si="752"/>
        <v>0</v>
      </c>
      <c r="S1193" s="39"/>
      <c r="T1193" s="39"/>
      <c r="U1193" s="39"/>
      <c r="V1193" s="39"/>
      <c r="W1193" s="39"/>
      <c r="X1193" s="39"/>
      <c r="Y1193" s="39"/>
      <c r="Z1193" s="39"/>
      <c r="AA1193" s="39"/>
      <c r="AB1193" s="39">
        <f t="shared" si="753"/>
        <v>0</v>
      </c>
      <c r="AC1193" s="39"/>
      <c r="AD1193" s="39"/>
      <c r="AE1193" s="39"/>
      <c r="AF1193" s="39"/>
      <c r="AG1193" s="39"/>
      <c r="AH1193" s="39">
        <f t="shared" si="745"/>
        <v>0</v>
      </c>
      <c r="AI1193" s="39"/>
      <c r="AJ1193" s="39"/>
      <c r="AK1193" s="39"/>
      <c r="AL1193" s="39"/>
      <c r="AM1193" s="39"/>
      <c r="AN1193" s="39">
        <f t="shared" si="744"/>
        <v>0</v>
      </c>
      <c r="AO1193" s="39"/>
      <c r="AP1193" s="39"/>
      <c r="AQ1193" s="39"/>
      <c r="AR1193" s="39"/>
      <c r="AS1193" s="39"/>
      <c r="AT1193" s="39">
        <f t="shared" si="762"/>
        <v>0</v>
      </c>
      <c r="AU1193" s="39"/>
      <c r="AV1193" s="39"/>
      <c r="AW1193" s="39"/>
      <c r="AX1193" s="39"/>
      <c r="AY1193" s="39"/>
      <c r="AZ1193" s="39">
        <f t="shared" si="763"/>
        <v>0</v>
      </c>
      <c r="BA1193" s="39"/>
      <c r="BB1193" s="39"/>
      <c r="BC1193" s="39"/>
      <c r="BD1193" s="39"/>
      <c r="BE1193" s="39"/>
      <c r="BF1193" s="39">
        <f t="shared" si="764"/>
        <v>0</v>
      </c>
      <c r="BG1193" s="39"/>
      <c r="BH1193" s="39"/>
      <c r="BI1193" s="39"/>
      <c r="BJ1193" s="39"/>
      <c r="BK1193" s="39"/>
      <c r="BL1193" s="39">
        <f t="shared" si="746"/>
        <v>0</v>
      </c>
      <c r="BM1193" s="54" t="e">
        <f t="shared" si="765"/>
        <v>#DIV/0!</v>
      </c>
      <c r="BN1193" s="42"/>
      <c r="BO1193" s="39"/>
      <c r="BP1193" s="39"/>
      <c r="BQ1193" s="39"/>
      <c r="BR1193" s="39"/>
      <c r="BS1193" s="39"/>
      <c r="BT1193" s="39"/>
      <c r="BU1193" s="39"/>
      <c r="BV1193" s="39"/>
      <c r="BW1193" s="39"/>
      <c r="BX1193" s="39"/>
      <c r="BY1193" s="39"/>
      <c r="BZ1193" s="39">
        <f t="shared" si="747"/>
        <v>0</v>
      </c>
      <c r="CA1193" s="39">
        <f t="shared" si="766"/>
        <v>0</v>
      </c>
      <c r="CB1193" s="39">
        <f t="shared" si="767"/>
        <v>0</v>
      </c>
      <c r="CC1193" s="39">
        <f t="shared" si="768"/>
        <v>0</v>
      </c>
      <c r="CD1193" s="39">
        <f t="shared" si="748"/>
        <v>0</v>
      </c>
      <c r="CE1193" s="47" t="e">
        <f t="shared" si="769"/>
        <v>#DIV/0!</v>
      </c>
      <c r="CF1193" s="36"/>
      <c r="CG1193" s="39"/>
      <c r="CH1193" s="39"/>
      <c r="CI1193" s="25">
        <v>1</v>
      </c>
    </row>
    <row r="1194" spans="1:87" ht="24.75" customHeight="1">
      <c r="A1194" s="36" t="s">
        <v>299</v>
      </c>
      <c r="B1194" s="55"/>
      <c r="C1194" s="36"/>
      <c r="D1194" s="36"/>
      <c r="E1194" s="39"/>
      <c r="F1194" s="39"/>
      <c r="G1194" s="36"/>
      <c r="H1194" s="39"/>
      <c r="I1194" s="39"/>
      <c r="J1194" s="39"/>
      <c r="K1194" s="39"/>
      <c r="L1194" s="39">
        <f t="shared" si="751"/>
        <v>0</v>
      </c>
      <c r="M1194" s="39"/>
      <c r="N1194" s="39"/>
      <c r="O1194" s="39"/>
      <c r="P1194" s="39"/>
      <c r="Q1194" s="39"/>
      <c r="R1194" s="39">
        <f t="shared" si="752"/>
        <v>0</v>
      </c>
      <c r="S1194" s="39"/>
      <c r="T1194" s="39"/>
      <c r="U1194" s="39"/>
      <c r="V1194" s="39"/>
      <c r="W1194" s="39"/>
      <c r="X1194" s="39"/>
      <c r="Y1194" s="39"/>
      <c r="Z1194" s="39"/>
      <c r="AA1194" s="39"/>
      <c r="AB1194" s="39">
        <f t="shared" si="753"/>
        <v>0</v>
      </c>
      <c r="AC1194" s="39"/>
      <c r="AD1194" s="39"/>
      <c r="AE1194" s="39"/>
      <c r="AF1194" s="39"/>
      <c r="AG1194" s="39"/>
      <c r="AH1194" s="39">
        <f t="shared" si="745"/>
        <v>0</v>
      </c>
      <c r="AI1194" s="39"/>
      <c r="AJ1194" s="39"/>
      <c r="AK1194" s="39"/>
      <c r="AL1194" s="39"/>
      <c r="AM1194" s="39"/>
      <c r="AN1194" s="39">
        <f t="shared" si="744"/>
        <v>0</v>
      </c>
      <c r="AO1194" s="39"/>
      <c r="AP1194" s="39"/>
      <c r="AQ1194" s="39"/>
      <c r="AR1194" s="39"/>
      <c r="AS1194" s="39"/>
      <c r="AT1194" s="39">
        <f t="shared" si="762"/>
        <v>0</v>
      </c>
      <c r="AU1194" s="39"/>
      <c r="AV1194" s="39"/>
      <c r="AW1194" s="39"/>
      <c r="AX1194" s="39"/>
      <c r="AY1194" s="39"/>
      <c r="AZ1194" s="39">
        <f t="shared" si="763"/>
        <v>0</v>
      </c>
      <c r="BA1194" s="39"/>
      <c r="BB1194" s="39"/>
      <c r="BC1194" s="39"/>
      <c r="BD1194" s="39"/>
      <c r="BE1194" s="39"/>
      <c r="BF1194" s="39">
        <f t="shared" si="764"/>
        <v>0</v>
      </c>
      <c r="BG1194" s="39"/>
      <c r="BH1194" s="39"/>
      <c r="BI1194" s="39"/>
      <c r="BJ1194" s="39"/>
      <c r="BK1194" s="39"/>
      <c r="BL1194" s="39">
        <f t="shared" si="746"/>
        <v>0</v>
      </c>
      <c r="BM1194" s="54" t="e">
        <f t="shared" si="765"/>
        <v>#DIV/0!</v>
      </c>
      <c r="BN1194" s="42"/>
      <c r="BO1194" s="39"/>
      <c r="BP1194" s="39"/>
      <c r="BQ1194" s="39"/>
      <c r="BR1194" s="39"/>
      <c r="BS1194" s="39"/>
      <c r="BT1194" s="39"/>
      <c r="BU1194" s="39"/>
      <c r="BV1194" s="39"/>
      <c r="BW1194" s="39"/>
      <c r="BX1194" s="39"/>
      <c r="BY1194" s="39"/>
      <c r="BZ1194" s="39">
        <f t="shared" si="747"/>
        <v>0</v>
      </c>
      <c r="CA1194" s="39">
        <f t="shared" si="766"/>
        <v>0</v>
      </c>
      <c r="CB1194" s="39">
        <f t="shared" si="767"/>
        <v>0</v>
      </c>
      <c r="CC1194" s="39">
        <f t="shared" si="768"/>
        <v>0</v>
      </c>
      <c r="CD1194" s="39">
        <f t="shared" si="748"/>
        <v>0</v>
      </c>
      <c r="CE1194" s="47" t="e">
        <f t="shared" si="769"/>
        <v>#DIV/0!</v>
      </c>
      <c r="CF1194" s="36"/>
      <c r="CG1194" s="39"/>
      <c r="CH1194" s="39"/>
      <c r="CI1194" s="25">
        <v>1</v>
      </c>
    </row>
    <row r="1195" spans="1:87" ht="24.75" customHeight="1">
      <c r="A1195" s="36" t="s">
        <v>299</v>
      </c>
      <c r="B1195" s="55"/>
      <c r="C1195" s="36"/>
      <c r="D1195" s="36"/>
      <c r="E1195" s="39"/>
      <c r="F1195" s="39"/>
      <c r="G1195" s="36"/>
      <c r="H1195" s="39"/>
      <c r="I1195" s="39"/>
      <c r="J1195" s="39"/>
      <c r="K1195" s="39"/>
      <c r="L1195" s="39">
        <f t="shared" si="751"/>
        <v>0</v>
      </c>
      <c r="M1195" s="39"/>
      <c r="N1195" s="39"/>
      <c r="O1195" s="39"/>
      <c r="P1195" s="39"/>
      <c r="Q1195" s="39"/>
      <c r="R1195" s="39">
        <f t="shared" si="752"/>
        <v>0</v>
      </c>
      <c r="S1195" s="39"/>
      <c r="T1195" s="39"/>
      <c r="U1195" s="39"/>
      <c r="V1195" s="39"/>
      <c r="W1195" s="39"/>
      <c r="X1195" s="39"/>
      <c r="Y1195" s="39"/>
      <c r="Z1195" s="39"/>
      <c r="AA1195" s="39"/>
      <c r="AB1195" s="39">
        <f t="shared" si="753"/>
        <v>0</v>
      </c>
      <c r="AC1195" s="39"/>
      <c r="AD1195" s="39"/>
      <c r="AE1195" s="39"/>
      <c r="AF1195" s="39"/>
      <c r="AG1195" s="39"/>
      <c r="AH1195" s="39">
        <f t="shared" si="745"/>
        <v>0</v>
      </c>
      <c r="AI1195" s="39"/>
      <c r="AJ1195" s="39"/>
      <c r="AK1195" s="39"/>
      <c r="AL1195" s="39"/>
      <c r="AM1195" s="39"/>
      <c r="AN1195" s="39">
        <f t="shared" si="744"/>
        <v>0</v>
      </c>
      <c r="AO1195" s="39"/>
      <c r="AP1195" s="39"/>
      <c r="AQ1195" s="39"/>
      <c r="AR1195" s="39"/>
      <c r="AS1195" s="39"/>
      <c r="AT1195" s="39">
        <f t="shared" si="762"/>
        <v>0</v>
      </c>
      <c r="AU1195" s="39"/>
      <c r="AV1195" s="39"/>
      <c r="AW1195" s="39"/>
      <c r="AX1195" s="39"/>
      <c r="AY1195" s="39"/>
      <c r="AZ1195" s="39">
        <f t="shared" si="763"/>
        <v>0</v>
      </c>
      <c r="BA1195" s="39"/>
      <c r="BB1195" s="39"/>
      <c r="BC1195" s="39"/>
      <c r="BD1195" s="39"/>
      <c r="BE1195" s="39"/>
      <c r="BF1195" s="39">
        <f t="shared" si="764"/>
        <v>0</v>
      </c>
      <c r="BG1195" s="39"/>
      <c r="BH1195" s="39"/>
      <c r="BI1195" s="39"/>
      <c r="BJ1195" s="39"/>
      <c r="BK1195" s="39"/>
      <c r="BL1195" s="39">
        <f t="shared" si="746"/>
        <v>0</v>
      </c>
      <c r="BM1195" s="54" t="e">
        <f t="shared" si="765"/>
        <v>#DIV/0!</v>
      </c>
      <c r="BN1195" s="42"/>
      <c r="BO1195" s="39"/>
      <c r="BP1195" s="39"/>
      <c r="BQ1195" s="39"/>
      <c r="BR1195" s="39"/>
      <c r="BS1195" s="39"/>
      <c r="BT1195" s="39"/>
      <c r="BU1195" s="39"/>
      <c r="BV1195" s="39"/>
      <c r="BW1195" s="39"/>
      <c r="BX1195" s="39"/>
      <c r="BY1195" s="39"/>
      <c r="BZ1195" s="39">
        <f t="shared" si="747"/>
        <v>0</v>
      </c>
      <c r="CA1195" s="39">
        <f t="shared" si="766"/>
        <v>0</v>
      </c>
      <c r="CB1195" s="39">
        <f t="shared" si="767"/>
        <v>0</v>
      </c>
      <c r="CC1195" s="39">
        <f t="shared" si="768"/>
        <v>0</v>
      </c>
      <c r="CD1195" s="39">
        <f t="shared" si="748"/>
        <v>0</v>
      </c>
      <c r="CE1195" s="47" t="e">
        <f t="shared" si="769"/>
        <v>#DIV/0!</v>
      </c>
      <c r="CF1195" s="36"/>
      <c r="CG1195" s="39"/>
      <c r="CH1195" s="39"/>
      <c r="CI1195" s="25">
        <v>1</v>
      </c>
    </row>
    <row r="1196" spans="1:87" ht="24.75" customHeight="1">
      <c r="A1196" s="36" t="s">
        <v>299</v>
      </c>
      <c r="B1196" s="55"/>
      <c r="C1196" s="36"/>
      <c r="D1196" s="36"/>
      <c r="E1196" s="39"/>
      <c r="F1196" s="39"/>
      <c r="G1196" s="36"/>
      <c r="H1196" s="39"/>
      <c r="I1196" s="39"/>
      <c r="J1196" s="39"/>
      <c r="K1196" s="39"/>
      <c r="L1196" s="39">
        <f t="shared" si="751"/>
        <v>0</v>
      </c>
      <c r="M1196" s="39"/>
      <c r="N1196" s="39"/>
      <c r="O1196" s="39"/>
      <c r="P1196" s="39"/>
      <c r="Q1196" s="39"/>
      <c r="R1196" s="39">
        <f t="shared" si="752"/>
        <v>0</v>
      </c>
      <c r="S1196" s="39"/>
      <c r="T1196" s="39"/>
      <c r="U1196" s="39"/>
      <c r="V1196" s="39"/>
      <c r="W1196" s="39"/>
      <c r="X1196" s="39"/>
      <c r="Y1196" s="39"/>
      <c r="Z1196" s="39"/>
      <c r="AA1196" s="39"/>
      <c r="AB1196" s="39">
        <f t="shared" si="753"/>
        <v>0</v>
      </c>
      <c r="AC1196" s="39"/>
      <c r="AD1196" s="39"/>
      <c r="AE1196" s="39"/>
      <c r="AF1196" s="39"/>
      <c r="AG1196" s="39"/>
      <c r="AH1196" s="39">
        <f t="shared" si="745"/>
        <v>0</v>
      </c>
      <c r="AI1196" s="39"/>
      <c r="AJ1196" s="39"/>
      <c r="AK1196" s="39"/>
      <c r="AL1196" s="39"/>
      <c r="AM1196" s="39"/>
      <c r="AN1196" s="39">
        <f t="shared" ref="AN1196:AN1520" si="778">AM1196-AK1196</f>
        <v>0</v>
      </c>
      <c r="AO1196" s="39"/>
      <c r="AP1196" s="39"/>
      <c r="AQ1196" s="39"/>
      <c r="AR1196" s="39"/>
      <c r="AS1196" s="39"/>
      <c r="AT1196" s="39">
        <f t="shared" si="762"/>
        <v>0</v>
      </c>
      <c r="AU1196" s="39"/>
      <c r="AV1196" s="39"/>
      <c r="AW1196" s="39"/>
      <c r="AX1196" s="39"/>
      <c r="AY1196" s="39"/>
      <c r="AZ1196" s="39">
        <f t="shared" si="763"/>
        <v>0</v>
      </c>
      <c r="BA1196" s="39"/>
      <c r="BB1196" s="39"/>
      <c r="BC1196" s="39"/>
      <c r="BD1196" s="39"/>
      <c r="BE1196" s="39"/>
      <c r="BF1196" s="39">
        <f t="shared" si="764"/>
        <v>0</v>
      </c>
      <c r="BG1196" s="39"/>
      <c r="BH1196" s="39"/>
      <c r="BI1196" s="39"/>
      <c r="BJ1196" s="39"/>
      <c r="BK1196" s="39"/>
      <c r="BL1196" s="39">
        <f t="shared" si="746"/>
        <v>0</v>
      </c>
      <c r="BM1196" s="54" t="e">
        <f t="shared" si="765"/>
        <v>#DIV/0!</v>
      </c>
      <c r="BN1196" s="42"/>
      <c r="BO1196" s="39"/>
      <c r="BP1196" s="39"/>
      <c r="BQ1196" s="39"/>
      <c r="BR1196" s="39"/>
      <c r="BS1196" s="39"/>
      <c r="BT1196" s="39"/>
      <c r="BU1196" s="39"/>
      <c r="BV1196" s="39"/>
      <c r="BW1196" s="39"/>
      <c r="BX1196" s="39"/>
      <c r="BY1196" s="39"/>
      <c r="BZ1196" s="39">
        <f t="shared" si="747"/>
        <v>0</v>
      </c>
      <c r="CA1196" s="39">
        <f t="shared" si="766"/>
        <v>0</v>
      </c>
      <c r="CB1196" s="39">
        <f t="shared" si="767"/>
        <v>0</v>
      </c>
      <c r="CC1196" s="39">
        <f t="shared" si="768"/>
        <v>0</v>
      </c>
      <c r="CD1196" s="39">
        <f t="shared" si="748"/>
        <v>0</v>
      </c>
      <c r="CE1196" s="47" t="e">
        <f t="shared" si="769"/>
        <v>#DIV/0!</v>
      </c>
      <c r="CF1196" s="36"/>
      <c r="CG1196" s="39"/>
      <c r="CH1196" s="39"/>
      <c r="CI1196" s="25">
        <v>1</v>
      </c>
    </row>
    <row r="1197" spans="1:87" ht="24.75" customHeight="1">
      <c r="A1197" s="36" t="s">
        <v>299</v>
      </c>
      <c r="B1197" s="55"/>
      <c r="C1197" s="36"/>
      <c r="D1197" s="36"/>
      <c r="E1197" s="39"/>
      <c r="F1197" s="39"/>
      <c r="G1197" s="36"/>
      <c r="H1197" s="39"/>
      <c r="I1197" s="39"/>
      <c r="J1197" s="39"/>
      <c r="K1197" s="39"/>
      <c r="L1197" s="39">
        <f t="shared" si="751"/>
        <v>0</v>
      </c>
      <c r="M1197" s="39"/>
      <c r="N1197" s="39"/>
      <c r="O1197" s="39"/>
      <c r="P1197" s="39"/>
      <c r="Q1197" s="39"/>
      <c r="R1197" s="39">
        <f t="shared" si="752"/>
        <v>0</v>
      </c>
      <c r="S1197" s="39"/>
      <c r="T1197" s="39"/>
      <c r="U1197" s="39"/>
      <c r="V1197" s="39"/>
      <c r="W1197" s="39"/>
      <c r="X1197" s="39"/>
      <c r="Y1197" s="39"/>
      <c r="Z1197" s="39"/>
      <c r="AA1197" s="39"/>
      <c r="AB1197" s="39">
        <f t="shared" si="753"/>
        <v>0</v>
      </c>
      <c r="AC1197" s="39"/>
      <c r="AD1197" s="39"/>
      <c r="AE1197" s="39"/>
      <c r="AF1197" s="39"/>
      <c r="AG1197" s="39"/>
      <c r="AH1197" s="39">
        <f t="shared" si="745"/>
        <v>0</v>
      </c>
      <c r="AI1197" s="39"/>
      <c r="AJ1197" s="39"/>
      <c r="AK1197" s="39"/>
      <c r="AL1197" s="39"/>
      <c r="AM1197" s="39"/>
      <c r="AN1197" s="39">
        <f t="shared" si="778"/>
        <v>0</v>
      </c>
      <c r="AO1197" s="39"/>
      <c r="AP1197" s="39"/>
      <c r="AQ1197" s="39"/>
      <c r="AR1197" s="39"/>
      <c r="AS1197" s="39"/>
      <c r="AT1197" s="39">
        <f t="shared" si="762"/>
        <v>0</v>
      </c>
      <c r="AU1197" s="39"/>
      <c r="AV1197" s="39"/>
      <c r="AW1197" s="39"/>
      <c r="AX1197" s="39"/>
      <c r="AY1197" s="39"/>
      <c r="AZ1197" s="39">
        <f t="shared" si="763"/>
        <v>0</v>
      </c>
      <c r="BA1197" s="39"/>
      <c r="BB1197" s="39"/>
      <c r="BC1197" s="39"/>
      <c r="BD1197" s="39"/>
      <c r="BE1197" s="39"/>
      <c r="BF1197" s="39">
        <f t="shared" si="764"/>
        <v>0</v>
      </c>
      <c r="BG1197" s="39"/>
      <c r="BH1197" s="39"/>
      <c r="BI1197" s="39"/>
      <c r="BJ1197" s="39"/>
      <c r="BK1197" s="39"/>
      <c r="BL1197" s="39">
        <f t="shared" si="746"/>
        <v>0</v>
      </c>
      <c r="BM1197" s="54" t="e">
        <f t="shared" si="765"/>
        <v>#DIV/0!</v>
      </c>
      <c r="BN1197" s="42"/>
      <c r="BO1197" s="39"/>
      <c r="BP1197" s="39"/>
      <c r="BQ1197" s="39"/>
      <c r="BR1197" s="39"/>
      <c r="BS1197" s="39"/>
      <c r="BT1197" s="39"/>
      <c r="BU1197" s="39"/>
      <c r="BV1197" s="39"/>
      <c r="BW1197" s="39"/>
      <c r="BX1197" s="39"/>
      <c r="BY1197" s="39"/>
      <c r="BZ1197" s="39">
        <f t="shared" si="747"/>
        <v>0</v>
      </c>
      <c r="CA1197" s="39">
        <f t="shared" si="766"/>
        <v>0</v>
      </c>
      <c r="CB1197" s="39">
        <f t="shared" si="767"/>
        <v>0</v>
      </c>
      <c r="CC1197" s="39">
        <f t="shared" si="768"/>
        <v>0</v>
      </c>
      <c r="CD1197" s="39">
        <f t="shared" si="748"/>
        <v>0</v>
      </c>
      <c r="CE1197" s="47" t="e">
        <f t="shared" si="769"/>
        <v>#DIV/0!</v>
      </c>
      <c r="CF1197" s="36"/>
      <c r="CG1197" s="39"/>
      <c r="CH1197" s="39"/>
      <c r="CI1197" s="25">
        <v>1</v>
      </c>
    </row>
    <row r="1198" spans="1:87" ht="24.75" customHeight="1">
      <c r="A1198" s="36" t="s">
        <v>299</v>
      </c>
      <c r="B1198" s="55"/>
      <c r="C1198" s="36"/>
      <c r="D1198" s="36"/>
      <c r="E1198" s="39"/>
      <c r="F1198" s="39"/>
      <c r="G1198" s="36"/>
      <c r="H1198" s="39"/>
      <c r="I1198" s="39"/>
      <c r="J1198" s="39"/>
      <c r="K1198" s="39"/>
      <c r="L1198" s="39">
        <f t="shared" si="751"/>
        <v>0</v>
      </c>
      <c r="M1198" s="39"/>
      <c r="N1198" s="39"/>
      <c r="O1198" s="39"/>
      <c r="P1198" s="39"/>
      <c r="Q1198" s="39"/>
      <c r="R1198" s="39">
        <f t="shared" si="752"/>
        <v>0</v>
      </c>
      <c r="S1198" s="39"/>
      <c r="T1198" s="39"/>
      <c r="U1198" s="39"/>
      <c r="V1198" s="39"/>
      <c r="W1198" s="39"/>
      <c r="X1198" s="39"/>
      <c r="Y1198" s="39"/>
      <c r="Z1198" s="39"/>
      <c r="AA1198" s="39"/>
      <c r="AB1198" s="39">
        <f t="shared" si="753"/>
        <v>0</v>
      </c>
      <c r="AC1198" s="39"/>
      <c r="AD1198" s="39"/>
      <c r="AE1198" s="39"/>
      <c r="AF1198" s="39"/>
      <c r="AG1198" s="39"/>
      <c r="AH1198" s="39">
        <f t="shared" si="745"/>
        <v>0</v>
      </c>
      <c r="AI1198" s="39"/>
      <c r="AJ1198" s="39"/>
      <c r="AK1198" s="39"/>
      <c r="AL1198" s="39"/>
      <c r="AM1198" s="39"/>
      <c r="AN1198" s="39">
        <f t="shared" si="778"/>
        <v>0</v>
      </c>
      <c r="AO1198" s="39"/>
      <c r="AP1198" s="39"/>
      <c r="AQ1198" s="39"/>
      <c r="AR1198" s="39"/>
      <c r="AS1198" s="39"/>
      <c r="AT1198" s="39">
        <f t="shared" si="762"/>
        <v>0</v>
      </c>
      <c r="AU1198" s="39"/>
      <c r="AV1198" s="39"/>
      <c r="AW1198" s="39"/>
      <c r="AX1198" s="39"/>
      <c r="AY1198" s="39"/>
      <c r="AZ1198" s="39">
        <f t="shared" si="763"/>
        <v>0</v>
      </c>
      <c r="BA1198" s="39"/>
      <c r="BB1198" s="39"/>
      <c r="BC1198" s="39"/>
      <c r="BD1198" s="39"/>
      <c r="BE1198" s="39"/>
      <c r="BF1198" s="39">
        <f t="shared" si="764"/>
        <v>0</v>
      </c>
      <c r="BG1198" s="39"/>
      <c r="BH1198" s="39"/>
      <c r="BI1198" s="39"/>
      <c r="BJ1198" s="39"/>
      <c r="BK1198" s="39"/>
      <c r="BL1198" s="39">
        <f t="shared" si="746"/>
        <v>0</v>
      </c>
      <c r="BM1198" s="54" t="e">
        <f t="shared" si="765"/>
        <v>#DIV/0!</v>
      </c>
      <c r="BN1198" s="67"/>
      <c r="BO1198" s="39"/>
      <c r="BP1198" s="39"/>
      <c r="BQ1198" s="39"/>
      <c r="BR1198" s="39"/>
      <c r="BS1198" s="39"/>
      <c r="BT1198" s="39"/>
      <c r="BU1198" s="39"/>
      <c r="BV1198" s="39"/>
      <c r="BW1198" s="39"/>
      <c r="BX1198" s="39"/>
      <c r="BY1198" s="39"/>
      <c r="BZ1198" s="39">
        <f t="shared" si="747"/>
        <v>0</v>
      </c>
      <c r="CA1198" s="39">
        <f t="shared" si="766"/>
        <v>0</v>
      </c>
      <c r="CB1198" s="39">
        <f t="shared" si="767"/>
        <v>0</v>
      </c>
      <c r="CC1198" s="39">
        <f t="shared" si="768"/>
        <v>0</v>
      </c>
      <c r="CD1198" s="39">
        <f t="shared" si="748"/>
        <v>0</v>
      </c>
      <c r="CE1198" s="47" t="e">
        <f t="shared" si="769"/>
        <v>#DIV/0!</v>
      </c>
      <c r="CF1198" s="36"/>
      <c r="CG1198" s="39"/>
      <c r="CH1198" s="39"/>
      <c r="CI1198" s="25">
        <v>2</v>
      </c>
    </row>
    <row r="1199" spans="1:87" ht="24.75" customHeight="1">
      <c r="A1199" s="36" t="s">
        <v>299</v>
      </c>
      <c r="B1199" s="55"/>
      <c r="C1199" s="36"/>
      <c r="D1199" s="36"/>
      <c r="E1199" s="39"/>
      <c r="F1199" s="39"/>
      <c r="G1199" s="36"/>
      <c r="H1199" s="39"/>
      <c r="I1199" s="39"/>
      <c r="J1199" s="39"/>
      <c r="K1199" s="39"/>
      <c r="L1199" s="39">
        <f t="shared" si="751"/>
        <v>0</v>
      </c>
      <c r="M1199" s="39"/>
      <c r="N1199" s="39"/>
      <c r="O1199" s="39"/>
      <c r="P1199" s="39"/>
      <c r="Q1199" s="39"/>
      <c r="R1199" s="39">
        <f t="shared" si="752"/>
        <v>0</v>
      </c>
      <c r="S1199" s="39"/>
      <c r="T1199" s="39"/>
      <c r="U1199" s="39"/>
      <c r="V1199" s="39"/>
      <c r="W1199" s="39"/>
      <c r="X1199" s="39"/>
      <c r="Y1199" s="39"/>
      <c r="Z1199" s="39"/>
      <c r="AA1199" s="39"/>
      <c r="AB1199" s="39">
        <f t="shared" si="753"/>
        <v>0</v>
      </c>
      <c r="AC1199" s="39"/>
      <c r="AD1199" s="39"/>
      <c r="AE1199" s="39"/>
      <c r="AF1199" s="39"/>
      <c r="AG1199" s="39"/>
      <c r="AH1199" s="39">
        <f t="shared" si="745"/>
        <v>0</v>
      </c>
      <c r="AI1199" s="39"/>
      <c r="AJ1199" s="39"/>
      <c r="AK1199" s="39"/>
      <c r="AL1199" s="39"/>
      <c r="AM1199" s="39"/>
      <c r="AN1199" s="39">
        <f t="shared" si="778"/>
        <v>0</v>
      </c>
      <c r="AO1199" s="39"/>
      <c r="AP1199" s="39"/>
      <c r="AQ1199" s="39"/>
      <c r="AR1199" s="39"/>
      <c r="AS1199" s="39"/>
      <c r="AT1199" s="39">
        <f t="shared" si="762"/>
        <v>0</v>
      </c>
      <c r="AU1199" s="39"/>
      <c r="AV1199" s="39"/>
      <c r="AW1199" s="39"/>
      <c r="AX1199" s="39"/>
      <c r="AY1199" s="39"/>
      <c r="AZ1199" s="39">
        <f t="shared" si="763"/>
        <v>0</v>
      </c>
      <c r="BA1199" s="39"/>
      <c r="BB1199" s="39"/>
      <c r="BC1199" s="39"/>
      <c r="BD1199" s="39"/>
      <c r="BE1199" s="39"/>
      <c r="BF1199" s="39">
        <f t="shared" si="764"/>
        <v>0</v>
      </c>
      <c r="BG1199" s="39"/>
      <c r="BH1199" s="39"/>
      <c r="BI1199" s="39"/>
      <c r="BJ1199" s="39"/>
      <c r="BK1199" s="39"/>
      <c r="BL1199" s="39">
        <f t="shared" si="746"/>
        <v>0</v>
      </c>
      <c r="BM1199" s="54" t="e">
        <f t="shared" si="765"/>
        <v>#DIV/0!</v>
      </c>
      <c r="BN1199" s="67"/>
      <c r="BO1199" s="39"/>
      <c r="BP1199" s="39"/>
      <c r="BQ1199" s="39"/>
      <c r="BR1199" s="39"/>
      <c r="BS1199" s="39"/>
      <c r="BT1199" s="39"/>
      <c r="BU1199" s="39"/>
      <c r="BV1199" s="39"/>
      <c r="BW1199" s="39"/>
      <c r="BX1199" s="39"/>
      <c r="BY1199" s="39"/>
      <c r="BZ1199" s="39">
        <f t="shared" si="747"/>
        <v>0</v>
      </c>
      <c r="CA1199" s="39">
        <f t="shared" si="766"/>
        <v>0</v>
      </c>
      <c r="CB1199" s="39">
        <f t="shared" si="767"/>
        <v>0</v>
      </c>
      <c r="CC1199" s="39">
        <f t="shared" si="768"/>
        <v>0</v>
      </c>
      <c r="CD1199" s="39">
        <f t="shared" si="748"/>
        <v>0</v>
      </c>
      <c r="CE1199" s="47" t="e">
        <f t="shared" si="769"/>
        <v>#DIV/0!</v>
      </c>
      <c r="CF1199" s="36"/>
      <c r="CG1199" s="39"/>
      <c r="CH1199" s="39"/>
      <c r="CI1199" s="25">
        <v>2</v>
      </c>
    </row>
    <row r="1200" spans="1:87" ht="24.75" customHeight="1">
      <c r="A1200" s="36" t="s">
        <v>299</v>
      </c>
      <c r="B1200" s="55"/>
      <c r="C1200" s="36"/>
      <c r="D1200" s="36"/>
      <c r="E1200" s="39"/>
      <c r="F1200" s="39"/>
      <c r="G1200" s="36"/>
      <c r="H1200" s="39"/>
      <c r="I1200" s="39"/>
      <c r="J1200" s="39"/>
      <c r="K1200" s="39"/>
      <c r="L1200" s="39">
        <f t="shared" si="751"/>
        <v>0</v>
      </c>
      <c r="M1200" s="39"/>
      <c r="N1200" s="39"/>
      <c r="O1200" s="39"/>
      <c r="P1200" s="39"/>
      <c r="Q1200" s="39"/>
      <c r="R1200" s="39">
        <f t="shared" si="752"/>
        <v>0</v>
      </c>
      <c r="S1200" s="39"/>
      <c r="T1200" s="39"/>
      <c r="U1200" s="39"/>
      <c r="V1200" s="39"/>
      <c r="W1200" s="39"/>
      <c r="X1200" s="39"/>
      <c r="Y1200" s="39"/>
      <c r="Z1200" s="39"/>
      <c r="AA1200" s="39"/>
      <c r="AB1200" s="39">
        <f t="shared" si="753"/>
        <v>0</v>
      </c>
      <c r="AC1200" s="39"/>
      <c r="AD1200" s="39"/>
      <c r="AE1200" s="39"/>
      <c r="AF1200" s="39"/>
      <c r="AG1200" s="39"/>
      <c r="AH1200" s="39">
        <f t="shared" si="745"/>
        <v>0</v>
      </c>
      <c r="AI1200" s="39"/>
      <c r="AJ1200" s="39"/>
      <c r="AK1200" s="39"/>
      <c r="AL1200" s="39"/>
      <c r="AM1200" s="39"/>
      <c r="AN1200" s="39">
        <f t="shared" si="778"/>
        <v>0</v>
      </c>
      <c r="AO1200" s="39"/>
      <c r="AP1200" s="39"/>
      <c r="AQ1200" s="39"/>
      <c r="AR1200" s="39"/>
      <c r="AS1200" s="39"/>
      <c r="AT1200" s="39">
        <f t="shared" si="762"/>
        <v>0</v>
      </c>
      <c r="AU1200" s="39"/>
      <c r="AV1200" s="39"/>
      <c r="AW1200" s="39"/>
      <c r="AX1200" s="39"/>
      <c r="AY1200" s="39"/>
      <c r="AZ1200" s="39">
        <f t="shared" si="763"/>
        <v>0</v>
      </c>
      <c r="BA1200" s="39"/>
      <c r="BB1200" s="39"/>
      <c r="BC1200" s="39"/>
      <c r="BD1200" s="39"/>
      <c r="BE1200" s="39"/>
      <c r="BF1200" s="39">
        <f t="shared" si="764"/>
        <v>0</v>
      </c>
      <c r="BG1200" s="39"/>
      <c r="BH1200" s="39"/>
      <c r="BI1200" s="39"/>
      <c r="BJ1200" s="39"/>
      <c r="BK1200" s="39"/>
      <c r="BL1200" s="39">
        <f t="shared" si="746"/>
        <v>0</v>
      </c>
      <c r="BM1200" s="54" t="e">
        <f t="shared" si="765"/>
        <v>#DIV/0!</v>
      </c>
      <c r="BN1200" s="67"/>
      <c r="BO1200" s="39"/>
      <c r="BP1200" s="39"/>
      <c r="BQ1200" s="39"/>
      <c r="BR1200" s="39"/>
      <c r="BS1200" s="39"/>
      <c r="BT1200" s="39"/>
      <c r="BU1200" s="39"/>
      <c r="BV1200" s="39"/>
      <c r="BW1200" s="39"/>
      <c r="BX1200" s="39"/>
      <c r="BY1200" s="39"/>
      <c r="BZ1200" s="39">
        <f t="shared" si="747"/>
        <v>0</v>
      </c>
      <c r="CA1200" s="39">
        <f t="shared" si="766"/>
        <v>0</v>
      </c>
      <c r="CB1200" s="39">
        <f t="shared" si="767"/>
        <v>0</v>
      </c>
      <c r="CC1200" s="39">
        <f t="shared" si="768"/>
        <v>0</v>
      </c>
      <c r="CD1200" s="39">
        <f t="shared" si="748"/>
        <v>0</v>
      </c>
      <c r="CE1200" s="47" t="e">
        <f t="shared" si="769"/>
        <v>#DIV/0!</v>
      </c>
      <c r="CF1200" s="36"/>
      <c r="CG1200" s="39"/>
      <c r="CH1200" s="39"/>
      <c r="CI1200" s="25">
        <v>2</v>
      </c>
    </row>
    <row r="1201" spans="1:87" ht="24.75" customHeight="1">
      <c r="A1201" s="36" t="s">
        <v>299</v>
      </c>
      <c r="B1201" s="55"/>
      <c r="C1201" s="36"/>
      <c r="D1201" s="36"/>
      <c r="E1201" s="39"/>
      <c r="F1201" s="39"/>
      <c r="G1201" s="36"/>
      <c r="H1201" s="39"/>
      <c r="I1201" s="39"/>
      <c r="J1201" s="39"/>
      <c r="K1201" s="39"/>
      <c r="L1201" s="39">
        <f t="shared" si="751"/>
        <v>0</v>
      </c>
      <c r="M1201" s="39"/>
      <c r="N1201" s="39"/>
      <c r="O1201" s="39"/>
      <c r="P1201" s="39"/>
      <c r="Q1201" s="39"/>
      <c r="R1201" s="39">
        <f t="shared" si="752"/>
        <v>0</v>
      </c>
      <c r="S1201" s="39"/>
      <c r="T1201" s="39"/>
      <c r="U1201" s="39"/>
      <c r="V1201" s="39"/>
      <c r="W1201" s="39"/>
      <c r="X1201" s="39"/>
      <c r="Y1201" s="39"/>
      <c r="Z1201" s="39"/>
      <c r="AA1201" s="39"/>
      <c r="AB1201" s="39">
        <f t="shared" si="753"/>
        <v>0</v>
      </c>
      <c r="AC1201" s="39"/>
      <c r="AD1201" s="39"/>
      <c r="AE1201" s="39"/>
      <c r="AF1201" s="39"/>
      <c r="AG1201" s="39"/>
      <c r="AH1201" s="39">
        <f t="shared" si="745"/>
        <v>0</v>
      </c>
      <c r="AI1201" s="39"/>
      <c r="AJ1201" s="39"/>
      <c r="AK1201" s="39"/>
      <c r="AL1201" s="39"/>
      <c r="AM1201" s="39"/>
      <c r="AN1201" s="39">
        <f t="shared" si="778"/>
        <v>0</v>
      </c>
      <c r="AO1201" s="39"/>
      <c r="AP1201" s="39"/>
      <c r="AQ1201" s="39"/>
      <c r="AR1201" s="39"/>
      <c r="AS1201" s="39"/>
      <c r="AT1201" s="39">
        <f t="shared" si="762"/>
        <v>0</v>
      </c>
      <c r="AU1201" s="39"/>
      <c r="AV1201" s="39"/>
      <c r="AW1201" s="39"/>
      <c r="AX1201" s="39"/>
      <c r="AY1201" s="39"/>
      <c r="AZ1201" s="39">
        <f t="shared" si="763"/>
        <v>0</v>
      </c>
      <c r="BA1201" s="39"/>
      <c r="BB1201" s="39"/>
      <c r="BC1201" s="39"/>
      <c r="BD1201" s="39"/>
      <c r="BE1201" s="39"/>
      <c r="BF1201" s="39">
        <f t="shared" si="764"/>
        <v>0</v>
      </c>
      <c r="BG1201" s="39"/>
      <c r="BH1201" s="39"/>
      <c r="BI1201" s="39"/>
      <c r="BJ1201" s="39"/>
      <c r="BK1201" s="39"/>
      <c r="BL1201" s="39">
        <f t="shared" si="746"/>
        <v>0</v>
      </c>
      <c r="BM1201" s="54" t="e">
        <f t="shared" si="765"/>
        <v>#DIV/0!</v>
      </c>
      <c r="BN1201" s="67"/>
      <c r="BO1201" s="39"/>
      <c r="BP1201" s="39"/>
      <c r="BQ1201" s="39"/>
      <c r="BR1201" s="39"/>
      <c r="BS1201" s="39"/>
      <c r="BT1201" s="39"/>
      <c r="BU1201" s="39"/>
      <c r="BV1201" s="39"/>
      <c r="BW1201" s="39"/>
      <c r="BX1201" s="39"/>
      <c r="BY1201" s="39"/>
      <c r="BZ1201" s="39">
        <f t="shared" si="747"/>
        <v>0</v>
      </c>
      <c r="CA1201" s="39">
        <f t="shared" si="766"/>
        <v>0</v>
      </c>
      <c r="CB1201" s="39">
        <f t="shared" si="767"/>
        <v>0</v>
      </c>
      <c r="CC1201" s="39">
        <f t="shared" si="768"/>
        <v>0</v>
      </c>
      <c r="CD1201" s="39">
        <f t="shared" si="748"/>
        <v>0</v>
      </c>
      <c r="CE1201" s="47" t="e">
        <f t="shared" si="769"/>
        <v>#DIV/0!</v>
      </c>
      <c r="CF1201" s="36"/>
      <c r="CG1201" s="39"/>
      <c r="CH1201" s="39"/>
      <c r="CI1201" s="25">
        <v>2</v>
      </c>
    </row>
    <row r="1202" spans="1:87" ht="24.75" customHeight="1">
      <c r="A1202" s="36" t="s">
        <v>299</v>
      </c>
      <c r="B1202" s="55"/>
      <c r="C1202" s="36"/>
      <c r="D1202" s="36"/>
      <c r="E1202" s="39"/>
      <c r="F1202" s="39"/>
      <c r="G1202" s="36"/>
      <c r="H1202" s="39"/>
      <c r="I1202" s="39"/>
      <c r="J1202" s="39"/>
      <c r="K1202" s="39"/>
      <c r="L1202" s="39">
        <f t="shared" si="751"/>
        <v>0</v>
      </c>
      <c r="M1202" s="39"/>
      <c r="N1202" s="39"/>
      <c r="O1202" s="39"/>
      <c r="P1202" s="39"/>
      <c r="Q1202" s="39"/>
      <c r="R1202" s="39">
        <f t="shared" si="752"/>
        <v>0</v>
      </c>
      <c r="S1202" s="39"/>
      <c r="T1202" s="39"/>
      <c r="U1202" s="39"/>
      <c r="V1202" s="39"/>
      <c r="W1202" s="39"/>
      <c r="X1202" s="39"/>
      <c r="Y1202" s="39"/>
      <c r="Z1202" s="39"/>
      <c r="AA1202" s="39"/>
      <c r="AB1202" s="39">
        <f t="shared" si="753"/>
        <v>0</v>
      </c>
      <c r="AC1202" s="39"/>
      <c r="AD1202" s="39"/>
      <c r="AE1202" s="39"/>
      <c r="AF1202" s="39"/>
      <c r="AG1202" s="39"/>
      <c r="AH1202" s="39">
        <f t="shared" si="745"/>
        <v>0</v>
      </c>
      <c r="AI1202" s="39"/>
      <c r="AJ1202" s="39"/>
      <c r="AK1202" s="39"/>
      <c r="AL1202" s="39"/>
      <c r="AM1202" s="39"/>
      <c r="AN1202" s="39">
        <f t="shared" si="778"/>
        <v>0</v>
      </c>
      <c r="AO1202" s="39"/>
      <c r="AP1202" s="39"/>
      <c r="AQ1202" s="39"/>
      <c r="AR1202" s="39"/>
      <c r="AS1202" s="39"/>
      <c r="AT1202" s="39">
        <f t="shared" si="762"/>
        <v>0</v>
      </c>
      <c r="AU1202" s="39"/>
      <c r="AV1202" s="39"/>
      <c r="AW1202" s="39"/>
      <c r="AX1202" s="39"/>
      <c r="AY1202" s="39"/>
      <c r="AZ1202" s="39">
        <f t="shared" si="763"/>
        <v>0</v>
      </c>
      <c r="BA1202" s="39"/>
      <c r="BB1202" s="39"/>
      <c r="BC1202" s="39"/>
      <c r="BD1202" s="39"/>
      <c r="BE1202" s="39"/>
      <c r="BF1202" s="39">
        <f t="shared" si="764"/>
        <v>0</v>
      </c>
      <c r="BG1202" s="39"/>
      <c r="BH1202" s="39"/>
      <c r="BI1202" s="39"/>
      <c r="BJ1202" s="39"/>
      <c r="BK1202" s="39"/>
      <c r="BL1202" s="39">
        <f t="shared" si="746"/>
        <v>0</v>
      </c>
      <c r="BM1202" s="54" t="e">
        <f t="shared" si="765"/>
        <v>#DIV/0!</v>
      </c>
      <c r="BN1202" s="67"/>
      <c r="BO1202" s="39"/>
      <c r="BP1202" s="39"/>
      <c r="BQ1202" s="39"/>
      <c r="BR1202" s="39"/>
      <c r="BS1202" s="39"/>
      <c r="BT1202" s="39"/>
      <c r="BU1202" s="39"/>
      <c r="BV1202" s="39"/>
      <c r="BW1202" s="39"/>
      <c r="BX1202" s="39"/>
      <c r="BY1202" s="39"/>
      <c r="BZ1202" s="39">
        <f t="shared" si="747"/>
        <v>0</v>
      </c>
      <c r="CA1202" s="39">
        <f t="shared" si="766"/>
        <v>0</v>
      </c>
      <c r="CB1202" s="39">
        <f t="shared" si="767"/>
        <v>0</v>
      </c>
      <c r="CC1202" s="39">
        <f t="shared" si="768"/>
        <v>0</v>
      </c>
      <c r="CD1202" s="39">
        <f t="shared" si="748"/>
        <v>0</v>
      </c>
      <c r="CE1202" s="47" t="e">
        <f t="shared" si="769"/>
        <v>#DIV/0!</v>
      </c>
      <c r="CF1202" s="36"/>
      <c r="CG1202" s="39"/>
      <c r="CH1202" s="39"/>
      <c r="CI1202" s="25">
        <v>2</v>
      </c>
    </row>
    <row r="1203" spans="1:87" ht="24.75" customHeight="1">
      <c r="A1203" s="36" t="s">
        <v>299</v>
      </c>
      <c r="B1203" s="55"/>
      <c r="C1203" s="36"/>
      <c r="D1203" s="36"/>
      <c r="E1203" s="39"/>
      <c r="F1203" s="39"/>
      <c r="G1203" s="36"/>
      <c r="H1203" s="39"/>
      <c r="I1203" s="39"/>
      <c r="J1203" s="39"/>
      <c r="K1203" s="39"/>
      <c r="L1203" s="39">
        <f t="shared" si="751"/>
        <v>0</v>
      </c>
      <c r="M1203" s="39"/>
      <c r="N1203" s="39"/>
      <c r="O1203" s="39"/>
      <c r="P1203" s="39"/>
      <c r="Q1203" s="39"/>
      <c r="R1203" s="39">
        <f t="shared" si="752"/>
        <v>0</v>
      </c>
      <c r="S1203" s="39"/>
      <c r="T1203" s="39"/>
      <c r="U1203" s="39"/>
      <c r="V1203" s="39"/>
      <c r="W1203" s="39"/>
      <c r="X1203" s="39"/>
      <c r="Y1203" s="39"/>
      <c r="Z1203" s="39"/>
      <c r="AA1203" s="39"/>
      <c r="AB1203" s="39">
        <f t="shared" si="753"/>
        <v>0</v>
      </c>
      <c r="AC1203" s="39"/>
      <c r="AD1203" s="39"/>
      <c r="AE1203" s="39"/>
      <c r="AF1203" s="39"/>
      <c r="AG1203" s="39"/>
      <c r="AH1203" s="39">
        <f t="shared" si="745"/>
        <v>0</v>
      </c>
      <c r="AI1203" s="39"/>
      <c r="AJ1203" s="39"/>
      <c r="AK1203" s="39"/>
      <c r="AL1203" s="39"/>
      <c r="AM1203" s="39"/>
      <c r="AN1203" s="39">
        <f t="shared" si="778"/>
        <v>0</v>
      </c>
      <c r="AO1203" s="39"/>
      <c r="AP1203" s="39"/>
      <c r="AQ1203" s="39"/>
      <c r="AR1203" s="39"/>
      <c r="AS1203" s="39"/>
      <c r="AT1203" s="39">
        <f t="shared" si="762"/>
        <v>0</v>
      </c>
      <c r="AU1203" s="39"/>
      <c r="AV1203" s="39"/>
      <c r="AW1203" s="39"/>
      <c r="AX1203" s="39"/>
      <c r="AY1203" s="39"/>
      <c r="AZ1203" s="39">
        <f t="shared" si="763"/>
        <v>0</v>
      </c>
      <c r="BA1203" s="39"/>
      <c r="BB1203" s="39"/>
      <c r="BC1203" s="39"/>
      <c r="BD1203" s="39"/>
      <c r="BE1203" s="39"/>
      <c r="BF1203" s="39">
        <f t="shared" si="764"/>
        <v>0</v>
      </c>
      <c r="BG1203" s="39"/>
      <c r="BH1203" s="39"/>
      <c r="BI1203" s="39"/>
      <c r="BJ1203" s="39"/>
      <c r="BK1203" s="39"/>
      <c r="BL1203" s="39">
        <f t="shared" si="746"/>
        <v>0</v>
      </c>
      <c r="BM1203" s="54" t="e">
        <f t="shared" si="765"/>
        <v>#DIV/0!</v>
      </c>
      <c r="BN1203" s="63"/>
      <c r="BO1203" s="39"/>
      <c r="BP1203" s="39"/>
      <c r="BQ1203" s="39"/>
      <c r="BR1203" s="39"/>
      <c r="BS1203" s="39"/>
      <c r="BT1203" s="39"/>
      <c r="BU1203" s="39"/>
      <c r="BV1203" s="39"/>
      <c r="BW1203" s="39"/>
      <c r="BX1203" s="39"/>
      <c r="BY1203" s="39"/>
      <c r="BZ1203" s="39">
        <f t="shared" si="747"/>
        <v>0</v>
      </c>
      <c r="CA1203" s="39">
        <f t="shared" si="766"/>
        <v>0</v>
      </c>
      <c r="CB1203" s="39">
        <f t="shared" si="767"/>
        <v>0</v>
      </c>
      <c r="CC1203" s="39">
        <f t="shared" si="768"/>
        <v>0</v>
      </c>
      <c r="CD1203" s="39">
        <f t="shared" si="748"/>
        <v>0</v>
      </c>
      <c r="CE1203" s="47" t="e">
        <f t="shared" si="769"/>
        <v>#DIV/0!</v>
      </c>
      <c r="CF1203" s="36"/>
      <c r="CG1203" s="39"/>
      <c r="CH1203" s="39"/>
      <c r="CI1203" s="25">
        <v>3</v>
      </c>
    </row>
    <row r="1204" spans="1:87" ht="24.75" customHeight="1">
      <c r="A1204" s="36" t="s">
        <v>299</v>
      </c>
      <c r="B1204" s="55"/>
      <c r="C1204" s="36"/>
      <c r="D1204" s="36"/>
      <c r="E1204" s="39"/>
      <c r="F1204" s="39"/>
      <c r="G1204" s="36"/>
      <c r="H1204" s="39"/>
      <c r="I1204" s="39"/>
      <c r="J1204" s="39"/>
      <c r="K1204" s="39"/>
      <c r="L1204" s="39">
        <f t="shared" si="751"/>
        <v>0</v>
      </c>
      <c r="M1204" s="39"/>
      <c r="N1204" s="39"/>
      <c r="O1204" s="39"/>
      <c r="P1204" s="39"/>
      <c r="Q1204" s="39"/>
      <c r="R1204" s="39">
        <f t="shared" si="752"/>
        <v>0</v>
      </c>
      <c r="S1204" s="39"/>
      <c r="T1204" s="39"/>
      <c r="U1204" s="39"/>
      <c r="V1204" s="39"/>
      <c r="W1204" s="39"/>
      <c r="X1204" s="39"/>
      <c r="Y1204" s="39"/>
      <c r="Z1204" s="39"/>
      <c r="AA1204" s="39"/>
      <c r="AB1204" s="39">
        <f t="shared" si="753"/>
        <v>0</v>
      </c>
      <c r="AC1204" s="39"/>
      <c r="AD1204" s="39"/>
      <c r="AE1204" s="39"/>
      <c r="AF1204" s="39"/>
      <c r="AG1204" s="39"/>
      <c r="AH1204" s="39">
        <f t="shared" si="745"/>
        <v>0</v>
      </c>
      <c r="AI1204" s="39"/>
      <c r="AJ1204" s="39"/>
      <c r="AK1204" s="39"/>
      <c r="AL1204" s="39"/>
      <c r="AM1204" s="39"/>
      <c r="AN1204" s="39">
        <f t="shared" si="778"/>
        <v>0</v>
      </c>
      <c r="AO1204" s="39"/>
      <c r="AP1204" s="39"/>
      <c r="AQ1204" s="39"/>
      <c r="AR1204" s="39"/>
      <c r="AS1204" s="39"/>
      <c r="AT1204" s="39">
        <f t="shared" si="762"/>
        <v>0</v>
      </c>
      <c r="AU1204" s="39"/>
      <c r="AV1204" s="39"/>
      <c r="AW1204" s="39"/>
      <c r="AX1204" s="39"/>
      <c r="AY1204" s="39"/>
      <c r="AZ1204" s="39">
        <f t="shared" si="763"/>
        <v>0</v>
      </c>
      <c r="BA1204" s="39"/>
      <c r="BB1204" s="39"/>
      <c r="BC1204" s="39"/>
      <c r="BD1204" s="39"/>
      <c r="BE1204" s="39"/>
      <c r="BF1204" s="39">
        <f t="shared" si="764"/>
        <v>0</v>
      </c>
      <c r="BG1204" s="39"/>
      <c r="BH1204" s="39"/>
      <c r="BI1204" s="39"/>
      <c r="BJ1204" s="39"/>
      <c r="BK1204" s="39"/>
      <c r="BL1204" s="39">
        <f t="shared" si="746"/>
        <v>0</v>
      </c>
      <c r="BM1204" s="54" t="e">
        <f t="shared" si="765"/>
        <v>#DIV/0!</v>
      </c>
      <c r="BN1204" s="63"/>
      <c r="BO1204" s="39"/>
      <c r="BP1204" s="39"/>
      <c r="BQ1204" s="39"/>
      <c r="BR1204" s="39"/>
      <c r="BS1204" s="39"/>
      <c r="BT1204" s="39"/>
      <c r="BU1204" s="39"/>
      <c r="BV1204" s="39"/>
      <c r="BW1204" s="39"/>
      <c r="BX1204" s="39"/>
      <c r="BY1204" s="39"/>
      <c r="BZ1204" s="39">
        <f t="shared" si="747"/>
        <v>0</v>
      </c>
      <c r="CA1204" s="39">
        <f t="shared" si="766"/>
        <v>0</v>
      </c>
      <c r="CB1204" s="39">
        <f t="shared" si="767"/>
        <v>0</v>
      </c>
      <c r="CC1204" s="39">
        <f t="shared" si="768"/>
        <v>0</v>
      </c>
      <c r="CD1204" s="39">
        <f t="shared" si="748"/>
        <v>0</v>
      </c>
      <c r="CE1204" s="47" t="e">
        <f t="shared" si="769"/>
        <v>#DIV/0!</v>
      </c>
      <c r="CF1204" s="36"/>
      <c r="CG1204" s="39"/>
      <c r="CH1204" s="39"/>
      <c r="CI1204" s="25">
        <v>3</v>
      </c>
    </row>
    <row r="1205" spans="1:87" ht="24.75" customHeight="1">
      <c r="A1205" s="36" t="s">
        <v>299</v>
      </c>
      <c r="B1205" s="55"/>
      <c r="C1205" s="36"/>
      <c r="D1205" s="36"/>
      <c r="E1205" s="39"/>
      <c r="F1205" s="39"/>
      <c r="G1205" s="36"/>
      <c r="H1205" s="39"/>
      <c r="I1205" s="39"/>
      <c r="J1205" s="39"/>
      <c r="K1205" s="39"/>
      <c r="L1205" s="39">
        <f t="shared" si="751"/>
        <v>0</v>
      </c>
      <c r="M1205" s="39"/>
      <c r="N1205" s="39"/>
      <c r="O1205" s="39"/>
      <c r="P1205" s="39"/>
      <c r="Q1205" s="39"/>
      <c r="R1205" s="39">
        <f t="shared" si="752"/>
        <v>0</v>
      </c>
      <c r="S1205" s="39"/>
      <c r="T1205" s="39"/>
      <c r="U1205" s="39"/>
      <c r="V1205" s="39"/>
      <c r="W1205" s="39"/>
      <c r="X1205" s="39"/>
      <c r="Y1205" s="39"/>
      <c r="Z1205" s="39"/>
      <c r="AA1205" s="39"/>
      <c r="AB1205" s="39">
        <f t="shared" si="753"/>
        <v>0</v>
      </c>
      <c r="AC1205" s="39"/>
      <c r="AD1205" s="39"/>
      <c r="AE1205" s="39"/>
      <c r="AF1205" s="39"/>
      <c r="AG1205" s="39"/>
      <c r="AH1205" s="39">
        <f t="shared" si="745"/>
        <v>0</v>
      </c>
      <c r="AI1205" s="39"/>
      <c r="AJ1205" s="39"/>
      <c r="AK1205" s="39"/>
      <c r="AL1205" s="39"/>
      <c r="AM1205" s="39"/>
      <c r="AN1205" s="39">
        <f t="shared" si="778"/>
        <v>0</v>
      </c>
      <c r="AO1205" s="39"/>
      <c r="AP1205" s="39"/>
      <c r="AQ1205" s="39"/>
      <c r="AR1205" s="39"/>
      <c r="AS1205" s="39"/>
      <c r="AT1205" s="39">
        <f t="shared" si="762"/>
        <v>0</v>
      </c>
      <c r="AU1205" s="39"/>
      <c r="AV1205" s="39"/>
      <c r="AW1205" s="39"/>
      <c r="AX1205" s="39"/>
      <c r="AY1205" s="39"/>
      <c r="AZ1205" s="39">
        <f t="shared" si="763"/>
        <v>0</v>
      </c>
      <c r="BA1205" s="39"/>
      <c r="BB1205" s="39"/>
      <c r="BC1205" s="39"/>
      <c r="BD1205" s="39"/>
      <c r="BE1205" s="39"/>
      <c r="BF1205" s="39">
        <f t="shared" si="764"/>
        <v>0</v>
      </c>
      <c r="BG1205" s="39"/>
      <c r="BH1205" s="39"/>
      <c r="BI1205" s="39"/>
      <c r="BJ1205" s="39"/>
      <c r="BK1205" s="39"/>
      <c r="BL1205" s="39">
        <f t="shared" si="746"/>
        <v>0</v>
      </c>
      <c r="BM1205" s="54" t="e">
        <f t="shared" si="765"/>
        <v>#DIV/0!</v>
      </c>
      <c r="BN1205" s="63"/>
      <c r="BO1205" s="39"/>
      <c r="BP1205" s="39"/>
      <c r="BQ1205" s="39"/>
      <c r="BR1205" s="39"/>
      <c r="BS1205" s="39"/>
      <c r="BT1205" s="39"/>
      <c r="BU1205" s="39"/>
      <c r="BV1205" s="39"/>
      <c r="BW1205" s="39"/>
      <c r="BX1205" s="39"/>
      <c r="BY1205" s="39"/>
      <c r="BZ1205" s="39">
        <f t="shared" si="747"/>
        <v>0</v>
      </c>
      <c r="CA1205" s="39">
        <f t="shared" si="766"/>
        <v>0</v>
      </c>
      <c r="CB1205" s="39">
        <f t="shared" si="767"/>
        <v>0</v>
      </c>
      <c r="CC1205" s="39">
        <f t="shared" si="768"/>
        <v>0</v>
      </c>
      <c r="CD1205" s="39">
        <f t="shared" si="748"/>
        <v>0</v>
      </c>
      <c r="CE1205" s="47" t="e">
        <f t="shared" si="769"/>
        <v>#DIV/0!</v>
      </c>
      <c r="CF1205" s="36"/>
      <c r="CG1205" s="39"/>
      <c r="CH1205" s="39"/>
      <c r="CI1205" s="25">
        <v>3</v>
      </c>
    </row>
    <row r="1206" spans="1:87" ht="24.75" customHeight="1">
      <c r="A1206" s="36" t="s">
        <v>299</v>
      </c>
      <c r="B1206" s="55"/>
      <c r="C1206" s="36"/>
      <c r="D1206" s="36"/>
      <c r="E1206" s="39"/>
      <c r="F1206" s="39"/>
      <c r="G1206" s="36"/>
      <c r="H1206" s="39"/>
      <c r="I1206" s="39"/>
      <c r="J1206" s="39"/>
      <c r="K1206" s="39"/>
      <c r="L1206" s="39">
        <f t="shared" si="751"/>
        <v>0</v>
      </c>
      <c r="M1206" s="39"/>
      <c r="N1206" s="39"/>
      <c r="O1206" s="39"/>
      <c r="P1206" s="39"/>
      <c r="Q1206" s="39"/>
      <c r="R1206" s="39">
        <f t="shared" si="752"/>
        <v>0</v>
      </c>
      <c r="S1206" s="39"/>
      <c r="T1206" s="39"/>
      <c r="U1206" s="39"/>
      <c r="V1206" s="39"/>
      <c r="W1206" s="39"/>
      <c r="X1206" s="39"/>
      <c r="Y1206" s="39"/>
      <c r="Z1206" s="39"/>
      <c r="AA1206" s="39"/>
      <c r="AB1206" s="39">
        <f t="shared" si="753"/>
        <v>0</v>
      </c>
      <c r="AC1206" s="39"/>
      <c r="AD1206" s="39"/>
      <c r="AE1206" s="39"/>
      <c r="AF1206" s="39"/>
      <c r="AG1206" s="39"/>
      <c r="AH1206" s="39">
        <f t="shared" ref="AH1206:AH1522" si="779">AG1206-AE1206</f>
        <v>0</v>
      </c>
      <c r="AI1206" s="39"/>
      <c r="AJ1206" s="39"/>
      <c r="AK1206" s="39"/>
      <c r="AL1206" s="39"/>
      <c r="AM1206" s="39"/>
      <c r="AN1206" s="39">
        <f t="shared" si="778"/>
        <v>0</v>
      </c>
      <c r="AO1206" s="39"/>
      <c r="AP1206" s="39"/>
      <c r="AQ1206" s="39"/>
      <c r="AR1206" s="39"/>
      <c r="AS1206" s="39"/>
      <c r="AT1206" s="39">
        <f t="shared" si="762"/>
        <v>0</v>
      </c>
      <c r="AU1206" s="39"/>
      <c r="AV1206" s="39"/>
      <c r="AW1206" s="39"/>
      <c r="AX1206" s="39"/>
      <c r="AY1206" s="39"/>
      <c r="AZ1206" s="39">
        <f t="shared" si="763"/>
        <v>0</v>
      </c>
      <c r="BA1206" s="39"/>
      <c r="BB1206" s="39"/>
      <c r="BC1206" s="39"/>
      <c r="BD1206" s="39"/>
      <c r="BE1206" s="39"/>
      <c r="BF1206" s="39">
        <f t="shared" si="764"/>
        <v>0</v>
      </c>
      <c r="BG1206" s="39"/>
      <c r="BH1206" s="39"/>
      <c r="BI1206" s="39"/>
      <c r="BJ1206" s="39"/>
      <c r="BK1206" s="39"/>
      <c r="BL1206" s="39">
        <f t="shared" ref="BL1206:BL1522" si="780">BK1206-BI1206</f>
        <v>0</v>
      </c>
      <c r="BM1206" s="54" t="e">
        <f t="shared" si="765"/>
        <v>#DIV/0!</v>
      </c>
      <c r="BN1206" s="63"/>
      <c r="BO1206" s="39"/>
      <c r="BP1206" s="39"/>
      <c r="BQ1206" s="39"/>
      <c r="BR1206" s="39"/>
      <c r="BS1206" s="39"/>
      <c r="BT1206" s="39"/>
      <c r="BU1206" s="39"/>
      <c r="BV1206" s="39"/>
      <c r="BW1206" s="39"/>
      <c r="BX1206" s="39"/>
      <c r="BY1206" s="39"/>
      <c r="BZ1206" s="39">
        <f t="shared" ref="BZ1206:BZ1522" si="781">BU1206+BW1206+BY1206</f>
        <v>0</v>
      </c>
      <c r="CA1206" s="39">
        <f t="shared" si="766"/>
        <v>0</v>
      </c>
      <c r="CB1206" s="39">
        <f t="shared" si="767"/>
        <v>0</v>
      </c>
      <c r="CC1206" s="39">
        <f t="shared" si="768"/>
        <v>0</v>
      </c>
      <c r="CD1206" s="39">
        <f t="shared" ref="CD1206:CD1522" si="782">SUMIF(CA1206:CC1206,"&lt;0")</f>
        <v>0</v>
      </c>
      <c r="CE1206" s="47" t="e">
        <f t="shared" si="769"/>
        <v>#DIV/0!</v>
      </c>
      <c r="CF1206" s="36"/>
      <c r="CG1206" s="39"/>
      <c r="CH1206" s="39"/>
      <c r="CI1206" s="25">
        <v>3</v>
      </c>
    </row>
    <row r="1207" spans="1:87" ht="24.75" customHeight="1">
      <c r="A1207" s="36" t="s">
        <v>299</v>
      </c>
      <c r="B1207" s="55"/>
      <c r="C1207" s="36"/>
      <c r="D1207" s="36"/>
      <c r="E1207" s="39"/>
      <c r="F1207" s="39"/>
      <c r="G1207" s="36"/>
      <c r="H1207" s="39"/>
      <c r="I1207" s="39"/>
      <c r="J1207" s="39"/>
      <c r="K1207" s="39"/>
      <c r="L1207" s="39">
        <f t="shared" si="751"/>
        <v>0</v>
      </c>
      <c r="M1207" s="39"/>
      <c r="N1207" s="39"/>
      <c r="O1207" s="39"/>
      <c r="P1207" s="39"/>
      <c r="Q1207" s="39"/>
      <c r="R1207" s="39">
        <f t="shared" si="752"/>
        <v>0</v>
      </c>
      <c r="S1207" s="39"/>
      <c r="T1207" s="39"/>
      <c r="U1207" s="39"/>
      <c r="V1207" s="39"/>
      <c r="W1207" s="39"/>
      <c r="X1207" s="39"/>
      <c r="Y1207" s="39"/>
      <c r="Z1207" s="39"/>
      <c r="AA1207" s="39"/>
      <c r="AB1207" s="39">
        <f t="shared" si="753"/>
        <v>0</v>
      </c>
      <c r="AC1207" s="39"/>
      <c r="AD1207" s="39"/>
      <c r="AE1207" s="39"/>
      <c r="AF1207" s="39"/>
      <c r="AG1207" s="39"/>
      <c r="AH1207" s="39">
        <f t="shared" si="779"/>
        <v>0</v>
      </c>
      <c r="AI1207" s="39"/>
      <c r="AJ1207" s="39"/>
      <c r="AK1207" s="39"/>
      <c r="AL1207" s="39"/>
      <c r="AM1207" s="39"/>
      <c r="AN1207" s="39">
        <f t="shared" si="778"/>
        <v>0</v>
      </c>
      <c r="AO1207" s="39"/>
      <c r="AP1207" s="39"/>
      <c r="AQ1207" s="39"/>
      <c r="AR1207" s="39"/>
      <c r="AS1207" s="39"/>
      <c r="AT1207" s="39">
        <f t="shared" si="762"/>
        <v>0</v>
      </c>
      <c r="AU1207" s="39"/>
      <c r="AV1207" s="39"/>
      <c r="AW1207" s="39"/>
      <c r="AX1207" s="39"/>
      <c r="AY1207" s="39"/>
      <c r="AZ1207" s="39">
        <f t="shared" si="763"/>
        <v>0</v>
      </c>
      <c r="BA1207" s="39"/>
      <c r="BB1207" s="39"/>
      <c r="BC1207" s="39"/>
      <c r="BD1207" s="39"/>
      <c r="BE1207" s="39"/>
      <c r="BF1207" s="39">
        <f t="shared" si="764"/>
        <v>0</v>
      </c>
      <c r="BG1207" s="39"/>
      <c r="BH1207" s="39"/>
      <c r="BI1207" s="39"/>
      <c r="BJ1207" s="39"/>
      <c r="BK1207" s="39"/>
      <c r="BL1207" s="39">
        <f t="shared" si="780"/>
        <v>0</v>
      </c>
      <c r="BM1207" s="54" t="e">
        <f t="shared" si="765"/>
        <v>#DIV/0!</v>
      </c>
      <c r="BN1207" s="63"/>
      <c r="BO1207" s="39"/>
      <c r="BP1207" s="39"/>
      <c r="BQ1207" s="39"/>
      <c r="BR1207" s="39"/>
      <c r="BS1207" s="39"/>
      <c r="BT1207" s="39"/>
      <c r="BU1207" s="39"/>
      <c r="BV1207" s="39"/>
      <c r="BW1207" s="39"/>
      <c r="BX1207" s="39"/>
      <c r="BY1207" s="39"/>
      <c r="BZ1207" s="39">
        <f t="shared" si="781"/>
        <v>0</v>
      </c>
      <c r="CA1207" s="39">
        <f t="shared" si="766"/>
        <v>0</v>
      </c>
      <c r="CB1207" s="39">
        <f t="shared" si="767"/>
        <v>0</v>
      </c>
      <c r="CC1207" s="39">
        <f t="shared" si="768"/>
        <v>0</v>
      </c>
      <c r="CD1207" s="39">
        <f t="shared" si="782"/>
        <v>0</v>
      </c>
      <c r="CE1207" s="47" t="e">
        <f t="shared" si="769"/>
        <v>#DIV/0!</v>
      </c>
      <c r="CF1207" s="36"/>
      <c r="CG1207" s="39"/>
      <c r="CH1207" s="39"/>
      <c r="CI1207" s="25">
        <v>3</v>
      </c>
    </row>
    <row r="1208" spans="1:87" ht="24.75" customHeight="1">
      <c r="A1208" s="36" t="s">
        <v>20</v>
      </c>
      <c r="B1208" s="29" t="s">
        <v>1756</v>
      </c>
      <c r="C1208" s="227" t="s">
        <v>1757</v>
      </c>
      <c r="D1208" s="36"/>
      <c r="E1208" s="39">
        <v>180</v>
      </c>
      <c r="F1208" s="39" t="s">
        <v>53</v>
      </c>
      <c r="G1208" s="36" t="s">
        <v>23</v>
      </c>
      <c r="H1208" s="36" t="s">
        <v>87</v>
      </c>
      <c r="I1208" s="39">
        <v>251</v>
      </c>
      <c r="J1208" s="39"/>
      <c r="K1208" s="39"/>
      <c r="L1208" s="39">
        <f t="shared" ref="L1208:L1238" si="783">SUM(I1208:K1208)</f>
        <v>251</v>
      </c>
      <c r="M1208" s="57">
        <v>46259</v>
      </c>
      <c r="N1208" s="57">
        <v>46265</v>
      </c>
      <c r="O1208" s="39"/>
      <c r="P1208" s="39"/>
      <c r="Q1208" s="39"/>
      <c r="R1208" s="39">
        <f t="shared" ref="R1208:R1210" si="784">SUM(O1208:Q1208)</f>
        <v>0</v>
      </c>
      <c r="S1208" s="39" t="s">
        <v>28</v>
      </c>
      <c r="T1208" s="39"/>
      <c r="U1208" s="39"/>
      <c r="V1208" s="117">
        <v>46226</v>
      </c>
      <c r="W1208" s="39">
        <v>280</v>
      </c>
      <c r="X1208" s="117">
        <v>46231</v>
      </c>
      <c r="Y1208" s="39">
        <v>256</v>
      </c>
      <c r="Z1208" s="39"/>
      <c r="AA1208" s="39"/>
      <c r="AB1208" s="119">
        <f t="shared" ref="AB1208:AB1239" si="785">SUM(Y1208:AA1208)</f>
        <v>256</v>
      </c>
      <c r="AC1208" s="39"/>
      <c r="AD1208" s="39"/>
      <c r="AE1208" s="39"/>
      <c r="AF1208" s="39"/>
      <c r="AG1208" s="39"/>
      <c r="AH1208" s="39">
        <f t="shared" si="779"/>
        <v>0</v>
      </c>
      <c r="AI1208" s="39"/>
      <c r="AJ1208" s="39"/>
      <c r="AK1208" s="39"/>
      <c r="AL1208" s="39"/>
      <c r="AM1208" s="39"/>
      <c r="AN1208" s="39">
        <f t="shared" si="778"/>
        <v>0</v>
      </c>
      <c r="AO1208" s="39"/>
      <c r="AP1208" s="39"/>
      <c r="AQ1208" s="39"/>
      <c r="AR1208" s="39"/>
      <c r="AS1208" s="39"/>
      <c r="AT1208" s="39">
        <f t="shared" si="762"/>
        <v>0</v>
      </c>
      <c r="AU1208" s="39"/>
      <c r="AV1208" s="39"/>
      <c r="AW1208" s="39"/>
      <c r="AX1208" s="39"/>
      <c r="AY1208" s="39"/>
      <c r="AZ1208" s="39">
        <f t="shared" si="763"/>
        <v>0</v>
      </c>
      <c r="BA1208" s="39"/>
      <c r="BB1208" s="39"/>
      <c r="BC1208" s="39"/>
      <c r="BD1208" s="39"/>
      <c r="BE1208" s="39"/>
      <c r="BF1208" s="39">
        <f t="shared" si="764"/>
        <v>0</v>
      </c>
      <c r="BG1208" s="39"/>
      <c r="BH1208" s="39"/>
      <c r="BI1208" s="39"/>
      <c r="BJ1208" s="39"/>
      <c r="BK1208" s="39"/>
      <c r="BL1208" s="39">
        <f t="shared" si="780"/>
        <v>0</v>
      </c>
      <c r="BM1208" s="54" t="str">
        <f t="shared" si="765"/>
        <v/>
      </c>
      <c r="BN1208" s="58">
        <v>46266</v>
      </c>
      <c r="BO1208" s="57">
        <v>46277</v>
      </c>
      <c r="BP1208" s="57"/>
      <c r="BQ1208" s="57"/>
      <c r="BR1208" s="57">
        <v>46233</v>
      </c>
      <c r="BS1208" s="57">
        <v>46233</v>
      </c>
      <c r="BT1208" s="39">
        <v>1953</v>
      </c>
      <c r="BU1208" s="39">
        <v>256</v>
      </c>
      <c r="BV1208" s="39"/>
      <c r="BW1208" s="39"/>
      <c r="BX1208" s="39"/>
      <c r="BY1208" s="39"/>
      <c r="BZ1208" s="39">
        <f t="shared" si="781"/>
        <v>256</v>
      </c>
      <c r="CA1208" s="39">
        <f t="shared" si="766"/>
        <v>5</v>
      </c>
      <c r="CB1208" s="39">
        <f t="shared" si="767"/>
        <v>0</v>
      </c>
      <c r="CC1208" s="39">
        <f t="shared" si="768"/>
        <v>0</v>
      </c>
      <c r="CD1208" s="39">
        <f t="shared" si="782"/>
        <v>0</v>
      </c>
      <c r="CE1208" s="102">
        <f t="shared" si="769"/>
        <v>0</v>
      </c>
      <c r="CF1208" s="36"/>
      <c r="CG1208" s="39" t="s">
        <v>233</v>
      </c>
      <c r="CH1208" s="39"/>
      <c r="CI1208" s="25">
        <v>1</v>
      </c>
    </row>
    <row r="1209" spans="1:87" ht="24.75" customHeight="1">
      <c r="A1209" s="36" t="s">
        <v>20</v>
      </c>
      <c r="B1209" s="29" t="s">
        <v>1756</v>
      </c>
      <c r="C1209" s="228"/>
      <c r="D1209" s="36" t="s">
        <v>37</v>
      </c>
      <c r="E1209" s="39">
        <v>180</v>
      </c>
      <c r="F1209" s="39" t="s">
        <v>53</v>
      </c>
      <c r="G1209" s="36" t="s">
        <v>522</v>
      </c>
      <c r="H1209" s="36" t="s">
        <v>87</v>
      </c>
      <c r="I1209" s="39">
        <v>270</v>
      </c>
      <c r="J1209" s="39"/>
      <c r="K1209" s="39"/>
      <c r="L1209" s="39">
        <f t="shared" si="783"/>
        <v>270</v>
      </c>
      <c r="M1209" s="57">
        <v>46259</v>
      </c>
      <c r="N1209" s="57">
        <v>46265</v>
      </c>
      <c r="O1209" s="39"/>
      <c r="P1209" s="39"/>
      <c r="Q1209" s="39"/>
      <c r="R1209" s="39">
        <f t="shared" ref="R1209" si="786">SUM(O1209:Q1209)</f>
        <v>0</v>
      </c>
      <c r="S1209" s="39" t="s">
        <v>28</v>
      </c>
      <c r="T1209" s="39"/>
      <c r="U1209" s="39"/>
      <c r="V1209" s="117">
        <v>46226</v>
      </c>
      <c r="W1209" s="39">
        <v>303</v>
      </c>
      <c r="X1209" s="117">
        <v>46230</v>
      </c>
      <c r="Y1209" s="39">
        <v>276</v>
      </c>
      <c r="Z1209" s="39"/>
      <c r="AA1209" s="39"/>
      <c r="AB1209" s="119">
        <f t="shared" ref="AB1209" si="787">SUM(Y1209:AA1209)</f>
        <v>276</v>
      </c>
      <c r="AC1209" s="39" t="s">
        <v>269</v>
      </c>
      <c r="AD1209" s="117">
        <v>46234</v>
      </c>
      <c r="AE1209" s="39">
        <v>277</v>
      </c>
      <c r="AF1209" s="117">
        <v>46248</v>
      </c>
      <c r="AG1209" s="39">
        <v>292</v>
      </c>
      <c r="AH1209" s="39">
        <f t="shared" si="779"/>
        <v>15</v>
      </c>
      <c r="AI1209" s="39"/>
      <c r="AJ1209" s="39"/>
      <c r="AK1209" s="39"/>
      <c r="AL1209" s="39"/>
      <c r="AM1209" s="39"/>
      <c r="AN1209" s="39">
        <f t="shared" si="778"/>
        <v>0</v>
      </c>
      <c r="AO1209" s="39"/>
      <c r="AP1209" s="39"/>
      <c r="AQ1209" s="39"/>
      <c r="AR1209" s="39"/>
      <c r="AS1209" s="39"/>
      <c r="AT1209" s="39">
        <f t="shared" si="762"/>
        <v>0</v>
      </c>
      <c r="AU1209" s="39"/>
      <c r="AV1209" s="39"/>
      <c r="AW1209" s="39"/>
      <c r="AX1209" s="39"/>
      <c r="AY1209" s="39"/>
      <c r="AZ1209" s="39">
        <f t="shared" si="763"/>
        <v>0</v>
      </c>
      <c r="BA1209" s="39"/>
      <c r="BB1209" s="39"/>
      <c r="BC1209" s="39"/>
      <c r="BD1209" s="39"/>
      <c r="BE1209" s="39"/>
      <c r="BF1209" s="39">
        <f t="shared" si="764"/>
        <v>0</v>
      </c>
      <c r="BG1209" s="39"/>
      <c r="BH1209" s="39"/>
      <c r="BI1209" s="39"/>
      <c r="BJ1209" s="39"/>
      <c r="BK1209" s="39"/>
      <c r="BL1209" s="39">
        <f t="shared" si="780"/>
        <v>0</v>
      </c>
      <c r="BM1209" s="54" t="str">
        <f t="shared" si="765"/>
        <v/>
      </c>
      <c r="BN1209" s="58">
        <v>46266</v>
      </c>
      <c r="BO1209" s="57">
        <v>46277</v>
      </c>
      <c r="BP1209" s="57">
        <v>46279</v>
      </c>
      <c r="BQ1209" s="57">
        <v>46286</v>
      </c>
      <c r="BR1209" s="57">
        <v>46254</v>
      </c>
      <c r="BS1209" s="57">
        <v>46254</v>
      </c>
      <c r="BT1209" s="39">
        <v>1881</v>
      </c>
      <c r="BU1209" s="39">
        <v>291</v>
      </c>
      <c r="BV1209" s="39"/>
      <c r="BW1209" s="39"/>
      <c r="BX1209" s="39"/>
      <c r="BY1209" s="39"/>
      <c r="BZ1209" s="39">
        <f t="shared" si="781"/>
        <v>291</v>
      </c>
      <c r="CA1209" s="39">
        <f t="shared" si="766"/>
        <v>21</v>
      </c>
      <c r="CB1209" s="39">
        <f t="shared" si="767"/>
        <v>0</v>
      </c>
      <c r="CC1209" s="39">
        <f t="shared" si="768"/>
        <v>0</v>
      </c>
      <c r="CD1209" s="39">
        <f t="shared" si="782"/>
        <v>0</v>
      </c>
      <c r="CE1209" s="102">
        <f t="shared" si="769"/>
        <v>0</v>
      </c>
      <c r="CF1209" s="36"/>
      <c r="CG1209" s="39" t="s">
        <v>233</v>
      </c>
      <c r="CH1209" s="39"/>
      <c r="CI1209" s="25">
        <v>1</v>
      </c>
    </row>
    <row r="1210" spans="1:87" ht="24.75" customHeight="1">
      <c r="A1210" s="36" t="s">
        <v>20</v>
      </c>
      <c r="B1210" s="29" t="s">
        <v>1758</v>
      </c>
      <c r="C1210" s="253" t="s">
        <v>2597</v>
      </c>
      <c r="D1210" s="36"/>
      <c r="E1210" s="39">
        <v>160</v>
      </c>
      <c r="F1210" s="39" t="s">
        <v>62</v>
      </c>
      <c r="G1210" s="36" t="s">
        <v>23</v>
      </c>
      <c r="H1210" s="36" t="s">
        <v>207</v>
      </c>
      <c r="I1210" s="39">
        <f>262+87</f>
        <v>349</v>
      </c>
      <c r="J1210" s="39"/>
      <c r="K1210" s="39"/>
      <c r="L1210" s="39">
        <f t="shared" si="783"/>
        <v>349</v>
      </c>
      <c r="M1210" s="57">
        <v>46254</v>
      </c>
      <c r="N1210" s="57">
        <v>46262</v>
      </c>
      <c r="O1210" s="39"/>
      <c r="P1210" s="39"/>
      <c r="Q1210" s="39"/>
      <c r="R1210" s="39">
        <f t="shared" si="784"/>
        <v>0</v>
      </c>
      <c r="S1210" s="39" t="s">
        <v>130</v>
      </c>
      <c r="T1210" s="39" t="s">
        <v>3053</v>
      </c>
      <c r="U1210" s="117" t="s">
        <v>3054</v>
      </c>
      <c r="V1210" s="39"/>
      <c r="W1210" s="39"/>
      <c r="X1210" s="39"/>
      <c r="Y1210" s="39">
        <f>285+96</f>
        <v>381</v>
      </c>
      <c r="Z1210" s="39"/>
      <c r="AA1210" s="39"/>
      <c r="AB1210" s="119">
        <f t="shared" si="785"/>
        <v>381</v>
      </c>
      <c r="AC1210" s="39"/>
      <c r="AD1210" s="39"/>
      <c r="AE1210" s="39"/>
      <c r="AF1210" s="39"/>
      <c r="AG1210" s="39"/>
      <c r="AH1210" s="39">
        <f t="shared" si="779"/>
        <v>0</v>
      </c>
      <c r="AI1210" s="39"/>
      <c r="AJ1210" s="39"/>
      <c r="AK1210" s="39"/>
      <c r="AL1210" s="39"/>
      <c r="AM1210" s="39"/>
      <c r="AN1210" s="39">
        <f t="shared" si="778"/>
        <v>0</v>
      </c>
      <c r="AO1210" s="39"/>
      <c r="AP1210" s="39"/>
      <c r="AQ1210" s="39"/>
      <c r="AR1210" s="39"/>
      <c r="AS1210" s="39"/>
      <c r="AT1210" s="39">
        <f t="shared" si="762"/>
        <v>0</v>
      </c>
      <c r="AU1210" s="39"/>
      <c r="AV1210" s="39"/>
      <c r="AW1210" s="39"/>
      <c r="AX1210" s="39"/>
      <c r="AY1210" s="39"/>
      <c r="AZ1210" s="39">
        <f t="shared" si="763"/>
        <v>0</v>
      </c>
      <c r="BA1210" s="39"/>
      <c r="BB1210" s="39"/>
      <c r="BC1210" s="39"/>
      <c r="BD1210" s="39"/>
      <c r="BE1210" s="39"/>
      <c r="BF1210" s="39">
        <f t="shared" si="764"/>
        <v>0</v>
      </c>
      <c r="BG1210" s="39"/>
      <c r="BH1210" s="39"/>
      <c r="BI1210" s="39"/>
      <c r="BJ1210" s="39"/>
      <c r="BK1210" s="39"/>
      <c r="BL1210" s="39">
        <f t="shared" si="780"/>
        <v>0</v>
      </c>
      <c r="BM1210" s="54" t="e">
        <f t="shared" ca="1" si="765"/>
        <v>#VALUE!</v>
      </c>
      <c r="BN1210" s="58">
        <v>46266</v>
      </c>
      <c r="BO1210" s="57">
        <v>46277</v>
      </c>
      <c r="BP1210" s="36"/>
      <c r="BQ1210" s="36"/>
      <c r="BR1210" s="57">
        <v>46232</v>
      </c>
      <c r="BS1210" s="57">
        <v>46232</v>
      </c>
      <c r="BT1210" s="39">
        <v>1914</v>
      </c>
      <c r="BU1210" s="39">
        <v>266</v>
      </c>
      <c r="BV1210" s="39"/>
      <c r="BW1210" s="39"/>
      <c r="BX1210" s="39"/>
      <c r="BY1210" s="39"/>
      <c r="BZ1210" s="39">
        <f t="shared" si="781"/>
        <v>266</v>
      </c>
      <c r="CA1210" s="39">
        <f t="shared" si="766"/>
        <v>-83</v>
      </c>
      <c r="CB1210" s="39">
        <f t="shared" si="767"/>
        <v>0</v>
      </c>
      <c r="CC1210" s="39">
        <f t="shared" si="768"/>
        <v>0</v>
      </c>
      <c r="CD1210" s="39">
        <f t="shared" si="782"/>
        <v>-83</v>
      </c>
      <c r="CE1210" s="102">
        <f t="shared" si="769"/>
        <v>-0.23782234957020057</v>
      </c>
      <c r="CF1210" s="36"/>
      <c r="CG1210" s="39" t="s">
        <v>233</v>
      </c>
      <c r="CH1210" s="39"/>
      <c r="CI1210" s="25">
        <v>1</v>
      </c>
    </row>
    <row r="1211" spans="1:87" ht="24.75" customHeight="1">
      <c r="A1211" s="36" t="s">
        <v>20</v>
      </c>
      <c r="B1211" s="29" t="s">
        <v>1758</v>
      </c>
      <c r="C1211" s="266"/>
      <c r="D1211" s="36"/>
      <c r="E1211" s="39">
        <v>160</v>
      </c>
      <c r="F1211" s="39" t="s">
        <v>62</v>
      </c>
      <c r="G1211" s="36" t="s">
        <v>21</v>
      </c>
      <c r="H1211" s="36" t="s">
        <v>207</v>
      </c>
      <c r="I1211" s="39">
        <f>262+87</f>
        <v>349</v>
      </c>
      <c r="J1211" s="39"/>
      <c r="K1211" s="39"/>
      <c r="L1211" s="39">
        <f t="shared" si="783"/>
        <v>349</v>
      </c>
      <c r="M1211" s="57">
        <v>46254</v>
      </c>
      <c r="N1211" s="57">
        <v>46262</v>
      </c>
      <c r="O1211" s="39"/>
      <c r="P1211" s="39"/>
      <c r="Q1211" s="39"/>
      <c r="R1211" s="39">
        <f t="shared" ref="R1211:R1212" si="788">SUM(O1211:Q1211)</f>
        <v>0</v>
      </c>
      <c r="S1211" s="39" t="s">
        <v>130</v>
      </c>
      <c r="T1211" s="39" t="s">
        <v>2656</v>
      </c>
      <c r="U1211" s="117">
        <v>46262</v>
      </c>
      <c r="V1211" s="39"/>
      <c r="W1211" s="39"/>
      <c r="X1211" s="39"/>
      <c r="Y1211" s="39">
        <f>296+100</f>
        <v>396</v>
      </c>
      <c r="Z1211" s="39"/>
      <c r="AA1211" s="39"/>
      <c r="AB1211" s="119">
        <f t="shared" si="785"/>
        <v>396</v>
      </c>
      <c r="AC1211" s="39"/>
      <c r="AD1211" s="39"/>
      <c r="AE1211" s="39"/>
      <c r="AF1211" s="39"/>
      <c r="AG1211" s="39"/>
      <c r="AH1211" s="39">
        <f t="shared" si="779"/>
        <v>0</v>
      </c>
      <c r="AI1211" s="39"/>
      <c r="AJ1211" s="39"/>
      <c r="AK1211" s="39"/>
      <c r="AL1211" s="39"/>
      <c r="AM1211" s="39"/>
      <c r="AN1211" s="39">
        <f t="shared" si="778"/>
        <v>0</v>
      </c>
      <c r="AO1211" s="39"/>
      <c r="AP1211" s="39"/>
      <c r="AQ1211" s="39"/>
      <c r="AR1211" s="39"/>
      <c r="AS1211" s="39"/>
      <c r="AT1211" s="39">
        <f t="shared" si="762"/>
        <v>0</v>
      </c>
      <c r="AU1211" s="39"/>
      <c r="AV1211" s="39"/>
      <c r="AW1211" s="39"/>
      <c r="AX1211" s="39"/>
      <c r="AY1211" s="39"/>
      <c r="AZ1211" s="39">
        <f t="shared" si="763"/>
        <v>0</v>
      </c>
      <c r="BA1211" s="39"/>
      <c r="BB1211" s="39"/>
      <c r="BC1211" s="39"/>
      <c r="BD1211" s="39"/>
      <c r="BE1211" s="39"/>
      <c r="BF1211" s="39">
        <f t="shared" si="764"/>
        <v>0</v>
      </c>
      <c r="BG1211" s="39"/>
      <c r="BH1211" s="39"/>
      <c r="BI1211" s="39"/>
      <c r="BJ1211" s="39"/>
      <c r="BK1211" s="39"/>
      <c r="BL1211" s="39">
        <f t="shared" si="780"/>
        <v>0</v>
      </c>
      <c r="BM1211" s="54" t="str">
        <f t="shared" si="765"/>
        <v/>
      </c>
      <c r="BN1211" s="58">
        <v>46266</v>
      </c>
      <c r="BO1211" s="57">
        <v>46277</v>
      </c>
      <c r="BP1211" s="36"/>
      <c r="BQ1211" s="36"/>
      <c r="BR1211" s="57">
        <v>46272</v>
      </c>
      <c r="BS1211" s="57">
        <v>46272</v>
      </c>
      <c r="BT1211" s="39" t="s">
        <v>2823</v>
      </c>
      <c r="BU1211" s="39">
        <f>87+264</f>
        <v>351</v>
      </c>
      <c r="BV1211" s="39"/>
      <c r="BW1211" s="39"/>
      <c r="BX1211" s="39"/>
      <c r="BY1211" s="39"/>
      <c r="BZ1211" s="39">
        <f t="shared" si="781"/>
        <v>351</v>
      </c>
      <c r="CA1211" s="39">
        <f t="shared" si="766"/>
        <v>2</v>
      </c>
      <c r="CB1211" s="39">
        <f t="shared" si="767"/>
        <v>0</v>
      </c>
      <c r="CC1211" s="39">
        <f t="shared" si="768"/>
        <v>0</v>
      </c>
      <c r="CD1211" s="39">
        <f t="shared" si="782"/>
        <v>0</v>
      </c>
      <c r="CE1211" s="102">
        <f t="shared" si="769"/>
        <v>0</v>
      </c>
      <c r="CF1211" s="36"/>
      <c r="CG1211" s="39" t="s">
        <v>233</v>
      </c>
      <c r="CH1211" s="39"/>
      <c r="CI1211" s="25">
        <v>1</v>
      </c>
    </row>
    <row r="1212" spans="1:87" ht="24.75" customHeight="1">
      <c r="A1212" s="36" t="s">
        <v>20</v>
      </c>
      <c r="B1212" s="29" t="s">
        <v>1758</v>
      </c>
      <c r="C1212" s="254"/>
      <c r="D1212" s="36"/>
      <c r="E1212" s="39">
        <v>160</v>
      </c>
      <c r="F1212" s="39" t="s">
        <v>62</v>
      </c>
      <c r="G1212" s="36" t="s">
        <v>304</v>
      </c>
      <c r="H1212" s="36" t="s">
        <v>207</v>
      </c>
      <c r="I1212" s="39">
        <f>262+87</f>
        <v>349</v>
      </c>
      <c r="J1212" s="39"/>
      <c r="K1212" s="39"/>
      <c r="L1212" s="39">
        <f t="shared" ref="L1212:L1227" si="789">SUM(I1212:K1212)</f>
        <v>349</v>
      </c>
      <c r="M1212" s="57">
        <v>46254</v>
      </c>
      <c r="N1212" s="57">
        <v>46262</v>
      </c>
      <c r="O1212" s="39"/>
      <c r="P1212" s="39"/>
      <c r="Q1212" s="39"/>
      <c r="R1212" s="39">
        <f t="shared" si="788"/>
        <v>0</v>
      </c>
      <c r="S1212" s="39" t="s">
        <v>130</v>
      </c>
      <c r="T1212" s="39">
        <v>109098</v>
      </c>
      <c r="U1212" s="117">
        <v>46265</v>
      </c>
      <c r="V1212" s="39"/>
      <c r="W1212" s="39"/>
      <c r="X1212" s="39"/>
      <c r="Y1212" s="39">
        <v>388</v>
      </c>
      <c r="Z1212" s="39"/>
      <c r="AA1212" s="39"/>
      <c r="AB1212" s="119">
        <f t="shared" si="785"/>
        <v>388</v>
      </c>
      <c r="AC1212" s="39"/>
      <c r="AD1212" s="39"/>
      <c r="AE1212" s="39"/>
      <c r="AF1212" s="39"/>
      <c r="AG1212" s="39"/>
      <c r="AH1212" s="39">
        <f t="shared" si="779"/>
        <v>0</v>
      </c>
      <c r="AI1212" s="39"/>
      <c r="AJ1212" s="39"/>
      <c r="AK1212" s="39"/>
      <c r="AL1212" s="39"/>
      <c r="AM1212" s="39"/>
      <c r="AN1212" s="39">
        <f t="shared" si="778"/>
        <v>0</v>
      </c>
      <c r="AO1212" s="39"/>
      <c r="AP1212" s="39"/>
      <c r="AQ1212" s="39"/>
      <c r="AR1212" s="39"/>
      <c r="AS1212" s="39"/>
      <c r="AT1212" s="39">
        <f t="shared" si="762"/>
        <v>0</v>
      </c>
      <c r="AU1212" s="39"/>
      <c r="AV1212" s="39"/>
      <c r="AW1212" s="39"/>
      <c r="AX1212" s="39"/>
      <c r="AY1212" s="39"/>
      <c r="AZ1212" s="39">
        <f t="shared" si="763"/>
        <v>0</v>
      </c>
      <c r="BA1212" s="39"/>
      <c r="BB1212" s="39"/>
      <c r="BC1212" s="39"/>
      <c r="BD1212" s="39"/>
      <c r="BE1212" s="39"/>
      <c r="BF1212" s="39">
        <f t="shared" si="764"/>
        <v>0</v>
      </c>
      <c r="BG1212" s="39"/>
      <c r="BH1212" s="39"/>
      <c r="BI1212" s="39"/>
      <c r="BJ1212" s="39"/>
      <c r="BK1212" s="39"/>
      <c r="BL1212" s="39">
        <f t="shared" si="780"/>
        <v>0</v>
      </c>
      <c r="BM1212" s="54" t="str">
        <f t="shared" si="765"/>
        <v/>
      </c>
      <c r="BN1212" s="58">
        <v>46266</v>
      </c>
      <c r="BO1212" s="57">
        <v>46277</v>
      </c>
      <c r="BP1212" s="36"/>
      <c r="BQ1212" s="36"/>
      <c r="BR1212" s="57">
        <v>46272</v>
      </c>
      <c r="BS1212" s="57">
        <v>46272</v>
      </c>
      <c r="BT1212" s="39">
        <v>759</v>
      </c>
      <c r="BU1212" s="39">
        <v>348</v>
      </c>
      <c r="BV1212" s="39"/>
      <c r="BW1212" s="39"/>
      <c r="BX1212" s="39"/>
      <c r="BY1212" s="39"/>
      <c r="BZ1212" s="39">
        <f t="shared" si="781"/>
        <v>348</v>
      </c>
      <c r="CA1212" s="39">
        <f t="shared" si="766"/>
        <v>-1</v>
      </c>
      <c r="CB1212" s="39">
        <f t="shared" si="767"/>
        <v>0</v>
      </c>
      <c r="CC1212" s="39">
        <f t="shared" si="768"/>
        <v>0</v>
      </c>
      <c r="CD1212" s="39">
        <v>0</v>
      </c>
      <c r="CE1212" s="102">
        <f t="shared" si="769"/>
        <v>0</v>
      </c>
      <c r="CF1212" s="36"/>
      <c r="CG1212" s="39" t="s">
        <v>233</v>
      </c>
      <c r="CH1212" s="39"/>
      <c r="CI1212" s="25">
        <v>1</v>
      </c>
    </row>
    <row r="1213" spans="1:87" ht="24.75" customHeight="1">
      <c r="A1213" s="36" t="s">
        <v>20</v>
      </c>
      <c r="B1213" s="29" t="s">
        <v>1759</v>
      </c>
      <c r="C1213" s="253" t="s">
        <v>1760</v>
      </c>
      <c r="D1213" s="36"/>
      <c r="E1213" s="39">
        <v>180</v>
      </c>
      <c r="F1213" s="39" t="s">
        <v>53</v>
      </c>
      <c r="G1213" s="36" t="s">
        <v>192</v>
      </c>
      <c r="H1213" s="36" t="s">
        <v>87</v>
      </c>
      <c r="I1213" s="39">
        <v>244</v>
      </c>
      <c r="J1213" s="39"/>
      <c r="K1213" s="39"/>
      <c r="L1213" s="39">
        <f t="shared" si="789"/>
        <v>244</v>
      </c>
      <c r="M1213" s="57">
        <v>46260</v>
      </c>
      <c r="N1213" s="57">
        <v>46273</v>
      </c>
      <c r="O1213" s="39"/>
      <c r="P1213" s="39"/>
      <c r="Q1213" s="39"/>
      <c r="R1213" s="39">
        <f t="shared" ref="R1213:R1224" si="790">SUM(O1213:Q1213)</f>
        <v>0</v>
      </c>
      <c r="S1213" s="39" t="s">
        <v>130</v>
      </c>
      <c r="T1213" s="39">
        <v>108461</v>
      </c>
      <c r="U1213" s="117">
        <v>46254</v>
      </c>
      <c r="V1213" s="39"/>
      <c r="W1213" s="39"/>
      <c r="X1213" s="39"/>
      <c r="Y1213" s="39">
        <v>282</v>
      </c>
      <c r="Z1213" s="39"/>
      <c r="AA1213" s="39"/>
      <c r="AB1213" s="119">
        <f t="shared" si="785"/>
        <v>282</v>
      </c>
      <c r="AC1213" s="39"/>
      <c r="AD1213" s="39"/>
      <c r="AE1213" s="39"/>
      <c r="AF1213" s="39"/>
      <c r="AG1213" s="39"/>
      <c r="AH1213" s="39">
        <f t="shared" si="779"/>
        <v>0</v>
      </c>
      <c r="AI1213" s="39"/>
      <c r="AJ1213" s="39"/>
      <c r="AK1213" s="39"/>
      <c r="AL1213" s="39"/>
      <c r="AM1213" s="39"/>
      <c r="AN1213" s="39">
        <f t="shared" si="778"/>
        <v>0</v>
      </c>
      <c r="AO1213" s="39"/>
      <c r="AP1213" s="39"/>
      <c r="AQ1213" s="39"/>
      <c r="AR1213" s="39"/>
      <c r="AS1213" s="39"/>
      <c r="AT1213" s="39">
        <f t="shared" si="762"/>
        <v>0</v>
      </c>
      <c r="AU1213" s="39"/>
      <c r="AV1213" s="39"/>
      <c r="AW1213" s="39"/>
      <c r="AX1213" s="39"/>
      <c r="AY1213" s="39"/>
      <c r="AZ1213" s="39">
        <f t="shared" si="763"/>
        <v>0</v>
      </c>
      <c r="BA1213" s="39"/>
      <c r="BB1213" s="39"/>
      <c r="BC1213" s="39"/>
      <c r="BD1213" s="39"/>
      <c r="BE1213" s="39"/>
      <c r="BF1213" s="39">
        <f t="shared" si="764"/>
        <v>0</v>
      </c>
      <c r="BG1213" s="39"/>
      <c r="BH1213" s="39"/>
      <c r="BI1213" s="39"/>
      <c r="BJ1213" s="39"/>
      <c r="BK1213" s="39"/>
      <c r="BL1213" s="39">
        <f t="shared" si="780"/>
        <v>0</v>
      </c>
      <c r="BM1213" s="54" t="str">
        <f t="shared" si="765"/>
        <v/>
      </c>
      <c r="BN1213" s="58">
        <v>46275</v>
      </c>
      <c r="BO1213" s="57">
        <v>46284</v>
      </c>
      <c r="BP1213" s="36"/>
      <c r="BQ1213" s="36"/>
      <c r="BR1213" s="57">
        <v>46256</v>
      </c>
      <c r="BS1213" s="57">
        <v>46256</v>
      </c>
      <c r="BT1213" s="39">
        <v>1028</v>
      </c>
      <c r="BU1213" s="39">
        <v>250</v>
      </c>
      <c r="BV1213" s="39"/>
      <c r="BW1213" s="39"/>
      <c r="BX1213" s="39"/>
      <c r="BY1213" s="39"/>
      <c r="BZ1213" s="39">
        <f t="shared" si="781"/>
        <v>250</v>
      </c>
      <c r="CA1213" s="39">
        <f t="shared" si="766"/>
        <v>6</v>
      </c>
      <c r="CB1213" s="39">
        <f t="shared" si="767"/>
        <v>0</v>
      </c>
      <c r="CC1213" s="39">
        <f t="shared" si="768"/>
        <v>0</v>
      </c>
      <c r="CD1213" s="39">
        <f t="shared" si="782"/>
        <v>0</v>
      </c>
      <c r="CE1213" s="102">
        <f t="shared" si="769"/>
        <v>0</v>
      </c>
      <c r="CF1213" s="36"/>
      <c r="CG1213" s="39" t="s">
        <v>233</v>
      </c>
      <c r="CH1213" s="39"/>
      <c r="CI1213" s="25">
        <v>1</v>
      </c>
    </row>
    <row r="1214" spans="1:87" ht="24.75" customHeight="1">
      <c r="A1214" s="36" t="s">
        <v>20</v>
      </c>
      <c r="B1214" s="29" t="s">
        <v>1759</v>
      </c>
      <c r="C1214" s="266"/>
      <c r="D1214" s="36"/>
      <c r="E1214" s="39">
        <v>180</v>
      </c>
      <c r="F1214" s="39" t="s">
        <v>53</v>
      </c>
      <c r="G1214" s="36" t="s">
        <v>1761</v>
      </c>
      <c r="H1214" s="36" t="s">
        <v>87</v>
      </c>
      <c r="I1214" s="39">
        <v>244</v>
      </c>
      <c r="J1214" s="39"/>
      <c r="K1214" s="39"/>
      <c r="L1214" s="39">
        <f t="shared" si="789"/>
        <v>244</v>
      </c>
      <c r="M1214" s="57">
        <v>46260</v>
      </c>
      <c r="N1214" s="57">
        <v>46273</v>
      </c>
      <c r="O1214" s="39"/>
      <c r="P1214" s="39"/>
      <c r="Q1214" s="39"/>
      <c r="R1214" s="39">
        <f t="shared" si="790"/>
        <v>0</v>
      </c>
      <c r="S1214" s="39" t="s">
        <v>28</v>
      </c>
      <c r="T1214" s="39"/>
      <c r="U1214" s="39"/>
      <c r="V1214" s="117">
        <v>46224</v>
      </c>
      <c r="W1214" s="39">
        <v>281</v>
      </c>
      <c r="X1214" s="117">
        <v>46251</v>
      </c>
      <c r="Y1214" s="39">
        <v>260</v>
      </c>
      <c r="Z1214" s="39"/>
      <c r="AA1214" s="39"/>
      <c r="AB1214" s="119">
        <f t="shared" si="785"/>
        <v>260</v>
      </c>
      <c r="AC1214" s="39"/>
      <c r="AD1214" s="39"/>
      <c r="AE1214" s="39"/>
      <c r="AF1214" s="39"/>
      <c r="AG1214" s="39"/>
      <c r="AH1214" s="39">
        <f t="shared" si="779"/>
        <v>0</v>
      </c>
      <c r="AI1214" s="39"/>
      <c r="AJ1214" s="39"/>
      <c r="AK1214" s="39"/>
      <c r="AL1214" s="39"/>
      <c r="AM1214" s="39"/>
      <c r="AN1214" s="39">
        <f t="shared" si="778"/>
        <v>0</v>
      </c>
      <c r="AO1214" s="39"/>
      <c r="AP1214" s="39"/>
      <c r="AQ1214" s="39"/>
      <c r="AR1214" s="39"/>
      <c r="AS1214" s="39"/>
      <c r="AT1214" s="39">
        <f t="shared" si="762"/>
        <v>0</v>
      </c>
      <c r="AU1214" s="39"/>
      <c r="AV1214" s="39"/>
      <c r="AW1214" s="39"/>
      <c r="AX1214" s="39"/>
      <c r="AY1214" s="39"/>
      <c r="AZ1214" s="39">
        <f t="shared" si="763"/>
        <v>0</v>
      </c>
      <c r="BA1214" s="39"/>
      <c r="BB1214" s="39"/>
      <c r="BC1214" s="39"/>
      <c r="BD1214" s="39"/>
      <c r="BE1214" s="39"/>
      <c r="BF1214" s="39">
        <f t="shared" si="764"/>
        <v>0</v>
      </c>
      <c r="BG1214" s="39"/>
      <c r="BH1214" s="39"/>
      <c r="BI1214" s="39"/>
      <c r="BJ1214" s="39"/>
      <c r="BK1214" s="39"/>
      <c r="BL1214" s="39">
        <f t="shared" si="780"/>
        <v>0</v>
      </c>
      <c r="BM1214" s="54" t="str">
        <f t="shared" si="765"/>
        <v/>
      </c>
      <c r="BN1214" s="58">
        <v>46275</v>
      </c>
      <c r="BO1214" s="57">
        <v>46284</v>
      </c>
      <c r="BP1214" s="36"/>
      <c r="BQ1214" s="36"/>
      <c r="BR1214" s="57">
        <v>46252</v>
      </c>
      <c r="BS1214" s="57">
        <v>46252</v>
      </c>
      <c r="BT1214" s="39">
        <v>576</v>
      </c>
      <c r="BU1214" s="39">
        <v>260</v>
      </c>
      <c r="BV1214" s="39"/>
      <c r="BW1214" s="39"/>
      <c r="BX1214" s="39"/>
      <c r="BY1214" s="39"/>
      <c r="BZ1214" s="39">
        <f t="shared" si="781"/>
        <v>260</v>
      </c>
      <c r="CA1214" s="39">
        <f t="shared" si="766"/>
        <v>16</v>
      </c>
      <c r="CB1214" s="39">
        <f t="shared" si="767"/>
        <v>0</v>
      </c>
      <c r="CC1214" s="39">
        <f t="shared" si="768"/>
        <v>0</v>
      </c>
      <c r="CD1214" s="39">
        <f t="shared" si="782"/>
        <v>0</v>
      </c>
      <c r="CE1214" s="102">
        <f t="shared" si="769"/>
        <v>0</v>
      </c>
      <c r="CF1214" s="36"/>
      <c r="CG1214" s="39" t="s">
        <v>233</v>
      </c>
      <c r="CH1214" s="39"/>
      <c r="CI1214" s="25">
        <v>1</v>
      </c>
    </row>
    <row r="1215" spans="1:87" ht="24.75" customHeight="1">
      <c r="A1215" s="36" t="s">
        <v>20</v>
      </c>
      <c r="B1215" s="29" t="s">
        <v>1759</v>
      </c>
      <c r="C1215" s="254"/>
      <c r="D1215" s="36" t="s">
        <v>24</v>
      </c>
      <c r="E1215" s="39">
        <v>180</v>
      </c>
      <c r="F1215" s="39" t="s">
        <v>53</v>
      </c>
      <c r="G1215" s="36" t="s">
        <v>1762</v>
      </c>
      <c r="H1215" s="36" t="s">
        <v>87</v>
      </c>
      <c r="I1215" s="39">
        <v>252</v>
      </c>
      <c r="J1215" s="39"/>
      <c r="K1215" s="39">
        <v>18</v>
      </c>
      <c r="L1215" s="39">
        <f t="shared" si="789"/>
        <v>270</v>
      </c>
      <c r="M1215" s="57">
        <v>46260</v>
      </c>
      <c r="N1215" s="57">
        <v>46273</v>
      </c>
      <c r="O1215" s="39"/>
      <c r="P1215" s="39"/>
      <c r="Q1215" s="39"/>
      <c r="R1215" s="39">
        <f t="shared" si="790"/>
        <v>0</v>
      </c>
      <c r="S1215" s="39" t="s">
        <v>28</v>
      </c>
      <c r="T1215" s="39"/>
      <c r="U1215" s="39"/>
      <c r="V1215" s="117">
        <v>46242</v>
      </c>
      <c r="W1215" s="39">
        <f>267+19</f>
        <v>286</v>
      </c>
      <c r="X1215" s="117">
        <v>46246</v>
      </c>
      <c r="Y1215" s="39">
        <v>254</v>
      </c>
      <c r="Z1215" s="39"/>
      <c r="AA1215" s="39">
        <v>18</v>
      </c>
      <c r="AB1215" s="119">
        <f t="shared" si="785"/>
        <v>272</v>
      </c>
      <c r="AC1215" s="39"/>
      <c r="AD1215" s="39"/>
      <c r="AE1215" s="39"/>
      <c r="AF1215" s="39"/>
      <c r="AG1215" s="39"/>
      <c r="AH1215" s="39">
        <f t="shared" si="779"/>
        <v>0</v>
      </c>
      <c r="AI1215" s="39"/>
      <c r="AJ1215" s="39"/>
      <c r="AK1215" s="39"/>
      <c r="AL1215" s="39"/>
      <c r="AM1215" s="39"/>
      <c r="AN1215" s="39">
        <f t="shared" si="778"/>
        <v>0</v>
      </c>
      <c r="AO1215" s="39"/>
      <c r="AP1215" s="39"/>
      <c r="AQ1215" s="39"/>
      <c r="AR1215" s="39"/>
      <c r="AS1215" s="39"/>
      <c r="AT1215" s="39">
        <f t="shared" si="762"/>
        <v>0</v>
      </c>
      <c r="AU1215" s="39"/>
      <c r="AV1215" s="39"/>
      <c r="AW1215" s="39"/>
      <c r="AX1215" s="39"/>
      <c r="AY1215" s="39"/>
      <c r="AZ1215" s="39">
        <f t="shared" si="763"/>
        <v>0</v>
      </c>
      <c r="BA1215" s="39"/>
      <c r="BB1215" s="39"/>
      <c r="BC1215" s="39"/>
      <c r="BD1215" s="39"/>
      <c r="BE1215" s="39"/>
      <c r="BF1215" s="39">
        <f t="shared" si="764"/>
        <v>0</v>
      </c>
      <c r="BG1215" s="39"/>
      <c r="BH1215" s="39"/>
      <c r="BI1215" s="39"/>
      <c r="BJ1215" s="39"/>
      <c r="BK1215" s="39"/>
      <c r="BL1215" s="39">
        <f t="shared" si="780"/>
        <v>0</v>
      </c>
      <c r="BM1215" s="54" t="str">
        <f t="shared" si="765"/>
        <v/>
      </c>
      <c r="BN1215" s="58">
        <v>46275</v>
      </c>
      <c r="BO1215" s="57">
        <v>46284</v>
      </c>
      <c r="BP1215" s="36"/>
      <c r="BQ1215" s="36"/>
      <c r="BR1215" s="57">
        <v>46247</v>
      </c>
      <c r="BS1215" s="57">
        <v>46247</v>
      </c>
      <c r="BT1215" s="39">
        <v>1975</v>
      </c>
      <c r="BU1215" s="39">
        <v>254</v>
      </c>
      <c r="BV1215" s="39"/>
      <c r="BW1215" s="39"/>
      <c r="BX1215" s="39">
        <v>1976</v>
      </c>
      <c r="BY1215" s="39">
        <v>18</v>
      </c>
      <c r="BZ1215" s="39">
        <f t="shared" si="781"/>
        <v>272</v>
      </c>
      <c r="CA1215" s="39">
        <f t="shared" si="766"/>
        <v>2</v>
      </c>
      <c r="CB1215" s="39">
        <f t="shared" si="767"/>
        <v>0</v>
      </c>
      <c r="CC1215" s="39">
        <f t="shared" si="768"/>
        <v>0</v>
      </c>
      <c r="CD1215" s="39">
        <f t="shared" si="782"/>
        <v>0</v>
      </c>
      <c r="CE1215" s="102">
        <f t="shared" si="769"/>
        <v>0</v>
      </c>
      <c r="CF1215" s="36"/>
      <c r="CG1215" s="39" t="s">
        <v>233</v>
      </c>
      <c r="CH1215" s="39"/>
      <c r="CI1215" s="25">
        <v>1</v>
      </c>
    </row>
    <row r="1216" spans="1:87" ht="24.75" customHeight="1">
      <c r="A1216" s="36" t="s">
        <v>20</v>
      </c>
      <c r="B1216" s="29" t="s">
        <v>1763</v>
      </c>
      <c r="C1216" s="253" t="s">
        <v>1764</v>
      </c>
      <c r="D1216" s="36"/>
      <c r="E1216" s="39">
        <v>180</v>
      </c>
      <c r="F1216" s="39" t="s">
        <v>53</v>
      </c>
      <c r="G1216" s="36" t="s">
        <v>23</v>
      </c>
      <c r="H1216" s="36" t="s">
        <v>87</v>
      </c>
      <c r="I1216" s="39">
        <v>410</v>
      </c>
      <c r="J1216" s="39"/>
      <c r="K1216" s="39"/>
      <c r="L1216" s="39">
        <f t="shared" si="789"/>
        <v>410</v>
      </c>
      <c r="M1216" s="117">
        <v>46254</v>
      </c>
      <c r="N1216" s="117">
        <v>46265</v>
      </c>
      <c r="O1216" s="39"/>
      <c r="P1216" s="39"/>
      <c r="Q1216" s="39"/>
      <c r="R1216" s="39">
        <f t="shared" si="790"/>
        <v>0</v>
      </c>
      <c r="S1216" s="39" t="s">
        <v>28</v>
      </c>
      <c r="T1216" s="39"/>
      <c r="U1216" s="39"/>
      <c r="V1216" s="117">
        <v>46226</v>
      </c>
      <c r="W1216" s="39">
        <v>457</v>
      </c>
      <c r="X1216" s="117" t="s">
        <v>2046</v>
      </c>
      <c r="Y1216" s="39">
        <f>116+297</f>
        <v>413</v>
      </c>
      <c r="Z1216" s="39"/>
      <c r="AA1216" s="39"/>
      <c r="AB1216" s="119">
        <f t="shared" si="785"/>
        <v>413</v>
      </c>
      <c r="AC1216" s="39"/>
      <c r="AD1216" s="39"/>
      <c r="AE1216" s="39"/>
      <c r="AF1216" s="39"/>
      <c r="AG1216" s="39"/>
      <c r="AH1216" s="39">
        <f t="shared" si="779"/>
        <v>0</v>
      </c>
      <c r="AI1216" s="39"/>
      <c r="AJ1216" s="39"/>
      <c r="AK1216" s="39"/>
      <c r="AL1216" s="39"/>
      <c r="AM1216" s="39"/>
      <c r="AN1216" s="39">
        <f t="shared" si="778"/>
        <v>0</v>
      </c>
      <c r="AO1216" s="39"/>
      <c r="AP1216" s="39"/>
      <c r="AQ1216" s="39"/>
      <c r="AR1216" s="39"/>
      <c r="AS1216" s="39"/>
      <c r="AT1216" s="39">
        <f t="shared" si="762"/>
        <v>0</v>
      </c>
      <c r="AU1216" s="39"/>
      <c r="AV1216" s="39"/>
      <c r="AW1216" s="39"/>
      <c r="AX1216" s="39"/>
      <c r="AY1216" s="39"/>
      <c r="AZ1216" s="39">
        <f t="shared" si="763"/>
        <v>0</v>
      </c>
      <c r="BA1216" s="39"/>
      <c r="BB1216" s="39"/>
      <c r="BC1216" s="39"/>
      <c r="BD1216" s="39"/>
      <c r="BE1216" s="39"/>
      <c r="BF1216" s="39">
        <f t="shared" si="764"/>
        <v>0</v>
      </c>
      <c r="BG1216" s="39"/>
      <c r="BH1216" s="39"/>
      <c r="BI1216" s="39"/>
      <c r="BJ1216" s="39"/>
      <c r="BK1216" s="39"/>
      <c r="BL1216" s="39">
        <f t="shared" si="780"/>
        <v>0</v>
      </c>
      <c r="BM1216" s="54" t="str">
        <f t="shared" si="765"/>
        <v/>
      </c>
      <c r="BN1216" s="58">
        <v>46266</v>
      </c>
      <c r="BO1216" s="57">
        <v>46279</v>
      </c>
      <c r="BP1216" s="36"/>
      <c r="BQ1216" s="36"/>
      <c r="BR1216" s="57">
        <v>46233</v>
      </c>
      <c r="BS1216" s="57">
        <v>46242</v>
      </c>
      <c r="BT1216" s="39" t="s">
        <v>2192</v>
      </c>
      <c r="BU1216" s="39">
        <f>297+116</f>
        <v>413</v>
      </c>
      <c r="BV1216" s="39"/>
      <c r="BW1216" s="39"/>
      <c r="BX1216" s="39"/>
      <c r="BY1216" s="39"/>
      <c r="BZ1216" s="39">
        <f t="shared" si="781"/>
        <v>413</v>
      </c>
      <c r="CA1216" s="39">
        <f t="shared" si="766"/>
        <v>3</v>
      </c>
      <c r="CB1216" s="39">
        <f t="shared" si="767"/>
        <v>0</v>
      </c>
      <c r="CC1216" s="39">
        <f t="shared" si="768"/>
        <v>0</v>
      </c>
      <c r="CD1216" s="39">
        <f t="shared" si="782"/>
        <v>0</v>
      </c>
      <c r="CE1216" s="102">
        <f t="shared" si="769"/>
        <v>0</v>
      </c>
      <c r="CF1216" s="36"/>
      <c r="CG1216" s="39" t="s">
        <v>233</v>
      </c>
      <c r="CH1216" s="39"/>
      <c r="CI1216" s="25">
        <v>1</v>
      </c>
    </row>
    <row r="1217" spans="1:87" ht="24.75" customHeight="1">
      <c r="A1217" s="36" t="s">
        <v>20</v>
      </c>
      <c r="B1217" s="29" t="s">
        <v>1763</v>
      </c>
      <c r="C1217" s="254"/>
      <c r="D1217" s="36"/>
      <c r="E1217" s="39">
        <v>180</v>
      </c>
      <c r="F1217" s="39" t="s">
        <v>53</v>
      </c>
      <c r="G1217" s="36" t="s">
        <v>428</v>
      </c>
      <c r="H1217" s="36" t="s">
        <v>87</v>
      </c>
      <c r="I1217" s="39">
        <v>410</v>
      </c>
      <c r="J1217" s="39"/>
      <c r="K1217" s="39"/>
      <c r="L1217" s="39">
        <f t="shared" si="789"/>
        <v>410</v>
      </c>
      <c r="M1217" s="117">
        <v>46254</v>
      </c>
      <c r="N1217" s="117">
        <v>46265</v>
      </c>
      <c r="O1217" s="39"/>
      <c r="P1217" s="39"/>
      <c r="Q1217" s="39"/>
      <c r="R1217" s="39">
        <f t="shared" si="790"/>
        <v>0</v>
      </c>
      <c r="S1217" s="39" t="s">
        <v>28</v>
      </c>
      <c r="T1217" s="39"/>
      <c r="U1217" s="39"/>
      <c r="V1217" s="117">
        <v>46224</v>
      </c>
      <c r="W1217" s="39">
        <v>472</v>
      </c>
      <c r="X1217" s="117" t="s">
        <v>2758</v>
      </c>
      <c r="Y1217" s="39">
        <f>409+15</f>
        <v>424</v>
      </c>
      <c r="Z1217" s="39"/>
      <c r="AA1217" s="39"/>
      <c r="AB1217" s="119">
        <f t="shared" si="785"/>
        <v>424</v>
      </c>
      <c r="AC1217" s="39"/>
      <c r="AD1217" s="39"/>
      <c r="AE1217" s="39"/>
      <c r="AF1217" s="39"/>
      <c r="AG1217" s="39"/>
      <c r="AH1217" s="39">
        <f t="shared" si="779"/>
        <v>0</v>
      </c>
      <c r="AI1217" s="39"/>
      <c r="AJ1217" s="39"/>
      <c r="AK1217" s="39"/>
      <c r="AL1217" s="39"/>
      <c r="AM1217" s="39"/>
      <c r="AN1217" s="39">
        <f t="shared" si="778"/>
        <v>0</v>
      </c>
      <c r="AO1217" s="39"/>
      <c r="AP1217" s="39"/>
      <c r="AQ1217" s="39"/>
      <c r="AR1217" s="39"/>
      <c r="AS1217" s="39"/>
      <c r="AT1217" s="39">
        <f t="shared" si="762"/>
        <v>0</v>
      </c>
      <c r="AU1217" s="39"/>
      <c r="AV1217" s="39"/>
      <c r="AW1217" s="39"/>
      <c r="AX1217" s="39"/>
      <c r="AY1217" s="39"/>
      <c r="AZ1217" s="39">
        <f t="shared" si="763"/>
        <v>0</v>
      </c>
      <c r="BA1217" s="39"/>
      <c r="BB1217" s="39"/>
      <c r="BC1217" s="39"/>
      <c r="BD1217" s="39"/>
      <c r="BE1217" s="39"/>
      <c r="BF1217" s="39">
        <f t="shared" si="764"/>
        <v>0</v>
      </c>
      <c r="BG1217" s="39"/>
      <c r="BH1217" s="39"/>
      <c r="BI1217" s="39"/>
      <c r="BJ1217" s="39"/>
      <c r="BK1217" s="39"/>
      <c r="BL1217" s="39">
        <f t="shared" si="780"/>
        <v>0</v>
      </c>
      <c r="BM1217" s="54" t="str">
        <f t="shared" si="765"/>
        <v/>
      </c>
      <c r="BN1217" s="58">
        <v>46266</v>
      </c>
      <c r="BO1217" s="57">
        <v>46279</v>
      </c>
      <c r="BP1217" s="36"/>
      <c r="BQ1217" s="36"/>
      <c r="BR1217" s="57">
        <v>46233</v>
      </c>
      <c r="BS1217" s="57">
        <v>46233</v>
      </c>
      <c r="BT1217" s="39" t="s">
        <v>2860</v>
      </c>
      <c r="BU1217" s="39">
        <f>409+15</f>
        <v>424</v>
      </c>
      <c r="BV1217" s="39"/>
      <c r="BW1217" s="39"/>
      <c r="BX1217" s="39"/>
      <c r="BY1217" s="39"/>
      <c r="BZ1217" s="39">
        <f t="shared" si="781"/>
        <v>424</v>
      </c>
      <c r="CA1217" s="39">
        <f t="shared" si="766"/>
        <v>14</v>
      </c>
      <c r="CB1217" s="39">
        <f t="shared" si="767"/>
        <v>0</v>
      </c>
      <c r="CC1217" s="39">
        <f t="shared" si="768"/>
        <v>0</v>
      </c>
      <c r="CD1217" s="39">
        <v>0</v>
      </c>
      <c r="CE1217" s="102">
        <f t="shared" si="769"/>
        <v>0</v>
      </c>
      <c r="CF1217" s="36"/>
      <c r="CG1217" s="39" t="s">
        <v>233</v>
      </c>
      <c r="CH1217" s="39"/>
      <c r="CI1217" s="25">
        <v>1</v>
      </c>
    </row>
    <row r="1218" spans="1:87" ht="24.75" customHeight="1">
      <c r="A1218" s="36" t="s">
        <v>20</v>
      </c>
      <c r="B1218" s="29" t="s">
        <v>1765</v>
      </c>
      <c r="C1218" s="253" t="s">
        <v>1766</v>
      </c>
      <c r="D1218" s="36"/>
      <c r="E1218" s="39">
        <v>180</v>
      </c>
      <c r="F1218" s="39" t="s">
        <v>53</v>
      </c>
      <c r="G1218" s="36" t="s">
        <v>23</v>
      </c>
      <c r="H1218" s="36" t="s">
        <v>87</v>
      </c>
      <c r="I1218" s="39">
        <v>492</v>
      </c>
      <c r="J1218" s="39"/>
      <c r="K1218" s="39"/>
      <c r="L1218" s="39">
        <f t="shared" ref="L1218:L1219" si="791">SUM(I1218:K1218)</f>
        <v>492</v>
      </c>
      <c r="M1218" s="57">
        <v>46254</v>
      </c>
      <c r="N1218" s="57">
        <v>46265</v>
      </c>
      <c r="O1218" s="39"/>
      <c r="P1218" s="39"/>
      <c r="Q1218" s="39"/>
      <c r="R1218" s="39">
        <f t="shared" si="790"/>
        <v>0</v>
      </c>
      <c r="S1218" s="39" t="s">
        <v>28</v>
      </c>
      <c r="T1218" s="39"/>
      <c r="U1218" s="39"/>
      <c r="V1218" s="117">
        <v>46228</v>
      </c>
      <c r="W1218" s="39">
        <v>546</v>
      </c>
      <c r="X1218" s="117">
        <v>46233</v>
      </c>
      <c r="Y1218" s="39">
        <v>497</v>
      </c>
      <c r="Z1218" s="39"/>
      <c r="AA1218" s="39"/>
      <c r="AB1218" s="119">
        <f t="shared" si="785"/>
        <v>497</v>
      </c>
      <c r="AC1218" s="39"/>
      <c r="AD1218" s="39"/>
      <c r="AE1218" s="39"/>
      <c r="AF1218" s="39"/>
      <c r="AG1218" s="39"/>
      <c r="AH1218" s="39">
        <f t="shared" si="779"/>
        <v>0</v>
      </c>
      <c r="AI1218" s="39"/>
      <c r="AJ1218" s="39"/>
      <c r="AK1218" s="39"/>
      <c r="AL1218" s="39"/>
      <c r="AM1218" s="39"/>
      <c r="AN1218" s="39">
        <f t="shared" si="778"/>
        <v>0</v>
      </c>
      <c r="AO1218" s="39"/>
      <c r="AP1218" s="39"/>
      <c r="AQ1218" s="39"/>
      <c r="AR1218" s="39"/>
      <c r="AS1218" s="39"/>
      <c r="AT1218" s="39">
        <f t="shared" si="762"/>
        <v>0</v>
      </c>
      <c r="AU1218" s="39"/>
      <c r="AV1218" s="39"/>
      <c r="AW1218" s="39"/>
      <c r="AX1218" s="39"/>
      <c r="AY1218" s="39"/>
      <c r="AZ1218" s="39">
        <f t="shared" si="763"/>
        <v>0</v>
      </c>
      <c r="BA1218" s="39"/>
      <c r="BB1218" s="39"/>
      <c r="BC1218" s="39"/>
      <c r="BD1218" s="39"/>
      <c r="BE1218" s="39"/>
      <c r="BF1218" s="39">
        <f t="shared" si="764"/>
        <v>0</v>
      </c>
      <c r="BG1218" s="39"/>
      <c r="BH1218" s="39"/>
      <c r="BI1218" s="39"/>
      <c r="BJ1218" s="39"/>
      <c r="BK1218" s="39"/>
      <c r="BL1218" s="39">
        <f t="shared" si="780"/>
        <v>0</v>
      </c>
      <c r="BM1218" s="54" t="str">
        <f t="shared" si="765"/>
        <v/>
      </c>
      <c r="BN1218" s="58">
        <v>46266</v>
      </c>
      <c r="BO1218" s="57">
        <v>46279</v>
      </c>
      <c r="BP1218" s="36"/>
      <c r="BQ1218" s="36"/>
      <c r="BR1218" s="57">
        <v>46234</v>
      </c>
      <c r="BS1218" s="57">
        <v>46234</v>
      </c>
      <c r="BT1218" s="39">
        <v>1795</v>
      </c>
      <c r="BU1218" s="39">
        <v>497</v>
      </c>
      <c r="BV1218" s="39"/>
      <c r="BW1218" s="39"/>
      <c r="BX1218" s="39"/>
      <c r="BY1218" s="39"/>
      <c r="BZ1218" s="39">
        <f t="shared" si="781"/>
        <v>497</v>
      </c>
      <c r="CA1218" s="39">
        <f t="shared" si="766"/>
        <v>5</v>
      </c>
      <c r="CB1218" s="39">
        <f t="shared" si="767"/>
        <v>0</v>
      </c>
      <c r="CC1218" s="39">
        <f t="shared" si="768"/>
        <v>0</v>
      </c>
      <c r="CD1218" s="39">
        <f t="shared" si="782"/>
        <v>0</v>
      </c>
      <c r="CE1218" s="102">
        <f t="shared" si="769"/>
        <v>0</v>
      </c>
      <c r="CF1218" s="36"/>
      <c r="CG1218" s="39" t="s">
        <v>233</v>
      </c>
      <c r="CH1218" s="39"/>
      <c r="CI1218" s="25">
        <v>1</v>
      </c>
    </row>
    <row r="1219" spans="1:87" ht="24.75" customHeight="1">
      <c r="A1219" s="36" t="s">
        <v>20</v>
      </c>
      <c r="B1219" s="29" t="s">
        <v>1765</v>
      </c>
      <c r="C1219" s="266"/>
      <c r="D1219" s="36"/>
      <c r="E1219" s="39">
        <v>180</v>
      </c>
      <c r="F1219" s="39" t="s">
        <v>53</v>
      </c>
      <c r="G1219" s="36" t="s">
        <v>21</v>
      </c>
      <c r="H1219" s="36" t="s">
        <v>87</v>
      </c>
      <c r="I1219" s="39">
        <v>492</v>
      </c>
      <c r="J1219" s="39"/>
      <c r="K1219" s="39"/>
      <c r="L1219" s="39">
        <f t="shared" si="791"/>
        <v>492</v>
      </c>
      <c r="M1219" s="57">
        <v>46254</v>
      </c>
      <c r="N1219" s="57">
        <v>46265</v>
      </c>
      <c r="O1219" s="39"/>
      <c r="P1219" s="39"/>
      <c r="Q1219" s="39"/>
      <c r="R1219" s="39">
        <f t="shared" ref="R1219:R1220" si="792">SUM(O1219:Q1219)</f>
        <v>0</v>
      </c>
      <c r="S1219" s="39" t="s">
        <v>130</v>
      </c>
      <c r="T1219" s="39">
        <v>108096</v>
      </c>
      <c r="U1219" s="117">
        <v>46229</v>
      </c>
      <c r="V1219" s="39"/>
      <c r="W1219" s="39"/>
      <c r="X1219" s="39"/>
      <c r="Y1219" s="39">
        <f>274</f>
        <v>274</v>
      </c>
      <c r="Z1219" s="39"/>
      <c r="AA1219" s="39"/>
      <c r="AB1219" s="118">
        <f t="shared" ref="AB1219:AB1220" si="793">SUM(Y1219:AA1219)</f>
        <v>274</v>
      </c>
      <c r="AC1219" s="39"/>
      <c r="AD1219" s="39"/>
      <c r="AE1219" s="39"/>
      <c r="AF1219" s="39"/>
      <c r="AG1219" s="39"/>
      <c r="AH1219" s="39">
        <f t="shared" si="779"/>
        <v>0</v>
      </c>
      <c r="AI1219" s="39"/>
      <c r="AJ1219" s="39"/>
      <c r="AK1219" s="39"/>
      <c r="AL1219" s="39"/>
      <c r="AM1219" s="39"/>
      <c r="AN1219" s="39">
        <f t="shared" si="778"/>
        <v>0</v>
      </c>
      <c r="AO1219" s="39"/>
      <c r="AP1219" s="39"/>
      <c r="AQ1219" s="39"/>
      <c r="AR1219" s="39"/>
      <c r="AS1219" s="39"/>
      <c r="AT1219" s="39">
        <f t="shared" si="762"/>
        <v>0</v>
      </c>
      <c r="AU1219" s="39"/>
      <c r="AV1219" s="39"/>
      <c r="AW1219" s="39"/>
      <c r="AX1219" s="39"/>
      <c r="AY1219" s="39"/>
      <c r="AZ1219" s="39">
        <f t="shared" si="763"/>
        <v>0</v>
      </c>
      <c r="BA1219" s="39"/>
      <c r="BB1219" s="39"/>
      <c r="BC1219" s="39"/>
      <c r="BD1219" s="39"/>
      <c r="BE1219" s="39"/>
      <c r="BF1219" s="39">
        <f t="shared" si="764"/>
        <v>0</v>
      </c>
      <c r="BG1219" s="39" t="s">
        <v>28</v>
      </c>
      <c r="BH1219" s="117">
        <v>46230</v>
      </c>
      <c r="BI1219" s="39">
        <f>260+277</f>
        <v>537</v>
      </c>
      <c r="BJ1219" s="117">
        <v>46232</v>
      </c>
      <c r="BK1219" s="39">
        <f>248+265</f>
        <v>513</v>
      </c>
      <c r="BL1219" s="39">
        <f t="shared" si="780"/>
        <v>-24</v>
      </c>
      <c r="BM1219" s="54" t="str">
        <f t="shared" si="765"/>
        <v/>
      </c>
      <c r="BN1219" s="58">
        <v>46266</v>
      </c>
      <c r="BO1219" s="57">
        <v>46279</v>
      </c>
      <c r="BP1219" s="36"/>
      <c r="BQ1219" s="36"/>
      <c r="BR1219" s="57">
        <v>46233</v>
      </c>
      <c r="BS1219" s="57">
        <v>46233</v>
      </c>
      <c r="BT1219" s="39">
        <v>1953</v>
      </c>
      <c r="BU1219" s="39">
        <f>248+265</f>
        <v>513</v>
      </c>
      <c r="BV1219" s="39"/>
      <c r="BW1219" s="39"/>
      <c r="BX1219" s="39"/>
      <c r="BY1219" s="39"/>
      <c r="BZ1219" s="39">
        <f t="shared" si="781"/>
        <v>513</v>
      </c>
      <c r="CA1219" s="39">
        <f t="shared" si="766"/>
        <v>21</v>
      </c>
      <c r="CB1219" s="39">
        <f t="shared" si="767"/>
        <v>0</v>
      </c>
      <c r="CC1219" s="39">
        <f t="shared" si="768"/>
        <v>0</v>
      </c>
      <c r="CD1219" s="39">
        <f t="shared" si="782"/>
        <v>0</v>
      </c>
      <c r="CE1219" s="102">
        <f t="shared" si="769"/>
        <v>0</v>
      </c>
      <c r="CF1219" s="36"/>
      <c r="CG1219" s="39" t="s">
        <v>233</v>
      </c>
      <c r="CH1219" s="39"/>
      <c r="CI1219" s="25">
        <v>1</v>
      </c>
    </row>
    <row r="1220" spans="1:87" ht="24.75" customHeight="1">
      <c r="A1220" s="36" t="s">
        <v>20</v>
      </c>
      <c r="B1220" s="29" t="s">
        <v>1765</v>
      </c>
      <c r="C1220" s="254"/>
      <c r="D1220" s="36"/>
      <c r="E1220" s="39">
        <v>180</v>
      </c>
      <c r="F1220" s="39" t="s">
        <v>53</v>
      </c>
      <c r="G1220" s="36" t="s">
        <v>216</v>
      </c>
      <c r="H1220" s="36" t="s">
        <v>88</v>
      </c>
      <c r="I1220" s="39">
        <v>492</v>
      </c>
      <c r="J1220" s="39"/>
      <c r="K1220" s="39"/>
      <c r="L1220" s="39">
        <f t="shared" ref="L1220:L1225" si="794">SUM(I1220:K1220)</f>
        <v>492</v>
      </c>
      <c r="M1220" s="57">
        <v>46254</v>
      </c>
      <c r="N1220" s="57">
        <v>46265</v>
      </c>
      <c r="O1220" s="39"/>
      <c r="P1220" s="39"/>
      <c r="Q1220" s="39"/>
      <c r="R1220" s="39">
        <f t="shared" si="792"/>
        <v>0</v>
      </c>
      <c r="S1220" s="39" t="s">
        <v>130</v>
      </c>
      <c r="T1220" s="39">
        <v>109058</v>
      </c>
      <c r="U1220" s="117">
        <v>46267</v>
      </c>
      <c r="V1220" s="39"/>
      <c r="W1220" s="39"/>
      <c r="X1220" s="39"/>
      <c r="Y1220" s="39">
        <v>550</v>
      </c>
      <c r="Z1220" s="39"/>
      <c r="AA1220" s="39"/>
      <c r="AB1220" s="119">
        <f t="shared" si="793"/>
        <v>550</v>
      </c>
      <c r="AC1220" s="39"/>
      <c r="AD1220" s="39"/>
      <c r="AE1220" s="39"/>
      <c r="AF1220" s="39"/>
      <c r="AG1220" s="39"/>
      <c r="AH1220" s="39">
        <f t="shared" si="779"/>
        <v>0</v>
      </c>
      <c r="AI1220" s="39"/>
      <c r="AJ1220" s="39"/>
      <c r="AK1220" s="39"/>
      <c r="AL1220" s="39"/>
      <c r="AM1220" s="39"/>
      <c r="AN1220" s="39">
        <f t="shared" si="778"/>
        <v>0</v>
      </c>
      <c r="AO1220" s="39"/>
      <c r="AP1220" s="39"/>
      <c r="AQ1220" s="39"/>
      <c r="AR1220" s="39"/>
      <c r="AS1220" s="39"/>
      <c r="AT1220" s="39">
        <f t="shared" si="762"/>
        <v>0</v>
      </c>
      <c r="AU1220" s="39"/>
      <c r="AV1220" s="39"/>
      <c r="AW1220" s="39"/>
      <c r="AX1220" s="39"/>
      <c r="AY1220" s="39"/>
      <c r="AZ1220" s="39">
        <f t="shared" si="763"/>
        <v>0</v>
      </c>
      <c r="BA1220" s="39"/>
      <c r="BB1220" s="39"/>
      <c r="BC1220" s="39"/>
      <c r="BD1220" s="39"/>
      <c r="BE1220" s="39"/>
      <c r="BF1220" s="39">
        <f t="shared" si="764"/>
        <v>0</v>
      </c>
      <c r="BG1220" s="39"/>
      <c r="BH1220" s="39"/>
      <c r="BI1220" s="39"/>
      <c r="BJ1220" s="39"/>
      <c r="BK1220" s="39"/>
      <c r="BL1220" s="39">
        <f t="shared" si="780"/>
        <v>0</v>
      </c>
      <c r="BM1220" s="54" t="str">
        <f t="shared" si="765"/>
        <v/>
      </c>
      <c r="BN1220" s="58">
        <v>46266</v>
      </c>
      <c r="BO1220" s="57">
        <v>46279</v>
      </c>
      <c r="BP1220" s="36"/>
      <c r="BQ1220" s="36"/>
      <c r="BR1220" s="57">
        <v>46269</v>
      </c>
      <c r="BS1220" s="57">
        <v>46269</v>
      </c>
      <c r="BT1220" s="39">
        <v>748</v>
      </c>
      <c r="BU1220" s="39">
        <v>528</v>
      </c>
      <c r="BV1220" s="39"/>
      <c r="BW1220" s="39"/>
      <c r="BX1220" s="39"/>
      <c r="BY1220" s="39"/>
      <c r="BZ1220" s="39">
        <f t="shared" si="781"/>
        <v>528</v>
      </c>
      <c r="CA1220" s="39">
        <f t="shared" si="766"/>
        <v>36</v>
      </c>
      <c r="CB1220" s="39">
        <f t="shared" si="767"/>
        <v>0</v>
      </c>
      <c r="CC1220" s="39">
        <f t="shared" si="768"/>
        <v>0</v>
      </c>
      <c r="CD1220" s="39">
        <f t="shared" si="782"/>
        <v>0</v>
      </c>
      <c r="CE1220" s="102">
        <f t="shared" si="769"/>
        <v>0</v>
      </c>
      <c r="CF1220" s="36"/>
      <c r="CG1220" s="39" t="s">
        <v>233</v>
      </c>
      <c r="CH1220" s="39"/>
      <c r="CI1220" s="25">
        <v>1</v>
      </c>
    </row>
    <row r="1221" spans="1:87" ht="24.75" customHeight="1">
      <c r="A1221" s="36" t="s">
        <v>20</v>
      </c>
      <c r="B1221" s="29" t="s">
        <v>1767</v>
      </c>
      <c r="C1221" s="253" t="s">
        <v>1768</v>
      </c>
      <c r="D1221" s="36"/>
      <c r="E1221" s="39">
        <v>180</v>
      </c>
      <c r="F1221" s="39" t="s">
        <v>53</v>
      </c>
      <c r="G1221" s="36" t="s">
        <v>23</v>
      </c>
      <c r="H1221" s="36" t="s">
        <v>87</v>
      </c>
      <c r="I1221" s="39">
        <v>294</v>
      </c>
      <c r="J1221" s="39"/>
      <c r="K1221" s="39"/>
      <c r="L1221" s="39">
        <f t="shared" si="794"/>
        <v>294</v>
      </c>
      <c r="M1221" s="57">
        <v>46254</v>
      </c>
      <c r="N1221" s="57">
        <v>46265</v>
      </c>
      <c r="O1221" s="39"/>
      <c r="P1221" s="39"/>
      <c r="Q1221" s="39"/>
      <c r="R1221" s="39">
        <f t="shared" si="790"/>
        <v>0</v>
      </c>
      <c r="S1221" s="39" t="s">
        <v>28</v>
      </c>
      <c r="T1221" s="39"/>
      <c r="U1221" s="39"/>
      <c r="V1221" s="117">
        <v>46224</v>
      </c>
      <c r="W1221" s="39">
        <v>326</v>
      </c>
      <c r="X1221" s="117" t="s">
        <v>2003</v>
      </c>
      <c r="Y1221" s="39">
        <f>247+55</f>
        <v>302</v>
      </c>
      <c r="Z1221" s="39"/>
      <c r="AA1221" s="39"/>
      <c r="AB1221" s="119">
        <f t="shared" si="785"/>
        <v>302</v>
      </c>
      <c r="AC1221" s="39"/>
      <c r="AD1221" s="39"/>
      <c r="AE1221" s="39"/>
      <c r="AF1221" s="39"/>
      <c r="AG1221" s="39"/>
      <c r="AH1221" s="39">
        <f t="shared" si="779"/>
        <v>0</v>
      </c>
      <c r="AI1221" s="39"/>
      <c r="AJ1221" s="39"/>
      <c r="AK1221" s="39"/>
      <c r="AL1221" s="39"/>
      <c r="AM1221" s="39"/>
      <c r="AN1221" s="39">
        <f t="shared" si="778"/>
        <v>0</v>
      </c>
      <c r="AO1221" s="39"/>
      <c r="AP1221" s="39"/>
      <c r="AQ1221" s="39"/>
      <c r="AR1221" s="39"/>
      <c r="AS1221" s="39"/>
      <c r="AT1221" s="39">
        <f t="shared" si="762"/>
        <v>0</v>
      </c>
      <c r="AU1221" s="39"/>
      <c r="AV1221" s="39"/>
      <c r="AW1221" s="39"/>
      <c r="AX1221" s="39"/>
      <c r="AY1221" s="39"/>
      <c r="AZ1221" s="39">
        <f t="shared" si="763"/>
        <v>0</v>
      </c>
      <c r="BA1221" s="39"/>
      <c r="BB1221" s="39"/>
      <c r="BC1221" s="39"/>
      <c r="BD1221" s="39"/>
      <c r="BE1221" s="39"/>
      <c r="BF1221" s="39">
        <f t="shared" si="764"/>
        <v>0</v>
      </c>
      <c r="BG1221" s="39"/>
      <c r="BH1221" s="39"/>
      <c r="BI1221" s="39"/>
      <c r="BJ1221" s="39"/>
      <c r="BK1221" s="39"/>
      <c r="BL1221" s="39">
        <f t="shared" si="780"/>
        <v>0</v>
      </c>
      <c r="BM1221" s="54" t="str">
        <f t="shared" si="765"/>
        <v/>
      </c>
      <c r="BN1221" s="58">
        <v>46266</v>
      </c>
      <c r="BO1221" s="57">
        <v>46279</v>
      </c>
      <c r="BP1221" s="36"/>
      <c r="BQ1221" s="36"/>
      <c r="BR1221" s="57">
        <v>46230</v>
      </c>
      <c r="BS1221" s="57">
        <v>46232</v>
      </c>
      <c r="BT1221" s="39" t="s">
        <v>2040</v>
      </c>
      <c r="BU1221" s="39">
        <f>247+55</f>
        <v>302</v>
      </c>
      <c r="BV1221" s="39"/>
      <c r="BW1221" s="39"/>
      <c r="BX1221" s="39"/>
      <c r="BY1221" s="39"/>
      <c r="BZ1221" s="39">
        <f t="shared" si="781"/>
        <v>302</v>
      </c>
      <c r="CA1221" s="39">
        <f t="shared" si="766"/>
        <v>8</v>
      </c>
      <c r="CB1221" s="39">
        <f t="shared" si="767"/>
        <v>0</v>
      </c>
      <c r="CC1221" s="39">
        <f t="shared" si="768"/>
        <v>0</v>
      </c>
      <c r="CD1221" s="39">
        <f t="shared" si="782"/>
        <v>0</v>
      </c>
      <c r="CE1221" s="102">
        <f t="shared" si="769"/>
        <v>0</v>
      </c>
      <c r="CF1221" s="36"/>
      <c r="CG1221" s="39" t="s">
        <v>233</v>
      </c>
      <c r="CH1221" s="39"/>
      <c r="CI1221" s="25">
        <v>1</v>
      </c>
    </row>
    <row r="1222" spans="1:87" ht="24.75" customHeight="1">
      <c r="A1222" s="36" t="s">
        <v>20</v>
      </c>
      <c r="B1222" s="29" t="s">
        <v>1767</v>
      </c>
      <c r="C1222" s="266"/>
      <c r="D1222" s="36"/>
      <c r="E1222" s="39">
        <v>180</v>
      </c>
      <c r="F1222" s="39" t="s">
        <v>53</v>
      </c>
      <c r="G1222" s="36" t="s">
        <v>21</v>
      </c>
      <c r="H1222" s="36" t="s">
        <v>87</v>
      </c>
      <c r="I1222" s="39">
        <v>294</v>
      </c>
      <c r="J1222" s="39"/>
      <c r="K1222" s="39"/>
      <c r="L1222" s="39">
        <f t="shared" si="794"/>
        <v>294</v>
      </c>
      <c r="M1222" s="57">
        <v>46254</v>
      </c>
      <c r="N1222" s="57">
        <v>46265</v>
      </c>
      <c r="O1222" s="39"/>
      <c r="P1222" s="39"/>
      <c r="Q1222" s="39"/>
      <c r="R1222" s="39">
        <f t="shared" si="790"/>
        <v>0</v>
      </c>
      <c r="S1222" s="39" t="s">
        <v>130</v>
      </c>
      <c r="T1222" s="39">
        <v>108027</v>
      </c>
      <c r="U1222" s="117">
        <v>46226</v>
      </c>
      <c r="V1222" s="39"/>
      <c r="W1222" s="39"/>
      <c r="X1222" s="39"/>
      <c r="Y1222" s="39">
        <v>338</v>
      </c>
      <c r="Z1222" s="39"/>
      <c r="AA1222" s="39"/>
      <c r="AB1222" s="119">
        <f t="shared" si="785"/>
        <v>338</v>
      </c>
      <c r="AC1222" s="39"/>
      <c r="AD1222" s="39"/>
      <c r="AE1222" s="39"/>
      <c r="AF1222" s="39"/>
      <c r="AG1222" s="39"/>
      <c r="AH1222" s="39">
        <f t="shared" si="779"/>
        <v>0</v>
      </c>
      <c r="AI1222" s="39"/>
      <c r="AJ1222" s="39"/>
      <c r="AK1222" s="39"/>
      <c r="AL1222" s="39"/>
      <c r="AM1222" s="39"/>
      <c r="AN1222" s="39">
        <f t="shared" si="778"/>
        <v>0</v>
      </c>
      <c r="AO1222" s="39"/>
      <c r="AP1222" s="39"/>
      <c r="AQ1222" s="39"/>
      <c r="AR1222" s="39"/>
      <c r="AS1222" s="39"/>
      <c r="AT1222" s="39">
        <f t="shared" si="762"/>
        <v>0</v>
      </c>
      <c r="AU1222" s="39"/>
      <c r="AV1222" s="39"/>
      <c r="AW1222" s="39"/>
      <c r="AX1222" s="39"/>
      <c r="AY1222" s="39"/>
      <c r="AZ1222" s="39">
        <f t="shared" si="763"/>
        <v>0</v>
      </c>
      <c r="BA1222" s="39"/>
      <c r="BB1222" s="39"/>
      <c r="BC1222" s="39"/>
      <c r="BD1222" s="39"/>
      <c r="BE1222" s="39"/>
      <c r="BF1222" s="39">
        <f t="shared" si="764"/>
        <v>0</v>
      </c>
      <c r="BG1222" s="39"/>
      <c r="BH1222" s="39"/>
      <c r="BI1222" s="39"/>
      <c r="BJ1222" s="39"/>
      <c r="BK1222" s="39"/>
      <c r="BL1222" s="39">
        <f t="shared" si="780"/>
        <v>0</v>
      </c>
      <c r="BM1222" s="54" t="str">
        <f t="shared" si="765"/>
        <v/>
      </c>
      <c r="BN1222" s="58">
        <v>46266</v>
      </c>
      <c r="BO1222" s="57">
        <v>46279</v>
      </c>
      <c r="BP1222" s="36"/>
      <c r="BQ1222" s="36"/>
      <c r="BR1222" s="57">
        <v>46228</v>
      </c>
      <c r="BS1222" s="57">
        <v>46228</v>
      </c>
      <c r="BT1222" s="39">
        <v>1844</v>
      </c>
      <c r="BU1222" s="39">
        <v>296</v>
      </c>
      <c r="BV1222" s="39"/>
      <c r="BW1222" s="39"/>
      <c r="BX1222" s="39"/>
      <c r="BY1222" s="39"/>
      <c r="BZ1222" s="39">
        <f t="shared" si="781"/>
        <v>296</v>
      </c>
      <c r="CA1222" s="39">
        <f t="shared" si="766"/>
        <v>2</v>
      </c>
      <c r="CB1222" s="39">
        <f t="shared" si="767"/>
        <v>0</v>
      </c>
      <c r="CC1222" s="39">
        <f t="shared" si="768"/>
        <v>0</v>
      </c>
      <c r="CD1222" s="39">
        <f t="shared" si="782"/>
        <v>0</v>
      </c>
      <c r="CE1222" s="102">
        <f t="shared" si="769"/>
        <v>0</v>
      </c>
      <c r="CF1222" s="36"/>
      <c r="CG1222" s="39" t="s">
        <v>233</v>
      </c>
      <c r="CH1222" s="39"/>
      <c r="CI1222" s="25">
        <v>1</v>
      </c>
    </row>
    <row r="1223" spans="1:87" ht="24.75" customHeight="1">
      <c r="A1223" s="36" t="s">
        <v>20</v>
      </c>
      <c r="B1223" s="29" t="s">
        <v>1767</v>
      </c>
      <c r="C1223" s="254"/>
      <c r="D1223" s="36"/>
      <c r="E1223" s="39">
        <v>180</v>
      </c>
      <c r="F1223" s="39" t="s">
        <v>53</v>
      </c>
      <c r="G1223" s="36" t="s">
        <v>341</v>
      </c>
      <c r="H1223" s="36" t="s">
        <v>87</v>
      </c>
      <c r="I1223" s="39">
        <v>294</v>
      </c>
      <c r="J1223" s="39"/>
      <c r="K1223" s="39"/>
      <c r="L1223" s="39">
        <f t="shared" si="794"/>
        <v>294</v>
      </c>
      <c r="M1223" s="57">
        <v>46254</v>
      </c>
      <c r="N1223" s="57">
        <v>46265</v>
      </c>
      <c r="O1223" s="39"/>
      <c r="P1223" s="39"/>
      <c r="Q1223" s="39"/>
      <c r="R1223" s="39">
        <f t="shared" si="790"/>
        <v>0</v>
      </c>
      <c r="S1223" s="39" t="s">
        <v>28</v>
      </c>
      <c r="T1223" s="39"/>
      <c r="U1223" s="39"/>
      <c r="V1223" s="117">
        <v>46224</v>
      </c>
      <c r="W1223" s="39">
        <v>338</v>
      </c>
      <c r="X1223" s="117" t="s">
        <v>2003</v>
      </c>
      <c r="Y1223" s="39">
        <f>271+32</f>
        <v>303</v>
      </c>
      <c r="Z1223" s="39"/>
      <c r="AA1223" s="39"/>
      <c r="AB1223" s="119">
        <f t="shared" si="785"/>
        <v>303</v>
      </c>
      <c r="AC1223" s="39"/>
      <c r="AD1223" s="39"/>
      <c r="AE1223" s="39"/>
      <c r="AF1223" s="39"/>
      <c r="AG1223" s="39"/>
      <c r="AH1223" s="39">
        <f t="shared" si="779"/>
        <v>0</v>
      </c>
      <c r="AI1223" s="39"/>
      <c r="AJ1223" s="39"/>
      <c r="AK1223" s="39"/>
      <c r="AL1223" s="39"/>
      <c r="AM1223" s="39"/>
      <c r="AN1223" s="39">
        <f t="shared" si="778"/>
        <v>0</v>
      </c>
      <c r="AO1223" s="39"/>
      <c r="AP1223" s="39"/>
      <c r="AQ1223" s="39"/>
      <c r="AR1223" s="39"/>
      <c r="AS1223" s="39"/>
      <c r="AT1223" s="39">
        <f t="shared" si="762"/>
        <v>0</v>
      </c>
      <c r="AU1223" s="39"/>
      <c r="AV1223" s="39"/>
      <c r="AW1223" s="39"/>
      <c r="AX1223" s="39"/>
      <c r="AY1223" s="39"/>
      <c r="AZ1223" s="39">
        <f t="shared" si="763"/>
        <v>0</v>
      </c>
      <c r="BA1223" s="39"/>
      <c r="BB1223" s="39"/>
      <c r="BC1223" s="39"/>
      <c r="BD1223" s="39"/>
      <c r="BE1223" s="39"/>
      <c r="BF1223" s="39">
        <f t="shared" si="764"/>
        <v>0</v>
      </c>
      <c r="BG1223" s="39"/>
      <c r="BH1223" s="39"/>
      <c r="BI1223" s="39"/>
      <c r="BJ1223" s="39"/>
      <c r="BK1223" s="39"/>
      <c r="BL1223" s="39">
        <f t="shared" si="780"/>
        <v>0</v>
      </c>
      <c r="BM1223" s="54" t="str">
        <f t="shared" si="765"/>
        <v/>
      </c>
      <c r="BN1223" s="58">
        <v>46266</v>
      </c>
      <c r="BO1223" s="57">
        <v>46279</v>
      </c>
      <c r="BP1223" s="36"/>
      <c r="BQ1223" s="36"/>
      <c r="BR1223" s="57">
        <v>46231</v>
      </c>
      <c r="BS1223" s="57">
        <v>46232</v>
      </c>
      <c r="BT1223" s="39" t="s">
        <v>2041</v>
      </c>
      <c r="BU1223" s="39">
        <f>271+32</f>
        <v>303</v>
      </c>
      <c r="BV1223" s="39"/>
      <c r="BW1223" s="39"/>
      <c r="BX1223" s="39"/>
      <c r="BY1223" s="39"/>
      <c r="BZ1223" s="39">
        <f t="shared" si="781"/>
        <v>303</v>
      </c>
      <c r="CA1223" s="39">
        <f t="shared" si="766"/>
        <v>9</v>
      </c>
      <c r="CB1223" s="39">
        <f t="shared" si="767"/>
        <v>0</v>
      </c>
      <c r="CC1223" s="39">
        <f t="shared" si="768"/>
        <v>0</v>
      </c>
      <c r="CD1223" s="39">
        <f t="shared" si="782"/>
        <v>0</v>
      </c>
      <c r="CE1223" s="102">
        <f t="shared" si="769"/>
        <v>0</v>
      </c>
      <c r="CF1223" s="36"/>
      <c r="CG1223" s="39" t="s">
        <v>233</v>
      </c>
      <c r="CH1223" s="39"/>
      <c r="CI1223" s="25">
        <v>1</v>
      </c>
    </row>
    <row r="1224" spans="1:87" ht="24.75" customHeight="1">
      <c r="A1224" s="36" t="s">
        <v>20</v>
      </c>
      <c r="B1224" s="29" t="s">
        <v>1769</v>
      </c>
      <c r="C1224" s="253" t="s">
        <v>1770</v>
      </c>
      <c r="D1224" s="36"/>
      <c r="E1224" s="39">
        <v>180</v>
      </c>
      <c r="F1224" s="39" t="s">
        <v>55</v>
      </c>
      <c r="G1224" s="36" t="s">
        <v>23</v>
      </c>
      <c r="H1224" s="36" t="s">
        <v>87</v>
      </c>
      <c r="I1224" s="39">
        <v>208</v>
      </c>
      <c r="J1224" s="39"/>
      <c r="K1224" s="39"/>
      <c r="L1224" s="39">
        <f t="shared" si="794"/>
        <v>208</v>
      </c>
      <c r="M1224" s="57">
        <v>46254</v>
      </c>
      <c r="N1224" s="57">
        <v>46265</v>
      </c>
      <c r="O1224" s="39"/>
      <c r="P1224" s="39"/>
      <c r="Q1224" s="39"/>
      <c r="R1224" s="39">
        <f t="shared" si="790"/>
        <v>0</v>
      </c>
      <c r="S1224" s="39" t="s">
        <v>28</v>
      </c>
      <c r="T1224" s="39"/>
      <c r="U1224" s="39"/>
      <c r="V1224" s="117">
        <v>46226</v>
      </c>
      <c r="W1224" s="39">
        <v>230</v>
      </c>
      <c r="X1224" s="117">
        <v>46233</v>
      </c>
      <c r="Y1224" s="39">
        <v>209</v>
      </c>
      <c r="Z1224" s="39"/>
      <c r="AA1224" s="39"/>
      <c r="AB1224" s="119">
        <f t="shared" si="785"/>
        <v>209</v>
      </c>
      <c r="AC1224" s="39"/>
      <c r="AD1224" s="39"/>
      <c r="AE1224" s="39"/>
      <c r="AF1224" s="39"/>
      <c r="AG1224" s="39"/>
      <c r="AH1224" s="39">
        <f t="shared" si="779"/>
        <v>0</v>
      </c>
      <c r="AI1224" s="39"/>
      <c r="AJ1224" s="39"/>
      <c r="AK1224" s="39"/>
      <c r="AL1224" s="39"/>
      <c r="AM1224" s="39"/>
      <c r="AN1224" s="39">
        <f t="shared" si="778"/>
        <v>0</v>
      </c>
      <c r="AO1224" s="39"/>
      <c r="AP1224" s="39"/>
      <c r="AQ1224" s="39"/>
      <c r="AR1224" s="39"/>
      <c r="AS1224" s="39"/>
      <c r="AT1224" s="39">
        <f t="shared" si="762"/>
        <v>0</v>
      </c>
      <c r="AU1224" s="39"/>
      <c r="AV1224" s="39"/>
      <c r="AW1224" s="39"/>
      <c r="AX1224" s="39"/>
      <c r="AY1224" s="39"/>
      <c r="AZ1224" s="39">
        <f t="shared" si="763"/>
        <v>0</v>
      </c>
      <c r="BA1224" s="39"/>
      <c r="BB1224" s="39"/>
      <c r="BC1224" s="39"/>
      <c r="BD1224" s="39"/>
      <c r="BE1224" s="39"/>
      <c r="BF1224" s="39">
        <f t="shared" si="764"/>
        <v>0</v>
      </c>
      <c r="BG1224" s="39"/>
      <c r="BH1224" s="39"/>
      <c r="BI1224" s="39"/>
      <c r="BJ1224" s="39"/>
      <c r="BK1224" s="39"/>
      <c r="BL1224" s="39">
        <f t="shared" si="780"/>
        <v>0</v>
      </c>
      <c r="BM1224" s="54" t="str">
        <f t="shared" si="765"/>
        <v/>
      </c>
      <c r="BN1224" s="58">
        <v>46266</v>
      </c>
      <c r="BO1224" s="57">
        <v>46279</v>
      </c>
      <c r="BP1224" s="36"/>
      <c r="BQ1224" s="36"/>
      <c r="BR1224" s="57">
        <v>46233</v>
      </c>
      <c r="BS1224" s="57">
        <v>46233</v>
      </c>
      <c r="BT1224" s="39">
        <v>1953</v>
      </c>
      <c r="BU1224" s="39">
        <v>209</v>
      </c>
      <c r="BV1224" s="39"/>
      <c r="BW1224" s="39"/>
      <c r="BX1224" s="39"/>
      <c r="BY1224" s="39"/>
      <c r="BZ1224" s="39">
        <f t="shared" si="781"/>
        <v>209</v>
      </c>
      <c r="CA1224" s="39">
        <f t="shared" si="766"/>
        <v>1</v>
      </c>
      <c r="CB1224" s="39">
        <f t="shared" si="767"/>
        <v>0</v>
      </c>
      <c r="CC1224" s="39">
        <f t="shared" si="768"/>
        <v>0</v>
      </c>
      <c r="CD1224" s="39">
        <f t="shared" si="782"/>
        <v>0</v>
      </c>
      <c r="CE1224" s="102">
        <f t="shared" si="769"/>
        <v>0</v>
      </c>
      <c r="CF1224" s="36"/>
      <c r="CG1224" s="39" t="s">
        <v>233</v>
      </c>
      <c r="CH1224" s="39"/>
      <c r="CI1224" s="25">
        <v>1</v>
      </c>
    </row>
    <row r="1225" spans="1:87" ht="24.75" customHeight="1">
      <c r="A1225" s="36" t="s">
        <v>20</v>
      </c>
      <c r="B1225" s="29" t="s">
        <v>1769</v>
      </c>
      <c r="C1225" s="266"/>
      <c r="D1225" s="36"/>
      <c r="E1225" s="39">
        <v>180</v>
      </c>
      <c r="F1225" s="39" t="s">
        <v>55</v>
      </c>
      <c r="G1225" s="36" t="s">
        <v>1771</v>
      </c>
      <c r="H1225" s="36" t="s">
        <v>87</v>
      </c>
      <c r="I1225" s="39">
        <v>208</v>
      </c>
      <c r="J1225" s="39"/>
      <c r="K1225" s="39"/>
      <c r="L1225" s="39">
        <f t="shared" si="794"/>
        <v>208</v>
      </c>
      <c r="M1225" s="57">
        <v>46254</v>
      </c>
      <c r="N1225" s="57">
        <v>46265</v>
      </c>
      <c r="O1225" s="39"/>
      <c r="P1225" s="39"/>
      <c r="Q1225" s="39"/>
      <c r="R1225" s="39">
        <f t="shared" ref="R1225:R1239" si="795">SUM(O1225:Q1225)</f>
        <v>0</v>
      </c>
      <c r="S1225" s="39" t="s">
        <v>28</v>
      </c>
      <c r="T1225" s="39"/>
      <c r="U1225" s="39"/>
      <c r="V1225" s="117">
        <v>46226</v>
      </c>
      <c r="W1225" s="39">
        <v>242</v>
      </c>
      <c r="X1225" s="117">
        <v>46242</v>
      </c>
      <c r="Y1225" s="39">
        <v>212</v>
      </c>
      <c r="Z1225" s="39"/>
      <c r="AA1225" s="39"/>
      <c r="AB1225" s="119">
        <f t="shared" si="785"/>
        <v>212</v>
      </c>
      <c r="AC1225" s="39"/>
      <c r="AD1225" s="39"/>
      <c r="AE1225" s="39"/>
      <c r="AF1225" s="39"/>
      <c r="AG1225" s="39"/>
      <c r="AH1225" s="39">
        <f t="shared" si="779"/>
        <v>0</v>
      </c>
      <c r="AI1225" s="39"/>
      <c r="AJ1225" s="39"/>
      <c r="AK1225" s="39"/>
      <c r="AL1225" s="39"/>
      <c r="AM1225" s="39"/>
      <c r="AN1225" s="39">
        <f t="shared" si="778"/>
        <v>0</v>
      </c>
      <c r="AO1225" s="39"/>
      <c r="AP1225" s="39"/>
      <c r="AQ1225" s="39"/>
      <c r="AR1225" s="39"/>
      <c r="AS1225" s="39"/>
      <c r="AT1225" s="39">
        <f t="shared" si="762"/>
        <v>0</v>
      </c>
      <c r="AU1225" s="39"/>
      <c r="AV1225" s="39"/>
      <c r="AW1225" s="39"/>
      <c r="AX1225" s="39"/>
      <c r="AY1225" s="39"/>
      <c r="AZ1225" s="39">
        <f t="shared" si="763"/>
        <v>0</v>
      </c>
      <c r="BA1225" s="39"/>
      <c r="BB1225" s="39"/>
      <c r="BC1225" s="39"/>
      <c r="BD1225" s="39"/>
      <c r="BE1225" s="39"/>
      <c r="BF1225" s="39">
        <f t="shared" si="764"/>
        <v>0</v>
      </c>
      <c r="BG1225" s="39"/>
      <c r="BH1225" s="39"/>
      <c r="BI1225" s="39"/>
      <c r="BJ1225" s="39"/>
      <c r="BK1225" s="39"/>
      <c r="BL1225" s="39">
        <f t="shared" si="780"/>
        <v>0</v>
      </c>
      <c r="BM1225" s="54" t="str">
        <f t="shared" si="765"/>
        <v/>
      </c>
      <c r="BN1225" s="58">
        <v>46266</v>
      </c>
      <c r="BO1225" s="57">
        <v>46279</v>
      </c>
      <c r="BP1225" s="36"/>
      <c r="BQ1225" s="36"/>
      <c r="BR1225" s="57">
        <v>46242</v>
      </c>
      <c r="BS1225" s="57">
        <v>46242</v>
      </c>
      <c r="BT1225" s="39">
        <v>559</v>
      </c>
      <c r="BU1225" s="39">
        <v>212</v>
      </c>
      <c r="BV1225" s="39"/>
      <c r="BW1225" s="39"/>
      <c r="BX1225" s="39"/>
      <c r="BY1225" s="39"/>
      <c r="BZ1225" s="39">
        <f t="shared" si="781"/>
        <v>212</v>
      </c>
      <c r="CA1225" s="39">
        <f t="shared" si="766"/>
        <v>4</v>
      </c>
      <c r="CB1225" s="39">
        <f t="shared" si="767"/>
        <v>0</v>
      </c>
      <c r="CC1225" s="39">
        <f t="shared" si="768"/>
        <v>0</v>
      </c>
      <c r="CD1225" s="39">
        <f t="shared" si="782"/>
        <v>0</v>
      </c>
      <c r="CE1225" s="102">
        <f t="shared" si="769"/>
        <v>0</v>
      </c>
      <c r="CF1225" s="36"/>
      <c r="CG1225" s="39" t="s">
        <v>233</v>
      </c>
      <c r="CH1225" s="39"/>
      <c r="CI1225" s="25">
        <v>1</v>
      </c>
    </row>
    <row r="1226" spans="1:87" ht="24.75" customHeight="1">
      <c r="A1226" s="36" t="s">
        <v>20</v>
      </c>
      <c r="B1226" s="29" t="s">
        <v>1769</v>
      </c>
      <c r="C1226" s="266"/>
      <c r="D1226" s="36"/>
      <c r="E1226" s="39">
        <v>180</v>
      </c>
      <c r="F1226" s="39" t="s">
        <v>55</v>
      </c>
      <c r="G1226" s="36" t="s">
        <v>192</v>
      </c>
      <c r="H1226" s="36" t="s">
        <v>87</v>
      </c>
      <c r="I1226" s="39">
        <v>206</v>
      </c>
      <c r="J1226" s="39"/>
      <c r="K1226" s="39"/>
      <c r="L1226" s="39">
        <f t="shared" si="789"/>
        <v>206</v>
      </c>
      <c r="M1226" s="57">
        <v>46254</v>
      </c>
      <c r="N1226" s="57">
        <v>46265</v>
      </c>
      <c r="O1226" s="39"/>
      <c r="P1226" s="39"/>
      <c r="Q1226" s="39"/>
      <c r="R1226" s="39">
        <f t="shared" si="795"/>
        <v>0</v>
      </c>
      <c r="S1226" s="39" t="s">
        <v>130</v>
      </c>
      <c r="T1226" s="39">
        <v>108462</v>
      </c>
      <c r="U1226" s="117">
        <v>46254</v>
      </c>
      <c r="V1226" s="39"/>
      <c r="W1226" s="39"/>
      <c r="X1226" s="39"/>
      <c r="Y1226" s="39">
        <v>237</v>
      </c>
      <c r="Z1226" s="39"/>
      <c r="AA1226" s="39"/>
      <c r="AB1226" s="119">
        <f t="shared" si="785"/>
        <v>237</v>
      </c>
      <c r="AC1226" s="39"/>
      <c r="AD1226" s="39"/>
      <c r="AE1226" s="39"/>
      <c r="AF1226" s="39"/>
      <c r="AG1226" s="39"/>
      <c r="AH1226" s="39">
        <f t="shared" si="779"/>
        <v>0</v>
      </c>
      <c r="AI1226" s="39"/>
      <c r="AJ1226" s="39"/>
      <c r="AK1226" s="39"/>
      <c r="AL1226" s="39"/>
      <c r="AM1226" s="39"/>
      <c r="AN1226" s="39">
        <f t="shared" si="778"/>
        <v>0</v>
      </c>
      <c r="AO1226" s="39"/>
      <c r="AP1226" s="39"/>
      <c r="AQ1226" s="39"/>
      <c r="AR1226" s="39"/>
      <c r="AS1226" s="39"/>
      <c r="AT1226" s="39">
        <f t="shared" si="762"/>
        <v>0</v>
      </c>
      <c r="AU1226" s="39"/>
      <c r="AV1226" s="39"/>
      <c r="AW1226" s="39"/>
      <c r="AX1226" s="39"/>
      <c r="AY1226" s="39"/>
      <c r="AZ1226" s="39">
        <f t="shared" si="763"/>
        <v>0</v>
      </c>
      <c r="BA1226" s="39"/>
      <c r="BB1226" s="39"/>
      <c r="BC1226" s="39"/>
      <c r="BD1226" s="39"/>
      <c r="BE1226" s="39"/>
      <c r="BF1226" s="39">
        <f t="shared" si="764"/>
        <v>0</v>
      </c>
      <c r="BG1226" s="39"/>
      <c r="BH1226" s="39"/>
      <c r="BI1226" s="39"/>
      <c r="BJ1226" s="39"/>
      <c r="BK1226" s="39"/>
      <c r="BL1226" s="39">
        <f t="shared" si="780"/>
        <v>0</v>
      </c>
      <c r="BM1226" s="54" t="str">
        <f t="shared" si="765"/>
        <v/>
      </c>
      <c r="BN1226" s="58">
        <v>46266</v>
      </c>
      <c r="BO1226" s="57">
        <v>46279</v>
      </c>
      <c r="BP1226" s="36"/>
      <c r="BQ1226" s="36"/>
      <c r="BR1226" s="57">
        <v>46256</v>
      </c>
      <c r="BS1226" s="57">
        <v>46256</v>
      </c>
      <c r="BT1226" s="39">
        <v>1028</v>
      </c>
      <c r="BU1226" s="39">
        <v>213</v>
      </c>
      <c r="BV1226" s="39"/>
      <c r="BW1226" s="39"/>
      <c r="BX1226" s="39"/>
      <c r="BY1226" s="39"/>
      <c r="BZ1226" s="39">
        <f t="shared" si="781"/>
        <v>213</v>
      </c>
      <c r="CA1226" s="39">
        <f t="shared" si="766"/>
        <v>7</v>
      </c>
      <c r="CB1226" s="39">
        <f t="shared" si="767"/>
        <v>0</v>
      </c>
      <c r="CC1226" s="39">
        <f t="shared" si="768"/>
        <v>0</v>
      </c>
      <c r="CD1226" s="39">
        <f t="shared" si="782"/>
        <v>0</v>
      </c>
      <c r="CE1226" s="102">
        <f t="shared" si="769"/>
        <v>0</v>
      </c>
      <c r="CF1226" s="36"/>
      <c r="CG1226" s="39" t="s">
        <v>233</v>
      </c>
      <c r="CH1226" s="39"/>
      <c r="CI1226" s="25">
        <v>1</v>
      </c>
    </row>
    <row r="1227" spans="1:87" ht="24.75" customHeight="1">
      <c r="A1227" s="36" t="s">
        <v>20</v>
      </c>
      <c r="B1227" s="29" t="s">
        <v>1769</v>
      </c>
      <c r="C1227" s="266"/>
      <c r="D1227" s="36"/>
      <c r="E1227" s="39">
        <v>180</v>
      </c>
      <c r="F1227" s="39" t="s">
        <v>55</v>
      </c>
      <c r="G1227" s="36" t="s">
        <v>457</v>
      </c>
      <c r="H1227" s="36" t="s">
        <v>87</v>
      </c>
      <c r="I1227" s="39">
        <v>206</v>
      </c>
      <c r="J1227" s="39"/>
      <c r="K1227" s="39"/>
      <c r="L1227" s="39">
        <f t="shared" si="789"/>
        <v>206</v>
      </c>
      <c r="M1227" s="57">
        <v>46254</v>
      </c>
      <c r="N1227" s="57">
        <v>46265</v>
      </c>
      <c r="O1227" s="39"/>
      <c r="P1227" s="39"/>
      <c r="Q1227" s="39"/>
      <c r="R1227" s="39">
        <f t="shared" si="795"/>
        <v>0</v>
      </c>
      <c r="S1227" s="39" t="s">
        <v>28</v>
      </c>
      <c r="T1227" s="39"/>
      <c r="U1227" s="39"/>
      <c r="V1227" s="117">
        <v>46226</v>
      </c>
      <c r="W1227" s="39">
        <v>237</v>
      </c>
      <c r="X1227" s="117">
        <v>46240</v>
      </c>
      <c r="Y1227" s="39">
        <v>217</v>
      </c>
      <c r="Z1227" s="39"/>
      <c r="AA1227" s="39"/>
      <c r="AB1227" s="119">
        <f t="shared" si="785"/>
        <v>217</v>
      </c>
      <c r="AC1227" s="39"/>
      <c r="AD1227" s="39"/>
      <c r="AE1227" s="39"/>
      <c r="AF1227" s="39"/>
      <c r="AG1227" s="39"/>
      <c r="AH1227" s="39">
        <f t="shared" si="779"/>
        <v>0</v>
      </c>
      <c r="AI1227" s="39"/>
      <c r="AJ1227" s="39"/>
      <c r="AK1227" s="39"/>
      <c r="AL1227" s="39"/>
      <c r="AM1227" s="39"/>
      <c r="AN1227" s="39">
        <f t="shared" si="778"/>
        <v>0</v>
      </c>
      <c r="AO1227" s="39"/>
      <c r="AP1227" s="39"/>
      <c r="AQ1227" s="39"/>
      <c r="AR1227" s="39"/>
      <c r="AS1227" s="39"/>
      <c r="AT1227" s="39">
        <f t="shared" si="762"/>
        <v>0</v>
      </c>
      <c r="AU1227" s="39"/>
      <c r="AV1227" s="39"/>
      <c r="AW1227" s="39"/>
      <c r="AX1227" s="39"/>
      <c r="AY1227" s="39"/>
      <c r="AZ1227" s="39">
        <f t="shared" si="763"/>
        <v>0</v>
      </c>
      <c r="BA1227" s="39"/>
      <c r="BB1227" s="39"/>
      <c r="BC1227" s="39"/>
      <c r="BD1227" s="39"/>
      <c r="BE1227" s="39"/>
      <c r="BF1227" s="39">
        <f t="shared" si="764"/>
        <v>0</v>
      </c>
      <c r="BG1227" s="39"/>
      <c r="BH1227" s="39"/>
      <c r="BI1227" s="39"/>
      <c r="BJ1227" s="39"/>
      <c r="BK1227" s="39"/>
      <c r="BL1227" s="39">
        <f t="shared" si="780"/>
        <v>0</v>
      </c>
      <c r="BM1227" s="54" t="str">
        <f t="shared" si="765"/>
        <v/>
      </c>
      <c r="BN1227" s="58">
        <v>46266</v>
      </c>
      <c r="BO1227" s="57">
        <v>46279</v>
      </c>
      <c r="BP1227" s="36"/>
      <c r="BQ1227" s="36"/>
      <c r="BR1227" s="57">
        <v>46240</v>
      </c>
      <c r="BS1227" s="57">
        <v>46240</v>
      </c>
      <c r="BT1227" s="39">
        <v>557</v>
      </c>
      <c r="BU1227" s="39">
        <v>217</v>
      </c>
      <c r="BV1227" s="39"/>
      <c r="BW1227" s="39"/>
      <c r="BX1227" s="39"/>
      <c r="BY1227" s="39"/>
      <c r="BZ1227" s="39">
        <f t="shared" si="781"/>
        <v>217</v>
      </c>
      <c r="CA1227" s="39">
        <f t="shared" si="766"/>
        <v>11</v>
      </c>
      <c r="CB1227" s="39">
        <f t="shared" si="767"/>
        <v>0</v>
      </c>
      <c r="CC1227" s="39">
        <f t="shared" si="768"/>
        <v>0</v>
      </c>
      <c r="CD1227" s="39">
        <f t="shared" si="782"/>
        <v>0</v>
      </c>
      <c r="CE1227" s="102">
        <f t="shared" si="769"/>
        <v>0</v>
      </c>
      <c r="CF1227" s="36"/>
      <c r="CG1227" s="39" t="s">
        <v>233</v>
      </c>
      <c r="CH1227" s="39"/>
      <c r="CI1227" s="25">
        <v>1</v>
      </c>
    </row>
    <row r="1228" spans="1:87" ht="24.75" customHeight="1">
      <c r="A1228" s="36" t="s">
        <v>20</v>
      </c>
      <c r="B1228" s="29" t="s">
        <v>1769</v>
      </c>
      <c r="C1228" s="254"/>
      <c r="D1228" s="36"/>
      <c r="E1228" s="39"/>
      <c r="F1228" s="39"/>
      <c r="G1228" s="36" t="s">
        <v>75</v>
      </c>
      <c r="H1228" s="36"/>
      <c r="I1228" s="39"/>
      <c r="J1228" s="39"/>
      <c r="K1228" s="39"/>
      <c r="L1228" s="39">
        <f t="shared" si="783"/>
        <v>0</v>
      </c>
      <c r="M1228" s="57">
        <v>46254</v>
      </c>
      <c r="N1228" s="57">
        <v>46265</v>
      </c>
      <c r="O1228" s="39"/>
      <c r="P1228" s="39"/>
      <c r="Q1228" s="39"/>
      <c r="R1228" s="39">
        <f t="shared" si="795"/>
        <v>0</v>
      </c>
      <c r="S1228" s="39" t="s">
        <v>130</v>
      </c>
      <c r="T1228" s="39"/>
      <c r="U1228" s="39"/>
      <c r="V1228" s="39"/>
      <c r="W1228" s="39"/>
      <c r="X1228" s="39"/>
      <c r="Y1228" s="39"/>
      <c r="Z1228" s="39"/>
      <c r="AA1228" s="39"/>
      <c r="AB1228" s="39">
        <f t="shared" si="785"/>
        <v>0</v>
      </c>
      <c r="AC1228" s="39"/>
      <c r="AD1228" s="39"/>
      <c r="AE1228" s="39"/>
      <c r="AF1228" s="39"/>
      <c r="AG1228" s="39"/>
      <c r="AH1228" s="39">
        <f t="shared" si="779"/>
        <v>0</v>
      </c>
      <c r="AI1228" s="39"/>
      <c r="AJ1228" s="39"/>
      <c r="AK1228" s="39"/>
      <c r="AL1228" s="39"/>
      <c r="AM1228" s="39"/>
      <c r="AN1228" s="39">
        <f t="shared" si="778"/>
        <v>0</v>
      </c>
      <c r="AO1228" s="39"/>
      <c r="AP1228" s="39"/>
      <c r="AQ1228" s="39"/>
      <c r="AR1228" s="39"/>
      <c r="AS1228" s="39"/>
      <c r="AT1228" s="39">
        <f t="shared" si="762"/>
        <v>0</v>
      </c>
      <c r="AU1228" s="39"/>
      <c r="AV1228" s="39"/>
      <c r="AW1228" s="39"/>
      <c r="AX1228" s="39"/>
      <c r="AY1228" s="39"/>
      <c r="AZ1228" s="39">
        <f t="shared" si="763"/>
        <v>0</v>
      </c>
      <c r="BA1228" s="39"/>
      <c r="BB1228" s="39"/>
      <c r="BC1228" s="39"/>
      <c r="BD1228" s="39"/>
      <c r="BE1228" s="39"/>
      <c r="BF1228" s="39">
        <f t="shared" si="764"/>
        <v>0</v>
      </c>
      <c r="BG1228" s="39"/>
      <c r="BH1228" s="39"/>
      <c r="BI1228" s="39"/>
      <c r="BJ1228" s="39"/>
      <c r="BK1228" s="39"/>
      <c r="BL1228" s="39">
        <f t="shared" si="780"/>
        <v>0</v>
      </c>
      <c r="BM1228" s="54" t="e">
        <f t="shared" si="765"/>
        <v>#DIV/0!</v>
      </c>
      <c r="BN1228" s="58">
        <v>46266</v>
      </c>
      <c r="BO1228" s="57">
        <v>46279</v>
      </c>
      <c r="BP1228" s="36"/>
      <c r="BQ1228" s="36"/>
      <c r="BR1228" s="36"/>
      <c r="BS1228" s="36"/>
      <c r="BT1228" s="39"/>
      <c r="BU1228" s="39"/>
      <c r="BV1228" s="39"/>
      <c r="BW1228" s="39"/>
      <c r="BX1228" s="39"/>
      <c r="BY1228" s="39"/>
      <c r="BZ1228" s="39">
        <f t="shared" si="781"/>
        <v>0</v>
      </c>
      <c r="CA1228" s="39">
        <f t="shared" si="766"/>
        <v>0</v>
      </c>
      <c r="CB1228" s="39">
        <f t="shared" si="767"/>
        <v>0</v>
      </c>
      <c r="CC1228" s="39">
        <f t="shared" si="768"/>
        <v>0</v>
      </c>
      <c r="CD1228" s="39">
        <f t="shared" si="782"/>
        <v>0</v>
      </c>
      <c r="CE1228" s="102" t="e">
        <f t="shared" si="769"/>
        <v>#DIV/0!</v>
      </c>
      <c r="CF1228" s="36"/>
      <c r="CG1228" s="39" t="s">
        <v>233</v>
      </c>
      <c r="CH1228" s="39"/>
      <c r="CI1228" s="25">
        <v>1</v>
      </c>
    </row>
    <row r="1229" spans="1:87" ht="24.75" customHeight="1">
      <c r="A1229" s="36" t="s">
        <v>20</v>
      </c>
      <c r="B1229" s="29" t="s">
        <v>1772</v>
      </c>
      <c r="C1229" s="253" t="s">
        <v>1773</v>
      </c>
      <c r="D1229" s="36"/>
      <c r="E1229" s="39">
        <v>180</v>
      </c>
      <c r="F1229" s="39" t="s">
        <v>58</v>
      </c>
      <c r="G1229" s="36" t="s">
        <v>1774</v>
      </c>
      <c r="H1229" s="36" t="s">
        <v>87</v>
      </c>
      <c r="I1229" s="39">
        <v>234</v>
      </c>
      <c r="J1229" s="39"/>
      <c r="K1229" s="39"/>
      <c r="L1229" s="39">
        <f t="shared" ref="L1229:L1233" si="796">SUM(I1229:K1229)</f>
        <v>234</v>
      </c>
      <c r="M1229" s="57">
        <v>46254</v>
      </c>
      <c r="N1229" s="57">
        <v>46265</v>
      </c>
      <c r="O1229" s="39"/>
      <c r="P1229" s="39"/>
      <c r="Q1229" s="39"/>
      <c r="R1229" s="39">
        <f t="shared" si="795"/>
        <v>0</v>
      </c>
      <c r="S1229" s="39" t="s">
        <v>28</v>
      </c>
      <c r="T1229" s="39"/>
      <c r="U1229" s="39"/>
      <c r="V1229" s="117">
        <v>46224</v>
      </c>
      <c r="W1229" s="39">
        <v>269</v>
      </c>
      <c r="X1229" s="117">
        <v>46235</v>
      </c>
      <c r="Y1229" s="39">
        <v>241</v>
      </c>
      <c r="Z1229" s="39"/>
      <c r="AA1229" s="39"/>
      <c r="AB1229" s="119">
        <f t="shared" si="785"/>
        <v>241</v>
      </c>
      <c r="AC1229" s="39"/>
      <c r="AD1229" s="39"/>
      <c r="AE1229" s="39"/>
      <c r="AF1229" s="39"/>
      <c r="AG1229" s="39"/>
      <c r="AH1229" s="39">
        <f t="shared" si="779"/>
        <v>0</v>
      </c>
      <c r="AI1229" s="39"/>
      <c r="AJ1229" s="39"/>
      <c r="AK1229" s="39"/>
      <c r="AL1229" s="39"/>
      <c r="AM1229" s="39"/>
      <c r="AN1229" s="39">
        <f t="shared" si="778"/>
        <v>0</v>
      </c>
      <c r="AO1229" s="39"/>
      <c r="AP1229" s="39"/>
      <c r="AQ1229" s="39"/>
      <c r="AR1229" s="39"/>
      <c r="AS1229" s="39"/>
      <c r="AT1229" s="39">
        <f t="shared" si="762"/>
        <v>0</v>
      </c>
      <c r="AU1229" s="39"/>
      <c r="AV1229" s="39"/>
      <c r="AW1229" s="39"/>
      <c r="AX1229" s="39"/>
      <c r="AY1229" s="39"/>
      <c r="AZ1229" s="39">
        <f t="shared" si="763"/>
        <v>0</v>
      </c>
      <c r="BA1229" s="39"/>
      <c r="BB1229" s="39"/>
      <c r="BC1229" s="39"/>
      <c r="BD1229" s="39"/>
      <c r="BE1229" s="39"/>
      <c r="BF1229" s="39">
        <f t="shared" si="764"/>
        <v>0</v>
      </c>
      <c r="BG1229" s="39"/>
      <c r="BH1229" s="39"/>
      <c r="BI1229" s="39"/>
      <c r="BJ1229" s="39"/>
      <c r="BK1229" s="39"/>
      <c r="BL1229" s="39">
        <f t="shared" si="780"/>
        <v>0</v>
      </c>
      <c r="BM1229" s="54" t="str">
        <f t="shared" si="765"/>
        <v/>
      </c>
      <c r="BN1229" s="58">
        <v>46266</v>
      </c>
      <c r="BO1229" s="57">
        <v>46279</v>
      </c>
      <c r="BP1229" s="36"/>
      <c r="BQ1229" s="36"/>
      <c r="BR1229" s="57">
        <v>46235</v>
      </c>
      <c r="BS1229" s="57">
        <v>46235</v>
      </c>
      <c r="BT1229" s="39">
        <v>1956</v>
      </c>
      <c r="BU1229" s="39">
        <v>241</v>
      </c>
      <c r="BV1229" s="39"/>
      <c r="BW1229" s="39"/>
      <c r="BX1229" s="39"/>
      <c r="BY1229" s="39"/>
      <c r="BZ1229" s="39">
        <f t="shared" si="781"/>
        <v>241</v>
      </c>
      <c r="CA1229" s="39">
        <f t="shared" si="766"/>
        <v>7</v>
      </c>
      <c r="CB1229" s="39">
        <f t="shared" si="767"/>
        <v>0</v>
      </c>
      <c r="CC1229" s="39">
        <f t="shared" si="768"/>
        <v>0</v>
      </c>
      <c r="CD1229" s="39">
        <f t="shared" si="782"/>
        <v>0</v>
      </c>
      <c r="CE1229" s="102">
        <f t="shared" si="769"/>
        <v>0</v>
      </c>
      <c r="CF1229" s="36"/>
      <c r="CG1229" s="39" t="s">
        <v>233</v>
      </c>
      <c r="CH1229" s="39"/>
      <c r="CI1229" s="25">
        <v>1</v>
      </c>
    </row>
    <row r="1230" spans="1:87" ht="24.75" customHeight="1">
      <c r="A1230" s="36" t="s">
        <v>20</v>
      </c>
      <c r="B1230" s="29" t="s">
        <v>1772</v>
      </c>
      <c r="C1230" s="266"/>
      <c r="D1230" s="36"/>
      <c r="E1230" s="39">
        <v>180</v>
      </c>
      <c r="F1230" s="39" t="s">
        <v>58</v>
      </c>
      <c r="G1230" s="36" t="s">
        <v>1775</v>
      </c>
      <c r="H1230" s="36" t="s">
        <v>87</v>
      </c>
      <c r="I1230" s="39">
        <v>234</v>
      </c>
      <c r="J1230" s="39"/>
      <c r="K1230" s="39"/>
      <c r="L1230" s="39">
        <f t="shared" si="796"/>
        <v>234</v>
      </c>
      <c r="M1230" s="57">
        <v>46254</v>
      </c>
      <c r="N1230" s="57">
        <v>46265</v>
      </c>
      <c r="O1230" s="39"/>
      <c r="P1230" s="39"/>
      <c r="Q1230" s="39"/>
      <c r="R1230" s="39">
        <f t="shared" ref="R1230" si="797">SUM(O1230:Q1230)</f>
        <v>0</v>
      </c>
      <c r="S1230" s="39" t="s">
        <v>28</v>
      </c>
      <c r="T1230" s="39"/>
      <c r="U1230" s="39"/>
      <c r="V1230" s="117">
        <v>46224</v>
      </c>
      <c r="W1230" s="39">
        <v>269</v>
      </c>
      <c r="X1230" s="117">
        <v>46243</v>
      </c>
      <c r="Y1230" s="39">
        <v>236</v>
      </c>
      <c r="Z1230" s="39"/>
      <c r="AA1230" s="39"/>
      <c r="AB1230" s="119">
        <f t="shared" ref="AB1230" si="798">SUM(Y1230:AA1230)</f>
        <v>236</v>
      </c>
      <c r="AC1230" s="39"/>
      <c r="AD1230" s="39"/>
      <c r="AE1230" s="39"/>
      <c r="AF1230" s="39"/>
      <c r="AG1230" s="39"/>
      <c r="AH1230" s="39">
        <f t="shared" si="779"/>
        <v>0</v>
      </c>
      <c r="AI1230" s="39"/>
      <c r="AJ1230" s="39"/>
      <c r="AK1230" s="39"/>
      <c r="AL1230" s="39"/>
      <c r="AM1230" s="39"/>
      <c r="AN1230" s="39">
        <f t="shared" si="778"/>
        <v>0</v>
      </c>
      <c r="AO1230" s="39"/>
      <c r="AP1230" s="39"/>
      <c r="AQ1230" s="39"/>
      <c r="AR1230" s="39"/>
      <c r="AS1230" s="39"/>
      <c r="AT1230" s="39">
        <f t="shared" si="762"/>
        <v>0</v>
      </c>
      <c r="AU1230" s="39"/>
      <c r="AV1230" s="39"/>
      <c r="AW1230" s="39"/>
      <c r="AX1230" s="39"/>
      <c r="AY1230" s="39"/>
      <c r="AZ1230" s="39">
        <f t="shared" si="763"/>
        <v>0</v>
      </c>
      <c r="BA1230" s="39"/>
      <c r="BB1230" s="39"/>
      <c r="BC1230" s="39"/>
      <c r="BD1230" s="39"/>
      <c r="BE1230" s="39"/>
      <c r="BF1230" s="39">
        <f t="shared" si="764"/>
        <v>0</v>
      </c>
      <c r="BG1230" s="39"/>
      <c r="BH1230" s="39"/>
      <c r="BI1230" s="39"/>
      <c r="BJ1230" s="39"/>
      <c r="BK1230" s="39"/>
      <c r="BL1230" s="39">
        <f t="shared" si="780"/>
        <v>0</v>
      </c>
      <c r="BM1230" s="54" t="str">
        <f t="shared" si="765"/>
        <v/>
      </c>
      <c r="BN1230" s="58">
        <v>46266</v>
      </c>
      <c r="BO1230" s="57">
        <v>46279</v>
      </c>
      <c r="BP1230" s="36"/>
      <c r="BQ1230" s="36"/>
      <c r="BR1230" s="57">
        <v>46242</v>
      </c>
      <c r="BS1230" s="57">
        <v>46242</v>
      </c>
      <c r="BT1230" s="39">
        <v>1969</v>
      </c>
      <c r="BU1230" s="39">
        <v>236</v>
      </c>
      <c r="BV1230" s="39"/>
      <c r="BW1230" s="39"/>
      <c r="BX1230" s="39"/>
      <c r="BY1230" s="39"/>
      <c r="BZ1230" s="39">
        <f t="shared" si="781"/>
        <v>236</v>
      </c>
      <c r="CA1230" s="39">
        <f t="shared" si="766"/>
        <v>2</v>
      </c>
      <c r="CB1230" s="39">
        <f t="shared" si="767"/>
        <v>0</v>
      </c>
      <c r="CC1230" s="39">
        <f t="shared" si="768"/>
        <v>0</v>
      </c>
      <c r="CD1230" s="39">
        <f t="shared" si="782"/>
        <v>0</v>
      </c>
      <c r="CE1230" s="102">
        <f t="shared" si="769"/>
        <v>0</v>
      </c>
      <c r="CF1230" s="36"/>
      <c r="CG1230" s="39" t="s">
        <v>233</v>
      </c>
      <c r="CH1230" s="39"/>
      <c r="CI1230" s="25">
        <v>1</v>
      </c>
    </row>
    <row r="1231" spans="1:87" ht="24.75" customHeight="1">
      <c r="A1231" s="36" t="s">
        <v>20</v>
      </c>
      <c r="B1231" s="29" t="s">
        <v>1772</v>
      </c>
      <c r="C1231" s="254"/>
      <c r="D1231" s="36"/>
      <c r="E1231" s="39"/>
      <c r="F1231" s="39"/>
      <c r="G1231" s="36" t="s">
        <v>75</v>
      </c>
      <c r="H1231" s="36"/>
      <c r="I1231" s="39"/>
      <c r="J1231" s="39"/>
      <c r="K1231" s="39"/>
      <c r="L1231" s="39">
        <f t="shared" si="796"/>
        <v>0</v>
      </c>
      <c r="M1231" s="57">
        <v>46254</v>
      </c>
      <c r="N1231" s="57">
        <v>46265</v>
      </c>
      <c r="O1231" s="39"/>
      <c r="P1231" s="39"/>
      <c r="Q1231" s="39"/>
      <c r="R1231" s="39">
        <f t="shared" ref="R1231" si="799">SUM(O1231:Q1231)</f>
        <v>0</v>
      </c>
      <c r="S1231" s="39" t="s">
        <v>130</v>
      </c>
      <c r="T1231" s="39"/>
      <c r="U1231" s="39"/>
      <c r="V1231" s="39"/>
      <c r="W1231" s="39"/>
      <c r="X1231" s="39"/>
      <c r="Y1231" s="39"/>
      <c r="Z1231" s="39"/>
      <c r="AA1231" s="39"/>
      <c r="AB1231" s="39">
        <f t="shared" ref="AB1231" si="800">SUM(Y1231:AA1231)</f>
        <v>0</v>
      </c>
      <c r="AC1231" s="39"/>
      <c r="AD1231" s="39"/>
      <c r="AE1231" s="39"/>
      <c r="AF1231" s="39"/>
      <c r="AG1231" s="39"/>
      <c r="AH1231" s="39">
        <f t="shared" si="779"/>
        <v>0</v>
      </c>
      <c r="AI1231" s="39"/>
      <c r="AJ1231" s="39"/>
      <c r="AK1231" s="39"/>
      <c r="AL1231" s="39"/>
      <c r="AM1231" s="39"/>
      <c r="AN1231" s="39">
        <f t="shared" si="778"/>
        <v>0</v>
      </c>
      <c r="AO1231" s="39"/>
      <c r="AP1231" s="39"/>
      <c r="AQ1231" s="39"/>
      <c r="AR1231" s="39"/>
      <c r="AS1231" s="39"/>
      <c r="AT1231" s="39">
        <f t="shared" si="762"/>
        <v>0</v>
      </c>
      <c r="AU1231" s="39"/>
      <c r="AV1231" s="39"/>
      <c r="AW1231" s="39"/>
      <c r="AX1231" s="39"/>
      <c r="AY1231" s="39"/>
      <c r="AZ1231" s="39">
        <f t="shared" si="763"/>
        <v>0</v>
      </c>
      <c r="BA1231" s="39"/>
      <c r="BB1231" s="39"/>
      <c r="BC1231" s="39"/>
      <c r="BD1231" s="39"/>
      <c r="BE1231" s="39"/>
      <c r="BF1231" s="39">
        <f t="shared" si="764"/>
        <v>0</v>
      </c>
      <c r="BG1231" s="39"/>
      <c r="BH1231" s="39"/>
      <c r="BI1231" s="39"/>
      <c r="BJ1231" s="39"/>
      <c r="BK1231" s="39"/>
      <c r="BL1231" s="39">
        <f t="shared" si="780"/>
        <v>0</v>
      </c>
      <c r="BM1231" s="54" t="e">
        <f t="shared" si="765"/>
        <v>#DIV/0!</v>
      </c>
      <c r="BN1231" s="58">
        <v>46266</v>
      </c>
      <c r="BO1231" s="57">
        <v>46279</v>
      </c>
      <c r="BP1231" s="36"/>
      <c r="BQ1231" s="36"/>
      <c r="BR1231" s="36"/>
      <c r="BS1231" s="36"/>
      <c r="BT1231" s="39"/>
      <c r="BU1231" s="39"/>
      <c r="BV1231" s="39"/>
      <c r="BW1231" s="39"/>
      <c r="BX1231" s="39"/>
      <c r="BY1231" s="39"/>
      <c r="BZ1231" s="39">
        <f t="shared" si="781"/>
        <v>0</v>
      </c>
      <c r="CA1231" s="39">
        <f t="shared" si="766"/>
        <v>0</v>
      </c>
      <c r="CB1231" s="39">
        <f t="shared" si="767"/>
        <v>0</v>
      </c>
      <c r="CC1231" s="39">
        <f t="shared" si="768"/>
        <v>0</v>
      </c>
      <c r="CD1231" s="39">
        <f t="shared" si="782"/>
        <v>0</v>
      </c>
      <c r="CE1231" s="102" t="e">
        <f t="shared" si="769"/>
        <v>#DIV/0!</v>
      </c>
      <c r="CF1231" s="36"/>
      <c r="CG1231" s="39" t="s">
        <v>233</v>
      </c>
      <c r="CH1231" s="39"/>
      <c r="CI1231" s="25">
        <v>1</v>
      </c>
    </row>
    <row r="1232" spans="1:87" ht="24.75" customHeight="1">
      <c r="A1232" s="36" t="s">
        <v>20</v>
      </c>
      <c r="B1232" s="29" t="s">
        <v>1776</v>
      </c>
      <c r="C1232" s="49" t="s">
        <v>1777</v>
      </c>
      <c r="D1232" s="36"/>
      <c r="E1232" s="39">
        <v>180</v>
      </c>
      <c r="F1232" s="39" t="s">
        <v>58</v>
      </c>
      <c r="G1232" s="36" t="s">
        <v>23</v>
      </c>
      <c r="H1232" s="36" t="s">
        <v>87</v>
      </c>
      <c r="I1232" s="39">
        <v>782</v>
      </c>
      <c r="J1232" s="39"/>
      <c r="K1232" s="39"/>
      <c r="L1232" s="39">
        <f t="shared" si="796"/>
        <v>782</v>
      </c>
      <c r="M1232" s="57">
        <v>46254</v>
      </c>
      <c r="N1232" s="57">
        <v>46265</v>
      </c>
      <c r="O1232" s="39"/>
      <c r="P1232" s="39"/>
      <c r="Q1232" s="39"/>
      <c r="R1232" s="39">
        <f t="shared" si="795"/>
        <v>0</v>
      </c>
      <c r="S1232" s="39" t="s">
        <v>28</v>
      </c>
      <c r="T1232" s="39"/>
      <c r="U1232" s="39"/>
      <c r="V1232" s="117">
        <v>46224</v>
      </c>
      <c r="W1232" s="39">
        <f>734+134</f>
        <v>868</v>
      </c>
      <c r="X1232" s="117">
        <v>46231</v>
      </c>
      <c r="Y1232" s="39">
        <v>803</v>
      </c>
      <c r="Z1232" s="39"/>
      <c r="AA1232" s="39"/>
      <c r="AB1232" s="119">
        <f t="shared" si="785"/>
        <v>803</v>
      </c>
      <c r="AC1232" s="39"/>
      <c r="AD1232" s="39"/>
      <c r="AE1232" s="39"/>
      <c r="AF1232" s="39"/>
      <c r="AG1232" s="39"/>
      <c r="AH1232" s="39">
        <f t="shared" si="779"/>
        <v>0</v>
      </c>
      <c r="AI1232" s="39"/>
      <c r="AJ1232" s="39"/>
      <c r="AK1232" s="39"/>
      <c r="AL1232" s="39"/>
      <c r="AM1232" s="39"/>
      <c r="AN1232" s="39">
        <f t="shared" si="778"/>
        <v>0</v>
      </c>
      <c r="AO1232" s="39"/>
      <c r="AP1232" s="39"/>
      <c r="AQ1232" s="39"/>
      <c r="AR1232" s="39"/>
      <c r="AS1232" s="39"/>
      <c r="AT1232" s="39">
        <f t="shared" si="762"/>
        <v>0</v>
      </c>
      <c r="AU1232" s="39"/>
      <c r="AV1232" s="39"/>
      <c r="AW1232" s="39"/>
      <c r="AX1232" s="39"/>
      <c r="AY1232" s="39"/>
      <c r="AZ1232" s="39">
        <f t="shared" si="763"/>
        <v>0</v>
      </c>
      <c r="BA1232" s="39"/>
      <c r="BB1232" s="39"/>
      <c r="BC1232" s="39"/>
      <c r="BD1232" s="39"/>
      <c r="BE1232" s="39"/>
      <c r="BF1232" s="39">
        <f t="shared" si="764"/>
        <v>0</v>
      </c>
      <c r="BG1232" s="39"/>
      <c r="BH1232" s="39"/>
      <c r="BI1232" s="39"/>
      <c r="BJ1232" s="39"/>
      <c r="BK1232" s="39"/>
      <c r="BL1232" s="39">
        <f t="shared" si="780"/>
        <v>0</v>
      </c>
      <c r="BM1232" s="54" t="str">
        <f t="shared" si="765"/>
        <v/>
      </c>
      <c r="BN1232" s="58">
        <v>46266</v>
      </c>
      <c r="BO1232" s="57">
        <v>46279</v>
      </c>
      <c r="BP1232" s="36"/>
      <c r="BQ1232" s="36"/>
      <c r="BR1232" s="57">
        <v>46231</v>
      </c>
      <c r="BS1232" s="57">
        <v>46231</v>
      </c>
      <c r="BT1232" s="39">
        <v>1547</v>
      </c>
      <c r="BU1232" s="39">
        <v>803</v>
      </c>
      <c r="BV1232" s="39"/>
      <c r="BW1232" s="39"/>
      <c r="BX1232" s="39"/>
      <c r="BY1232" s="39"/>
      <c r="BZ1232" s="39">
        <f t="shared" si="781"/>
        <v>803</v>
      </c>
      <c r="CA1232" s="39">
        <f t="shared" si="766"/>
        <v>21</v>
      </c>
      <c r="CB1232" s="39">
        <f t="shared" si="767"/>
        <v>0</v>
      </c>
      <c r="CC1232" s="39">
        <f t="shared" si="768"/>
        <v>0</v>
      </c>
      <c r="CD1232" s="39">
        <f t="shared" si="782"/>
        <v>0</v>
      </c>
      <c r="CE1232" s="102">
        <f t="shared" si="769"/>
        <v>0</v>
      </c>
      <c r="CF1232" s="36"/>
      <c r="CG1232" s="39" t="s">
        <v>233</v>
      </c>
      <c r="CH1232" s="39"/>
      <c r="CI1232" s="25">
        <v>1</v>
      </c>
    </row>
    <row r="1233" spans="1:87" ht="24.75" customHeight="1">
      <c r="A1233" s="36" t="s">
        <v>20</v>
      </c>
      <c r="B1233" s="29" t="s">
        <v>1778</v>
      </c>
      <c r="C1233" s="253" t="s">
        <v>1779</v>
      </c>
      <c r="D1233" s="36"/>
      <c r="E1233" s="39">
        <v>180</v>
      </c>
      <c r="F1233" s="39" t="s">
        <v>58</v>
      </c>
      <c r="G1233" s="36" t="s">
        <v>529</v>
      </c>
      <c r="H1233" s="36" t="s">
        <v>87</v>
      </c>
      <c r="I1233" s="39">
        <v>190</v>
      </c>
      <c r="J1233" s="39"/>
      <c r="K1233" s="39"/>
      <c r="L1233" s="39">
        <f t="shared" si="796"/>
        <v>190</v>
      </c>
      <c r="M1233" s="57">
        <v>46254</v>
      </c>
      <c r="N1233" s="57">
        <v>46262</v>
      </c>
      <c r="O1233" s="39"/>
      <c r="P1233" s="39"/>
      <c r="Q1233" s="39"/>
      <c r="R1233" s="39">
        <f t="shared" si="795"/>
        <v>0</v>
      </c>
      <c r="S1233" s="39" t="s">
        <v>28</v>
      </c>
      <c r="T1233" s="39"/>
      <c r="U1233" s="39"/>
      <c r="V1233" s="117">
        <v>46224</v>
      </c>
      <c r="W1233" s="39">
        <v>228</v>
      </c>
      <c r="X1233" s="117" t="s">
        <v>2092</v>
      </c>
      <c r="Y1233" s="39">
        <f>180+20</f>
        <v>200</v>
      </c>
      <c r="Z1233" s="39"/>
      <c r="AA1233" s="39"/>
      <c r="AB1233" s="119">
        <f t="shared" si="785"/>
        <v>200</v>
      </c>
      <c r="AC1233" s="39"/>
      <c r="AD1233" s="39"/>
      <c r="AE1233" s="39"/>
      <c r="AF1233" s="39"/>
      <c r="AG1233" s="39"/>
      <c r="AH1233" s="39">
        <f t="shared" si="779"/>
        <v>0</v>
      </c>
      <c r="AI1233" s="39"/>
      <c r="AJ1233" s="39"/>
      <c r="AK1233" s="39"/>
      <c r="AL1233" s="39"/>
      <c r="AM1233" s="39"/>
      <c r="AN1233" s="39">
        <f t="shared" si="778"/>
        <v>0</v>
      </c>
      <c r="AO1233" s="39"/>
      <c r="AP1233" s="39"/>
      <c r="AQ1233" s="39"/>
      <c r="AR1233" s="39"/>
      <c r="AS1233" s="39"/>
      <c r="AT1233" s="39">
        <f t="shared" si="762"/>
        <v>0</v>
      </c>
      <c r="AU1233" s="39"/>
      <c r="AV1233" s="39"/>
      <c r="AW1233" s="39"/>
      <c r="AX1233" s="39"/>
      <c r="AY1233" s="39"/>
      <c r="AZ1233" s="39">
        <f t="shared" si="763"/>
        <v>0</v>
      </c>
      <c r="BA1233" s="39"/>
      <c r="BB1233" s="39"/>
      <c r="BC1233" s="39"/>
      <c r="BD1233" s="39"/>
      <c r="BE1233" s="39"/>
      <c r="BF1233" s="39">
        <f t="shared" si="764"/>
        <v>0</v>
      </c>
      <c r="BG1233" s="39"/>
      <c r="BH1233" s="39"/>
      <c r="BI1233" s="39"/>
      <c r="BJ1233" s="39"/>
      <c r="BK1233" s="39"/>
      <c r="BL1233" s="39">
        <f t="shared" si="780"/>
        <v>0</v>
      </c>
      <c r="BM1233" s="54" t="str">
        <f t="shared" si="765"/>
        <v/>
      </c>
      <c r="BN1233" s="58">
        <v>46266</v>
      </c>
      <c r="BO1233" s="57">
        <v>46277</v>
      </c>
      <c r="BP1233" s="36"/>
      <c r="BQ1233" s="36"/>
      <c r="BR1233" s="57">
        <v>46234</v>
      </c>
      <c r="BS1233" s="57">
        <v>46235</v>
      </c>
      <c r="BT1233" s="39" t="s">
        <v>2108</v>
      </c>
      <c r="BU1233" s="39">
        <f>180+20</f>
        <v>200</v>
      </c>
      <c r="BV1233" s="39"/>
      <c r="BW1233" s="39"/>
      <c r="BX1233" s="39"/>
      <c r="BY1233" s="39"/>
      <c r="BZ1233" s="39">
        <f t="shared" si="781"/>
        <v>200</v>
      </c>
      <c r="CA1233" s="39">
        <f t="shared" si="766"/>
        <v>10</v>
      </c>
      <c r="CB1233" s="39">
        <f t="shared" si="767"/>
        <v>0</v>
      </c>
      <c r="CC1233" s="39">
        <f t="shared" si="768"/>
        <v>0</v>
      </c>
      <c r="CD1233" s="39">
        <f t="shared" si="782"/>
        <v>0</v>
      </c>
      <c r="CE1233" s="102">
        <f t="shared" si="769"/>
        <v>0</v>
      </c>
      <c r="CF1233" s="36"/>
      <c r="CG1233" s="39" t="s">
        <v>233</v>
      </c>
      <c r="CH1233" s="39"/>
      <c r="CI1233" s="25">
        <v>1</v>
      </c>
    </row>
    <row r="1234" spans="1:87" ht="24.75" customHeight="1">
      <c r="A1234" s="36" t="s">
        <v>20</v>
      </c>
      <c r="B1234" s="29" t="s">
        <v>1778</v>
      </c>
      <c r="C1234" s="266"/>
      <c r="D1234" s="36"/>
      <c r="E1234" s="39">
        <v>180</v>
      </c>
      <c r="F1234" s="39" t="s">
        <v>58</v>
      </c>
      <c r="G1234" s="36" t="s">
        <v>530</v>
      </c>
      <c r="H1234" s="36" t="s">
        <v>87</v>
      </c>
      <c r="I1234" s="39">
        <v>190</v>
      </c>
      <c r="J1234" s="39"/>
      <c r="K1234" s="39"/>
      <c r="L1234" s="39">
        <f t="shared" si="783"/>
        <v>190</v>
      </c>
      <c r="M1234" s="57">
        <v>46254</v>
      </c>
      <c r="N1234" s="57">
        <v>46262</v>
      </c>
      <c r="O1234" s="39"/>
      <c r="P1234" s="39"/>
      <c r="Q1234" s="39"/>
      <c r="R1234" s="39">
        <f t="shared" si="795"/>
        <v>0</v>
      </c>
      <c r="S1234" s="39" t="s">
        <v>28</v>
      </c>
      <c r="T1234" s="39"/>
      <c r="U1234" s="39"/>
      <c r="V1234" s="117">
        <v>46224</v>
      </c>
      <c r="W1234" s="39">
        <v>228</v>
      </c>
      <c r="X1234" s="117">
        <v>46236</v>
      </c>
      <c r="Y1234" s="39">
        <v>201</v>
      </c>
      <c r="Z1234" s="39"/>
      <c r="AA1234" s="39"/>
      <c r="AB1234" s="119">
        <f t="shared" si="785"/>
        <v>201</v>
      </c>
      <c r="AC1234" s="39"/>
      <c r="AD1234" s="39"/>
      <c r="AE1234" s="39"/>
      <c r="AF1234" s="39"/>
      <c r="AG1234" s="39"/>
      <c r="AH1234" s="39">
        <f t="shared" si="779"/>
        <v>0</v>
      </c>
      <c r="AI1234" s="39"/>
      <c r="AJ1234" s="39"/>
      <c r="AK1234" s="39"/>
      <c r="AL1234" s="39"/>
      <c r="AM1234" s="39"/>
      <c r="AN1234" s="39">
        <f t="shared" si="778"/>
        <v>0</v>
      </c>
      <c r="AO1234" s="39"/>
      <c r="AP1234" s="39"/>
      <c r="AQ1234" s="39"/>
      <c r="AR1234" s="39"/>
      <c r="AS1234" s="39"/>
      <c r="AT1234" s="39">
        <f t="shared" si="762"/>
        <v>0</v>
      </c>
      <c r="AU1234" s="39"/>
      <c r="AV1234" s="39"/>
      <c r="AW1234" s="39"/>
      <c r="AX1234" s="39"/>
      <c r="AY1234" s="39"/>
      <c r="AZ1234" s="39">
        <f t="shared" si="763"/>
        <v>0</v>
      </c>
      <c r="BA1234" s="39"/>
      <c r="BB1234" s="39"/>
      <c r="BC1234" s="39"/>
      <c r="BD1234" s="39"/>
      <c r="BE1234" s="39"/>
      <c r="BF1234" s="39">
        <f t="shared" si="764"/>
        <v>0</v>
      </c>
      <c r="BG1234" s="39"/>
      <c r="BH1234" s="39"/>
      <c r="BI1234" s="39"/>
      <c r="BJ1234" s="39"/>
      <c r="BK1234" s="39"/>
      <c r="BL1234" s="39">
        <f t="shared" si="780"/>
        <v>0</v>
      </c>
      <c r="BM1234" s="54" t="str">
        <f t="shared" si="765"/>
        <v/>
      </c>
      <c r="BN1234" s="58">
        <v>46266</v>
      </c>
      <c r="BO1234" s="57">
        <v>46277</v>
      </c>
      <c r="BP1234" s="36"/>
      <c r="BQ1234" s="36"/>
      <c r="BR1234" s="57">
        <v>46240</v>
      </c>
      <c r="BS1234" s="57">
        <v>46240</v>
      </c>
      <c r="BT1234" s="39">
        <v>555</v>
      </c>
      <c r="BU1234" s="39">
        <v>201</v>
      </c>
      <c r="BV1234" s="39"/>
      <c r="BW1234" s="39"/>
      <c r="BX1234" s="39"/>
      <c r="BY1234" s="39"/>
      <c r="BZ1234" s="39">
        <f t="shared" si="781"/>
        <v>201</v>
      </c>
      <c r="CA1234" s="39">
        <f t="shared" si="766"/>
        <v>11</v>
      </c>
      <c r="CB1234" s="39">
        <f t="shared" si="767"/>
        <v>0</v>
      </c>
      <c r="CC1234" s="39">
        <f t="shared" si="768"/>
        <v>0</v>
      </c>
      <c r="CD1234" s="39">
        <f t="shared" si="782"/>
        <v>0</v>
      </c>
      <c r="CE1234" s="102">
        <f t="shared" si="769"/>
        <v>0</v>
      </c>
      <c r="CF1234" s="36"/>
      <c r="CG1234" s="39" t="s">
        <v>233</v>
      </c>
      <c r="CH1234" s="39"/>
      <c r="CI1234" s="25">
        <v>1</v>
      </c>
    </row>
    <row r="1235" spans="1:87" ht="24.75" customHeight="1">
      <c r="A1235" s="36" t="s">
        <v>20</v>
      </c>
      <c r="B1235" s="29" t="s">
        <v>1778</v>
      </c>
      <c r="C1235" s="254"/>
      <c r="D1235" s="36"/>
      <c r="E1235" s="39">
        <v>180</v>
      </c>
      <c r="F1235" s="39" t="s">
        <v>58</v>
      </c>
      <c r="G1235" s="36" t="s">
        <v>480</v>
      </c>
      <c r="H1235" s="36" t="s">
        <v>87</v>
      </c>
      <c r="I1235" s="39">
        <v>190</v>
      </c>
      <c r="J1235" s="39"/>
      <c r="K1235" s="39"/>
      <c r="L1235" s="39">
        <f t="shared" si="783"/>
        <v>190</v>
      </c>
      <c r="M1235" s="57">
        <v>46254</v>
      </c>
      <c r="N1235" s="57">
        <v>46262</v>
      </c>
      <c r="O1235" s="39"/>
      <c r="P1235" s="39"/>
      <c r="Q1235" s="39"/>
      <c r="R1235" s="39">
        <f t="shared" si="795"/>
        <v>0</v>
      </c>
      <c r="S1235" s="39" t="s">
        <v>28</v>
      </c>
      <c r="T1235" s="39"/>
      <c r="U1235" s="39"/>
      <c r="V1235" s="117">
        <v>46224</v>
      </c>
      <c r="W1235" s="39">
        <v>228</v>
      </c>
      <c r="X1235" s="117">
        <v>46235</v>
      </c>
      <c r="Y1235" s="39">
        <v>204</v>
      </c>
      <c r="Z1235" s="39"/>
      <c r="AA1235" s="39"/>
      <c r="AB1235" s="119">
        <f t="shared" si="785"/>
        <v>204</v>
      </c>
      <c r="AC1235" s="39"/>
      <c r="AD1235" s="39"/>
      <c r="AE1235" s="39"/>
      <c r="AF1235" s="39"/>
      <c r="AG1235" s="39"/>
      <c r="AH1235" s="39">
        <f t="shared" si="779"/>
        <v>0</v>
      </c>
      <c r="AI1235" s="39"/>
      <c r="AJ1235" s="39"/>
      <c r="AK1235" s="39"/>
      <c r="AL1235" s="39"/>
      <c r="AM1235" s="39"/>
      <c r="AN1235" s="39">
        <f t="shared" si="778"/>
        <v>0</v>
      </c>
      <c r="AO1235" s="39"/>
      <c r="AP1235" s="39"/>
      <c r="AQ1235" s="39"/>
      <c r="AR1235" s="39"/>
      <c r="AS1235" s="39"/>
      <c r="AT1235" s="39">
        <f t="shared" si="762"/>
        <v>0</v>
      </c>
      <c r="AU1235" s="39"/>
      <c r="AV1235" s="39"/>
      <c r="AW1235" s="39"/>
      <c r="AX1235" s="39"/>
      <c r="AY1235" s="39"/>
      <c r="AZ1235" s="39">
        <f t="shared" si="763"/>
        <v>0</v>
      </c>
      <c r="BA1235" s="39"/>
      <c r="BB1235" s="39"/>
      <c r="BC1235" s="39"/>
      <c r="BD1235" s="39"/>
      <c r="BE1235" s="39"/>
      <c r="BF1235" s="39">
        <f t="shared" si="764"/>
        <v>0</v>
      </c>
      <c r="BG1235" s="39"/>
      <c r="BH1235" s="39"/>
      <c r="BI1235" s="39"/>
      <c r="BJ1235" s="39"/>
      <c r="BK1235" s="39"/>
      <c r="BL1235" s="39">
        <f t="shared" si="780"/>
        <v>0</v>
      </c>
      <c r="BM1235" s="54" t="str">
        <f t="shared" si="765"/>
        <v/>
      </c>
      <c r="BN1235" s="58">
        <v>46266</v>
      </c>
      <c r="BO1235" s="57">
        <v>46277</v>
      </c>
      <c r="BP1235" s="36"/>
      <c r="BQ1235" s="36"/>
      <c r="BR1235" s="57">
        <v>46235</v>
      </c>
      <c r="BS1235" s="57">
        <v>46235</v>
      </c>
      <c r="BT1235" s="39">
        <v>1956</v>
      </c>
      <c r="BU1235" s="39">
        <v>204</v>
      </c>
      <c r="BV1235" s="39"/>
      <c r="BW1235" s="39"/>
      <c r="BX1235" s="39"/>
      <c r="BY1235" s="39"/>
      <c r="BZ1235" s="39">
        <f t="shared" si="781"/>
        <v>204</v>
      </c>
      <c r="CA1235" s="39">
        <f t="shared" si="766"/>
        <v>14</v>
      </c>
      <c r="CB1235" s="39">
        <f t="shared" si="767"/>
        <v>0</v>
      </c>
      <c r="CC1235" s="39">
        <f t="shared" si="768"/>
        <v>0</v>
      </c>
      <c r="CD1235" s="39">
        <f t="shared" si="782"/>
        <v>0</v>
      </c>
      <c r="CE1235" s="102">
        <f t="shared" si="769"/>
        <v>0</v>
      </c>
      <c r="CF1235" s="36"/>
      <c r="CG1235" s="39" t="s">
        <v>233</v>
      </c>
      <c r="CH1235" s="39"/>
      <c r="CI1235" s="25">
        <v>1</v>
      </c>
    </row>
    <row r="1236" spans="1:87" ht="24.75" customHeight="1">
      <c r="A1236" s="36" t="s">
        <v>20</v>
      </c>
      <c r="B1236" s="29" t="s">
        <v>1780</v>
      </c>
      <c r="C1236" s="253" t="s">
        <v>1781</v>
      </c>
      <c r="D1236" s="36"/>
      <c r="E1236" s="39">
        <v>180</v>
      </c>
      <c r="F1236" s="39" t="s">
        <v>55</v>
      </c>
      <c r="G1236" s="36" t="s">
        <v>23</v>
      </c>
      <c r="H1236" s="36" t="s">
        <v>87</v>
      </c>
      <c r="I1236" s="39">
        <v>1176</v>
      </c>
      <c r="J1236" s="39"/>
      <c r="K1236" s="39"/>
      <c r="L1236" s="39">
        <f t="shared" si="783"/>
        <v>1176</v>
      </c>
      <c r="M1236" s="57">
        <v>46252</v>
      </c>
      <c r="N1236" s="57">
        <v>46265</v>
      </c>
      <c r="O1236" s="39"/>
      <c r="P1236" s="39"/>
      <c r="Q1236" s="39"/>
      <c r="R1236" s="39">
        <f t="shared" si="795"/>
        <v>0</v>
      </c>
      <c r="S1236" s="39" t="s">
        <v>28</v>
      </c>
      <c r="T1236" s="39"/>
      <c r="U1236" s="39"/>
      <c r="V1236" s="117">
        <v>46228</v>
      </c>
      <c r="W1236" s="39">
        <v>1284</v>
      </c>
      <c r="X1236" s="117">
        <v>46232</v>
      </c>
      <c r="Y1236" s="39">
        <f>812+821-450</f>
        <v>1183</v>
      </c>
      <c r="Z1236" s="39"/>
      <c r="AA1236" s="39"/>
      <c r="AB1236" s="119">
        <f t="shared" si="785"/>
        <v>1183</v>
      </c>
      <c r="AC1236" s="39"/>
      <c r="AD1236" s="39"/>
      <c r="AE1236" s="39"/>
      <c r="AF1236" s="39"/>
      <c r="AG1236" s="39"/>
      <c r="AH1236" s="39">
        <f t="shared" si="779"/>
        <v>0</v>
      </c>
      <c r="AI1236" s="39"/>
      <c r="AJ1236" s="39"/>
      <c r="AK1236" s="39"/>
      <c r="AL1236" s="39"/>
      <c r="AM1236" s="39"/>
      <c r="AN1236" s="39">
        <f t="shared" si="778"/>
        <v>0</v>
      </c>
      <c r="AO1236" s="39"/>
      <c r="AP1236" s="39"/>
      <c r="AQ1236" s="39"/>
      <c r="AR1236" s="39"/>
      <c r="AS1236" s="39"/>
      <c r="AT1236" s="39">
        <f t="shared" si="762"/>
        <v>0</v>
      </c>
      <c r="AU1236" s="39"/>
      <c r="AV1236" s="39"/>
      <c r="AW1236" s="39"/>
      <c r="AX1236" s="39"/>
      <c r="AY1236" s="39"/>
      <c r="AZ1236" s="39">
        <f t="shared" si="763"/>
        <v>0</v>
      </c>
      <c r="BA1236" s="39"/>
      <c r="BB1236" s="39"/>
      <c r="BC1236" s="39"/>
      <c r="BD1236" s="39"/>
      <c r="BE1236" s="39"/>
      <c r="BF1236" s="39">
        <f t="shared" si="764"/>
        <v>0</v>
      </c>
      <c r="BG1236" s="39"/>
      <c r="BH1236" s="39"/>
      <c r="BI1236" s="39"/>
      <c r="BJ1236" s="39"/>
      <c r="BK1236" s="39"/>
      <c r="BL1236" s="39">
        <f t="shared" si="780"/>
        <v>0</v>
      </c>
      <c r="BM1236" s="54" t="str">
        <f t="shared" si="765"/>
        <v/>
      </c>
      <c r="BN1236" s="58">
        <v>46266</v>
      </c>
      <c r="BO1236" s="57">
        <v>46279</v>
      </c>
      <c r="BP1236" s="36"/>
      <c r="BQ1236" s="36"/>
      <c r="BR1236" s="57">
        <v>46232</v>
      </c>
      <c r="BS1236" s="57">
        <v>46233</v>
      </c>
      <c r="BT1236" s="39" t="s">
        <v>2052</v>
      </c>
      <c r="BU1236" s="39">
        <f>812+821-450</f>
        <v>1183</v>
      </c>
      <c r="BV1236" s="39"/>
      <c r="BW1236" s="39"/>
      <c r="BX1236" s="39"/>
      <c r="BY1236" s="39"/>
      <c r="BZ1236" s="39">
        <f t="shared" si="781"/>
        <v>1183</v>
      </c>
      <c r="CA1236" s="39">
        <f t="shared" si="766"/>
        <v>7</v>
      </c>
      <c r="CB1236" s="39">
        <f t="shared" si="767"/>
        <v>0</v>
      </c>
      <c r="CC1236" s="39">
        <f t="shared" si="768"/>
        <v>0</v>
      </c>
      <c r="CD1236" s="39">
        <f t="shared" si="782"/>
        <v>0</v>
      </c>
      <c r="CE1236" s="102">
        <f t="shared" si="769"/>
        <v>0</v>
      </c>
      <c r="CF1236" s="36"/>
      <c r="CG1236" s="39" t="s">
        <v>233</v>
      </c>
      <c r="CH1236" s="39"/>
      <c r="CI1236" s="25">
        <v>1</v>
      </c>
    </row>
    <row r="1237" spans="1:87" ht="24.75" customHeight="1">
      <c r="A1237" s="36" t="s">
        <v>20</v>
      </c>
      <c r="B1237" s="29" t="s">
        <v>1780</v>
      </c>
      <c r="C1237" s="266"/>
      <c r="D1237" s="36"/>
      <c r="E1237" s="39">
        <v>180</v>
      </c>
      <c r="F1237" s="39" t="s">
        <v>55</v>
      </c>
      <c r="G1237" s="36" t="s">
        <v>23</v>
      </c>
      <c r="H1237" s="36" t="s">
        <v>87</v>
      </c>
      <c r="I1237" s="39">
        <v>445</v>
      </c>
      <c r="J1237" s="39"/>
      <c r="K1237" s="39"/>
      <c r="L1237" s="39">
        <f t="shared" si="783"/>
        <v>445</v>
      </c>
      <c r="M1237" s="57">
        <v>46252</v>
      </c>
      <c r="N1237" s="57">
        <v>46265</v>
      </c>
      <c r="O1237" s="39"/>
      <c r="P1237" s="39"/>
      <c r="Q1237" s="39"/>
      <c r="R1237" s="39">
        <f t="shared" si="795"/>
        <v>0</v>
      </c>
      <c r="S1237" s="39" t="s">
        <v>28</v>
      </c>
      <c r="T1237" s="39"/>
      <c r="U1237" s="39"/>
      <c r="V1237" s="117">
        <v>46228</v>
      </c>
      <c r="W1237" s="39">
        <v>500</v>
      </c>
      <c r="X1237" s="117">
        <v>46232</v>
      </c>
      <c r="Y1237" s="39">
        <v>450</v>
      </c>
      <c r="Z1237" s="39"/>
      <c r="AA1237" s="39"/>
      <c r="AB1237" s="119">
        <f t="shared" si="785"/>
        <v>450</v>
      </c>
      <c r="AC1237" s="39"/>
      <c r="AD1237" s="39"/>
      <c r="AE1237" s="39"/>
      <c r="AF1237" s="39"/>
      <c r="AG1237" s="39"/>
      <c r="AH1237" s="39">
        <f t="shared" si="779"/>
        <v>0</v>
      </c>
      <c r="AI1237" s="39"/>
      <c r="AJ1237" s="39"/>
      <c r="AK1237" s="39"/>
      <c r="AL1237" s="39"/>
      <c r="AM1237" s="39"/>
      <c r="AN1237" s="39">
        <f t="shared" si="778"/>
        <v>0</v>
      </c>
      <c r="AO1237" s="39"/>
      <c r="AP1237" s="39"/>
      <c r="AQ1237" s="39"/>
      <c r="AR1237" s="39"/>
      <c r="AS1237" s="39"/>
      <c r="AT1237" s="39">
        <f t="shared" si="762"/>
        <v>0</v>
      </c>
      <c r="AU1237" s="39"/>
      <c r="AV1237" s="39"/>
      <c r="AW1237" s="39"/>
      <c r="AX1237" s="39"/>
      <c r="AY1237" s="39"/>
      <c r="AZ1237" s="39">
        <f t="shared" si="763"/>
        <v>0</v>
      </c>
      <c r="BA1237" s="39"/>
      <c r="BB1237" s="39"/>
      <c r="BC1237" s="39"/>
      <c r="BD1237" s="39"/>
      <c r="BE1237" s="39"/>
      <c r="BF1237" s="39">
        <f t="shared" si="764"/>
        <v>0</v>
      </c>
      <c r="BG1237" s="39"/>
      <c r="BH1237" s="39"/>
      <c r="BI1237" s="39"/>
      <c r="BJ1237" s="39"/>
      <c r="BK1237" s="39"/>
      <c r="BL1237" s="39">
        <f t="shared" si="780"/>
        <v>0</v>
      </c>
      <c r="BM1237" s="54" t="str">
        <f t="shared" si="765"/>
        <v/>
      </c>
      <c r="BN1237" s="58">
        <v>46266</v>
      </c>
      <c r="BO1237" s="57">
        <v>46279</v>
      </c>
      <c r="BP1237" s="36"/>
      <c r="BQ1237" s="36"/>
      <c r="BR1237" s="57">
        <v>46233</v>
      </c>
      <c r="BS1237" s="57">
        <v>46233</v>
      </c>
      <c r="BT1237" s="39">
        <v>1953</v>
      </c>
      <c r="BU1237" s="39">
        <v>450</v>
      </c>
      <c r="BV1237" s="39"/>
      <c r="BW1237" s="39"/>
      <c r="BX1237" s="39"/>
      <c r="BY1237" s="39"/>
      <c r="BZ1237" s="39">
        <f t="shared" si="781"/>
        <v>450</v>
      </c>
      <c r="CA1237" s="39">
        <f t="shared" si="766"/>
        <v>5</v>
      </c>
      <c r="CB1237" s="39">
        <f t="shared" si="767"/>
        <v>0</v>
      </c>
      <c r="CC1237" s="39">
        <f t="shared" si="768"/>
        <v>0</v>
      </c>
      <c r="CD1237" s="39">
        <f t="shared" si="782"/>
        <v>0</v>
      </c>
      <c r="CE1237" s="102">
        <f t="shared" si="769"/>
        <v>0</v>
      </c>
      <c r="CF1237" s="36"/>
      <c r="CG1237" s="39" t="s">
        <v>233</v>
      </c>
      <c r="CH1237" s="39"/>
      <c r="CI1237" s="25">
        <v>1</v>
      </c>
    </row>
    <row r="1238" spans="1:87" ht="24.75" customHeight="1">
      <c r="A1238" s="36" t="s">
        <v>20</v>
      </c>
      <c r="B1238" s="29" t="s">
        <v>1780</v>
      </c>
      <c r="C1238" s="254"/>
      <c r="D1238" s="36"/>
      <c r="E1238" s="39">
        <v>180</v>
      </c>
      <c r="F1238" s="39" t="s">
        <v>55</v>
      </c>
      <c r="G1238" s="36" t="s">
        <v>21</v>
      </c>
      <c r="H1238" s="36" t="s">
        <v>87</v>
      </c>
      <c r="I1238" s="39">
        <v>445</v>
      </c>
      <c r="J1238" s="39"/>
      <c r="K1238" s="39"/>
      <c r="L1238" s="39">
        <f t="shared" si="783"/>
        <v>445</v>
      </c>
      <c r="M1238" s="57">
        <v>46252</v>
      </c>
      <c r="N1238" s="57">
        <v>46265</v>
      </c>
      <c r="O1238" s="39"/>
      <c r="P1238" s="39"/>
      <c r="Q1238" s="39"/>
      <c r="R1238" s="39">
        <f t="shared" si="795"/>
        <v>0</v>
      </c>
      <c r="S1238" s="39" t="s">
        <v>130</v>
      </c>
      <c r="T1238" s="39">
        <v>108104</v>
      </c>
      <c r="U1238" s="117">
        <v>46229</v>
      </c>
      <c r="V1238" s="39"/>
      <c r="W1238" s="39"/>
      <c r="X1238" s="39"/>
      <c r="Y1238" s="39">
        <v>512</v>
      </c>
      <c r="Z1238" s="39"/>
      <c r="AA1238" s="39"/>
      <c r="AB1238" s="119">
        <f t="shared" si="785"/>
        <v>512</v>
      </c>
      <c r="AC1238" s="39"/>
      <c r="AD1238" s="39"/>
      <c r="AE1238" s="39"/>
      <c r="AF1238" s="39"/>
      <c r="AG1238" s="39"/>
      <c r="AH1238" s="39">
        <f t="shared" si="779"/>
        <v>0</v>
      </c>
      <c r="AI1238" s="39"/>
      <c r="AJ1238" s="39"/>
      <c r="AK1238" s="39"/>
      <c r="AL1238" s="39"/>
      <c r="AM1238" s="39"/>
      <c r="AN1238" s="39">
        <f t="shared" si="778"/>
        <v>0</v>
      </c>
      <c r="AO1238" s="39"/>
      <c r="AP1238" s="39"/>
      <c r="AQ1238" s="39"/>
      <c r="AR1238" s="39"/>
      <c r="AS1238" s="39"/>
      <c r="AT1238" s="39">
        <f t="shared" si="762"/>
        <v>0</v>
      </c>
      <c r="AU1238" s="39"/>
      <c r="AV1238" s="39"/>
      <c r="AW1238" s="39"/>
      <c r="AX1238" s="39"/>
      <c r="AY1238" s="39"/>
      <c r="AZ1238" s="39">
        <f t="shared" si="763"/>
        <v>0</v>
      </c>
      <c r="BA1238" s="39"/>
      <c r="BB1238" s="39"/>
      <c r="BC1238" s="39"/>
      <c r="BD1238" s="39"/>
      <c r="BE1238" s="39"/>
      <c r="BF1238" s="39">
        <f t="shared" si="764"/>
        <v>0</v>
      </c>
      <c r="BG1238" s="39" t="s">
        <v>28</v>
      </c>
      <c r="BH1238" s="117">
        <v>46230</v>
      </c>
      <c r="BI1238" s="39">
        <v>487</v>
      </c>
      <c r="BJ1238" s="117">
        <v>46232</v>
      </c>
      <c r="BK1238" s="39">
        <v>460</v>
      </c>
      <c r="BL1238" s="39">
        <f t="shared" si="780"/>
        <v>-27</v>
      </c>
      <c r="BM1238" s="54" t="str">
        <f t="shared" si="765"/>
        <v/>
      </c>
      <c r="BN1238" s="58">
        <v>46266</v>
      </c>
      <c r="BO1238" s="57">
        <v>46279</v>
      </c>
      <c r="BP1238" s="36"/>
      <c r="BQ1238" s="36"/>
      <c r="BR1238" s="57">
        <v>46233</v>
      </c>
      <c r="BS1238" s="57">
        <v>46233</v>
      </c>
      <c r="BT1238" s="39">
        <v>1954</v>
      </c>
      <c r="BU1238" s="39">
        <v>460</v>
      </c>
      <c r="BV1238" s="39"/>
      <c r="BW1238" s="39"/>
      <c r="BX1238" s="39"/>
      <c r="BY1238" s="39"/>
      <c r="BZ1238" s="39">
        <f t="shared" si="781"/>
        <v>460</v>
      </c>
      <c r="CA1238" s="39">
        <f t="shared" si="766"/>
        <v>15</v>
      </c>
      <c r="CB1238" s="39">
        <f t="shared" si="767"/>
        <v>0</v>
      </c>
      <c r="CC1238" s="39">
        <f t="shared" si="768"/>
        <v>0</v>
      </c>
      <c r="CD1238" s="39">
        <f t="shared" si="782"/>
        <v>0</v>
      </c>
      <c r="CE1238" s="102">
        <f t="shared" si="769"/>
        <v>0</v>
      </c>
      <c r="CF1238" s="36"/>
      <c r="CG1238" s="39" t="s">
        <v>233</v>
      </c>
      <c r="CH1238" s="39"/>
      <c r="CI1238" s="25">
        <v>1</v>
      </c>
    </row>
    <row r="1239" spans="1:87" ht="24.75" customHeight="1">
      <c r="A1239" s="36" t="s">
        <v>20</v>
      </c>
      <c r="B1239" s="29" t="s">
        <v>1782</v>
      </c>
      <c r="C1239" s="253" t="s">
        <v>1783</v>
      </c>
      <c r="D1239" s="36"/>
      <c r="E1239" s="39">
        <v>180</v>
      </c>
      <c r="F1239" s="39" t="s">
        <v>58</v>
      </c>
      <c r="G1239" s="36" t="s">
        <v>23</v>
      </c>
      <c r="H1239" s="36" t="s">
        <v>87</v>
      </c>
      <c r="I1239" s="39">
        <v>246</v>
      </c>
      <c r="J1239" s="39"/>
      <c r="K1239" s="39"/>
      <c r="L1239" s="39">
        <f t="shared" ref="L1239:L1243" si="801">SUM(I1239:K1239)</f>
        <v>246</v>
      </c>
      <c r="M1239" s="57">
        <v>46254</v>
      </c>
      <c r="N1239" s="57">
        <v>46263</v>
      </c>
      <c r="O1239" s="39"/>
      <c r="P1239" s="39"/>
      <c r="Q1239" s="39"/>
      <c r="R1239" s="39">
        <f t="shared" si="795"/>
        <v>0</v>
      </c>
      <c r="S1239" s="39" t="s">
        <v>28</v>
      </c>
      <c r="T1239" s="39"/>
      <c r="U1239" s="39"/>
      <c r="V1239" s="117">
        <v>46228</v>
      </c>
      <c r="W1239" s="39">
        <v>276</v>
      </c>
      <c r="X1239" s="117">
        <v>46233</v>
      </c>
      <c r="Y1239" s="39">
        <v>248</v>
      </c>
      <c r="Z1239" s="39"/>
      <c r="AA1239" s="39"/>
      <c r="AB1239" s="119">
        <f t="shared" si="785"/>
        <v>248</v>
      </c>
      <c r="AC1239" s="39"/>
      <c r="AD1239" s="39"/>
      <c r="AE1239" s="39"/>
      <c r="AF1239" s="39"/>
      <c r="AG1239" s="39"/>
      <c r="AH1239" s="39">
        <f t="shared" si="779"/>
        <v>0</v>
      </c>
      <c r="AI1239" s="39"/>
      <c r="AJ1239" s="39"/>
      <c r="AK1239" s="39"/>
      <c r="AL1239" s="39"/>
      <c r="AM1239" s="39"/>
      <c r="AN1239" s="39">
        <f t="shared" si="778"/>
        <v>0</v>
      </c>
      <c r="AO1239" s="39"/>
      <c r="AP1239" s="39"/>
      <c r="AQ1239" s="39"/>
      <c r="AR1239" s="39"/>
      <c r="AS1239" s="39"/>
      <c r="AT1239" s="39">
        <f t="shared" si="762"/>
        <v>0</v>
      </c>
      <c r="AU1239" s="39"/>
      <c r="AV1239" s="39"/>
      <c r="AW1239" s="39"/>
      <c r="AX1239" s="39"/>
      <c r="AY1239" s="39"/>
      <c r="AZ1239" s="39">
        <f t="shared" si="763"/>
        <v>0</v>
      </c>
      <c r="BA1239" s="39"/>
      <c r="BB1239" s="39"/>
      <c r="BC1239" s="39"/>
      <c r="BD1239" s="39"/>
      <c r="BE1239" s="39"/>
      <c r="BF1239" s="39">
        <f t="shared" si="764"/>
        <v>0</v>
      </c>
      <c r="BG1239" s="39"/>
      <c r="BH1239" s="39"/>
      <c r="BI1239" s="39"/>
      <c r="BJ1239" s="39"/>
      <c r="BK1239" s="39"/>
      <c r="BL1239" s="39">
        <f t="shared" si="780"/>
        <v>0</v>
      </c>
      <c r="BM1239" s="54" t="str">
        <f t="shared" si="765"/>
        <v/>
      </c>
      <c r="BN1239" s="58">
        <v>46266</v>
      </c>
      <c r="BO1239" s="57">
        <v>46277</v>
      </c>
      <c r="BP1239" s="36"/>
      <c r="BQ1239" s="36"/>
      <c r="BR1239" s="57">
        <v>46234</v>
      </c>
      <c r="BS1239" s="57">
        <v>46234</v>
      </c>
      <c r="BT1239" s="39">
        <v>1795</v>
      </c>
      <c r="BU1239" s="39">
        <v>248</v>
      </c>
      <c r="BV1239" s="39"/>
      <c r="BW1239" s="39"/>
      <c r="BX1239" s="39"/>
      <c r="BY1239" s="39"/>
      <c r="BZ1239" s="39">
        <f t="shared" si="781"/>
        <v>248</v>
      </c>
      <c r="CA1239" s="39">
        <f t="shared" si="766"/>
        <v>2</v>
      </c>
      <c r="CB1239" s="39">
        <f t="shared" si="767"/>
        <v>0</v>
      </c>
      <c r="CC1239" s="39">
        <f t="shared" si="768"/>
        <v>0</v>
      </c>
      <c r="CD1239" s="39">
        <f t="shared" si="782"/>
        <v>0</v>
      </c>
      <c r="CE1239" s="102">
        <f t="shared" si="769"/>
        <v>0</v>
      </c>
      <c r="CF1239" s="36"/>
      <c r="CG1239" s="39" t="s">
        <v>233</v>
      </c>
      <c r="CH1239" s="39"/>
      <c r="CI1239" s="25">
        <v>1</v>
      </c>
    </row>
    <row r="1240" spans="1:87" ht="24.75" customHeight="1">
      <c r="A1240" s="36" t="s">
        <v>20</v>
      </c>
      <c r="B1240" s="29" t="s">
        <v>1782</v>
      </c>
      <c r="C1240" s="254"/>
      <c r="D1240" s="36"/>
      <c r="E1240" s="39">
        <v>180</v>
      </c>
      <c r="F1240" s="39" t="s">
        <v>58</v>
      </c>
      <c r="G1240" s="36" t="s">
        <v>21</v>
      </c>
      <c r="H1240" s="36" t="s">
        <v>87</v>
      </c>
      <c r="I1240" s="39">
        <v>440</v>
      </c>
      <c r="J1240" s="39"/>
      <c r="K1240" s="39"/>
      <c r="L1240" s="39">
        <f t="shared" si="801"/>
        <v>440</v>
      </c>
      <c r="M1240" s="57">
        <v>46254</v>
      </c>
      <c r="N1240" s="57">
        <v>46263</v>
      </c>
      <c r="O1240" s="39"/>
      <c r="P1240" s="39"/>
      <c r="Q1240" s="39"/>
      <c r="R1240" s="39">
        <f t="shared" ref="R1240" si="802">SUM(O1240:Q1240)</f>
        <v>0</v>
      </c>
      <c r="S1240" s="39" t="s">
        <v>130</v>
      </c>
      <c r="T1240" s="39">
        <v>108026</v>
      </c>
      <c r="U1240" s="117">
        <v>46226</v>
      </c>
      <c r="V1240" s="39"/>
      <c r="W1240" s="39"/>
      <c r="X1240" s="39"/>
      <c r="Y1240" s="39">
        <v>506</v>
      </c>
      <c r="Z1240" s="39"/>
      <c r="AA1240" s="39"/>
      <c r="AB1240" s="119">
        <f t="shared" ref="AB1240" si="803">SUM(Y1240:AA1240)</f>
        <v>506</v>
      </c>
      <c r="AC1240" s="39"/>
      <c r="AD1240" s="39"/>
      <c r="AE1240" s="39"/>
      <c r="AF1240" s="39"/>
      <c r="AG1240" s="39"/>
      <c r="AH1240" s="39">
        <f t="shared" si="779"/>
        <v>0</v>
      </c>
      <c r="AI1240" s="39"/>
      <c r="AJ1240" s="39"/>
      <c r="AK1240" s="39"/>
      <c r="AL1240" s="39"/>
      <c r="AM1240" s="39"/>
      <c r="AN1240" s="39">
        <f t="shared" si="778"/>
        <v>0</v>
      </c>
      <c r="AO1240" s="39"/>
      <c r="AP1240" s="39"/>
      <c r="AQ1240" s="39"/>
      <c r="AR1240" s="39"/>
      <c r="AS1240" s="39"/>
      <c r="AT1240" s="39">
        <f t="shared" si="762"/>
        <v>0</v>
      </c>
      <c r="AU1240" s="39"/>
      <c r="AV1240" s="39"/>
      <c r="AW1240" s="39"/>
      <c r="AX1240" s="39"/>
      <c r="AY1240" s="39"/>
      <c r="AZ1240" s="39">
        <f t="shared" si="763"/>
        <v>0</v>
      </c>
      <c r="BA1240" s="39"/>
      <c r="BB1240" s="39"/>
      <c r="BC1240" s="39"/>
      <c r="BD1240" s="39"/>
      <c r="BE1240" s="39"/>
      <c r="BF1240" s="39">
        <f t="shared" si="764"/>
        <v>0</v>
      </c>
      <c r="BG1240" s="39"/>
      <c r="BH1240" s="39"/>
      <c r="BI1240" s="39"/>
      <c r="BJ1240" s="39"/>
      <c r="BK1240" s="39"/>
      <c r="BL1240" s="39">
        <f t="shared" si="780"/>
        <v>0</v>
      </c>
      <c r="BM1240" s="54" t="str">
        <f t="shared" si="765"/>
        <v/>
      </c>
      <c r="BN1240" s="58">
        <v>46266</v>
      </c>
      <c r="BO1240" s="57">
        <v>46277</v>
      </c>
      <c r="BP1240" s="36"/>
      <c r="BQ1240" s="36"/>
      <c r="BR1240" s="57">
        <v>46228</v>
      </c>
      <c r="BS1240" s="57">
        <v>46228</v>
      </c>
      <c r="BT1240" s="39">
        <v>1842</v>
      </c>
      <c r="BU1240" s="39">
        <v>471</v>
      </c>
      <c r="BV1240" s="39"/>
      <c r="BW1240" s="39"/>
      <c r="BX1240" s="39"/>
      <c r="BY1240" s="39"/>
      <c r="BZ1240" s="39">
        <f t="shared" si="781"/>
        <v>471</v>
      </c>
      <c r="CA1240" s="39">
        <f t="shared" si="766"/>
        <v>31</v>
      </c>
      <c r="CB1240" s="39">
        <f t="shared" si="767"/>
        <v>0</v>
      </c>
      <c r="CC1240" s="39">
        <f t="shared" si="768"/>
        <v>0</v>
      </c>
      <c r="CD1240" s="39">
        <f t="shared" si="782"/>
        <v>0</v>
      </c>
      <c r="CE1240" s="102">
        <f t="shared" si="769"/>
        <v>0</v>
      </c>
      <c r="CF1240" s="36"/>
      <c r="CG1240" s="39" t="s">
        <v>233</v>
      </c>
      <c r="CH1240" s="39"/>
      <c r="CI1240" s="25">
        <v>1</v>
      </c>
    </row>
    <row r="1241" spans="1:87" ht="24.75" customHeight="1">
      <c r="A1241" s="36" t="s">
        <v>20</v>
      </c>
      <c r="B1241" s="29" t="s">
        <v>1784</v>
      </c>
      <c r="C1241" s="253" t="s">
        <v>1785</v>
      </c>
      <c r="D1241" s="36"/>
      <c r="E1241" s="39">
        <v>220</v>
      </c>
      <c r="F1241" s="39" t="s">
        <v>55</v>
      </c>
      <c r="G1241" s="36" t="s">
        <v>517</v>
      </c>
      <c r="H1241" s="36" t="s">
        <v>209</v>
      </c>
      <c r="I1241" s="39">
        <v>220</v>
      </c>
      <c r="J1241" s="39"/>
      <c r="K1241" s="39"/>
      <c r="L1241" s="39">
        <f t="shared" si="801"/>
        <v>220</v>
      </c>
      <c r="M1241" s="57">
        <v>46254</v>
      </c>
      <c r="N1241" s="57">
        <v>46262</v>
      </c>
      <c r="O1241" s="39"/>
      <c r="P1241" s="39"/>
      <c r="Q1241" s="39"/>
      <c r="R1241" s="39">
        <f t="shared" ref="R1241:R1256" si="804">SUM(O1241:Q1241)</f>
        <v>0</v>
      </c>
      <c r="S1241" s="39" t="s">
        <v>130</v>
      </c>
      <c r="T1241" s="39">
        <v>109191</v>
      </c>
      <c r="U1241" s="117">
        <v>46274</v>
      </c>
      <c r="V1241" s="39"/>
      <c r="W1241" s="39"/>
      <c r="X1241" s="39"/>
      <c r="Y1241" s="39">
        <v>252</v>
      </c>
      <c r="Z1241" s="39"/>
      <c r="AA1241" s="39"/>
      <c r="AB1241" s="119">
        <f t="shared" ref="AB1241:AB1256" si="805">SUM(Y1241:AA1241)</f>
        <v>252</v>
      </c>
      <c r="AC1241" s="39"/>
      <c r="AD1241" s="39"/>
      <c r="AE1241" s="39"/>
      <c r="AF1241" s="39"/>
      <c r="AG1241" s="39"/>
      <c r="AH1241" s="39">
        <f t="shared" si="779"/>
        <v>0</v>
      </c>
      <c r="AI1241" s="39"/>
      <c r="AJ1241" s="39"/>
      <c r="AK1241" s="39"/>
      <c r="AL1241" s="39"/>
      <c r="AM1241" s="39"/>
      <c r="AN1241" s="39">
        <f t="shared" si="778"/>
        <v>0</v>
      </c>
      <c r="AO1241" s="39"/>
      <c r="AP1241" s="39"/>
      <c r="AQ1241" s="39"/>
      <c r="AR1241" s="39"/>
      <c r="AS1241" s="39"/>
      <c r="AT1241" s="39">
        <f t="shared" si="762"/>
        <v>0</v>
      </c>
      <c r="AU1241" s="39"/>
      <c r="AV1241" s="39"/>
      <c r="AW1241" s="39"/>
      <c r="AX1241" s="39"/>
      <c r="AY1241" s="39"/>
      <c r="AZ1241" s="39">
        <f t="shared" si="763"/>
        <v>0</v>
      </c>
      <c r="BA1241" s="39"/>
      <c r="BB1241" s="39"/>
      <c r="BC1241" s="39"/>
      <c r="BD1241" s="39"/>
      <c r="BE1241" s="39"/>
      <c r="BF1241" s="39">
        <f t="shared" si="764"/>
        <v>0</v>
      </c>
      <c r="BG1241" s="39"/>
      <c r="BH1241" s="39"/>
      <c r="BI1241" s="39"/>
      <c r="BJ1241" s="39"/>
      <c r="BK1241" s="39"/>
      <c r="BL1241" s="39">
        <f t="shared" si="780"/>
        <v>0</v>
      </c>
      <c r="BM1241" s="54" t="str">
        <f t="shared" si="765"/>
        <v/>
      </c>
      <c r="BN1241" s="58">
        <v>46266</v>
      </c>
      <c r="BO1241" s="57">
        <v>46277</v>
      </c>
      <c r="BP1241" s="36"/>
      <c r="BQ1241" s="36"/>
      <c r="BR1241" s="57">
        <v>46279</v>
      </c>
      <c r="BS1241" s="57">
        <v>46279</v>
      </c>
      <c r="BT1241" s="39">
        <v>794</v>
      </c>
      <c r="BU1241" s="39">
        <v>226</v>
      </c>
      <c r="BV1241" s="39"/>
      <c r="BW1241" s="39"/>
      <c r="BX1241" s="39"/>
      <c r="BY1241" s="39"/>
      <c r="BZ1241" s="39">
        <f t="shared" si="781"/>
        <v>226</v>
      </c>
      <c r="CA1241" s="39">
        <f t="shared" si="766"/>
        <v>6</v>
      </c>
      <c r="CB1241" s="39">
        <f t="shared" si="767"/>
        <v>0</v>
      </c>
      <c r="CC1241" s="39">
        <f t="shared" si="768"/>
        <v>0</v>
      </c>
      <c r="CD1241" s="39">
        <f t="shared" si="782"/>
        <v>0</v>
      </c>
      <c r="CE1241" s="102">
        <f t="shared" si="769"/>
        <v>0</v>
      </c>
      <c r="CF1241" s="36"/>
      <c r="CG1241" s="39" t="s">
        <v>233</v>
      </c>
      <c r="CH1241" s="39"/>
      <c r="CI1241" s="25">
        <v>1</v>
      </c>
    </row>
    <row r="1242" spans="1:87" ht="24.75" customHeight="1">
      <c r="A1242" s="36" t="s">
        <v>20</v>
      </c>
      <c r="B1242" s="29" t="s">
        <v>1784</v>
      </c>
      <c r="C1242" s="266"/>
      <c r="D1242" s="36"/>
      <c r="E1242" s="39">
        <v>220</v>
      </c>
      <c r="F1242" s="39" t="s">
        <v>55</v>
      </c>
      <c r="G1242" s="36" t="s">
        <v>1786</v>
      </c>
      <c r="H1242" s="36" t="s">
        <v>209</v>
      </c>
      <c r="I1242" s="39">
        <v>220</v>
      </c>
      <c r="J1242" s="39"/>
      <c r="K1242" s="39"/>
      <c r="L1242" s="39">
        <f t="shared" si="801"/>
        <v>220</v>
      </c>
      <c r="M1242" s="57">
        <v>46254</v>
      </c>
      <c r="N1242" s="57">
        <v>46262</v>
      </c>
      <c r="O1242" s="39"/>
      <c r="P1242" s="39"/>
      <c r="Q1242" s="39"/>
      <c r="R1242" s="39">
        <f t="shared" si="804"/>
        <v>0</v>
      </c>
      <c r="S1242" s="39" t="s">
        <v>130</v>
      </c>
      <c r="T1242" s="39">
        <v>109245</v>
      </c>
      <c r="U1242" s="117">
        <v>46274</v>
      </c>
      <c r="V1242" s="39"/>
      <c r="W1242" s="39"/>
      <c r="X1242" s="39"/>
      <c r="Y1242" s="39">
        <v>250</v>
      </c>
      <c r="Z1242" s="39"/>
      <c r="AA1242" s="39"/>
      <c r="AB1242" s="119">
        <f t="shared" si="805"/>
        <v>250</v>
      </c>
      <c r="AC1242" s="39"/>
      <c r="AD1242" s="39"/>
      <c r="AE1242" s="39"/>
      <c r="AF1242" s="39"/>
      <c r="AG1242" s="39"/>
      <c r="AH1242" s="39">
        <f t="shared" si="779"/>
        <v>0</v>
      </c>
      <c r="AI1242" s="39"/>
      <c r="AJ1242" s="39"/>
      <c r="AK1242" s="39"/>
      <c r="AL1242" s="39"/>
      <c r="AM1242" s="39"/>
      <c r="AN1242" s="39">
        <f t="shared" si="778"/>
        <v>0</v>
      </c>
      <c r="AO1242" s="39"/>
      <c r="AP1242" s="39"/>
      <c r="AQ1242" s="39"/>
      <c r="AR1242" s="39"/>
      <c r="AS1242" s="39"/>
      <c r="AT1242" s="39">
        <f t="shared" si="762"/>
        <v>0</v>
      </c>
      <c r="AU1242" s="39"/>
      <c r="AV1242" s="39"/>
      <c r="AW1242" s="39"/>
      <c r="AX1242" s="39"/>
      <c r="AY1242" s="39"/>
      <c r="AZ1242" s="39">
        <f t="shared" si="763"/>
        <v>0</v>
      </c>
      <c r="BA1242" s="39"/>
      <c r="BB1242" s="39"/>
      <c r="BC1242" s="39"/>
      <c r="BD1242" s="39"/>
      <c r="BE1242" s="39"/>
      <c r="BF1242" s="39">
        <f t="shared" si="764"/>
        <v>0</v>
      </c>
      <c r="BG1242" s="39"/>
      <c r="BH1242" s="39"/>
      <c r="BI1242" s="39"/>
      <c r="BJ1242" s="39"/>
      <c r="BK1242" s="39"/>
      <c r="BL1242" s="39">
        <f t="shared" si="780"/>
        <v>0</v>
      </c>
      <c r="BM1242" s="54" t="str">
        <f t="shared" si="765"/>
        <v/>
      </c>
      <c r="BN1242" s="58">
        <v>46266</v>
      </c>
      <c r="BO1242" s="57">
        <v>46277</v>
      </c>
      <c r="BP1242" s="36"/>
      <c r="BQ1242" s="36"/>
      <c r="BR1242" s="57">
        <v>46279</v>
      </c>
      <c r="BS1242" s="57">
        <v>46279</v>
      </c>
      <c r="BT1242" s="39">
        <v>794</v>
      </c>
      <c r="BU1242" s="39">
        <v>222</v>
      </c>
      <c r="BV1242" s="39"/>
      <c r="BW1242" s="39"/>
      <c r="BX1242" s="39"/>
      <c r="BY1242" s="39"/>
      <c r="BZ1242" s="39">
        <f t="shared" si="781"/>
        <v>222</v>
      </c>
      <c r="CA1242" s="39">
        <f t="shared" si="766"/>
        <v>2</v>
      </c>
      <c r="CB1242" s="39">
        <f t="shared" si="767"/>
        <v>0</v>
      </c>
      <c r="CC1242" s="39">
        <f t="shared" si="768"/>
        <v>0</v>
      </c>
      <c r="CD1242" s="39">
        <f t="shared" si="782"/>
        <v>0</v>
      </c>
      <c r="CE1242" s="102">
        <f t="shared" si="769"/>
        <v>0</v>
      </c>
      <c r="CF1242" s="36"/>
      <c r="CG1242" s="39" t="s">
        <v>233</v>
      </c>
      <c r="CH1242" s="39"/>
      <c r="CI1242" s="25">
        <v>1</v>
      </c>
    </row>
    <row r="1243" spans="1:87" ht="24.75" customHeight="1">
      <c r="A1243" s="36" t="s">
        <v>20</v>
      </c>
      <c r="B1243" s="29" t="s">
        <v>1784</v>
      </c>
      <c r="C1243" s="254"/>
      <c r="D1243" s="36"/>
      <c r="E1243" s="39">
        <v>220</v>
      </c>
      <c r="F1243" s="39" t="s">
        <v>55</v>
      </c>
      <c r="G1243" s="36" t="s">
        <v>23</v>
      </c>
      <c r="H1243" s="36" t="s">
        <v>209</v>
      </c>
      <c r="I1243" s="39">
        <v>220</v>
      </c>
      <c r="J1243" s="39"/>
      <c r="K1243" s="39"/>
      <c r="L1243" s="39">
        <f t="shared" si="801"/>
        <v>220</v>
      </c>
      <c r="M1243" s="57">
        <v>46254</v>
      </c>
      <c r="N1243" s="57">
        <v>46262</v>
      </c>
      <c r="O1243" s="39"/>
      <c r="P1243" s="39"/>
      <c r="Q1243" s="39"/>
      <c r="R1243" s="39">
        <f t="shared" si="804"/>
        <v>0</v>
      </c>
      <c r="S1243" s="39" t="s">
        <v>130</v>
      </c>
      <c r="T1243" s="39">
        <v>109357</v>
      </c>
      <c r="U1243" s="117">
        <v>46277</v>
      </c>
      <c r="V1243" s="39"/>
      <c r="W1243" s="39"/>
      <c r="X1243" s="39"/>
      <c r="Y1243" s="39">
        <v>246</v>
      </c>
      <c r="Z1243" s="39"/>
      <c r="AA1243" s="39"/>
      <c r="AB1243" s="119">
        <f t="shared" si="805"/>
        <v>246</v>
      </c>
      <c r="AC1243" s="39"/>
      <c r="AD1243" s="39"/>
      <c r="AE1243" s="39"/>
      <c r="AF1243" s="39"/>
      <c r="AG1243" s="39"/>
      <c r="AH1243" s="39">
        <f t="shared" si="779"/>
        <v>0</v>
      </c>
      <c r="AI1243" s="39"/>
      <c r="AJ1243" s="39"/>
      <c r="AK1243" s="39"/>
      <c r="AL1243" s="39"/>
      <c r="AM1243" s="39"/>
      <c r="AN1243" s="39">
        <f t="shared" si="778"/>
        <v>0</v>
      </c>
      <c r="AO1243" s="39"/>
      <c r="AP1243" s="39"/>
      <c r="AQ1243" s="39"/>
      <c r="AR1243" s="39"/>
      <c r="AS1243" s="39"/>
      <c r="AT1243" s="39">
        <f t="shared" si="762"/>
        <v>0</v>
      </c>
      <c r="AU1243" s="39"/>
      <c r="AV1243" s="39"/>
      <c r="AW1243" s="39"/>
      <c r="AX1243" s="39"/>
      <c r="AY1243" s="39"/>
      <c r="AZ1243" s="39">
        <f t="shared" si="763"/>
        <v>0</v>
      </c>
      <c r="BA1243" s="39"/>
      <c r="BB1243" s="39"/>
      <c r="BC1243" s="39"/>
      <c r="BD1243" s="39"/>
      <c r="BE1243" s="39"/>
      <c r="BF1243" s="39">
        <f t="shared" si="764"/>
        <v>0</v>
      </c>
      <c r="BG1243" s="39"/>
      <c r="BH1243" s="39"/>
      <c r="BI1243" s="39"/>
      <c r="BJ1243" s="39"/>
      <c r="BK1243" s="39"/>
      <c r="BL1243" s="39">
        <f t="shared" si="780"/>
        <v>0</v>
      </c>
      <c r="BM1243" s="54" t="str">
        <f t="shared" si="765"/>
        <v/>
      </c>
      <c r="BN1243" s="58">
        <v>46266</v>
      </c>
      <c r="BO1243" s="57">
        <v>46277</v>
      </c>
      <c r="BP1243" s="36"/>
      <c r="BQ1243" s="36"/>
      <c r="BR1243" s="57">
        <v>46280</v>
      </c>
      <c r="BS1243" s="36"/>
      <c r="BT1243" s="39">
        <v>902</v>
      </c>
      <c r="BU1243" s="39">
        <v>237</v>
      </c>
      <c r="BV1243" s="39"/>
      <c r="BW1243" s="39"/>
      <c r="BX1243" s="39"/>
      <c r="BY1243" s="39"/>
      <c r="BZ1243" s="39">
        <f t="shared" si="781"/>
        <v>237</v>
      </c>
      <c r="CA1243" s="39">
        <f t="shared" si="766"/>
        <v>17</v>
      </c>
      <c r="CB1243" s="39">
        <f t="shared" si="767"/>
        <v>0</v>
      </c>
      <c r="CC1243" s="39">
        <f t="shared" si="768"/>
        <v>0</v>
      </c>
      <c r="CD1243" s="39">
        <f t="shared" si="782"/>
        <v>0</v>
      </c>
      <c r="CE1243" s="102">
        <f t="shared" si="769"/>
        <v>0</v>
      </c>
      <c r="CF1243" s="36"/>
      <c r="CG1243" s="39" t="s">
        <v>233</v>
      </c>
      <c r="CH1243" s="39"/>
      <c r="CI1243" s="25">
        <v>1</v>
      </c>
    </row>
    <row r="1244" spans="1:87" ht="24.75" customHeight="1">
      <c r="A1244" s="36" t="s">
        <v>20</v>
      </c>
      <c r="B1244" s="29" t="s">
        <v>1984</v>
      </c>
      <c r="C1244" s="36" t="s">
        <v>1985</v>
      </c>
      <c r="D1244" s="36"/>
      <c r="E1244" s="39">
        <v>140</v>
      </c>
      <c r="F1244" s="39" t="s">
        <v>61</v>
      </c>
      <c r="G1244" s="36" t="s">
        <v>361</v>
      </c>
      <c r="H1244" s="36" t="s">
        <v>1986</v>
      </c>
      <c r="I1244" s="39">
        <v>135</v>
      </c>
      <c r="J1244" s="39"/>
      <c r="K1244" s="39"/>
      <c r="L1244" s="39">
        <f t="shared" ref="L1244:L1252" si="806">SUM(I1244:K1244)</f>
        <v>135</v>
      </c>
      <c r="M1244" s="36"/>
      <c r="N1244" s="36" t="s">
        <v>42</v>
      </c>
      <c r="O1244" s="39"/>
      <c r="P1244" s="39"/>
      <c r="Q1244" s="39"/>
      <c r="R1244" s="39">
        <f t="shared" si="804"/>
        <v>0</v>
      </c>
      <c r="S1244" s="39" t="s">
        <v>130</v>
      </c>
      <c r="T1244" s="39"/>
      <c r="U1244" s="39"/>
      <c r="V1244" s="39"/>
      <c r="W1244" s="39"/>
      <c r="X1244" s="39"/>
      <c r="Y1244" s="39"/>
      <c r="Z1244" s="39"/>
      <c r="AA1244" s="39"/>
      <c r="AB1244" s="118">
        <f t="shared" si="805"/>
        <v>0</v>
      </c>
      <c r="AC1244" s="39"/>
      <c r="AD1244" s="39"/>
      <c r="AE1244" s="39"/>
      <c r="AF1244" s="39"/>
      <c r="AG1244" s="39"/>
      <c r="AH1244" s="39">
        <f t="shared" si="779"/>
        <v>0</v>
      </c>
      <c r="AI1244" s="39"/>
      <c r="AJ1244" s="39"/>
      <c r="AK1244" s="39"/>
      <c r="AL1244" s="39"/>
      <c r="AM1244" s="39"/>
      <c r="AN1244" s="39">
        <f t="shared" si="778"/>
        <v>0</v>
      </c>
      <c r="AO1244" s="39"/>
      <c r="AP1244" s="39"/>
      <c r="AQ1244" s="39"/>
      <c r="AR1244" s="39"/>
      <c r="AS1244" s="39"/>
      <c r="AT1244" s="39">
        <f t="shared" si="762"/>
        <v>0</v>
      </c>
      <c r="AU1244" s="39"/>
      <c r="AV1244" s="39"/>
      <c r="AW1244" s="39"/>
      <c r="AX1244" s="39"/>
      <c r="AY1244" s="39"/>
      <c r="AZ1244" s="39">
        <f t="shared" si="763"/>
        <v>0</v>
      </c>
      <c r="BA1244" s="39"/>
      <c r="BB1244" s="39"/>
      <c r="BC1244" s="39"/>
      <c r="BD1244" s="39"/>
      <c r="BE1244" s="39"/>
      <c r="BF1244" s="39">
        <f t="shared" si="764"/>
        <v>0</v>
      </c>
      <c r="BG1244" s="39"/>
      <c r="BH1244" s="39"/>
      <c r="BI1244" s="39"/>
      <c r="BJ1244" s="39"/>
      <c r="BK1244" s="39"/>
      <c r="BL1244" s="39">
        <f t="shared" si="780"/>
        <v>0</v>
      </c>
      <c r="BM1244" s="54">
        <f t="shared" ca="1" si="765"/>
        <v>46283</v>
      </c>
      <c r="BN1244" s="58">
        <v>46266</v>
      </c>
      <c r="BO1244" s="57">
        <v>46277</v>
      </c>
      <c r="BP1244" s="36"/>
      <c r="BQ1244" s="36"/>
      <c r="BR1244" s="36"/>
      <c r="BS1244" s="36"/>
      <c r="BT1244" s="39"/>
      <c r="BU1244" s="39"/>
      <c r="BV1244" s="39"/>
      <c r="BW1244" s="39"/>
      <c r="BX1244" s="39"/>
      <c r="BY1244" s="39"/>
      <c r="BZ1244" s="39">
        <f t="shared" si="781"/>
        <v>0</v>
      </c>
      <c r="CA1244" s="39">
        <f t="shared" si="766"/>
        <v>-135</v>
      </c>
      <c r="CB1244" s="39">
        <f t="shared" si="767"/>
        <v>0</v>
      </c>
      <c r="CC1244" s="39">
        <f t="shared" si="768"/>
        <v>0</v>
      </c>
      <c r="CD1244" s="39">
        <f t="shared" si="782"/>
        <v>-135</v>
      </c>
      <c r="CE1244" s="102">
        <f t="shared" si="769"/>
        <v>-1</v>
      </c>
      <c r="CF1244" s="36"/>
      <c r="CG1244" s="39" t="s">
        <v>232</v>
      </c>
      <c r="CH1244" s="39"/>
      <c r="CI1244" s="25">
        <v>1</v>
      </c>
    </row>
    <row r="1245" spans="1:87" ht="24.75" customHeight="1">
      <c r="A1245" s="36" t="s">
        <v>20</v>
      </c>
      <c r="B1245" s="29" t="s">
        <v>1987</v>
      </c>
      <c r="C1245" s="36" t="s">
        <v>1988</v>
      </c>
      <c r="D1245" s="36"/>
      <c r="E1245" s="39">
        <v>280</v>
      </c>
      <c r="F1245" s="39" t="s">
        <v>64</v>
      </c>
      <c r="G1245" s="36" t="s">
        <v>23</v>
      </c>
      <c r="H1245" s="36" t="s">
        <v>972</v>
      </c>
      <c r="I1245" s="39">
        <v>515</v>
      </c>
      <c r="J1245" s="39"/>
      <c r="K1245" s="39"/>
      <c r="L1245" s="39">
        <f t="shared" si="806"/>
        <v>515</v>
      </c>
      <c r="M1245" s="57">
        <v>46266</v>
      </c>
      <c r="N1245" s="57">
        <v>46273</v>
      </c>
      <c r="O1245" s="39"/>
      <c r="P1245" s="39"/>
      <c r="Q1245" s="39"/>
      <c r="R1245" s="39">
        <f t="shared" si="804"/>
        <v>0</v>
      </c>
      <c r="S1245" s="39" t="s">
        <v>130</v>
      </c>
      <c r="T1245" s="39">
        <v>108169</v>
      </c>
      <c r="U1245" s="117">
        <v>46233</v>
      </c>
      <c r="V1245" s="39"/>
      <c r="W1245" s="39"/>
      <c r="X1245" s="39"/>
      <c r="Y1245" s="39">
        <v>545</v>
      </c>
      <c r="Z1245" s="39"/>
      <c r="AA1245" s="39"/>
      <c r="AB1245" s="119">
        <f t="shared" si="805"/>
        <v>545</v>
      </c>
      <c r="AC1245" s="39"/>
      <c r="AD1245" s="39"/>
      <c r="AE1245" s="39"/>
      <c r="AF1245" s="39"/>
      <c r="AG1245" s="39"/>
      <c r="AH1245" s="39">
        <f t="shared" si="779"/>
        <v>0</v>
      </c>
      <c r="AI1245" s="39"/>
      <c r="AJ1245" s="39"/>
      <c r="AK1245" s="39"/>
      <c r="AL1245" s="39"/>
      <c r="AM1245" s="39"/>
      <c r="AN1245" s="39">
        <f t="shared" si="778"/>
        <v>0</v>
      </c>
      <c r="AO1245" s="39"/>
      <c r="AP1245" s="39"/>
      <c r="AQ1245" s="39"/>
      <c r="AR1245" s="39"/>
      <c r="AS1245" s="39"/>
      <c r="AT1245" s="39">
        <f t="shared" si="762"/>
        <v>0</v>
      </c>
      <c r="AU1245" s="39"/>
      <c r="AV1245" s="39"/>
      <c r="AW1245" s="39"/>
      <c r="AX1245" s="39"/>
      <c r="AY1245" s="39"/>
      <c r="AZ1245" s="39">
        <f t="shared" si="763"/>
        <v>0</v>
      </c>
      <c r="BA1245" s="39"/>
      <c r="BB1245" s="39"/>
      <c r="BC1245" s="39"/>
      <c r="BD1245" s="39"/>
      <c r="BE1245" s="39"/>
      <c r="BF1245" s="39">
        <f t="shared" si="764"/>
        <v>0</v>
      </c>
      <c r="BG1245" s="39"/>
      <c r="BH1245" s="39"/>
      <c r="BI1245" s="39"/>
      <c r="BJ1245" s="39"/>
      <c r="BK1245" s="39"/>
      <c r="BL1245" s="39">
        <f t="shared" si="780"/>
        <v>0</v>
      </c>
      <c r="BM1245" s="54" t="str">
        <f t="shared" si="765"/>
        <v/>
      </c>
      <c r="BN1245" s="58">
        <v>46275</v>
      </c>
      <c r="BO1245" s="57">
        <v>46287</v>
      </c>
      <c r="BP1245" s="36"/>
      <c r="BQ1245" s="36"/>
      <c r="BR1245" s="57">
        <v>46235</v>
      </c>
      <c r="BS1245" s="57">
        <v>46235</v>
      </c>
      <c r="BT1245" s="39">
        <v>1935</v>
      </c>
      <c r="BU1245" s="39">
        <v>565</v>
      </c>
      <c r="BV1245" s="39"/>
      <c r="BW1245" s="39"/>
      <c r="BX1245" s="39"/>
      <c r="BY1245" s="39"/>
      <c r="BZ1245" s="39">
        <f t="shared" si="781"/>
        <v>565</v>
      </c>
      <c r="CA1245" s="39">
        <f t="shared" si="766"/>
        <v>50</v>
      </c>
      <c r="CB1245" s="39">
        <f t="shared" si="767"/>
        <v>0</v>
      </c>
      <c r="CC1245" s="39">
        <f t="shared" si="768"/>
        <v>0</v>
      </c>
      <c r="CD1245" s="39">
        <f t="shared" si="782"/>
        <v>0</v>
      </c>
      <c r="CE1245" s="102">
        <f t="shared" si="769"/>
        <v>0</v>
      </c>
      <c r="CF1245" s="36"/>
      <c r="CG1245" s="39" t="s">
        <v>232</v>
      </c>
      <c r="CH1245" s="39"/>
      <c r="CI1245" s="25">
        <v>1</v>
      </c>
    </row>
    <row r="1246" spans="1:87" ht="24.75" customHeight="1">
      <c r="A1246" s="36" t="s">
        <v>20</v>
      </c>
      <c r="B1246" s="29" t="s">
        <v>1989</v>
      </c>
      <c r="C1246" s="36" t="s">
        <v>1990</v>
      </c>
      <c r="D1246" s="36"/>
      <c r="E1246" s="39">
        <v>280</v>
      </c>
      <c r="F1246" s="39" t="s">
        <v>64</v>
      </c>
      <c r="G1246" s="36" t="s">
        <v>23</v>
      </c>
      <c r="H1246" s="36" t="s">
        <v>972</v>
      </c>
      <c r="I1246" s="39">
        <v>450</v>
      </c>
      <c r="J1246" s="39"/>
      <c r="K1246" s="39"/>
      <c r="L1246" s="39">
        <f t="shared" si="806"/>
        <v>450</v>
      </c>
      <c r="M1246" s="57">
        <v>46266</v>
      </c>
      <c r="N1246" s="57">
        <v>46273</v>
      </c>
      <c r="O1246" s="39"/>
      <c r="P1246" s="39"/>
      <c r="Q1246" s="39"/>
      <c r="R1246" s="39">
        <f t="shared" si="804"/>
        <v>0</v>
      </c>
      <c r="S1246" s="39" t="s">
        <v>130</v>
      </c>
      <c r="T1246" s="39">
        <v>109346</v>
      </c>
      <c r="U1246" s="117">
        <v>46279</v>
      </c>
      <c r="V1246" s="39"/>
      <c r="W1246" s="39"/>
      <c r="X1246" s="39"/>
      <c r="Y1246" s="39">
        <v>472</v>
      </c>
      <c r="Z1246" s="39"/>
      <c r="AA1246" s="39"/>
      <c r="AB1246" s="119">
        <f t="shared" si="805"/>
        <v>472</v>
      </c>
      <c r="AC1246" s="39"/>
      <c r="AD1246" s="39"/>
      <c r="AE1246" s="39"/>
      <c r="AF1246" s="39"/>
      <c r="AG1246" s="39"/>
      <c r="AH1246" s="39">
        <f t="shared" si="779"/>
        <v>0</v>
      </c>
      <c r="AI1246" s="39"/>
      <c r="AJ1246" s="39"/>
      <c r="AK1246" s="39"/>
      <c r="AL1246" s="39"/>
      <c r="AM1246" s="39"/>
      <c r="AN1246" s="39">
        <f t="shared" si="778"/>
        <v>0</v>
      </c>
      <c r="AO1246" s="39"/>
      <c r="AP1246" s="39"/>
      <c r="AQ1246" s="39"/>
      <c r="AR1246" s="39"/>
      <c r="AS1246" s="39"/>
      <c r="AT1246" s="39">
        <f t="shared" si="762"/>
        <v>0</v>
      </c>
      <c r="AU1246" s="39"/>
      <c r="AV1246" s="39"/>
      <c r="AW1246" s="39"/>
      <c r="AX1246" s="39"/>
      <c r="AY1246" s="39"/>
      <c r="AZ1246" s="39">
        <f t="shared" si="763"/>
        <v>0</v>
      </c>
      <c r="BA1246" s="39"/>
      <c r="BB1246" s="39"/>
      <c r="BC1246" s="39"/>
      <c r="BD1246" s="39"/>
      <c r="BE1246" s="39"/>
      <c r="BF1246" s="39">
        <f t="shared" si="764"/>
        <v>0</v>
      </c>
      <c r="BG1246" s="39"/>
      <c r="BH1246" s="39"/>
      <c r="BI1246" s="39"/>
      <c r="BJ1246" s="39"/>
      <c r="BK1246" s="39"/>
      <c r="BL1246" s="39">
        <f t="shared" si="780"/>
        <v>0</v>
      </c>
      <c r="BM1246" s="54" t="str">
        <f t="shared" si="765"/>
        <v/>
      </c>
      <c r="BN1246" s="58">
        <v>46275</v>
      </c>
      <c r="BO1246" s="57">
        <v>46287</v>
      </c>
      <c r="BP1246" s="36"/>
      <c r="BQ1246" s="36"/>
      <c r="BR1246" s="57">
        <v>46282</v>
      </c>
      <c r="BS1246" s="57">
        <v>46282</v>
      </c>
      <c r="BT1246" s="39">
        <v>910</v>
      </c>
      <c r="BU1246" s="39">
        <v>488</v>
      </c>
      <c r="BV1246" s="39"/>
      <c r="BW1246" s="39"/>
      <c r="BX1246" s="39"/>
      <c r="BY1246" s="39"/>
      <c r="BZ1246" s="39">
        <f t="shared" si="781"/>
        <v>488</v>
      </c>
      <c r="CA1246" s="39">
        <f t="shared" si="766"/>
        <v>38</v>
      </c>
      <c r="CB1246" s="39">
        <f t="shared" si="767"/>
        <v>0</v>
      </c>
      <c r="CC1246" s="39">
        <f t="shared" si="768"/>
        <v>0</v>
      </c>
      <c r="CD1246" s="39">
        <f t="shared" si="782"/>
        <v>0</v>
      </c>
      <c r="CE1246" s="102">
        <f t="shared" si="769"/>
        <v>0</v>
      </c>
      <c r="CF1246" s="36"/>
      <c r="CG1246" s="39" t="s">
        <v>232</v>
      </c>
      <c r="CH1246" s="39"/>
      <c r="CI1246" s="25">
        <v>1</v>
      </c>
    </row>
    <row r="1247" spans="1:87" ht="24.75" customHeight="1">
      <c r="A1247" s="36" t="s">
        <v>20</v>
      </c>
      <c r="B1247" s="29" t="s">
        <v>1991</v>
      </c>
      <c r="C1247" s="227" t="s">
        <v>1992</v>
      </c>
      <c r="D1247" s="36"/>
      <c r="E1247" s="39">
        <v>280</v>
      </c>
      <c r="F1247" s="39" t="s">
        <v>60</v>
      </c>
      <c r="G1247" s="36" t="s">
        <v>1166</v>
      </c>
      <c r="H1247" s="36" t="s">
        <v>972</v>
      </c>
      <c r="I1247" s="39">
        <v>430</v>
      </c>
      <c r="J1247" s="39"/>
      <c r="K1247" s="39"/>
      <c r="L1247" s="39">
        <f t="shared" si="806"/>
        <v>430</v>
      </c>
      <c r="M1247" s="57">
        <v>46254</v>
      </c>
      <c r="N1247" s="57">
        <v>46265</v>
      </c>
      <c r="O1247" s="39"/>
      <c r="P1247" s="39"/>
      <c r="Q1247" s="39"/>
      <c r="R1247" s="39">
        <f t="shared" si="804"/>
        <v>0</v>
      </c>
      <c r="S1247" s="39" t="s">
        <v>130</v>
      </c>
      <c r="T1247" s="39">
        <v>109173</v>
      </c>
      <c r="U1247" s="117">
        <v>46271</v>
      </c>
      <c r="V1247" s="39"/>
      <c r="W1247" s="39"/>
      <c r="X1247" s="39"/>
      <c r="Y1247" s="39">
        <v>456</v>
      </c>
      <c r="Z1247" s="39"/>
      <c r="AA1247" s="39"/>
      <c r="AB1247" s="119">
        <f t="shared" si="805"/>
        <v>456</v>
      </c>
      <c r="AC1247" s="39"/>
      <c r="AD1247" s="39"/>
      <c r="AE1247" s="39"/>
      <c r="AF1247" s="39"/>
      <c r="AG1247" s="39"/>
      <c r="AH1247" s="39">
        <f t="shared" si="779"/>
        <v>0</v>
      </c>
      <c r="AI1247" s="39"/>
      <c r="AJ1247" s="39"/>
      <c r="AK1247" s="39"/>
      <c r="AL1247" s="39"/>
      <c r="AM1247" s="39"/>
      <c r="AN1247" s="39">
        <f t="shared" si="778"/>
        <v>0</v>
      </c>
      <c r="AO1247" s="39"/>
      <c r="AP1247" s="39"/>
      <c r="AQ1247" s="39"/>
      <c r="AR1247" s="39"/>
      <c r="AS1247" s="39"/>
      <c r="AT1247" s="39">
        <f t="shared" si="762"/>
        <v>0</v>
      </c>
      <c r="AU1247" s="39"/>
      <c r="AV1247" s="39"/>
      <c r="AW1247" s="39"/>
      <c r="AX1247" s="39"/>
      <c r="AY1247" s="39"/>
      <c r="AZ1247" s="39">
        <f t="shared" si="763"/>
        <v>0</v>
      </c>
      <c r="BA1247" s="39"/>
      <c r="BB1247" s="39"/>
      <c r="BC1247" s="39"/>
      <c r="BD1247" s="39"/>
      <c r="BE1247" s="39"/>
      <c r="BF1247" s="39">
        <f t="shared" si="764"/>
        <v>0</v>
      </c>
      <c r="BG1247" s="39"/>
      <c r="BH1247" s="39"/>
      <c r="BI1247" s="39"/>
      <c r="BJ1247" s="39"/>
      <c r="BK1247" s="39"/>
      <c r="BL1247" s="39">
        <f t="shared" si="780"/>
        <v>0</v>
      </c>
      <c r="BM1247" s="54" t="str">
        <f t="shared" si="765"/>
        <v/>
      </c>
      <c r="BN1247" s="58">
        <v>46266</v>
      </c>
      <c r="BO1247" s="57">
        <v>46277</v>
      </c>
      <c r="BP1247" s="36"/>
      <c r="BQ1247" s="36"/>
      <c r="BR1247" s="57">
        <v>46276</v>
      </c>
      <c r="BS1247" s="57">
        <v>46276</v>
      </c>
      <c r="BT1247" s="39">
        <v>784</v>
      </c>
      <c r="BU1247" s="39">
        <v>448</v>
      </c>
      <c r="BV1247" s="39"/>
      <c r="BW1247" s="39"/>
      <c r="BX1247" s="39"/>
      <c r="BY1247" s="39"/>
      <c r="BZ1247" s="39">
        <f t="shared" si="781"/>
        <v>448</v>
      </c>
      <c r="CA1247" s="39">
        <f t="shared" si="766"/>
        <v>18</v>
      </c>
      <c r="CB1247" s="39">
        <f t="shared" si="767"/>
        <v>0</v>
      </c>
      <c r="CC1247" s="39">
        <f t="shared" si="768"/>
        <v>0</v>
      </c>
      <c r="CD1247" s="39">
        <f t="shared" si="782"/>
        <v>0</v>
      </c>
      <c r="CE1247" s="102">
        <f t="shared" si="769"/>
        <v>0</v>
      </c>
      <c r="CF1247" s="36"/>
      <c r="CG1247" s="39" t="s">
        <v>232</v>
      </c>
      <c r="CH1247" s="39"/>
      <c r="CI1247" s="25">
        <v>1</v>
      </c>
    </row>
    <row r="1248" spans="1:87" ht="24.75" customHeight="1">
      <c r="A1248" s="36" t="s">
        <v>20</v>
      </c>
      <c r="B1248" s="29" t="s">
        <v>1991</v>
      </c>
      <c r="C1248" s="228"/>
      <c r="D1248" s="36"/>
      <c r="E1248" s="39">
        <v>280</v>
      </c>
      <c r="F1248" s="39" t="s">
        <v>60</v>
      </c>
      <c r="G1248" s="36" t="s">
        <v>23</v>
      </c>
      <c r="H1248" s="36" t="s">
        <v>972</v>
      </c>
      <c r="I1248" s="39">
        <v>490</v>
      </c>
      <c r="J1248" s="39"/>
      <c r="K1248" s="39"/>
      <c r="L1248" s="39">
        <f t="shared" si="806"/>
        <v>490</v>
      </c>
      <c r="M1248" s="57">
        <v>46254</v>
      </c>
      <c r="N1248" s="57">
        <v>46265</v>
      </c>
      <c r="O1248" s="39"/>
      <c r="P1248" s="39"/>
      <c r="Q1248" s="39"/>
      <c r="R1248" s="39">
        <f t="shared" si="804"/>
        <v>0</v>
      </c>
      <c r="S1248" s="39" t="s">
        <v>130</v>
      </c>
      <c r="T1248" s="39">
        <v>108394</v>
      </c>
      <c r="U1248" s="117">
        <v>46244</v>
      </c>
      <c r="V1248" s="39"/>
      <c r="W1248" s="39"/>
      <c r="X1248" s="39"/>
      <c r="Y1248" s="39">
        <f>410</f>
        <v>410</v>
      </c>
      <c r="Z1248" s="39"/>
      <c r="AA1248" s="39"/>
      <c r="AB1248" s="118">
        <f t="shared" si="805"/>
        <v>410</v>
      </c>
      <c r="AC1248" s="39"/>
      <c r="AD1248" s="39"/>
      <c r="AE1248" s="39"/>
      <c r="AF1248" s="39"/>
      <c r="AG1248" s="39"/>
      <c r="AH1248" s="39">
        <f t="shared" si="779"/>
        <v>0</v>
      </c>
      <c r="AI1248" s="39"/>
      <c r="AJ1248" s="39"/>
      <c r="AK1248" s="39"/>
      <c r="AL1248" s="39"/>
      <c r="AM1248" s="39"/>
      <c r="AN1248" s="39">
        <f t="shared" si="778"/>
        <v>0</v>
      </c>
      <c r="AO1248" s="39"/>
      <c r="AP1248" s="39"/>
      <c r="AQ1248" s="39"/>
      <c r="AR1248" s="39"/>
      <c r="AS1248" s="39"/>
      <c r="AT1248" s="39">
        <f t="shared" si="762"/>
        <v>0</v>
      </c>
      <c r="AU1248" s="39"/>
      <c r="AV1248" s="39"/>
      <c r="AW1248" s="39"/>
      <c r="AX1248" s="39"/>
      <c r="AY1248" s="39"/>
      <c r="AZ1248" s="39">
        <f t="shared" si="763"/>
        <v>0</v>
      </c>
      <c r="BA1248" s="39"/>
      <c r="BB1248" s="39"/>
      <c r="BC1248" s="39"/>
      <c r="BD1248" s="39"/>
      <c r="BE1248" s="39"/>
      <c r="BF1248" s="39">
        <f t="shared" si="764"/>
        <v>0</v>
      </c>
      <c r="BG1248" s="39"/>
      <c r="BH1248" s="39"/>
      <c r="BI1248" s="39"/>
      <c r="BJ1248" s="39"/>
      <c r="BK1248" s="39"/>
      <c r="BL1248" s="39">
        <f t="shared" si="780"/>
        <v>0</v>
      </c>
      <c r="BM1248" s="54">
        <f t="shared" ca="1" si="765"/>
        <v>39</v>
      </c>
      <c r="BN1248" s="58">
        <v>46266</v>
      </c>
      <c r="BO1248" s="57">
        <v>46277</v>
      </c>
      <c r="BP1248" s="36"/>
      <c r="BQ1248" s="36"/>
      <c r="BR1248" s="57">
        <v>46247</v>
      </c>
      <c r="BS1248" s="36"/>
      <c r="BT1248" s="39">
        <v>626</v>
      </c>
      <c r="BU1248" s="39">
        <f>404</f>
        <v>404</v>
      </c>
      <c r="BV1248" s="39"/>
      <c r="BW1248" s="39"/>
      <c r="BX1248" s="39"/>
      <c r="BY1248" s="39"/>
      <c r="BZ1248" s="39">
        <f t="shared" si="781"/>
        <v>404</v>
      </c>
      <c r="CA1248" s="39">
        <f t="shared" si="766"/>
        <v>-86</v>
      </c>
      <c r="CB1248" s="39">
        <f t="shared" si="767"/>
        <v>0</v>
      </c>
      <c r="CC1248" s="39">
        <f t="shared" si="768"/>
        <v>0</v>
      </c>
      <c r="CD1248" s="39">
        <f t="shared" si="782"/>
        <v>-86</v>
      </c>
      <c r="CE1248" s="102">
        <f t="shared" si="769"/>
        <v>-0.17551020408163265</v>
      </c>
      <c r="CF1248" s="36"/>
      <c r="CG1248" s="39" t="s">
        <v>232</v>
      </c>
      <c r="CH1248" s="39"/>
      <c r="CI1248" s="25">
        <v>1</v>
      </c>
    </row>
    <row r="1249" spans="1:87" ht="24.75" customHeight="1">
      <c r="A1249" s="36" t="s">
        <v>20</v>
      </c>
      <c r="B1249" s="29" t="s">
        <v>1993</v>
      </c>
      <c r="C1249" s="227" t="s">
        <v>1994</v>
      </c>
      <c r="D1249" s="36"/>
      <c r="E1249" s="39">
        <v>180</v>
      </c>
      <c r="F1249" s="39" t="s">
        <v>58</v>
      </c>
      <c r="G1249" s="36" t="s">
        <v>23</v>
      </c>
      <c r="H1249" s="36" t="s">
        <v>87</v>
      </c>
      <c r="I1249" s="39">
        <v>734</v>
      </c>
      <c r="J1249" s="39"/>
      <c r="K1249" s="39"/>
      <c r="L1249" s="39">
        <f t="shared" si="806"/>
        <v>734</v>
      </c>
      <c r="M1249" s="57">
        <v>46252</v>
      </c>
      <c r="N1249" s="57">
        <v>46265</v>
      </c>
      <c r="O1249" s="39"/>
      <c r="P1249" s="39"/>
      <c r="Q1249" s="39"/>
      <c r="R1249" s="39">
        <f t="shared" si="804"/>
        <v>0</v>
      </c>
      <c r="S1249" s="39" t="s">
        <v>28</v>
      </c>
      <c r="T1249" s="39"/>
      <c r="U1249" s="39"/>
      <c r="V1249" s="117">
        <v>46235</v>
      </c>
      <c r="W1249" s="39">
        <v>815</v>
      </c>
      <c r="X1249" s="117">
        <v>46244</v>
      </c>
      <c r="Y1249" s="39">
        <v>734</v>
      </c>
      <c r="Z1249" s="39"/>
      <c r="AA1249" s="39"/>
      <c r="AB1249" s="119">
        <f t="shared" si="805"/>
        <v>734</v>
      </c>
      <c r="AC1249" s="39"/>
      <c r="AD1249" s="39"/>
      <c r="AE1249" s="39"/>
      <c r="AF1249" s="39"/>
      <c r="AG1249" s="39"/>
      <c r="AH1249" s="39">
        <f t="shared" si="779"/>
        <v>0</v>
      </c>
      <c r="AI1249" s="39"/>
      <c r="AJ1249" s="39"/>
      <c r="AK1249" s="39"/>
      <c r="AL1249" s="39"/>
      <c r="AM1249" s="39"/>
      <c r="AN1249" s="39">
        <f t="shared" si="778"/>
        <v>0</v>
      </c>
      <c r="AO1249" s="39"/>
      <c r="AP1249" s="39"/>
      <c r="AQ1249" s="39"/>
      <c r="AR1249" s="39"/>
      <c r="AS1249" s="39"/>
      <c r="AT1249" s="39">
        <f t="shared" si="762"/>
        <v>0</v>
      </c>
      <c r="AU1249" s="39"/>
      <c r="AV1249" s="39"/>
      <c r="AW1249" s="39"/>
      <c r="AX1249" s="39"/>
      <c r="AY1249" s="39"/>
      <c r="AZ1249" s="39">
        <f t="shared" si="763"/>
        <v>0</v>
      </c>
      <c r="BA1249" s="39"/>
      <c r="BB1249" s="39"/>
      <c r="BC1249" s="39"/>
      <c r="BD1249" s="39"/>
      <c r="BE1249" s="39"/>
      <c r="BF1249" s="39">
        <f t="shared" si="764"/>
        <v>0</v>
      </c>
      <c r="BG1249" s="39"/>
      <c r="BH1249" s="39"/>
      <c r="BI1249" s="39"/>
      <c r="BJ1249" s="39"/>
      <c r="BK1249" s="39"/>
      <c r="BL1249" s="39">
        <f t="shared" si="780"/>
        <v>0</v>
      </c>
      <c r="BM1249" s="54" t="str">
        <f t="shared" si="765"/>
        <v/>
      </c>
      <c r="BN1249" s="58">
        <v>46266</v>
      </c>
      <c r="BO1249" s="57">
        <v>46280</v>
      </c>
      <c r="BP1249" s="36"/>
      <c r="BQ1249" s="36"/>
      <c r="BR1249" s="57">
        <v>46245</v>
      </c>
      <c r="BS1249" s="57">
        <v>46245</v>
      </c>
      <c r="BT1249" s="39">
        <v>1970</v>
      </c>
      <c r="BU1249" s="39">
        <v>734</v>
      </c>
      <c r="BV1249" s="39"/>
      <c r="BW1249" s="39"/>
      <c r="BX1249" s="39"/>
      <c r="BY1249" s="39"/>
      <c r="BZ1249" s="39">
        <f t="shared" si="781"/>
        <v>734</v>
      </c>
      <c r="CA1249" s="39">
        <f t="shared" si="766"/>
        <v>0</v>
      </c>
      <c r="CB1249" s="39">
        <f t="shared" si="767"/>
        <v>0</v>
      </c>
      <c r="CC1249" s="39">
        <f t="shared" si="768"/>
        <v>0</v>
      </c>
      <c r="CD1249" s="39">
        <f t="shared" si="782"/>
        <v>0</v>
      </c>
      <c r="CE1249" s="102">
        <f t="shared" si="769"/>
        <v>0</v>
      </c>
      <c r="CF1249" s="36"/>
      <c r="CG1249" s="39" t="s">
        <v>233</v>
      </c>
      <c r="CH1249" s="39"/>
      <c r="CI1249" s="25">
        <v>1</v>
      </c>
    </row>
    <row r="1250" spans="1:87" ht="24.75" customHeight="1">
      <c r="A1250" s="36" t="s">
        <v>20</v>
      </c>
      <c r="B1250" s="29" t="s">
        <v>1993</v>
      </c>
      <c r="C1250" s="231"/>
      <c r="D1250" s="36"/>
      <c r="E1250" s="39">
        <v>180</v>
      </c>
      <c r="F1250" s="39" t="s">
        <v>58</v>
      </c>
      <c r="G1250" s="36" t="s">
        <v>341</v>
      </c>
      <c r="H1250" s="36" t="s">
        <v>87</v>
      </c>
      <c r="I1250" s="39">
        <v>734</v>
      </c>
      <c r="J1250" s="39"/>
      <c r="K1250" s="39"/>
      <c r="L1250" s="39">
        <f t="shared" si="806"/>
        <v>734</v>
      </c>
      <c r="M1250" s="57">
        <v>46252</v>
      </c>
      <c r="N1250" s="57">
        <v>46265</v>
      </c>
      <c r="O1250" s="39"/>
      <c r="P1250" s="39"/>
      <c r="Q1250" s="39"/>
      <c r="R1250" s="39">
        <f t="shared" si="804"/>
        <v>0</v>
      </c>
      <c r="S1250" s="39" t="s">
        <v>28</v>
      </c>
      <c r="T1250" s="39"/>
      <c r="U1250" s="39"/>
      <c r="V1250" s="117">
        <v>46256</v>
      </c>
      <c r="W1250" s="39">
        <v>844</v>
      </c>
      <c r="X1250" s="117">
        <v>46266</v>
      </c>
      <c r="Y1250" s="39">
        <v>773</v>
      </c>
      <c r="Z1250" s="39"/>
      <c r="AA1250" s="39"/>
      <c r="AB1250" s="119">
        <f t="shared" si="805"/>
        <v>773</v>
      </c>
      <c r="AC1250" s="39"/>
      <c r="AD1250" s="39"/>
      <c r="AE1250" s="39"/>
      <c r="AF1250" s="39"/>
      <c r="AG1250" s="39"/>
      <c r="AH1250" s="39">
        <f t="shared" si="779"/>
        <v>0</v>
      </c>
      <c r="AI1250" s="39"/>
      <c r="AJ1250" s="39"/>
      <c r="AK1250" s="39"/>
      <c r="AL1250" s="39"/>
      <c r="AM1250" s="39"/>
      <c r="AN1250" s="39">
        <f t="shared" si="778"/>
        <v>0</v>
      </c>
      <c r="AO1250" s="39"/>
      <c r="AP1250" s="39"/>
      <c r="AQ1250" s="39"/>
      <c r="AR1250" s="39"/>
      <c r="AS1250" s="39"/>
      <c r="AT1250" s="39">
        <f t="shared" si="762"/>
        <v>0</v>
      </c>
      <c r="AU1250" s="39"/>
      <c r="AV1250" s="39"/>
      <c r="AW1250" s="39"/>
      <c r="AX1250" s="39"/>
      <c r="AY1250" s="39"/>
      <c r="AZ1250" s="39">
        <f t="shared" si="763"/>
        <v>0</v>
      </c>
      <c r="BA1250" s="39"/>
      <c r="BB1250" s="39"/>
      <c r="BC1250" s="39"/>
      <c r="BD1250" s="39"/>
      <c r="BE1250" s="39"/>
      <c r="BF1250" s="39">
        <f t="shared" si="764"/>
        <v>0</v>
      </c>
      <c r="BG1250" s="39"/>
      <c r="BH1250" s="39"/>
      <c r="BI1250" s="39"/>
      <c r="BJ1250" s="39"/>
      <c r="BK1250" s="39"/>
      <c r="BL1250" s="39">
        <f t="shared" si="780"/>
        <v>0</v>
      </c>
      <c r="BM1250" s="54" t="str">
        <f t="shared" si="765"/>
        <v/>
      </c>
      <c r="BN1250" s="58">
        <v>46266</v>
      </c>
      <c r="BO1250" s="57">
        <v>46280</v>
      </c>
      <c r="BP1250" s="36"/>
      <c r="BQ1250" s="36"/>
      <c r="BR1250" s="57">
        <v>46267</v>
      </c>
      <c r="BS1250" s="57">
        <v>46267</v>
      </c>
      <c r="BT1250" s="39">
        <v>592</v>
      </c>
      <c r="BU1250" s="39">
        <v>773</v>
      </c>
      <c r="BV1250" s="39"/>
      <c r="BW1250" s="39"/>
      <c r="BX1250" s="39"/>
      <c r="BY1250" s="39"/>
      <c r="BZ1250" s="39">
        <f t="shared" si="781"/>
        <v>773</v>
      </c>
      <c r="CA1250" s="39">
        <f t="shared" si="766"/>
        <v>39</v>
      </c>
      <c r="CB1250" s="39">
        <f t="shared" si="767"/>
        <v>0</v>
      </c>
      <c r="CC1250" s="39">
        <f t="shared" si="768"/>
        <v>0</v>
      </c>
      <c r="CD1250" s="39">
        <f t="shared" si="782"/>
        <v>0</v>
      </c>
      <c r="CE1250" s="102">
        <f t="shared" si="769"/>
        <v>0</v>
      </c>
      <c r="CF1250" s="36"/>
      <c r="CG1250" s="39" t="s">
        <v>233</v>
      </c>
      <c r="CH1250" s="39"/>
      <c r="CI1250" s="25">
        <v>1</v>
      </c>
    </row>
    <row r="1251" spans="1:87" ht="24.75" customHeight="1">
      <c r="A1251" s="36" t="s">
        <v>20</v>
      </c>
      <c r="B1251" s="29" t="s">
        <v>1993</v>
      </c>
      <c r="C1251" s="228"/>
      <c r="D1251" s="36"/>
      <c r="E1251" s="39">
        <v>180</v>
      </c>
      <c r="F1251" s="39" t="s">
        <v>58</v>
      </c>
      <c r="G1251" s="36" t="s">
        <v>351</v>
      </c>
      <c r="H1251" s="36" t="s">
        <v>87</v>
      </c>
      <c r="I1251" s="39">
        <v>734</v>
      </c>
      <c r="J1251" s="39"/>
      <c r="K1251" s="39"/>
      <c r="L1251" s="39">
        <f t="shared" si="806"/>
        <v>734</v>
      </c>
      <c r="M1251" s="57">
        <v>46252</v>
      </c>
      <c r="N1251" s="57">
        <v>46265</v>
      </c>
      <c r="O1251" s="39"/>
      <c r="P1251" s="39"/>
      <c r="Q1251" s="39"/>
      <c r="R1251" s="39">
        <f t="shared" si="804"/>
        <v>0</v>
      </c>
      <c r="S1251" s="39" t="s">
        <v>28</v>
      </c>
      <c r="T1251" s="39"/>
      <c r="U1251" s="39"/>
      <c r="V1251" s="117" t="s">
        <v>2628</v>
      </c>
      <c r="W1251" s="39">
        <f>151+697</f>
        <v>848</v>
      </c>
      <c r="X1251" s="117">
        <v>46268</v>
      </c>
      <c r="Y1251" s="39">
        <v>766</v>
      </c>
      <c r="Z1251" s="39"/>
      <c r="AA1251" s="39"/>
      <c r="AB1251" s="119">
        <f t="shared" si="805"/>
        <v>766</v>
      </c>
      <c r="AC1251" s="39"/>
      <c r="AD1251" s="39"/>
      <c r="AE1251" s="39"/>
      <c r="AF1251" s="39"/>
      <c r="AG1251" s="39"/>
      <c r="AH1251" s="39">
        <f t="shared" si="779"/>
        <v>0</v>
      </c>
      <c r="AI1251" s="39"/>
      <c r="AJ1251" s="39"/>
      <c r="AK1251" s="39"/>
      <c r="AL1251" s="39"/>
      <c r="AM1251" s="39"/>
      <c r="AN1251" s="39">
        <f t="shared" si="778"/>
        <v>0</v>
      </c>
      <c r="AO1251" s="39"/>
      <c r="AP1251" s="39"/>
      <c r="AQ1251" s="39"/>
      <c r="AR1251" s="39"/>
      <c r="AS1251" s="39"/>
      <c r="AT1251" s="39">
        <f t="shared" si="762"/>
        <v>0</v>
      </c>
      <c r="AU1251" s="39"/>
      <c r="AV1251" s="39"/>
      <c r="AW1251" s="39"/>
      <c r="AX1251" s="39"/>
      <c r="AY1251" s="39"/>
      <c r="AZ1251" s="39">
        <f t="shared" si="763"/>
        <v>0</v>
      </c>
      <c r="BA1251" s="39"/>
      <c r="BB1251" s="39"/>
      <c r="BC1251" s="39"/>
      <c r="BD1251" s="39"/>
      <c r="BE1251" s="39"/>
      <c r="BF1251" s="39">
        <f t="shared" si="764"/>
        <v>0</v>
      </c>
      <c r="BG1251" s="39"/>
      <c r="BH1251" s="39"/>
      <c r="BI1251" s="39"/>
      <c r="BJ1251" s="39"/>
      <c r="BK1251" s="39"/>
      <c r="BL1251" s="39">
        <f t="shared" si="780"/>
        <v>0</v>
      </c>
      <c r="BM1251" s="54" t="str">
        <f t="shared" si="765"/>
        <v/>
      </c>
      <c r="BN1251" s="58">
        <v>46266</v>
      </c>
      <c r="BO1251" s="57">
        <v>46280</v>
      </c>
      <c r="BP1251" s="36"/>
      <c r="BQ1251" s="36"/>
      <c r="BR1251" s="57">
        <v>46272</v>
      </c>
      <c r="BS1251" s="57">
        <v>46272</v>
      </c>
      <c r="BT1251" s="39">
        <v>961</v>
      </c>
      <c r="BU1251" s="39">
        <v>766</v>
      </c>
      <c r="BV1251" s="39"/>
      <c r="BW1251" s="39"/>
      <c r="BX1251" s="39"/>
      <c r="BY1251" s="39"/>
      <c r="BZ1251" s="39">
        <f t="shared" si="781"/>
        <v>766</v>
      </c>
      <c r="CA1251" s="39">
        <f t="shared" si="766"/>
        <v>32</v>
      </c>
      <c r="CB1251" s="39">
        <f t="shared" si="767"/>
        <v>0</v>
      </c>
      <c r="CC1251" s="39">
        <f t="shared" si="768"/>
        <v>0</v>
      </c>
      <c r="CD1251" s="39">
        <f t="shared" si="782"/>
        <v>0</v>
      </c>
      <c r="CE1251" s="102">
        <f t="shared" si="769"/>
        <v>0</v>
      </c>
      <c r="CF1251" s="36"/>
      <c r="CG1251" s="39" t="s">
        <v>233</v>
      </c>
      <c r="CH1251" s="39"/>
      <c r="CI1251" s="25">
        <v>1</v>
      </c>
    </row>
    <row r="1252" spans="1:87" ht="24.75" customHeight="1">
      <c r="A1252" s="36" t="s">
        <v>20</v>
      </c>
      <c r="B1252" s="29" t="s">
        <v>1995</v>
      </c>
      <c r="C1252" s="36" t="s">
        <v>1996</v>
      </c>
      <c r="D1252" s="36"/>
      <c r="E1252" s="39">
        <v>200</v>
      </c>
      <c r="F1252" s="39" t="s">
        <v>60</v>
      </c>
      <c r="G1252" s="36" t="s">
        <v>192</v>
      </c>
      <c r="H1252" s="36" t="s">
        <v>89</v>
      </c>
      <c r="I1252" s="39">
        <v>182</v>
      </c>
      <c r="J1252" s="39"/>
      <c r="K1252" s="39"/>
      <c r="L1252" s="39">
        <f t="shared" si="806"/>
        <v>182</v>
      </c>
      <c r="M1252" s="57">
        <v>46254</v>
      </c>
      <c r="N1252" s="57">
        <v>46265</v>
      </c>
      <c r="O1252" s="39"/>
      <c r="P1252" s="39"/>
      <c r="Q1252" s="39"/>
      <c r="R1252" s="39">
        <f t="shared" si="804"/>
        <v>0</v>
      </c>
      <c r="S1252" s="39" t="s">
        <v>130</v>
      </c>
      <c r="T1252" s="39">
        <v>109216</v>
      </c>
      <c r="U1252" s="117">
        <v>46276</v>
      </c>
      <c r="V1252" s="39"/>
      <c r="W1252" s="39"/>
      <c r="X1252" s="39"/>
      <c r="Y1252" s="39">
        <v>215</v>
      </c>
      <c r="Z1252" s="39"/>
      <c r="AA1252" s="39"/>
      <c r="AB1252" s="119">
        <f t="shared" si="805"/>
        <v>215</v>
      </c>
      <c r="AC1252" s="39"/>
      <c r="AD1252" s="39"/>
      <c r="AE1252" s="39"/>
      <c r="AF1252" s="39"/>
      <c r="AG1252" s="39"/>
      <c r="AH1252" s="39">
        <f t="shared" si="779"/>
        <v>0</v>
      </c>
      <c r="AI1252" s="39"/>
      <c r="AJ1252" s="39"/>
      <c r="AK1252" s="39"/>
      <c r="AL1252" s="39"/>
      <c r="AM1252" s="39"/>
      <c r="AN1252" s="39">
        <f t="shared" si="778"/>
        <v>0</v>
      </c>
      <c r="AO1252" s="39"/>
      <c r="AP1252" s="39"/>
      <c r="AQ1252" s="39"/>
      <c r="AR1252" s="39"/>
      <c r="AS1252" s="39"/>
      <c r="AT1252" s="39">
        <f t="shared" si="762"/>
        <v>0</v>
      </c>
      <c r="AU1252" s="39"/>
      <c r="AV1252" s="39"/>
      <c r="AW1252" s="39"/>
      <c r="AX1252" s="39"/>
      <c r="AY1252" s="39"/>
      <c r="AZ1252" s="39">
        <f t="shared" si="763"/>
        <v>0</v>
      </c>
      <c r="BA1252" s="39"/>
      <c r="BB1252" s="39"/>
      <c r="BC1252" s="39"/>
      <c r="BD1252" s="39"/>
      <c r="BE1252" s="39"/>
      <c r="BF1252" s="39">
        <f t="shared" si="764"/>
        <v>0</v>
      </c>
      <c r="BG1252" s="39"/>
      <c r="BH1252" s="39"/>
      <c r="BI1252" s="39"/>
      <c r="BJ1252" s="39"/>
      <c r="BK1252" s="39"/>
      <c r="BL1252" s="39">
        <f t="shared" si="780"/>
        <v>0</v>
      </c>
      <c r="BM1252" s="54" t="str">
        <f t="shared" si="765"/>
        <v/>
      </c>
      <c r="BN1252" s="58">
        <v>46266</v>
      </c>
      <c r="BO1252" s="57">
        <v>46277</v>
      </c>
      <c r="BP1252" s="36"/>
      <c r="BQ1252" s="36"/>
      <c r="BR1252" s="57">
        <v>46281</v>
      </c>
      <c r="BS1252" s="57">
        <v>46281</v>
      </c>
      <c r="BT1252" s="39">
        <v>907</v>
      </c>
      <c r="BU1252" s="39">
        <v>191</v>
      </c>
      <c r="BV1252" s="39"/>
      <c r="BW1252" s="39"/>
      <c r="BX1252" s="39"/>
      <c r="BY1252" s="39"/>
      <c r="BZ1252" s="39">
        <f t="shared" si="781"/>
        <v>191</v>
      </c>
      <c r="CA1252" s="39">
        <f t="shared" si="766"/>
        <v>9</v>
      </c>
      <c r="CB1252" s="39">
        <f t="shared" si="767"/>
        <v>0</v>
      </c>
      <c r="CC1252" s="39">
        <f t="shared" si="768"/>
        <v>0</v>
      </c>
      <c r="CD1252" s="39">
        <f t="shared" si="782"/>
        <v>0</v>
      </c>
      <c r="CE1252" s="102">
        <f t="shared" si="769"/>
        <v>0</v>
      </c>
      <c r="CF1252" s="36"/>
      <c r="CG1252" s="39" t="s">
        <v>233</v>
      </c>
      <c r="CH1252" s="39"/>
      <c r="CI1252" s="25">
        <v>1</v>
      </c>
    </row>
    <row r="1253" spans="1:87" ht="24.75" customHeight="1">
      <c r="A1253" s="36" t="s">
        <v>20</v>
      </c>
      <c r="B1253" s="29" t="s">
        <v>2066</v>
      </c>
      <c r="C1253" s="227" t="s">
        <v>2067</v>
      </c>
      <c r="D1253" s="36"/>
      <c r="E1253" s="39">
        <v>180</v>
      </c>
      <c r="F1253" s="39" t="s">
        <v>58</v>
      </c>
      <c r="G1253" s="36" t="s">
        <v>41</v>
      </c>
      <c r="H1253" s="36" t="s">
        <v>87</v>
      </c>
      <c r="I1253" s="39">
        <v>230</v>
      </c>
      <c r="J1253" s="39"/>
      <c r="K1253" s="39"/>
      <c r="L1253" s="39">
        <f t="shared" ref="L1253:L1256" si="807">SUM(I1253:K1253)</f>
        <v>230</v>
      </c>
      <c r="M1253" s="57">
        <v>46254</v>
      </c>
      <c r="N1253" s="57">
        <v>46263</v>
      </c>
      <c r="O1253" s="39"/>
      <c r="P1253" s="39"/>
      <c r="Q1253" s="39"/>
      <c r="R1253" s="39">
        <f t="shared" si="804"/>
        <v>0</v>
      </c>
      <c r="S1253" s="39" t="s">
        <v>28</v>
      </c>
      <c r="T1253" s="39"/>
      <c r="U1253" s="39"/>
      <c r="V1253" s="117">
        <v>46249</v>
      </c>
      <c r="W1253" s="39">
        <v>269</v>
      </c>
      <c r="X1253" s="117" t="s">
        <v>2958</v>
      </c>
      <c r="Y1253" s="39">
        <f>16+207</f>
        <v>223</v>
      </c>
      <c r="Z1253" s="39"/>
      <c r="AA1253" s="39"/>
      <c r="AB1253" s="120">
        <f t="shared" si="805"/>
        <v>223</v>
      </c>
      <c r="AC1253" s="39"/>
      <c r="AD1253" s="39"/>
      <c r="AE1253" s="39"/>
      <c r="AF1253" s="39"/>
      <c r="AG1253" s="39"/>
      <c r="AH1253" s="39">
        <f t="shared" si="779"/>
        <v>0</v>
      </c>
      <c r="AI1253" s="39"/>
      <c r="AJ1253" s="39"/>
      <c r="AK1253" s="39"/>
      <c r="AL1253" s="39"/>
      <c r="AM1253" s="39"/>
      <c r="AN1253" s="39">
        <f t="shared" si="778"/>
        <v>0</v>
      </c>
      <c r="AO1253" s="39"/>
      <c r="AP1253" s="39"/>
      <c r="AQ1253" s="39"/>
      <c r="AR1253" s="39"/>
      <c r="AS1253" s="39"/>
      <c r="AT1253" s="39">
        <f t="shared" si="762"/>
        <v>0</v>
      </c>
      <c r="AU1253" s="39"/>
      <c r="AV1253" s="39"/>
      <c r="AW1253" s="39"/>
      <c r="AX1253" s="39"/>
      <c r="AY1253" s="39"/>
      <c r="AZ1253" s="39">
        <f t="shared" si="763"/>
        <v>0</v>
      </c>
      <c r="BA1253" s="39"/>
      <c r="BB1253" s="39"/>
      <c r="BC1253" s="39"/>
      <c r="BD1253" s="39"/>
      <c r="BE1253" s="39"/>
      <c r="BF1253" s="39">
        <f t="shared" si="764"/>
        <v>0</v>
      </c>
      <c r="BG1253" s="39"/>
      <c r="BH1253" s="39"/>
      <c r="BI1253" s="39"/>
      <c r="BJ1253" s="39"/>
      <c r="BK1253" s="39"/>
      <c r="BL1253" s="39">
        <f t="shared" si="780"/>
        <v>0</v>
      </c>
      <c r="BM1253" s="54" t="str">
        <f t="shared" si="765"/>
        <v/>
      </c>
      <c r="BN1253" s="58">
        <v>46266</v>
      </c>
      <c r="BO1253" s="57">
        <v>46277</v>
      </c>
      <c r="BP1253" s="36"/>
      <c r="BQ1253" s="36"/>
      <c r="BR1253" s="57">
        <v>46279</v>
      </c>
      <c r="BS1253" s="57">
        <v>46279</v>
      </c>
      <c r="BT1253" s="39">
        <v>860</v>
      </c>
      <c r="BU1253" s="39">
        <f>207+16</f>
        <v>223</v>
      </c>
      <c r="BV1253" s="39"/>
      <c r="BW1253" s="39"/>
      <c r="BX1253" s="39"/>
      <c r="BY1253" s="39"/>
      <c r="BZ1253" s="39">
        <f t="shared" si="781"/>
        <v>223</v>
      </c>
      <c r="CA1253" s="39">
        <f t="shared" si="766"/>
        <v>-7</v>
      </c>
      <c r="CB1253" s="39">
        <f t="shared" si="767"/>
        <v>0</v>
      </c>
      <c r="CC1253" s="39">
        <f t="shared" si="768"/>
        <v>0</v>
      </c>
      <c r="CD1253" s="39">
        <v>0</v>
      </c>
      <c r="CE1253" s="102">
        <f t="shared" si="769"/>
        <v>0</v>
      </c>
      <c r="CF1253" s="36"/>
      <c r="CG1253" s="39" t="s">
        <v>233</v>
      </c>
      <c r="CH1253" s="39"/>
      <c r="CI1253" s="25">
        <v>1</v>
      </c>
    </row>
    <row r="1254" spans="1:87" ht="24.75" customHeight="1">
      <c r="A1254" s="36" t="s">
        <v>20</v>
      </c>
      <c r="B1254" s="29" t="s">
        <v>2066</v>
      </c>
      <c r="C1254" s="231"/>
      <c r="D1254" s="36"/>
      <c r="E1254" s="39">
        <v>180</v>
      </c>
      <c r="F1254" s="39" t="s">
        <v>58</v>
      </c>
      <c r="G1254" s="36" t="s">
        <v>192</v>
      </c>
      <c r="H1254" s="36" t="s">
        <v>87</v>
      </c>
      <c r="I1254" s="39">
        <v>230</v>
      </c>
      <c r="J1254" s="39"/>
      <c r="K1254" s="39"/>
      <c r="L1254" s="39">
        <f t="shared" si="807"/>
        <v>230</v>
      </c>
      <c r="M1254" s="57">
        <v>46254</v>
      </c>
      <c r="N1254" s="57">
        <v>46263</v>
      </c>
      <c r="O1254" s="39"/>
      <c r="P1254" s="39"/>
      <c r="Q1254" s="39"/>
      <c r="R1254" s="39">
        <f t="shared" ref="R1254:R1255" si="808">SUM(O1254:Q1254)</f>
        <v>0</v>
      </c>
      <c r="S1254" s="39" t="s">
        <v>130</v>
      </c>
      <c r="T1254" s="39">
        <v>108948</v>
      </c>
      <c r="U1254" s="117">
        <v>46261</v>
      </c>
      <c r="V1254" s="39"/>
      <c r="W1254" s="39"/>
      <c r="X1254" s="39"/>
      <c r="Y1254" s="39">
        <v>271</v>
      </c>
      <c r="Z1254" s="39"/>
      <c r="AA1254" s="39"/>
      <c r="AB1254" s="119">
        <f t="shared" si="805"/>
        <v>271</v>
      </c>
      <c r="AC1254" s="39"/>
      <c r="AD1254" s="39"/>
      <c r="AE1254" s="39"/>
      <c r="AF1254" s="39"/>
      <c r="AG1254" s="39"/>
      <c r="AH1254" s="39">
        <f t="shared" si="779"/>
        <v>0</v>
      </c>
      <c r="AI1254" s="39"/>
      <c r="AJ1254" s="39"/>
      <c r="AK1254" s="39"/>
      <c r="AL1254" s="39"/>
      <c r="AM1254" s="39"/>
      <c r="AN1254" s="39">
        <f t="shared" si="778"/>
        <v>0</v>
      </c>
      <c r="AO1254" s="39"/>
      <c r="AP1254" s="39"/>
      <c r="AQ1254" s="39"/>
      <c r="AR1254" s="39"/>
      <c r="AS1254" s="39"/>
      <c r="AT1254" s="39">
        <f t="shared" si="762"/>
        <v>0</v>
      </c>
      <c r="AU1254" s="39"/>
      <c r="AV1254" s="39"/>
      <c r="AW1254" s="39"/>
      <c r="AX1254" s="39"/>
      <c r="AY1254" s="39"/>
      <c r="AZ1254" s="39">
        <f t="shared" si="763"/>
        <v>0</v>
      </c>
      <c r="BA1254" s="39"/>
      <c r="BB1254" s="39"/>
      <c r="BC1254" s="39"/>
      <c r="BD1254" s="39"/>
      <c r="BE1254" s="39"/>
      <c r="BF1254" s="39">
        <f t="shared" si="764"/>
        <v>0</v>
      </c>
      <c r="BG1254" s="39"/>
      <c r="BH1254" s="39"/>
      <c r="BI1254" s="39"/>
      <c r="BJ1254" s="39"/>
      <c r="BK1254" s="39"/>
      <c r="BL1254" s="39">
        <f t="shared" si="780"/>
        <v>0</v>
      </c>
      <c r="BM1254" s="54" t="str">
        <f t="shared" si="765"/>
        <v/>
      </c>
      <c r="BN1254" s="58">
        <v>46266</v>
      </c>
      <c r="BO1254" s="57">
        <v>46277</v>
      </c>
      <c r="BP1254" s="36"/>
      <c r="BQ1254" s="36"/>
      <c r="BR1254" s="57">
        <v>46272</v>
      </c>
      <c r="BS1254" s="57">
        <v>46272</v>
      </c>
      <c r="BT1254" s="39">
        <v>758</v>
      </c>
      <c r="BU1254" s="39">
        <v>237</v>
      </c>
      <c r="BV1254" s="39"/>
      <c r="BW1254" s="39"/>
      <c r="BX1254" s="39"/>
      <c r="BY1254" s="39"/>
      <c r="BZ1254" s="39">
        <f t="shared" si="781"/>
        <v>237</v>
      </c>
      <c r="CA1254" s="39">
        <f t="shared" si="766"/>
        <v>7</v>
      </c>
      <c r="CB1254" s="39">
        <f t="shared" si="767"/>
        <v>0</v>
      </c>
      <c r="CC1254" s="39">
        <f t="shared" si="768"/>
        <v>0</v>
      </c>
      <c r="CD1254" s="39">
        <f t="shared" si="782"/>
        <v>0</v>
      </c>
      <c r="CE1254" s="102">
        <f t="shared" si="769"/>
        <v>0</v>
      </c>
      <c r="CF1254" s="36"/>
      <c r="CG1254" s="39" t="s">
        <v>233</v>
      </c>
      <c r="CH1254" s="39"/>
      <c r="CI1254" s="25">
        <v>1</v>
      </c>
    </row>
    <row r="1255" spans="1:87" ht="24.75" customHeight="1">
      <c r="A1255" s="36" t="s">
        <v>20</v>
      </c>
      <c r="B1255" s="29" t="s">
        <v>2066</v>
      </c>
      <c r="C1255" s="228"/>
      <c r="D1255" s="36"/>
      <c r="E1255" s="39">
        <v>180</v>
      </c>
      <c r="F1255" s="39" t="s">
        <v>58</v>
      </c>
      <c r="G1255" s="36" t="s">
        <v>187</v>
      </c>
      <c r="H1255" s="36" t="s">
        <v>87</v>
      </c>
      <c r="I1255" s="39">
        <v>230</v>
      </c>
      <c r="J1255" s="39"/>
      <c r="K1255" s="39"/>
      <c r="L1255" s="39">
        <f t="shared" si="807"/>
        <v>230</v>
      </c>
      <c r="M1255" s="57">
        <v>46254</v>
      </c>
      <c r="N1255" s="57">
        <v>46263</v>
      </c>
      <c r="O1255" s="39"/>
      <c r="P1255" s="39"/>
      <c r="Q1255" s="39"/>
      <c r="R1255" s="39">
        <f t="shared" si="808"/>
        <v>0</v>
      </c>
      <c r="S1255" s="39" t="s">
        <v>130</v>
      </c>
      <c r="T1255" s="39">
        <v>109280</v>
      </c>
      <c r="U1255" s="117">
        <v>46274</v>
      </c>
      <c r="V1255" s="39"/>
      <c r="W1255" s="39"/>
      <c r="X1255" s="39"/>
      <c r="Y1255" s="39">
        <v>268</v>
      </c>
      <c r="Z1255" s="39"/>
      <c r="AA1255" s="39"/>
      <c r="AB1255" s="119">
        <f t="shared" si="805"/>
        <v>268</v>
      </c>
      <c r="AC1255" s="39"/>
      <c r="AD1255" s="39"/>
      <c r="AE1255" s="39"/>
      <c r="AF1255" s="39"/>
      <c r="AG1255" s="39"/>
      <c r="AH1255" s="39">
        <f t="shared" si="779"/>
        <v>0</v>
      </c>
      <c r="AI1255" s="39"/>
      <c r="AJ1255" s="39"/>
      <c r="AK1255" s="39"/>
      <c r="AL1255" s="39"/>
      <c r="AM1255" s="39"/>
      <c r="AN1255" s="39">
        <f t="shared" si="778"/>
        <v>0</v>
      </c>
      <c r="AO1255" s="39"/>
      <c r="AP1255" s="39"/>
      <c r="AQ1255" s="39"/>
      <c r="AR1255" s="39"/>
      <c r="AS1255" s="39"/>
      <c r="AT1255" s="39">
        <f t="shared" si="762"/>
        <v>0</v>
      </c>
      <c r="AU1255" s="39"/>
      <c r="AV1255" s="39"/>
      <c r="AW1255" s="39"/>
      <c r="AX1255" s="39"/>
      <c r="AY1255" s="39"/>
      <c r="AZ1255" s="39">
        <f t="shared" si="763"/>
        <v>0</v>
      </c>
      <c r="BA1255" s="39"/>
      <c r="BB1255" s="39"/>
      <c r="BC1255" s="39"/>
      <c r="BD1255" s="39"/>
      <c r="BE1255" s="39"/>
      <c r="BF1255" s="39">
        <f t="shared" si="764"/>
        <v>0</v>
      </c>
      <c r="BG1255" s="39"/>
      <c r="BH1255" s="39"/>
      <c r="BI1255" s="39"/>
      <c r="BJ1255" s="39"/>
      <c r="BK1255" s="39"/>
      <c r="BL1255" s="39">
        <f t="shared" si="780"/>
        <v>0</v>
      </c>
      <c r="BM1255" s="54" t="str">
        <f t="shared" si="765"/>
        <v/>
      </c>
      <c r="BN1255" s="58">
        <v>46266</v>
      </c>
      <c r="BO1255" s="57">
        <v>46277</v>
      </c>
      <c r="BP1255" s="36"/>
      <c r="BQ1255" s="36"/>
      <c r="BR1255" s="57">
        <v>46277</v>
      </c>
      <c r="BS1255" s="57">
        <v>46277</v>
      </c>
      <c r="BT1255" s="39">
        <v>793</v>
      </c>
      <c r="BU1255" s="39">
        <v>239</v>
      </c>
      <c r="BV1255" s="39"/>
      <c r="BW1255" s="39"/>
      <c r="BX1255" s="39"/>
      <c r="BY1255" s="39"/>
      <c r="BZ1255" s="39">
        <f t="shared" si="781"/>
        <v>239</v>
      </c>
      <c r="CA1255" s="39">
        <f t="shared" si="766"/>
        <v>9</v>
      </c>
      <c r="CB1255" s="39">
        <f t="shared" si="767"/>
        <v>0</v>
      </c>
      <c r="CC1255" s="39">
        <f t="shared" si="768"/>
        <v>0</v>
      </c>
      <c r="CD1255" s="39">
        <f t="shared" si="782"/>
        <v>0</v>
      </c>
      <c r="CE1255" s="102">
        <f t="shared" si="769"/>
        <v>0</v>
      </c>
      <c r="CF1255" s="36"/>
      <c r="CG1255" s="39" t="s">
        <v>233</v>
      </c>
      <c r="CH1255" s="39"/>
      <c r="CI1255" s="25">
        <v>1</v>
      </c>
    </row>
    <row r="1256" spans="1:87" ht="24.75" customHeight="1">
      <c r="A1256" s="36" t="s">
        <v>20</v>
      </c>
      <c r="B1256" s="29" t="s">
        <v>2068</v>
      </c>
      <c r="C1256" s="227" t="s">
        <v>2069</v>
      </c>
      <c r="D1256" s="36"/>
      <c r="E1256" s="39">
        <v>180</v>
      </c>
      <c r="F1256" s="39" t="s">
        <v>58</v>
      </c>
      <c r="G1256" s="36" t="s">
        <v>23</v>
      </c>
      <c r="H1256" s="36" t="s">
        <v>87</v>
      </c>
      <c r="I1256" s="39">
        <v>195</v>
      </c>
      <c r="J1256" s="39"/>
      <c r="K1256" s="39"/>
      <c r="L1256" s="39">
        <f t="shared" si="807"/>
        <v>195</v>
      </c>
      <c r="M1256" s="57">
        <v>46266</v>
      </c>
      <c r="N1256" s="57">
        <v>46272</v>
      </c>
      <c r="O1256" s="39"/>
      <c r="P1256" s="39"/>
      <c r="Q1256" s="39"/>
      <c r="R1256" s="39">
        <f t="shared" si="804"/>
        <v>0</v>
      </c>
      <c r="S1256" s="39" t="s">
        <v>28</v>
      </c>
      <c r="T1256" s="39"/>
      <c r="U1256" s="39"/>
      <c r="V1256" s="117">
        <v>46252</v>
      </c>
      <c r="W1256" s="39">
        <v>218</v>
      </c>
      <c r="X1256" s="117">
        <v>46261</v>
      </c>
      <c r="Y1256" s="39">
        <v>203</v>
      </c>
      <c r="Z1256" s="39"/>
      <c r="AA1256" s="39"/>
      <c r="AB1256" s="119">
        <f t="shared" si="805"/>
        <v>203</v>
      </c>
      <c r="AC1256" s="39"/>
      <c r="AD1256" s="39"/>
      <c r="AE1256" s="39"/>
      <c r="AF1256" s="39"/>
      <c r="AG1256" s="39"/>
      <c r="AH1256" s="39">
        <f t="shared" si="779"/>
        <v>0</v>
      </c>
      <c r="AI1256" s="39"/>
      <c r="AJ1256" s="39"/>
      <c r="AK1256" s="39"/>
      <c r="AL1256" s="39"/>
      <c r="AM1256" s="39"/>
      <c r="AN1256" s="39">
        <f t="shared" si="778"/>
        <v>0</v>
      </c>
      <c r="AO1256" s="39"/>
      <c r="AP1256" s="39"/>
      <c r="AQ1256" s="39"/>
      <c r="AR1256" s="39"/>
      <c r="AS1256" s="39"/>
      <c r="AT1256" s="39">
        <f t="shared" si="762"/>
        <v>0</v>
      </c>
      <c r="AU1256" s="39"/>
      <c r="AV1256" s="39"/>
      <c r="AW1256" s="39"/>
      <c r="AX1256" s="39"/>
      <c r="AY1256" s="39"/>
      <c r="AZ1256" s="39">
        <f t="shared" si="763"/>
        <v>0</v>
      </c>
      <c r="BA1256" s="39"/>
      <c r="BB1256" s="39"/>
      <c r="BC1256" s="39"/>
      <c r="BD1256" s="39"/>
      <c r="BE1256" s="39"/>
      <c r="BF1256" s="39">
        <f t="shared" si="764"/>
        <v>0</v>
      </c>
      <c r="BG1256" s="39"/>
      <c r="BH1256" s="39"/>
      <c r="BI1256" s="39"/>
      <c r="BJ1256" s="39"/>
      <c r="BK1256" s="39"/>
      <c r="BL1256" s="39">
        <f t="shared" si="780"/>
        <v>0</v>
      </c>
      <c r="BM1256" s="54" t="str">
        <f t="shared" si="765"/>
        <v/>
      </c>
      <c r="BN1256" s="58">
        <v>46275</v>
      </c>
      <c r="BO1256" s="57">
        <v>46286</v>
      </c>
      <c r="BP1256" s="36"/>
      <c r="BQ1256" s="36"/>
      <c r="BR1256" s="57">
        <v>46262</v>
      </c>
      <c r="BS1256" s="57">
        <v>46262</v>
      </c>
      <c r="BT1256" s="39">
        <v>1995</v>
      </c>
      <c r="BU1256" s="39">
        <v>203</v>
      </c>
      <c r="BV1256" s="39"/>
      <c r="BW1256" s="39"/>
      <c r="BX1256" s="39"/>
      <c r="BY1256" s="39"/>
      <c r="BZ1256" s="39">
        <f t="shared" si="781"/>
        <v>203</v>
      </c>
      <c r="CA1256" s="39">
        <f t="shared" si="766"/>
        <v>8</v>
      </c>
      <c r="CB1256" s="39">
        <f t="shared" si="767"/>
        <v>0</v>
      </c>
      <c r="CC1256" s="39">
        <f t="shared" si="768"/>
        <v>0</v>
      </c>
      <c r="CD1256" s="39">
        <f t="shared" si="782"/>
        <v>0</v>
      </c>
      <c r="CE1256" s="102">
        <f t="shared" si="769"/>
        <v>0</v>
      </c>
      <c r="CF1256" s="36"/>
      <c r="CG1256" s="39" t="s">
        <v>233</v>
      </c>
      <c r="CH1256" s="39"/>
      <c r="CI1256" s="25">
        <v>1</v>
      </c>
    </row>
    <row r="1257" spans="1:87" ht="24.75" customHeight="1">
      <c r="A1257" s="36" t="s">
        <v>20</v>
      </c>
      <c r="B1257" s="29" t="s">
        <v>2068</v>
      </c>
      <c r="C1257" s="228"/>
      <c r="D1257" s="36"/>
      <c r="E1257" s="39">
        <v>180</v>
      </c>
      <c r="F1257" s="39" t="s">
        <v>58</v>
      </c>
      <c r="G1257" s="36" t="s">
        <v>23</v>
      </c>
      <c r="H1257" s="36" t="s">
        <v>87</v>
      </c>
      <c r="I1257" s="39">
        <v>195</v>
      </c>
      <c r="J1257" s="39"/>
      <c r="K1257" s="39"/>
      <c r="L1257" s="39">
        <f t="shared" ref="L1257:L1259" si="809">SUM(I1257:K1257)</f>
        <v>195</v>
      </c>
      <c r="M1257" s="57">
        <v>46266</v>
      </c>
      <c r="N1257" s="57">
        <v>46272</v>
      </c>
      <c r="O1257" s="39"/>
      <c r="P1257" s="39"/>
      <c r="Q1257" s="39"/>
      <c r="R1257" s="39">
        <f t="shared" ref="R1257" si="810">SUM(O1257:Q1257)</f>
        <v>0</v>
      </c>
      <c r="S1257" s="39" t="s">
        <v>28</v>
      </c>
      <c r="T1257" s="39"/>
      <c r="U1257" s="39"/>
      <c r="V1257" s="117">
        <v>46252</v>
      </c>
      <c r="W1257" s="39">
        <v>217</v>
      </c>
      <c r="X1257" s="117">
        <v>46261</v>
      </c>
      <c r="Y1257" s="39">
        <v>203</v>
      </c>
      <c r="Z1257" s="39"/>
      <c r="AA1257" s="39"/>
      <c r="AB1257" s="119">
        <f t="shared" ref="AB1257" si="811">SUM(Y1257:AA1257)</f>
        <v>203</v>
      </c>
      <c r="AC1257" s="39"/>
      <c r="AD1257" s="39"/>
      <c r="AE1257" s="39"/>
      <c r="AF1257" s="39"/>
      <c r="AG1257" s="39"/>
      <c r="AH1257" s="39">
        <f t="shared" si="779"/>
        <v>0</v>
      </c>
      <c r="AI1257" s="39"/>
      <c r="AJ1257" s="39"/>
      <c r="AK1257" s="39"/>
      <c r="AL1257" s="39"/>
      <c r="AM1257" s="39"/>
      <c r="AN1257" s="39">
        <f t="shared" si="778"/>
        <v>0</v>
      </c>
      <c r="AO1257" s="39"/>
      <c r="AP1257" s="39"/>
      <c r="AQ1257" s="39"/>
      <c r="AR1257" s="39"/>
      <c r="AS1257" s="39"/>
      <c r="AT1257" s="39">
        <f t="shared" si="762"/>
        <v>0</v>
      </c>
      <c r="AU1257" s="39"/>
      <c r="AV1257" s="39"/>
      <c r="AW1257" s="39"/>
      <c r="AX1257" s="39"/>
      <c r="AY1257" s="39"/>
      <c r="AZ1257" s="39">
        <f t="shared" si="763"/>
        <v>0</v>
      </c>
      <c r="BA1257" s="39"/>
      <c r="BB1257" s="39"/>
      <c r="BC1257" s="39"/>
      <c r="BD1257" s="39"/>
      <c r="BE1257" s="39"/>
      <c r="BF1257" s="39">
        <f t="shared" si="764"/>
        <v>0</v>
      </c>
      <c r="BG1257" s="39"/>
      <c r="BH1257" s="39"/>
      <c r="BI1257" s="39"/>
      <c r="BJ1257" s="39"/>
      <c r="BK1257" s="39"/>
      <c r="BL1257" s="39">
        <f t="shared" si="780"/>
        <v>0</v>
      </c>
      <c r="BM1257" s="54" t="str">
        <f t="shared" si="765"/>
        <v/>
      </c>
      <c r="BN1257" s="58">
        <v>46275</v>
      </c>
      <c r="BO1257" s="57">
        <v>46286</v>
      </c>
      <c r="BP1257" s="36"/>
      <c r="BQ1257" s="36"/>
      <c r="BR1257" s="57">
        <v>46262</v>
      </c>
      <c r="BS1257" s="57">
        <v>46262</v>
      </c>
      <c r="BT1257" s="39">
        <v>1995</v>
      </c>
      <c r="BU1257" s="39">
        <v>203</v>
      </c>
      <c r="BV1257" s="39"/>
      <c r="BW1257" s="39"/>
      <c r="BX1257" s="39"/>
      <c r="BY1257" s="39"/>
      <c r="BZ1257" s="39">
        <f t="shared" si="781"/>
        <v>203</v>
      </c>
      <c r="CA1257" s="39">
        <f t="shared" si="766"/>
        <v>8</v>
      </c>
      <c r="CB1257" s="39">
        <f t="shared" si="767"/>
        <v>0</v>
      </c>
      <c r="CC1257" s="39">
        <f t="shared" si="768"/>
        <v>0</v>
      </c>
      <c r="CD1257" s="39">
        <f t="shared" si="782"/>
        <v>0</v>
      </c>
      <c r="CE1257" s="102">
        <f t="shared" si="769"/>
        <v>0</v>
      </c>
      <c r="CF1257" s="36"/>
      <c r="CG1257" s="39" t="s">
        <v>233</v>
      </c>
      <c r="CH1257" s="39"/>
      <c r="CI1257" s="25">
        <v>1</v>
      </c>
    </row>
    <row r="1258" spans="1:87" ht="24.75" customHeight="1">
      <c r="A1258" s="36" t="s">
        <v>20</v>
      </c>
      <c r="B1258" s="29" t="s">
        <v>2070</v>
      </c>
      <c r="C1258" s="227" t="s">
        <v>2071</v>
      </c>
      <c r="D1258" s="36"/>
      <c r="E1258" s="39">
        <v>220</v>
      </c>
      <c r="F1258" s="39" t="s">
        <v>58</v>
      </c>
      <c r="G1258" s="36" t="s">
        <v>316</v>
      </c>
      <c r="H1258" s="36" t="s">
        <v>209</v>
      </c>
      <c r="I1258" s="39">
        <v>616</v>
      </c>
      <c r="J1258" s="39"/>
      <c r="K1258" s="39"/>
      <c r="L1258" s="39">
        <f t="shared" si="809"/>
        <v>616</v>
      </c>
      <c r="M1258" s="57">
        <v>46266</v>
      </c>
      <c r="N1258" s="57">
        <v>46273</v>
      </c>
      <c r="O1258" s="39"/>
      <c r="P1258" s="39"/>
      <c r="Q1258" s="39"/>
      <c r="R1258" s="39">
        <f t="shared" ref="R1258" si="812">SUM(O1258:Q1258)</f>
        <v>0</v>
      </c>
      <c r="S1258" s="39" t="s">
        <v>130</v>
      </c>
      <c r="T1258" s="39">
        <v>109402</v>
      </c>
      <c r="U1258" s="117">
        <v>46280</v>
      </c>
      <c r="V1258" s="39"/>
      <c r="W1258" s="39"/>
      <c r="X1258" s="39"/>
      <c r="Y1258" s="39">
        <v>699</v>
      </c>
      <c r="Z1258" s="39"/>
      <c r="AA1258" s="39"/>
      <c r="AB1258" s="119">
        <f t="shared" ref="AB1258" si="813">SUM(Y1258:AA1258)</f>
        <v>699</v>
      </c>
      <c r="AC1258" s="39"/>
      <c r="AD1258" s="39"/>
      <c r="AE1258" s="39"/>
      <c r="AF1258" s="39"/>
      <c r="AG1258" s="39"/>
      <c r="AH1258" s="39">
        <f t="shared" si="779"/>
        <v>0</v>
      </c>
      <c r="AI1258" s="39"/>
      <c r="AJ1258" s="39"/>
      <c r="AK1258" s="39"/>
      <c r="AL1258" s="39"/>
      <c r="AM1258" s="39"/>
      <c r="AN1258" s="39">
        <f t="shared" si="778"/>
        <v>0</v>
      </c>
      <c r="AO1258" s="39"/>
      <c r="AP1258" s="39"/>
      <c r="AQ1258" s="39"/>
      <c r="AR1258" s="39"/>
      <c r="AS1258" s="39"/>
      <c r="AT1258" s="39">
        <f t="shared" si="762"/>
        <v>0</v>
      </c>
      <c r="AU1258" s="39"/>
      <c r="AV1258" s="39"/>
      <c r="AW1258" s="39"/>
      <c r="AX1258" s="39"/>
      <c r="AY1258" s="39"/>
      <c r="AZ1258" s="39">
        <f t="shared" si="763"/>
        <v>0</v>
      </c>
      <c r="BA1258" s="39"/>
      <c r="BB1258" s="39"/>
      <c r="BC1258" s="39"/>
      <c r="BD1258" s="39"/>
      <c r="BE1258" s="39"/>
      <c r="BF1258" s="39">
        <f t="shared" si="764"/>
        <v>0</v>
      </c>
      <c r="BG1258" s="39"/>
      <c r="BH1258" s="39"/>
      <c r="BI1258" s="39"/>
      <c r="BJ1258" s="39"/>
      <c r="BK1258" s="39"/>
      <c r="BL1258" s="39">
        <f t="shared" si="780"/>
        <v>0</v>
      </c>
      <c r="BM1258" s="54">
        <f t="shared" ca="1" si="765"/>
        <v>3</v>
      </c>
      <c r="BN1258" s="58">
        <v>46275</v>
      </c>
      <c r="BO1258" s="57">
        <v>46287</v>
      </c>
      <c r="BP1258" s="36"/>
      <c r="BQ1258" s="36"/>
      <c r="BR1258" s="36"/>
      <c r="BS1258" s="36"/>
      <c r="BT1258" s="39"/>
      <c r="BU1258" s="39"/>
      <c r="BV1258" s="39"/>
      <c r="BW1258" s="39"/>
      <c r="BX1258" s="39"/>
      <c r="BY1258" s="39"/>
      <c r="BZ1258" s="39">
        <f t="shared" si="781"/>
        <v>0</v>
      </c>
      <c r="CA1258" s="39">
        <f t="shared" si="766"/>
        <v>-616</v>
      </c>
      <c r="CB1258" s="39">
        <f t="shared" si="767"/>
        <v>0</v>
      </c>
      <c r="CC1258" s="39">
        <f t="shared" si="768"/>
        <v>0</v>
      </c>
      <c r="CD1258" s="39">
        <f t="shared" si="782"/>
        <v>-616</v>
      </c>
      <c r="CE1258" s="102">
        <f t="shared" si="769"/>
        <v>-1</v>
      </c>
      <c r="CF1258" s="36"/>
      <c r="CG1258" s="39" t="s">
        <v>233</v>
      </c>
      <c r="CH1258" s="39"/>
      <c r="CI1258" s="25">
        <v>1</v>
      </c>
    </row>
    <row r="1259" spans="1:87" ht="24.75" customHeight="1">
      <c r="A1259" s="36" t="s">
        <v>20</v>
      </c>
      <c r="B1259" s="29" t="s">
        <v>2070</v>
      </c>
      <c r="C1259" s="231"/>
      <c r="D1259" s="36"/>
      <c r="E1259" s="39">
        <v>220</v>
      </c>
      <c r="F1259" s="39" t="s">
        <v>58</v>
      </c>
      <c r="G1259" s="36" t="s">
        <v>638</v>
      </c>
      <c r="H1259" s="36" t="s">
        <v>209</v>
      </c>
      <c r="I1259" s="39">
        <v>616</v>
      </c>
      <c r="J1259" s="39"/>
      <c r="K1259" s="39"/>
      <c r="L1259" s="39">
        <f t="shared" si="809"/>
        <v>616</v>
      </c>
      <c r="M1259" s="57">
        <v>46266</v>
      </c>
      <c r="N1259" s="57">
        <v>46273</v>
      </c>
      <c r="O1259" s="39"/>
      <c r="P1259" s="39"/>
      <c r="Q1259" s="39"/>
      <c r="R1259" s="39">
        <f t="shared" ref="R1259:R1262" si="814">SUM(O1259:Q1259)</f>
        <v>0</v>
      </c>
      <c r="S1259" s="39" t="s">
        <v>130</v>
      </c>
      <c r="T1259" s="39">
        <v>109124</v>
      </c>
      <c r="U1259" s="117">
        <v>46270</v>
      </c>
      <c r="V1259" s="39"/>
      <c r="W1259" s="39"/>
      <c r="X1259" s="39"/>
      <c r="Y1259" s="39">
        <v>699</v>
      </c>
      <c r="Z1259" s="39"/>
      <c r="AA1259" s="39"/>
      <c r="AB1259" s="119">
        <f t="shared" ref="AB1259:AB1322" si="815">SUM(Y1259:AA1259)</f>
        <v>699</v>
      </c>
      <c r="AC1259" s="39"/>
      <c r="AD1259" s="39"/>
      <c r="AE1259" s="39"/>
      <c r="AF1259" s="39"/>
      <c r="AG1259" s="39"/>
      <c r="AH1259" s="39">
        <f t="shared" si="779"/>
        <v>0</v>
      </c>
      <c r="AI1259" s="39"/>
      <c r="AJ1259" s="39"/>
      <c r="AK1259" s="39"/>
      <c r="AL1259" s="39"/>
      <c r="AM1259" s="39"/>
      <c r="AN1259" s="39">
        <f t="shared" si="778"/>
        <v>0</v>
      </c>
      <c r="AO1259" s="39"/>
      <c r="AP1259" s="39"/>
      <c r="AQ1259" s="39"/>
      <c r="AR1259" s="39"/>
      <c r="AS1259" s="39"/>
      <c r="AT1259" s="39">
        <f t="shared" si="762"/>
        <v>0</v>
      </c>
      <c r="AU1259" s="39"/>
      <c r="AV1259" s="39"/>
      <c r="AW1259" s="39"/>
      <c r="AX1259" s="39"/>
      <c r="AY1259" s="39"/>
      <c r="AZ1259" s="39">
        <f t="shared" si="763"/>
        <v>0</v>
      </c>
      <c r="BA1259" s="39"/>
      <c r="BB1259" s="39"/>
      <c r="BC1259" s="39"/>
      <c r="BD1259" s="39"/>
      <c r="BE1259" s="39"/>
      <c r="BF1259" s="39">
        <f t="shared" si="764"/>
        <v>0</v>
      </c>
      <c r="BG1259" s="39"/>
      <c r="BH1259" s="39"/>
      <c r="BI1259" s="39"/>
      <c r="BJ1259" s="39"/>
      <c r="BK1259" s="39"/>
      <c r="BL1259" s="39">
        <f t="shared" si="780"/>
        <v>0</v>
      </c>
      <c r="BM1259" s="54" t="str">
        <f t="shared" si="765"/>
        <v/>
      </c>
      <c r="BN1259" s="58">
        <v>46275</v>
      </c>
      <c r="BO1259" s="57">
        <v>46287</v>
      </c>
      <c r="BP1259" s="36"/>
      <c r="BQ1259" s="36"/>
      <c r="BR1259" s="57">
        <v>46276</v>
      </c>
      <c r="BS1259" s="57">
        <v>46276</v>
      </c>
      <c r="BT1259" s="39">
        <v>781</v>
      </c>
      <c r="BU1259" s="39">
        <v>636</v>
      </c>
      <c r="BV1259" s="39"/>
      <c r="BW1259" s="39"/>
      <c r="BX1259" s="39"/>
      <c r="BY1259" s="39"/>
      <c r="BZ1259" s="39">
        <f t="shared" si="781"/>
        <v>636</v>
      </c>
      <c r="CA1259" s="39">
        <f t="shared" si="766"/>
        <v>20</v>
      </c>
      <c r="CB1259" s="39">
        <f t="shared" si="767"/>
        <v>0</v>
      </c>
      <c r="CC1259" s="39">
        <f t="shared" si="768"/>
        <v>0</v>
      </c>
      <c r="CD1259" s="39">
        <f t="shared" si="782"/>
        <v>0</v>
      </c>
      <c r="CE1259" s="102">
        <f t="shared" si="769"/>
        <v>0</v>
      </c>
      <c r="CF1259" s="36"/>
      <c r="CG1259" s="39" t="s">
        <v>233</v>
      </c>
      <c r="CH1259" s="39"/>
      <c r="CI1259" s="25">
        <v>1</v>
      </c>
    </row>
    <row r="1260" spans="1:87" ht="24.75" customHeight="1">
      <c r="A1260" s="36" t="s">
        <v>20</v>
      </c>
      <c r="B1260" s="29" t="s">
        <v>2070</v>
      </c>
      <c r="C1260" s="231"/>
      <c r="D1260" s="36"/>
      <c r="E1260" s="39">
        <v>220</v>
      </c>
      <c r="F1260" s="39" t="s">
        <v>58</v>
      </c>
      <c r="G1260" s="36" t="s">
        <v>23</v>
      </c>
      <c r="H1260" s="36" t="s">
        <v>209</v>
      </c>
      <c r="I1260" s="39">
        <v>616</v>
      </c>
      <c r="J1260" s="39"/>
      <c r="K1260" s="39"/>
      <c r="L1260" s="39">
        <f t="shared" ref="L1260:L1263" si="816">SUM(I1260:K1260)</f>
        <v>616</v>
      </c>
      <c r="M1260" s="57">
        <v>46266</v>
      </c>
      <c r="N1260" s="57">
        <v>46273</v>
      </c>
      <c r="O1260" s="39"/>
      <c r="P1260" s="39"/>
      <c r="Q1260" s="39"/>
      <c r="R1260" s="39">
        <f t="shared" si="814"/>
        <v>0</v>
      </c>
      <c r="S1260" s="39" t="s">
        <v>130</v>
      </c>
      <c r="T1260" s="39" t="s">
        <v>2410</v>
      </c>
      <c r="U1260" s="117">
        <v>46253</v>
      </c>
      <c r="V1260" s="39"/>
      <c r="W1260" s="39"/>
      <c r="X1260" s="39"/>
      <c r="Y1260" s="39">
        <f>333+312</f>
        <v>645</v>
      </c>
      <c r="Z1260" s="39"/>
      <c r="AA1260" s="39"/>
      <c r="AB1260" s="118">
        <f t="shared" si="815"/>
        <v>645</v>
      </c>
      <c r="AC1260" s="39"/>
      <c r="AD1260" s="39"/>
      <c r="AE1260" s="39"/>
      <c r="AF1260" s="39"/>
      <c r="AG1260" s="39"/>
      <c r="AH1260" s="39">
        <f t="shared" si="779"/>
        <v>0</v>
      </c>
      <c r="AI1260" s="39"/>
      <c r="AJ1260" s="39"/>
      <c r="AK1260" s="39"/>
      <c r="AL1260" s="39"/>
      <c r="AM1260" s="39"/>
      <c r="AN1260" s="39">
        <f t="shared" si="778"/>
        <v>0</v>
      </c>
      <c r="AO1260" s="39"/>
      <c r="AP1260" s="39"/>
      <c r="AQ1260" s="39"/>
      <c r="AR1260" s="39"/>
      <c r="AS1260" s="39"/>
      <c r="AT1260" s="39">
        <f t="shared" si="762"/>
        <v>0</v>
      </c>
      <c r="AU1260" s="39"/>
      <c r="AV1260" s="39"/>
      <c r="AW1260" s="39"/>
      <c r="AX1260" s="39"/>
      <c r="AY1260" s="39"/>
      <c r="AZ1260" s="39">
        <f t="shared" si="763"/>
        <v>0</v>
      </c>
      <c r="BA1260" s="39"/>
      <c r="BB1260" s="39"/>
      <c r="BC1260" s="39"/>
      <c r="BD1260" s="39"/>
      <c r="BE1260" s="39"/>
      <c r="BF1260" s="39">
        <f t="shared" si="764"/>
        <v>0</v>
      </c>
      <c r="BG1260" s="39"/>
      <c r="BH1260" s="39"/>
      <c r="BI1260" s="39"/>
      <c r="BJ1260" s="39"/>
      <c r="BK1260" s="39"/>
      <c r="BL1260" s="39">
        <f t="shared" si="780"/>
        <v>0</v>
      </c>
      <c r="BM1260" s="54" t="str">
        <f t="shared" si="765"/>
        <v/>
      </c>
      <c r="BN1260" s="58">
        <v>46275</v>
      </c>
      <c r="BO1260" s="57">
        <v>46287</v>
      </c>
      <c r="BP1260" s="36"/>
      <c r="BQ1260" s="36"/>
      <c r="BR1260" s="57">
        <v>46256</v>
      </c>
      <c r="BS1260" s="36"/>
      <c r="BT1260" s="39" t="s">
        <v>2665</v>
      </c>
      <c r="BU1260" s="39">
        <f>189+265+28+69+17</f>
        <v>568</v>
      </c>
      <c r="BV1260" s="39"/>
      <c r="BW1260" s="39"/>
      <c r="BX1260" s="39"/>
      <c r="BY1260" s="39"/>
      <c r="BZ1260" s="39">
        <f t="shared" si="781"/>
        <v>568</v>
      </c>
      <c r="CA1260" s="39">
        <f t="shared" si="766"/>
        <v>-48</v>
      </c>
      <c r="CB1260" s="39">
        <f t="shared" si="767"/>
        <v>0</v>
      </c>
      <c r="CC1260" s="39">
        <f t="shared" si="768"/>
        <v>0</v>
      </c>
      <c r="CD1260" s="39">
        <f t="shared" si="782"/>
        <v>-48</v>
      </c>
      <c r="CE1260" s="102">
        <f t="shared" si="769"/>
        <v>-7.792207792207792E-2</v>
      </c>
      <c r="CF1260" s="36"/>
      <c r="CG1260" s="39" t="s">
        <v>233</v>
      </c>
      <c r="CH1260" s="39"/>
      <c r="CI1260" s="25">
        <v>1</v>
      </c>
    </row>
    <row r="1261" spans="1:87" ht="24.75" customHeight="1">
      <c r="A1261" s="36" t="s">
        <v>20</v>
      </c>
      <c r="B1261" s="29" t="s">
        <v>2070</v>
      </c>
      <c r="C1261" s="228"/>
      <c r="D1261" s="36"/>
      <c r="E1261" s="39">
        <v>220</v>
      </c>
      <c r="F1261" s="39" t="s">
        <v>58</v>
      </c>
      <c r="G1261" s="36" t="s">
        <v>216</v>
      </c>
      <c r="H1261" s="36" t="s">
        <v>459</v>
      </c>
      <c r="I1261" s="39">
        <v>616</v>
      </c>
      <c r="J1261" s="39"/>
      <c r="K1261" s="39"/>
      <c r="L1261" s="39">
        <f t="shared" si="816"/>
        <v>616</v>
      </c>
      <c r="M1261" s="57">
        <v>46266</v>
      </c>
      <c r="N1261" s="57">
        <v>46273</v>
      </c>
      <c r="O1261" s="39"/>
      <c r="P1261" s="39"/>
      <c r="Q1261" s="39"/>
      <c r="R1261" s="39">
        <f t="shared" si="814"/>
        <v>0</v>
      </c>
      <c r="S1261" s="39" t="s">
        <v>130</v>
      </c>
      <c r="T1261" s="39"/>
      <c r="U1261" s="39"/>
      <c r="V1261" s="39"/>
      <c r="W1261" s="39"/>
      <c r="X1261" s="39"/>
      <c r="Y1261" s="39"/>
      <c r="Z1261" s="39"/>
      <c r="AA1261" s="39"/>
      <c r="AB1261" s="118">
        <f t="shared" si="815"/>
        <v>0</v>
      </c>
      <c r="AC1261" s="39"/>
      <c r="AD1261" s="39"/>
      <c r="AE1261" s="39"/>
      <c r="AF1261" s="39"/>
      <c r="AG1261" s="39"/>
      <c r="AH1261" s="39">
        <f t="shared" si="779"/>
        <v>0</v>
      </c>
      <c r="AI1261" s="39"/>
      <c r="AJ1261" s="39"/>
      <c r="AK1261" s="39"/>
      <c r="AL1261" s="39"/>
      <c r="AM1261" s="39"/>
      <c r="AN1261" s="39">
        <f t="shared" si="778"/>
        <v>0</v>
      </c>
      <c r="AO1261" s="39"/>
      <c r="AP1261" s="39"/>
      <c r="AQ1261" s="39"/>
      <c r="AR1261" s="39"/>
      <c r="AS1261" s="39"/>
      <c r="AT1261" s="39">
        <f t="shared" si="762"/>
        <v>0</v>
      </c>
      <c r="AU1261" s="39"/>
      <c r="AV1261" s="39"/>
      <c r="AW1261" s="39"/>
      <c r="AX1261" s="39"/>
      <c r="AY1261" s="39"/>
      <c r="AZ1261" s="39">
        <f t="shared" si="763"/>
        <v>0</v>
      </c>
      <c r="BA1261" s="39"/>
      <c r="BB1261" s="39"/>
      <c r="BC1261" s="39"/>
      <c r="BD1261" s="39"/>
      <c r="BE1261" s="39"/>
      <c r="BF1261" s="39">
        <f t="shared" si="764"/>
        <v>0</v>
      </c>
      <c r="BG1261" s="39"/>
      <c r="BH1261" s="39"/>
      <c r="BI1261" s="39"/>
      <c r="BJ1261" s="39"/>
      <c r="BK1261" s="39"/>
      <c r="BL1261" s="39">
        <f t="shared" si="780"/>
        <v>0</v>
      </c>
      <c r="BM1261" s="54">
        <f t="shared" ca="1" si="765"/>
        <v>46283</v>
      </c>
      <c r="BN1261" s="58">
        <v>46275</v>
      </c>
      <c r="BO1261" s="57">
        <v>46287</v>
      </c>
      <c r="BP1261" s="36"/>
      <c r="BQ1261" s="36"/>
      <c r="BR1261" s="36"/>
      <c r="BS1261" s="36"/>
      <c r="BT1261" s="39"/>
      <c r="BU1261" s="39"/>
      <c r="BV1261" s="39"/>
      <c r="BW1261" s="39"/>
      <c r="BX1261" s="39"/>
      <c r="BY1261" s="39"/>
      <c r="BZ1261" s="39">
        <f t="shared" si="781"/>
        <v>0</v>
      </c>
      <c r="CA1261" s="39">
        <f t="shared" si="766"/>
        <v>-616</v>
      </c>
      <c r="CB1261" s="39">
        <f t="shared" si="767"/>
        <v>0</v>
      </c>
      <c r="CC1261" s="39">
        <f t="shared" si="768"/>
        <v>0</v>
      </c>
      <c r="CD1261" s="39">
        <f t="shared" si="782"/>
        <v>-616</v>
      </c>
      <c r="CE1261" s="102">
        <f t="shared" si="769"/>
        <v>-1</v>
      </c>
      <c r="CF1261" s="36"/>
      <c r="CG1261" s="39" t="s">
        <v>233</v>
      </c>
      <c r="CH1261" s="39"/>
      <c r="CI1261" s="25">
        <v>1</v>
      </c>
    </row>
    <row r="1262" spans="1:87" ht="24.75" customHeight="1">
      <c r="A1262" s="36" t="s">
        <v>20</v>
      </c>
      <c r="B1262" s="29" t="s">
        <v>2072</v>
      </c>
      <c r="C1262" s="227" t="s">
        <v>2073</v>
      </c>
      <c r="D1262" s="36"/>
      <c r="E1262" s="39">
        <v>200</v>
      </c>
      <c r="F1262" s="39" t="s">
        <v>60</v>
      </c>
      <c r="G1262" s="36" t="s">
        <v>23</v>
      </c>
      <c r="H1262" s="36" t="s">
        <v>89</v>
      </c>
      <c r="I1262" s="39">
        <v>475</v>
      </c>
      <c r="J1262" s="39"/>
      <c r="K1262" s="39"/>
      <c r="L1262" s="39">
        <f t="shared" si="816"/>
        <v>475</v>
      </c>
      <c r="M1262" s="57">
        <v>46254</v>
      </c>
      <c r="N1262" s="57">
        <v>46265</v>
      </c>
      <c r="O1262" s="39"/>
      <c r="P1262" s="39"/>
      <c r="Q1262" s="39"/>
      <c r="R1262" s="39">
        <f t="shared" si="814"/>
        <v>0</v>
      </c>
      <c r="S1262" s="39" t="s">
        <v>28</v>
      </c>
      <c r="T1262" s="39"/>
      <c r="U1262" s="39"/>
      <c r="V1262" s="117">
        <v>46261</v>
      </c>
      <c r="W1262" s="39">
        <v>524</v>
      </c>
      <c r="X1262" s="117">
        <v>46281</v>
      </c>
      <c r="Y1262" s="39">
        <v>488</v>
      </c>
      <c r="Z1262" s="39"/>
      <c r="AA1262" s="39"/>
      <c r="AB1262" s="119">
        <f t="shared" si="815"/>
        <v>488</v>
      </c>
      <c r="AC1262" s="39"/>
      <c r="AD1262" s="39"/>
      <c r="AE1262" s="39"/>
      <c r="AF1262" s="39"/>
      <c r="AG1262" s="39"/>
      <c r="AH1262" s="39">
        <f t="shared" si="779"/>
        <v>0</v>
      </c>
      <c r="AI1262" s="39"/>
      <c r="AJ1262" s="39"/>
      <c r="AK1262" s="39"/>
      <c r="AL1262" s="39"/>
      <c r="AM1262" s="39"/>
      <c r="AN1262" s="39">
        <f t="shared" si="778"/>
        <v>0</v>
      </c>
      <c r="AO1262" s="39"/>
      <c r="AP1262" s="39"/>
      <c r="AQ1262" s="39"/>
      <c r="AR1262" s="39"/>
      <c r="AS1262" s="39"/>
      <c r="AT1262" s="39">
        <f t="shared" si="762"/>
        <v>0</v>
      </c>
      <c r="AU1262" s="39"/>
      <c r="AV1262" s="39"/>
      <c r="AW1262" s="39"/>
      <c r="AX1262" s="39"/>
      <c r="AY1262" s="39"/>
      <c r="AZ1262" s="39">
        <f t="shared" si="763"/>
        <v>0</v>
      </c>
      <c r="BA1262" s="39"/>
      <c r="BB1262" s="39"/>
      <c r="BC1262" s="39"/>
      <c r="BD1262" s="39"/>
      <c r="BE1262" s="39"/>
      <c r="BF1262" s="39">
        <f t="shared" si="764"/>
        <v>0</v>
      </c>
      <c r="BG1262" s="39"/>
      <c r="BH1262" s="39"/>
      <c r="BI1262" s="39"/>
      <c r="BJ1262" s="39"/>
      <c r="BK1262" s="39"/>
      <c r="BL1262" s="39">
        <f t="shared" si="780"/>
        <v>0</v>
      </c>
      <c r="BM1262" s="54" t="str">
        <f t="shared" si="765"/>
        <v/>
      </c>
      <c r="BN1262" s="58">
        <v>46266</v>
      </c>
      <c r="BO1262" s="57">
        <v>46277</v>
      </c>
      <c r="BP1262" s="36"/>
      <c r="BQ1262" s="36"/>
      <c r="BR1262" s="57">
        <v>46282</v>
      </c>
      <c r="BS1262" s="57">
        <v>46282</v>
      </c>
      <c r="BT1262" s="39">
        <v>975</v>
      </c>
      <c r="BU1262" s="39">
        <v>488</v>
      </c>
      <c r="BV1262" s="39"/>
      <c r="BW1262" s="39"/>
      <c r="BX1262" s="39"/>
      <c r="BY1262" s="39"/>
      <c r="BZ1262" s="39">
        <f t="shared" si="781"/>
        <v>488</v>
      </c>
      <c r="CA1262" s="39">
        <f t="shared" si="766"/>
        <v>13</v>
      </c>
      <c r="CB1262" s="39">
        <f t="shared" si="767"/>
        <v>0</v>
      </c>
      <c r="CC1262" s="39">
        <f t="shared" si="768"/>
        <v>0</v>
      </c>
      <c r="CD1262" s="39">
        <f t="shared" si="782"/>
        <v>0</v>
      </c>
      <c r="CE1262" s="102">
        <f t="shared" si="769"/>
        <v>0</v>
      </c>
      <c r="CF1262" s="36"/>
      <c r="CG1262" s="39" t="s">
        <v>233</v>
      </c>
      <c r="CH1262" s="39"/>
      <c r="CI1262" s="25">
        <v>1</v>
      </c>
    </row>
    <row r="1263" spans="1:87" ht="24.75" customHeight="1">
      <c r="A1263" s="36" t="s">
        <v>20</v>
      </c>
      <c r="B1263" s="29" t="s">
        <v>2072</v>
      </c>
      <c r="C1263" s="228"/>
      <c r="D1263" s="36"/>
      <c r="E1263" s="39"/>
      <c r="F1263" s="39"/>
      <c r="G1263" s="36" t="s">
        <v>75</v>
      </c>
      <c r="H1263" s="36"/>
      <c r="I1263" s="39"/>
      <c r="J1263" s="39"/>
      <c r="K1263" s="39"/>
      <c r="L1263" s="39">
        <f t="shared" si="816"/>
        <v>0</v>
      </c>
      <c r="M1263" s="57">
        <v>46254</v>
      </c>
      <c r="N1263" s="57">
        <v>46265</v>
      </c>
      <c r="O1263" s="39"/>
      <c r="P1263" s="39"/>
      <c r="Q1263" s="39"/>
      <c r="R1263" s="39">
        <f t="shared" ref="R1263:R1297" si="817">SUM(O1263:Q1263)</f>
        <v>0</v>
      </c>
      <c r="S1263" s="39" t="s">
        <v>130</v>
      </c>
      <c r="T1263" s="39"/>
      <c r="U1263" s="39"/>
      <c r="V1263" s="39"/>
      <c r="W1263" s="39"/>
      <c r="X1263" s="39"/>
      <c r="Y1263" s="39"/>
      <c r="Z1263" s="39"/>
      <c r="AA1263" s="39"/>
      <c r="AB1263" s="39">
        <f t="shared" si="815"/>
        <v>0</v>
      </c>
      <c r="AC1263" s="39"/>
      <c r="AD1263" s="39"/>
      <c r="AE1263" s="39"/>
      <c r="AF1263" s="39"/>
      <c r="AG1263" s="39"/>
      <c r="AH1263" s="39">
        <f t="shared" si="779"/>
        <v>0</v>
      </c>
      <c r="AI1263" s="39"/>
      <c r="AJ1263" s="39"/>
      <c r="AK1263" s="39"/>
      <c r="AL1263" s="39"/>
      <c r="AM1263" s="39"/>
      <c r="AN1263" s="39">
        <f t="shared" si="778"/>
        <v>0</v>
      </c>
      <c r="AO1263" s="39"/>
      <c r="AP1263" s="39"/>
      <c r="AQ1263" s="39"/>
      <c r="AR1263" s="39"/>
      <c r="AS1263" s="39"/>
      <c r="AT1263" s="39">
        <f t="shared" si="762"/>
        <v>0</v>
      </c>
      <c r="AU1263" s="39"/>
      <c r="AV1263" s="39"/>
      <c r="AW1263" s="39"/>
      <c r="AX1263" s="39"/>
      <c r="AY1263" s="39"/>
      <c r="AZ1263" s="39">
        <f t="shared" si="763"/>
        <v>0</v>
      </c>
      <c r="BA1263" s="39"/>
      <c r="BB1263" s="39"/>
      <c r="BC1263" s="39"/>
      <c r="BD1263" s="39"/>
      <c r="BE1263" s="39"/>
      <c r="BF1263" s="39">
        <f t="shared" si="764"/>
        <v>0</v>
      </c>
      <c r="BG1263" s="39"/>
      <c r="BH1263" s="39"/>
      <c r="BI1263" s="39"/>
      <c r="BJ1263" s="39"/>
      <c r="BK1263" s="39"/>
      <c r="BL1263" s="39">
        <f t="shared" si="780"/>
        <v>0</v>
      </c>
      <c r="BM1263" s="54" t="e">
        <f t="shared" si="765"/>
        <v>#DIV/0!</v>
      </c>
      <c r="BN1263" s="58">
        <v>46266</v>
      </c>
      <c r="BO1263" s="57">
        <v>46277</v>
      </c>
      <c r="BP1263" s="36"/>
      <c r="BQ1263" s="36"/>
      <c r="BR1263" s="36"/>
      <c r="BS1263" s="36"/>
      <c r="BT1263" s="39"/>
      <c r="BU1263" s="39"/>
      <c r="BV1263" s="39"/>
      <c r="BW1263" s="39"/>
      <c r="BX1263" s="39"/>
      <c r="BY1263" s="39"/>
      <c r="BZ1263" s="39">
        <f t="shared" si="781"/>
        <v>0</v>
      </c>
      <c r="CA1263" s="39">
        <f t="shared" si="766"/>
        <v>0</v>
      </c>
      <c r="CB1263" s="39">
        <f t="shared" si="767"/>
        <v>0</v>
      </c>
      <c r="CC1263" s="39">
        <f t="shared" si="768"/>
        <v>0</v>
      </c>
      <c r="CD1263" s="39">
        <f t="shared" si="782"/>
        <v>0</v>
      </c>
      <c r="CE1263" s="102" t="e">
        <f t="shared" si="769"/>
        <v>#DIV/0!</v>
      </c>
      <c r="CF1263" s="36"/>
      <c r="CG1263" s="39" t="s">
        <v>233</v>
      </c>
      <c r="CH1263" s="39"/>
      <c r="CI1263" s="25">
        <v>1</v>
      </c>
    </row>
    <row r="1264" spans="1:87" ht="24.75" customHeight="1">
      <c r="A1264" s="36" t="s">
        <v>20</v>
      </c>
      <c r="B1264" s="29" t="s">
        <v>2074</v>
      </c>
      <c r="C1264" s="227" t="s">
        <v>2075</v>
      </c>
      <c r="D1264" s="36"/>
      <c r="E1264" s="39">
        <v>160</v>
      </c>
      <c r="F1264" s="39" t="s">
        <v>55</v>
      </c>
      <c r="G1264" s="36" t="s">
        <v>23</v>
      </c>
      <c r="H1264" s="36" t="s">
        <v>207</v>
      </c>
      <c r="I1264" s="39">
        <v>572</v>
      </c>
      <c r="J1264" s="39"/>
      <c r="K1264" s="39"/>
      <c r="L1264" s="39">
        <f t="shared" ref="L1264:L1265" si="818">SUM(I1264:K1264)</f>
        <v>572</v>
      </c>
      <c r="M1264" s="57">
        <v>46254</v>
      </c>
      <c r="N1264" s="57">
        <v>46265</v>
      </c>
      <c r="O1264" s="39"/>
      <c r="P1264" s="39"/>
      <c r="Q1264" s="39"/>
      <c r="R1264" s="39">
        <f t="shared" si="817"/>
        <v>0</v>
      </c>
      <c r="S1264" s="39" t="s">
        <v>130</v>
      </c>
      <c r="T1264" s="39">
        <v>109088</v>
      </c>
      <c r="U1264" s="117">
        <v>46268</v>
      </c>
      <c r="V1264" s="39"/>
      <c r="W1264" s="39"/>
      <c r="X1264" s="39"/>
      <c r="Y1264" s="39">
        <v>620</v>
      </c>
      <c r="Z1264" s="39"/>
      <c r="AA1264" s="39"/>
      <c r="AB1264" s="119">
        <f t="shared" si="815"/>
        <v>620</v>
      </c>
      <c r="AC1264" s="39"/>
      <c r="AD1264" s="39"/>
      <c r="AE1264" s="39"/>
      <c r="AF1264" s="39"/>
      <c r="AG1264" s="39"/>
      <c r="AH1264" s="39">
        <f t="shared" si="779"/>
        <v>0</v>
      </c>
      <c r="AI1264" s="39"/>
      <c r="AJ1264" s="39"/>
      <c r="AK1264" s="39"/>
      <c r="AL1264" s="39"/>
      <c r="AM1264" s="39"/>
      <c r="AN1264" s="39">
        <f t="shared" si="778"/>
        <v>0</v>
      </c>
      <c r="AO1264" s="39"/>
      <c r="AP1264" s="39"/>
      <c r="AQ1264" s="39"/>
      <c r="AR1264" s="39"/>
      <c r="AS1264" s="39"/>
      <c r="AT1264" s="39">
        <f t="shared" si="762"/>
        <v>0</v>
      </c>
      <c r="AU1264" s="39"/>
      <c r="AV1264" s="39"/>
      <c r="AW1264" s="39"/>
      <c r="AX1264" s="39"/>
      <c r="AY1264" s="39"/>
      <c r="AZ1264" s="39">
        <f t="shared" si="763"/>
        <v>0</v>
      </c>
      <c r="BA1264" s="39"/>
      <c r="BB1264" s="39"/>
      <c r="BC1264" s="39"/>
      <c r="BD1264" s="39"/>
      <c r="BE1264" s="39"/>
      <c r="BF1264" s="39">
        <f t="shared" si="764"/>
        <v>0</v>
      </c>
      <c r="BG1264" s="39"/>
      <c r="BH1264" s="39"/>
      <c r="BI1264" s="39"/>
      <c r="BJ1264" s="39"/>
      <c r="BK1264" s="39"/>
      <c r="BL1264" s="39">
        <f t="shared" si="780"/>
        <v>0</v>
      </c>
      <c r="BM1264" s="54" t="str">
        <f t="shared" si="765"/>
        <v/>
      </c>
      <c r="BN1264" s="58">
        <v>46266</v>
      </c>
      <c r="BO1264" s="57">
        <v>46279</v>
      </c>
      <c r="BP1264" s="36"/>
      <c r="BQ1264" s="36"/>
      <c r="BR1264" s="57">
        <v>46272</v>
      </c>
      <c r="BS1264" s="57">
        <v>46272</v>
      </c>
      <c r="BT1264" s="39">
        <v>763</v>
      </c>
      <c r="BU1264" s="39">
        <v>579</v>
      </c>
      <c r="BV1264" s="39"/>
      <c r="BW1264" s="39"/>
      <c r="BX1264" s="39"/>
      <c r="BY1264" s="39"/>
      <c r="BZ1264" s="39">
        <f t="shared" si="781"/>
        <v>579</v>
      </c>
      <c r="CA1264" s="39">
        <f t="shared" si="766"/>
        <v>7</v>
      </c>
      <c r="CB1264" s="39">
        <f t="shared" si="767"/>
        <v>0</v>
      </c>
      <c r="CC1264" s="39">
        <f t="shared" si="768"/>
        <v>0</v>
      </c>
      <c r="CD1264" s="39">
        <f t="shared" si="782"/>
        <v>0</v>
      </c>
      <c r="CE1264" s="102">
        <f t="shared" si="769"/>
        <v>0</v>
      </c>
      <c r="CF1264" s="36"/>
      <c r="CG1264" s="39" t="s">
        <v>233</v>
      </c>
      <c r="CH1264" s="39"/>
      <c r="CI1264" s="25">
        <v>1</v>
      </c>
    </row>
    <row r="1265" spans="1:87" ht="24.75" customHeight="1">
      <c r="A1265" s="36" t="s">
        <v>20</v>
      </c>
      <c r="B1265" s="29" t="s">
        <v>2074</v>
      </c>
      <c r="C1265" s="228"/>
      <c r="D1265" s="36"/>
      <c r="E1265" s="39">
        <v>160</v>
      </c>
      <c r="F1265" s="39" t="s">
        <v>55</v>
      </c>
      <c r="G1265" s="36" t="s">
        <v>21</v>
      </c>
      <c r="H1265" s="36" t="s">
        <v>207</v>
      </c>
      <c r="I1265" s="39">
        <v>572</v>
      </c>
      <c r="J1265" s="39"/>
      <c r="K1265" s="39"/>
      <c r="L1265" s="39">
        <f t="shared" si="818"/>
        <v>572</v>
      </c>
      <c r="M1265" s="57">
        <v>46254</v>
      </c>
      <c r="N1265" s="57">
        <v>46265</v>
      </c>
      <c r="O1265" s="39"/>
      <c r="P1265" s="39"/>
      <c r="Q1265" s="39"/>
      <c r="R1265" s="39">
        <f t="shared" si="817"/>
        <v>0</v>
      </c>
      <c r="S1265" s="39" t="s">
        <v>130</v>
      </c>
      <c r="T1265" s="39" t="s">
        <v>2654</v>
      </c>
      <c r="U1265" s="117" t="s">
        <v>2655</v>
      </c>
      <c r="V1265" s="39"/>
      <c r="W1265" s="39"/>
      <c r="X1265" s="39"/>
      <c r="Y1265" s="39">
        <f>98+550</f>
        <v>648</v>
      </c>
      <c r="Z1265" s="39"/>
      <c r="AA1265" s="39"/>
      <c r="AB1265" s="119">
        <f t="shared" si="815"/>
        <v>648</v>
      </c>
      <c r="AC1265" s="39"/>
      <c r="AD1265" s="39"/>
      <c r="AE1265" s="39"/>
      <c r="AF1265" s="39"/>
      <c r="AG1265" s="39"/>
      <c r="AH1265" s="39">
        <f t="shared" si="779"/>
        <v>0</v>
      </c>
      <c r="AI1265" s="39"/>
      <c r="AJ1265" s="39"/>
      <c r="AK1265" s="39"/>
      <c r="AL1265" s="39"/>
      <c r="AM1265" s="39"/>
      <c r="AN1265" s="39">
        <f t="shared" si="778"/>
        <v>0</v>
      </c>
      <c r="AO1265" s="39"/>
      <c r="AP1265" s="39"/>
      <c r="AQ1265" s="39"/>
      <c r="AR1265" s="39"/>
      <c r="AS1265" s="39"/>
      <c r="AT1265" s="39">
        <f t="shared" si="762"/>
        <v>0</v>
      </c>
      <c r="AU1265" s="39"/>
      <c r="AV1265" s="39"/>
      <c r="AW1265" s="39"/>
      <c r="AX1265" s="39"/>
      <c r="AY1265" s="39"/>
      <c r="AZ1265" s="39">
        <f t="shared" si="763"/>
        <v>0</v>
      </c>
      <c r="BA1265" s="39"/>
      <c r="BB1265" s="39"/>
      <c r="BC1265" s="39"/>
      <c r="BD1265" s="39"/>
      <c r="BE1265" s="39"/>
      <c r="BF1265" s="39">
        <f t="shared" si="764"/>
        <v>0</v>
      </c>
      <c r="BG1265" s="39"/>
      <c r="BH1265" s="39"/>
      <c r="BI1265" s="39"/>
      <c r="BJ1265" s="39"/>
      <c r="BK1265" s="39"/>
      <c r="BL1265" s="39">
        <f t="shared" si="780"/>
        <v>0</v>
      </c>
      <c r="BM1265" s="54" t="e">
        <f t="shared" ca="1" si="765"/>
        <v>#VALUE!</v>
      </c>
      <c r="BN1265" s="58">
        <v>46266</v>
      </c>
      <c r="BO1265" s="57">
        <v>46279</v>
      </c>
      <c r="BP1265" s="36"/>
      <c r="BQ1265" s="36"/>
      <c r="BR1265" s="57">
        <v>46263</v>
      </c>
      <c r="BS1265" s="36"/>
      <c r="BT1265" s="39" t="s">
        <v>2927</v>
      </c>
      <c r="BU1265" s="39">
        <f>84+246</f>
        <v>330</v>
      </c>
      <c r="BV1265" s="39"/>
      <c r="BW1265" s="39"/>
      <c r="BX1265" s="39"/>
      <c r="BY1265" s="39"/>
      <c r="BZ1265" s="39">
        <f t="shared" si="781"/>
        <v>330</v>
      </c>
      <c r="CA1265" s="39">
        <f t="shared" si="766"/>
        <v>-242</v>
      </c>
      <c r="CB1265" s="39">
        <f t="shared" si="767"/>
        <v>0</v>
      </c>
      <c r="CC1265" s="39">
        <f t="shared" si="768"/>
        <v>0</v>
      </c>
      <c r="CD1265" s="39">
        <f t="shared" si="782"/>
        <v>-242</v>
      </c>
      <c r="CE1265" s="102">
        <f t="shared" si="769"/>
        <v>-0.42307692307692307</v>
      </c>
      <c r="CF1265" s="36"/>
      <c r="CG1265" s="39" t="s">
        <v>233</v>
      </c>
      <c r="CH1265" s="39" t="s">
        <v>2928</v>
      </c>
      <c r="CI1265" s="25">
        <v>1</v>
      </c>
    </row>
    <row r="1266" spans="1:87" ht="24.75" customHeight="1">
      <c r="A1266" s="36" t="s">
        <v>20</v>
      </c>
      <c r="B1266" s="29" t="s">
        <v>2171</v>
      </c>
      <c r="C1266" s="227" t="s">
        <v>2172</v>
      </c>
      <c r="D1266" s="36" t="s">
        <v>37</v>
      </c>
      <c r="E1266" s="39">
        <v>210</v>
      </c>
      <c r="F1266" s="39" t="s">
        <v>53</v>
      </c>
      <c r="G1266" s="36" t="s">
        <v>522</v>
      </c>
      <c r="H1266" s="36" t="s">
        <v>209</v>
      </c>
      <c r="I1266" s="39">
        <v>1320</v>
      </c>
      <c r="J1266" s="39"/>
      <c r="K1266" s="39"/>
      <c r="L1266" s="39">
        <f t="shared" ref="L1266:L1267" si="819">SUM(I1266:K1266)</f>
        <v>1320</v>
      </c>
      <c r="M1266" s="57">
        <v>46259</v>
      </c>
      <c r="N1266" s="57">
        <v>46273</v>
      </c>
      <c r="O1266" s="39"/>
      <c r="P1266" s="39"/>
      <c r="Q1266" s="39"/>
      <c r="R1266" s="39">
        <f t="shared" si="817"/>
        <v>0</v>
      </c>
      <c r="S1266" s="39" t="s">
        <v>130</v>
      </c>
      <c r="T1266" s="39" t="s">
        <v>2715</v>
      </c>
      <c r="U1266" s="117" t="s">
        <v>2716</v>
      </c>
      <c r="V1266" s="39"/>
      <c r="W1266" s="39"/>
      <c r="X1266" s="39"/>
      <c r="Y1266" s="39">
        <f>908+544</f>
        <v>1452</v>
      </c>
      <c r="Z1266" s="39"/>
      <c r="AA1266" s="39"/>
      <c r="AB1266" s="119">
        <f t="shared" si="815"/>
        <v>1452</v>
      </c>
      <c r="AC1266" s="39" t="s">
        <v>269</v>
      </c>
      <c r="AD1266" s="117" t="s">
        <v>2813</v>
      </c>
      <c r="AE1266" s="39">
        <f>1.5+798+499</f>
        <v>1298.5</v>
      </c>
      <c r="AF1266" s="39"/>
      <c r="AG1266" s="39"/>
      <c r="AH1266" s="39">
        <f t="shared" si="779"/>
        <v>-1298.5</v>
      </c>
      <c r="AI1266" s="39"/>
      <c r="AJ1266" s="39"/>
      <c r="AK1266" s="39"/>
      <c r="AL1266" s="39"/>
      <c r="AM1266" s="39"/>
      <c r="AN1266" s="39">
        <f t="shared" si="778"/>
        <v>0</v>
      </c>
      <c r="AO1266" s="39"/>
      <c r="AP1266" s="39"/>
      <c r="AQ1266" s="39"/>
      <c r="AR1266" s="39"/>
      <c r="AS1266" s="39"/>
      <c r="AT1266" s="39">
        <f t="shared" si="762"/>
        <v>0</v>
      </c>
      <c r="AU1266" s="39"/>
      <c r="AV1266" s="39"/>
      <c r="AW1266" s="39"/>
      <c r="AX1266" s="39"/>
      <c r="AY1266" s="39"/>
      <c r="AZ1266" s="39">
        <f t="shared" si="763"/>
        <v>0</v>
      </c>
      <c r="BA1266" s="39"/>
      <c r="BB1266" s="39"/>
      <c r="BC1266" s="39"/>
      <c r="BD1266" s="39"/>
      <c r="BE1266" s="39"/>
      <c r="BF1266" s="39">
        <f t="shared" si="764"/>
        <v>0</v>
      </c>
      <c r="BG1266" s="39"/>
      <c r="BH1266" s="39"/>
      <c r="BI1266" s="39"/>
      <c r="BJ1266" s="39"/>
      <c r="BK1266" s="39"/>
      <c r="BL1266" s="39">
        <f t="shared" si="780"/>
        <v>0</v>
      </c>
      <c r="BM1266" s="54" t="e">
        <f t="shared" ca="1" si="765"/>
        <v>#VALUE!</v>
      </c>
      <c r="BN1266" s="58">
        <v>46275</v>
      </c>
      <c r="BO1266" s="57">
        <v>46287</v>
      </c>
      <c r="BP1266" s="57">
        <v>46288</v>
      </c>
      <c r="BQ1266" s="57">
        <v>46298</v>
      </c>
      <c r="BR1266" s="36"/>
      <c r="BS1266" s="36"/>
      <c r="BT1266" s="39"/>
      <c r="BU1266" s="39"/>
      <c r="BV1266" s="39"/>
      <c r="BW1266" s="39"/>
      <c r="BX1266" s="39"/>
      <c r="BY1266" s="39"/>
      <c r="BZ1266" s="39">
        <f t="shared" si="781"/>
        <v>0</v>
      </c>
      <c r="CA1266" s="39">
        <f t="shared" si="766"/>
        <v>-1320</v>
      </c>
      <c r="CB1266" s="39">
        <f t="shared" si="767"/>
        <v>0</v>
      </c>
      <c r="CC1266" s="39">
        <f t="shared" si="768"/>
        <v>0</v>
      </c>
      <c r="CD1266" s="39">
        <f t="shared" si="782"/>
        <v>-1320</v>
      </c>
      <c r="CE1266" s="102">
        <f t="shared" si="769"/>
        <v>-1</v>
      </c>
      <c r="CF1266" s="36"/>
      <c r="CG1266" s="39" t="s">
        <v>232</v>
      </c>
      <c r="CH1266" s="39"/>
      <c r="CI1266" s="25">
        <v>1</v>
      </c>
    </row>
    <row r="1267" spans="1:87" ht="24.75" customHeight="1">
      <c r="A1267" s="36" t="s">
        <v>20</v>
      </c>
      <c r="B1267" s="29" t="s">
        <v>2171</v>
      </c>
      <c r="C1267" s="228"/>
      <c r="D1267" s="36"/>
      <c r="E1267" s="39">
        <v>210</v>
      </c>
      <c r="F1267" s="39" t="s">
        <v>53</v>
      </c>
      <c r="G1267" s="36" t="s">
        <v>23</v>
      </c>
      <c r="H1267" s="36" t="s">
        <v>209</v>
      </c>
      <c r="I1267" s="39">
        <v>690</v>
      </c>
      <c r="J1267" s="39"/>
      <c r="K1267" s="39"/>
      <c r="L1267" s="39">
        <f t="shared" si="819"/>
        <v>690</v>
      </c>
      <c r="M1267" s="57">
        <v>46259</v>
      </c>
      <c r="N1267" s="57">
        <v>46273</v>
      </c>
      <c r="O1267" s="39"/>
      <c r="P1267" s="39"/>
      <c r="Q1267" s="39"/>
      <c r="R1267" s="39">
        <f t="shared" si="817"/>
        <v>0</v>
      </c>
      <c r="S1267" s="39" t="s">
        <v>130</v>
      </c>
      <c r="T1267" s="39" t="s">
        <v>2992</v>
      </c>
      <c r="U1267" s="117" t="s">
        <v>2993</v>
      </c>
      <c r="V1267" s="39"/>
      <c r="W1267" s="39"/>
      <c r="X1267" s="39"/>
      <c r="Y1267" s="39">
        <f>356+399</f>
        <v>755</v>
      </c>
      <c r="Z1267" s="39"/>
      <c r="AA1267" s="39"/>
      <c r="AB1267" s="119">
        <f t="shared" si="815"/>
        <v>755</v>
      </c>
      <c r="AC1267" s="39"/>
      <c r="AD1267" s="39"/>
      <c r="AE1267" s="39"/>
      <c r="AF1267" s="39"/>
      <c r="AG1267" s="39"/>
      <c r="AH1267" s="39">
        <f t="shared" si="779"/>
        <v>0</v>
      </c>
      <c r="AI1267" s="39"/>
      <c r="AJ1267" s="39"/>
      <c r="AK1267" s="39"/>
      <c r="AL1267" s="39"/>
      <c r="AM1267" s="39"/>
      <c r="AN1267" s="39">
        <f t="shared" si="778"/>
        <v>0</v>
      </c>
      <c r="AO1267" s="39"/>
      <c r="AP1267" s="39"/>
      <c r="AQ1267" s="39"/>
      <c r="AR1267" s="39"/>
      <c r="AS1267" s="39"/>
      <c r="AT1267" s="39">
        <f t="shared" si="762"/>
        <v>0</v>
      </c>
      <c r="AU1267" s="39"/>
      <c r="AV1267" s="39"/>
      <c r="AW1267" s="39"/>
      <c r="AX1267" s="39"/>
      <c r="AY1267" s="39"/>
      <c r="AZ1267" s="39">
        <f t="shared" si="763"/>
        <v>0</v>
      </c>
      <c r="BA1267" s="39"/>
      <c r="BB1267" s="39"/>
      <c r="BC1267" s="39"/>
      <c r="BD1267" s="39"/>
      <c r="BE1267" s="39"/>
      <c r="BF1267" s="39">
        <f t="shared" si="764"/>
        <v>0</v>
      </c>
      <c r="BG1267" s="39"/>
      <c r="BH1267" s="39"/>
      <c r="BI1267" s="39"/>
      <c r="BJ1267" s="39"/>
      <c r="BK1267" s="39"/>
      <c r="BL1267" s="39">
        <f t="shared" si="780"/>
        <v>0</v>
      </c>
      <c r="BM1267" s="54" t="e">
        <f t="shared" ca="1" si="765"/>
        <v>#VALUE!</v>
      </c>
      <c r="BN1267" s="58">
        <v>46275</v>
      </c>
      <c r="BO1267" s="57">
        <v>46287</v>
      </c>
      <c r="BP1267" s="57"/>
      <c r="BQ1267" s="57"/>
      <c r="BR1267" s="57">
        <v>46280</v>
      </c>
      <c r="BS1267" s="36"/>
      <c r="BT1267" s="39">
        <v>902</v>
      </c>
      <c r="BU1267" s="39">
        <f>355</f>
        <v>355</v>
      </c>
      <c r="BV1267" s="39"/>
      <c r="BW1267" s="39"/>
      <c r="BX1267" s="39"/>
      <c r="BY1267" s="39"/>
      <c r="BZ1267" s="39">
        <f t="shared" si="781"/>
        <v>355</v>
      </c>
      <c r="CA1267" s="39">
        <f t="shared" si="766"/>
        <v>-335</v>
      </c>
      <c r="CB1267" s="39">
        <f t="shared" si="767"/>
        <v>0</v>
      </c>
      <c r="CC1267" s="39">
        <f t="shared" si="768"/>
        <v>0</v>
      </c>
      <c r="CD1267" s="39">
        <f t="shared" si="782"/>
        <v>-335</v>
      </c>
      <c r="CE1267" s="102">
        <f t="shared" si="769"/>
        <v>-0.48550724637681159</v>
      </c>
      <c r="CF1267" s="36"/>
      <c r="CG1267" s="39" t="s">
        <v>232</v>
      </c>
      <c r="CH1267" s="39"/>
      <c r="CI1267" s="25">
        <v>1</v>
      </c>
    </row>
    <row r="1268" spans="1:87" ht="24.75" customHeight="1">
      <c r="A1268" s="36" t="s">
        <v>20</v>
      </c>
      <c r="B1268" s="29">
        <v>48539</v>
      </c>
      <c r="C1268" s="227" t="s">
        <v>2315</v>
      </c>
      <c r="D1268" s="36"/>
      <c r="E1268" s="39">
        <v>235</v>
      </c>
      <c r="F1268" s="39" t="s">
        <v>64</v>
      </c>
      <c r="G1268" s="36" t="s">
        <v>23</v>
      </c>
      <c r="H1268" s="36" t="s">
        <v>89</v>
      </c>
      <c r="I1268" s="39">
        <v>140</v>
      </c>
      <c r="J1268" s="39"/>
      <c r="K1268" s="39"/>
      <c r="L1268" s="39">
        <f t="shared" ref="L1268:L1270" si="820">SUM(I1268:K1268)</f>
        <v>140</v>
      </c>
      <c r="M1268" s="57">
        <v>46266</v>
      </c>
      <c r="N1268" s="57">
        <v>46272</v>
      </c>
      <c r="O1268" s="39"/>
      <c r="P1268" s="39"/>
      <c r="Q1268" s="39"/>
      <c r="R1268" s="39">
        <f t="shared" si="817"/>
        <v>0</v>
      </c>
      <c r="S1268" s="39" t="s">
        <v>28</v>
      </c>
      <c r="T1268" s="39"/>
      <c r="U1268" s="39"/>
      <c r="V1268" s="117">
        <v>46274</v>
      </c>
      <c r="W1268" s="39">
        <v>167</v>
      </c>
      <c r="X1268" s="39"/>
      <c r="Y1268" s="39"/>
      <c r="Z1268" s="39"/>
      <c r="AA1268" s="39"/>
      <c r="AB1268" s="118">
        <f t="shared" si="815"/>
        <v>0</v>
      </c>
      <c r="AC1268" s="39"/>
      <c r="AD1268" s="39"/>
      <c r="AE1268" s="39"/>
      <c r="AF1268" s="39"/>
      <c r="AG1268" s="39"/>
      <c r="AH1268" s="39">
        <f t="shared" si="779"/>
        <v>0</v>
      </c>
      <c r="AI1268" s="39"/>
      <c r="AJ1268" s="39"/>
      <c r="AK1268" s="39"/>
      <c r="AL1268" s="39"/>
      <c r="AM1268" s="39"/>
      <c r="AN1268" s="39">
        <f t="shared" si="778"/>
        <v>0</v>
      </c>
      <c r="AO1268" s="39"/>
      <c r="AP1268" s="39"/>
      <c r="AQ1268" s="39"/>
      <c r="AR1268" s="39"/>
      <c r="AS1268" s="39"/>
      <c r="AT1268" s="39">
        <f t="shared" si="762"/>
        <v>0</v>
      </c>
      <c r="AU1268" s="39"/>
      <c r="AV1268" s="39"/>
      <c r="AW1268" s="39"/>
      <c r="AX1268" s="39"/>
      <c r="AY1268" s="39"/>
      <c r="AZ1268" s="39">
        <f t="shared" si="763"/>
        <v>0</v>
      </c>
      <c r="BA1268" s="39"/>
      <c r="BB1268" s="39"/>
      <c r="BC1268" s="39"/>
      <c r="BD1268" s="39"/>
      <c r="BE1268" s="39"/>
      <c r="BF1268" s="39">
        <f t="shared" si="764"/>
        <v>0</v>
      </c>
      <c r="BG1268" s="39"/>
      <c r="BH1268" s="39"/>
      <c r="BI1268" s="39"/>
      <c r="BJ1268" s="39"/>
      <c r="BK1268" s="39"/>
      <c r="BL1268" s="39">
        <f t="shared" si="780"/>
        <v>0</v>
      </c>
      <c r="BM1268" s="54">
        <f t="shared" ca="1" si="765"/>
        <v>46283</v>
      </c>
      <c r="BN1268" s="58">
        <v>46273</v>
      </c>
      <c r="BO1268" s="57">
        <v>46284</v>
      </c>
      <c r="BP1268" s="36"/>
      <c r="BQ1268" s="36"/>
      <c r="BR1268" s="36"/>
      <c r="BS1268" s="36"/>
      <c r="BT1268" s="39"/>
      <c r="BU1268" s="39"/>
      <c r="BV1268" s="39"/>
      <c r="BW1268" s="39"/>
      <c r="BX1268" s="39"/>
      <c r="BY1268" s="39"/>
      <c r="BZ1268" s="39">
        <f t="shared" si="781"/>
        <v>0</v>
      </c>
      <c r="CA1268" s="39">
        <f t="shared" si="766"/>
        <v>-140</v>
      </c>
      <c r="CB1268" s="39">
        <f t="shared" si="767"/>
        <v>0</v>
      </c>
      <c r="CC1268" s="39">
        <f t="shared" si="768"/>
        <v>0</v>
      </c>
      <c r="CD1268" s="39">
        <f t="shared" si="782"/>
        <v>-140</v>
      </c>
      <c r="CE1268" s="102">
        <f t="shared" si="769"/>
        <v>-1</v>
      </c>
      <c r="CF1268" s="36"/>
      <c r="CG1268" s="39" t="s">
        <v>233</v>
      </c>
      <c r="CH1268" s="39"/>
      <c r="CI1268" s="25">
        <v>1</v>
      </c>
    </row>
    <row r="1269" spans="1:87" ht="24.75" customHeight="1">
      <c r="A1269" s="36" t="s">
        <v>20</v>
      </c>
      <c r="B1269" s="29">
        <v>48539</v>
      </c>
      <c r="C1269" s="231"/>
      <c r="D1269" s="36"/>
      <c r="E1269" s="39">
        <v>235</v>
      </c>
      <c r="F1269" s="39" t="s">
        <v>64</v>
      </c>
      <c r="G1269" s="36" t="s">
        <v>192</v>
      </c>
      <c r="H1269" s="36" t="s">
        <v>89</v>
      </c>
      <c r="I1269" s="39">
        <v>140</v>
      </c>
      <c r="J1269" s="39"/>
      <c r="K1269" s="39"/>
      <c r="L1269" s="39">
        <f t="shared" si="820"/>
        <v>140</v>
      </c>
      <c r="M1269" s="57">
        <v>46266</v>
      </c>
      <c r="N1269" s="57">
        <v>46272</v>
      </c>
      <c r="O1269" s="39"/>
      <c r="P1269" s="39"/>
      <c r="Q1269" s="39"/>
      <c r="R1269" s="39">
        <f t="shared" si="817"/>
        <v>0</v>
      </c>
      <c r="S1269" s="39" t="s">
        <v>130</v>
      </c>
      <c r="T1269" s="39"/>
      <c r="U1269" s="39"/>
      <c r="V1269" s="39"/>
      <c r="W1269" s="39"/>
      <c r="X1269" s="39"/>
      <c r="Y1269" s="39"/>
      <c r="Z1269" s="39"/>
      <c r="AA1269" s="39"/>
      <c r="AB1269" s="118">
        <f t="shared" si="815"/>
        <v>0</v>
      </c>
      <c r="AC1269" s="39"/>
      <c r="AD1269" s="39"/>
      <c r="AE1269" s="39"/>
      <c r="AF1269" s="39"/>
      <c r="AG1269" s="39"/>
      <c r="AH1269" s="39">
        <f t="shared" si="779"/>
        <v>0</v>
      </c>
      <c r="AI1269" s="39"/>
      <c r="AJ1269" s="39"/>
      <c r="AK1269" s="39"/>
      <c r="AL1269" s="39"/>
      <c r="AM1269" s="39"/>
      <c r="AN1269" s="39">
        <f t="shared" si="778"/>
        <v>0</v>
      </c>
      <c r="AO1269" s="39"/>
      <c r="AP1269" s="39"/>
      <c r="AQ1269" s="39"/>
      <c r="AR1269" s="39"/>
      <c r="AS1269" s="39"/>
      <c r="AT1269" s="39">
        <f t="shared" si="762"/>
        <v>0</v>
      </c>
      <c r="AU1269" s="39"/>
      <c r="AV1269" s="39"/>
      <c r="AW1269" s="39"/>
      <c r="AX1269" s="39"/>
      <c r="AY1269" s="39"/>
      <c r="AZ1269" s="39">
        <f t="shared" si="763"/>
        <v>0</v>
      </c>
      <c r="BA1269" s="39"/>
      <c r="BB1269" s="39"/>
      <c r="BC1269" s="39"/>
      <c r="BD1269" s="39"/>
      <c r="BE1269" s="39"/>
      <c r="BF1269" s="39">
        <f t="shared" si="764"/>
        <v>0</v>
      </c>
      <c r="BG1269" s="39"/>
      <c r="BH1269" s="39"/>
      <c r="BI1269" s="39"/>
      <c r="BJ1269" s="39"/>
      <c r="BK1269" s="39"/>
      <c r="BL1269" s="39">
        <f t="shared" si="780"/>
        <v>0</v>
      </c>
      <c r="BM1269" s="54">
        <f t="shared" ca="1" si="765"/>
        <v>46283</v>
      </c>
      <c r="BN1269" s="58">
        <v>46273</v>
      </c>
      <c r="BO1269" s="57">
        <v>46284</v>
      </c>
      <c r="BP1269" s="36"/>
      <c r="BQ1269" s="36"/>
      <c r="BR1269" s="36"/>
      <c r="BS1269" s="36"/>
      <c r="BT1269" s="39"/>
      <c r="BU1269" s="39"/>
      <c r="BV1269" s="39"/>
      <c r="BW1269" s="39"/>
      <c r="BX1269" s="39"/>
      <c r="BY1269" s="39"/>
      <c r="BZ1269" s="39">
        <f t="shared" si="781"/>
        <v>0</v>
      </c>
      <c r="CA1269" s="39">
        <f t="shared" si="766"/>
        <v>-140</v>
      </c>
      <c r="CB1269" s="39">
        <f t="shared" si="767"/>
        <v>0</v>
      </c>
      <c r="CC1269" s="39">
        <f t="shared" si="768"/>
        <v>0</v>
      </c>
      <c r="CD1269" s="39">
        <f t="shared" si="782"/>
        <v>-140</v>
      </c>
      <c r="CE1269" s="102">
        <f t="shared" si="769"/>
        <v>-1</v>
      </c>
      <c r="CF1269" s="36"/>
      <c r="CG1269" s="39" t="s">
        <v>233</v>
      </c>
      <c r="CH1269" s="39"/>
      <c r="CI1269" s="25">
        <v>1</v>
      </c>
    </row>
    <row r="1270" spans="1:87" ht="24.75" customHeight="1">
      <c r="A1270" s="36" t="s">
        <v>20</v>
      </c>
      <c r="B1270" s="29">
        <v>48540</v>
      </c>
      <c r="C1270" s="36" t="s">
        <v>2316</v>
      </c>
      <c r="D1270" s="36"/>
      <c r="E1270" s="39">
        <v>180</v>
      </c>
      <c r="F1270" s="39" t="s">
        <v>55</v>
      </c>
      <c r="G1270" s="36" t="s">
        <v>192</v>
      </c>
      <c r="H1270" s="36" t="s">
        <v>127</v>
      </c>
      <c r="I1270" s="39">
        <v>150</v>
      </c>
      <c r="J1270" s="39"/>
      <c r="K1270" s="39"/>
      <c r="L1270" s="39">
        <f t="shared" si="820"/>
        <v>150</v>
      </c>
      <c r="M1270" s="57">
        <v>46266</v>
      </c>
      <c r="N1270" s="57">
        <v>46272</v>
      </c>
      <c r="O1270" s="39"/>
      <c r="P1270" s="39"/>
      <c r="Q1270" s="39"/>
      <c r="R1270" s="39">
        <f t="shared" si="817"/>
        <v>0</v>
      </c>
      <c r="S1270" s="39" t="s">
        <v>130</v>
      </c>
      <c r="T1270" s="39"/>
      <c r="U1270" s="39"/>
      <c r="V1270" s="39"/>
      <c r="W1270" s="39"/>
      <c r="X1270" s="39"/>
      <c r="Y1270" s="39"/>
      <c r="Z1270" s="39"/>
      <c r="AA1270" s="39"/>
      <c r="AB1270" s="118">
        <f t="shared" si="815"/>
        <v>0</v>
      </c>
      <c r="AC1270" s="39"/>
      <c r="AD1270" s="39"/>
      <c r="AE1270" s="39"/>
      <c r="AF1270" s="39"/>
      <c r="AG1270" s="39"/>
      <c r="AH1270" s="39">
        <f t="shared" si="779"/>
        <v>0</v>
      </c>
      <c r="AI1270" s="39"/>
      <c r="AJ1270" s="39"/>
      <c r="AK1270" s="39"/>
      <c r="AL1270" s="39"/>
      <c r="AM1270" s="39"/>
      <c r="AN1270" s="39">
        <f t="shared" si="778"/>
        <v>0</v>
      </c>
      <c r="AO1270" s="39"/>
      <c r="AP1270" s="39"/>
      <c r="AQ1270" s="39"/>
      <c r="AR1270" s="39"/>
      <c r="AS1270" s="39"/>
      <c r="AT1270" s="39">
        <f t="shared" si="762"/>
        <v>0</v>
      </c>
      <c r="AU1270" s="39"/>
      <c r="AV1270" s="39"/>
      <c r="AW1270" s="39"/>
      <c r="AX1270" s="39"/>
      <c r="AY1270" s="39"/>
      <c r="AZ1270" s="39">
        <f t="shared" si="763"/>
        <v>0</v>
      </c>
      <c r="BA1270" s="39"/>
      <c r="BB1270" s="39"/>
      <c r="BC1270" s="39"/>
      <c r="BD1270" s="39"/>
      <c r="BE1270" s="39"/>
      <c r="BF1270" s="39">
        <f t="shared" si="764"/>
        <v>0</v>
      </c>
      <c r="BG1270" s="39"/>
      <c r="BH1270" s="39"/>
      <c r="BI1270" s="39"/>
      <c r="BJ1270" s="39"/>
      <c r="BK1270" s="39"/>
      <c r="BL1270" s="39">
        <f t="shared" si="780"/>
        <v>0</v>
      </c>
      <c r="BM1270" s="54">
        <f t="shared" ca="1" si="765"/>
        <v>46283</v>
      </c>
      <c r="BN1270" s="58">
        <v>46273</v>
      </c>
      <c r="BO1270" s="57">
        <v>46284</v>
      </c>
      <c r="BP1270" s="36"/>
      <c r="BQ1270" s="36"/>
      <c r="BR1270" s="36"/>
      <c r="BS1270" s="36"/>
      <c r="BT1270" s="39"/>
      <c r="BU1270" s="39"/>
      <c r="BV1270" s="39"/>
      <c r="BW1270" s="39"/>
      <c r="BX1270" s="39"/>
      <c r="BY1270" s="39"/>
      <c r="BZ1270" s="39">
        <f t="shared" si="781"/>
        <v>0</v>
      </c>
      <c r="CA1270" s="39">
        <f t="shared" si="766"/>
        <v>-150</v>
      </c>
      <c r="CB1270" s="39">
        <f t="shared" si="767"/>
        <v>0</v>
      </c>
      <c r="CC1270" s="39">
        <f t="shared" si="768"/>
        <v>0</v>
      </c>
      <c r="CD1270" s="39">
        <f t="shared" si="782"/>
        <v>-150</v>
      </c>
      <c r="CE1270" s="102">
        <f t="shared" si="769"/>
        <v>-1</v>
      </c>
      <c r="CF1270" s="36"/>
      <c r="CG1270" s="39" t="s">
        <v>233</v>
      </c>
      <c r="CH1270" s="39"/>
      <c r="CI1270" s="25">
        <v>1</v>
      </c>
    </row>
    <row r="1271" spans="1:87" ht="24.75" customHeight="1">
      <c r="A1271" s="36" t="s">
        <v>20</v>
      </c>
      <c r="B1271" s="29">
        <v>48541</v>
      </c>
      <c r="C1271" s="227" t="s">
        <v>2317</v>
      </c>
      <c r="D1271" s="36"/>
      <c r="E1271" s="39">
        <v>160</v>
      </c>
      <c r="F1271" s="39" t="s">
        <v>55</v>
      </c>
      <c r="G1271" s="36" t="s">
        <v>23</v>
      </c>
      <c r="H1271" s="36" t="s">
        <v>207</v>
      </c>
      <c r="I1271" s="39">
        <v>155</v>
      </c>
      <c r="J1271" s="39"/>
      <c r="K1271" s="39"/>
      <c r="L1271" s="39">
        <f t="shared" ref="L1271:L1273" si="821">SUM(I1271:K1271)</f>
        <v>155</v>
      </c>
      <c r="M1271" s="57">
        <v>46260</v>
      </c>
      <c r="N1271" s="57">
        <v>46265</v>
      </c>
      <c r="O1271" s="39"/>
      <c r="P1271" s="39"/>
      <c r="Q1271" s="39"/>
      <c r="R1271" s="39">
        <f t="shared" si="817"/>
        <v>0</v>
      </c>
      <c r="S1271" s="39" t="s">
        <v>130</v>
      </c>
      <c r="T1271" s="39">
        <v>109341</v>
      </c>
      <c r="U1271" s="117">
        <v>46280</v>
      </c>
      <c r="V1271" s="39"/>
      <c r="W1271" s="39"/>
      <c r="X1271" s="39"/>
      <c r="Y1271" s="39">
        <v>185</v>
      </c>
      <c r="Z1271" s="39"/>
      <c r="AA1271" s="39"/>
      <c r="AB1271" s="119">
        <f t="shared" si="815"/>
        <v>185</v>
      </c>
      <c r="AC1271" s="39"/>
      <c r="AD1271" s="39"/>
      <c r="AE1271" s="39"/>
      <c r="AF1271" s="39"/>
      <c r="AG1271" s="39"/>
      <c r="AH1271" s="39">
        <f t="shared" si="779"/>
        <v>0</v>
      </c>
      <c r="AI1271" s="39"/>
      <c r="AJ1271" s="39"/>
      <c r="AK1271" s="39"/>
      <c r="AL1271" s="39"/>
      <c r="AM1271" s="39"/>
      <c r="AN1271" s="39">
        <f t="shared" si="778"/>
        <v>0</v>
      </c>
      <c r="AO1271" s="39"/>
      <c r="AP1271" s="39"/>
      <c r="AQ1271" s="39"/>
      <c r="AR1271" s="39"/>
      <c r="AS1271" s="39"/>
      <c r="AT1271" s="39">
        <f t="shared" si="762"/>
        <v>0</v>
      </c>
      <c r="AU1271" s="39"/>
      <c r="AV1271" s="39"/>
      <c r="AW1271" s="39"/>
      <c r="AX1271" s="39"/>
      <c r="AY1271" s="39"/>
      <c r="AZ1271" s="39">
        <f t="shared" si="763"/>
        <v>0</v>
      </c>
      <c r="BA1271" s="39"/>
      <c r="BB1271" s="39"/>
      <c r="BC1271" s="39"/>
      <c r="BD1271" s="39"/>
      <c r="BE1271" s="39"/>
      <c r="BF1271" s="39">
        <f t="shared" si="764"/>
        <v>0</v>
      </c>
      <c r="BG1271" s="39"/>
      <c r="BH1271" s="39"/>
      <c r="BI1271" s="39"/>
      <c r="BJ1271" s="39"/>
      <c r="BK1271" s="39"/>
      <c r="BL1271" s="39">
        <f t="shared" si="780"/>
        <v>0</v>
      </c>
      <c r="BM1271" s="54">
        <f t="shared" ca="1" si="765"/>
        <v>3</v>
      </c>
      <c r="BN1271" s="58">
        <v>46270</v>
      </c>
      <c r="BO1271" s="57">
        <v>46283</v>
      </c>
      <c r="BP1271" s="36"/>
      <c r="BQ1271" s="36"/>
      <c r="BR1271" s="36"/>
      <c r="BS1271" s="36"/>
      <c r="BT1271" s="39"/>
      <c r="BU1271" s="39"/>
      <c r="BV1271" s="39"/>
      <c r="BW1271" s="39"/>
      <c r="BX1271" s="39"/>
      <c r="BY1271" s="39"/>
      <c r="BZ1271" s="39">
        <f t="shared" si="781"/>
        <v>0</v>
      </c>
      <c r="CA1271" s="39">
        <f t="shared" si="766"/>
        <v>-155</v>
      </c>
      <c r="CB1271" s="39">
        <f t="shared" si="767"/>
        <v>0</v>
      </c>
      <c r="CC1271" s="39">
        <f t="shared" si="768"/>
        <v>0</v>
      </c>
      <c r="CD1271" s="39">
        <f t="shared" si="782"/>
        <v>-155</v>
      </c>
      <c r="CE1271" s="102">
        <f t="shared" si="769"/>
        <v>-1</v>
      </c>
      <c r="CF1271" s="36"/>
      <c r="CG1271" s="39" t="s">
        <v>233</v>
      </c>
      <c r="CH1271" s="39"/>
      <c r="CI1271" s="25">
        <v>1</v>
      </c>
    </row>
    <row r="1272" spans="1:87" ht="24.75" customHeight="1">
      <c r="A1272" s="36" t="s">
        <v>20</v>
      </c>
      <c r="B1272" s="29">
        <v>48541</v>
      </c>
      <c r="C1272" s="231"/>
      <c r="D1272" s="36"/>
      <c r="E1272" s="39">
        <v>160</v>
      </c>
      <c r="F1272" s="39" t="s">
        <v>55</v>
      </c>
      <c r="G1272" s="36" t="s">
        <v>192</v>
      </c>
      <c r="H1272" s="36" t="s">
        <v>207</v>
      </c>
      <c r="I1272" s="39">
        <v>155</v>
      </c>
      <c r="J1272" s="39"/>
      <c r="K1272" s="39"/>
      <c r="L1272" s="39">
        <f t="shared" si="821"/>
        <v>155</v>
      </c>
      <c r="M1272" s="57">
        <v>46260</v>
      </c>
      <c r="N1272" s="57">
        <v>46265</v>
      </c>
      <c r="O1272" s="39"/>
      <c r="P1272" s="39"/>
      <c r="Q1272" s="39"/>
      <c r="R1272" s="39">
        <f t="shared" si="817"/>
        <v>0</v>
      </c>
      <c r="S1272" s="39" t="s">
        <v>130</v>
      </c>
      <c r="T1272" s="39">
        <v>109274</v>
      </c>
      <c r="U1272" s="117">
        <v>46276</v>
      </c>
      <c r="V1272" s="39"/>
      <c r="W1272" s="39"/>
      <c r="X1272" s="39"/>
      <c r="Y1272" s="39">
        <v>186</v>
      </c>
      <c r="Z1272" s="39"/>
      <c r="AA1272" s="39"/>
      <c r="AB1272" s="119">
        <f t="shared" si="815"/>
        <v>186</v>
      </c>
      <c r="AC1272" s="39"/>
      <c r="AD1272" s="39"/>
      <c r="AE1272" s="39"/>
      <c r="AF1272" s="39"/>
      <c r="AG1272" s="39"/>
      <c r="AH1272" s="39">
        <f t="shared" si="779"/>
        <v>0</v>
      </c>
      <c r="AI1272" s="39"/>
      <c r="AJ1272" s="39"/>
      <c r="AK1272" s="39"/>
      <c r="AL1272" s="39"/>
      <c r="AM1272" s="39"/>
      <c r="AN1272" s="39">
        <f t="shared" si="778"/>
        <v>0</v>
      </c>
      <c r="AO1272" s="39"/>
      <c r="AP1272" s="39"/>
      <c r="AQ1272" s="39"/>
      <c r="AR1272" s="39"/>
      <c r="AS1272" s="39"/>
      <c r="AT1272" s="39">
        <f t="shared" si="762"/>
        <v>0</v>
      </c>
      <c r="AU1272" s="39"/>
      <c r="AV1272" s="39"/>
      <c r="AW1272" s="39"/>
      <c r="AX1272" s="39"/>
      <c r="AY1272" s="39"/>
      <c r="AZ1272" s="39">
        <f t="shared" si="763"/>
        <v>0</v>
      </c>
      <c r="BA1272" s="39"/>
      <c r="BB1272" s="39"/>
      <c r="BC1272" s="39"/>
      <c r="BD1272" s="39"/>
      <c r="BE1272" s="39"/>
      <c r="BF1272" s="39">
        <f t="shared" si="764"/>
        <v>0</v>
      </c>
      <c r="BG1272" s="39"/>
      <c r="BH1272" s="39"/>
      <c r="BI1272" s="39"/>
      <c r="BJ1272" s="39"/>
      <c r="BK1272" s="39"/>
      <c r="BL1272" s="39">
        <f t="shared" si="780"/>
        <v>0</v>
      </c>
      <c r="BM1272" s="54" t="str">
        <f t="shared" si="765"/>
        <v/>
      </c>
      <c r="BN1272" s="58">
        <v>46270</v>
      </c>
      <c r="BO1272" s="57">
        <v>46283</v>
      </c>
      <c r="BP1272" s="36"/>
      <c r="BQ1272" s="36"/>
      <c r="BR1272" s="57">
        <v>46279</v>
      </c>
      <c r="BS1272" s="57">
        <v>46279</v>
      </c>
      <c r="BT1272" s="39">
        <v>796</v>
      </c>
      <c r="BU1272" s="39">
        <v>167</v>
      </c>
      <c r="BV1272" s="39"/>
      <c r="BW1272" s="39"/>
      <c r="BX1272" s="39"/>
      <c r="BY1272" s="39"/>
      <c r="BZ1272" s="39">
        <f t="shared" si="781"/>
        <v>167</v>
      </c>
      <c r="CA1272" s="39">
        <f t="shared" si="766"/>
        <v>12</v>
      </c>
      <c r="CB1272" s="39">
        <f t="shared" si="767"/>
        <v>0</v>
      </c>
      <c r="CC1272" s="39">
        <f t="shared" si="768"/>
        <v>0</v>
      </c>
      <c r="CD1272" s="39">
        <f t="shared" si="782"/>
        <v>0</v>
      </c>
      <c r="CE1272" s="102">
        <f t="shared" si="769"/>
        <v>0</v>
      </c>
      <c r="CF1272" s="36"/>
      <c r="CG1272" s="39" t="s">
        <v>233</v>
      </c>
      <c r="CH1272" s="39"/>
      <c r="CI1272" s="25">
        <v>1</v>
      </c>
    </row>
    <row r="1273" spans="1:87" ht="24.75" customHeight="1">
      <c r="A1273" s="36" t="s">
        <v>20</v>
      </c>
      <c r="B1273" s="29">
        <v>48541</v>
      </c>
      <c r="C1273" s="228"/>
      <c r="D1273" s="36"/>
      <c r="E1273" s="39">
        <v>160</v>
      </c>
      <c r="F1273" s="39" t="s">
        <v>55</v>
      </c>
      <c r="G1273" s="36" t="s">
        <v>385</v>
      </c>
      <c r="H1273" s="36" t="s">
        <v>207</v>
      </c>
      <c r="I1273" s="39">
        <v>155</v>
      </c>
      <c r="J1273" s="39"/>
      <c r="K1273" s="39"/>
      <c r="L1273" s="39">
        <f t="shared" si="821"/>
        <v>155</v>
      </c>
      <c r="M1273" s="57">
        <v>46260</v>
      </c>
      <c r="N1273" s="57">
        <v>46265</v>
      </c>
      <c r="O1273" s="39"/>
      <c r="P1273" s="39"/>
      <c r="Q1273" s="39"/>
      <c r="R1273" s="39">
        <f t="shared" si="817"/>
        <v>0</v>
      </c>
      <c r="S1273" s="39" t="s">
        <v>130</v>
      </c>
      <c r="T1273" s="39"/>
      <c r="U1273" s="39"/>
      <c r="V1273" s="39"/>
      <c r="W1273" s="39"/>
      <c r="X1273" s="39"/>
      <c r="Y1273" s="39"/>
      <c r="Z1273" s="39"/>
      <c r="AA1273" s="39"/>
      <c r="AB1273" s="118">
        <f t="shared" si="815"/>
        <v>0</v>
      </c>
      <c r="AC1273" s="39"/>
      <c r="AD1273" s="39"/>
      <c r="AE1273" s="39"/>
      <c r="AF1273" s="39"/>
      <c r="AG1273" s="39"/>
      <c r="AH1273" s="39">
        <f t="shared" si="779"/>
        <v>0</v>
      </c>
      <c r="AI1273" s="39"/>
      <c r="AJ1273" s="39"/>
      <c r="AK1273" s="39"/>
      <c r="AL1273" s="39"/>
      <c r="AM1273" s="39"/>
      <c r="AN1273" s="39">
        <f t="shared" si="778"/>
        <v>0</v>
      </c>
      <c r="AO1273" s="39"/>
      <c r="AP1273" s="39"/>
      <c r="AQ1273" s="39"/>
      <c r="AR1273" s="39"/>
      <c r="AS1273" s="39"/>
      <c r="AT1273" s="39">
        <f t="shared" si="762"/>
        <v>0</v>
      </c>
      <c r="AU1273" s="39"/>
      <c r="AV1273" s="39"/>
      <c r="AW1273" s="39"/>
      <c r="AX1273" s="39"/>
      <c r="AY1273" s="39"/>
      <c r="AZ1273" s="39">
        <f t="shared" si="763"/>
        <v>0</v>
      </c>
      <c r="BA1273" s="39"/>
      <c r="BB1273" s="39"/>
      <c r="BC1273" s="39"/>
      <c r="BD1273" s="39"/>
      <c r="BE1273" s="39"/>
      <c r="BF1273" s="39">
        <f t="shared" si="764"/>
        <v>0</v>
      </c>
      <c r="BG1273" s="39"/>
      <c r="BH1273" s="39"/>
      <c r="BI1273" s="39"/>
      <c r="BJ1273" s="39"/>
      <c r="BK1273" s="39"/>
      <c r="BL1273" s="39">
        <f t="shared" si="780"/>
        <v>0</v>
      </c>
      <c r="BM1273" s="54">
        <f t="shared" ca="1" si="765"/>
        <v>46283</v>
      </c>
      <c r="BN1273" s="58">
        <v>46270</v>
      </c>
      <c r="BO1273" s="57">
        <v>46283</v>
      </c>
      <c r="BP1273" s="36"/>
      <c r="BQ1273" s="36"/>
      <c r="BR1273" s="36"/>
      <c r="BS1273" s="36"/>
      <c r="BT1273" s="39"/>
      <c r="BU1273" s="39"/>
      <c r="BV1273" s="39"/>
      <c r="BW1273" s="39"/>
      <c r="BX1273" s="39"/>
      <c r="BY1273" s="39"/>
      <c r="BZ1273" s="39">
        <f t="shared" si="781"/>
        <v>0</v>
      </c>
      <c r="CA1273" s="39">
        <f t="shared" si="766"/>
        <v>-155</v>
      </c>
      <c r="CB1273" s="39">
        <f t="shared" si="767"/>
        <v>0</v>
      </c>
      <c r="CC1273" s="39">
        <f t="shared" si="768"/>
        <v>0</v>
      </c>
      <c r="CD1273" s="39">
        <f t="shared" si="782"/>
        <v>-155</v>
      </c>
      <c r="CE1273" s="102">
        <f t="shared" si="769"/>
        <v>-1</v>
      </c>
      <c r="CF1273" s="36"/>
      <c r="CG1273" s="39" t="s">
        <v>233</v>
      </c>
      <c r="CH1273" s="39"/>
      <c r="CI1273" s="25">
        <v>1</v>
      </c>
    </row>
    <row r="1274" spans="1:87" ht="24.75" customHeight="1">
      <c r="A1274" s="36" t="s">
        <v>20</v>
      </c>
      <c r="B1274" s="29">
        <v>48557</v>
      </c>
      <c r="C1274" s="227" t="s">
        <v>2318</v>
      </c>
      <c r="D1274" s="36"/>
      <c r="E1274" s="39">
        <v>140</v>
      </c>
      <c r="F1274" s="39" t="s">
        <v>59</v>
      </c>
      <c r="G1274" s="36" t="s">
        <v>23</v>
      </c>
      <c r="H1274" s="36" t="s">
        <v>383</v>
      </c>
      <c r="I1274" s="39">
        <v>145</v>
      </c>
      <c r="J1274" s="39"/>
      <c r="K1274" s="39"/>
      <c r="L1274" s="39">
        <f t="shared" ref="L1274:L1277" si="822">SUM(I1274:K1274)</f>
        <v>145</v>
      </c>
      <c r="M1274" s="57">
        <v>46259</v>
      </c>
      <c r="N1274" s="57">
        <v>46265</v>
      </c>
      <c r="O1274" s="39"/>
      <c r="P1274" s="39"/>
      <c r="Q1274" s="39"/>
      <c r="R1274" s="39">
        <f t="shared" si="817"/>
        <v>0</v>
      </c>
      <c r="S1274" s="39" t="s">
        <v>28</v>
      </c>
      <c r="T1274" s="39"/>
      <c r="U1274" s="39"/>
      <c r="V1274" s="117">
        <v>46267</v>
      </c>
      <c r="W1274" s="39">
        <v>169</v>
      </c>
      <c r="X1274" s="39"/>
      <c r="Y1274" s="39"/>
      <c r="Z1274" s="39"/>
      <c r="AA1274" s="39"/>
      <c r="AB1274" s="118">
        <f t="shared" si="815"/>
        <v>0</v>
      </c>
      <c r="AC1274" s="39"/>
      <c r="AD1274" s="39"/>
      <c r="AE1274" s="39"/>
      <c r="AF1274" s="39"/>
      <c r="AG1274" s="39"/>
      <c r="AH1274" s="39">
        <f t="shared" si="779"/>
        <v>0</v>
      </c>
      <c r="AI1274" s="39"/>
      <c r="AJ1274" s="39"/>
      <c r="AK1274" s="39"/>
      <c r="AL1274" s="39"/>
      <c r="AM1274" s="39"/>
      <c r="AN1274" s="39">
        <f t="shared" si="778"/>
        <v>0</v>
      </c>
      <c r="AO1274" s="39"/>
      <c r="AP1274" s="39"/>
      <c r="AQ1274" s="39"/>
      <c r="AR1274" s="39"/>
      <c r="AS1274" s="39"/>
      <c r="AT1274" s="39">
        <f t="shared" si="762"/>
        <v>0</v>
      </c>
      <c r="AU1274" s="39"/>
      <c r="AV1274" s="39"/>
      <c r="AW1274" s="39"/>
      <c r="AX1274" s="39"/>
      <c r="AY1274" s="39"/>
      <c r="AZ1274" s="39">
        <f t="shared" si="763"/>
        <v>0</v>
      </c>
      <c r="BA1274" s="39"/>
      <c r="BB1274" s="39"/>
      <c r="BC1274" s="39"/>
      <c r="BD1274" s="39"/>
      <c r="BE1274" s="39"/>
      <c r="BF1274" s="39">
        <f t="shared" si="764"/>
        <v>0</v>
      </c>
      <c r="BG1274" s="39"/>
      <c r="BH1274" s="39"/>
      <c r="BI1274" s="39"/>
      <c r="BJ1274" s="39"/>
      <c r="BK1274" s="39"/>
      <c r="BL1274" s="39">
        <f t="shared" si="780"/>
        <v>0</v>
      </c>
      <c r="BM1274" s="54">
        <f t="shared" ca="1" si="765"/>
        <v>46283</v>
      </c>
      <c r="BN1274" s="58">
        <v>46269</v>
      </c>
      <c r="BO1274" s="57">
        <v>46283</v>
      </c>
      <c r="BP1274" s="36"/>
      <c r="BQ1274" s="36"/>
      <c r="BR1274" s="36"/>
      <c r="BS1274" s="36"/>
      <c r="BT1274" s="39"/>
      <c r="BU1274" s="39"/>
      <c r="BV1274" s="39"/>
      <c r="BW1274" s="39"/>
      <c r="BX1274" s="39"/>
      <c r="BY1274" s="39"/>
      <c r="BZ1274" s="39">
        <f t="shared" si="781"/>
        <v>0</v>
      </c>
      <c r="CA1274" s="39">
        <f t="shared" si="766"/>
        <v>-145</v>
      </c>
      <c r="CB1274" s="39">
        <f t="shared" si="767"/>
        <v>0</v>
      </c>
      <c r="CC1274" s="39">
        <f t="shared" si="768"/>
        <v>0</v>
      </c>
      <c r="CD1274" s="39">
        <f t="shared" si="782"/>
        <v>-145</v>
      </c>
      <c r="CE1274" s="102">
        <f t="shared" si="769"/>
        <v>-1</v>
      </c>
      <c r="CF1274" s="36"/>
      <c r="CG1274" s="39" t="s">
        <v>233</v>
      </c>
      <c r="CH1274" s="39"/>
      <c r="CI1274" s="25">
        <v>1</v>
      </c>
    </row>
    <row r="1275" spans="1:87" ht="24.75" customHeight="1">
      <c r="A1275" s="36" t="s">
        <v>20</v>
      </c>
      <c r="B1275" s="29">
        <v>48557</v>
      </c>
      <c r="C1275" s="228"/>
      <c r="D1275" s="36"/>
      <c r="E1275" s="39">
        <v>140</v>
      </c>
      <c r="F1275" s="39" t="s">
        <v>59</v>
      </c>
      <c r="G1275" s="36" t="s">
        <v>192</v>
      </c>
      <c r="H1275" s="36" t="s">
        <v>383</v>
      </c>
      <c r="I1275" s="39">
        <v>145</v>
      </c>
      <c r="J1275" s="39"/>
      <c r="K1275" s="39"/>
      <c r="L1275" s="39">
        <f t="shared" si="822"/>
        <v>145</v>
      </c>
      <c r="M1275" s="57">
        <v>46259</v>
      </c>
      <c r="N1275" s="57">
        <v>46265</v>
      </c>
      <c r="O1275" s="39"/>
      <c r="P1275" s="39"/>
      <c r="Q1275" s="39"/>
      <c r="R1275" s="39">
        <f t="shared" si="817"/>
        <v>0</v>
      </c>
      <c r="S1275" s="39" t="s">
        <v>130</v>
      </c>
      <c r="T1275" s="39">
        <v>109294</v>
      </c>
      <c r="U1275" s="39"/>
      <c r="V1275" s="39"/>
      <c r="W1275" s="39"/>
      <c r="X1275" s="39"/>
      <c r="Y1275" s="39"/>
      <c r="Z1275" s="39"/>
      <c r="AA1275" s="39"/>
      <c r="AB1275" s="118">
        <f t="shared" si="815"/>
        <v>0</v>
      </c>
      <c r="AC1275" s="39"/>
      <c r="AD1275" s="39"/>
      <c r="AE1275" s="39"/>
      <c r="AF1275" s="39"/>
      <c r="AG1275" s="39"/>
      <c r="AH1275" s="39">
        <f t="shared" si="779"/>
        <v>0</v>
      </c>
      <c r="AI1275" s="39"/>
      <c r="AJ1275" s="39"/>
      <c r="AK1275" s="39"/>
      <c r="AL1275" s="39"/>
      <c r="AM1275" s="39"/>
      <c r="AN1275" s="39">
        <f t="shared" si="778"/>
        <v>0</v>
      </c>
      <c r="AO1275" s="39"/>
      <c r="AP1275" s="39"/>
      <c r="AQ1275" s="39"/>
      <c r="AR1275" s="39"/>
      <c r="AS1275" s="39"/>
      <c r="AT1275" s="39">
        <f t="shared" si="762"/>
        <v>0</v>
      </c>
      <c r="AU1275" s="39"/>
      <c r="AV1275" s="39"/>
      <c r="AW1275" s="39"/>
      <c r="AX1275" s="39"/>
      <c r="AY1275" s="39"/>
      <c r="AZ1275" s="39">
        <f t="shared" si="763"/>
        <v>0</v>
      </c>
      <c r="BA1275" s="39"/>
      <c r="BB1275" s="39"/>
      <c r="BC1275" s="39"/>
      <c r="BD1275" s="39"/>
      <c r="BE1275" s="39"/>
      <c r="BF1275" s="39">
        <f t="shared" si="764"/>
        <v>0</v>
      </c>
      <c r="BG1275" s="39"/>
      <c r="BH1275" s="39"/>
      <c r="BI1275" s="39"/>
      <c r="BJ1275" s="39"/>
      <c r="BK1275" s="39"/>
      <c r="BL1275" s="39">
        <f t="shared" si="780"/>
        <v>0</v>
      </c>
      <c r="BM1275" s="54" t="str">
        <f t="shared" si="765"/>
        <v/>
      </c>
      <c r="BN1275" s="58">
        <v>46269</v>
      </c>
      <c r="BO1275" s="57">
        <v>46283</v>
      </c>
      <c r="BP1275" s="36"/>
      <c r="BQ1275" s="36"/>
      <c r="BR1275" s="57">
        <v>46281</v>
      </c>
      <c r="BS1275" s="57">
        <v>46281</v>
      </c>
      <c r="BT1275" s="39">
        <v>905</v>
      </c>
      <c r="BU1275" s="39">
        <v>157</v>
      </c>
      <c r="BV1275" s="39"/>
      <c r="BW1275" s="39"/>
      <c r="BX1275" s="39"/>
      <c r="BY1275" s="39"/>
      <c r="BZ1275" s="39">
        <f t="shared" si="781"/>
        <v>157</v>
      </c>
      <c r="CA1275" s="39">
        <f t="shared" si="766"/>
        <v>12</v>
      </c>
      <c r="CB1275" s="39">
        <f t="shared" si="767"/>
        <v>0</v>
      </c>
      <c r="CC1275" s="39">
        <f t="shared" si="768"/>
        <v>0</v>
      </c>
      <c r="CD1275" s="39">
        <f t="shared" si="782"/>
        <v>0</v>
      </c>
      <c r="CE1275" s="102">
        <f t="shared" si="769"/>
        <v>0</v>
      </c>
      <c r="CF1275" s="36"/>
      <c r="CG1275" s="39" t="s">
        <v>233</v>
      </c>
      <c r="CH1275" s="39"/>
      <c r="CI1275" s="25">
        <v>1</v>
      </c>
    </row>
    <row r="1276" spans="1:87" ht="24.75" customHeight="1">
      <c r="A1276" s="36" t="s">
        <v>20</v>
      </c>
      <c r="B1276" s="29" t="s">
        <v>2319</v>
      </c>
      <c r="C1276" s="227" t="s">
        <v>2320</v>
      </c>
      <c r="D1276" s="36"/>
      <c r="E1276" s="39">
        <v>180</v>
      </c>
      <c r="F1276" s="39" t="s">
        <v>54</v>
      </c>
      <c r="G1276" s="36" t="s">
        <v>23</v>
      </c>
      <c r="H1276" s="36" t="s">
        <v>22</v>
      </c>
      <c r="I1276" s="39">
        <v>165</v>
      </c>
      <c r="J1276" s="39"/>
      <c r="K1276" s="39"/>
      <c r="L1276" s="39">
        <f t="shared" si="822"/>
        <v>165</v>
      </c>
      <c r="M1276" s="57">
        <v>46259</v>
      </c>
      <c r="N1276" s="57">
        <v>46267</v>
      </c>
      <c r="O1276" s="39"/>
      <c r="P1276" s="39"/>
      <c r="Q1276" s="39"/>
      <c r="R1276" s="39">
        <f t="shared" si="817"/>
        <v>0</v>
      </c>
      <c r="S1276" s="39" t="s">
        <v>28</v>
      </c>
      <c r="T1276" s="39"/>
      <c r="U1276" s="39"/>
      <c r="V1276" s="117">
        <v>46259</v>
      </c>
      <c r="W1276" s="39">
        <v>192</v>
      </c>
      <c r="X1276" s="117">
        <v>46272</v>
      </c>
      <c r="Y1276" s="39">
        <v>173</v>
      </c>
      <c r="Z1276" s="39"/>
      <c r="AA1276" s="39"/>
      <c r="AB1276" s="119">
        <f t="shared" si="815"/>
        <v>173</v>
      </c>
      <c r="AC1276" s="39"/>
      <c r="AD1276" s="39"/>
      <c r="AE1276" s="39"/>
      <c r="AF1276" s="39"/>
      <c r="AG1276" s="39"/>
      <c r="AH1276" s="39">
        <f t="shared" si="779"/>
        <v>0</v>
      </c>
      <c r="AI1276" s="39"/>
      <c r="AJ1276" s="39"/>
      <c r="AK1276" s="39"/>
      <c r="AL1276" s="39"/>
      <c r="AM1276" s="39"/>
      <c r="AN1276" s="39">
        <f t="shared" si="778"/>
        <v>0</v>
      </c>
      <c r="AO1276" s="39"/>
      <c r="AP1276" s="39"/>
      <c r="AQ1276" s="39"/>
      <c r="AR1276" s="39"/>
      <c r="AS1276" s="39"/>
      <c r="AT1276" s="39">
        <f t="shared" si="762"/>
        <v>0</v>
      </c>
      <c r="AU1276" s="39"/>
      <c r="AV1276" s="39"/>
      <c r="AW1276" s="39"/>
      <c r="AX1276" s="39"/>
      <c r="AY1276" s="39"/>
      <c r="AZ1276" s="39">
        <f t="shared" si="763"/>
        <v>0</v>
      </c>
      <c r="BA1276" s="39"/>
      <c r="BB1276" s="39"/>
      <c r="BC1276" s="39"/>
      <c r="BD1276" s="39"/>
      <c r="BE1276" s="39"/>
      <c r="BF1276" s="39">
        <f t="shared" si="764"/>
        <v>0</v>
      </c>
      <c r="BG1276" s="39"/>
      <c r="BH1276" s="39"/>
      <c r="BI1276" s="39"/>
      <c r="BJ1276" s="39"/>
      <c r="BK1276" s="39"/>
      <c r="BL1276" s="39">
        <f t="shared" si="780"/>
        <v>0</v>
      </c>
      <c r="BM1276" s="54" t="str">
        <f t="shared" si="765"/>
        <v/>
      </c>
      <c r="BN1276" s="58">
        <v>46272</v>
      </c>
      <c r="BO1276" s="57">
        <v>46286</v>
      </c>
      <c r="BP1276" s="36"/>
      <c r="BQ1276" s="36"/>
      <c r="BR1276" s="57">
        <v>46272</v>
      </c>
      <c r="BS1276" s="57">
        <v>46272</v>
      </c>
      <c r="BT1276" s="39">
        <v>961</v>
      </c>
      <c r="BU1276" s="39">
        <v>173</v>
      </c>
      <c r="BV1276" s="39"/>
      <c r="BW1276" s="39"/>
      <c r="BX1276" s="39"/>
      <c r="BY1276" s="39"/>
      <c r="BZ1276" s="39">
        <f t="shared" si="781"/>
        <v>173</v>
      </c>
      <c r="CA1276" s="39">
        <f t="shared" si="766"/>
        <v>8</v>
      </c>
      <c r="CB1276" s="39">
        <f t="shared" si="767"/>
        <v>0</v>
      </c>
      <c r="CC1276" s="39">
        <f t="shared" si="768"/>
        <v>0</v>
      </c>
      <c r="CD1276" s="39">
        <f t="shared" si="782"/>
        <v>0</v>
      </c>
      <c r="CE1276" s="102">
        <f t="shared" si="769"/>
        <v>0</v>
      </c>
      <c r="CF1276" s="36"/>
      <c r="CG1276" s="39" t="s">
        <v>233</v>
      </c>
      <c r="CH1276" s="39"/>
      <c r="CI1276" s="25">
        <v>1</v>
      </c>
    </row>
    <row r="1277" spans="1:87" ht="24.75" customHeight="1">
      <c r="A1277" s="36" t="s">
        <v>20</v>
      </c>
      <c r="B1277" s="29" t="s">
        <v>2319</v>
      </c>
      <c r="C1277" s="231"/>
      <c r="D1277" s="36"/>
      <c r="E1277" s="39">
        <v>180</v>
      </c>
      <c r="F1277" s="39" t="s">
        <v>54</v>
      </c>
      <c r="G1277" s="36" t="s">
        <v>47</v>
      </c>
      <c r="H1277" s="36" t="s">
        <v>22</v>
      </c>
      <c r="I1277" s="39">
        <v>165</v>
      </c>
      <c r="J1277" s="39"/>
      <c r="K1277" s="39"/>
      <c r="L1277" s="39">
        <f t="shared" si="822"/>
        <v>165</v>
      </c>
      <c r="M1277" s="57">
        <v>46259</v>
      </c>
      <c r="N1277" s="57">
        <v>46267</v>
      </c>
      <c r="O1277" s="39"/>
      <c r="P1277" s="39"/>
      <c r="Q1277" s="39"/>
      <c r="R1277" s="39">
        <f t="shared" si="817"/>
        <v>0</v>
      </c>
      <c r="S1277" s="39" t="s">
        <v>130</v>
      </c>
      <c r="T1277" s="39">
        <v>109295</v>
      </c>
      <c r="U1277" s="117">
        <v>46277</v>
      </c>
      <c r="V1277" s="39"/>
      <c r="W1277" s="39"/>
      <c r="X1277" s="39"/>
      <c r="Y1277" s="39">
        <v>199</v>
      </c>
      <c r="Z1277" s="39"/>
      <c r="AA1277" s="39"/>
      <c r="AB1277" s="119">
        <f t="shared" si="815"/>
        <v>199</v>
      </c>
      <c r="AC1277" s="39"/>
      <c r="AD1277" s="39"/>
      <c r="AE1277" s="39"/>
      <c r="AF1277" s="39"/>
      <c r="AG1277" s="39"/>
      <c r="AH1277" s="39">
        <f t="shared" si="779"/>
        <v>0</v>
      </c>
      <c r="AI1277" s="39"/>
      <c r="AJ1277" s="39"/>
      <c r="AK1277" s="39"/>
      <c r="AL1277" s="39"/>
      <c r="AM1277" s="39"/>
      <c r="AN1277" s="39">
        <f t="shared" si="778"/>
        <v>0</v>
      </c>
      <c r="AO1277" s="39"/>
      <c r="AP1277" s="39"/>
      <c r="AQ1277" s="39"/>
      <c r="AR1277" s="39"/>
      <c r="AS1277" s="39"/>
      <c r="AT1277" s="39">
        <f t="shared" si="762"/>
        <v>0</v>
      </c>
      <c r="AU1277" s="39"/>
      <c r="AV1277" s="39"/>
      <c r="AW1277" s="39"/>
      <c r="AX1277" s="39"/>
      <c r="AY1277" s="39"/>
      <c r="AZ1277" s="39">
        <f t="shared" si="763"/>
        <v>0</v>
      </c>
      <c r="BA1277" s="39"/>
      <c r="BB1277" s="39"/>
      <c r="BC1277" s="39"/>
      <c r="BD1277" s="39"/>
      <c r="BE1277" s="39"/>
      <c r="BF1277" s="39">
        <f t="shared" si="764"/>
        <v>0</v>
      </c>
      <c r="BG1277" s="39"/>
      <c r="BH1277" s="39"/>
      <c r="BI1277" s="39"/>
      <c r="BJ1277" s="39"/>
      <c r="BK1277" s="39"/>
      <c r="BL1277" s="39">
        <f t="shared" si="780"/>
        <v>0</v>
      </c>
      <c r="BM1277" s="54" t="str">
        <f t="shared" si="765"/>
        <v/>
      </c>
      <c r="BN1277" s="58">
        <v>46272</v>
      </c>
      <c r="BO1277" s="57">
        <v>46286</v>
      </c>
      <c r="BP1277" s="36"/>
      <c r="BQ1277" s="36"/>
      <c r="BR1277" s="57">
        <v>46279</v>
      </c>
      <c r="BS1277" s="57">
        <v>46279</v>
      </c>
      <c r="BT1277" s="39">
        <v>796</v>
      </c>
      <c r="BU1277" s="39">
        <v>184</v>
      </c>
      <c r="BV1277" s="39"/>
      <c r="BW1277" s="39"/>
      <c r="BX1277" s="39"/>
      <c r="BY1277" s="39"/>
      <c r="BZ1277" s="39">
        <f t="shared" si="781"/>
        <v>184</v>
      </c>
      <c r="CA1277" s="39">
        <f t="shared" si="766"/>
        <v>19</v>
      </c>
      <c r="CB1277" s="39">
        <f t="shared" si="767"/>
        <v>0</v>
      </c>
      <c r="CC1277" s="39">
        <f t="shared" si="768"/>
        <v>0</v>
      </c>
      <c r="CD1277" s="39">
        <f t="shared" si="782"/>
        <v>0</v>
      </c>
      <c r="CE1277" s="102">
        <f t="shared" si="769"/>
        <v>0</v>
      </c>
      <c r="CF1277" s="36"/>
      <c r="CG1277" s="39" t="s">
        <v>233</v>
      </c>
      <c r="CH1277" s="39"/>
      <c r="CI1277" s="25">
        <v>1</v>
      </c>
    </row>
    <row r="1278" spans="1:87" ht="24.75" customHeight="1">
      <c r="A1278" s="36" t="s">
        <v>20</v>
      </c>
      <c r="B1278" s="29" t="s">
        <v>2319</v>
      </c>
      <c r="C1278" s="228"/>
      <c r="D1278" s="36"/>
      <c r="E1278" s="39">
        <v>180</v>
      </c>
      <c r="F1278" s="39" t="s">
        <v>54</v>
      </c>
      <c r="G1278" s="36" t="s">
        <v>351</v>
      </c>
      <c r="H1278" s="36" t="s">
        <v>22</v>
      </c>
      <c r="I1278" s="39">
        <v>165</v>
      </c>
      <c r="J1278" s="39"/>
      <c r="K1278" s="39"/>
      <c r="L1278" s="39">
        <f t="shared" ref="L1278:L1284" si="823">SUM(I1278:K1278)</f>
        <v>165</v>
      </c>
      <c r="M1278" s="57">
        <v>46259</v>
      </c>
      <c r="N1278" s="57">
        <v>46267</v>
      </c>
      <c r="O1278" s="39"/>
      <c r="P1278" s="39"/>
      <c r="Q1278" s="39"/>
      <c r="R1278" s="39">
        <f t="shared" si="817"/>
        <v>0</v>
      </c>
      <c r="S1278" s="39" t="s">
        <v>28</v>
      </c>
      <c r="T1278" s="39"/>
      <c r="U1278" s="39"/>
      <c r="V1278" s="117">
        <v>46259</v>
      </c>
      <c r="W1278" s="39">
        <v>200</v>
      </c>
      <c r="X1278" s="117">
        <v>46270</v>
      </c>
      <c r="Y1278" s="39">
        <v>178</v>
      </c>
      <c r="Z1278" s="39"/>
      <c r="AA1278" s="39"/>
      <c r="AB1278" s="119">
        <f t="shared" si="815"/>
        <v>178</v>
      </c>
      <c r="AC1278" s="39"/>
      <c r="AD1278" s="39"/>
      <c r="AE1278" s="39"/>
      <c r="AF1278" s="39"/>
      <c r="AG1278" s="39"/>
      <c r="AH1278" s="39">
        <f t="shared" si="779"/>
        <v>0</v>
      </c>
      <c r="AI1278" s="39"/>
      <c r="AJ1278" s="39"/>
      <c r="AK1278" s="39"/>
      <c r="AL1278" s="39"/>
      <c r="AM1278" s="39"/>
      <c r="AN1278" s="39">
        <f t="shared" si="778"/>
        <v>0</v>
      </c>
      <c r="AO1278" s="39"/>
      <c r="AP1278" s="39"/>
      <c r="AQ1278" s="39"/>
      <c r="AR1278" s="39"/>
      <c r="AS1278" s="39"/>
      <c r="AT1278" s="39">
        <f t="shared" si="762"/>
        <v>0</v>
      </c>
      <c r="AU1278" s="39"/>
      <c r="AV1278" s="39"/>
      <c r="AW1278" s="39"/>
      <c r="AX1278" s="39"/>
      <c r="AY1278" s="39"/>
      <c r="AZ1278" s="39">
        <f t="shared" si="763"/>
        <v>0</v>
      </c>
      <c r="BA1278" s="39"/>
      <c r="BB1278" s="39"/>
      <c r="BC1278" s="39"/>
      <c r="BD1278" s="39"/>
      <c r="BE1278" s="39"/>
      <c r="BF1278" s="39">
        <f t="shared" si="764"/>
        <v>0</v>
      </c>
      <c r="BG1278" s="39"/>
      <c r="BH1278" s="39"/>
      <c r="BI1278" s="39"/>
      <c r="BJ1278" s="39"/>
      <c r="BK1278" s="39"/>
      <c r="BL1278" s="39">
        <f t="shared" si="780"/>
        <v>0</v>
      </c>
      <c r="BM1278" s="54" t="str">
        <f t="shared" si="765"/>
        <v/>
      </c>
      <c r="BN1278" s="58">
        <v>46272</v>
      </c>
      <c r="BO1278" s="57">
        <v>46286</v>
      </c>
      <c r="BP1278" s="36"/>
      <c r="BQ1278" s="36"/>
      <c r="BR1278" s="57">
        <v>46272</v>
      </c>
      <c r="BS1278" s="57">
        <v>46272</v>
      </c>
      <c r="BT1278" s="39">
        <v>598</v>
      </c>
      <c r="BU1278" s="39">
        <v>178</v>
      </c>
      <c r="BV1278" s="39"/>
      <c r="BW1278" s="39"/>
      <c r="BX1278" s="39"/>
      <c r="BY1278" s="39"/>
      <c r="BZ1278" s="39">
        <f t="shared" si="781"/>
        <v>178</v>
      </c>
      <c r="CA1278" s="39">
        <f t="shared" si="766"/>
        <v>13</v>
      </c>
      <c r="CB1278" s="39">
        <f t="shared" si="767"/>
        <v>0</v>
      </c>
      <c r="CC1278" s="39">
        <f t="shared" si="768"/>
        <v>0</v>
      </c>
      <c r="CD1278" s="39">
        <f t="shared" si="782"/>
        <v>0</v>
      </c>
      <c r="CE1278" s="102">
        <f t="shared" si="769"/>
        <v>0</v>
      </c>
      <c r="CF1278" s="36"/>
      <c r="CG1278" s="39" t="s">
        <v>233</v>
      </c>
      <c r="CH1278" s="39"/>
      <c r="CI1278" s="25">
        <v>1</v>
      </c>
    </row>
    <row r="1279" spans="1:87" ht="24.75" customHeight="1">
      <c r="A1279" s="36" t="s">
        <v>20</v>
      </c>
      <c r="B1279" s="29" t="s">
        <v>2321</v>
      </c>
      <c r="C1279" s="36" t="s">
        <v>2322</v>
      </c>
      <c r="D1279" s="36"/>
      <c r="E1279" s="39">
        <v>220</v>
      </c>
      <c r="F1279" s="39" t="s">
        <v>56</v>
      </c>
      <c r="G1279" s="36" t="s">
        <v>35</v>
      </c>
      <c r="H1279" s="36" t="s">
        <v>102</v>
      </c>
      <c r="I1279" s="39">
        <v>175</v>
      </c>
      <c r="J1279" s="39"/>
      <c r="K1279" s="39"/>
      <c r="L1279" s="39">
        <f t="shared" si="823"/>
        <v>175</v>
      </c>
      <c r="M1279" s="57">
        <v>46266</v>
      </c>
      <c r="N1279" s="57">
        <v>46274</v>
      </c>
      <c r="O1279" s="39"/>
      <c r="P1279" s="39"/>
      <c r="Q1279" s="39"/>
      <c r="R1279" s="39">
        <f t="shared" si="817"/>
        <v>0</v>
      </c>
      <c r="S1279" s="39" t="s">
        <v>28</v>
      </c>
      <c r="T1279" s="39"/>
      <c r="U1279" s="39"/>
      <c r="V1279" s="117">
        <v>46276</v>
      </c>
      <c r="W1279" s="39">
        <v>205</v>
      </c>
      <c r="X1279" s="39"/>
      <c r="Y1279" s="39"/>
      <c r="Z1279" s="39"/>
      <c r="AA1279" s="39"/>
      <c r="AB1279" s="118">
        <f t="shared" si="815"/>
        <v>0</v>
      </c>
      <c r="AC1279" s="39"/>
      <c r="AD1279" s="39"/>
      <c r="AE1279" s="39"/>
      <c r="AF1279" s="39"/>
      <c r="AG1279" s="39"/>
      <c r="AH1279" s="39">
        <f t="shared" si="779"/>
        <v>0</v>
      </c>
      <c r="AI1279" s="39"/>
      <c r="AJ1279" s="39"/>
      <c r="AK1279" s="39"/>
      <c r="AL1279" s="39"/>
      <c r="AM1279" s="39"/>
      <c r="AN1279" s="39">
        <f t="shared" si="778"/>
        <v>0</v>
      </c>
      <c r="AO1279" s="39"/>
      <c r="AP1279" s="39"/>
      <c r="AQ1279" s="39"/>
      <c r="AR1279" s="39"/>
      <c r="AS1279" s="39"/>
      <c r="AT1279" s="39">
        <f t="shared" si="762"/>
        <v>0</v>
      </c>
      <c r="AU1279" s="39"/>
      <c r="AV1279" s="39"/>
      <c r="AW1279" s="39"/>
      <c r="AX1279" s="39"/>
      <c r="AY1279" s="39"/>
      <c r="AZ1279" s="39">
        <f t="shared" si="763"/>
        <v>0</v>
      </c>
      <c r="BA1279" s="39"/>
      <c r="BB1279" s="39"/>
      <c r="BC1279" s="39"/>
      <c r="BD1279" s="39"/>
      <c r="BE1279" s="39"/>
      <c r="BF1279" s="39">
        <f t="shared" si="764"/>
        <v>0</v>
      </c>
      <c r="BG1279" s="39"/>
      <c r="BH1279" s="39"/>
      <c r="BI1279" s="39"/>
      <c r="BJ1279" s="39"/>
      <c r="BK1279" s="39"/>
      <c r="BL1279" s="39">
        <f t="shared" si="780"/>
        <v>0</v>
      </c>
      <c r="BM1279" s="54">
        <f t="shared" ca="1" si="765"/>
        <v>46283</v>
      </c>
      <c r="BN1279" s="58">
        <v>46275</v>
      </c>
      <c r="BO1279" s="57">
        <v>46287</v>
      </c>
      <c r="BP1279" s="36"/>
      <c r="BQ1279" s="36"/>
      <c r="BR1279" s="36"/>
      <c r="BS1279" s="36"/>
      <c r="BT1279" s="39"/>
      <c r="BU1279" s="39"/>
      <c r="BV1279" s="39"/>
      <c r="BW1279" s="39"/>
      <c r="BX1279" s="39"/>
      <c r="BY1279" s="39"/>
      <c r="BZ1279" s="39">
        <f t="shared" si="781"/>
        <v>0</v>
      </c>
      <c r="CA1279" s="39">
        <f t="shared" si="766"/>
        <v>-175</v>
      </c>
      <c r="CB1279" s="39">
        <f t="shared" si="767"/>
        <v>0</v>
      </c>
      <c r="CC1279" s="39">
        <f t="shared" si="768"/>
        <v>0</v>
      </c>
      <c r="CD1279" s="39">
        <f t="shared" si="782"/>
        <v>-175</v>
      </c>
      <c r="CE1279" s="102">
        <f t="shared" si="769"/>
        <v>-1</v>
      </c>
      <c r="CF1279" s="36"/>
      <c r="CG1279" s="39" t="s">
        <v>233</v>
      </c>
      <c r="CH1279" s="39"/>
      <c r="CI1279" s="25">
        <v>1</v>
      </c>
    </row>
    <row r="1280" spans="1:87" ht="24.75" customHeight="1">
      <c r="A1280" s="36" t="s">
        <v>20</v>
      </c>
      <c r="B1280" s="29" t="s">
        <v>2323</v>
      </c>
      <c r="C1280" s="36" t="s">
        <v>2324</v>
      </c>
      <c r="D1280" s="36"/>
      <c r="E1280" s="39">
        <v>240</v>
      </c>
      <c r="F1280" s="39" t="s">
        <v>58</v>
      </c>
      <c r="G1280" s="36" t="s">
        <v>23</v>
      </c>
      <c r="H1280" s="36" t="s">
        <v>210</v>
      </c>
      <c r="I1280" s="39">
        <v>652</v>
      </c>
      <c r="J1280" s="39"/>
      <c r="K1280" s="39"/>
      <c r="L1280" s="39">
        <f t="shared" si="823"/>
        <v>652</v>
      </c>
      <c r="M1280" s="57">
        <v>46259</v>
      </c>
      <c r="N1280" s="57">
        <v>46265</v>
      </c>
      <c r="O1280" s="39"/>
      <c r="P1280" s="39"/>
      <c r="Q1280" s="39"/>
      <c r="R1280" s="39">
        <f t="shared" si="817"/>
        <v>0</v>
      </c>
      <c r="S1280" s="39" t="s">
        <v>28</v>
      </c>
      <c r="T1280" s="39"/>
      <c r="U1280" s="39"/>
      <c r="V1280" s="117">
        <v>46270</v>
      </c>
      <c r="W1280" s="39">
        <v>724</v>
      </c>
      <c r="X1280" s="117">
        <v>46281</v>
      </c>
      <c r="Y1280" s="39">
        <v>661</v>
      </c>
      <c r="Z1280" s="39"/>
      <c r="AA1280" s="39"/>
      <c r="AB1280" s="119">
        <f t="shared" si="815"/>
        <v>661</v>
      </c>
      <c r="AC1280" s="39"/>
      <c r="AD1280" s="39"/>
      <c r="AE1280" s="39"/>
      <c r="AF1280" s="39"/>
      <c r="AG1280" s="39"/>
      <c r="AH1280" s="39">
        <f t="shared" si="779"/>
        <v>0</v>
      </c>
      <c r="AI1280" s="39"/>
      <c r="AJ1280" s="39"/>
      <c r="AK1280" s="39"/>
      <c r="AL1280" s="39"/>
      <c r="AM1280" s="39"/>
      <c r="AN1280" s="39">
        <f t="shared" si="778"/>
        <v>0</v>
      </c>
      <c r="AO1280" s="39"/>
      <c r="AP1280" s="39"/>
      <c r="AQ1280" s="39"/>
      <c r="AR1280" s="39"/>
      <c r="AS1280" s="39"/>
      <c r="AT1280" s="39">
        <f t="shared" si="762"/>
        <v>0</v>
      </c>
      <c r="AU1280" s="39"/>
      <c r="AV1280" s="39"/>
      <c r="AW1280" s="39"/>
      <c r="AX1280" s="39"/>
      <c r="AY1280" s="39"/>
      <c r="AZ1280" s="39">
        <f t="shared" si="763"/>
        <v>0</v>
      </c>
      <c r="BA1280" s="39"/>
      <c r="BB1280" s="39"/>
      <c r="BC1280" s="39"/>
      <c r="BD1280" s="39"/>
      <c r="BE1280" s="39"/>
      <c r="BF1280" s="39">
        <f t="shared" si="764"/>
        <v>0</v>
      </c>
      <c r="BG1280" s="39"/>
      <c r="BH1280" s="39"/>
      <c r="BI1280" s="39"/>
      <c r="BJ1280" s="39"/>
      <c r="BK1280" s="39"/>
      <c r="BL1280" s="39">
        <f t="shared" si="780"/>
        <v>0</v>
      </c>
      <c r="BM1280" s="54" t="str">
        <f t="shared" si="765"/>
        <v/>
      </c>
      <c r="BN1280" s="58">
        <v>46266</v>
      </c>
      <c r="BO1280" s="57">
        <v>46277</v>
      </c>
      <c r="BP1280" s="36"/>
      <c r="BQ1280" s="36"/>
      <c r="BR1280" s="57">
        <v>46282</v>
      </c>
      <c r="BS1280" s="57">
        <v>46282</v>
      </c>
      <c r="BT1280" s="39">
        <v>975</v>
      </c>
      <c r="BU1280" s="39">
        <v>661</v>
      </c>
      <c r="BV1280" s="39"/>
      <c r="BW1280" s="39"/>
      <c r="BX1280" s="39"/>
      <c r="BY1280" s="39"/>
      <c r="BZ1280" s="39">
        <f t="shared" si="781"/>
        <v>661</v>
      </c>
      <c r="CA1280" s="39">
        <f t="shared" si="766"/>
        <v>9</v>
      </c>
      <c r="CB1280" s="39">
        <f t="shared" si="767"/>
        <v>0</v>
      </c>
      <c r="CC1280" s="39">
        <f t="shared" si="768"/>
        <v>0</v>
      </c>
      <c r="CD1280" s="39">
        <f t="shared" si="782"/>
        <v>0</v>
      </c>
      <c r="CE1280" s="102">
        <f t="shared" si="769"/>
        <v>0</v>
      </c>
      <c r="CF1280" s="36"/>
      <c r="CG1280" s="39" t="s">
        <v>233</v>
      </c>
      <c r="CH1280" s="39"/>
      <c r="CI1280" s="25">
        <v>1</v>
      </c>
    </row>
    <row r="1281" spans="1:87" ht="24.75" customHeight="1">
      <c r="A1281" s="36" t="s">
        <v>20</v>
      </c>
      <c r="B1281" s="29" t="s">
        <v>2325</v>
      </c>
      <c r="C1281" s="227" t="s">
        <v>2326</v>
      </c>
      <c r="D1281" s="36"/>
      <c r="E1281" s="39">
        <v>180</v>
      </c>
      <c r="F1281" s="39" t="s">
        <v>53</v>
      </c>
      <c r="G1281" s="36" t="s">
        <v>192</v>
      </c>
      <c r="H1281" s="36" t="s">
        <v>87</v>
      </c>
      <c r="I1281" s="39">
        <v>215</v>
      </c>
      <c r="J1281" s="39"/>
      <c r="K1281" s="39"/>
      <c r="L1281" s="39">
        <f t="shared" si="823"/>
        <v>215</v>
      </c>
      <c r="M1281" s="57">
        <v>46259</v>
      </c>
      <c r="N1281" s="57">
        <v>46267</v>
      </c>
      <c r="O1281" s="39"/>
      <c r="P1281" s="39"/>
      <c r="Q1281" s="39"/>
      <c r="R1281" s="39">
        <f t="shared" si="817"/>
        <v>0</v>
      </c>
      <c r="S1281" s="39" t="s">
        <v>130</v>
      </c>
      <c r="T1281" s="39">
        <v>108949</v>
      </c>
      <c r="U1281" s="117">
        <v>46261</v>
      </c>
      <c r="V1281" s="39"/>
      <c r="W1281" s="39"/>
      <c r="X1281" s="39"/>
      <c r="Y1281" s="39">
        <v>249</v>
      </c>
      <c r="Z1281" s="39"/>
      <c r="AA1281" s="39"/>
      <c r="AB1281" s="119">
        <f t="shared" si="815"/>
        <v>249</v>
      </c>
      <c r="AC1281" s="39"/>
      <c r="AD1281" s="39"/>
      <c r="AE1281" s="39"/>
      <c r="AF1281" s="39"/>
      <c r="AG1281" s="39"/>
      <c r="AH1281" s="39">
        <f t="shared" si="779"/>
        <v>0</v>
      </c>
      <c r="AI1281" s="39"/>
      <c r="AJ1281" s="39"/>
      <c r="AK1281" s="39"/>
      <c r="AL1281" s="39"/>
      <c r="AM1281" s="39"/>
      <c r="AN1281" s="39">
        <f t="shared" si="778"/>
        <v>0</v>
      </c>
      <c r="AO1281" s="39"/>
      <c r="AP1281" s="39"/>
      <c r="AQ1281" s="39"/>
      <c r="AR1281" s="39"/>
      <c r="AS1281" s="39"/>
      <c r="AT1281" s="39">
        <f t="shared" si="762"/>
        <v>0</v>
      </c>
      <c r="AU1281" s="39"/>
      <c r="AV1281" s="39"/>
      <c r="AW1281" s="39"/>
      <c r="AX1281" s="39"/>
      <c r="AY1281" s="39"/>
      <c r="AZ1281" s="39">
        <f t="shared" si="763"/>
        <v>0</v>
      </c>
      <c r="BA1281" s="39"/>
      <c r="BB1281" s="39"/>
      <c r="BC1281" s="39"/>
      <c r="BD1281" s="39"/>
      <c r="BE1281" s="39"/>
      <c r="BF1281" s="39">
        <f t="shared" si="764"/>
        <v>0</v>
      </c>
      <c r="BG1281" s="39"/>
      <c r="BH1281" s="39"/>
      <c r="BI1281" s="39"/>
      <c r="BJ1281" s="39"/>
      <c r="BK1281" s="39"/>
      <c r="BL1281" s="39">
        <f t="shared" si="780"/>
        <v>0</v>
      </c>
      <c r="BM1281" s="54" t="str">
        <f t="shared" si="765"/>
        <v/>
      </c>
      <c r="BN1281" s="58">
        <v>46273</v>
      </c>
      <c r="BO1281" s="57">
        <v>46287</v>
      </c>
      <c r="BP1281" s="36"/>
      <c r="BQ1281" s="36"/>
      <c r="BR1281" s="57">
        <v>46263</v>
      </c>
      <c r="BS1281" s="57">
        <v>46263</v>
      </c>
      <c r="BT1281" s="39">
        <v>714</v>
      </c>
      <c r="BU1281" s="39">
        <v>226</v>
      </c>
      <c r="BV1281" s="39"/>
      <c r="BW1281" s="39"/>
      <c r="BX1281" s="39"/>
      <c r="BY1281" s="39"/>
      <c r="BZ1281" s="39">
        <f t="shared" si="781"/>
        <v>226</v>
      </c>
      <c r="CA1281" s="39">
        <f t="shared" si="766"/>
        <v>11</v>
      </c>
      <c r="CB1281" s="39">
        <f t="shared" si="767"/>
        <v>0</v>
      </c>
      <c r="CC1281" s="39">
        <f t="shared" si="768"/>
        <v>0</v>
      </c>
      <c r="CD1281" s="39">
        <f t="shared" si="782"/>
        <v>0</v>
      </c>
      <c r="CE1281" s="102">
        <f t="shared" si="769"/>
        <v>0</v>
      </c>
      <c r="CF1281" s="36"/>
      <c r="CG1281" s="39" t="s">
        <v>233</v>
      </c>
      <c r="CH1281" s="39"/>
      <c r="CI1281" s="25">
        <v>1</v>
      </c>
    </row>
    <row r="1282" spans="1:87" ht="24.75" customHeight="1">
      <c r="A1282" s="36" t="s">
        <v>20</v>
      </c>
      <c r="B1282" s="29" t="s">
        <v>2325</v>
      </c>
      <c r="C1282" s="231"/>
      <c r="D1282" s="36"/>
      <c r="E1282" s="39">
        <v>180</v>
      </c>
      <c r="F1282" s="39" t="s">
        <v>53</v>
      </c>
      <c r="G1282" s="36" t="s">
        <v>2327</v>
      </c>
      <c r="H1282" s="36" t="s">
        <v>87</v>
      </c>
      <c r="I1282" s="39">
        <v>215</v>
      </c>
      <c r="J1282" s="39"/>
      <c r="K1282" s="39"/>
      <c r="L1282" s="39">
        <f t="shared" si="823"/>
        <v>215</v>
      </c>
      <c r="M1282" s="57">
        <v>46259</v>
      </c>
      <c r="N1282" s="57">
        <v>46267</v>
      </c>
      <c r="O1282" s="39"/>
      <c r="P1282" s="39"/>
      <c r="Q1282" s="39"/>
      <c r="R1282" s="39">
        <f t="shared" si="817"/>
        <v>0</v>
      </c>
      <c r="S1282" s="39" t="s">
        <v>28</v>
      </c>
      <c r="T1282" s="39"/>
      <c r="U1282" s="39"/>
      <c r="V1282" s="117">
        <v>46273</v>
      </c>
      <c r="W1282" s="39">
        <v>247</v>
      </c>
      <c r="X1282" s="39"/>
      <c r="Y1282" s="39"/>
      <c r="Z1282" s="39"/>
      <c r="AA1282" s="39"/>
      <c r="AB1282" s="118">
        <f t="shared" si="815"/>
        <v>0</v>
      </c>
      <c r="AC1282" s="39"/>
      <c r="AD1282" s="39"/>
      <c r="AE1282" s="39"/>
      <c r="AF1282" s="39"/>
      <c r="AG1282" s="39"/>
      <c r="AH1282" s="39">
        <f t="shared" si="779"/>
        <v>0</v>
      </c>
      <c r="AI1282" s="39"/>
      <c r="AJ1282" s="39"/>
      <c r="AK1282" s="39"/>
      <c r="AL1282" s="39"/>
      <c r="AM1282" s="39"/>
      <c r="AN1282" s="39">
        <f t="shared" si="778"/>
        <v>0</v>
      </c>
      <c r="AO1282" s="39"/>
      <c r="AP1282" s="39"/>
      <c r="AQ1282" s="39"/>
      <c r="AR1282" s="39"/>
      <c r="AS1282" s="39"/>
      <c r="AT1282" s="39">
        <f t="shared" si="762"/>
        <v>0</v>
      </c>
      <c r="AU1282" s="39"/>
      <c r="AV1282" s="39"/>
      <c r="AW1282" s="39"/>
      <c r="AX1282" s="39"/>
      <c r="AY1282" s="39"/>
      <c r="AZ1282" s="39">
        <f t="shared" si="763"/>
        <v>0</v>
      </c>
      <c r="BA1282" s="39"/>
      <c r="BB1282" s="39"/>
      <c r="BC1282" s="39"/>
      <c r="BD1282" s="39"/>
      <c r="BE1282" s="39"/>
      <c r="BF1282" s="39">
        <f t="shared" si="764"/>
        <v>0</v>
      </c>
      <c r="BG1282" s="39"/>
      <c r="BH1282" s="39"/>
      <c r="BI1282" s="39"/>
      <c r="BJ1282" s="39"/>
      <c r="BK1282" s="39"/>
      <c r="BL1282" s="39">
        <f t="shared" si="780"/>
        <v>0</v>
      </c>
      <c r="BM1282" s="54">
        <f t="shared" ca="1" si="765"/>
        <v>46283</v>
      </c>
      <c r="BN1282" s="58">
        <v>46273</v>
      </c>
      <c r="BO1282" s="57">
        <v>46287</v>
      </c>
      <c r="BP1282" s="36"/>
      <c r="BQ1282" s="36"/>
      <c r="BR1282" s="36"/>
      <c r="BS1282" s="36"/>
      <c r="BT1282" s="39"/>
      <c r="BU1282" s="39"/>
      <c r="BV1282" s="39"/>
      <c r="BW1282" s="39"/>
      <c r="BX1282" s="39"/>
      <c r="BY1282" s="39"/>
      <c r="BZ1282" s="39">
        <f t="shared" si="781"/>
        <v>0</v>
      </c>
      <c r="CA1282" s="39">
        <f t="shared" si="766"/>
        <v>-215</v>
      </c>
      <c r="CB1282" s="39">
        <f t="shared" si="767"/>
        <v>0</v>
      </c>
      <c r="CC1282" s="39">
        <f t="shared" si="768"/>
        <v>0</v>
      </c>
      <c r="CD1282" s="39">
        <f t="shared" si="782"/>
        <v>-215</v>
      </c>
      <c r="CE1282" s="102">
        <f t="shared" si="769"/>
        <v>-1</v>
      </c>
      <c r="CF1282" s="36"/>
      <c r="CG1282" s="39" t="s">
        <v>233</v>
      </c>
      <c r="CH1282" s="39"/>
      <c r="CI1282" s="25">
        <v>1</v>
      </c>
    </row>
    <row r="1283" spans="1:87" ht="24.75" customHeight="1">
      <c r="A1283" s="36" t="s">
        <v>20</v>
      </c>
      <c r="B1283" s="29" t="s">
        <v>2325</v>
      </c>
      <c r="C1283" s="228"/>
      <c r="D1283" s="36"/>
      <c r="E1283" s="39">
        <v>180</v>
      </c>
      <c r="F1283" s="39" t="s">
        <v>53</v>
      </c>
      <c r="G1283" s="36" t="s">
        <v>2328</v>
      </c>
      <c r="H1283" s="36" t="s">
        <v>87</v>
      </c>
      <c r="I1283" s="39">
        <v>215</v>
      </c>
      <c r="J1283" s="39"/>
      <c r="K1283" s="39"/>
      <c r="L1283" s="39">
        <f t="shared" si="823"/>
        <v>215</v>
      </c>
      <c r="M1283" s="57">
        <v>46259</v>
      </c>
      <c r="N1283" s="57">
        <v>46267</v>
      </c>
      <c r="O1283" s="39"/>
      <c r="P1283" s="39"/>
      <c r="Q1283" s="39"/>
      <c r="R1283" s="39">
        <f t="shared" si="817"/>
        <v>0</v>
      </c>
      <c r="S1283" s="39" t="s">
        <v>28</v>
      </c>
      <c r="T1283" s="39"/>
      <c r="U1283" s="39"/>
      <c r="V1283" s="117">
        <v>46273</v>
      </c>
      <c r="W1283" s="39">
        <v>247</v>
      </c>
      <c r="X1283" s="39"/>
      <c r="Y1283" s="39"/>
      <c r="Z1283" s="39"/>
      <c r="AA1283" s="39"/>
      <c r="AB1283" s="118">
        <f t="shared" si="815"/>
        <v>0</v>
      </c>
      <c r="AC1283" s="39"/>
      <c r="AD1283" s="39"/>
      <c r="AE1283" s="39"/>
      <c r="AF1283" s="39"/>
      <c r="AG1283" s="39"/>
      <c r="AH1283" s="39">
        <f t="shared" si="779"/>
        <v>0</v>
      </c>
      <c r="AI1283" s="39"/>
      <c r="AJ1283" s="39"/>
      <c r="AK1283" s="39"/>
      <c r="AL1283" s="39"/>
      <c r="AM1283" s="39"/>
      <c r="AN1283" s="39">
        <f t="shared" si="778"/>
        <v>0</v>
      </c>
      <c r="AO1283" s="39"/>
      <c r="AP1283" s="39"/>
      <c r="AQ1283" s="39"/>
      <c r="AR1283" s="39"/>
      <c r="AS1283" s="39"/>
      <c r="AT1283" s="39">
        <f t="shared" si="762"/>
        <v>0</v>
      </c>
      <c r="AU1283" s="39"/>
      <c r="AV1283" s="39"/>
      <c r="AW1283" s="39"/>
      <c r="AX1283" s="39"/>
      <c r="AY1283" s="39"/>
      <c r="AZ1283" s="39">
        <f t="shared" si="763"/>
        <v>0</v>
      </c>
      <c r="BA1283" s="39"/>
      <c r="BB1283" s="39"/>
      <c r="BC1283" s="39"/>
      <c r="BD1283" s="39"/>
      <c r="BE1283" s="39"/>
      <c r="BF1283" s="39">
        <f t="shared" si="764"/>
        <v>0</v>
      </c>
      <c r="BG1283" s="39"/>
      <c r="BH1283" s="39"/>
      <c r="BI1283" s="39"/>
      <c r="BJ1283" s="39"/>
      <c r="BK1283" s="39"/>
      <c r="BL1283" s="39">
        <f t="shared" si="780"/>
        <v>0</v>
      </c>
      <c r="BM1283" s="54">
        <f t="shared" ca="1" si="765"/>
        <v>46283</v>
      </c>
      <c r="BN1283" s="58">
        <v>46273</v>
      </c>
      <c r="BO1283" s="57">
        <v>46287</v>
      </c>
      <c r="BP1283" s="36"/>
      <c r="BQ1283" s="36"/>
      <c r="BR1283" s="36"/>
      <c r="BS1283" s="36"/>
      <c r="BT1283" s="39"/>
      <c r="BU1283" s="39"/>
      <c r="BV1283" s="39"/>
      <c r="BW1283" s="39"/>
      <c r="BX1283" s="39"/>
      <c r="BY1283" s="39"/>
      <c r="BZ1283" s="39">
        <f t="shared" si="781"/>
        <v>0</v>
      </c>
      <c r="CA1283" s="39">
        <f t="shared" si="766"/>
        <v>-215</v>
      </c>
      <c r="CB1283" s="39">
        <f t="shared" si="767"/>
        <v>0</v>
      </c>
      <c r="CC1283" s="39">
        <f t="shared" si="768"/>
        <v>0</v>
      </c>
      <c r="CD1283" s="39">
        <f t="shared" si="782"/>
        <v>-215</v>
      </c>
      <c r="CE1283" s="102">
        <f t="shared" si="769"/>
        <v>-1</v>
      </c>
      <c r="CF1283" s="36"/>
      <c r="CG1283" s="39" t="s">
        <v>233</v>
      </c>
      <c r="CH1283" s="39"/>
      <c r="CI1283" s="25">
        <v>1</v>
      </c>
    </row>
    <row r="1284" spans="1:87" ht="24.75" customHeight="1">
      <c r="A1284" s="36" t="s">
        <v>20</v>
      </c>
      <c r="B1284" s="29" t="s">
        <v>2329</v>
      </c>
      <c r="C1284" s="227" t="s">
        <v>2330</v>
      </c>
      <c r="D1284" s="36"/>
      <c r="E1284" s="39">
        <v>180</v>
      </c>
      <c r="F1284" s="39" t="s">
        <v>58</v>
      </c>
      <c r="G1284" s="36" t="s">
        <v>23</v>
      </c>
      <c r="H1284" s="36" t="s">
        <v>87</v>
      </c>
      <c r="I1284" s="39">
        <v>256</v>
      </c>
      <c r="J1284" s="39"/>
      <c r="K1284" s="39"/>
      <c r="L1284" s="39">
        <f t="shared" si="823"/>
        <v>256</v>
      </c>
      <c r="M1284" s="57">
        <v>46258</v>
      </c>
      <c r="N1284" s="57">
        <v>46268</v>
      </c>
      <c r="O1284" s="39"/>
      <c r="P1284" s="39"/>
      <c r="Q1284" s="39"/>
      <c r="R1284" s="39">
        <f t="shared" si="817"/>
        <v>0</v>
      </c>
      <c r="S1284" s="39" t="s">
        <v>28</v>
      </c>
      <c r="T1284" s="39"/>
      <c r="U1284" s="39"/>
      <c r="V1284" s="117">
        <v>46261</v>
      </c>
      <c r="W1284" s="39">
        <v>290</v>
      </c>
      <c r="X1284" s="39"/>
      <c r="Y1284" s="39"/>
      <c r="Z1284" s="39"/>
      <c r="AA1284" s="39"/>
      <c r="AB1284" s="118">
        <f t="shared" si="815"/>
        <v>0</v>
      </c>
      <c r="AC1284" s="39"/>
      <c r="AD1284" s="39"/>
      <c r="AE1284" s="39"/>
      <c r="AF1284" s="39"/>
      <c r="AG1284" s="39"/>
      <c r="AH1284" s="39">
        <f t="shared" si="779"/>
        <v>0</v>
      </c>
      <c r="AI1284" s="39"/>
      <c r="AJ1284" s="39"/>
      <c r="AK1284" s="39"/>
      <c r="AL1284" s="39"/>
      <c r="AM1284" s="39"/>
      <c r="AN1284" s="39">
        <f t="shared" si="778"/>
        <v>0</v>
      </c>
      <c r="AO1284" s="39"/>
      <c r="AP1284" s="39"/>
      <c r="AQ1284" s="39"/>
      <c r="AR1284" s="39"/>
      <c r="AS1284" s="39"/>
      <c r="AT1284" s="39">
        <f t="shared" si="762"/>
        <v>0</v>
      </c>
      <c r="AU1284" s="39"/>
      <c r="AV1284" s="39"/>
      <c r="AW1284" s="39"/>
      <c r="AX1284" s="39"/>
      <c r="AY1284" s="39"/>
      <c r="AZ1284" s="39">
        <f t="shared" si="763"/>
        <v>0</v>
      </c>
      <c r="BA1284" s="39"/>
      <c r="BB1284" s="39"/>
      <c r="BC1284" s="39"/>
      <c r="BD1284" s="39"/>
      <c r="BE1284" s="39"/>
      <c r="BF1284" s="39">
        <f t="shared" si="764"/>
        <v>0</v>
      </c>
      <c r="BG1284" s="39"/>
      <c r="BH1284" s="39"/>
      <c r="BI1284" s="39"/>
      <c r="BJ1284" s="39"/>
      <c r="BK1284" s="39"/>
      <c r="BL1284" s="39">
        <f t="shared" si="780"/>
        <v>0</v>
      </c>
      <c r="BM1284" s="54">
        <f t="shared" ca="1" si="765"/>
        <v>46283</v>
      </c>
      <c r="BN1284" s="58">
        <v>46269</v>
      </c>
      <c r="BO1284" s="57">
        <v>46291</v>
      </c>
      <c r="BP1284" s="36"/>
      <c r="BQ1284" s="36"/>
      <c r="BR1284" s="36"/>
      <c r="BS1284" s="36"/>
      <c r="BT1284" s="39"/>
      <c r="BU1284" s="39"/>
      <c r="BV1284" s="39"/>
      <c r="BW1284" s="39"/>
      <c r="BX1284" s="39"/>
      <c r="BY1284" s="39"/>
      <c r="BZ1284" s="39">
        <f t="shared" si="781"/>
        <v>0</v>
      </c>
      <c r="CA1284" s="39">
        <f t="shared" si="766"/>
        <v>-256</v>
      </c>
      <c r="CB1284" s="39">
        <f t="shared" si="767"/>
        <v>0</v>
      </c>
      <c r="CC1284" s="39">
        <f t="shared" si="768"/>
        <v>0</v>
      </c>
      <c r="CD1284" s="39">
        <f t="shared" si="782"/>
        <v>-256</v>
      </c>
      <c r="CE1284" s="102">
        <f t="shared" si="769"/>
        <v>-1</v>
      </c>
      <c r="CF1284" s="36"/>
      <c r="CG1284" s="39" t="s">
        <v>233</v>
      </c>
      <c r="CH1284" s="39"/>
      <c r="CI1284" s="25">
        <v>1</v>
      </c>
    </row>
    <row r="1285" spans="1:87" ht="24.75" customHeight="1">
      <c r="A1285" s="36" t="s">
        <v>20</v>
      </c>
      <c r="B1285" s="29" t="s">
        <v>2329</v>
      </c>
      <c r="C1285" s="231"/>
      <c r="D1285" s="36"/>
      <c r="E1285" s="39">
        <v>180</v>
      </c>
      <c r="F1285" s="39" t="s">
        <v>58</v>
      </c>
      <c r="G1285" s="36" t="s">
        <v>21</v>
      </c>
      <c r="H1285" s="36" t="s">
        <v>87</v>
      </c>
      <c r="I1285" s="39">
        <v>256</v>
      </c>
      <c r="J1285" s="39"/>
      <c r="K1285" s="39"/>
      <c r="L1285" s="39">
        <f t="shared" ref="L1285" si="824">SUM(I1285:K1285)</f>
        <v>256</v>
      </c>
      <c r="M1285" s="57">
        <v>46258</v>
      </c>
      <c r="N1285" s="57">
        <v>46268</v>
      </c>
      <c r="O1285" s="39"/>
      <c r="P1285" s="39"/>
      <c r="Q1285" s="39"/>
      <c r="R1285" s="39">
        <f t="shared" si="817"/>
        <v>0</v>
      </c>
      <c r="S1285" s="39" t="s">
        <v>130</v>
      </c>
      <c r="T1285" s="39">
        <v>109279</v>
      </c>
      <c r="U1285" s="117">
        <v>46275</v>
      </c>
      <c r="V1285" s="39"/>
      <c r="W1285" s="39"/>
      <c r="X1285" s="39"/>
      <c r="Y1285" s="39">
        <v>296</v>
      </c>
      <c r="Z1285" s="39"/>
      <c r="AA1285" s="39"/>
      <c r="AB1285" s="119">
        <f t="shared" si="815"/>
        <v>296</v>
      </c>
      <c r="AC1285" s="39"/>
      <c r="AD1285" s="39"/>
      <c r="AE1285" s="39"/>
      <c r="AF1285" s="39"/>
      <c r="AG1285" s="39"/>
      <c r="AH1285" s="39">
        <f t="shared" si="779"/>
        <v>0</v>
      </c>
      <c r="AI1285" s="39"/>
      <c r="AJ1285" s="39"/>
      <c r="AK1285" s="39"/>
      <c r="AL1285" s="39"/>
      <c r="AM1285" s="39"/>
      <c r="AN1285" s="39">
        <f t="shared" si="778"/>
        <v>0</v>
      </c>
      <c r="AO1285" s="39"/>
      <c r="AP1285" s="39"/>
      <c r="AQ1285" s="39"/>
      <c r="AR1285" s="39"/>
      <c r="AS1285" s="39"/>
      <c r="AT1285" s="39">
        <f t="shared" si="762"/>
        <v>0</v>
      </c>
      <c r="AU1285" s="39"/>
      <c r="AV1285" s="39"/>
      <c r="AW1285" s="39"/>
      <c r="AX1285" s="39"/>
      <c r="AY1285" s="39"/>
      <c r="AZ1285" s="39">
        <f t="shared" si="763"/>
        <v>0</v>
      </c>
      <c r="BA1285" s="39"/>
      <c r="BB1285" s="39"/>
      <c r="BC1285" s="39"/>
      <c r="BD1285" s="39"/>
      <c r="BE1285" s="39"/>
      <c r="BF1285" s="39">
        <f t="shared" si="764"/>
        <v>0</v>
      </c>
      <c r="BG1285" s="39"/>
      <c r="BH1285" s="39"/>
      <c r="BI1285" s="39"/>
      <c r="BJ1285" s="39"/>
      <c r="BK1285" s="39"/>
      <c r="BL1285" s="39">
        <f t="shared" si="780"/>
        <v>0</v>
      </c>
      <c r="BM1285" s="54" t="str">
        <f t="shared" si="765"/>
        <v/>
      </c>
      <c r="BN1285" s="58">
        <v>46269</v>
      </c>
      <c r="BO1285" s="57">
        <v>46291</v>
      </c>
      <c r="BP1285" s="36"/>
      <c r="BQ1285" s="36"/>
      <c r="BR1285" s="57">
        <v>46276</v>
      </c>
      <c r="BS1285" s="57">
        <v>46276</v>
      </c>
      <c r="BT1285" s="39">
        <v>781</v>
      </c>
      <c r="BU1285" s="39">
        <v>271</v>
      </c>
      <c r="BV1285" s="39"/>
      <c r="BW1285" s="39"/>
      <c r="BX1285" s="39"/>
      <c r="BY1285" s="39"/>
      <c r="BZ1285" s="39">
        <f t="shared" si="781"/>
        <v>271</v>
      </c>
      <c r="CA1285" s="39">
        <f t="shared" si="766"/>
        <v>15</v>
      </c>
      <c r="CB1285" s="39">
        <f t="shared" si="767"/>
        <v>0</v>
      </c>
      <c r="CC1285" s="39">
        <f t="shared" si="768"/>
        <v>0</v>
      </c>
      <c r="CD1285" s="39">
        <f t="shared" si="782"/>
        <v>0</v>
      </c>
      <c r="CE1285" s="102">
        <f t="shared" si="769"/>
        <v>0</v>
      </c>
      <c r="CF1285" s="36"/>
      <c r="CG1285" s="39" t="s">
        <v>233</v>
      </c>
      <c r="CH1285" s="39"/>
      <c r="CI1285" s="25">
        <v>1</v>
      </c>
    </row>
    <row r="1286" spans="1:87" ht="24.75" customHeight="1">
      <c r="A1286" s="36" t="s">
        <v>20</v>
      </c>
      <c r="B1286" s="29" t="s">
        <v>2329</v>
      </c>
      <c r="C1286" s="231"/>
      <c r="D1286" s="36"/>
      <c r="E1286" s="39">
        <v>180</v>
      </c>
      <c r="F1286" s="39" t="s">
        <v>58</v>
      </c>
      <c r="G1286" s="36" t="s">
        <v>2331</v>
      </c>
      <c r="H1286" s="36" t="s">
        <v>87</v>
      </c>
      <c r="I1286" s="39">
        <v>256</v>
      </c>
      <c r="J1286" s="39"/>
      <c r="K1286" s="39"/>
      <c r="L1286" s="39">
        <f t="shared" ref="L1286:L1289" si="825">SUM(I1286:K1286)</f>
        <v>256</v>
      </c>
      <c r="M1286" s="57">
        <v>46258</v>
      </c>
      <c r="N1286" s="57">
        <v>46268</v>
      </c>
      <c r="O1286" s="39"/>
      <c r="P1286" s="39"/>
      <c r="Q1286" s="39"/>
      <c r="R1286" s="39">
        <f t="shared" si="817"/>
        <v>0</v>
      </c>
      <c r="S1286" s="39" t="s">
        <v>28</v>
      </c>
      <c r="T1286" s="39"/>
      <c r="U1286" s="39"/>
      <c r="V1286" s="117">
        <v>46270</v>
      </c>
      <c r="W1286" s="39">
        <v>297</v>
      </c>
      <c r="X1286" s="39"/>
      <c r="Y1286" s="39"/>
      <c r="Z1286" s="39"/>
      <c r="AA1286" s="39"/>
      <c r="AB1286" s="118">
        <f t="shared" si="815"/>
        <v>0</v>
      </c>
      <c r="AC1286" s="39"/>
      <c r="AD1286" s="39"/>
      <c r="AE1286" s="39"/>
      <c r="AF1286" s="39"/>
      <c r="AG1286" s="39"/>
      <c r="AH1286" s="39">
        <f t="shared" si="779"/>
        <v>0</v>
      </c>
      <c r="AI1286" s="39"/>
      <c r="AJ1286" s="39"/>
      <c r="AK1286" s="39"/>
      <c r="AL1286" s="39"/>
      <c r="AM1286" s="39"/>
      <c r="AN1286" s="39">
        <f t="shared" si="778"/>
        <v>0</v>
      </c>
      <c r="AO1286" s="39"/>
      <c r="AP1286" s="39"/>
      <c r="AQ1286" s="39"/>
      <c r="AR1286" s="39"/>
      <c r="AS1286" s="39"/>
      <c r="AT1286" s="39">
        <f t="shared" si="762"/>
        <v>0</v>
      </c>
      <c r="AU1286" s="39"/>
      <c r="AV1286" s="39"/>
      <c r="AW1286" s="39"/>
      <c r="AX1286" s="39"/>
      <c r="AY1286" s="39"/>
      <c r="AZ1286" s="39">
        <f t="shared" si="763"/>
        <v>0</v>
      </c>
      <c r="BA1286" s="39"/>
      <c r="BB1286" s="39"/>
      <c r="BC1286" s="39"/>
      <c r="BD1286" s="39"/>
      <c r="BE1286" s="39"/>
      <c r="BF1286" s="39">
        <f t="shared" si="764"/>
        <v>0</v>
      </c>
      <c r="BG1286" s="39"/>
      <c r="BH1286" s="39"/>
      <c r="BI1286" s="39"/>
      <c r="BJ1286" s="39"/>
      <c r="BK1286" s="39"/>
      <c r="BL1286" s="39">
        <f t="shared" si="780"/>
        <v>0</v>
      </c>
      <c r="BM1286" s="54">
        <f t="shared" ca="1" si="765"/>
        <v>46283</v>
      </c>
      <c r="BN1286" s="58">
        <v>46269</v>
      </c>
      <c r="BO1286" s="57">
        <v>46291</v>
      </c>
      <c r="BP1286" s="36"/>
      <c r="BQ1286" s="36"/>
      <c r="BR1286" s="36"/>
      <c r="BS1286" s="36"/>
      <c r="BT1286" s="39"/>
      <c r="BU1286" s="39"/>
      <c r="BV1286" s="39"/>
      <c r="BW1286" s="39"/>
      <c r="BX1286" s="39"/>
      <c r="BY1286" s="39"/>
      <c r="BZ1286" s="39">
        <f t="shared" si="781"/>
        <v>0</v>
      </c>
      <c r="CA1286" s="39">
        <f t="shared" si="766"/>
        <v>-256</v>
      </c>
      <c r="CB1286" s="39">
        <f t="shared" si="767"/>
        <v>0</v>
      </c>
      <c r="CC1286" s="39">
        <f t="shared" si="768"/>
        <v>0</v>
      </c>
      <c r="CD1286" s="39">
        <f t="shared" si="782"/>
        <v>-256</v>
      </c>
      <c r="CE1286" s="102">
        <f t="shared" si="769"/>
        <v>-1</v>
      </c>
      <c r="CF1286" s="36"/>
      <c r="CG1286" s="39" t="s">
        <v>233</v>
      </c>
      <c r="CH1286" s="39"/>
      <c r="CI1286" s="25">
        <v>1</v>
      </c>
    </row>
    <row r="1287" spans="1:87" ht="24.75" customHeight="1">
      <c r="A1287" s="36" t="s">
        <v>20</v>
      </c>
      <c r="B1287" s="29" t="s">
        <v>2329</v>
      </c>
      <c r="C1287" s="231"/>
      <c r="D1287" s="36"/>
      <c r="E1287" s="39">
        <v>180</v>
      </c>
      <c r="F1287" s="39" t="s">
        <v>58</v>
      </c>
      <c r="G1287" s="36" t="s">
        <v>2332</v>
      </c>
      <c r="H1287" s="36" t="s">
        <v>87</v>
      </c>
      <c r="I1287" s="39">
        <v>341</v>
      </c>
      <c r="J1287" s="39"/>
      <c r="K1287" s="39"/>
      <c r="L1287" s="39">
        <f t="shared" si="825"/>
        <v>341</v>
      </c>
      <c r="M1287" s="57">
        <v>46258</v>
      </c>
      <c r="N1287" s="57">
        <v>46268</v>
      </c>
      <c r="O1287" s="39"/>
      <c r="P1287" s="39"/>
      <c r="Q1287" s="39"/>
      <c r="R1287" s="39">
        <f t="shared" si="817"/>
        <v>0</v>
      </c>
      <c r="S1287" s="39" t="s">
        <v>130</v>
      </c>
      <c r="T1287" s="39"/>
      <c r="U1287" s="39"/>
      <c r="V1287" s="39"/>
      <c r="W1287" s="39"/>
      <c r="X1287" s="39"/>
      <c r="Y1287" s="39"/>
      <c r="Z1287" s="39"/>
      <c r="AA1287" s="39"/>
      <c r="AB1287" s="118">
        <f t="shared" si="815"/>
        <v>0</v>
      </c>
      <c r="AC1287" s="39"/>
      <c r="AD1287" s="39"/>
      <c r="AE1287" s="39"/>
      <c r="AF1287" s="39"/>
      <c r="AG1287" s="39"/>
      <c r="AH1287" s="39">
        <f t="shared" si="779"/>
        <v>0</v>
      </c>
      <c r="AI1287" s="39"/>
      <c r="AJ1287" s="39"/>
      <c r="AK1287" s="39"/>
      <c r="AL1287" s="39"/>
      <c r="AM1287" s="39"/>
      <c r="AN1287" s="39">
        <f t="shared" si="778"/>
        <v>0</v>
      </c>
      <c r="AO1287" s="39"/>
      <c r="AP1287" s="39"/>
      <c r="AQ1287" s="39"/>
      <c r="AR1287" s="39"/>
      <c r="AS1287" s="39"/>
      <c r="AT1287" s="39">
        <f t="shared" si="762"/>
        <v>0</v>
      </c>
      <c r="AU1287" s="39"/>
      <c r="AV1287" s="39"/>
      <c r="AW1287" s="39"/>
      <c r="AX1287" s="39"/>
      <c r="AY1287" s="39"/>
      <c r="AZ1287" s="39">
        <f t="shared" si="763"/>
        <v>0</v>
      </c>
      <c r="BA1287" s="39"/>
      <c r="BB1287" s="39"/>
      <c r="BC1287" s="39"/>
      <c r="BD1287" s="39"/>
      <c r="BE1287" s="39"/>
      <c r="BF1287" s="39">
        <f t="shared" si="764"/>
        <v>0</v>
      </c>
      <c r="BG1287" s="39"/>
      <c r="BH1287" s="39"/>
      <c r="BI1287" s="39"/>
      <c r="BJ1287" s="39"/>
      <c r="BK1287" s="39"/>
      <c r="BL1287" s="39">
        <f t="shared" si="780"/>
        <v>0</v>
      </c>
      <c r="BM1287" s="54">
        <f t="shared" ca="1" si="765"/>
        <v>46283</v>
      </c>
      <c r="BN1287" s="58">
        <v>46269</v>
      </c>
      <c r="BO1287" s="57">
        <v>46291</v>
      </c>
      <c r="BP1287" s="36"/>
      <c r="BQ1287" s="36"/>
      <c r="BR1287" s="36"/>
      <c r="BS1287" s="36"/>
      <c r="BT1287" s="39"/>
      <c r="BU1287" s="39"/>
      <c r="BV1287" s="39"/>
      <c r="BW1287" s="39"/>
      <c r="BX1287" s="39"/>
      <c r="BY1287" s="39"/>
      <c r="BZ1287" s="39">
        <f t="shared" si="781"/>
        <v>0</v>
      </c>
      <c r="CA1287" s="39">
        <f t="shared" si="766"/>
        <v>-341</v>
      </c>
      <c r="CB1287" s="39">
        <f t="shared" si="767"/>
        <v>0</v>
      </c>
      <c r="CC1287" s="39">
        <f t="shared" si="768"/>
        <v>0</v>
      </c>
      <c r="CD1287" s="39">
        <f t="shared" si="782"/>
        <v>-341</v>
      </c>
      <c r="CE1287" s="102">
        <f t="shared" si="769"/>
        <v>-1</v>
      </c>
      <c r="CF1287" s="36"/>
      <c r="CG1287" s="39" t="s">
        <v>233</v>
      </c>
      <c r="CH1287" s="39"/>
      <c r="CI1287" s="25">
        <v>1</v>
      </c>
    </row>
    <row r="1288" spans="1:87" ht="24.75" customHeight="1">
      <c r="A1288" s="36" t="s">
        <v>20</v>
      </c>
      <c r="B1288" s="29" t="s">
        <v>2329</v>
      </c>
      <c r="C1288" s="231"/>
      <c r="D1288" s="36"/>
      <c r="E1288" s="39">
        <v>180</v>
      </c>
      <c r="F1288" s="39" t="s">
        <v>58</v>
      </c>
      <c r="G1288" s="36" t="s">
        <v>2333</v>
      </c>
      <c r="H1288" s="36" t="s">
        <v>87</v>
      </c>
      <c r="I1288" s="39">
        <v>341</v>
      </c>
      <c r="J1288" s="39"/>
      <c r="K1288" s="39"/>
      <c r="L1288" s="39">
        <f t="shared" si="825"/>
        <v>341</v>
      </c>
      <c r="M1288" s="57">
        <v>46258</v>
      </c>
      <c r="N1288" s="57">
        <v>46268</v>
      </c>
      <c r="O1288" s="39"/>
      <c r="P1288" s="39"/>
      <c r="Q1288" s="39"/>
      <c r="R1288" s="39">
        <f t="shared" si="817"/>
        <v>0</v>
      </c>
      <c r="S1288" s="39" t="s">
        <v>270</v>
      </c>
      <c r="T1288" s="39"/>
      <c r="U1288" s="39"/>
      <c r="V1288" s="117">
        <v>46272</v>
      </c>
      <c r="W1288" s="39">
        <v>392</v>
      </c>
      <c r="X1288" s="39"/>
      <c r="Y1288" s="39"/>
      <c r="Z1288" s="39"/>
      <c r="AA1288" s="39"/>
      <c r="AB1288" s="118">
        <f t="shared" si="815"/>
        <v>0</v>
      </c>
      <c r="AC1288" s="39"/>
      <c r="AD1288" s="39"/>
      <c r="AE1288" s="39"/>
      <c r="AF1288" s="39"/>
      <c r="AG1288" s="39"/>
      <c r="AH1288" s="39">
        <f t="shared" si="779"/>
        <v>0</v>
      </c>
      <c r="AI1288" s="39"/>
      <c r="AJ1288" s="39"/>
      <c r="AK1288" s="39"/>
      <c r="AL1288" s="39"/>
      <c r="AM1288" s="39"/>
      <c r="AN1288" s="39">
        <f t="shared" si="778"/>
        <v>0</v>
      </c>
      <c r="AO1288" s="39"/>
      <c r="AP1288" s="39"/>
      <c r="AQ1288" s="39"/>
      <c r="AR1288" s="39"/>
      <c r="AS1288" s="39"/>
      <c r="AT1288" s="39">
        <f t="shared" si="762"/>
        <v>0</v>
      </c>
      <c r="AU1288" s="39"/>
      <c r="AV1288" s="39"/>
      <c r="AW1288" s="39"/>
      <c r="AX1288" s="39"/>
      <c r="AY1288" s="39"/>
      <c r="AZ1288" s="39">
        <f t="shared" si="763"/>
        <v>0</v>
      </c>
      <c r="BA1288" s="39"/>
      <c r="BB1288" s="39"/>
      <c r="BC1288" s="39"/>
      <c r="BD1288" s="39"/>
      <c r="BE1288" s="39"/>
      <c r="BF1288" s="39">
        <f t="shared" si="764"/>
        <v>0</v>
      </c>
      <c r="BG1288" s="39"/>
      <c r="BH1288" s="39"/>
      <c r="BI1288" s="39"/>
      <c r="BJ1288" s="39"/>
      <c r="BK1288" s="39"/>
      <c r="BL1288" s="39">
        <f t="shared" si="780"/>
        <v>0</v>
      </c>
      <c r="BM1288" s="54">
        <f t="shared" ca="1" si="765"/>
        <v>46283</v>
      </c>
      <c r="BN1288" s="58">
        <v>46269</v>
      </c>
      <c r="BO1288" s="57">
        <v>46291</v>
      </c>
      <c r="BP1288" s="36"/>
      <c r="BQ1288" s="36"/>
      <c r="BR1288" s="36"/>
      <c r="BS1288" s="36"/>
      <c r="BT1288" s="39"/>
      <c r="BU1288" s="39"/>
      <c r="BV1288" s="39"/>
      <c r="BW1288" s="39"/>
      <c r="BX1288" s="39"/>
      <c r="BY1288" s="39"/>
      <c r="BZ1288" s="39">
        <f t="shared" si="781"/>
        <v>0</v>
      </c>
      <c r="CA1288" s="39">
        <f t="shared" si="766"/>
        <v>-341</v>
      </c>
      <c r="CB1288" s="39">
        <f t="shared" si="767"/>
        <v>0</v>
      </c>
      <c r="CC1288" s="39">
        <f t="shared" si="768"/>
        <v>0</v>
      </c>
      <c r="CD1288" s="39">
        <f t="shared" si="782"/>
        <v>-341</v>
      </c>
      <c r="CE1288" s="102">
        <f t="shared" si="769"/>
        <v>-1</v>
      </c>
      <c r="CF1288" s="36"/>
      <c r="CG1288" s="39" t="s">
        <v>233</v>
      </c>
      <c r="CH1288" s="39"/>
      <c r="CI1288" s="25">
        <v>1</v>
      </c>
    </row>
    <row r="1289" spans="1:87" ht="24.75" customHeight="1">
      <c r="A1289" s="36" t="s">
        <v>20</v>
      </c>
      <c r="B1289" s="29" t="s">
        <v>2329</v>
      </c>
      <c r="C1289" s="231"/>
      <c r="D1289" s="36"/>
      <c r="E1289" s="39">
        <v>180</v>
      </c>
      <c r="F1289" s="39" t="s">
        <v>58</v>
      </c>
      <c r="G1289" s="36" t="s">
        <v>47</v>
      </c>
      <c r="H1289" s="36" t="s">
        <v>87</v>
      </c>
      <c r="I1289" s="39">
        <v>341</v>
      </c>
      <c r="J1289" s="39"/>
      <c r="K1289" s="39"/>
      <c r="L1289" s="39">
        <f t="shared" si="825"/>
        <v>341</v>
      </c>
      <c r="M1289" s="57">
        <v>46258</v>
      </c>
      <c r="N1289" s="57">
        <v>46268</v>
      </c>
      <c r="O1289" s="39"/>
      <c r="P1289" s="39"/>
      <c r="Q1289" s="39"/>
      <c r="R1289" s="39">
        <f t="shared" si="817"/>
        <v>0</v>
      </c>
      <c r="S1289" s="39" t="s">
        <v>130</v>
      </c>
      <c r="T1289" s="39">
        <v>109273</v>
      </c>
      <c r="U1289" s="117">
        <v>46274</v>
      </c>
      <c r="V1289" s="39"/>
      <c r="W1289" s="39"/>
      <c r="X1289" s="39"/>
      <c r="Y1289" s="39">
        <v>399</v>
      </c>
      <c r="Z1289" s="39"/>
      <c r="AA1289" s="39"/>
      <c r="AB1289" s="119">
        <f t="shared" si="815"/>
        <v>399</v>
      </c>
      <c r="AC1289" s="39"/>
      <c r="AD1289" s="39"/>
      <c r="AE1289" s="39"/>
      <c r="AF1289" s="39"/>
      <c r="AG1289" s="39"/>
      <c r="AH1289" s="39">
        <f t="shared" si="779"/>
        <v>0</v>
      </c>
      <c r="AI1289" s="39"/>
      <c r="AJ1289" s="39"/>
      <c r="AK1289" s="39"/>
      <c r="AL1289" s="39"/>
      <c r="AM1289" s="39"/>
      <c r="AN1289" s="39">
        <f t="shared" si="778"/>
        <v>0</v>
      </c>
      <c r="AO1289" s="39"/>
      <c r="AP1289" s="39"/>
      <c r="AQ1289" s="39"/>
      <c r="AR1289" s="39"/>
      <c r="AS1289" s="39"/>
      <c r="AT1289" s="39">
        <f t="shared" si="762"/>
        <v>0</v>
      </c>
      <c r="AU1289" s="39"/>
      <c r="AV1289" s="39"/>
      <c r="AW1289" s="39"/>
      <c r="AX1289" s="39"/>
      <c r="AY1289" s="39"/>
      <c r="AZ1289" s="39">
        <f t="shared" si="763"/>
        <v>0</v>
      </c>
      <c r="BA1289" s="39"/>
      <c r="BB1289" s="39"/>
      <c r="BC1289" s="39"/>
      <c r="BD1289" s="39"/>
      <c r="BE1289" s="39"/>
      <c r="BF1289" s="39">
        <f t="shared" si="764"/>
        <v>0</v>
      </c>
      <c r="BG1289" s="39"/>
      <c r="BH1289" s="39"/>
      <c r="BI1289" s="39"/>
      <c r="BJ1289" s="39"/>
      <c r="BK1289" s="39"/>
      <c r="BL1289" s="39">
        <f t="shared" si="780"/>
        <v>0</v>
      </c>
      <c r="BM1289" s="54" t="str">
        <f t="shared" si="765"/>
        <v/>
      </c>
      <c r="BN1289" s="58">
        <v>46269</v>
      </c>
      <c r="BO1289" s="57">
        <v>46291</v>
      </c>
      <c r="BP1289" s="36"/>
      <c r="BQ1289" s="36"/>
      <c r="BR1289" s="57">
        <v>46276</v>
      </c>
      <c r="BS1289" s="57">
        <v>46276</v>
      </c>
      <c r="BT1289" s="39">
        <v>781</v>
      </c>
      <c r="BU1289" s="39">
        <v>350</v>
      </c>
      <c r="BV1289" s="39"/>
      <c r="BW1289" s="39"/>
      <c r="BX1289" s="39"/>
      <c r="BY1289" s="39"/>
      <c r="BZ1289" s="39">
        <f t="shared" si="781"/>
        <v>350</v>
      </c>
      <c r="CA1289" s="39">
        <f t="shared" si="766"/>
        <v>9</v>
      </c>
      <c r="CB1289" s="39">
        <f t="shared" si="767"/>
        <v>0</v>
      </c>
      <c r="CC1289" s="39">
        <f t="shared" si="768"/>
        <v>0</v>
      </c>
      <c r="CD1289" s="39">
        <f t="shared" si="782"/>
        <v>0</v>
      </c>
      <c r="CE1289" s="102">
        <f t="shared" si="769"/>
        <v>0</v>
      </c>
      <c r="CF1289" s="36"/>
      <c r="CG1289" s="39" t="s">
        <v>233</v>
      </c>
      <c r="CH1289" s="39"/>
      <c r="CI1289" s="25">
        <v>1</v>
      </c>
    </row>
    <row r="1290" spans="1:87" ht="24.75" customHeight="1">
      <c r="A1290" s="36" t="s">
        <v>20</v>
      </c>
      <c r="B1290" s="29" t="s">
        <v>2329</v>
      </c>
      <c r="C1290" s="231"/>
      <c r="D1290" s="36"/>
      <c r="E1290" s="39">
        <v>180</v>
      </c>
      <c r="F1290" s="39" t="s">
        <v>58</v>
      </c>
      <c r="G1290" s="36" t="s">
        <v>2334</v>
      </c>
      <c r="H1290" s="36" t="s">
        <v>87</v>
      </c>
      <c r="I1290" s="39">
        <v>307</v>
      </c>
      <c r="J1290" s="39"/>
      <c r="K1290" s="39"/>
      <c r="L1290" s="39">
        <f t="shared" ref="L1290:L1296" si="826">SUM(I1290:K1290)</f>
        <v>307</v>
      </c>
      <c r="M1290" s="57">
        <v>46258</v>
      </c>
      <c r="N1290" s="57">
        <v>46268</v>
      </c>
      <c r="O1290" s="39"/>
      <c r="P1290" s="39"/>
      <c r="Q1290" s="39"/>
      <c r="R1290" s="39">
        <f t="shared" si="817"/>
        <v>0</v>
      </c>
      <c r="S1290" s="39" t="s">
        <v>270</v>
      </c>
      <c r="T1290" s="39"/>
      <c r="U1290" s="39"/>
      <c r="V1290" s="117">
        <v>46272</v>
      </c>
      <c r="W1290" s="39">
        <v>353</v>
      </c>
      <c r="X1290" s="39"/>
      <c r="Y1290" s="39"/>
      <c r="Z1290" s="39"/>
      <c r="AA1290" s="39"/>
      <c r="AB1290" s="118">
        <f t="shared" si="815"/>
        <v>0</v>
      </c>
      <c r="AC1290" s="39"/>
      <c r="AD1290" s="39"/>
      <c r="AE1290" s="39"/>
      <c r="AF1290" s="39"/>
      <c r="AG1290" s="39"/>
      <c r="AH1290" s="39">
        <f t="shared" si="779"/>
        <v>0</v>
      </c>
      <c r="AI1290" s="39"/>
      <c r="AJ1290" s="39"/>
      <c r="AK1290" s="39"/>
      <c r="AL1290" s="39"/>
      <c r="AM1290" s="39"/>
      <c r="AN1290" s="39">
        <f t="shared" ref="AN1290:AN1329" si="827">AM1290-AK1290</f>
        <v>0</v>
      </c>
      <c r="AO1290" s="39"/>
      <c r="AP1290" s="39"/>
      <c r="AQ1290" s="39"/>
      <c r="AR1290" s="39"/>
      <c r="AS1290" s="39"/>
      <c r="AT1290" s="39">
        <f t="shared" si="762"/>
        <v>0</v>
      </c>
      <c r="AU1290" s="39"/>
      <c r="AV1290" s="39"/>
      <c r="AW1290" s="39"/>
      <c r="AX1290" s="39"/>
      <c r="AY1290" s="39"/>
      <c r="AZ1290" s="39">
        <f t="shared" si="763"/>
        <v>0</v>
      </c>
      <c r="BA1290" s="39"/>
      <c r="BB1290" s="39"/>
      <c r="BC1290" s="39"/>
      <c r="BD1290" s="39"/>
      <c r="BE1290" s="39"/>
      <c r="BF1290" s="39">
        <f t="shared" si="764"/>
        <v>0</v>
      </c>
      <c r="BG1290" s="39"/>
      <c r="BH1290" s="39"/>
      <c r="BI1290" s="39"/>
      <c r="BJ1290" s="39"/>
      <c r="BK1290" s="39"/>
      <c r="BL1290" s="39">
        <f t="shared" si="780"/>
        <v>0</v>
      </c>
      <c r="BM1290" s="54">
        <f t="shared" ca="1" si="765"/>
        <v>46283</v>
      </c>
      <c r="BN1290" s="58">
        <v>46269</v>
      </c>
      <c r="BO1290" s="57">
        <v>46291</v>
      </c>
      <c r="BP1290" s="36"/>
      <c r="BQ1290" s="36"/>
      <c r="BR1290" s="36"/>
      <c r="BS1290" s="36"/>
      <c r="BT1290" s="39"/>
      <c r="BU1290" s="39"/>
      <c r="BV1290" s="39"/>
      <c r="BW1290" s="39"/>
      <c r="BX1290" s="39"/>
      <c r="BY1290" s="39"/>
      <c r="BZ1290" s="39">
        <f t="shared" si="781"/>
        <v>0</v>
      </c>
      <c r="CA1290" s="39">
        <f t="shared" si="766"/>
        <v>-307</v>
      </c>
      <c r="CB1290" s="39">
        <f t="shared" si="767"/>
        <v>0</v>
      </c>
      <c r="CC1290" s="39">
        <f t="shared" si="768"/>
        <v>0</v>
      </c>
      <c r="CD1290" s="39">
        <f t="shared" si="782"/>
        <v>-307</v>
      </c>
      <c r="CE1290" s="102">
        <f t="shared" si="769"/>
        <v>-1</v>
      </c>
      <c r="CF1290" s="36"/>
      <c r="CG1290" s="39" t="s">
        <v>233</v>
      </c>
      <c r="CH1290" s="39"/>
      <c r="CI1290" s="25">
        <v>1</v>
      </c>
    </row>
    <row r="1291" spans="1:87" ht="24.75" customHeight="1">
      <c r="A1291" s="36" t="s">
        <v>20</v>
      </c>
      <c r="B1291" s="29" t="s">
        <v>2329</v>
      </c>
      <c r="C1291" s="231"/>
      <c r="D1291" s="36"/>
      <c r="E1291" s="39">
        <v>180</v>
      </c>
      <c r="F1291" s="39" t="s">
        <v>58</v>
      </c>
      <c r="G1291" s="36" t="s">
        <v>443</v>
      </c>
      <c r="H1291" s="36" t="s">
        <v>87</v>
      </c>
      <c r="I1291" s="39">
        <v>307</v>
      </c>
      <c r="J1291" s="39"/>
      <c r="K1291" s="39"/>
      <c r="L1291" s="39">
        <f t="shared" si="826"/>
        <v>307</v>
      </c>
      <c r="M1291" s="57">
        <v>46258</v>
      </c>
      <c r="N1291" s="57">
        <v>46268</v>
      </c>
      <c r="O1291" s="39"/>
      <c r="P1291" s="39"/>
      <c r="Q1291" s="39"/>
      <c r="R1291" s="39">
        <f t="shared" si="817"/>
        <v>0</v>
      </c>
      <c r="S1291" s="39" t="s">
        <v>28</v>
      </c>
      <c r="T1291" s="39"/>
      <c r="U1291" s="39"/>
      <c r="V1291" s="117">
        <v>46263</v>
      </c>
      <c r="W1291" s="39">
        <v>354</v>
      </c>
      <c r="X1291" s="117">
        <v>46281</v>
      </c>
      <c r="Y1291" s="39">
        <v>315</v>
      </c>
      <c r="Z1291" s="39"/>
      <c r="AA1291" s="39"/>
      <c r="AB1291" s="119">
        <f t="shared" si="815"/>
        <v>315</v>
      </c>
      <c r="AC1291" s="39"/>
      <c r="AD1291" s="39"/>
      <c r="AE1291" s="39"/>
      <c r="AF1291" s="39"/>
      <c r="AG1291" s="39"/>
      <c r="AH1291" s="39">
        <f t="shared" si="779"/>
        <v>0</v>
      </c>
      <c r="AI1291" s="39"/>
      <c r="AJ1291" s="39"/>
      <c r="AK1291" s="39"/>
      <c r="AL1291" s="39"/>
      <c r="AM1291" s="39"/>
      <c r="AN1291" s="39">
        <f t="shared" si="827"/>
        <v>0</v>
      </c>
      <c r="AO1291" s="39"/>
      <c r="AP1291" s="39"/>
      <c r="AQ1291" s="39"/>
      <c r="AR1291" s="39"/>
      <c r="AS1291" s="39"/>
      <c r="AT1291" s="39">
        <f t="shared" si="762"/>
        <v>0</v>
      </c>
      <c r="AU1291" s="39"/>
      <c r="AV1291" s="39"/>
      <c r="AW1291" s="39"/>
      <c r="AX1291" s="39"/>
      <c r="AY1291" s="39"/>
      <c r="AZ1291" s="39">
        <f t="shared" si="763"/>
        <v>0</v>
      </c>
      <c r="BA1291" s="39"/>
      <c r="BB1291" s="39"/>
      <c r="BC1291" s="39"/>
      <c r="BD1291" s="39"/>
      <c r="BE1291" s="39"/>
      <c r="BF1291" s="39">
        <f t="shared" si="764"/>
        <v>0</v>
      </c>
      <c r="BG1291" s="39"/>
      <c r="BH1291" s="39"/>
      <c r="BI1291" s="39"/>
      <c r="BJ1291" s="39"/>
      <c r="BK1291" s="39"/>
      <c r="BL1291" s="39">
        <f t="shared" si="780"/>
        <v>0</v>
      </c>
      <c r="BM1291" s="54" t="str">
        <f t="shared" si="765"/>
        <v/>
      </c>
      <c r="BN1291" s="58">
        <v>46269</v>
      </c>
      <c r="BO1291" s="57">
        <v>46291</v>
      </c>
      <c r="BP1291" s="36"/>
      <c r="BQ1291" s="36"/>
      <c r="BR1291" s="57">
        <v>46282</v>
      </c>
      <c r="BS1291" s="57">
        <v>46282</v>
      </c>
      <c r="BT1291" s="39">
        <v>975</v>
      </c>
      <c r="BU1291" s="39">
        <v>315</v>
      </c>
      <c r="BV1291" s="39"/>
      <c r="BW1291" s="39"/>
      <c r="BX1291" s="39"/>
      <c r="BY1291" s="39"/>
      <c r="BZ1291" s="39">
        <f t="shared" si="781"/>
        <v>315</v>
      </c>
      <c r="CA1291" s="39">
        <f t="shared" si="766"/>
        <v>8</v>
      </c>
      <c r="CB1291" s="39">
        <f t="shared" si="767"/>
        <v>0</v>
      </c>
      <c r="CC1291" s="39">
        <f t="shared" si="768"/>
        <v>0</v>
      </c>
      <c r="CD1291" s="39">
        <f t="shared" si="782"/>
        <v>0</v>
      </c>
      <c r="CE1291" s="102">
        <f t="shared" si="769"/>
        <v>0</v>
      </c>
      <c r="CF1291" s="36"/>
      <c r="CG1291" s="39" t="s">
        <v>233</v>
      </c>
      <c r="CH1291" s="39"/>
      <c r="CI1291" s="25">
        <v>1</v>
      </c>
    </row>
    <row r="1292" spans="1:87" ht="24.75" customHeight="1">
      <c r="A1292" s="36" t="s">
        <v>20</v>
      </c>
      <c r="B1292" s="29" t="s">
        <v>2329</v>
      </c>
      <c r="C1292" s="231"/>
      <c r="D1292" s="36"/>
      <c r="E1292" s="39">
        <v>180</v>
      </c>
      <c r="F1292" s="39" t="s">
        <v>58</v>
      </c>
      <c r="G1292" s="36" t="s">
        <v>439</v>
      </c>
      <c r="H1292" s="36" t="s">
        <v>87</v>
      </c>
      <c r="I1292" s="39">
        <v>307</v>
      </c>
      <c r="J1292" s="39"/>
      <c r="K1292" s="39"/>
      <c r="L1292" s="39">
        <f t="shared" si="826"/>
        <v>307</v>
      </c>
      <c r="M1292" s="57">
        <v>46258</v>
      </c>
      <c r="N1292" s="57">
        <v>46268</v>
      </c>
      <c r="O1292" s="39"/>
      <c r="P1292" s="39"/>
      <c r="Q1292" s="39"/>
      <c r="R1292" s="39">
        <f t="shared" si="817"/>
        <v>0</v>
      </c>
      <c r="S1292" s="39" t="s">
        <v>31</v>
      </c>
      <c r="T1292" s="39"/>
      <c r="U1292" s="39"/>
      <c r="V1292" s="117">
        <v>46270</v>
      </c>
      <c r="W1292" s="39">
        <v>353</v>
      </c>
      <c r="X1292" s="39"/>
      <c r="Y1292" s="39"/>
      <c r="Z1292" s="39"/>
      <c r="AA1292" s="39"/>
      <c r="AB1292" s="118">
        <f t="shared" si="815"/>
        <v>0</v>
      </c>
      <c r="AC1292" s="39"/>
      <c r="AD1292" s="39"/>
      <c r="AE1292" s="39"/>
      <c r="AF1292" s="39"/>
      <c r="AG1292" s="39"/>
      <c r="AH1292" s="39">
        <f t="shared" si="779"/>
        <v>0</v>
      </c>
      <c r="AI1292" s="39"/>
      <c r="AJ1292" s="39"/>
      <c r="AK1292" s="39"/>
      <c r="AL1292" s="39"/>
      <c r="AM1292" s="39"/>
      <c r="AN1292" s="39">
        <f t="shared" si="827"/>
        <v>0</v>
      </c>
      <c r="AO1292" s="39"/>
      <c r="AP1292" s="39"/>
      <c r="AQ1292" s="39"/>
      <c r="AR1292" s="39"/>
      <c r="AS1292" s="39"/>
      <c r="AT1292" s="39">
        <f t="shared" si="762"/>
        <v>0</v>
      </c>
      <c r="AU1292" s="39"/>
      <c r="AV1292" s="39"/>
      <c r="AW1292" s="39"/>
      <c r="AX1292" s="39"/>
      <c r="AY1292" s="39"/>
      <c r="AZ1292" s="39">
        <f t="shared" si="763"/>
        <v>0</v>
      </c>
      <c r="BA1292" s="39"/>
      <c r="BB1292" s="39"/>
      <c r="BC1292" s="39"/>
      <c r="BD1292" s="39"/>
      <c r="BE1292" s="39"/>
      <c r="BF1292" s="39">
        <f t="shared" si="764"/>
        <v>0</v>
      </c>
      <c r="BG1292" s="39"/>
      <c r="BH1292" s="39"/>
      <c r="BI1292" s="39"/>
      <c r="BJ1292" s="39"/>
      <c r="BK1292" s="39"/>
      <c r="BL1292" s="39">
        <f t="shared" si="780"/>
        <v>0</v>
      </c>
      <c r="BM1292" s="54">
        <f t="shared" ca="1" si="765"/>
        <v>46283</v>
      </c>
      <c r="BN1292" s="58">
        <v>46269</v>
      </c>
      <c r="BO1292" s="57">
        <v>46291</v>
      </c>
      <c r="BP1292" s="36"/>
      <c r="BQ1292" s="36"/>
      <c r="BR1292" s="36"/>
      <c r="BS1292" s="36"/>
      <c r="BT1292" s="39"/>
      <c r="BU1292" s="39"/>
      <c r="BV1292" s="39"/>
      <c r="BW1292" s="39"/>
      <c r="BX1292" s="39"/>
      <c r="BY1292" s="39"/>
      <c r="BZ1292" s="39">
        <f t="shared" si="781"/>
        <v>0</v>
      </c>
      <c r="CA1292" s="39">
        <f t="shared" si="766"/>
        <v>-307</v>
      </c>
      <c r="CB1292" s="39">
        <f t="shared" si="767"/>
        <v>0</v>
      </c>
      <c r="CC1292" s="39">
        <f t="shared" si="768"/>
        <v>0</v>
      </c>
      <c r="CD1292" s="39">
        <f t="shared" si="782"/>
        <v>-307</v>
      </c>
      <c r="CE1292" s="102">
        <f t="shared" si="769"/>
        <v>-1</v>
      </c>
      <c r="CF1292" s="36"/>
      <c r="CG1292" s="39" t="s">
        <v>233</v>
      </c>
      <c r="CH1292" s="39"/>
      <c r="CI1292" s="25">
        <v>1</v>
      </c>
    </row>
    <row r="1293" spans="1:87" ht="24.75" customHeight="1">
      <c r="A1293" s="36" t="s">
        <v>20</v>
      </c>
      <c r="B1293" s="29" t="s">
        <v>2329</v>
      </c>
      <c r="C1293" s="231"/>
      <c r="D1293" s="36"/>
      <c r="E1293" s="39">
        <v>180</v>
      </c>
      <c r="F1293" s="39" t="s">
        <v>58</v>
      </c>
      <c r="G1293" s="36" t="s">
        <v>23</v>
      </c>
      <c r="H1293" s="36" t="s">
        <v>87</v>
      </c>
      <c r="I1293" s="39">
        <v>239</v>
      </c>
      <c r="J1293" s="39"/>
      <c r="K1293" s="39"/>
      <c r="L1293" s="39">
        <f t="shared" si="826"/>
        <v>239</v>
      </c>
      <c r="M1293" s="57">
        <v>46258</v>
      </c>
      <c r="N1293" s="57">
        <v>46268</v>
      </c>
      <c r="O1293" s="39"/>
      <c r="P1293" s="39"/>
      <c r="Q1293" s="39"/>
      <c r="R1293" s="39">
        <f t="shared" si="817"/>
        <v>0</v>
      </c>
      <c r="S1293" s="39" t="s">
        <v>28</v>
      </c>
      <c r="T1293" s="39"/>
      <c r="U1293" s="39"/>
      <c r="V1293" s="117">
        <v>46261</v>
      </c>
      <c r="W1293" s="39">
        <v>262</v>
      </c>
      <c r="X1293" s="39"/>
      <c r="Y1293" s="39"/>
      <c r="Z1293" s="39"/>
      <c r="AA1293" s="39"/>
      <c r="AB1293" s="118">
        <f t="shared" si="815"/>
        <v>0</v>
      </c>
      <c r="AC1293" s="39"/>
      <c r="AD1293" s="39"/>
      <c r="AE1293" s="39"/>
      <c r="AF1293" s="39"/>
      <c r="AG1293" s="39"/>
      <c r="AH1293" s="39">
        <f t="shared" si="779"/>
        <v>0</v>
      </c>
      <c r="AI1293" s="39"/>
      <c r="AJ1293" s="39"/>
      <c r="AK1293" s="39"/>
      <c r="AL1293" s="39"/>
      <c r="AM1293" s="39"/>
      <c r="AN1293" s="39">
        <f t="shared" si="827"/>
        <v>0</v>
      </c>
      <c r="AO1293" s="39"/>
      <c r="AP1293" s="39"/>
      <c r="AQ1293" s="39"/>
      <c r="AR1293" s="39"/>
      <c r="AS1293" s="39"/>
      <c r="AT1293" s="39">
        <f t="shared" si="762"/>
        <v>0</v>
      </c>
      <c r="AU1293" s="39"/>
      <c r="AV1293" s="39"/>
      <c r="AW1293" s="39"/>
      <c r="AX1293" s="39"/>
      <c r="AY1293" s="39"/>
      <c r="AZ1293" s="39">
        <f t="shared" si="763"/>
        <v>0</v>
      </c>
      <c r="BA1293" s="39"/>
      <c r="BB1293" s="39"/>
      <c r="BC1293" s="39"/>
      <c r="BD1293" s="39"/>
      <c r="BE1293" s="39"/>
      <c r="BF1293" s="39">
        <f t="shared" si="764"/>
        <v>0</v>
      </c>
      <c r="BG1293" s="39"/>
      <c r="BH1293" s="39"/>
      <c r="BI1293" s="39"/>
      <c r="BJ1293" s="39"/>
      <c r="BK1293" s="39"/>
      <c r="BL1293" s="39">
        <f t="shared" si="780"/>
        <v>0</v>
      </c>
      <c r="BM1293" s="54">
        <f t="shared" ca="1" si="765"/>
        <v>46283</v>
      </c>
      <c r="BN1293" s="58">
        <v>46269</v>
      </c>
      <c r="BO1293" s="57">
        <v>46291</v>
      </c>
      <c r="BP1293" s="36"/>
      <c r="BQ1293" s="36"/>
      <c r="BR1293" s="36"/>
      <c r="BS1293" s="36"/>
      <c r="BT1293" s="39"/>
      <c r="BU1293" s="39"/>
      <c r="BV1293" s="39"/>
      <c r="BW1293" s="39"/>
      <c r="BX1293" s="39"/>
      <c r="BY1293" s="39"/>
      <c r="BZ1293" s="39">
        <f t="shared" si="781"/>
        <v>0</v>
      </c>
      <c r="CA1293" s="39">
        <f t="shared" si="766"/>
        <v>-239</v>
      </c>
      <c r="CB1293" s="39">
        <f t="shared" si="767"/>
        <v>0</v>
      </c>
      <c r="CC1293" s="39">
        <f t="shared" si="768"/>
        <v>0</v>
      </c>
      <c r="CD1293" s="39">
        <f t="shared" si="782"/>
        <v>-239</v>
      </c>
      <c r="CE1293" s="102">
        <f t="shared" si="769"/>
        <v>-1</v>
      </c>
      <c r="CF1293" s="36"/>
      <c r="CG1293" s="39" t="s">
        <v>233</v>
      </c>
      <c r="CH1293" s="39"/>
      <c r="CI1293" s="25">
        <v>1</v>
      </c>
    </row>
    <row r="1294" spans="1:87" ht="24.75" customHeight="1">
      <c r="A1294" s="36" t="s">
        <v>20</v>
      </c>
      <c r="B1294" s="29" t="s">
        <v>2329</v>
      </c>
      <c r="C1294" s="231"/>
      <c r="D1294" s="36"/>
      <c r="E1294" s="39">
        <v>180</v>
      </c>
      <c r="F1294" s="39" t="s">
        <v>58</v>
      </c>
      <c r="G1294" s="36" t="s">
        <v>47</v>
      </c>
      <c r="H1294" s="36" t="s">
        <v>87</v>
      </c>
      <c r="I1294" s="39">
        <v>239</v>
      </c>
      <c r="J1294" s="39"/>
      <c r="K1294" s="39"/>
      <c r="L1294" s="39">
        <f t="shared" si="826"/>
        <v>239</v>
      </c>
      <c r="M1294" s="57">
        <v>46258</v>
      </c>
      <c r="N1294" s="57">
        <v>46268</v>
      </c>
      <c r="O1294" s="39"/>
      <c r="P1294" s="39"/>
      <c r="Q1294" s="39"/>
      <c r="R1294" s="39">
        <f t="shared" si="817"/>
        <v>0</v>
      </c>
      <c r="S1294" s="39" t="s">
        <v>130</v>
      </c>
      <c r="T1294" s="39">
        <v>109273</v>
      </c>
      <c r="U1294" s="117">
        <v>46274</v>
      </c>
      <c r="V1294" s="39"/>
      <c r="W1294" s="39"/>
      <c r="X1294" s="39"/>
      <c r="Y1294" s="39">
        <v>270</v>
      </c>
      <c r="Z1294" s="39"/>
      <c r="AA1294" s="39"/>
      <c r="AB1294" s="119">
        <f t="shared" si="815"/>
        <v>270</v>
      </c>
      <c r="AC1294" s="39"/>
      <c r="AD1294" s="39"/>
      <c r="AE1294" s="39"/>
      <c r="AF1294" s="39"/>
      <c r="AG1294" s="39"/>
      <c r="AH1294" s="39">
        <f t="shared" si="779"/>
        <v>0</v>
      </c>
      <c r="AI1294" s="39"/>
      <c r="AJ1294" s="39"/>
      <c r="AK1294" s="39"/>
      <c r="AL1294" s="39"/>
      <c r="AM1294" s="39"/>
      <c r="AN1294" s="39">
        <f t="shared" si="827"/>
        <v>0</v>
      </c>
      <c r="AO1294" s="39"/>
      <c r="AP1294" s="39"/>
      <c r="AQ1294" s="39"/>
      <c r="AR1294" s="39"/>
      <c r="AS1294" s="39"/>
      <c r="AT1294" s="39">
        <f t="shared" si="762"/>
        <v>0</v>
      </c>
      <c r="AU1294" s="39"/>
      <c r="AV1294" s="39"/>
      <c r="AW1294" s="39"/>
      <c r="AX1294" s="39"/>
      <c r="AY1294" s="39"/>
      <c r="AZ1294" s="39">
        <f t="shared" si="763"/>
        <v>0</v>
      </c>
      <c r="BA1294" s="39"/>
      <c r="BB1294" s="39"/>
      <c r="BC1294" s="39"/>
      <c r="BD1294" s="39"/>
      <c r="BE1294" s="39"/>
      <c r="BF1294" s="39">
        <f t="shared" si="764"/>
        <v>0</v>
      </c>
      <c r="BG1294" s="39"/>
      <c r="BH1294" s="39"/>
      <c r="BI1294" s="39"/>
      <c r="BJ1294" s="39"/>
      <c r="BK1294" s="39"/>
      <c r="BL1294" s="39">
        <f t="shared" si="780"/>
        <v>0</v>
      </c>
      <c r="BM1294" s="54" t="str">
        <f t="shared" si="765"/>
        <v/>
      </c>
      <c r="BN1294" s="58">
        <v>46269</v>
      </c>
      <c r="BO1294" s="57">
        <v>46291</v>
      </c>
      <c r="BP1294" s="36"/>
      <c r="BQ1294" s="36"/>
      <c r="BR1294" s="57">
        <v>46276</v>
      </c>
      <c r="BS1294" s="57">
        <v>46276</v>
      </c>
      <c r="BT1294" s="39">
        <v>781</v>
      </c>
      <c r="BU1294" s="39">
        <v>247</v>
      </c>
      <c r="BV1294" s="39"/>
      <c r="BW1294" s="39"/>
      <c r="BX1294" s="39"/>
      <c r="BY1294" s="39"/>
      <c r="BZ1294" s="39">
        <f t="shared" si="781"/>
        <v>247</v>
      </c>
      <c r="CA1294" s="39">
        <f t="shared" si="766"/>
        <v>8</v>
      </c>
      <c r="CB1294" s="39">
        <f t="shared" si="767"/>
        <v>0</v>
      </c>
      <c r="CC1294" s="39">
        <f t="shared" si="768"/>
        <v>0</v>
      </c>
      <c r="CD1294" s="39">
        <f t="shared" si="782"/>
        <v>0</v>
      </c>
      <c r="CE1294" s="102">
        <f t="shared" si="769"/>
        <v>0</v>
      </c>
      <c r="CF1294" s="36"/>
      <c r="CG1294" s="39" t="s">
        <v>233</v>
      </c>
      <c r="CH1294" s="39"/>
      <c r="CI1294" s="25">
        <v>1</v>
      </c>
    </row>
    <row r="1295" spans="1:87" ht="24.75" customHeight="1">
      <c r="A1295" s="36" t="s">
        <v>20</v>
      </c>
      <c r="B1295" s="29" t="s">
        <v>2329</v>
      </c>
      <c r="C1295" s="231"/>
      <c r="D1295" s="36"/>
      <c r="E1295" s="39">
        <v>180</v>
      </c>
      <c r="F1295" s="39" t="s">
        <v>58</v>
      </c>
      <c r="G1295" s="36" t="s">
        <v>352</v>
      </c>
      <c r="H1295" s="36" t="s">
        <v>87</v>
      </c>
      <c r="I1295" s="39">
        <v>239</v>
      </c>
      <c r="J1295" s="39"/>
      <c r="K1295" s="39"/>
      <c r="L1295" s="39">
        <f t="shared" si="826"/>
        <v>239</v>
      </c>
      <c r="M1295" s="57">
        <v>46258</v>
      </c>
      <c r="N1295" s="57">
        <v>46268</v>
      </c>
      <c r="O1295" s="39"/>
      <c r="P1295" s="39"/>
      <c r="Q1295" s="39"/>
      <c r="R1295" s="39">
        <f t="shared" si="817"/>
        <v>0</v>
      </c>
      <c r="S1295" s="39" t="s">
        <v>28</v>
      </c>
      <c r="T1295" s="39"/>
      <c r="U1295" s="39"/>
      <c r="V1295" s="117">
        <v>46270</v>
      </c>
      <c r="W1295" s="39">
        <v>276</v>
      </c>
      <c r="X1295" s="39"/>
      <c r="Y1295" s="39"/>
      <c r="Z1295" s="39"/>
      <c r="AA1295" s="39"/>
      <c r="AB1295" s="118">
        <f t="shared" si="815"/>
        <v>0</v>
      </c>
      <c r="AC1295" s="39"/>
      <c r="AD1295" s="39"/>
      <c r="AE1295" s="39"/>
      <c r="AF1295" s="39"/>
      <c r="AG1295" s="39"/>
      <c r="AH1295" s="39">
        <f t="shared" si="779"/>
        <v>0</v>
      </c>
      <c r="AI1295" s="39"/>
      <c r="AJ1295" s="39"/>
      <c r="AK1295" s="39"/>
      <c r="AL1295" s="39"/>
      <c r="AM1295" s="39"/>
      <c r="AN1295" s="39">
        <f t="shared" si="827"/>
        <v>0</v>
      </c>
      <c r="AO1295" s="39"/>
      <c r="AP1295" s="39"/>
      <c r="AQ1295" s="39"/>
      <c r="AR1295" s="39"/>
      <c r="AS1295" s="39"/>
      <c r="AT1295" s="39">
        <f t="shared" si="762"/>
        <v>0</v>
      </c>
      <c r="AU1295" s="39"/>
      <c r="AV1295" s="39"/>
      <c r="AW1295" s="39"/>
      <c r="AX1295" s="39"/>
      <c r="AY1295" s="39"/>
      <c r="AZ1295" s="39">
        <f t="shared" si="763"/>
        <v>0</v>
      </c>
      <c r="BA1295" s="39"/>
      <c r="BB1295" s="39"/>
      <c r="BC1295" s="39"/>
      <c r="BD1295" s="39"/>
      <c r="BE1295" s="39"/>
      <c r="BF1295" s="39">
        <f t="shared" si="764"/>
        <v>0</v>
      </c>
      <c r="BG1295" s="39"/>
      <c r="BH1295" s="39"/>
      <c r="BI1295" s="39"/>
      <c r="BJ1295" s="39"/>
      <c r="BK1295" s="39"/>
      <c r="BL1295" s="39">
        <f t="shared" si="780"/>
        <v>0</v>
      </c>
      <c r="BM1295" s="54">
        <f t="shared" ca="1" si="765"/>
        <v>46283</v>
      </c>
      <c r="BN1295" s="58">
        <v>46269</v>
      </c>
      <c r="BO1295" s="57">
        <v>46291</v>
      </c>
      <c r="BP1295" s="36"/>
      <c r="BQ1295" s="36"/>
      <c r="BR1295" s="36"/>
      <c r="BS1295" s="36"/>
      <c r="BT1295" s="39"/>
      <c r="BU1295" s="39"/>
      <c r="BV1295" s="39"/>
      <c r="BW1295" s="39"/>
      <c r="BX1295" s="39"/>
      <c r="BY1295" s="39"/>
      <c r="BZ1295" s="39">
        <f t="shared" si="781"/>
        <v>0</v>
      </c>
      <c r="CA1295" s="39">
        <f t="shared" si="766"/>
        <v>-239</v>
      </c>
      <c r="CB1295" s="39">
        <f t="shared" si="767"/>
        <v>0</v>
      </c>
      <c r="CC1295" s="39">
        <f t="shared" si="768"/>
        <v>0</v>
      </c>
      <c r="CD1295" s="39">
        <f t="shared" si="782"/>
        <v>-239</v>
      </c>
      <c r="CE1295" s="102">
        <f t="shared" si="769"/>
        <v>-1</v>
      </c>
      <c r="CF1295" s="36"/>
      <c r="CG1295" s="39" t="s">
        <v>233</v>
      </c>
      <c r="CH1295" s="39"/>
      <c r="CI1295" s="25">
        <v>1</v>
      </c>
    </row>
    <row r="1296" spans="1:87" ht="24.75" customHeight="1">
      <c r="A1296" s="36" t="s">
        <v>20</v>
      </c>
      <c r="B1296" s="29" t="s">
        <v>2329</v>
      </c>
      <c r="C1296" s="231"/>
      <c r="D1296" s="36"/>
      <c r="E1296" s="39">
        <v>180</v>
      </c>
      <c r="F1296" s="39" t="s">
        <v>58</v>
      </c>
      <c r="G1296" s="36" t="s">
        <v>187</v>
      </c>
      <c r="H1296" s="36" t="s">
        <v>87</v>
      </c>
      <c r="I1296" s="39">
        <v>239</v>
      </c>
      <c r="J1296" s="39"/>
      <c r="K1296" s="39"/>
      <c r="L1296" s="39">
        <f t="shared" si="826"/>
        <v>239</v>
      </c>
      <c r="M1296" s="57">
        <v>46258</v>
      </c>
      <c r="N1296" s="57">
        <v>46268</v>
      </c>
      <c r="O1296" s="39"/>
      <c r="P1296" s="39"/>
      <c r="Q1296" s="39"/>
      <c r="R1296" s="39">
        <f t="shared" si="817"/>
        <v>0</v>
      </c>
      <c r="S1296" s="39" t="s">
        <v>130</v>
      </c>
      <c r="T1296" s="39"/>
      <c r="U1296" s="39"/>
      <c r="V1296" s="39"/>
      <c r="W1296" s="39"/>
      <c r="X1296" s="39"/>
      <c r="Y1296" s="39"/>
      <c r="Z1296" s="39"/>
      <c r="AA1296" s="39"/>
      <c r="AB1296" s="118">
        <f t="shared" si="815"/>
        <v>0</v>
      </c>
      <c r="AC1296" s="39"/>
      <c r="AD1296" s="39"/>
      <c r="AE1296" s="39"/>
      <c r="AF1296" s="39"/>
      <c r="AG1296" s="39"/>
      <c r="AH1296" s="39">
        <f t="shared" si="779"/>
        <v>0</v>
      </c>
      <c r="AI1296" s="39"/>
      <c r="AJ1296" s="39"/>
      <c r="AK1296" s="39"/>
      <c r="AL1296" s="39"/>
      <c r="AM1296" s="39"/>
      <c r="AN1296" s="39">
        <f t="shared" si="827"/>
        <v>0</v>
      </c>
      <c r="AO1296" s="39"/>
      <c r="AP1296" s="39"/>
      <c r="AQ1296" s="39"/>
      <c r="AR1296" s="39"/>
      <c r="AS1296" s="39"/>
      <c r="AT1296" s="39">
        <f t="shared" si="762"/>
        <v>0</v>
      </c>
      <c r="AU1296" s="39"/>
      <c r="AV1296" s="39"/>
      <c r="AW1296" s="39"/>
      <c r="AX1296" s="39"/>
      <c r="AY1296" s="39"/>
      <c r="AZ1296" s="39">
        <f t="shared" si="763"/>
        <v>0</v>
      </c>
      <c r="BA1296" s="39"/>
      <c r="BB1296" s="39"/>
      <c r="BC1296" s="39"/>
      <c r="BD1296" s="39"/>
      <c r="BE1296" s="39"/>
      <c r="BF1296" s="39">
        <f t="shared" si="764"/>
        <v>0</v>
      </c>
      <c r="BG1296" s="39"/>
      <c r="BH1296" s="39"/>
      <c r="BI1296" s="39"/>
      <c r="BJ1296" s="39"/>
      <c r="BK1296" s="39"/>
      <c r="BL1296" s="39">
        <f t="shared" si="780"/>
        <v>0</v>
      </c>
      <c r="BM1296" s="54">
        <f t="shared" ca="1" si="765"/>
        <v>46283</v>
      </c>
      <c r="BN1296" s="58">
        <v>46269</v>
      </c>
      <c r="BO1296" s="57">
        <v>46291</v>
      </c>
      <c r="BP1296" s="36"/>
      <c r="BQ1296" s="36"/>
      <c r="BR1296" s="36"/>
      <c r="BS1296" s="36"/>
      <c r="BT1296" s="39"/>
      <c r="BU1296" s="39"/>
      <c r="BV1296" s="39"/>
      <c r="BW1296" s="39"/>
      <c r="BX1296" s="39"/>
      <c r="BY1296" s="39"/>
      <c r="BZ1296" s="39">
        <f t="shared" si="781"/>
        <v>0</v>
      </c>
      <c r="CA1296" s="39">
        <f t="shared" si="766"/>
        <v>-239</v>
      </c>
      <c r="CB1296" s="39">
        <f t="shared" si="767"/>
        <v>0</v>
      </c>
      <c r="CC1296" s="39">
        <f t="shared" si="768"/>
        <v>0</v>
      </c>
      <c r="CD1296" s="39">
        <f t="shared" si="782"/>
        <v>-239</v>
      </c>
      <c r="CE1296" s="102">
        <f t="shared" si="769"/>
        <v>-1</v>
      </c>
      <c r="CF1296" s="36"/>
      <c r="CG1296" s="39" t="s">
        <v>233</v>
      </c>
      <c r="CH1296" s="39"/>
      <c r="CI1296" s="25">
        <v>1</v>
      </c>
    </row>
    <row r="1297" spans="1:87" ht="24.75" customHeight="1">
      <c r="A1297" s="36" t="s">
        <v>20</v>
      </c>
      <c r="B1297" s="29" t="s">
        <v>2329</v>
      </c>
      <c r="C1297" s="228"/>
      <c r="D1297" s="36" t="s">
        <v>24</v>
      </c>
      <c r="E1297" s="39">
        <v>180</v>
      </c>
      <c r="F1297" s="39" t="s">
        <v>69</v>
      </c>
      <c r="G1297" s="36" t="s">
        <v>472</v>
      </c>
      <c r="H1297" s="36" t="s">
        <v>87</v>
      </c>
      <c r="I1297" s="39">
        <v>244</v>
      </c>
      <c r="J1297" s="39"/>
      <c r="K1297" s="39">
        <v>30</v>
      </c>
      <c r="L1297" s="39">
        <f t="shared" ref="L1297:L1298" si="828">SUM(I1297:K1297)</f>
        <v>274</v>
      </c>
      <c r="M1297" s="57">
        <v>46258</v>
      </c>
      <c r="N1297" s="57">
        <v>46268</v>
      </c>
      <c r="O1297" s="39"/>
      <c r="P1297" s="39"/>
      <c r="Q1297" s="39"/>
      <c r="R1297" s="39">
        <f t="shared" si="817"/>
        <v>0</v>
      </c>
      <c r="S1297" s="39" t="s">
        <v>130</v>
      </c>
      <c r="T1297" s="39"/>
      <c r="U1297" s="39"/>
      <c r="V1297" s="39"/>
      <c r="W1297" s="39"/>
      <c r="X1297" s="39"/>
      <c r="Y1297" s="39"/>
      <c r="Z1297" s="39"/>
      <c r="AA1297" s="39"/>
      <c r="AB1297" s="118">
        <f t="shared" si="815"/>
        <v>0</v>
      </c>
      <c r="AC1297" s="39"/>
      <c r="AD1297" s="39"/>
      <c r="AE1297" s="39"/>
      <c r="AF1297" s="39"/>
      <c r="AG1297" s="39"/>
      <c r="AH1297" s="39">
        <f t="shared" si="779"/>
        <v>0</v>
      </c>
      <c r="AI1297" s="39"/>
      <c r="AJ1297" s="39"/>
      <c r="AK1297" s="39"/>
      <c r="AL1297" s="39"/>
      <c r="AM1297" s="39"/>
      <c r="AN1297" s="39">
        <f t="shared" si="827"/>
        <v>0</v>
      </c>
      <c r="AO1297" s="39"/>
      <c r="AP1297" s="39"/>
      <c r="AQ1297" s="39"/>
      <c r="AR1297" s="39"/>
      <c r="AS1297" s="39"/>
      <c r="AT1297" s="39">
        <f t="shared" si="762"/>
        <v>0</v>
      </c>
      <c r="AU1297" s="39"/>
      <c r="AV1297" s="39"/>
      <c r="AW1297" s="39"/>
      <c r="AX1297" s="39"/>
      <c r="AY1297" s="39"/>
      <c r="AZ1297" s="39">
        <f t="shared" si="763"/>
        <v>0</v>
      </c>
      <c r="BA1297" s="39"/>
      <c r="BB1297" s="39"/>
      <c r="BC1297" s="39"/>
      <c r="BD1297" s="39"/>
      <c r="BE1297" s="39"/>
      <c r="BF1297" s="39">
        <f t="shared" si="764"/>
        <v>0</v>
      </c>
      <c r="BG1297" s="39"/>
      <c r="BH1297" s="39"/>
      <c r="BI1297" s="39"/>
      <c r="BJ1297" s="39"/>
      <c r="BK1297" s="39"/>
      <c r="BL1297" s="39">
        <f t="shared" si="780"/>
        <v>0</v>
      </c>
      <c r="BM1297" s="54">
        <f t="shared" ca="1" si="765"/>
        <v>46283</v>
      </c>
      <c r="BN1297" s="58">
        <v>46269</v>
      </c>
      <c r="BO1297" s="57">
        <v>46291</v>
      </c>
      <c r="BP1297" s="36"/>
      <c r="BQ1297" s="36"/>
      <c r="BR1297" s="36"/>
      <c r="BS1297" s="36"/>
      <c r="BT1297" s="39"/>
      <c r="BU1297" s="39"/>
      <c r="BV1297" s="39"/>
      <c r="BW1297" s="39"/>
      <c r="BX1297" s="39"/>
      <c r="BY1297" s="39"/>
      <c r="BZ1297" s="39">
        <f t="shared" si="781"/>
        <v>0</v>
      </c>
      <c r="CA1297" s="39">
        <f t="shared" si="766"/>
        <v>-244</v>
      </c>
      <c r="CB1297" s="39">
        <f t="shared" si="767"/>
        <v>0</v>
      </c>
      <c r="CC1297" s="39">
        <f t="shared" si="768"/>
        <v>-30</v>
      </c>
      <c r="CD1297" s="39">
        <f t="shared" si="782"/>
        <v>-274</v>
      </c>
      <c r="CE1297" s="102">
        <f t="shared" si="769"/>
        <v>-1</v>
      </c>
      <c r="CF1297" s="36"/>
      <c r="CG1297" s="39" t="s">
        <v>233</v>
      </c>
      <c r="CH1297" s="39"/>
      <c r="CI1297" s="25">
        <v>1</v>
      </c>
    </row>
    <row r="1298" spans="1:87" ht="24.75" customHeight="1">
      <c r="A1298" s="36" t="s">
        <v>20</v>
      </c>
      <c r="B1298" s="29" t="s">
        <v>2335</v>
      </c>
      <c r="C1298" s="227" t="s">
        <v>2336</v>
      </c>
      <c r="D1298" s="36"/>
      <c r="E1298" s="39">
        <v>180</v>
      </c>
      <c r="F1298" s="39" t="s">
        <v>58</v>
      </c>
      <c r="G1298" s="36" t="s">
        <v>23</v>
      </c>
      <c r="H1298" s="36" t="s">
        <v>87</v>
      </c>
      <c r="I1298" s="39">
        <v>262</v>
      </c>
      <c r="J1298" s="39"/>
      <c r="K1298" s="39"/>
      <c r="L1298" s="39">
        <f t="shared" si="828"/>
        <v>262</v>
      </c>
      <c r="M1298" s="57">
        <v>46259</v>
      </c>
      <c r="N1298" s="57">
        <v>46265</v>
      </c>
      <c r="O1298" s="39"/>
      <c r="P1298" s="39"/>
      <c r="Q1298" s="39"/>
      <c r="R1298" s="39">
        <f t="shared" ref="R1298:R1319" si="829">SUM(O1298:Q1298)</f>
        <v>0</v>
      </c>
      <c r="S1298" s="39" t="s">
        <v>28</v>
      </c>
      <c r="T1298" s="39"/>
      <c r="U1298" s="39"/>
      <c r="V1298" s="117">
        <v>46261</v>
      </c>
      <c r="W1298" s="39">
        <v>291</v>
      </c>
      <c r="X1298" s="117">
        <v>46272</v>
      </c>
      <c r="Y1298" s="39">
        <v>266</v>
      </c>
      <c r="Z1298" s="39"/>
      <c r="AA1298" s="39"/>
      <c r="AB1298" s="119">
        <f t="shared" si="815"/>
        <v>266</v>
      </c>
      <c r="AC1298" s="39"/>
      <c r="AD1298" s="39"/>
      <c r="AE1298" s="39"/>
      <c r="AF1298" s="39"/>
      <c r="AG1298" s="39"/>
      <c r="AH1298" s="39">
        <f t="shared" ref="AH1298:AH1329" si="830">AG1298-AE1298</f>
        <v>0</v>
      </c>
      <c r="AI1298" s="39"/>
      <c r="AJ1298" s="39"/>
      <c r="AK1298" s="39"/>
      <c r="AL1298" s="39"/>
      <c r="AM1298" s="39"/>
      <c r="AN1298" s="39">
        <f t="shared" si="827"/>
        <v>0</v>
      </c>
      <c r="AO1298" s="39"/>
      <c r="AP1298" s="39"/>
      <c r="AQ1298" s="39"/>
      <c r="AR1298" s="39"/>
      <c r="AS1298" s="39"/>
      <c r="AT1298" s="39">
        <f t="shared" si="762"/>
        <v>0</v>
      </c>
      <c r="AU1298" s="39"/>
      <c r="AV1298" s="39"/>
      <c r="AW1298" s="39"/>
      <c r="AX1298" s="39"/>
      <c r="AY1298" s="39"/>
      <c r="AZ1298" s="39">
        <f t="shared" si="763"/>
        <v>0</v>
      </c>
      <c r="BA1298" s="39"/>
      <c r="BB1298" s="39"/>
      <c r="BC1298" s="39"/>
      <c r="BD1298" s="39"/>
      <c r="BE1298" s="39"/>
      <c r="BF1298" s="39">
        <f t="shared" si="764"/>
        <v>0</v>
      </c>
      <c r="BG1298" s="39"/>
      <c r="BH1298" s="39"/>
      <c r="BI1298" s="39"/>
      <c r="BJ1298" s="39"/>
      <c r="BK1298" s="39"/>
      <c r="BL1298" s="39">
        <f t="shared" ref="BL1298:BL1329" si="831">BK1298-BI1298</f>
        <v>0</v>
      </c>
      <c r="BM1298" s="54" t="str">
        <f t="shared" si="765"/>
        <v/>
      </c>
      <c r="BN1298" s="58">
        <v>46270</v>
      </c>
      <c r="BO1298" s="57">
        <v>46282</v>
      </c>
      <c r="BP1298" s="36"/>
      <c r="BQ1298" s="36"/>
      <c r="BR1298" s="57">
        <v>46272</v>
      </c>
      <c r="BS1298" s="57">
        <v>46272</v>
      </c>
      <c r="BT1298" s="39">
        <v>961</v>
      </c>
      <c r="BU1298" s="39">
        <v>266</v>
      </c>
      <c r="BV1298" s="39"/>
      <c r="BW1298" s="39"/>
      <c r="BX1298" s="39"/>
      <c r="BY1298" s="39"/>
      <c r="BZ1298" s="39">
        <f t="shared" ref="BZ1298:BZ1329" si="832">BU1298+BW1298+BY1298</f>
        <v>266</v>
      </c>
      <c r="CA1298" s="39">
        <f t="shared" si="766"/>
        <v>4</v>
      </c>
      <c r="CB1298" s="39">
        <f t="shared" si="767"/>
        <v>0</v>
      </c>
      <c r="CC1298" s="39">
        <f t="shared" si="768"/>
        <v>0</v>
      </c>
      <c r="CD1298" s="39">
        <f t="shared" si="782"/>
        <v>0</v>
      </c>
      <c r="CE1298" s="102">
        <f t="shared" si="769"/>
        <v>0</v>
      </c>
      <c r="CF1298" s="36"/>
      <c r="CG1298" s="39" t="s">
        <v>233</v>
      </c>
      <c r="CH1298" s="39"/>
      <c r="CI1298" s="25">
        <v>1</v>
      </c>
    </row>
    <row r="1299" spans="1:87" ht="24.75" customHeight="1">
      <c r="A1299" s="36" t="s">
        <v>20</v>
      </c>
      <c r="B1299" s="29" t="s">
        <v>2335</v>
      </c>
      <c r="C1299" s="231"/>
      <c r="D1299" s="36"/>
      <c r="E1299" s="39">
        <v>180</v>
      </c>
      <c r="F1299" s="39" t="s">
        <v>58</v>
      </c>
      <c r="G1299" s="36" t="s">
        <v>216</v>
      </c>
      <c r="H1299" s="36" t="s">
        <v>88</v>
      </c>
      <c r="I1299" s="39">
        <v>262</v>
      </c>
      <c r="J1299" s="39"/>
      <c r="K1299" s="39"/>
      <c r="L1299" s="39">
        <f t="shared" ref="L1299:L1300" si="833">SUM(I1299:K1299)</f>
        <v>262</v>
      </c>
      <c r="M1299" s="57">
        <v>46259</v>
      </c>
      <c r="N1299" s="57">
        <v>46265</v>
      </c>
      <c r="O1299" s="39"/>
      <c r="P1299" s="39"/>
      <c r="Q1299" s="39"/>
      <c r="R1299" s="39">
        <f t="shared" si="829"/>
        <v>0</v>
      </c>
      <c r="S1299" s="39" t="s">
        <v>130</v>
      </c>
      <c r="T1299" s="39">
        <v>109059</v>
      </c>
      <c r="U1299" s="117">
        <v>46267</v>
      </c>
      <c r="V1299" s="39"/>
      <c r="W1299" s="39"/>
      <c r="X1299" s="39"/>
      <c r="Y1299" s="39">
        <v>294</v>
      </c>
      <c r="Z1299" s="39"/>
      <c r="AA1299" s="39"/>
      <c r="AB1299" s="119">
        <f t="shared" si="815"/>
        <v>294</v>
      </c>
      <c r="AC1299" s="39"/>
      <c r="AD1299" s="39"/>
      <c r="AE1299" s="39"/>
      <c r="AF1299" s="39"/>
      <c r="AG1299" s="39"/>
      <c r="AH1299" s="39">
        <f t="shared" si="830"/>
        <v>0</v>
      </c>
      <c r="AI1299" s="39"/>
      <c r="AJ1299" s="39"/>
      <c r="AK1299" s="39"/>
      <c r="AL1299" s="39"/>
      <c r="AM1299" s="39"/>
      <c r="AN1299" s="39">
        <f t="shared" si="827"/>
        <v>0</v>
      </c>
      <c r="AO1299" s="39"/>
      <c r="AP1299" s="39"/>
      <c r="AQ1299" s="39"/>
      <c r="AR1299" s="39"/>
      <c r="AS1299" s="39"/>
      <c r="AT1299" s="39">
        <f t="shared" si="762"/>
        <v>0</v>
      </c>
      <c r="AU1299" s="39"/>
      <c r="AV1299" s="39"/>
      <c r="AW1299" s="39"/>
      <c r="AX1299" s="39"/>
      <c r="AY1299" s="39"/>
      <c r="AZ1299" s="39">
        <f t="shared" si="763"/>
        <v>0</v>
      </c>
      <c r="BA1299" s="39"/>
      <c r="BB1299" s="39"/>
      <c r="BC1299" s="39"/>
      <c r="BD1299" s="39"/>
      <c r="BE1299" s="39"/>
      <c r="BF1299" s="39">
        <f t="shared" si="764"/>
        <v>0</v>
      </c>
      <c r="BG1299" s="39"/>
      <c r="BH1299" s="39"/>
      <c r="BI1299" s="39"/>
      <c r="BJ1299" s="39"/>
      <c r="BK1299" s="39"/>
      <c r="BL1299" s="39">
        <f t="shared" si="831"/>
        <v>0</v>
      </c>
      <c r="BM1299" s="54" t="str">
        <f t="shared" si="765"/>
        <v/>
      </c>
      <c r="BN1299" s="58">
        <v>46270</v>
      </c>
      <c r="BO1299" s="57">
        <v>46282</v>
      </c>
      <c r="BP1299" s="36"/>
      <c r="BQ1299" s="36"/>
      <c r="BR1299" s="57">
        <v>46269</v>
      </c>
      <c r="BS1299" s="57">
        <v>46269</v>
      </c>
      <c r="BT1299" s="39">
        <v>748</v>
      </c>
      <c r="BU1299" s="39">
        <v>277</v>
      </c>
      <c r="BV1299" s="39"/>
      <c r="BW1299" s="39"/>
      <c r="BX1299" s="39"/>
      <c r="BY1299" s="39"/>
      <c r="BZ1299" s="39">
        <f t="shared" si="832"/>
        <v>277</v>
      </c>
      <c r="CA1299" s="39">
        <f t="shared" si="766"/>
        <v>15</v>
      </c>
      <c r="CB1299" s="39">
        <f t="shared" si="767"/>
        <v>0</v>
      </c>
      <c r="CC1299" s="39">
        <f t="shared" si="768"/>
        <v>0</v>
      </c>
      <c r="CD1299" s="39">
        <f t="shared" ref="CD1299:CD1329" si="834">SUMIF(CA1299:CC1299,"&lt;0")</f>
        <v>0</v>
      </c>
      <c r="CE1299" s="102">
        <f t="shared" si="769"/>
        <v>0</v>
      </c>
      <c r="CF1299" s="36"/>
      <c r="CG1299" s="39" t="s">
        <v>233</v>
      </c>
      <c r="CH1299" s="39"/>
      <c r="CI1299" s="25">
        <v>1</v>
      </c>
    </row>
    <row r="1300" spans="1:87" ht="24.75" customHeight="1">
      <c r="A1300" s="36" t="s">
        <v>20</v>
      </c>
      <c r="B1300" s="29" t="s">
        <v>2335</v>
      </c>
      <c r="C1300" s="228"/>
      <c r="D1300" s="36"/>
      <c r="E1300" s="39">
        <v>180</v>
      </c>
      <c r="F1300" s="39" t="s">
        <v>58</v>
      </c>
      <c r="G1300" s="36" t="s">
        <v>372</v>
      </c>
      <c r="H1300" s="36" t="s">
        <v>88</v>
      </c>
      <c r="I1300" s="39">
        <v>262</v>
      </c>
      <c r="J1300" s="39"/>
      <c r="K1300" s="39"/>
      <c r="L1300" s="39">
        <f t="shared" si="833"/>
        <v>262</v>
      </c>
      <c r="M1300" s="57">
        <v>46259</v>
      </c>
      <c r="N1300" s="57">
        <v>46265</v>
      </c>
      <c r="O1300" s="39"/>
      <c r="P1300" s="39"/>
      <c r="Q1300" s="39"/>
      <c r="R1300" s="39">
        <f t="shared" si="829"/>
        <v>0</v>
      </c>
      <c r="S1300" s="39" t="s">
        <v>130</v>
      </c>
      <c r="T1300" s="39"/>
      <c r="U1300" s="39"/>
      <c r="V1300" s="39"/>
      <c r="W1300" s="39"/>
      <c r="X1300" s="39"/>
      <c r="Y1300" s="39"/>
      <c r="Z1300" s="39"/>
      <c r="AA1300" s="39"/>
      <c r="AB1300" s="118">
        <f t="shared" si="815"/>
        <v>0</v>
      </c>
      <c r="AC1300" s="39"/>
      <c r="AD1300" s="39"/>
      <c r="AE1300" s="39"/>
      <c r="AF1300" s="39"/>
      <c r="AG1300" s="39"/>
      <c r="AH1300" s="39">
        <f t="shared" si="830"/>
        <v>0</v>
      </c>
      <c r="AI1300" s="39"/>
      <c r="AJ1300" s="39"/>
      <c r="AK1300" s="39"/>
      <c r="AL1300" s="39"/>
      <c r="AM1300" s="39"/>
      <c r="AN1300" s="39">
        <f t="shared" si="827"/>
        <v>0</v>
      </c>
      <c r="AO1300" s="39"/>
      <c r="AP1300" s="39"/>
      <c r="AQ1300" s="39"/>
      <c r="AR1300" s="39"/>
      <c r="AS1300" s="39"/>
      <c r="AT1300" s="39">
        <f t="shared" si="762"/>
        <v>0</v>
      </c>
      <c r="AU1300" s="39"/>
      <c r="AV1300" s="39"/>
      <c r="AW1300" s="39"/>
      <c r="AX1300" s="39"/>
      <c r="AY1300" s="39"/>
      <c r="AZ1300" s="39">
        <f t="shared" si="763"/>
        <v>0</v>
      </c>
      <c r="BA1300" s="39"/>
      <c r="BB1300" s="39"/>
      <c r="BC1300" s="39"/>
      <c r="BD1300" s="39"/>
      <c r="BE1300" s="39"/>
      <c r="BF1300" s="39">
        <f t="shared" si="764"/>
        <v>0</v>
      </c>
      <c r="BG1300" s="39"/>
      <c r="BH1300" s="39"/>
      <c r="BI1300" s="39"/>
      <c r="BJ1300" s="39"/>
      <c r="BK1300" s="39"/>
      <c r="BL1300" s="39">
        <f t="shared" si="831"/>
        <v>0</v>
      </c>
      <c r="BM1300" s="54">
        <f t="shared" ca="1" si="765"/>
        <v>46283</v>
      </c>
      <c r="BN1300" s="58">
        <v>46270</v>
      </c>
      <c r="BO1300" s="57">
        <v>46282</v>
      </c>
      <c r="BP1300" s="36"/>
      <c r="BQ1300" s="36"/>
      <c r="BR1300" s="36"/>
      <c r="BS1300" s="36"/>
      <c r="BT1300" s="39"/>
      <c r="BU1300" s="39"/>
      <c r="BV1300" s="39"/>
      <c r="BW1300" s="39"/>
      <c r="BX1300" s="39"/>
      <c r="BY1300" s="39"/>
      <c r="BZ1300" s="39">
        <f t="shared" si="832"/>
        <v>0</v>
      </c>
      <c r="CA1300" s="39">
        <f t="shared" si="766"/>
        <v>-262</v>
      </c>
      <c r="CB1300" s="39">
        <f t="shared" si="767"/>
        <v>0</v>
      </c>
      <c r="CC1300" s="39">
        <f t="shared" si="768"/>
        <v>0</v>
      </c>
      <c r="CD1300" s="39">
        <f t="shared" si="834"/>
        <v>-262</v>
      </c>
      <c r="CE1300" s="102">
        <f t="shared" si="769"/>
        <v>-1</v>
      </c>
      <c r="CF1300" s="36"/>
      <c r="CG1300" s="39" t="s">
        <v>233</v>
      </c>
      <c r="CH1300" s="39"/>
      <c r="CI1300" s="25">
        <v>1</v>
      </c>
    </row>
    <row r="1301" spans="1:87" ht="24.75" customHeight="1">
      <c r="A1301" s="36" t="s">
        <v>20</v>
      </c>
      <c r="B1301" s="29" t="s">
        <v>2369</v>
      </c>
      <c r="C1301" s="36" t="s">
        <v>2370</v>
      </c>
      <c r="D1301" s="36"/>
      <c r="E1301" s="39">
        <v>180</v>
      </c>
      <c r="F1301" s="39" t="s">
        <v>55</v>
      </c>
      <c r="G1301" s="36" t="s">
        <v>361</v>
      </c>
      <c r="H1301" s="36" t="s">
        <v>127</v>
      </c>
      <c r="I1301" s="39">
        <v>385</v>
      </c>
      <c r="J1301" s="39"/>
      <c r="K1301" s="39"/>
      <c r="L1301" s="39">
        <f t="shared" ref="L1301:L1303" si="835">SUM(I1301:K1301)</f>
        <v>385</v>
      </c>
      <c r="M1301" s="57">
        <v>46256</v>
      </c>
      <c r="N1301" s="57">
        <v>46260</v>
      </c>
      <c r="O1301" s="39"/>
      <c r="P1301" s="39"/>
      <c r="Q1301" s="39"/>
      <c r="R1301" s="39">
        <f t="shared" si="829"/>
        <v>0</v>
      </c>
      <c r="S1301" s="39" t="s">
        <v>130</v>
      </c>
      <c r="T1301" s="39">
        <v>109246</v>
      </c>
      <c r="U1301" s="117">
        <v>46274</v>
      </c>
      <c r="V1301" s="39"/>
      <c r="W1301" s="39"/>
      <c r="X1301" s="39"/>
      <c r="Y1301" s="39">
        <v>436</v>
      </c>
      <c r="Z1301" s="39"/>
      <c r="AA1301" s="39"/>
      <c r="AB1301" s="119">
        <f t="shared" si="815"/>
        <v>436</v>
      </c>
      <c r="AC1301" s="39"/>
      <c r="AD1301" s="39"/>
      <c r="AE1301" s="39"/>
      <c r="AF1301" s="39"/>
      <c r="AG1301" s="39"/>
      <c r="AH1301" s="39">
        <f t="shared" si="830"/>
        <v>0</v>
      </c>
      <c r="AI1301" s="39"/>
      <c r="AJ1301" s="39"/>
      <c r="AK1301" s="39"/>
      <c r="AL1301" s="39"/>
      <c r="AM1301" s="39"/>
      <c r="AN1301" s="39">
        <f t="shared" si="827"/>
        <v>0</v>
      </c>
      <c r="AO1301" s="39"/>
      <c r="AP1301" s="39"/>
      <c r="AQ1301" s="39"/>
      <c r="AR1301" s="39"/>
      <c r="AS1301" s="39"/>
      <c r="AT1301" s="39">
        <f t="shared" si="762"/>
        <v>0</v>
      </c>
      <c r="AU1301" s="39"/>
      <c r="AV1301" s="39"/>
      <c r="AW1301" s="39"/>
      <c r="AX1301" s="39"/>
      <c r="AY1301" s="39"/>
      <c r="AZ1301" s="39">
        <f t="shared" si="763"/>
        <v>0</v>
      </c>
      <c r="BA1301" s="39"/>
      <c r="BB1301" s="39"/>
      <c r="BC1301" s="39"/>
      <c r="BD1301" s="39"/>
      <c r="BE1301" s="39"/>
      <c r="BF1301" s="39">
        <f t="shared" si="764"/>
        <v>0</v>
      </c>
      <c r="BG1301" s="39"/>
      <c r="BH1301" s="39"/>
      <c r="BI1301" s="39"/>
      <c r="BJ1301" s="39"/>
      <c r="BK1301" s="39"/>
      <c r="BL1301" s="39">
        <f t="shared" si="831"/>
        <v>0</v>
      </c>
      <c r="BM1301" s="54" t="str">
        <f t="shared" si="765"/>
        <v/>
      </c>
      <c r="BN1301" s="58">
        <v>46267</v>
      </c>
      <c r="BO1301" s="57">
        <v>46277</v>
      </c>
      <c r="BP1301" s="36"/>
      <c r="BQ1301" s="36"/>
      <c r="BR1301" s="57">
        <v>46279</v>
      </c>
      <c r="BS1301" s="57">
        <v>46279</v>
      </c>
      <c r="BT1301" s="39">
        <v>794</v>
      </c>
      <c r="BU1301" s="39">
        <v>386</v>
      </c>
      <c r="BV1301" s="39"/>
      <c r="BW1301" s="39"/>
      <c r="BX1301" s="39"/>
      <c r="BY1301" s="39"/>
      <c r="BZ1301" s="39">
        <f t="shared" si="832"/>
        <v>386</v>
      </c>
      <c r="CA1301" s="39">
        <f t="shared" si="766"/>
        <v>1</v>
      </c>
      <c r="CB1301" s="39">
        <f t="shared" si="767"/>
        <v>0</v>
      </c>
      <c r="CC1301" s="39">
        <f t="shared" si="768"/>
        <v>0</v>
      </c>
      <c r="CD1301" s="39">
        <f t="shared" si="834"/>
        <v>0</v>
      </c>
      <c r="CE1301" s="102">
        <f t="shared" si="769"/>
        <v>0</v>
      </c>
      <c r="CF1301" s="36"/>
      <c r="CG1301" s="39" t="s">
        <v>232</v>
      </c>
      <c r="CH1301" s="39"/>
      <c r="CI1301" s="25">
        <v>1</v>
      </c>
    </row>
    <row r="1302" spans="1:87" ht="24.75" customHeight="1">
      <c r="A1302" s="36" t="s">
        <v>20</v>
      </c>
      <c r="B1302" s="29" t="s">
        <v>2371</v>
      </c>
      <c r="C1302" s="227" t="s">
        <v>2372</v>
      </c>
      <c r="D1302" s="36"/>
      <c r="E1302" s="39">
        <v>220</v>
      </c>
      <c r="F1302" s="39" t="s">
        <v>56</v>
      </c>
      <c r="G1302" s="36" t="s">
        <v>2373</v>
      </c>
      <c r="H1302" s="36" t="s">
        <v>102</v>
      </c>
      <c r="I1302" s="39">
        <v>236</v>
      </c>
      <c r="J1302" s="39"/>
      <c r="K1302" s="39"/>
      <c r="L1302" s="39">
        <f t="shared" si="835"/>
        <v>236</v>
      </c>
      <c r="M1302" s="57">
        <v>46259</v>
      </c>
      <c r="N1302" s="57">
        <v>46265</v>
      </c>
      <c r="O1302" s="39"/>
      <c r="P1302" s="39"/>
      <c r="Q1302" s="39"/>
      <c r="R1302" s="39">
        <f t="shared" si="829"/>
        <v>0</v>
      </c>
      <c r="S1302" s="39" t="s">
        <v>28</v>
      </c>
      <c r="T1302" s="39"/>
      <c r="U1302" s="39"/>
      <c r="V1302" s="117">
        <v>46263</v>
      </c>
      <c r="W1302" s="39">
        <v>269</v>
      </c>
      <c r="X1302" s="117">
        <v>46281</v>
      </c>
      <c r="Y1302" s="39">
        <v>242</v>
      </c>
      <c r="Z1302" s="39"/>
      <c r="AA1302" s="39"/>
      <c r="AB1302" s="119">
        <f t="shared" si="815"/>
        <v>242</v>
      </c>
      <c r="AC1302" s="39"/>
      <c r="AD1302" s="39"/>
      <c r="AE1302" s="39"/>
      <c r="AF1302" s="39"/>
      <c r="AG1302" s="39"/>
      <c r="AH1302" s="39">
        <f t="shared" si="830"/>
        <v>0</v>
      </c>
      <c r="AI1302" s="39"/>
      <c r="AJ1302" s="39"/>
      <c r="AK1302" s="39"/>
      <c r="AL1302" s="39"/>
      <c r="AM1302" s="39"/>
      <c r="AN1302" s="39">
        <f t="shared" si="827"/>
        <v>0</v>
      </c>
      <c r="AO1302" s="39"/>
      <c r="AP1302" s="39"/>
      <c r="AQ1302" s="39"/>
      <c r="AR1302" s="39"/>
      <c r="AS1302" s="39"/>
      <c r="AT1302" s="39">
        <f t="shared" si="762"/>
        <v>0</v>
      </c>
      <c r="AU1302" s="39"/>
      <c r="AV1302" s="39"/>
      <c r="AW1302" s="39"/>
      <c r="AX1302" s="39"/>
      <c r="AY1302" s="39"/>
      <c r="AZ1302" s="39">
        <f t="shared" si="763"/>
        <v>0</v>
      </c>
      <c r="BA1302" s="39"/>
      <c r="BB1302" s="39"/>
      <c r="BC1302" s="39"/>
      <c r="BD1302" s="39"/>
      <c r="BE1302" s="39"/>
      <c r="BF1302" s="39">
        <f t="shared" si="764"/>
        <v>0</v>
      </c>
      <c r="BG1302" s="39"/>
      <c r="BH1302" s="39"/>
      <c r="BI1302" s="39"/>
      <c r="BJ1302" s="39"/>
      <c r="BK1302" s="39"/>
      <c r="BL1302" s="39">
        <f t="shared" si="831"/>
        <v>0</v>
      </c>
      <c r="BM1302" s="54" t="str">
        <f t="shared" si="765"/>
        <v/>
      </c>
      <c r="BN1302" s="58">
        <v>46273</v>
      </c>
      <c r="BO1302" s="57">
        <v>46286</v>
      </c>
      <c r="BP1302" s="36"/>
      <c r="BQ1302" s="36"/>
      <c r="BR1302" s="57">
        <v>46282</v>
      </c>
      <c r="BS1302" s="57">
        <v>46282</v>
      </c>
      <c r="BT1302" s="39">
        <v>975</v>
      </c>
      <c r="BU1302" s="39">
        <v>242</v>
      </c>
      <c r="BV1302" s="39"/>
      <c r="BW1302" s="39"/>
      <c r="BX1302" s="39"/>
      <c r="BY1302" s="39"/>
      <c r="BZ1302" s="39">
        <f t="shared" si="832"/>
        <v>242</v>
      </c>
      <c r="CA1302" s="39">
        <f t="shared" si="766"/>
        <v>6</v>
      </c>
      <c r="CB1302" s="39">
        <f t="shared" si="767"/>
        <v>0</v>
      </c>
      <c r="CC1302" s="39">
        <f t="shared" si="768"/>
        <v>0</v>
      </c>
      <c r="CD1302" s="39">
        <f t="shared" si="834"/>
        <v>0</v>
      </c>
      <c r="CE1302" s="102">
        <f t="shared" si="769"/>
        <v>0</v>
      </c>
      <c r="CF1302" s="36"/>
      <c r="CG1302" s="39" t="s">
        <v>232</v>
      </c>
      <c r="CH1302" s="39"/>
      <c r="CI1302" s="25">
        <v>1</v>
      </c>
    </row>
    <row r="1303" spans="1:87" ht="24.75" customHeight="1">
      <c r="A1303" s="36" t="s">
        <v>20</v>
      </c>
      <c r="B1303" s="29" t="s">
        <v>2371</v>
      </c>
      <c r="C1303" s="228"/>
      <c r="D1303" s="36"/>
      <c r="E1303" s="39">
        <v>220</v>
      </c>
      <c r="F1303" s="39" t="s">
        <v>56</v>
      </c>
      <c r="G1303" s="36" t="s">
        <v>306</v>
      </c>
      <c r="H1303" s="36" t="s">
        <v>102</v>
      </c>
      <c r="I1303" s="39">
        <v>236</v>
      </c>
      <c r="J1303" s="39"/>
      <c r="K1303" s="39"/>
      <c r="L1303" s="39">
        <f t="shared" si="835"/>
        <v>236</v>
      </c>
      <c r="M1303" s="57">
        <v>46259</v>
      </c>
      <c r="N1303" s="57">
        <v>46265</v>
      </c>
      <c r="O1303" s="39"/>
      <c r="P1303" s="39"/>
      <c r="Q1303" s="39"/>
      <c r="R1303" s="39">
        <f t="shared" si="829"/>
        <v>0</v>
      </c>
      <c r="S1303" s="39" t="s">
        <v>28</v>
      </c>
      <c r="T1303" s="39"/>
      <c r="U1303" s="39"/>
      <c r="V1303" s="117">
        <v>46263</v>
      </c>
      <c r="W1303" s="39">
        <v>266</v>
      </c>
      <c r="X1303" s="39"/>
      <c r="Y1303" s="39"/>
      <c r="Z1303" s="39"/>
      <c r="AA1303" s="39"/>
      <c r="AB1303" s="118">
        <f t="shared" si="815"/>
        <v>0</v>
      </c>
      <c r="AC1303" s="39"/>
      <c r="AD1303" s="39"/>
      <c r="AE1303" s="39"/>
      <c r="AF1303" s="39"/>
      <c r="AG1303" s="39"/>
      <c r="AH1303" s="39">
        <f t="shared" si="830"/>
        <v>0</v>
      </c>
      <c r="AI1303" s="39"/>
      <c r="AJ1303" s="39"/>
      <c r="AK1303" s="39"/>
      <c r="AL1303" s="39"/>
      <c r="AM1303" s="39"/>
      <c r="AN1303" s="39">
        <f t="shared" si="827"/>
        <v>0</v>
      </c>
      <c r="AO1303" s="39"/>
      <c r="AP1303" s="39"/>
      <c r="AQ1303" s="39"/>
      <c r="AR1303" s="39"/>
      <c r="AS1303" s="39"/>
      <c r="AT1303" s="39">
        <f t="shared" si="762"/>
        <v>0</v>
      </c>
      <c r="AU1303" s="39"/>
      <c r="AV1303" s="39"/>
      <c r="AW1303" s="39"/>
      <c r="AX1303" s="39"/>
      <c r="AY1303" s="39"/>
      <c r="AZ1303" s="39">
        <f t="shared" si="763"/>
        <v>0</v>
      </c>
      <c r="BA1303" s="39"/>
      <c r="BB1303" s="39"/>
      <c r="BC1303" s="39"/>
      <c r="BD1303" s="39"/>
      <c r="BE1303" s="39"/>
      <c r="BF1303" s="39">
        <f t="shared" si="764"/>
        <v>0</v>
      </c>
      <c r="BG1303" s="39"/>
      <c r="BH1303" s="39"/>
      <c r="BI1303" s="39"/>
      <c r="BJ1303" s="39"/>
      <c r="BK1303" s="39"/>
      <c r="BL1303" s="39">
        <f t="shared" si="831"/>
        <v>0</v>
      </c>
      <c r="BM1303" s="54">
        <f t="shared" ca="1" si="765"/>
        <v>46283</v>
      </c>
      <c r="BN1303" s="58">
        <v>46273</v>
      </c>
      <c r="BO1303" s="57">
        <v>46286</v>
      </c>
      <c r="BP1303" s="36"/>
      <c r="BQ1303" s="36"/>
      <c r="BR1303" s="36"/>
      <c r="BS1303" s="36"/>
      <c r="BT1303" s="39"/>
      <c r="BU1303" s="39"/>
      <c r="BV1303" s="39"/>
      <c r="BW1303" s="39"/>
      <c r="BX1303" s="39"/>
      <c r="BY1303" s="39"/>
      <c r="BZ1303" s="39">
        <f t="shared" si="832"/>
        <v>0</v>
      </c>
      <c r="CA1303" s="39">
        <f t="shared" si="766"/>
        <v>-236</v>
      </c>
      <c r="CB1303" s="39">
        <f t="shared" si="767"/>
        <v>0</v>
      </c>
      <c r="CC1303" s="39">
        <f t="shared" si="768"/>
        <v>0</v>
      </c>
      <c r="CD1303" s="39">
        <f t="shared" si="834"/>
        <v>-236</v>
      </c>
      <c r="CE1303" s="102">
        <f t="shared" si="769"/>
        <v>-1</v>
      </c>
      <c r="CF1303" s="36"/>
      <c r="CG1303" s="39" t="s">
        <v>232</v>
      </c>
      <c r="CH1303" s="39"/>
      <c r="CI1303" s="25">
        <v>1</v>
      </c>
    </row>
    <row r="1304" spans="1:87" ht="24.75" customHeight="1">
      <c r="A1304" s="36" t="s">
        <v>20</v>
      </c>
      <c r="B1304" s="29" t="s">
        <v>2374</v>
      </c>
      <c r="C1304" s="227" t="s">
        <v>2375</v>
      </c>
      <c r="D1304" s="36"/>
      <c r="E1304" s="39">
        <v>180</v>
      </c>
      <c r="F1304" s="39" t="s">
        <v>58</v>
      </c>
      <c r="G1304" s="36" t="s">
        <v>23</v>
      </c>
      <c r="H1304" s="36" t="s">
        <v>87</v>
      </c>
      <c r="I1304" s="39">
        <v>231</v>
      </c>
      <c r="J1304" s="39"/>
      <c r="K1304" s="39"/>
      <c r="L1304" s="39">
        <f t="shared" ref="L1304:L1309" si="836">SUM(I1304:K1304)</f>
        <v>231</v>
      </c>
      <c r="M1304" s="57">
        <v>46254</v>
      </c>
      <c r="N1304" s="57">
        <v>46260</v>
      </c>
      <c r="O1304" s="39"/>
      <c r="P1304" s="39"/>
      <c r="Q1304" s="39"/>
      <c r="R1304" s="39">
        <f t="shared" si="829"/>
        <v>0</v>
      </c>
      <c r="S1304" s="39" t="s">
        <v>28</v>
      </c>
      <c r="T1304" s="39"/>
      <c r="U1304" s="39"/>
      <c r="V1304" s="117">
        <v>46256</v>
      </c>
      <c r="W1304" s="39">
        <v>257</v>
      </c>
      <c r="X1304" s="117">
        <v>46268</v>
      </c>
      <c r="Y1304" s="39">
        <v>235</v>
      </c>
      <c r="Z1304" s="39"/>
      <c r="AA1304" s="39"/>
      <c r="AB1304" s="119">
        <f t="shared" si="815"/>
        <v>235</v>
      </c>
      <c r="AC1304" s="39"/>
      <c r="AD1304" s="39"/>
      <c r="AE1304" s="39"/>
      <c r="AF1304" s="39"/>
      <c r="AG1304" s="39"/>
      <c r="AH1304" s="39">
        <f t="shared" si="830"/>
        <v>0</v>
      </c>
      <c r="AI1304" s="39"/>
      <c r="AJ1304" s="39"/>
      <c r="AK1304" s="39"/>
      <c r="AL1304" s="39"/>
      <c r="AM1304" s="39"/>
      <c r="AN1304" s="39">
        <f t="shared" si="827"/>
        <v>0</v>
      </c>
      <c r="AO1304" s="39"/>
      <c r="AP1304" s="39"/>
      <c r="AQ1304" s="39"/>
      <c r="AR1304" s="39"/>
      <c r="AS1304" s="39"/>
      <c r="AT1304" s="39">
        <f t="shared" si="762"/>
        <v>0</v>
      </c>
      <c r="AU1304" s="39"/>
      <c r="AV1304" s="39"/>
      <c r="AW1304" s="39"/>
      <c r="AX1304" s="39"/>
      <c r="AY1304" s="39"/>
      <c r="AZ1304" s="39">
        <f t="shared" si="763"/>
        <v>0</v>
      </c>
      <c r="BA1304" s="39"/>
      <c r="BB1304" s="39"/>
      <c r="BC1304" s="39"/>
      <c r="BD1304" s="39"/>
      <c r="BE1304" s="39"/>
      <c r="BF1304" s="39">
        <f t="shared" si="764"/>
        <v>0</v>
      </c>
      <c r="BG1304" s="39"/>
      <c r="BH1304" s="39"/>
      <c r="BI1304" s="39"/>
      <c r="BJ1304" s="39"/>
      <c r="BK1304" s="39"/>
      <c r="BL1304" s="39">
        <f t="shared" si="831"/>
        <v>0</v>
      </c>
      <c r="BM1304" s="54" t="str">
        <f t="shared" si="765"/>
        <v/>
      </c>
      <c r="BN1304" s="58">
        <v>46266</v>
      </c>
      <c r="BO1304" s="57">
        <v>46277</v>
      </c>
      <c r="BP1304" s="36"/>
      <c r="BQ1304" s="36"/>
      <c r="BR1304" s="57">
        <v>46268</v>
      </c>
      <c r="BS1304" s="57">
        <v>46268</v>
      </c>
      <c r="BT1304" s="39">
        <v>957</v>
      </c>
      <c r="BU1304" s="39">
        <v>235</v>
      </c>
      <c r="BV1304" s="39"/>
      <c r="BW1304" s="39"/>
      <c r="BX1304" s="39"/>
      <c r="BY1304" s="39"/>
      <c r="BZ1304" s="39">
        <f t="shared" si="832"/>
        <v>235</v>
      </c>
      <c r="CA1304" s="39">
        <f t="shared" si="766"/>
        <v>4</v>
      </c>
      <c r="CB1304" s="39">
        <f t="shared" si="767"/>
        <v>0</v>
      </c>
      <c r="CC1304" s="39">
        <f t="shared" si="768"/>
        <v>0</v>
      </c>
      <c r="CD1304" s="39">
        <f t="shared" si="834"/>
        <v>0</v>
      </c>
      <c r="CE1304" s="102">
        <f t="shared" si="769"/>
        <v>0</v>
      </c>
      <c r="CF1304" s="36"/>
      <c r="CG1304" s="39" t="s">
        <v>232</v>
      </c>
      <c r="CH1304" s="39"/>
      <c r="CI1304" s="25">
        <v>1</v>
      </c>
    </row>
    <row r="1305" spans="1:87" ht="24.75" customHeight="1">
      <c r="A1305" s="36" t="s">
        <v>20</v>
      </c>
      <c r="B1305" s="29" t="s">
        <v>2374</v>
      </c>
      <c r="C1305" s="228"/>
      <c r="D1305" s="36"/>
      <c r="E1305" s="39">
        <v>180</v>
      </c>
      <c r="F1305" s="39" t="s">
        <v>58</v>
      </c>
      <c r="G1305" s="36" t="s">
        <v>1354</v>
      </c>
      <c r="H1305" s="36" t="s">
        <v>87</v>
      </c>
      <c r="I1305" s="39">
        <v>231</v>
      </c>
      <c r="J1305" s="39"/>
      <c r="K1305" s="39"/>
      <c r="L1305" s="39">
        <f t="shared" si="836"/>
        <v>231</v>
      </c>
      <c r="M1305" s="57">
        <v>46254</v>
      </c>
      <c r="N1305" s="57">
        <v>46260</v>
      </c>
      <c r="O1305" s="39"/>
      <c r="P1305" s="39"/>
      <c r="Q1305" s="39"/>
      <c r="R1305" s="39">
        <f t="shared" si="829"/>
        <v>0</v>
      </c>
      <c r="S1305" s="39" t="s">
        <v>28</v>
      </c>
      <c r="T1305" s="39"/>
      <c r="U1305" s="39"/>
      <c r="V1305" s="117">
        <v>46256</v>
      </c>
      <c r="W1305" s="39">
        <v>266</v>
      </c>
      <c r="X1305" s="39"/>
      <c r="Y1305" s="39"/>
      <c r="Z1305" s="39"/>
      <c r="AA1305" s="39"/>
      <c r="AB1305" s="118">
        <f t="shared" si="815"/>
        <v>0</v>
      </c>
      <c r="AC1305" s="39"/>
      <c r="AD1305" s="39"/>
      <c r="AE1305" s="39"/>
      <c r="AF1305" s="39"/>
      <c r="AG1305" s="39"/>
      <c r="AH1305" s="39">
        <f t="shared" si="830"/>
        <v>0</v>
      </c>
      <c r="AI1305" s="39"/>
      <c r="AJ1305" s="39"/>
      <c r="AK1305" s="39"/>
      <c r="AL1305" s="39"/>
      <c r="AM1305" s="39"/>
      <c r="AN1305" s="39">
        <f t="shared" si="827"/>
        <v>0</v>
      </c>
      <c r="AO1305" s="39"/>
      <c r="AP1305" s="39"/>
      <c r="AQ1305" s="39"/>
      <c r="AR1305" s="39"/>
      <c r="AS1305" s="39"/>
      <c r="AT1305" s="39">
        <f t="shared" si="762"/>
        <v>0</v>
      </c>
      <c r="AU1305" s="39"/>
      <c r="AV1305" s="39"/>
      <c r="AW1305" s="39"/>
      <c r="AX1305" s="39"/>
      <c r="AY1305" s="39"/>
      <c r="AZ1305" s="39">
        <f t="shared" si="763"/>
        <v>0</v>
      </c>
      <c r="BA1305" s="39"/>
      <c r="BB1305" s="39"/>
      <c r="BC1305" s="39"/>
      <c r="BD1305" s="39"/>
      <c r="BE1305" s="39"/>
      <c r="BF1305" s="39">
        <f t="shared" si="764"/>
        <v>0</v>
      </c>
      <c r="BG1305" s="39"/>
      <c r="BH1305" s="39"/>
      <c r="BI1305" s="39"/>
      <c r="BJ1305" s="39"/>
      <c r="BK1305" s="39"/>
      <c r="BL1305" s="39">
        <f t="shared" si="831"/>
        <v>0</v>
      </c>
      <c r="BM1305" s="54">
        <f t="shared" ca="1" si="765"/>
        <v>46283</v>
      </c>
      <c r="BN1305" s="58">
        <v>46266</v>
      </c>
      <c r="BO1305" s="57">
        <v>46277</v>
      </c>
      <c r="BP1305" s="36"/>
      <c r="BQ1305" s="36"/>
      <c r="BR1305" s="36"/>
      <c r="BS1305" s="36"/>
      <c r="BT1305" s="39"/>
      <c r="BU1305" s="39"/>
      <c r="BV1305" s="39"/>
      <c r="BW1305" s="39"/>
      <c r="BX1305" s="39"/>
      <c r="BY1305" s="39"/>
      <c r="BZ1305" s="39">
        <f t="shared" si="832"/>
        <v>0</v>
      </c>
      <c r="CA1305" s="39">
        <f t="shared" si="766"/>
        <v>-231</v>
      </c>
      <c r="CB1305" s="39">
        <f t="shared" si="767"/>
        <v>0</v>
      </c>
      <c r="CC1305" s="39">
        <f t="shared" si="768"/>
        <v>0</v>
      </c>
      <c r="CD1305" s="39">
        <f t="shared" si="834"/>
        <v>-231</v>
      </c>
      <c r="CE1305" s="102">
        <f t="shared" si="769"/>
        <v>-1</v>
      </c>
      <c r="CF1305" s="36"/>
      <c r="CG1305" s="39" t="s">
        <v>232</v>
      </c>
      <c r="CH1305" s="39"/>
      <c r="CI1305" s="25">
        <v>1</v>
      </c>
    </row>
    <row r="1306" spans="1:87" ht="24.75" customHeight="1">
      <c r="A1306" s="36" t="s">
        <v>20</v>
      </c>
      <c r="B1306" s="29" t="s">
        <v>2376</v>
      </c>
      <c r="C1306" s="36" t="s">
        <v>2377</v>
      </c>
      <c r="D1306" s="36"/>
      <c r="E1306" s="39">
        <v>140</v>
      </c>
      <c r="F1306" s="39" t="s">
        <v>61</v>
      </c>
      <c r="G1306" s="36" t="s">
        <v>495</v>
      </c>
      <c r="H1306" s="36" t="s">
        <v>1050</v>
      </c>
      <c r="I1306" s="39">
        <v>240</v>
      </c>
      <c r="J1306" s="39"/>
      <c r="K1306" s="39"/>
      <c r="L1306" s="39">
        <f t="shared" si="836"/>
        <v>240</v>
      </c>
      <c r="M1306" s="36" t="s">
        <v>42</v>
      </c>
      <c r="N1306" s="36" t="s">
        <v>42</v>
      </c>
      <c r="O1306" s="39"/>
      <c r="P1306" s="39"/>
      <c r="Q1306" s="39"/>
      <c r="R1306" s="39">
        <f t="shared" si="829"/>
        <v>0</v>
      </c>
      <c r="S1306" s="39" t="s">
        <v>130</v>
      </c>
      <c r="T1306" s="39"/>
      <c r="U1306" s="39"/>
      <c r="V1306" s="39"/>
      <c r="W1306" s="39"/>
      <c r="X1306" s="39"/>
      <c r="Y1306" s="39"/>
      <c r="Z1306" s="39"/>
      <c r="AA1306" s="39"/>
      <c r="AB1306" s="118">
        <f t="shared" si="815"/>
        <v>0</v>
      </c>
      <c r="AC1306" s="39"/>
      <c r="AD1306" s="39"/>
      <c r="AE1306" s="39"/>
      <c r="AF1306" s="39"/>
      <c r="AG1306" s="39"/>
      <c r="AH1306" s="39">
        <f t="shared" si="830"/>
        <v>0</v>
      </c>
      <c r="AI1306" s="39"/>
      <c r="AJ1306" s="39"/>
      <c r="AK1306" s="39"/>
      <c r="AL1306" s="39"/>
      <c r="AM1306" s="39"/>
      <c r="AN1306" s="39">
        <f t="shared" si="827"/>
        <v>0</v>
      </c>
      <c r="AO1306" s="39"/>
      <c r="AP1306" s="39"/>
      <c r="AQ1306" s="39"/>
      <c r="AR1306" s="39"/>
      <c r="AS1306" s="39"/>
      <c r="AT1306" s="39">
        <f t="shared" si="762"/>
        <v>0</v>
      </c>
      <c r="AU1306" s="39"/>
      <c r="AV1306" s="39"/>
      <c r="AW1306" s="39"/>
      <c r="AX1306" s="39"/>
      <c r="AY1306" s="39"/>
      <c r="AZ1306" s="39">
        <f t="shared" si="763"/>
        <v>0</v>
      </c>
      <c r="BA1306" s="39"/>
      <c r="BB1306" s="39"/>
      <c r="BC1306" s="39"/>
      <c r="BD1306" s="39"/>
      <c r="BE1306" s="39"/>
      <c r="BF1306" s="39">
        <f t="shared" si="764"/>
        <v>0</v>
      </c>
      <c r="BG1306" s="39"/>
      <c r="BH1306" s="39"/>
      <c r="BI1306" s="39"/>
      <c r="BJ1306" s="39"/>
      <c r="BK1306" s="39"/>
      <c r="BL1306" s="39">
        <f t="shared" si="831"/>
        <v>0</v>
      </c>
      <c r="BM1306" s="54">
        <f t="shared" ca="1" si="765"/>
        <v>46283</v>
      </c>
      <c r="BN1306" s="58">
        <v>46269</v>
      </c>
      <c r="BO1306" s="57">
        <v>46279</v>
      </c>
      <c r="BP1306" s="36"/>
      <c r="BQ1306" s="36"/>
      <c r="BR1306" s="36"/>
      <c r="BS1306" s="36"/>
      <c r="BT1306" s="39"/>
      <c r="BU1306" s="39"/>
      <c r="BV1306" s="39"/>
      <c r="BW1306" s="39"/>
      <c r="BX1306" s="39"/>
      <c r="BY1306" s="39"/>
      <c r="BZ1306" s="39">
        <f t="shared" si="832"/>
        <v>0</v>
      </c>
      <c r="CA1306" s="39">
        <f t="shared" si="766"/>
        <v>-240</v>
      </c>
      <c r="CB1306" s="39">
        <f t="shared" si="767"/>
        <v>0</v>
      </c>
      <c r="CC1306" s="39">
        <f t="shared" si="768"/>
        <v>0</v>
      </c>
      <c r="CD1306" s="39">
        <f t="shared" si="834"/>
        <v>-240</v>
      </c>
      <c r="CE1306" s="102">
        <f t="shared" si="769"/>
        <v>-1</v>
      </c>
      <c r="CF1306" s="36"/>
      <c r="CG1306" s="39" t="s">
        <v>232</v>
      </c>
      <c r="CH1306" s="39"/>
      <c r="CI1306" s="25">
        <v>1</v>
      </c>
    </row>
    <row r="1307" spans="1:87" ht="24.75" customHeight="1">
      <c r="A1307" s="36" t="s">
        <v>20</v>
      </c>
      <c r="B1307" s="29" t="s">
        <v>2378</v>
      </c>
      <c r="C1307" s="227" t="s">
        <v>2379</v>
      </c>
      <c r="D1307" s="36"/>
      <c r="E1307" s="39">
        <v>220</v>
      </c>
      <c r="F1307" s="39" t="s">
        <v>55</v>
      </c>
      <c r="G1307" s="36" t="s">
        <v>23</v>
      </c>
      <c r="H1307" s="36" t="s">
        <v>209</v>
      </c>
      <c r="I1307" s="39">
        <v>492</v>
      </c>
      <c r="J1307" s="39"/>
      <c r="K1307" s="39"/>
      <c r="L1307" s="39">
        <f t="shared" si="836"/>
        <v>492</v>
      </c>
      <c r="M1307" s="57">
        <v>46256</v>
      </c>
      <c r="N1307" s="57">
        <v>46265</v>
      </c>
      <c r="O1307" s="39"/>
      <c r="P1307" s="39"/>
      <c r="Q1307" s="39"/>
      <c r="R1307" s="39">
        <f t="shared" si="829"/>
        <v>0</v>
      </c>
      <c r="S1307" s="39" t="s">
        <v>130</v>
      </c>
      <c r="T1307" s="39">
        <v>109003</v>
      </c>
      <c r="U1307" s="117">
        <v>46262</v>
      </c>
      <c r="V1307" s="39"/>
      <c r="W1307" s="39"/>
      <c r="X1307" s="39"/>
      <c r="Y1307" s="39">
        <v>543</v>
      </c>
      <c r="Z1307" s="39"/>
      <c r="AA1307" s="39"/>
      <c r="AB1307" s="119">
        <f t="shared" si="815"/>
        <v>543</v>
      </c>
      <c r="AC1307" s="39"/>
      <c r="AD1307" s="39"/>
      <c r="AE1307" s="39"/>
      <c r="AF1307" s="39"/>
      <c r="AG1307" s="39"/>
      <c r="AH1307" s="39">
        <f t="shared" si="830"/>
        <v>0</v>
      </c>
      <c r="AI1307" s="39"/>
      <c r="AJ1307" s="39"/>
      <c r="AK1307" s="39"/>
      <c r="AL1307" s="39"/>
      <c r="AM1307" s="39"/>
      <c r="AN1307" s="39">
        <f t="shared" si="827"/>
        <v>0</v>
      </c>
      <c r="AO1307" s="39"/>
      <c r="AP1307" s="39"/>
      <c r="AQ1307" s="39"/>
      <c r="AR1307" s="39"/>
      <c r="AS1307" s="39"/>
      <c r="AT1307" s="39">
        <f t="shared" si="762"/>
        <v>0</v>
      </c>
      <c r="AU1307" s="39"/>
      <c r="AV1307" s="39"/>
      <c r="AW1307" s="39"/>
      <c r="AX1307" s="39"/>
      <c r="AY1307" s="39"/>
      <c r="AZ1307" s="39">
        <f t="shared" si="763"/>
        <v>0</v>
      </c>
      <c r="BA1307" s="39"/>
      <c r="BB1307" s="39"/>
      <c r="BC1307" s="39"/>
      <c r="BD1307" s="39"/>
      <c r="BE1307" s="39"/>
      <c r="BF1307" s="39">
        <f t="shared" si="764"/>
        <v>0</v>
      </c>
      <c r="BG1307" s="39"/>
      <c r="BH1307" s="39"/>
      <c r="BI1307" s="39"/>
      <c r="BJ1307" s="39"/>
      <c r="BK1307" s="39"/>
      <c r="BL1307" s="39">
        <f t="shared" si="831"/>
        <v>0</v>
      </c>
      <c r="BM1307" s="54" t="str">
        <f t="shared" si="765"/>
        <v/>
      </c>
      <c r="BN1307" s="58">
        <v>46266</v>
      </c>
      <c r="BO1307" s="57">
        <v>46279</v>
      </c>
      <c r="BP1307" s="36"/>
      <c r="BQ1307" s="36"/>
      <c r="BR1307" s="57">
        <v>46268</v>
      </c>
      <c r="BS1307" s="57">
        <v>46268</v>
      </c>
      <c r="BT1307" s="39">
        <v>742</v>
      </c>
      <c r="BU1307" s="39">
        <v>493</v>
      </c>
      <c r="BV1307" s="39"/>
      <c r="BW1307" s="39"/>
      <c r="BX1307" s="39"/>
      <c r="BY1307" s="39"/>
      <c r="BZ1307" s="39">
        <f t="shared" si="832"/>
        <v>493</v>
      </c>
      <c r="CA1307" s="39">
        <f t="shared" si="766"/>
        <v>1</v>
      </c>
      <c r="CB1307" s="39">
        <f t="shared" si="767"/>
        <v>0</v>
      </c>
      <c r="CC1307" s="39">
        <f t="shared" si="768"/>
        <v>0</v>
      </c>
      <c r="CD1307" s="39">
        <f t="shared" si="834"/>
        <v>0</v>
      </c>
      <c r="CE1307" s="102">
        <f t="shared" si="769"/>
        <v>0</v>
      </c>
      <c r="CF1307" s="36"/>
      <c r="CG1307" s="39" t="s">
        <v>232</v>
      </c>
      <c r="CH1307" s="39"/>
      <c r="CI1307" s="25">
        <v>1</v>
      </c>
    </row>
    <row r="1308" spans="1:87" ht="24.75" customHeight="1">
      <c r="A1308" s="36" t="s">
        <v>20</v>
      </c>
      <c r="B1308" s="29" t="s">
        <v>2378</v>
      </c>
      <c r="C1308" s="228"/>
      <c r="D1308" s="36"/>
      <c r="E1308" s="39">
        <v>220</v>
      </c>
      <c r="F1308" s="39" t="s">
        <v>55</v>
      </c>
      <c r="G1308" s="36" t="s">
        <v>457</v>
      </c>
      <c r="H1308" s="36" t="s">
        <v>209</v>
      </c>
      <c r="I1308" s="39">
        <v>492</v>
      </c>
      <c r="J1308" s="39"/>
      <c r="K1308" s="39"/>
      <c r="L1308" s="39">
        <f t="shared" si="836"/>
        <v>492</v>
      </c>
      <c r="M1308" s="57">
        <v>46256</v>
      </c>
      <c r="N1308" s="57">
        <v>46265</v>
      </c>
      <c r="O1308" s="39"/>
      <c r="P1308" s="39"/>
      <c r="Q1308" s="39"/>
      <c r="R1308" s="39">
        <f t="shared" si="829"/>
        <v>0</v>
      </c>
      <c r="S1308" s="39" t="s">
        <v>130</v>
      </c>
      <c r="T1308" s="39">
        <v>109263</v>
      </c>
      <c r="U1308" s="117">
        <v>46275</v>
      </c>
      <c r="V1308" s="39"/>
      <c r="W1308" s="39"/>
      <c r="X1308" s="39"/>
      <c r="Y1308" s="39">
        <v>556</v>
      </c>
      <c r="Z1308" s="39"/>
      <c r="AA1308" s="39"/>
      <c r="AB1308" s="119">
        <f t="shared" si="815"/>
        <v>556</v>
      </c>
      <c r="AC1308" s="39"/>
      <c r="AD1308" s="39"/>
      <c r="AE1308" s="39"/>
      <c r="AF1308" s="39"/>
      <c r="AG1308" s="39"/>
      <c r="AH1308" s="39">
        <f t="shared" si="830"/>
        <v>0</v>
      </c>
      <c r="AI1308" s="39"/>
      <c r="AJ1308" s="39"/>
      <c r="AK1308" s="39"/>
      <c r="AL1308" s="39"/>
      <c r="AM1308" s="39"/>
      <c r="AN1308" s="39">
        <f t="shared" si="827"/>
        <v>0</v>
      </c>
      <c r="AO1308" s="39"/>
      <c r="AP1308" s="39"/>
      <c r="AQ1308" s="39"/>
      <c r="AR1308" s="39"/>
      <c r="AS1308" s="39"/>
      <c r="AT1308" s="39">
        <f t="shared" si="762"/>
        <v>0</v>
      </c>
      <c r="AU1308" s="39"/>
      <c r="AV1308" s="39"/>
      <c r="AW1308" s="39"/>
      <c r="AX1308" s="39"/>
      <c r="AY1308" s="39"/>
      <c r="AZ1308" s="39">
        <f t="shared" si="763"/>
        <v>0</v>
      </c>
      <c r="BA1308" s="39"/>
      <c r="BB1308" s="39"/>
      <c r="BC1308" s="39"/>
      <c r="BD1308" s="39"/>
      <c r="BE1308" s="39"/>
      <c r="BF1308" s="39">
        <f t="shared" si="764"/>
        <v>0</v>
      </c>
      <c r="BG1308" s="39"/>
      <c r="BH1308" s="39"/>
      <c r="BI1308" s="39"/>
      <c r="BJ1308" s="39"/>
      <c r="BK1308" s="39"/>
      <c r="BL1308" s="39">
        <f t="shared" si="831"/>
        <v>0</v>
      </c>
      <c r="BM1308" s="54" t="str">
        <f t="shared" si="765"/>
        <v/>
      </c>
      <c r="BN1308" s="58">
        <v>46266</v>
      </c>
      <c r="BO1308" s="57">
        <v>46279</v>
      </c>
      <c r="BP1308" s="36"/>
      <c r="BQ1308" s="36"/>
      <c r="BR1308" s="57">
        <v>46281</v>
      </c>
      <c r="BS1308" s="57">
        <v>46281</v>
      </c>
      <c r="BT1308" s="39">
        <v>905</v>
      </c>
      <c r="BU1308" s="39">
        <f>474</f>
        <v>474</v>
      </c>
      <c r="BV1308" s="39"/>
      <c r="BW1308" s="39"/>
      <c r="BX1308" s="39"/>
      <c r="BY1308" s="39"/>
      <c r="BZ1308" s="39">
        <f t="shared" si="832"/>
        <v>474</v>
      </c>
      <c r="CA1308" s="39">
        <f t="shared" si="766"/>
        <v>-18</v>
      </c>
      <c r="CB1308" s="39">
        <f t="shared" si="767"/>
        <v>0</v>
      </c>
      <c r="CC1308" s="39">
        <f t="shared" si="768"/>
        <v>0</v>
      </c>
      <c r="CD1308" s="39">
        <f t="shared" si="834"/>
        <v>-18</v>
      </c>
      <c r="CE1308" s="102">
        <f t="shared" si="769"/>
        <v>-3.6585365853658534E-2</v>
      </c>
      <c r="CF1308" s="36"/>
      <c r="CG1308" s="39" t="s">
        <v>232</v>
      </c>
      <c r="CH1308" s="39" t="s">
        <v>543</v>
      </c>
      <c r="CI1308" s="25">
        <v>1</v>
      </c>
    </row>
    <row r="1309" spans="1:87" ht="24.75" customHeight="1">
      <c r="A1309" s="36" t="s">
        <v>20</v>
      </c>
      <c r="B1309" s="29" t="s">
        <v>2380</v>
      </c>
      <c r="C1309" s="227" t="s">
        <v>2381</v>
      </c>
      <c r="D1309" s="36"/>
      <c r="E1309" s="39">
        <v>200</v>
      </c>
      <c r="F1309" s="39" t="s">
        <v>60</v>
      </c>
      <c r="G1309" s="36" t="s">
        <v>2382</v>
      </c>
      <c r="H1309" s="36" t="s">
        <v>91</v>
      </c>
      <c r="I1309" s="39">
        <v>187</v>
      </c>
      <c r="J1309" s="39"/>
      <c r="K1309" s="39"/>
      <c r="L1309" s="39">
        <f t="shared" si="836"/>
        <v>187</v>
      </c>
      <c r="M1309" s="57">
        <v>46258</v>
      </c>
      <c r="N1309" s="57">
        <v>46262</v>
      </c>
      <c r="O1309" s="39"/>
      <c r="P1309" s="39"/>
      <c r="Q1309" s="39"/>
      <c r="R1309" s="39">
        <f t="shared" si="829"/>
        <v>0</v>
      </c>
      <c r="S1309" s="39" t="s">
        <v>28</v>
      </c>
      <c r="T1309" s="39"/>
      <c r="U1309" s="39"/>
      <c r="V1309" s="117">
        <v>46261</v>
      </c>
      <c r="W1309" s="39">
        <v>220</v>
      </c>
      <c r="X1309" s="39"/>
      <c r="Y1309" s="39"/>
      <c r="Z1309" s="39"/>
      <c r="AA1309" s="39"/>
      <c r="AB1309" s="118">
        <f t="shared" si="815"/>
        <v>0</v>
      </c>
      <c r="AC1309" s="39"/>
      <c r="AD1309" s="39"/>
      <c r="AE1309" s="39"/>
      <c r="AF1309" s="39"/>
      <c r="AG1309" s="39"/>
      <c r="AH1309" s="39">
        <f t="shared" si="830"/>
        <v>0</v>
      </c>
      <c r="AI1309" s="39"/>
      <c r="AJ1309" s="39"/>
      <c r="AK1309" s="39"/>
      <c r="AL1309" s="39"/>
      <c r="AM1309" s="39"/>
      <c r="AN1309" s="39">
        <f t="shared" si="827"/>
        <v>0</v>
      </c>
      <c r="AO1309" s="39"/>
      <c r="AP1309" s="39"/>
      <c r="AQ1309" s="39"/>
      <c r="AR1309" s="39"/>
      <c r="AS1309" s="39"/>
      <c r="AT1309" s="39">
        <f t="shared" si="762"/>
        <v>0</v>
      </c>
      <c r="AU1309" s="39"/>
      <c r="AV1309" s="39"/>
      <c r="AW1309" s="39"/>
      <c r="AX1309" s="39"/>
      <c r="AY1309" s="39"/>
      <c r="AZ1309" s="39">
        <f t="shared" si="763"/>
        <v>0</v>
      </c>
      <c r="BA1309" s="39"/>
      <c r="BB1309" s="39"/>
      <c r="BC1309" s="39"/>
      <c r="BD1309" s="39"/>
      <c r="BE1309" s="39"/>
      <c r="BF1309" s="39">
        <f t="shared" si="764"/>
        <v>0</v>
      </c>
      <c r="BG1309" s="39"/>
      <c r="BH1309" s="39"/>
      <c r="BI1309" s="39"/>
      <c r="BJ1309" s="39"/>
      <c r="BK1309" s="39"/>
      <c r="BL1309" s="39">
        <f t="shared" si="831"/>
        <v>0</v>
      </c>
      <c r="BM1309" s="54">
        <f t="shared" ca="1" si="765"/>
        <v>46283</v>
      </c>
      <c r="BN1309" s="58">
        <v>46266</v>
      </c>
      <c r="BO1309" s="57">
        <v>46277</v>
      </c>
      <c r="BP1309" s="36"/>
      <c r="BQ1309" s="36"/>
      <c r="BR1309" s="36"/>
      <c r="BS1309" s="36"/>
      <c r="BT1309" s="39"/>
      <c r="BU1309" s="39"/>
      <c r="BV1309" s="39"/>
      <c r="BW1309" s="39"/>
      <c r="BX1309" s="39"/>
      <c r="BY1309" s="39"/>
      <c r="BZ1309" s="39">
        <f t="shared" si="832"/>
        <v>0</v>
      </c>
      <c r="CA1309" s="39">
        <f t="shared" si="766"/>
        <v>-187</v>
      </c>
      <c r="CB1309" s="39">
        <f t="shared" si="767"/>
        <v>0</v>
      </c>
      <c r="CC1309" s="39">
        <f t="shared" si="768"/>
        <v>0</v>
      </c>
      <c r="CD1309" s="39">
        <f t="shared" si="834"/>
        <v>-187</v>
      </c>
      <c r="CE1309" s="102">
        <f t="shared" si="769"/>
        <v>-1</v>
      </c>
      <c r="CF1309" s="36"/>
      <c r="CG1309" s="39" t="s">
        <v>232</v>
      </c>
      <c r="CH1309" s="39"/>
      <c r="CI1309" s="25">
        <v>1</v>
      </c>
    </row>
    <row r="1310" spans="1:87" ht="24.75" customHeight="1">
      <c r="A1310" s="36" t="s">
        <v>20</v>
      </c>
      <c r="B1310" s="29" t="s">
        <v>2380</v>
      </c>
      <c r="C1310" s="231"/>
      <c r="D1310" s="36"/>
      <c r="E1310" s="39">
        <v>200</v>
      </c>
      <c r="F1310" s="39" t="s">
        <v>60</v>
      </c>
      <c r="G1310" s="36" t="s">
        <v>23</v>
      </c>
      <c r="H1310" s="36" t="s">
        <v>91</v>
      </c>
      <c r="I1310" s="39">
        <v>222</v>
      </c>
      <c r="J1310" s="39"/>
      <c r="K1310" s="39"/>
      <c r="L1310" s="39">
        <f t="shared" ref="L1310" si="837">SUM(I1310:K1310)</f>
        <v>222</v>
      </c>
      <c r="M1310" s="57">
        <v>46258</v>
      </c>
      <c r="N1310" s="57">
        <v>46262</v>
      </c>
      <c r="O1310" s="39"/>
      <c r="P1310" s="39"/>
      <c r="Q1310" s="39"/>
      <c r="R1310" s="39">
        <f t="shared" si="829"/>
        <v>0</v>
      </c>
      <c r="S1310" s="39" t="s">
        <v>28</v>
      </c>
      <c r="T1310" s="39"/>
      <c r="U1310" s="39"/>
      <c r="V1310" s="117">
        <v>46261</v>
      </c>
      <c r="W1310" s="39">
        <v>243</v>
      </c>
      <c r="X1310" s="39"/>
      <c r="Y1310" s="39"/>
      <c r="Z1310" s="39"/>
      <c r="AA1310" s="39"/>
      <c r="AB1310" s="118">
        <f t="shared" si="815"/>
        <v>0</v>
      </c>
      <c r="AC1310" s="39"/>
      <c r="AD1310" s="39"/>
      <c r="AE1310" s="39"/>
      <c r="AF1310" s="39"/>
      <c r="AG1310" s="39"/>
      <c r="AH1310" s="39">
        <f t="shared" si="830"/>
        <v>0</v>
      </c>
      <c r="AI1310" s="39"/>
      <c r="AJ1310" s="39"/>
      <c r="AK1310" s="39"/>
      <c r="AL1310" s="39"/>
      <c r="AM1310" s="39"/>
      <c r="AN1310" s="39">
        <f t="shared" si="827"/>
        <v>0</v>
      </c>
      <c r="AO1310" s="39"/>
      <c r="AP1310" s="39"/>
      <c r="AQ1310" s="39"/>
      <c r="AR1310" s="39"/>
      <c r="AS1310" s="39"/>
      <c r="AT1310" s="39">
        <f t="shared" si="762"/>
        <v>0</v>
      </c>
      <c r="AU1310" s="39"/>
      <c r="AV1310" s="39"/>
      <c r="AW1310" s="39"/>
      <c r="AX1310" s="39"/>
      <c r="AY1310" s="39"/>
      <c r="AZ1310" s="39">
        <f t="shared" si="763"/>
        <v>0</v>
      </c>
      <c r="BA1310" s="39"/>
      <c r="BB1310" s="39"/>
      <c r="BC1310" s="39"/>
      <c r="BD1310" s="39"/>
      <c r="BE1310" s="39"/>
      <c r="BF1310" s="39">
        <f t="shared" si="764"/>
        <v>0</v>
      </c>
      <c r="BG1310" s="39"/>
      <c r="BH1310" s="39"/>
      <c r="BI1310" s="39"/>
      <c r="BJ1310" s="39"/>
      <c r="BK1310" s="39"/>
      <c r="BL1310" s="39">
        <f t="shared" si="831"/>
        <v>0</v>
      </c>
      <c r="BM1310" s="54">
        <f t="shared" ca="1" si="765"/>
        <v>46283</v>
      </c>
      <c r="BN1310" s="58">
        <v>46266</v>
      </c>
      <c r="BO1310" s="57">
        <v>46277</v>
      </c>
      <c r="BP1310" s="36"/>
      <c r="BQ1310" s="36"/>
      <c r="BR1310" s="36"/>
      <c r="BS1310" s="36"/>
      <c r="BT1310" s="39"/>
      <c r="BU1310" s="39"/>
      <c r="BV1310" s="39"/>
      <c r="BW1310" s="39"/>
      <c r="BX1310" s="39"/>
      <c r="BY1310" s="39"/>
      <c r="BZ1310" s="39">
        <f t="shared" si="832"/>
        <v>0</v>
      </c>
      <c r="CA1310" s="39">
        <f t="shared" si="766"/>
        <v>-222</v>
      </c>
      <c r="CB1310" s="39">
        <f t="shared" si="767"/>
        <v>0</v>
      </c>
      <c r="CC1310" s="39">
        <f t="shared" si="768"/>
        <v>0</v>
      </c>
      <c r="CD1310" s="39">
        <f t="shared" si="834"/>
        <v>-222</v>
      </c>
      <c r="CE1310" s="102">
        <f t="shared" si="769"/>
        <v>-1</v>
      </c>
      <c r="CF1310" s="36"/>
      <c r="CG1310" s="39" t="s">
        <v>232</v>
      </c>
      <c r="CH1310" s="39"/>
      <c r="CI1310" s="25">
        <v>1</v>
      </c>
    </row>
    <row r="1311" spans="1:87" ht="24.75" customHeight="1">
      <c r="A1311" s="36" t="s">
        <v>20</v>
      </c>
      <c r="B1311" s="29" t="s">
        <v>2380</v>
      </c>
      <c r="C1311" s="228"/>
      <c r="D1311" s="36"/>
      <c r="E1311" s="39"/>
      <c r="F1311" s="39"/>
      <c r="G1311" s="36" t="s">
        <v>75</v>
      </c>
      <c r="H1311" s="36"/>
      <c r="I1311" s="39"/>
      <c r="J1311" s="39"/>
      <c r="K1311" s="39"/>
      <c r="L1311" s="39">
        <f t="shared" ref="L1311" si="838">SUM(I1311:K1311)</f>
        <v>0</v>
      </c>
      <c r="M1311" s="57">
        <v>46258</v>
      </c>
      <c r="N1311" s="57">
        <v>46262</v>
      </c>
      <c r="O1311" s="39"/>
      <c r="P1311" s="39"/>
      <c r="Q1311" s="39"/>
      <c r="R1311" s="39">
        <f t="shared" si="829"/>
        <v>0</v>
      </c>
      <c r="S1311" s="39" t="s">
        <v>130</v>
      </c>
      <c r="T1311" s="39"/>
      <c r="U1311" s="39"/>
      <c r="V1311" s="39"/>
      <c r="W1311" s="39"/>
      <c r="X1311" s="39"/>
      <c r="Y1311" s="39"/>
      <c r="Z1311" s="39"/>
      <c r="AA1311" s="39"/>
      <c r="AB1311" s="39">
        <f t="shared" si="815"/>
        <v>0</v>
      </c>
      <c r="AC1311" s="39"/>
      <c r="AD1311" s="39"/>
      <c r="AE1311" s="39"/>
      <c r="AF1311" s="39"/>
      <c r="AG1311" s="39"/>
      <c r="AH1311" s="39">
        <f t="shared" si="830"/>
        <v>0</v>
      </c>
      <c r="AI1311" s="39"/>
      <c r="AJ1311" s="39"/>
      <c r="AK1311" s="39"/>
      <c r="AL1311" s="39"/>
      <c r="AM1311" s="39"/>
      <c r="AN1311" s="39">
        <f t="shared" si="827"/>
        <v>0</v>
      </c>
      <c r="AO1311" s="39"/>
      <c r="AP1311" s="39"/>
      <c r="AQ1311" s="39"/>
      <c r="AR1311" s="39"/>
      <c r="AS1311" s="39"/>
      <c r="AT1311" s="39">
        <f t="shared" si="762"/>
        <v>0</v>
      </c>
      <c r="AU1311" s="39"/>
      <c r="AV1311" s="39"/>
      <c r="AW1311" s="39"/>
      <c r="AX1311" s="39"/>
      <c r="AY1311" s="39"/>
      <c r="AZ1311" s="39">
        <f t="shared" si="763"/>
        <v>0</v>
      </c>
      <c r="BA1311" s="39"/>
      <c r="BB1311" s="39"/>
      <c r="BC1311" s="39"/>
      <c r="BD1311" s="39"/>
      <c r="BE1311" s="39"/>
      <c r="BF1311" s="39">
        <f t="shared" si="764"/>
        <v>0</v>
      </c>
      <c r="BG1311" s="39"/>
      <c r="BH1311" s="39"/>
      <c r="BI1311" s="39"/>
      <c r="BJ1311" s="39"/>
      <c r="BK1311" s="39"/>
      <c r="BL1311" s="39">
        <f t="shared" si="831"/>
        <v>0</v>
      </c>
      <c r="BM1311" s="54" t="e">
        <f t="shared" si="765"/>
        <v>#DIV/0!</v>
      </c>
      <c r="BN1311" s="58">
        <v>46266</v>
      </c>
      <c r="BO1311" s="57">
        <v>46277</v>
      </c>
      <c r="BP1311" s="36"/>
      <c r="BQ1311" s="36"/>
      <c r="BR1311" s="36"/>
      <c r="BS1311" s="36"/>
      <c r="BT1311" s="39"/>
      <c r="BU1311" s="39"/>
      <c r="BV1311" s="39"/>
      <c r="BW1311" s="39"/>
      <c r="BX1311" s="39"/>
      <c r="BY1311" s="39"/>
      <c r="BZ1311" s="39">
        <f t="shared" si="832"/>
        <v>0</v>
      </c>
      <c r="CA1311" s="39">
        <f t="shared" si="766"/>
        <v>0</v>
      </c>
      <c r="CB1311" s="39">
        <f t="shared" si="767"/>
        <v>0</v>
      </c>
      <c r="CC1311" s="39">
        <f t="shared" si="768"/>
        <v>0</v>
      </c>
      <c r="CD1311" s="39">
        <f t="shared" si="834"/>
        <v>0</v>
      </c>
      <c r="CE1311" s="102" t="e">
        <f t="shared" si="769"/>
        <v>#DIV/0!</v>
      </c>
      <c r="CF1311" s="36"/>
      <c r="CG1311" s="39" t="s">
        <v>232</v>
      </c>
      <c r="CH1311" s="39"/>
      <c r="CI1311" s="25">
        <v>1</v>
      </c>
    </row>
    <row r="1312" spans="1:87" ht="24.75" customHeight="1">
      <c r="A1312" s="36" t="s">
        <v>20</v>
      </c>
      <c r="B1312" s="29">
        <v>48714</v>
      </c>
      <c r="C1312" s="36" t="s">
        <v>2499</v>
      </c>
      <c r="D1312" s="36"/>
      <c r="E1312" s="39">
        <v>240</v>
      </c>
      <c r="F1312" s="39" t="s">
        <v>53</v>
      </c>
      <c r="G1312" s="36" t="s">
        <v>23</v>
      </c>
      <c r="H1312" s="36" t="s">
        <v>2500</v>
      </c>
      <c r="I1312" s="39">
        <v>267</v>
      </c>
      <c r="J1312" s="39"/>
      <c r="K1312" s="39"/>
      <c r="L1312" s="39">
        <f t="shared" ref="L1312:L1313" si="839">SUM(I1312:K1312)</f>
        <v>267</v>
      </c>
      <c r="M1312" s="57">
        <v>46266</v>
      </c>
      <c r="N1312" s="57">
        <v>46273</v>
      </c>
      <c r="O1312" s="39"/>
      <c r="P1312" s="39"/>
      <c r="Q1312" s="39"/>
      <c r="R1312" s="39">
        <f t="shared" si="829"/>
        <v>0</v>
      </c>
      <c r="S1312" s="39" t="s">
        <v>130</v>
      </c>
      <c r="T1312" s="39"/>
      <c r="U1312" s="39"/>
      <c r="V1312" s="39"/>
      <c r="W1312" s="39"/>
      <c r="X1312" s="39"/>
      <c r="Y1312" s="39"/>
      <c r="Z1312" s="39"/>
      <c r="AA1312" s="39"/>
      <c r="AB1312" s="118">
        <f t="shared" si="815"/>
        <v>0</v>
      </c>
      <c r="AC1312" s="39"/>
      <c r="AD1312" s="39"/>
      <c r="AE1312" s="39"/>
      <c r="AF1312" s="39"/>
      <c r="AG1312" s="39"/>
      <c r="AH1312" s="39">
        <f t="shared" si="830"/>
        <v>0</v>
      </c>
      <c r="AI1312" s="39"/>
      <c r="AJ1312" s="39"/>
      <c r="AK1312" s="39"/>
      <c r="AL1312" s="39"/>
      <c r="AM1312" s="39"/>
      <c r="AN1312" s="39">
        <f t="shared" si="827"/>
        <v>0</v>
      </c>
      <c r="AO1312" s="39"/>
      <c r="AP1312" s="39"/>
      <c r="AQ1312" s="39"/>
      <c r="AR1312" s="39"/>
      <c r="AS1312" s="39"/>
      <c r="AT1312" s="39">
        <f t="shared" si="762"/>
        <v>0</v>
      </c>
      <c r="AU1312" s="39"/>
      <c r="AV1312" s="39"/>
      <c r="AW1312" s="39"/>
      <c r="AX1312" s="39"/>
      <c r="AY1312" s="39"/>
      <c r="AZ1312" s="39">
        <f t="shared" si="763"/>
        <v>0</v>
      </c>
      <c r="BA1312" s="39"/>
      <c r="BB1312" s="39"/>
      <c r="BC1312" s="39"/>
      <c r="BD1312" s="39"/>
      <c r="BE1312" s="39"/>
      <c r="BF1312" s="39">
        <f t="shared" si="764"/>
        <v>0</v>
      </c>
      <c r="BG1312" s="39"/>
      <c r="BH1312" s="39"/>
      <c r="BI1312" s="39"/>
      <c r="BJ1312" s="39"/>
      <c r="BK1312" s="39"/>
      <c r="BL1312" s="39">
        <f t="shared" si="831"/>
        <v>0</v>
      </c>
      <c r="BM1312" s="54">
        <f t="shared" ca="1" si="765"/>
        <v>46283</v>
      </c>
      <c r="BN1312" s="58">
        <v>46275</v>
      </c>
      <c r="BO1312" s="57">
        <v>46283</v>
      </c>
      <c r="BP1312" s="36"/>
      <c r="BQ1312" s="36"/>
      <c r="BR1312" s="36"/>
      <c r="BS1312" s="36"/>
      <c r="BT1312" s="39"/>
      <c r="BU1312" s="39"/>
      <c r="BV1312" s="39"/>
      <c r="BW1312" s="39"/>
      <c r="BX1312" s="39"/>
      <c r="BY1312" s="39"/>
      <c r="BZ1312" s="39">
        <f t="shared" si="832"/>
        <v>0</v>
      </c>
      <c r="CA1312" s="39">
        <f t="shared" si="766"/>
        <v>-267</v>
      </c>
      <c r="CB1312" s="39">
        <f t="shared" si="767"/>
        <v>0</v>
      </c>
      <c r="CC1312" s="39">
        <f t="shared" si="768"/>
        <v>0</v>
      </c>
      <c r="CD1312" s="39">
        <f t="shared" si="834"/>
        <v>-267</v>
      </c>
      <c r="CE1312" s="102">
        <f t="shared" si="769"/>
        <v>-1</v>
      </c>
      <c r="CF1312" s="36"/>
      <c r="CG1312" s="39" t="s">
        <v>232</v>
      </c>
      <c r="CH1312" s="39"/>
      <c r="CI1312" s="25">
        <v>1</v>
      </c>
    </row>
    <row r="1313" spans="1:87" ht="24.75" customHeight="1">
      <c r="A1313" s="36" t="s">
        <v>20</v>
      </c>
      <c r="B1313" s="29" t="s">
        <v>2501</v>
      </c>
      <c r="C1313" s="36" t="s">
        <v>2502</v>
      </c>
      <c r="D1313" s="36"/>
      <c r="E1313" s="39">
        <v>220</v>
      </c>
      <c r="F1313" s="39" t="s">
        <v>56</v>
      </c>
      <c r="G1313" s="36" t="s">
        <v>2503</v>
      </c>
      <c r="H1313" s="36" t="s">
        <v>102</v>
      </c>
      <c r="I1313" s="39">
        <v>220</v>
      </c>
      <c r="J1313" s="39"/>
      <c r="K1313" s="39"/>
      <c r="L1313" s="39">
        <f t="shared" si="839"/>
        <v>220</v>
      </c>
      <c r="M1313" s="57">
        <v>46258</v>
      </c>
      <c r="N1313" s="57">
        <v>46265</v>
      </c>
      <c r="O1313" s="39"/>
      <c r="P1313" s="39"/>
      <c r="Q1313" s="39"/>
      <c r="R1313" s="39">
        <f t="shared" si="829"/>
        <v>0</v>
      </c>
      <c r="S1313" s="39" t="s">
        <v>28</v>
      </c>
      <c r="T1313" s="39"/>
      <c r="U1313" s="39"/>
      <c r="V1313" s="117">
        <v>46276</v>
      </c>
      <c r="W1313" s="39">
        <v>247</v>
      </c>
      <c r="X1313" s="39"/>
      <c r="Y1313" s="39"/>
      <c r="Z1313" s="39"/>
      <c r="AA1313" s="39"/>
      <c r="AB1313" s="118">
        <f t="shared" si="815"/>
        <v>0</v>
      </c>
      <c r="AC1313" s="39"/>
      <c r="AD1313" s="39"/>
      <c r="AE1313" s="39"/>
      <c r="AF1313" s="39"/>
      <c r="AG1313" s="39"/>
      <c r="AH1313" s="39">
        <f t="shared" si="830"/>
        <v>0</v>
      </c>
      <c r="AI1313" s="39"/>
      <c r="AJ1313" s="39"/>
      <c r="AK1313" s="39"/>
      <c r="AL1313" s="39"/>
      <c r="AM1313" s="39"/>
      <c r="AN1313" s="39">
        <f t="shared" si="827"/>
        <v>0</v>
      </c>
      <c r="AO1313" s="39"/>
      <c r="AP1313" s="39"/>
      <c r="AQ1313" s="39"/>
      <c r="AR1313" s="39"/>
      <c r="AS1313" s="39"/>
      <c r="AT1313" s="39">
        <f t="shared" si="762"/>
        <v>0</v>
      </c>
      <c r="AU1313" s="39"/>
      <c r="AV1313" s="39"/>
      <c r="AW1313" s="39"/>
      <c r="AX1313" s="39"/>
      <c r="AY1313" s="39"/>
      <c r="AZ1313" s="39">
        <f t="shared" si="763"/>
        <v>0</v>
      </c>
      <c r="BA1313" s="39"/>
      <c r="BB1313" s="39"/>
      <c r="BC1313" s="39"/>
      <c r="BD1313" s="39"/>
      <c r="BE1313" s="39"/>
      <c r="BF1313" s="39">
        <f t="shared" si="764"/>
        <v>0</v>
      </c>
      <c r="BG1313" s="39"/>
      <c r="BH1313" s="39"/>
      <c r="BI1313" s="39"/>
      <c r="BJ1313" s="39"/>
      <c r="BK1313" s="39"/>
      <c r="BL1313" s="39">
        <f t="shared" si="831"/>
        <v>0</v>
      </c>
      <c r="BM1313" s="54">
        <f t="shared" ca="1" si="765"/>
        <v>46283</v>
      </c>
      <c r="BN1313" s="58">
        <v>46266</v>
      </c>
      <c r="BO1313" s="57">
        <v>46277</v>
      </c>
      <c r="BP1313" s="36"/>
      <c r="BQ1313" s="36"/>
      <c r="BR1313" s="36"/>
      <c r="BS1313" s="36"/>
      <c r="BT1313" s="39"/>
      <c r="BU1313" s="39"/>
      <c r="BV1313" s="39"/>
      <c r="BW1313" s="39"/>
      <c r="BX1313" s="39"/>
      <c r="BY1313" s="39"/>
      <c r="BZ1313" s="39">
        <f t="shared" si="832"/>
        <v>0</v>
      </c>
      <c r="CA1313" s="39">
        <f t="shared" si="766"/>
        <v>-220</v>
      </c>
      <c r="CB1313" s="39">
        <f t="shared" si="767"/>
        <v>0</v>
      </c>
      <c r="CC1313" s="39">
        <f t="shared" si="768"/>
        <v>0</v>
      </c>
      <c r="CD1313" s="39">
        <f t="shared" si="834"/>
        <v>-220</v>
      </c>
      <c r="CE1313" s="102">
        <f t="shared" si="769"/>
        <v>-1</v>
      </c>
      <c r="CF1313" s="36"/>
      <c r="CG1313" s="39" t="s">
        <v>232</v>
      </c>
      <c r="CH1313" s="39"/>
      <c r="CI1313" s="25">
        <v>1</v>
      </c>
    </row>
    <row r="1314" spans="1:87" ht="24.75" customHeight="1">
      <c r="A1314" s="36" t="s">
        <v>20</v>
      </c>
      <c r="B1314" s="29" t="s">
        <v>2504</v>
      </c>
      <c r="C1314" s="36" t="s">
        <v>2505</v>
      </c>
      <c r="D1314" s="36"/>
      <c r="E1314" s="39">
        <v>220</v>
      </c>
      <c r="F1314" s="39" t="s">
        <v>55</v>
      </c>
      <c r="G1314" s="36" t="s">
        <v>187</v>
      </c>
      <c r="H1314" s="36" t="s">
        <v>210</v>
      </c>
      <c r="I1314" s="39">
        <v>287</v>
      </c>
      <c r="J1314" s="39"/>
      <c r="K1314" s="39"/>
      <c r="L1314" s="39">
        <f t="shared" ref="L1314:L1323" si="840">SUM(I1314:K1314)</f>
        <v>287</v>
      </c>
      <c r="M1314" s="57">
        <v>46258</v>
      </c>
      <c r="N1314" s="57">
        <v>46265</v>
      </c>
      <c r="O1314" s="39"/>
      <c r="P1314" s="39"/>
      <c r="Q1314" s="39"/>
      <c r="R1314" s="39">
        <f t="shared" si="829"/>
        <v>0</v>
      </c>
      <c r="S1314" s="39" t="s">
        <v>130</v>
      </c>
      <c r="T1314" s="39"/>
      <c r="U1314" s="39"/>
      <c r="V1314" s="39"/>
      <c r="W1314" s="39"/>
      <c r="X1314" s="39"/>
      <c r="Y1314" s="39"/>
      <c r="Z1314" s="39"/>
      <c r="AA1314" s="39"/>
      <c r="AB1314" s="118">
        <f t="shared" si="815"/>
        <v>0</v>
      </c>
      <c r="AC1314" s="39"/>
      <c r="AD1314" s="39"/>
      <c r="AE1314" s="39"/>
      <c r="AF1314" s="39"/>
      <c r="AG1314" s="39"/>
      <c r="AH1314" s="39">
        <f t="shared" si="830"/>
        <v>0</v>
      </c>
      <c r="AI1314" s="39"/>
      <c r="AJ1314" s="39"/>
      <c r="AK1314" s="39"/>
      <c r="AL1314" s="39"/>
      <c r="AM1314" s="39"/>
      <c r="AN1314" s="39">
        <f t="shared" si="827"/>
        <v>0</v>
      </c>
      <c r="AO1314" s="39"/>
      <c r="AP1314" s="39"/>
      <c r="AQ1314" s="39"/>
      <c r="AR1314" s="39"/>
      <c r="AS1314" s="39"/>
      <c r="AT1314" s="39">
        <f t="shared" si="762"/>
        <v>0</v>
      </c>
      <c r="AU1314" s="39"/>
      <c r="AV1314" s="39"/>
      <c r="AW1314" s="39"/>
      <c r="AX1314" s="39"/>
      <c r="AY1314" s="39"/>
      <c r="AZ1314" s="39">
        <f t="shared" si="763"/>
        <v>0</v>
      </c>
      <c r="BA1314" s="39"/>
      <c r="BB1314" s="39"/>
      <c r="BC1314" s="39"/>
      <c r="BD1314" s="39"/>
      <c r="BE1314" s="39"/>
      <c r="BF1314" s="39">
        <f t="shared" si="764"/>
        <v>0</v>
      </c>
      <c r="BG1314" s="39"/>
      <c r="BH1314" s="39"/>
      <c r="BI1314" s="39"/>
      <c r="BJ1314" s="39"/>
      <c r="BK1314" s="39"/>
      <c r="BL1314" s="39">
        <f t="shared" si="831"/>
        <v>0</v>
      </c>
      <c r="BM1314" s="54">
        <f t="shared" ca="1" si="765"/>
        <v>46283</v>
      </c>
      <c r="BN1314" s="58">
        <v>46266</v>
      </c>
      <c r="BO1314" s="57">
        <v>46277</v>
      </c>
      <c r="BP1314" s="36"/>
      <c r="BQ1314" s="36"/>
      <c r="BR1314" s="36"/>
      <c r="BS1314" s="36"/>
      <c r="BT1314" s="39"/>
      <c r="BU1314" s="39"/>
      <c r="BV1314" s="39"/>
      <c r="BW1314" s="39"/>
      <c r="BX1314" s="39"/>
      <c r="BY1314" s="39"/>
      <c r="BZ1314" s="39">
        <f t="shared" si="832"/>
        <v>0</v>
      </c>
      <c r="CA1314" s="39">
        <f t="shared" si="766"/>
        <v>-287</v>
      </c>
      <c r="CB1314" s="39">
        <f t="shared" si="767"/>
        <v>0</v>
      </c>
      <c r="CC1314" s="39">
        <f t="shared" si="768"/>
        <v>0</v>
      </c>
      <c r="CD1314" s="39">
        <f t="shared" si="834"/>
        <v>-287</v>
      </c>
      <c r="CE1314" s="102">
        <f t="shared" si="769"/>
        <v>-1</v>
      </c>
      <c r="CF1314" s="36"/>
      <c r="CG1314" s="39" t="s">
        <v>232</v>
      </c>
      <c r="CH1314" s="39"/>
      <c r="CI1314" s="25">
        <v>1</v>
      </c>
    </row>
    <row r="1315" spans="1:87" ht="24.75" customHeight="1">
      <c r="A1315" s="36" t="s">
        <v>20</v>
      </c>
      <c r="B1315" s="29" t="s">
        <v>2506</v>
      </c>
      <c r="C1315" s="36" t="s">
        <v>2507</v>
      </c>
      <c r="D1315" s="36"/>
      <c r="E1315" s="39">
        <v>200</v>
      </c>
      <c r="F1315" s="39" t="s">
        <v>60</v>
      </c>
      <c r="G1315" s="36" t="s">
        <v>437</v>
      </c>
      <c r="H1315" s="36" t="s">
        <v>91</v>
      </c>
      <c r="I1315" s="39">
        <v>202</v>
      </c>
      <c r="J1315" s="39"/>
      <c r="K1315" s="39"/>
      <c r="L1315" s="39">
        <f t="shared" si="840"/>
        <v>202</v>
      </c>
      <c r="M1315" s="57">
        <v>46259</v>
      </c>
      <c r="N1315" s="57">
        <v>46265</v>
      </c>
      <c r="O1315" s="39"/>
      <c r="P1315" s="39"/>
      <c r="Q1315" s="39"/>
      <c r="R1315" s="39">
        <f t="shared" si="829"/>
        <v>0</v>
      </c>
      <c r="S1315" s="39" t="s">
        <v>130</v>
      </c>
      <c r="T1315" s="39"/>
      <c r="U1315" s="39"/>
      <c r="V1315" s="39"/>
      <c r="W1315" s="39"/>
      <c r="X1315" s="39"/>
      <c r="Y1315" s="39"/>
      <c r="Z1315" s="39"/>
      <c r="AA1315" s="39"/>
      <c r="AB1315" s="118">
        <f t="shared" si="815"/>
        <v>0</v>
      </c>
      <c r="AC1315" s="39"/>
      <c r="AD1315" s="39"/>
      <c r="AE1315" s="39"/>
      <c r="AF1315" s="39"/>
      <c r="AG1315" s="39"/>
      <c r="AH1315" s="39">
        <f t="shared" si="830"/>
        <v>0</v>
      </c>
      <c r="AI1315" s="39"/>
      <c r="AJ1315" s="39"/>
      <c r="AK1315" s="39"/>
      <c r="AL1315" s="39"/>
      <c r="AM1315" s="39"/>
      <c r="AN1315" s="39">
        <f t="shared" si="827"/>
        <v>0</v>
      </c>
      <c r="AO1315" s="39"/>
      <c r="AP1315" s="39"/>
      <c r="AQ1315" s="39"/>
      <c r="AR1315" s="39"/>
      <c r="AS1315" s="39"/>
      <c r="AT1315" s="39">
        <f t="shared" si="762"/>
        <v>0</v>
      </c>
      <c r="AU1315" s="39"/>
      <c r="AV1315" s="39"/>
      <c r="AW1315" s="39"/>
      <c r="AX1315" s="39"/>
      <c r="AY1315" s="39"/>
      <c r="AZ1315" s="39">
        <f t="shared" si="763"/>
        <v>0</v>
      </c>
      <c r="BA1315" s="39"/>
      <c r="BB1315" s="39"/>
      <c r="BC1315" s="39"/>
      <c r="BD1315" s="39"/>
      <c r="BE1315" s="39"/>
      <c r="BF1315" s="39">
        <f t="shared" si="764"/>
        <v>0</v>
      </c>
      <c r="BG1315" s="39"/>
      <c r="BH1315" s="39"/>
      <c r="BI1315" s="39"/>
      <c r="BJ1315" s="39"/>
      <c r="BK1315" s="39"/>
      <c r="BL1315" s="39">
        <f t="shared" si="831"/>
        <v>0</v>
      </c>
      <c r="BM1315" s="54">
        <f t="shared" ca="1" si="765"/>
        <v>46283</v>
      </c>
      <c r="BN1315" s="58">
        <v>46266</v>
      </c>
      <c r="BO1315" s="57">
        <v>46277</v>
      </c>
      <c r="BP1315" s="36"/>
      <c r="BQ1315" s="36"/>
      <c r="BR1315" s="36"/>
      <c r="BS1315" s="36"/>
      <c r="BT1315" s="39"/>
      <c r="BU1315" s="39"/>
      <c r="BV1315" s="39"/>
      <c r="BW1315" s="39"/>
      <c r="BX1315" s="39"/>
      <c r="BY1315" s="39"/>
      <c r="BZ1315" s="39">
        <f t="shared" si="832"/>
        <v>0</v>
      </c>
      <c r="CA1315" s="39">
        <f t="shared" si="766"/>
        <v>-202</v>
      </c>
      <c r="CB1315" s="39">
        <f t="shared" si="767"/>
        <v>0</v>
      </c>
      <c r="CC1315" s="39">
        <f t="shared" si="768"/>
        <v>0</v>
      </c>
      <c r="CD1315" s="39">
        <f t="shared" si="834"/>
        <v>-202</v>
      </c>
      <c r="CE1315" s="102">
        <f t="shared" si="769"/>
        <v>-1</v>
      </c>
      <c r="CF1315" s="36"/>
      <c r="CG1315" s="39" t="s">
        <v>232</v>
      </c>
      <c r="CH1315" s="39"/>
      <c r="CI1315" s="25">
        <v>1</v>
      </c>
    </row>
    <row r="1316" spans="1:87" ht="24.75" customHeight="1">
      <c r="A1316" s="36" t="s">
        <v>20</v>
      </c>
      <c r="B1316" s="29" t="s">
        <v>2508</v>
      </c>
      <c r="C1316" s="227" t="s">
        <v>2509</v>
      </c>
      <c r="D1316" s="36"/>
      <c r="E1316" s="39">
        <v>180</v>
      </c>
      <c r="F1316" s="39" t="s">
        <v>58</v>
      </c>
      <c r="G1316" s="36" t="s">
        <v>192</v>
      </c>
      <c r="H1316" s="36" t="s">
        <v>87</v>
      </c>
      <c r="I1316" s="39">
        <v>198</v>
      </c>
      <c r="J1316" s="39"/>
      <c r="K1316" s="39"/>
      <c r="L1316" s="39">
        <f t="shared" si="840"/>
        <v>198</v>
      </c>
      <c r="M1316" s="57">
        <v>46258</v>
      </c>
      <c r="N1316" s="57">
        <v>46265</v>
      </c>
      <c r="O1316" s="39"/>
      <c r="P1316" s="39"/>
      <c r="Q1316" s="39"/>
      <c r="R1316" s="39">
        <f t="shared" si="829"/>
        <v>0</v>
      </c>
      <c r="S1316" s="39" t="s">
        <v>130</v>
      </c>
      <c r="T1316" s="39"/>
      <c r="U1316" s="39"/>
      <c r="V1316" s="39"/>
      <c r="W1316" s="39"/>
      <c r="X1316" s="39"/>
      <c r="Y1316" s="39"/>
      <c r="Z1316" s="39"/>
      <c r="AA1316" s="39"/>
      <c r="AB1316" s="118">
        <f t="shared" si="815"/>
        <v>0</v>
      </c>
      <c r="AC1316" s="39"/>
      <c r="AD1316" s="39"/>
      <c r="AE1316" s="39"/>
      <c r="AF1316" s="39"/>
      <c r="AG1316" s="39"/>
      <c r="AH1316" s="39">
        <f t="shared" si="830"/>
        <v>0</v>
      </c>
      <c r="AI1316" s="39"/>
      <c r="AJ1316" s="39"/>
      <c r="AK1316" s="39"/>
      <c r="AL1316" s="39"/>
      <c r="AM1316" s="39"/>
      <c r="AN1316" s="39">
        <f t="shared" si="827"/>
        <v>0</v>
      </c>
      <c r="AO1316" s="39"/>
      <c r="AP1316" s="39"/>
      <c r="AQ1316" s="39"/>
      <c r="AR1316" s="39"/>
      <c r="AS1316" s="39"/>
      <c r="AT1316" s="39">
        <f t="shared" si="762"/>
        <v>0</v>
      </c>
      <c r="AU1316" s="39"/>
      <c r="AV1316" s="39"/>
      <c r="AW1316" s="39"/>
      <c r="AX1316" s="39"/>
      <c r="AY1316" s="39"/>
      <c r="AZ1316" s="39">
        <f t="shared" si="763"/>
        <v>0</v>
      </c>
      <c r="BA1316" s="39"/>
      <c r="BB1316" s="39"/>
      <c r="BC1316" s="39"/>
      <c r="BD1316" s="39"/>
      <c r="BE1316" s="39"/>
      <c r="BF1316" s="39">
        <f t="shared" si="764"/>
        <v>0</v>
      </c>
      <c r="BG1316" s="39"/>
      <c r="BH1316" s="39"/>
      <c r="BI1316" s="39"/>
      <c r="BJ1316" s="39"/>
      <c r="BK1316" s="39"/>
      <c r="BL1316" s="39">
        <f t="shared" si="831"/>
        <v>0</v>
      </c>
      <c r="BM1316" s="54">
        <f t="shared" ca="1" si="765"/>
        <v>46283</v>
      </c>
      <c r="BN1316" s="58">
        <v>46266</v>
      </c>
      <c r="BO1316" s="57">
        <v>46277</v>
      </c>
      <c r="BP1316" s="36"/>
      <c r="BQ1316" s="36"/>
      <c r="BR1316" s="36"/>
      <c r="BS1316" s="36"/>
      <c r="BT1316" s="39"/>
      <c r="BU1316" s="39"/>
      <c r="BV1316" s="39"/>
      <c r="BW1316" s="39"/>
      <c r="BX1316" s="39"/>
      <c r="BY1316" s="39"/>
      <c r="BZ1316" s="39">
        <f t="shared" si="832"/>
        <v>0</v>
      </c>
      <c r="CA1316" s="39">
        <f t="shared" si="766"/>
        <v>-198</v>
      </c>
      <c r="CB1316" s="39">
        <f t="shared" si="767"/>
        <v>0</v>
      </c>
      <c r="CC1316" s="39">
        <f t="shared" si="768"/>
        <v>0</v>
      </c>
      <c r="CD1316" s="39">
        <f t="shared" si="834"/>
        <v>-198</v>
      </c>
      <c r="CE1316" s="102">
        <f t="shared" si="769"/>
        <v>-1</v>
      </c>
      <c r="CF1316" s="36"/>
      <c r="CG1316" s="39" t="s">
        <v>232</v>
      </c>
      <c r="CH1316" s="39"/>
      <c r="CI1316" s="25">
        <v>1</v>
      </c>
    </row>
    <row r="1317" spans="1:87" ht="24.75" customHeight="1">
      <c r="A1317" s="36" t="s">
        <v>20</v>
      </c>
      <c r="B1317" s="29" t="s">
        <v>2508</v>
      </c>
      <c r="C1317" s="228"/>
      <c r="D1317" s="36"/>
      <c r="E1317" s="39">
        <v>180</v>
      </c>
      <c r="F1317" s="39" t="s">
        <v>58</v>
      </c>
      <c r="G1317" s="36" t="s">
        <v>457</v>
      </c>
      <c r="H1317" s="36" t="s">
        <v>87</v>
      </c>
      <c r="I1317" s="39">
        <v>135</v>
      </c>
      <c r="J1317" s="39"/>
      <c r="K1317" s="39"/>
      <c r="L1317" s="39">
        <f t="shared" si="840"/>
        <v>135</v>
      </c>
      <c r="M1317" s="57">
        <v>46258</v>
      </c>
      <c r="N1317" s="57">
        <v>46265</v>
      </c>
      <c r="O1317" s="39"/>
      <c r="P1317" s="39"/>
      <c r="Q1317" s="39"/>
      <c r="R1317" s="39">
        <f t="shared" si="829"/>
        <v>0</v>
      </c>
      <c r="S1317" s="39" t="s">
        <v>28</v>
      </c>
      <c r="T1317" s="39"/>
      <c r="U1317" s="39"/>
      <c r="V1317" s="117">
        <v>46263</v>
      </c>
      <c r="W1317" s="39">
        <v>171</v>
      </c>
      <c r="X1317" s="39"/>
      <c r="Y1317" s="39"/>
      <c r="Z1317" s="39"/>
      <c r="AA1317" s="39"/>
      <c r="AB1317" s="118">
        <f t="shared" si="815"/>
        <v>0</v>
      </c>
      <c r="AC1317" s="39"/>
      <c r="AD1317" s="39"/>
      <c r="AE1317" s="39"/>
      <c r="AF1317" s="39"/>
      <c r="AG1317" s="39"/>
      <c r="AH1317" s="39">
        <f t="shared" si="830"/>
        <v>0</v>
      </c>
      <c r="AI1317" s="39"/>
      <c r="AJ1317" s="39"/>
      <c r="AK1317" s="39"/>
      <c r="AL1317" s="39"/>
      <c r="AM1317" s="39"/>
      <c r="AN1317" s="39">
        <f t="shared" si="827"/>
        <v>0</v>
      </c>
      <c r="AO1317" s="39"/>
      <c r="AP1317" s="39"/>
      <c r="AQ1317" s="39"/>
      <c r="AR1317" s="39"/>
      <c r="AS1317" s="39"/>
      <c r="AT1317" s="39">
        <f t="shared" si="762"/>
        <v>0</v>
      </c>
      <c r="AU1317" s="39"/>
      <c r="AV1317" s="39"/>
      <c r="AW1317" s="39"/>
      <c r="AX1317" s="39"/>
      <c r="AY1317" s="39"/>
      <c r="AZ1317" s="39">
        <f t="shared" si="763"/>
        <v>0</v>
      </c>
      <c r="BA1317" s="39"/>
      <c r="BB1317" s="39"/>
      <c r="BC1317" s="39"/>
      <c r="BD1317" s="39"/>
      <c r="BE1317" s="39"/>
      <c r="BF1317" s="39">
        <f t="shared" si="764"/>
        <v>0</v>
      </c>
      <c r="BG1317" s="39"/>
      <c r="BH1317" s="39"/>
      <c r="BI1317" s="39"/>
      <c r="BJ1317" s="39"/>
      <c r="BK1317" s="39"/>
      <c r="BL1317" s="39">
        <f t="shared" si="831"/>
        <v>0</v>
      </c>
      <c r="BM1317" s="54">
        <f t="shared" ca="1" si="765"/>
        <v>46283</v>
      </c>
      <c r="BN1317" s="58">
        <v>46266</v>
      </c>
      <c r="BO1317" s="57">
        <v>46277</v>
      </c>
      <c r="BP1317" s="36"/>
      <c r="BQ1317" s="36"/>
      <c r="BR1317" s="36"/>
      <c r="BS1317" s="36"/>
      <c r="BT1317" s="39"/>
      <c r="BU1317" s="39"/>
      <c r="BV1317" s="39"/>
      <c r="BW1317" s="39"/>
      <c r="BX1317" s="39"/>
      <c r="BY1317" s="39"/>
      <c r="BZ1317" s="39">
        <f t="shared" si="832"/>
        <v>0</v>
      </c>
      <c r="CA1317" s="39">
        <f t="shared" si="766"/>
        <v>-135</v>
      </c>
      <c r="CB1317" s="39">
        <f t="shared" si="767"/>
        <v>0</v>
      </c>
      <c r="CC1317" s="39">
        <f t="shared" si="768"/>
        <v>0</v>
      </c>
      <c r="CD1317" s="39">
        <f t="shared" si="834"/>
        <v>-135</v>
      </c>
      <c r="CE1317" s="102">
        <f t="shared" si="769"/>
        <v>-1</v>
      </c>
      <c r="CF1317" s="36"/>
      <c r="CG1317" s="39" t="s">
        <v>232</v>
      </c>
      <c r="CH1317" s="39"/>
      <c r="CI1317" s="25">
        <v>1</v>
      </c>
    </row>
    <row r="1318" spans="1:87" ht="24.75" customHeight="1">
      <c r="A1318" s="36" t="s">
        <v>20</v>
      </c>
      <c r="B1318" s="29" t="s">
        <v>2510</v>
      </c>
      <c r="C1318" s="227" t="s">
        <v>2511</v>
      </c>
      <c r="D1318" s="36"/>
      <c r="E1318" s="39">
        <v>220</v>
      </c>
      <c r="F1318" s="39" t="s">
        <v>55</v>
      </c>
      <c r="G1318" s="36" t="s">
        <v>23</v>
      </c>
      <c r="H1318" s="36" t="s">
        <v>209</v>
      </c>
      <c r="I1318" s="39">
        <v>211</v>
      </c>
      <c r="J1318" s="39"/>
      <c r="K1318" s="39"/>
      <c r="L1318" s="39">
        <f t="shared" si="840"/>
        <v>211</v>
      </c>
      <c r="M1318" s="57">
        <v>46258</v>
      </c>
      <c r="N1318" s="57">
        <v>46265</v>
      </c>
      <c r="O1318" s="39"/>
      <c r="P1318" s="39"/>
      <c r="Q1318" s="39"/>
      <c r="R1318" s="39">
        <f t="shared" si="829"/>
        <v>0</v>
      </c>
      <c r="S1318" s="39" t="s">
        <v>130</v>
      </c>
      <c r="T1318" s="39">
        <v>109004</v>
      </c>
      <c r="U1318" s="117">
        <v>46262</v>
      </c>
      <c r="V1318" s="39"/>
      <c r="W1318" s="39"/>
      <c r="X1318" s="39"/>
      <c r="Y1318" s="39">
        <v>232</v>
      </c>
      <c r="Z1318" s="39"/>
      <c r="AA1318" s="39"/>
      <c r="AB1318" s="119">
        <f t="shared" si="815"/>
        <v>232</v>
      </c>
      <c r="AC1318" s="39"/>
      <c r="AD1318" s="39"/>
      <c r="AE1318" s="39"/>
      <c r="AF1318" s="39"/>
      <c r="AG1318" s="39"/>
      <c r="AH1318" s="39">
        <f t="shared" si="830"/>
        <v>0</v>
      </c>
      <c r="AI1318" s="39"/>
      <c r="AJ1318" s="39"/>
      <c r="AK1318" s="39"/>
      <c r="AL1318" s="39"/>
      <c r="AM1318" s="39"/>
      <c r="AN1318" s="39">
        <f t="shared" si="827"/>
        <v>0</v>
      </c>
      <c r="AO1318" s="39"/>
      <c r="AP1318" s="39"/>
      <c r="AQ1318" s="39"/>
      <c r="AR1318" s="39"/>
      <c r="AS1318" s="39"/>
      <c r="AT1318" s="39">
        <f t="shared" si="762"/>
        <v>0</v>
      </c>
      <c r="AU1318" s="39"/>
      <c r="AV1318" s="39"/>
      <c r="AW1318" s="39"/>
      <c r="AX1318" s="39"/>
      <c r="AY1318" s="39"/>
      <c r="AZ1318" s="39">
        <f t="shared" si="763"/>
        <v>0</v>
      </c>
      <c r="BA1318" s="39"/>
      <c r="BB1318" s="39"/>
      <c r="BC1318" s="39"/>
      <c r="BD1318" s="39"/>
      <c r="BE1318" s="39"/>
      <c r="BF1318" s="39">
        <f t="shared" si="764"/>
        <v>0</v>
      </c>
      <c r="BG1318" s="39"/>
      <c r="BH1318" s="39"/>
      <c r="BI1318" s="39"/>
      <c r="BJ1318" s="39"/>
      <c r="BK1318" s="39"/>
      <c r="BL1318" s="39">
        <f t="shared" si="831"/>
        <v>0</v>
      </c>
      <c r="BM1318" s="54" t="str">
        <f t="shared" si="765"/>
        <v/>
      </c>
      <c r="BN1318" s="58">
        <v>46266</v>
      </c>
      <c r="BO1318" s="57">
        <v>46277</v>
      </c>
      <c r="BP1318" s="36"/>
      <c r="BQ1318" s="36"/>
      <c r="BR1318" s="57">
        <v>46268</v>
      </c>
      <c r="BS1318" s="57">
        <v>46268</v>
      </c>
      <c r="BT1318" s="39">
        <v>742</v>
      </c>
      <c r="BU1318" s="39">
        <v>214</v>
      </c>
      <c r="BV1318" s="39"/>
      <c r="BW1318" s="39"/>
      <c r="BX1318" s="39"/>
      <c r="BY1318" s="39"/>
      <c r="BZ1318" s="39">
        <f t="shared" si="832"/>
        <v>214</v>
      </c>
      <c r="CA1318" s="39">
        <f t="shared" si="766"/>
        <v>3</v>
      </c>
      <c r="CB1318" s="39">
        <f t="shared" si="767"/>
        <v>0</v>
      </c>
      <c r="CC1318" s="39">
        <f t="shared" si="768"/>
        <v>0</v>
      </c>
      <c r="CD1318" s="39">
        <f t="shared" si="834"/>
        <v>0</v>
      </c>
      <c r="CE1318" s="102">
        <f t="shared" si="769"/>
        <v>0</v>
      </c>
      <c r="CF1318" s="36"/>
      <c r="CG1318" s="39" t="s">
        <v>232</v>
      </c>
      <c r="CH1318" s="39"/>
      <c r="CI1318" s="25">
        <v>1</v>
      </c>
    </row>
    <row r="1319" spans="1:87" ht="24.75" customHeight="1">
      <c r="A1319" s="36" t="s">
        <v>20</v>
      </c>
      <c r="B1319" s="29" t="s">
        <v>2510</v>
      </c>
      <c r="C1319" s="228"/>
      <c r="D1319" s="36"/>
      <c r="E1319" s="39">
        <v>220</v>
      </c>
      <c r="F1319" s="39" t="s">
        <v>55</v>
      </c>
      <c r="G1319" s="36" t="s">
        <v>2938</v>
      </c>
      <c r="H1319" s="36" t="s">
        <v>209</v>
      </c>
      <c r="I1319" s="39">
        <v>211</v>
      </c>
      <c r="J1319" s="39"/>
      <c r="K1319" s="39"/>
      <c r="L1319" s="39">
        <f t="shared" si="840"/>
        <v>211</v>
      </c>
      <c r="M1319" s="57">
        <v>46258</v>
      </c>
      <c r="N1319" s="57">
        <v>46265</v>
      </c>
      <c r="O1319" s="39"/>
      <c r="P1319" s="39"/>
      <c r="Q1319" s="39"/>
      <c r="R1319" s="39">
        <f t="shared" si="829"/>
        <v>0</v>
      </c>
      <c r="S1319" s="39" t="s">
        <v>130</v>
      </c>
      <c r="T1319" s="39">
        <v>109232</v>
      </c>
      <c r="U1319" s="117">
        <v>46273</v>
      </c>
      <c r="V1319" s="39"/>
      <c r="W1319" s="39"/>
      <c r="X1319" s="39"/>
      <c r="Y1319" s="39">
        <v>238</v>
      </c>
      <c r="Z1319" s="39"/>
      <c r="AA1319" s="39"/>
      <c r="AB1319" s="119">
        <f t="shared" si="815"/>
        <v>238</v>
      </c>
      <c r="AC1319" s="39"/>
      <c r="AD1319" s="39"/>
      <c r="AE1319" s="39"/>
      <c r="AF1319" s="39"/>
      <c r="AG1319" s="39"/>
      <c r="AH1319" s="39">
        <f t="shared" si="830"/>
        <v>0</v>
      </c>
      <c r="AI1319" s="39"/>
      <c r="AJ1319" s="39"/>
      <c r="AK1319" s="39"/>
      <c r="AL1319" s="39"/>
      <c r="AM1319" s="39"/>
      <c r="AN1319" s="39">
        <f t="shared" si="827"/>
        <v>0</v>
      </c>
      <c r="AO1319" s="39"/>
      <c r="AP1319" s="39"/>
      <c r="AQ1319" s="39"/>
      <c r="AR1319" s="39"/>
      <c r="AS1319" s="39"/>
      <c r="AT1319" s="39">
        <f t="shared" si="762"/>
        <v>0</v>
      </c>
      <c r="AU1319" s="39"/>
      <c r="AV1319" s="39"/>
      <c r="AW1319" s="39"/>
      <c r="AX1319" s="39"/>
      <c r="AY1319" s="39"/>
      <c r="AZ1319" s="39">
        <f t="shared" si="763"/>
        <v>0</v>
      </c>
      <c r="BA1319" s="39"/>
      <c r="BB1319" s="39"/>
      <c r="BC1319" s="39"/>
      <c r="BD1319" s="39"/>
      <c r="BE1319" s="39"/>
      <c r="BF1319" s="39">
        <f t="shared" si="764"/>
        <v>0</v>
      </c>
      <c r="BG1319" s="39"/>
      <c r="BH1319" s="39"/>
      <c r="BI1319" s="39"/>
      <c r="BJ1319" s="39"/>
      <c r="BK1319" s="39"/>
      <c r="BL1319" s="39">
        <f t="shared" si="831"/>
        <v>0</v>
      </c>
      <c r="BM1319" s="54" t="str">
        <f t="shared" si="765"/>
        <v/>
      </c>
      <c r="BN1319" s="58">
        <v>46266</v>
      </c>
      <c r="BO1319" s="57">
        <v>46277</v>
      </c>
      <c r="BP1319" s="36"/>
      <c r="BQ1319" s="36"/>
      <c r="BR1319" s="57">
        <v>46279</v>
      </c>
      <c r="BS1319" s="36"/>
      <c r="BT1319" s="39">
        <v>796</v>
      </c>
      <c r="BU1319" s="39">
        <f>190</f>
        <v>190</v>
      </c>
      <c r="BV1319" s="39"/>
      <c r="BW1319" s="39"/>
      <c r="BX1319" s="39"/>
      <c r="BY1319" s="39"/>
      <c r="BZ1319" s="39">
        <f t="shared" si="832"/>
        <v>190</v>
      </c>
      <c r="CA1319" s="39">
        <f t="shared" si="766"/>
        <v>-21</v>
      </c>
      <c r="CB1319" s="39">
        <f t="shared" si="767"/>
        <v>0</v>
      </c>
      <c r="CC1319" s="39">
        <f t="shared" si="768"/>
        <v>0</v>
      </c>
      <c r="CD1319" s="39">
        <f t="shared" si="834"/>
        <v>-21</v>
      </c>
      <c r="CE1319" s="102">
        <f t="shared" si="769"/>
        <v>-9.9526066350710901E-2</v>
      </c>
      <c r="CF1319" s="36"/>
      <c r="CG1319" s="39" t="s">
        <v>232</v>
      </c>
      <c r="CH1319" s="39" t="s">
        <v>764</v>
      </c>
      <c r="CI1319" s="25">
        <v>1</v>
      </c>
    </row>
    <row r="1320" spans="1:87" ht="24.75" customHeight="1">
      <c r="A1320" s="36" t="s">
        <v>20</v>
      </c>
      <c r="B1320" s="29" t="s">
        <v>2512</v>
      </c>
      <c r="C1320" s="227" t="s">
        <v>2513</v>
      </c>
      <c r="D1320" s="36"/>
      <c r="E1320" s="39">
        <v>200</v>
      </c>
      <c r="F1320" s="39" t="s">
        <v>60</v>
      </c>
      <c r="G1320" s="36" t="s">
        <v>23</v>
      </c>
      <c r="H1320" s="36" t="s">
        <v>91</v>
      </c>
      <c r="I1320" s="39">
        <v>195</v>
      </c>
      <c r="J1320" s="39"/>
      <c r="K1320" s="39"/>
      <c r="L1320" s="39">
        <f t="shared" si="840"/>
        <v>195</v>
      </c>
      <c r="M1320" s="57">
        <v>46258</v>
      </c>
      <c r="N1320" s="57">
        <v>46265</v>
      </c>
      <c r="O1320" s="39"/>
      <c r="P1320" s="39"/>
      <c r="Q1320" s="39"/>
      <c r="R1320" s="39">
        <f t="shared" ref="R1320:R1321" si="841">SUM(O1320:Q1320)</f>
        <v>0</v>
      </c>
      <c r="S1320" s="39" t="s">
        <v>28</v>
      </c>
      <c r="T1320" s="39"/>
      <c r="U1320" s="39"/>
      <c r="V1320" s="117">
        <v>46263</v>
      </c>
      <c r="W1320" s="39">
        <f>112+110</f>
        <v>222</v>
      </c>
      <c r="X1320" s="117">
        <v>46281</v>
      </c>
      <c r="Y1320" s="39">
        <v>209</v>
      </c>
      <c r="Z1320" s="39"/>
      <c r="AA1320" s="39"/>
      <c r="AB1320" s="119">
        <f t="shared" si="815"/>
        <v>209</v>
      </c>
      <c r="AC1320" s="39"/>
      <c r="AD1320" s="39"/>
      <c r="AE1320" s="39"/>
      <c r="AF1320" s="39"/>
      <c r="AG1320" s="39"/>
      <c r="AH1320" s="39">
        <f t="shared" si="830"/>
        <v>0</v>
      </c>
      <c r="AI1320" s="39"/>
      <c r="AJ1320" s="39"/>
      <c r="AK1320" s="39"/>
      <c r="AL1320" s="39"/>
      <c r="AM1320" s="39"/>
      <c r="AN1320" s="39">
        <f t="shared" si="827"/>
        <v>0</v>
      </c>
      <c r="AO1320" s="39"/>
      <c r="AP1320" s="39"/>
      <c r="AQ1320" s="39"/>
      <c r="AR1320" s="39"/>
      <c r="AS1320" s="39"/>
      <c r="AT1320" s="39">
        <f t="shared" si="762"/>
        <v>0</v>
      </c>
      <c r="AU1320" s="39"/>
      <c r="AV1320" s="39"/>
      <c r="AW1320" s="39"/>
      <c r="AX1320" s="39"/>
      <c r="AY1320" s="39"/>
      <c r="AZ1320" s="39">
        <f t="shared" si="763"/>
        <v>0</v>
      </c>
      <c r="BA1320" s="39"/>
      <c r="BB1320" s="39"/>
      <c r="BC1320" s="39"/>
      <c r="BD1320" s="39"/>
      <c r="BE1320" s="39"/>
      <c r="BF1320" s="39">
        <f t="shared" si="764"/>
        <v>0</v>
      </c>
      <c r="BG1320" s="39"/>
      <c r="BH1320" s="39"/>
      <c r="BI1320" s="39"/>
      <c r="BJ1320" s="39"/>
      <c r="BK1320" s="39"/>
      <c r="BL1320" s="39">
        <f t="shared" si="831"/>
        <v>0</v>
      </c>
      <c r="BM1320" s="54" t="str">
        <f t="shared" si="765"/>
        <v/>
      </c>
      <c r="BN1320" s="58">
        <v>46266</v>
      </c>
      <c r="BO1320" s="57">
        <v>46277</v>
      </c>
      <c r="BP1320" s="36"/>
      <c r="BQ1320" s="36"/>
      <c r="BR1320" s="57">
        <v>46282</v>
      </c>
      <c r="BS1320" s="57">
        <v>46282</v>
      </c>
      <c r="BT1320" s="39">
        <v>975</v>
      </c>
      <c r="BU1320" s="39">
        <v>209</v>
      </c>
      <c r="BV1320" s="39"/>
      <c r="BW1320" s="39"/>
      <c r="BX1320" s="39"/>
      <c r="BY1320" s="39"/>
      <c r="BZ1320" s="39">
        <f t="shared" si="832"/>
        <v>209</v>
      </c>
      <c r="CA1320" s="39">
        <f t="shared" si="766"/>
        <v>14</v>
      </c>
      <c r="CB1320" s="39">
        <f t="shared" si="767"/>
        <v>0</v>
      </c>
      <c r="CC1320" s="39">
        <f t="shared" si="768"/>
        <v>0</v>
      </c>
      <c r="CD1320" s="39">
        <f t="shared" si="834"/>
        <v>0</v>
      </c>
      <c r="CE1320" s="102">
        <f t="shared" si="769"/>
        <v>0</v>
      </c>
      <c r="CF1320" s="36"/>
      <c r="CG1320" s="39" t="s">
        <v>232</v>
      </c>
      <c r="CH1320" s="39"/>
      <c r="CI1320" s="25">
        <v>1</v>
      </c>
    </row>
    <row r="1321" spans="1:87" ht="24.75" customHeight="1">
      <c r="A1321" s="36" t="s">
        <v>20</v>
      </c>
      <c r="B1321" s="29" t="s">
        <v>2512</v>
      </c>
      <c r="C1321" s="228"/>
      <c r="D1321" s="36"/>
      <c r="E1321" s="39">
        <v>200</v>
      </c>
      <c r="F1321" s="39" t="s">
        <v>60</v>
      </c>
      <c r="G1321" s="36" t="s">
        <v>2938</v>
      </c>
      <c r="H1321" s="36" t="s">
        <v>91</v>
      </c>
      <c r="I1321" s="39">
        <v>195</v>
      </c>
      <c r="J1321" s="39"/>
      <c r="K1321" s="39"/>
      <c r="L1321" s="39">
        <f t="shared" si="840"/>
        <v>195</v>
      </c>
      <c r="M1321" s="57">
        <v>46258</v>
      </c>
      <c r="N1321" s="57">
        <v>46265</v>
      </c>
      <c r="O1321" s="39"/>
      <c r="P1321" s="39"/>
      <c r="Q1321" s="39"/>
      <c r="R1321" s="39">
        <f t="shared" si="841"/>
        <v>0</v>
      </c>
      <c r="S1321" s="39" t="s">
        <v>28</v>
      </c>
      <c r="T1321" s="39"/>
      <c r="U1321" s="39"/>
      <c r="V1321" s="117">
        <v>46261</v>
      </c>
      <c r="W1321" s="39">
        <v>238</v>
      </c>
      <c r="X1321" s="117">
        <v>46270</v>
      </c>
      <c r="Y1321" s="39">
        <v>214</v>
      </c>
      <c r="Z1321" s="39"/>
      <c r="AA1321" s="39"/>
      <c r="AB1321" s="119">
        <f t="shared" si="815"/>
        <v>214</v>
      </c>
      <c r="AC1321" s="39"/>
      <c r="AD1321" s="39"/>
      <c r="AE1321" s="39"/>
      <c r="AF1321" s="39"/>
      <c r="AG1321" s="39"/>
      <c r="AH1321" s="39">
        <f t="shared" si="830"/>
        <v>0</v>
      </c>
      <c r="AI1321" s="39"/>
      <c r="AJ1321" s="39"/>
      <c r="AK1321" s="39"/>
      <c r="AL1321" s="39"/>
      <c r="AM1321" s="39"/>
      <c r="AN1321" s="39">
        <f t="shared" si="827"/>
        <v>0</v>
      </c>
      <c r="AO1321" s="39"/>
      <c r="AP1321" s="39"/>
      <c r="AQ1321" s="39"/>
      <c r="AR1321" s="39"/>
      <c r="AS1321" s="39"/>
      <c r="AT1321" s="39">
        <f t="shared" si="762"/>
        <v>0</v>
      </c>
      <c r="AU1321" s="39"/>
      <c r="AV1321" s="39"/>
      <c r="AW1321" s="39"/>
      <c r="AX1321" s="39"/>
      <c r="AY1321" s="39"/>
      <c r="AZ1321" s="39">
        <f t="shared" si="763"/>
        <v>0</v>
      </c>
      <c r="BA1321" s="39"/>
      <c r="BB1321" s="39"/>
      <c r="BC1321" s="39"/>
      <c r="BD1321" s="39"/>
      <c r="BE1321" s="39"/>
      <c r="BF1321" s="39">
        <f t="shared" si="764"/>
        <v>0</v>
      </c>
      <c r="BG1321" s="39"/>
      <c r="BH1321" s="39"/>
      <c r="BI1321" s="39"/>
      <c r="BJ1321" s="39"/>
      <c r="BK1321" s="39"/>
      <c r="BL1321" s="39">
        <f t="shared" si="831"/>
        <v>0</v>
      </c>
      <c r="BM1321" s="54" t="str">
        <f t="shared" si="765"/>
        <v/>
      </c>
      <c r="BN1321" s="58">
        <v>46266</v>
      </c>
      <c r="BO1321" s="57">
        <v>46277</v>
      </c>
      <c r="BP1321" s="36"/>
      <c r="BQ1321" s="36"/>
      <c r="BR1321" s="57">
        <v>46272</v>
      </c>
      <c r="BS1321" s="57">
        <v>46272</v>
      </c>
      <c r="BT1321" s="39">
        <v>598</v>
      </c>
      <c r="BU1321" s="39">
        <v>214</v>
      </c>
      <c r="BV1321" s="39"/>
      <c r="BW1321" s="39"/>
      <c r="BX1321" s="39"/>
      <c r="BY1321" s="39"/>
      <c r="BZ1321" s="39">
        <f t="shared" si="832"/>
        <v>214</v>
      </c>
      <c r="CA1321" s="39">
        <f t="shared" si="766"/>
        <v>19</v>
      </c>
      <c r="CB1321" s="39">
        <f t="shared" si="767"/>
        <v>0</v>
      </c>
      <c r="CC1321" s="39">
        <f t="shared" si="768"/>
        <v>0</v>
      </c>
      <c r="CD1321" s="39">
        <f t="shared" si="834"/>
        <v>0</v>
      </c>
      <c r="CE1321" s="102">
        <f t="shared" si="769"/>
        <v>0</v>
      </c>
      <c r="CF1321" s="36"/>
      <c r="CG1321" s="39" t="s">
        <v>232</v>
      </c>
      <c r="CH1321" s="39"/>
      <c r="CI1321" s="25">
        <v>1</v>
      </c>
    </row>
    <row r="1322" spans="1:87" ht="24.75" customHeight="1">
      <c r="A1322" s="36" t="s">
        <v>20</v>
      </c>
      <c r="B1322" s="29">
        <v>48704</v>
      </c>
      <c r="C1322" s="227" t="s">
        <v>2514</v>
      </c>
      <c r="D1322" s="36"/>
      <c r="E1322" s="39">
        <v>235</v>
      </c>
      <c r="F1322" s="39" t="s">
        <v>68</v>
      </c>
      <c r="G1322" s="36" t="s">
        <v>23</v>
      </c>
      <c r="H1322" s="36" t="s">
        <v>89</v>
      </c>
      <c r="I1322" s="39">
        <v>95</v>
      </c>
      <c r="J1322" s="39"/>
      <c r="K1322" s="39"/>
      <c r="L1322" s="39">
        <f t="shared" si="840"/>
        <v>95</v>
      </c>
      <c r="M1322" s="57">
        <v>46263</v>
      </c>
      <c r="N1322" s="57">
        <v>46269</v>
      </c>
      <c r="O1322" s="39"/>
      <c r="P1322" s="39"/>
      <c r="Q1322" s="39"/>
      <c r="R1322" s="39">
        <f t="shared" ref="R1322:R1329" si="842">SUM(O1322:Q1322)</f>
        <v>0</v>
      </c>
      <c r="S1322" s="39" t="s">
        <v>130</v>
      </c>
      <c r="T1322" s="39">
        <v>109447</v>
      </c>
      <c r="U1322" s="117">
        <v>46280</v>
      </c>
      <c r="V1322" s="39"/>
      <c r="W1322" s="39"/>
      <c r="X1322" s="39"/>
      <c r="Y1322" s="39">
        <v>114</v>
      </c>
      <c r="Z1322" s="39"/>
      <c r="AA1322" s="39"/>
      <c r="AB1322" s="119">
        <f t="shared" si="815"/>
        <v>114</v>
      </c>
      <c r="AC1322" s="39"/>
      <c r="AD1322" s="39"/>
      <c r="AE1322" s="39"/>
      <c r="AF1322" s="39"/>
      <c r="AG1322" s="39"/>
      <c r="AH1322" s="39">
        <f t="shared" si="830"/>
        <v>0</v>
      </c>
      <c r="AI1322" s="39"/>
      <c r="AJ1322" s="39"/>
      <c r="AK1322" s="39"/>
      <c r="AL1322" s="39"/>
      <c r="AM1322" s="39"/>
      <c r="AN1322" s="39">
        <f t="shared" si="827"/>
        <v>0</v>
      </c>
      <c r="AO1322" s="39"/>
      <c r="AP1322" s="39"/>
      <c r="AQ1322" s="39"/>
      <c r="AR1322" s="39"/>
      <c r="AS1322" s="39"/>
      <c r="AT1322" s="39">
        <f t="shared" si="762"/>
        <v>0</v>
      </c>
      <c r="AU1322" s="39"/>
      <c r="AV1322" s="39"/>
      <c r="AW1322" s="39"/>
      <c r="AX1322" s="39"/>
      <c r="AY1322" s="39"/>
      <c r="AZ1322" s="39">
        <f t="shared" si="763"/>
        <v>0</v>
      </c>
      <c r="BA1322" s="39"/>
      <c r="BB1322" s="39"/>
      <c r="BC1322" s="39"/>
      <c r="BD1322" s="39"/>
      <c r="BE1322" s="39"/>
      <c r="BF1322" s="39">
        <f t="shared" si="764"/>
        <v>0</v>
      </c>
      <c r="BG1322" s="39"/>
      <c r="BH1322" s="39"/>
      <c r="BI1322" s="39"/>
      <c r="BJ1322" s="39"/>
      <c r="BK1322" s="39"/>
      <c r="BL1322" s="39">
        <f t="shared" si="831"/>
        <v>0</v>
      </c>
      <c r="BM1322" s="54" t="str">
        <f t="shared" si="765"/>
        <v/>
      </c>
      <c r="BN1322" s="58">
        <v>46269</v>
      </c>
      <c r="BO1322" s="57">
        <v>46275</v>
      </c>
      <c r="BP1322" s="36"/>
      <c r="BQ1322" s="36"/>
      <c r="BR1322" s="57">
        <v>46282</v>
      </c>
      <c r="BS1322" s="57">
        <v>46282</v>
      </c>
      <c r="BT1322" s="39">
        <v>910</v>
      </c>
      <c r="BU1322" s="39">
        <v>107</v>
      </c>
      <c r="BV1322" s="39"/>
      <c r="BW1322" s="39"/>
      <c r="BX1322" s="39"/>
      <c r="BY1322" s="39"/>
      <c r="BZ1322" s="39">
        <f t="shared" si="832"/>
        <v>107</v>
      </c>
      <c r="CA1322" s="39">
        <f t="shared" si="766"/>
        <v>12</v>
      </c>
      <c r="CB1322" s="39">
        <f t="shared" si="767"/>
        <v>0</v>
      </c>
      <c r="CC1322" s="39">
        <f t="shared" si="768"/>
        <v>0</v>
      </c>
      <c r="CD1322" s="39">
        <f t="shared" si="834"/>
        <v>0</v>
      </c>
      <c r="CE1322" s="102">
        <f t="shared" si="769"/>
        <v>0</v>
      </c>
      <c r="CF1322" s="36"/>
      <c r="CG1322" s="39" t="s">
        <v>233</v>
      </c>
      <c r="CH1322" s="39"/>
      <c r="CI1322" s="25">
        <v>1</v>
      </c>
    </row>
    <row r="1323" spans="1:87" ht="24.75" customHeight="1">
      <c r="A1323" s="36" t="s">
        <v>20</v>
      </c>
      <c r="B1323" s="29">
        <v>48704</v>
      </c>
      <c r="C1323" s="228"/>
      <c r="D1323" s="36"/>
      <c r="E1323" s="39"/>
      <c r="F1323" s="39"/>
      <c r="G1323" s="36" t="s">
        <v>587</v>
      </c>
      <c r="H1323" s="36">
        <f>555+555</f>
        <v>1110</v>
      </c>
      <c r="I1323" s="39" t="s">
        <v>199</v>
      </c>
      <c r="J1323" s="39"/>
      <c r="K1323" s="39"/>
      <c r="L1323" s="39">
        <f t="shared" si="840"/>
        <v>0</v>
      </c>
      <c r="M1323" s="57">
        <v>46263</v>
      </c>
      <c r="N1323" s="57">
        <v>46269</v>
      </c>
      <c r="O1323" s="39"/>
      <c r="P1323" s="39"/>
      <c r="Q1323" s="39"/>
      <c r="R1323" s="39">
        <f t="shared" si="842"/>
        <v>0</v>
      </c>
      <c r="S1323" s="39" t="s">
        <v>130</v>
      </c>
      <c r="T1323" s="39"/>
      <c r="U1323" s="39"/>
      <c r="V1323" s="39"/>
      <c r="W1323" s="39"/>
      <c r="X1323" s="39"/>
      <c r="Y1323" s="39"/>
      <c r="Z1323" s="39"/>
      <c r="AA1323" s="39"/>
      <c r="AB1323" s="39">
        <f t="shared" ref="AB1323:AB1329" si="843">SUM(Y1323:AA1323)</f>
        <v>0</v>
      </c>
      <c r="AC1323" s="39"/>
      <c r="AD1323" s="39"/>
      <c r="AE1323" s="39"/>
      <c r="AF1323" s="39"/>
      <c r="AG1323" s="39"/>
      <c r="AH1323" s="39">
        <f t="shared" si="830"/>
        <v>0</v>
      </c>
      <c r="AI1323" s="39"/>
      <c r="AJ1323" s="39"/>
      <c r="AK1323" s="39"/>
      <c r="AL1323" s="39"/>
      <c r="AM1323" s="39"/>
      <c r="AN1323" s="39">
        <f t="shared" si="827"/>
        <v>0</v>
      </c>
      <c r="AO1323" s="39"/>
      <c r="AP1323" s="39"/>
      <c r="AQ1323" s="39"/>
      <c r="AR1323" s="39"/>
      <c r="AS1323" s="39"/>
      <c r="AT1323" s="39">
        <f t="shared" si="762"/>
        <v>0</v>
      </c>
      <c r="AU1323" s="39"/>
      <c r="AV1323" s="39"/>
      <c r="AW1323" s="39"/>
      <c r="AX1323" s="39"/>
      <c r="AY1323" s="39"/>
      <c r="AZ1323" s="39">
        <f t="shared" si="763"/>
        <v>0</v>
      </c>
      <c r="BA1323" s="39"/>
      <c r="BB1323" s="39"/>
      <c r="BC1323" s="39"/>
      <c r="BD1323" s="39"/>
      <c r="BE1323" s="39"/>
      <c r="BF1323" s="39">
        <f t="shared" si="764"/>
        <v>0</v>
      </c>
      <c r="BG1323" s="39"/>
      <c r="BH1323" s="39"/>
      <c r="BI1323" s="39"/>
      <c r="BJ1323" s="39"/>
      <c r="BK1323" s="39"/>
      <c r="BL1323" s="39">
        <f t="shared" si="831"/>
        <v>0</v>
      </c>
      <c r="BM1323" s="54" t="e">
        <f t="shared" si="765"/>
        <v>#DIV/0!</v>
      </c>
      <c r="BN1323" s="58">
        <v>46269</v>
      </c>
      <c r="BO1323" s="57">
        <v>46275</v>
      </c>
      <c r="BP1323" s="36"/>
      <c r="BQ1323" s="36"/>
      <c r="BR1323" s="36"/>
      <c r="BS1323" s="36"/>
      <c r="BT1323" s="39"/>
      <c r="BU1323" s="39"/>
      <c r="BV1323" s="39"/>
      <c r="BW1323" s="39"/>
      <c r="BX1323" s="39"/>
      <c r="BY1323" s="39"/>
      <c r="BZ1323" s="39">
        <f t="shared" si="832"/>
        <v>0</v>
      </c>
      <c r="CA1323" s="39" t="e">
        <f t="shared" si="766"/>
        <v>#VALUE!</v>
      </c>
      <c r="CB1323" s="39">
        <f t="shared" si="767"/>
        <v>0</v>
      </c>
      <c r="CC1323" s="39">
        <f t="shared" si="768"/>
        <v>0</v>
      </c>
      <c r="CD1323" s="39">
        <f t="shared" si="834"/>
        <v>0</v>
      </c>
      <c r="CE1323" s="102" t="e">
        <f t="shared" si="769"/>
        <v>#DIV/0!</v>
      </c>
      <c r="CF1323" s="36"/>
      <c r="CG1323" s="39" t="s">
        <v>233</v>
      </c>
      <c r="CH1323" s="39"/>
      <c r="CI1323" s="25">
        <v>1</v>
      </c>
    </row>
    <row r="1324" spans="1:87" ht="24.75" customHeight="1">
      <c r="A1324" s="36" t="s">
        <v>20</v>
      </c>
      <c r="B1324" s="29" t="s">
        <v>2609</v>
      </c>
      <c r="C1324" s="227" t="s">
        <v>2610</v>
      </c>
      <c r="D1324" s="36"/>
      <c r="E1324" s="39">
        <v>180</v>
      </c>
      <c r="F1324" s="39" t="s">
        <v>58</v>
      </c>
      <c r="G1324" s="36" t="s">
        <v>23</v>
      </c>
      <c r="H1324" s="36" t="s">
        <v>87</v>
      </c>
      <c r="I1324" s="39">
        <v>310</v>
      </c>
      <c r="J1324" s="39"/>
      <c r="K1324" s="39"/>
      <c r="L1324" s="39">
        <f t="shared" ref="L1324:L1329" si="844">SUM(I1324:K1324)</f>
        <v>310</v>
      </c>
      <c r="M1324" s="57">
        <v>46261</v>
      </c>
      <c r="N1324" s="57">
        <v>46267</v>
      </c>
      <c r="O1324" s="39"/>
      <c r="P1324" s="39"/>
      <c r="Q1324" s="39"/>
      <c r="R1324" s="39">
        <f t="shared" si="842"/>
        <v>0</v>
      </c>
      <c r="S1324" s="39" t="s">
        <v>28</v>
      </c>
      <c r="T1324" s="39"/>
      <c r="U1324" s="39"/>
      <c r="V1324" s="117">
        <v>46263</v>
      </c>
      <c r="W1324" s="39">
        <v>346</v>
      </c>
      <c r="X1324" s="117">
        <v>46272</v>
      </c>
      <c r="Y1324" s="39">
        <v>320</v>
      </c>
      <c r="Z1324" s="39"/>
      <c r="AA1324" s="39"/>
      <c r="AB1324" s="119">
        <f t="shared" si="843"/>
        <v>320</v>
      </c>
      <c r="AC1324" s="39"/>
      <c r="AD1324" s="39"/>
      <c r="AE1324" s="39"/>
      <c r="AF1324" s="39"/>
      <c r="AG1324" s="39"/>
      <c r="AH1324" s="39">
        <f t="shared" si="830"/>
        <v>0</v>
      </c>
      <c r="AI1324" s="39"/>
      <c r="AJ1324" s="39"/>
      <c r="AK1324" s="39"/>
      <c r="AL1324" s="39"/>
      <c r="AM1324" s="39"/>
      <c r="AN1324" s="39">
        <f t="shared" si="827"/>
        <v>0</v>
      </c>
      <c r="AO1324" s="39"/>
      <c r="AP1324" s="39"/>
      <c r="AQ1324" s="39"/>
      <c r="AR1324" s="39"/>
      <c r="AS1324" s="39"/>
      <c r="AT1324" s="39">
        <f t="shared" si="762"/>
        <v>0</v>
      </c>
      <c r="AU1324" s="39"/>
      <c r="AV1324" s="39"/>
      <c r="AW1324" s="39"/>
      <c r="AX1324" s="39"/>
      <c r="AY1324" s="39"/>
      <c r="AZ1324" s="39">
        <f t="shared" si="763"/>
        <v>0</v>
      </c>
      <c r="BA1324" s="39"/>
      <c r="BB1324" s="39"/>
      <c r="BC1324" s="39"/>
      <c r="BD1324" s="39"/>
      <c r="BE1324" s="39"/>
      <c r="BF1324" s="39">
        <f t="shared" si="764"/>
        <v>0</v>
      </c>
      <c r="BG1324" s="39"/>
      <c r="BH1324" s="39"/>
      <c r="BI1324" s="39"/>
      <c r="BJ1324" s="39"/>
      <c r="BK1324" s="39"/>
      <c r="BL1324" s="39">
        <f t="shared" si="831"/>
        <v>0</v>
      </c>
      <c r="BM1324" s="54" t="str">
        <f t="shared" si="765"/>
        <v/>
      </c>
      <c r="BN1324" s="58">
        <v>46267</v>
      </c>
      <c r="BO1324" s="57">
        <v>46276</v>
      </c>
      <c r="BP1324" s="36"/>
      <c r="BQ1324" s="36"/>
      <c r="BR1324" s="57">
        <v>46272</v>
      </c>
      <c r="BS1324" s="57">
        <v>46272</v>
      </c>
      <c r="BT1324" s="39">
        <v>961</v>
      </c>
      <c r="BU1324" s="39">
        <v>320</v>
      </c>
      <c r="BV1324" s="39"/>
      <c r="BW1324" s="39"/>
      <c r="BX1324" s="39"/>
      <c r="BY1324" s="39"/>
      <c r="BZ1324" s="39">
        <f t="shared" si="832"/>
        <v>320</v>
      </c>
      <c r="CA1324" s="39">
        <f t="shared" si="766"/>
        <v>10</v>
      </c>
      <c r="CB1324" s="39">
        <f t="shared" si="767"/>
        <v>0</v>
      </c>
      <c r="CC1324" s="39">
        <f t="shared" si="768"/>
        <v>0</v>
      </c>
      <c r="CD1324" s="39">
        <f t="shared" si="834"/>
        <v>0</v>
      </c>
      <c r="CE1324" s="102">
        <f t="shared" si="769"/>
        <v>0</v>
      </c>
      <c r="CF1324" s="36"/>
      <c r="CG1324" s="39" t="s">
        <v>233</v>
      </c>
      <c r="CH1324" s="39"/>
      <c r="CI1324" s="25">
        <v>1</v>
      </c>
    </row>
    <row r="1325" spans="1:87" ht="24.75" customHeight="1">
      <c r="A1325" s="36" t="s">
        <v>20</v>
      </c>
      <c r="B1325" s="29" t="s">
        <v>2609</v>
      </c>
      <c r="C1325" s="231"/>
      <c r="D1325" s="36"/>
      <c r="E1325" s="39">
        <v>180</v>
      </c>
      <c r="F1325" s="39" t="s">
        <v>58</v>
      </c>
      <c r="G1325" s="36" t="s">
        <v>35</v>
      </c>
      <c r="H1325" s="36" t="s">
        <v>87</v>
      </c>
      <c r="I1325" s="39">
        <v>310</v>
      </c>
      <c r="J1325" s="39"/>
      <c r="K1325" s="39"/>
      <c r="L1325" s="39">
        <f t="shared" si="844"/>
        <v>310</v>
      </c>
      <c r="M1325" s="57">
        <v>46261</v>
      </c>
      <c r="N1325" s="57">
        <v>46267</v>
      </c>
      <c r="O1325" s="39"/>
      <c r="P1325" s="39"/>
      <c r="Q1325" s="39"/>
      <c r="R1325" s="39">
        <f t="shared" si="842"/>
        <v>0</v>
      </c>
      <c r="S1325" s="39" t="s">
        <v>28</v>
      </c>
      <c r="T1325" s="39"/>
      <c r="U1325" s="39"/>
      <c r="V1325" s="117">
        <v>46273</v>
      </c>
      <c r="W1325" s="39">
        <v>356</v>
      </c>
      <c r="X1325" s="39"/>
      <c r="Y1325" s="39"/>
      <c r="Z1325" s="39"/>
      <c r="AA1325" s="39"/>
      <c r="AB1325" s="118">
        <f t="shared" si="843"/>
        <v>0</v>
      </c>
      <c r="AC1325" s="39"/>
      <c r="AD1325" s="39"/>
      <c r="AE1325" s="39"/>
      <c r="AF1325" s="39"/>
      <c r="AG1325" s="39"/>
      <c r="AH1325" s="39">
        <f t="shared" si="830"/>
        <v>0</v>
      </c>
      <c r="AI1325" s="39"/>
      <c r="AJ1325" s="39"/>
      <c r="AK1325" s="39"/>
      <c r="AL1325" s="39"/>
      <c r="AM1325" s="39"/>
      <c r="AN1325" s="39">
        <f t="shared" si="827"/>
        <v>0</v>
      </c>
      <c r="AO1325" s="39"/>
      <c r="AP1325" s="39"/>
      <c r="AQ1325" s="39"/>
      <c r="AR1325" s="39"/>
      <c r="AS1325" s="39"/>
      <c r="AT1325" s="39">
        <f t="shared" si="762"/>
        <v>0</v>
      </c>
      <c r="AU1325" s="39"/>
      <c r="AV1325" s="39"/>
      <c r="AW1325" s="39"/>
      <c r="AX1325" s="39"/>
      <c r="AY1325" s="39"/>
      <c r="AZ1325" s="39">
        <f t="shared" si="763"/>
        <v>0</v>
      </c>
      <c r="BA1325" s="39"/>
      <c r="BB1325" s="39"/>
      <c r="BC1325" s="39"/>
      <c r="BD1325" s="39"/>
      <c r="BE1325" s="39"/>
      <c r="BF1325" s="39">
        <f t="shared" si="764"/>
        <v>0</v>
      </c>
      <c r="BG1325" s="39"/>
      <c r="BH1325" s="39"/>
      <c r="BI1325" s="39"/>
      <c r="BJ1325" s="39"/>
      <c r="BK1325" s="39"/>
      <c r="BL1325" s="39">
        <f t="shared" si="831"/>
        <v>0</v>
      </c>
      <c r="BM1325" s="54">
        <f t="shared" ca="1" si="765"/>
        <v>46283</v>
      </c>
      <c r="BN1325" s="58">
        <v>46267</v>
      </c>
      <c r="BO1325" s="57">
        <v>46276</v>
      </c>
      <c r="BP1325" s="36"/>
      <c r="BQ1325" s="36"/>
      <c r="BR1325" s="36"/>
      <c r="BS1325" s="36"/>
      <c r="BT1325" s="39"/>
      <c r="BU1325" s="39"/>
      <c r="BV1325" s="39"/>
      <c r="BW1325" s="39"/>
      <c r="BX1325" s="39"/>
      <c r="BY1325" s="39"/>
      <c r="BZ1325" s="39">
        <f t="shared" si="832"/>
        <v>0</v>
      </c>
      <c r="CA1325" s="39">
        <f t="shared" si="766"/>
        <v>-310</v>
      </c>
      <c r="CB1325" s="39">
        <f t="shared" si="767"/>
        <v>0</v>
      </c>
      <c r="CC1325" s="39">
        <f t="shared" si="768"/>
        <v>0</v>
      </c>
      <c r="CD1325" s="39">
        <f t="shared" si="834"/>
        <v>-310</v>
      </c>
      <c r="CE1325" s="102">
        <f t="shared" si="769"/>
        <v>-1</v>
      </c>
      <c r="CF1325" s="36"/>
      <c r="CG1325" s="39" t="s">
        <v>233</v>
      </c>
      <c r="CH1325" s="39"/>
      <c r="CI1325" s="25">
        <v>1</v>
      </c>
    </row>
    <row r="1326" spans="1:87" ht="24.75" customHeight="1">
      <c r="A1326" s="36" t="s">
        <v>20</v>
      </c>
      <c r="B1326" s="29" t="s">
        <v>2609</v>
      </c>
      <c r="C1326" s="228"/>
      <c r="D1326" s="36"/>
      <c r="E1326" s="39">
        <v>180</v>
      </c>
      <c r="F1326" s="39" t="s">
        <v>58</v>
      </c>
      <c r="G1326" s="36" t="s">
        <v>351</v>
      </c>
      <c r="H1326" s="36" t="s">
        <v>87</v>
      </c>
      <c r="I1326" s="39">
        <v>310</v>
      </c>
      <c r="J1326" s="39"/>
      <c r="K1326" s="39"/>
      <c r="L1326" s="39">
        <f t="shared" si="844"/>
        <v>310</v>
      </c>
      <c r="M1326" s="57">
        <v>46261</v>
      </c>
      <c r="N1326" s="57">
        <v>46267</v>
      </c>
      <c r="O1326" s="39"/>
      <c r="P1326" s="39"/>
      <c r="Q1326" s="39"/>
      <c r="R1326" s="39">
        <f t="shared" si="842"/>
        <v>0</v>
      </c>
      <c r="S1326" s="39" t="s">
        <v>28</v>
      </c>
      <c r="T1326" s="39"/>
      <c r="U1326" s="39"/>
      <c r="V1326" s="117">
        <v>46273</v>
      </c>
      <c r="W1326" s="39">
        <v>357</v>
      </c>
      <c r="X1326" s="39"/>
      <c r="Y1326" s="39"/>
      <c r="Z1326" s="39"/>
      <c r="AA1326" s="39"/>
      <c r="AB1326" s="118">
        <f t="shared" si="843"/>
        <v>0</v>
      </c>
      <c r="AC1326" s="39"/>
      <c r="AD1326" s="39"/>
      <c r="AE1326" s="39"/>
      <c r="AF1326" s="39"/>
      <c r="AG1326" s="39"/>
      <c r="AH1326" s="39">
        <f t="shared" si="830"/>
        <v>0</v>
      </c>
      <c r="AI1326" s="39"/>
      <c r="AJ1326" s="39"/>
      <c r="AK1326" s="39"/>
      <c r="AL1326" s="39"/>
      <c r="AM1326" s="39"/>
      <c r="AN1326" s="39">
        <f t="shared" si="827"/>
        <v>0</v>
      </c>
      <c r="AO1326" s="39"/>
      <c r="AP1326" s="39"/>
      <c r="AQ1326" s="39"/>
      <c r="AR1326" s="39"/>
      <c r="AS1326" s="39"/>
      <c r="AT1326" s="39">
        <f t="shared" si="762"/>
        <v>0</v>
      </c>
      <c r="AU1326" s="39"/>
      <c r="AV1326" s="39"/>
      <c r="AW1326" s="39"/>
      <c r="AX1326" s="39"/>
      <c r="AY1326" s="39"/>
      <c r="AZ1326" s="39">
        <f t="shared" si="763"/>
        <v>0</v>
      </c>
      <c r="BA1326" s="39"/>
      <c r="BB1326" s="39"/>
      <c r="BC1326" s="39"/>
      <c r="BD1326" s="39"/>
      <c r="BE1326" s="39"/>
      <c r="BF1326" s="39">
        <f t="shared" si="764"/>
        <v>0</v>
      </c>
      <c r="BG1326" s="39"/>
      <c r="BH1326" s="39"/>
      <c r="BI1326" s="39"/>
      <c r="BJ1326" s="39"/>
      <c r="BK1326" s="39"/>
      <c r="BL1326" s="39">
        <f t="shared" si="831"/>
        <v>0</v>
      </c>
      <c r="BM1326" s="54">
        <f t="shared" ca="1" si="765"/>
        <v>46283</v>
      </c>
      <c r="BN1326" s="58">
        <v>46267</v>
      </c>
      <c r="BO1326" s="57">
        <v>46276</v>
      </c>
      <c r="BP1326" s="36"/>
      <c r="BQ1326" s="36"/>
      <c r="BR1326" s="36"/>
      <c r="BS1326" s="36"/>
      <c r="BT1326" s="39"/>
      <c r="BU1326" s="39"/>
      <c r="BV1326" s="39"/>
      <c r="BW1326" s="39"/>
      <c r="BX1326" s="39"/>
      <c r="BY1326" s="39"/>
      <c r="BZ1326" s="39">
        <f t="shared" si="832"/>
        <v>0</v>
      </c>
      <c r="CA1326" s="39">
        <f t="shared" si="766"/>
        <v>-310</v>
      </c>
      <c r="CB1326" s="39">
        <f t="shared" si="767"/>
        <v>0</v>
      </c>
      <c r="CC1326" s="39">
        <f t="shared" si="768"/>
        <v>0</v>
      </c>
      <c r="CD1326" s="39">
        <f t="shared" si="834"/>
        <v>-310</v>
      </c>
      <c r="CE1326" s="102">
        <f t="shared" si="769"/>
        <v>-1</v>
      </c>
      <c r="CF1326" s="36"/>
      <c r="CG1326" s="39" t="s">
        <v>233</v>
      </c>
      <c r="CH1326" s="39"/>
      <c r="CI1326" s="25">
        <v>1</v>
      </c>
    </row>
    <row r="1327" spans="1:87" ht="24.75" customHeight="1">
      <c r="A1327" s="36" t="s">
        <v>20</v>
      </c>
      <c r="B1327" s="29" t="s">
        <v>2611</v>
      </c>
      <c r="C1327" s="227" t="s">
        <v>2612</v>
      </c>
      <c r="D1327" s="36"/>
      <c r="E1327" s="39">
        <v>180</v>
      </c>
      <c r="F1327" s="39" t="s">
        <v>58</v>
      </c>
      <c r="G1327" s="36" t="s">
        <v>23</v>
      </c>
      <c r="H1327" s="36" t="s">
        <v>87</v>
      </c>
      <c r="I1327" s="39">
        <v>455</v>
      </c>
      <c r="J1327" s="39"/>
      <c r="K1327" s="39"/>
      <c r="L1327" s="39">
        <f t="shared" si="844"/>
        <v>455</v>
      </c>
      <c r="M1327" s="57">
        <v>46261</v>
      </c>
      <c r="N1327" s="57">
        <v>46267</v>
      </c>
      <c r="O1327" s="39"/>
      <c r="P1327" s="39"/>
      <c r="Q1327" s="39"/>
      <c r="R1327" s="39">
        <f t="shared" si="842"/>
        <v>0</v>
      </c>
      <c r="S1327" s="39" t="s">
        <v>28</v>
      </c>
      <c r="T1327" s="39"/>
      <c r="U1327" s="39"/>
      <c r="V1327" s="117">
        <v>46263</v>
      </c>
      <c r="W1327" s="39">
        <v>508</v>
      </c>
      <c r="X1327" s="117">
        <v>46272</v>
      </c>
      <c r="Y1327" s="39">
        <v>461</v>
      </c>
      <c r="Z1327" s="39"/>
      <c r="AA1327" s="39"/>
      <c r="AB1327" s="119">
        <f t="shared" si="843"/>
        <v>461</v>
      </c>
      <c r="AC1327" s="39"/>
      <c r="AD1327" s="39"/>
      <c r="AE1327" s="39"/>
      <c r="AF1327" s="39"/>
      <c r="AG1327" s="39"/>
      <c r="AH1327" s="39">
        <f t="shared" si="830"/>
        <v>0</v>
      </c>
      <c r="AI1327" s="39"/>
      <c r="AJ1327" s="39"/>
      <c r="AK1327" s="39"/>
      <c r="AL1327" s="39"/>
      <c r="AM1327" s="39"/>
      <c r="AN1327" s="39">
        <f t="shared" si="827"/>
        <v>0</v>
      </c>
      <c r="AO1327" s="39"/>
      <c r="AP1327" s="39"/>
      <c r="AQ1327" s="39"/>
      <c r="AR1327" s="39"/>
      <c r="AS1327" s="39"/>
      <c r="AT1327" s="39">
        <f t="shared" si="762"/>
        <v>0</v>
      </c>
      <c r="AU1327" s="39"/>
      <c r="AV1327" s="39"/>
      <c r="AW1327" s="39"/>
      <c r="AX1327" s="39"/>
      <c r="AY1327" s="39"/>
      <c r="AZ1327" s="39">
        <f t="shared" si="763"/>
        <v>0</v>
      </c>
      <c r="BA1327" s="39"/>
      <c r="BB1327" s="39"/>
      <c r="BC1327" s="39"/>
      <c r="BD1327" s="39"/>
      <c r="BE1327" s="39"/>
      <c r="BF1327" s="39">
        <f t="shared" si="764"/>
        <v>0</v>
      </c>
      <c r="BG1327" s="39"/>
      <c r="BH1327" s="39"/>
      <c r="BI1327" s="39"/>
      <c r="BJ1327" s="39"/>
      <c r="BK1327" s="39"/>
      <c r="BL1327" s="39">
        <f t="shared" si="831"/>
        <v>0</v>
      </c>
      <c r="BM1327" s="54" t="str">
        <f t="shared" si="765"/>
        <v/>
      </c>
      <c r="BN1327" s="58">
        <v>46267</v>
      </c>
      <c r="BO1327" s="57">
        <v>46276</v>
      </c>
      <c r="BP1327" s="36"/>
      <c r="BQ1327" s="36"/>
      <c r="BR1327" s="57">
        <v>46272</v>
      </c>
      <c r="BS1327" s="57">
        <v>46272</v>
      </c>
      <c r="BT1327" s="39">
        <v>961</v>
      </c>
      <c r="BU1327" s="39">
        <v>461</v>
      </c>
      <c r="BV1327" s="39"/>
      <c r="BW1327" s="39"/>
      <c r="BX1327" s="39"/>
      <c r="BY1327" s="39"/>
      <c r="BZ1327" s="39">
        <f t="shared" si="832"/>
        <v>461</v>
      </c>
      <c r="CA1327" s="39">
        <f t="shared" si="766"/>
        <v>6</v>
      </c>
      <c r="CB1327" s="39">
        <f t="shared" si="767"/>
        <v>0</v>
      </c>
      <c r="CC1327" s="39">
        <f t="shared" si="768"/>
        <v>0</v>
      </c>
      <c r="CD1327" s="39">
        <f t="shared" si="834"/>
        <v>0</v>
      </c>
      <c r="CE1327" s="102">
        <f t="shared" si="769"/>
        <v>0</v>
      </c>
      <c r="CF1327" s="36"/>
      <c r="CG1327" s="39" t="s">
        <v>233</v>
      </c>
      <c r="CH1327" s="39"/>
      <c r="CI1327" s="25">
        <v>1</v>
      </c>
    </row>
    <row r="1328" spans="1:87" ht="24.75" customHeight="1">
      <c r="A1328" s="36" t="s">
        <v>20</v>
      </c>
      <c r="B1328" s="29" t="s">
        <v>2611</v>
      </c>
      <c r="C1328" s="231"/>
      <c r="D1328" s="36"/>
      <c r="E1328" s="39">
        <v>180</v>
      </c>
      <c r="F1328" s="39" t="s">
        <v>58</v>
      </c>
      <c r="G1328" s="36" t="s">
        <v>35</v>
      </c>
      <c r="H1328" s="36" t="s">
        <v>87</v>
      </c>
      <c r="I1328" s="39">
        <v>230</v>
      </c>
      <c r="J1328" s="39"/>
      <c r="K1328" s="39"/>
      <c r="L1328" s="39">
        <f t="shared" si="844"/>
        <v>230</v>
      </c>
      <c r="M1328" s="57">
        <v>46261</v>
      </c>
      <c r="N1328" s="57">
        <v>46267</v>
      </c>
      <c r="O1328" s="39"/>
      <c r="P1328" s="39"/>
      <c r="Q1328" s="39"/>
      <c r="R1328" s="39">
        <f t="shared" si="842"/>
        <v>0</v>
      </c>
      <c r="S1328" s="39" t="s">
        <v>28</v>
      </c>
      <c r="T1328" s="39"/>
      <c r="U1328" s="39"/>
      <c r="V1328" s="117">
        <v>46273</v>
      </c>
      <c r="W1328" s="39">
        <v>265</v>
      </c>
      <c r="X1328" s="39"/>
      <c r="Y1328" s="39"/>
      <c r="Z1328" s="39"/>
      <c r="AA1328" s="39"/>
      <c r="AB1328" s="118">
        <f t="shared" si="843"/>
        <v>0</v>
      </c>
      <c r="AC1328" s="39"/>
      <c r="AD1328" s="39"/>
      <c r="AE1328" s="39"/>
      <c r="AF1328" s="39"/>
      <c r="AG1328" s="39"/>
      <c r="AH1328" s="39">
        <f t="shared" si="830"/>
        <v>0</v>
      </c>
      <c r="AI1328" s="39"/>
      <c r="AJ1328" s="39"/>
      <c r="AK1328" s="39"/>
      <c r="AL1328" s="39"/>
      <c r="AM1328" s="39"/>
      <c r="AN1328" s="39">
        <f t="shared" si="827"/>
        <v>0</v>
      </c>
      <c r="AO1328" s="39"/>
      <c r="AP1328" s="39"/>
      <c r="AQ1328" s="39"/>
      <c r="AR1328" s="39"/>
      <c r="AS1328" s="39"/>
      <c r="AT1328" s="39">
        <f t="shared" si="762"/>
        <v>0</v>
      </c>
      <c r="AU1328" s="39"/>
      <c r="AV1328" s="39"/>
      <c r="AW1328" s="39"/>
      <c r="AX1328" s="39"/>
      <c r="AY1328" s="39"/>
      <c r="AZ1328" s="39">
        <f t="shared" si="763"/>
        <v>0</v>
      </c>
      <c r="BA1328" s="39"/>
      <c r="BB1328" s="39"/>
      <c r="BC1328" s="39"/>
      <c r="BD1328" s="39"/>
      <c r="BE1328" s="39"/>
      <c r="BF1328" s="39">
        <f t="shared" si="764"/>
        <v>0</v>
      </c>
      <c r="BG1328" s="39"/>
      <c r="BH1328" s="39"/>
      <c r="BI1328" s="39"/>
      <c r="BJ1328" s="39"/>
      <c r="BK1328" s="39"/>
      <c r="BL1328" s="39">
        <f t="shared" si="831"/>
        <v>0</v>
      </c>
      <c r="BM1328" s="54">
        <f t="shared" ca="1" si="765"/>
        <v>46283</v>
      </c>
      <c r="BN1328" s="58">
        <v>46267</v>
      </c>
      <c r="BO1328" s="57">
        <v>46276</v>
      </c>
      <c r="BP1328" s="36"/>
      <c r="BQ1328" s="36"/>
      <c r="BR1328" s="36"/>
      <c r="BS1328" s="36"/>
      <c r="BT1328" s="39"/>
      <c r="BU1328" s="39"/>
      <c r="BV1328" s="39"/>
      <c r="BW1328" s="39"/>
      <c r="BX1328" s="39"/>
      <c r="BY1328" s="39"/>
      <c r="BZ1328" s="39">
        <f t="shared" si="832"/>
        <v>0</v>
      </c>
      <c r="CA1328" s="39">
        <f t="shared" si="766"/>
        <v>-230</v>
      </c>
      <c r="CB1328" s="39">
        <f t="shared" si="767"/>
        <v>0</v>
      </c>
      <c r="CC1328" s="39">
        <f t="shared" si="768"/>
        <v>0</v>
      </c>
      <c r="CD1328" s="39">
        <f t="shared" si="834"/>
        <v>-230</v>
      </c>
      <c r="CE1328" s="102">
        <f t="shared" si="769"/>
        <v>-1</v>
      </c>
      <c r="CF1328" s="36"/>
      <c r="CG1328" s="39" t="s">
        <v>233</v>
      </c>
      <c r="CH1328" s="39"/>
      <c r="CI1328" s="25">
        <v>1</v>
      </c>
    </row>
    <row r="1329" spans="1:88" ht="24.75" customHeight="1">
      <c r="A1329" s="36" t="s">
        <v>20</v>
      </c>
      <c r="B1329" s="29" t="s">
        <v>2611</v>
      </c>
      <c r="C1329" s="228"/>
      <c r="D1329" s="36"/>
      <c r="E1329" s="39">
        <v>180</v>
      </c>
      <c r="F1329" s="39" t="s">
        <v>58</v>
      </c>
      <c r="G1329" s="36" t="s">
        <v>422</v>
      </c>
      <c r="H1329" s="36" t="s">
        <v>87</v>
      </c>
      <c r="I1329" s="39">
        <v>230</v>
      </c>
      <c r="J1329" s="39"/>
      <c r="K1329" s="39"/>
      <c r="L1329" s="39">
        <f t="shared" si="844"/>
        <v>230</v>
      </c>
      <c r="M1329" s="57">
        <v>46261</v>
      </c>
      <c r="N1329" s="57">
        <v>46267</v>
      </c>
      <c r="O1329" s="39"/>
      <c r="P1329" s="39"/>
      <c r="Q1329" s="39"/>
      <c r="R1329" s="39">
        <f t="shared" si="842"/>
        <v>0</v>
      </c>
      <c r="S1329" s="39" t="s">
        <v>28</v>
      </c>
      <c r="T1329" s="39"/>
      <c r="U1329" s="39"/>
      <c r="V1329" s="117">
        <v>46273</v>
      </c>
      <c r="W1329" s="39">
        <v>265</v>
      </c>
      <c r="X1329" s="39"/>
      <c r="Y1329" s="39"/>
      <c r="Z1329" s="39"/>
      <c r="AA1329" s="39"/>
      <c r="AB1329" s="118">
        <f t="shared" si="843"/>
        <v>0</v>
      </c>
      <c r="AC1329" s="39"/>
      <c r="AD1329" s="39"/>
      <c r="AE1329" s="39"/>
      <c r="AF1329" s="39"/>
      <c r="AG1329" s="39"/>
      <c r="AH1329" s="39">
        <f t="shared" si="830"/>
        <v>0</v>
      </c>
      <c r="AI1329" s="39"/>
      <c r="AJ1329" s="39"/>
      <c r="AK1329" s="39"/>
      <c r="AL1329" s="39"/>
      <c r="AM1329" s="39"/>
      <c r="AN1329" s="39">
        <f t="shared" si="827"/>
        <v>0</v>
      </c>
      <c r="AO1329" s="39"/>
      <c r="AP1329" s="39"/>
      <c r="AQ1329" s="39"/>
      <c r="AR1329" s="39"/>
      <c r="AS1329" s="39"/>
      <c r="AT1329" s="39">
        <f t="shared" si="762"/>
        <v>0</v>
      </c>
      <c r="AU1329" s="39"/>
      <c r="AV1329" s="39"/>
      <c r="AW1329" s="39"/>
      <c r="AX1329" s="39"/>
      <c r="AY1329" s="39"/>
      <c r="AZ1329" s="39">
        <f t="shared" si="763"/>
        <v>0</v>
      </c>
      <c r="BA1329" s="39"/>
      <c r="BB1329" s="39"/>
      <c r="BC1329" s="39"/>
      <c r="BD1329" s="39"/>
      <c r="BE1329" s="39"/>
      <c r="BF1329" s="39">
        <f t="shared" si="764"/>
        <v>0</v>
      </c>
      <c r="BG1329" s="39"/>
      <c r="BH1329" s="39"/>
      <c r="BI1329" s="39"/>
      <c r="BJ1329" s="39"/>
      <c r="BK1329" s="39"/>
      <c r="BL1329" s="39">
        <f t="shared" si="831"/>
        <v>0</v>
      </c>
      <c r="BM1329" s="54">
        <f t="shared" ca="1" si="765"/>
        <v>46283</v>
      </c>
      <c r="BN1329" s="58">
        <v>46267</v>
      </c>
      <c r="BO1329" s="57">
        <v>46276</v>
      </c>
      <c r="BP1329" s="36"/>
      <c r="BQ1329" s="36"/>
      <c r="BR1329" s="36"/>
      <c r="BS1329" s="36"/>
      <c r="BT1329" s="39"/>
      <c r="BU1329" s="39"/>
      <c r="BV1329" s="39"/>
      <c r="BW1329" s="39"/>
      <c r="BX1329" s="39"/>
      <c r="BY1329" s="39"/>
      <c r="BZ1329" s="39">
        <f t="shared" si="832"/>
        <v>0</v>
      </c>
      <c r="CA1329" s="39">
        <f t="shared" si="766"/>
        <v>-230</v>
      </c>
      <c r="CB1329" s="39">
        <f t="shared" si="767"/>
        <v>0</v>
      </c>
      <c r="CC1329" s="39">
        <f t="shared" si="768"/>
        <v>0</v>
      </c>
      <c r="CD1329" s="39">
        <f t="shared" si="834"/>
        <v>-230</v>
      </c>
      <c r="CE1329" s="102">
        <f t="shared" si="769"/>
        <v>-1</v>
      </c>
      <c r="CF1329" s="36"/>
      <c r="CG1329" s="39" t="s">
        <v>233</v>
      </c>
      <c r="CH1329" s="39"/>
      <c r="CI1329" s="25">
        <v>1</v>
      </c>
    </row>
    <row r="1330" spans="1:88" ht="24.75" customHeight="1">
      <c r="A1330" s="36" t="s">
        <v>20</v>
      </c>
      <c r="B1330" s="29"/>
      <c r="C1330" s="36"/>
      <c r="D1330" s="36"/>
      <c r="E1330" s="39"/>
      <c r="F1330" s="39"/>
      <c r="G1330" s="36"/>
      <c r="H1330" s="39"/>
      <c r="I1330" s="39"/>
      <c r="J1330" s="39"/>
      <c r="K1330" s="39"/>
      <c r="L1330" s="39">
        <f t="shared" si="751"/>
        <v>0</v>
      </c>
      <c r="M1330" s="36"/>
      <c r="N1330" s="36"/>
      <c r="O1330" s="39"/>
      <c r="P1330" s="39"/>
      <c r="Q1330" s="39"/>
      <c r="R1330" s="39">
        <f t="shared" si="752"/>
        <v>0</v>
      </c>
      <c r="S1330" s="39"/>
      <c r="T1330" s="39"/>
      <c r="U1330" s="39"/>
      <c r="V1330" s="39"/>
      <c r="W1330" s="39"/>
      <c r="X1330" s="39"/>
      <c r="Y1330" s="39"/>
      <c r="Z1330" s="39"/>
      <c r="AA1330" s="39"/>
      <c r="AB1330" s="39">
        <f t="shared" si="753"/>
        <v>0</v>
      </c>
      <c r="AC1330" s="39"/>
      <c r="AD1330" s="39"/>
      <c r="AE1330" s="39"/>
      <c r="AF1330" s="39"/>
      <c r="AG1330" s="39"/>
      <c r="AH1330" s="39">
        <f t="shared" si="779"/>
        <v>0</v>
      </c>
      <c r="AI1330" s="39"/>
      <c r="AJ1330" s="39"/>
      <c r="AK1330" s="39"/>
      <c r="AL1330" s="39"/>
      <c r="AM1330" s="39"/>
      <c r="AN1330" s="39">
        <f t="shared" si="778"/>
        <v>0</v>
      </c>
      <c r="AO1330" s="39"/>
      <c r="AP1330" s="39"/>
      <c r="AQ1330" s="39"/>
      <c r="AR1330" s="39"/>
      <c r="AS1330" s="39"/>
      <c r="AT1330" s="39">
        <f t="shared" si="762"/>
        <v>0</v>
      </c>
      <c r="AU1330" s="39"/>
      <c r="AV1330" s="39"/>
      <c r="AW1330" s="39"/>
      <c r="AX1330" s="39"/>
      <c r="AY1330" s="39"/>
      <c r="AZ1330" s="39">
        <f t="shared" si="763"/>
        <v>0</v>
      </c>
      <c r="BA1330" s="39"/>
      <c r="BB1330" s="39"/>
      <c r="BC1330" s="39"/>
      <c r="BD1330" s="39"/>
      <c r="BE1330" s="39"/>
      <c r="BF1330" s="39">
        <f t="shared" si="764"/>
        <v>0</v>
      </c>
      <c r="BG1330" s="39"/>
      <c r="BH1330" s="39"/>
      <c r="BI1330" s="39"/>
      <c r="BJ1330" s="39"/>
      <c r="BK1330" s="39"/>
      <c r="BL1330" s="39">
        <f t="shared" si="780"/>
        <v>0</v>
      </c>
      <c r="BM1330" s="54" t="e">
        <f t="shared" si="765"/>
        <v>#DIV/0!</v>
      </c>
      <c r="BN1330" s="64"/>
      <c r="BO1330" s="39"/>
      <c r="BP1330" s="39"/>
      <c r="BQ1330" s="39"/>
      <c r="BR1330" s="36"/>
      <c r="BS1330" s="36"/>
      <c r="BT1330" s="39"/>
      <c r="BU1330" s="39"/>
      <c r="BV1330" s="39"/>
      <c r="BW1330" s="39"/>
      <c r="BX1330" s="39"/>
      <c r="BY1330" s="39"/>
      <c r="BZ1330" s="39">
        <f t="shared" si="781"/>
        <v>0</v>
      </c>
      <c r="CA1330" s="39">
        <f t="shared" si="766"/>
        <v>0</v>
      </c>
      <c r="CB1330" s="39">
        <f t="shared" si="767"/>
        <v>0</v>
      </c>
      <c r="CC1330" s="39">
        <f t="shared" si="768"/>
        <v>0</v>
      </c>
      <c r="CD1330" s="39">
        <f t="shared" si="782"/>
        <v>0</v>
      </c>
      <c r="CE1330" s="47" t="e">
        <f t="shared" si="769"/>
        <v>#DIV/0!</v>
      </c>
      <c r="CF1330" s="36"/>
      <c r="CG1330" s="39"/>
      <c r="CH1330" s="39"/>
      <c r="CI1330" s="25">
        <v>1</v>
      </c>
    </row>
    <row r="1331" spans="1:88" ht="24.75" customHeight="1">
      <c r="A1331" s="36" t="s">
        <v>20</v>
      </c>
      <c r="B1331" s="29"/>
      <c r="C1331" s="36"/>
      <c r="D1331" s="36"/>
      <c r="E1331" s="39"/>
      <c r="F1331" s="39"/>
      <c r="G1331" s="36"/>
      <c r="H1331" s="39"/>
      <c r="I1331" s="39"/>
      <c r="J1331" s="39"/>
      <c r="K1331" s="39"/>
      <c r="L1331" s="39">
        <f t="shared" si="751"/>
        <v>0</v>
      </c>
      <c r="M1331" s="36"/>
      <c r="N1331" s="36"/>
      <c r="O1331" s="39"/>
      <c r="P1331" s="39"/>
      <c r="Q1331" s="39"/>
      <c r="R1331" s="39">
        <f t="shared" si="752"/>
        <v>0</v>
      </c>
      <c r="S1331" s="39"/>
      <c r="T1331" s="39"/>
      <c r="U1331" s="39"/>
      <c r="V1331" s="39"/>
      <c r="W1331" s="39"/>
      <c r="X1331" s="39"/>
      <c r="Y1331" s="39"/>
      <c r="Z1331" s="39"/>
      <c r="AA1331" s="39"/>
      <c r="AB1331" s="39">
        <f t="shared" si="753"/>
        <v>0</v>
      </c>
      <c r="AC1331" s="39"/>
      <c r="AD1331" s="39"/>
      <c r="AE1331" s="39"/>
      <c r="AF1331" s="39"/>
      <c r="AG1331" s="39"/>
      <c r="AH1331" s="39">
        <f t="shared" si="779"/>
        <v>0</v>
      </c>
      <c r="AI1331" s="39"/>
      <c r="AJ1331" s="39"/>
      <c r="AK1331" s="39"/>
      <c r="AL1331" s="39"/>
      <c r="AM1331" s="39"/>
      <c r="AN1331" s="39">
        <f t="shared" si="778"/>
        <v>0</v>
      </c>
      <c r="AO1331" s="39"/>
      <c r="AP1331" s="39"/>
      <c r="AQ1331" s="39"/>
      <c r="AR1331" s="39"/>
      <c r="AS1331" s="39"/>
      <c r="AT1331" s="39">
        <f t="shared" si="762"/>
        <v>0</v>
      </c>
      <c r="AU1331" s="39"/>
      <c r="AV1331" s="39"/>
      <c r="AW1331" s="39"/>
      <c r="AX1331" s="39"/>
      <c r="AY1331" s="39"/>
      <c r="AZ1331" s="39">
        <f t="shared" si="763"/>
        <v>0</v>
      </c>
      <c r="BA1331" s="39"/>
      <c r="BB1331" s="39"/>
      <c r="BC1331" s="39"/>
      <c r="BD1331" s="39"/>
      <c r="BE1331" s="39"/>
      <c r="BF1331" s="39">
        <f t="shared" si="764"/>
        <v>0</v>
      </c>
      <c r="BG1331" s="39"/>
      <c r="BH1331" s="39"/>
      <c r="BI1331" s="39"/>
      <c r="BJ1331" s="39"/>
      <c r="BK1331" s="39"/>
      <c r="BL1331" s="39">
        <f t="shared" si="780"/>
        <v>0</v>
      </c>
      <c r="BM1331" s="54" t="e">
        <f t="shared" si="765"/>
        <v>#DIV/0!</v>
      </c>
      <c r="BN1331" s="64"/>
      <c r="BO1331" s="39"/>
      <c r="BP1331" s="39"/>
      <c r="BQ1331" s="39"/>
      <c r="BR1331" s="36"/>
      <c r="BS1331" s="36"/>
      <c r="BT1331" s="39"/>
      <c r="BU1331" s="39"/>
      <c r="BV1331" s="39"/>
      <c r="BW1331" s="39"/>
      <c r="BX1331" s="39"/>
      <c r="BY1331" s="39"/>
      <c r="BZ1331" s="39">
        <f t="shared" si="781"/>
        <v>0</v>
      </c>
      <c r="CA1331" s="39">
        <f t="shared" si="766"/>
        <v>0</v>
      </c>
      <c r="CB1331" s="39">
        <f t="shared" si="767"/>
        <v>0</v>
      </c>
      <c r="CC1331" s="39">
        <f t="shared" si="768"/>
        <v>0</v>
      </c>
      <c r="CD1331" s="39">
        <f t="shared" si="782"/>
        <v>0</v>
      </c>
      <c r="CE1331" s="47" t="e">
        <f t="shared" si="769"/>
        <v>#DIV/0!</v>
      </c>
      <c r="CF1331" s="36"/>
      <c r="CG1331" s="39"/>
      <c r="CH1331" s="39"/>
      <c r="CI1331" s="25">
        <v>1</v>
      </c>
      <c r="CJ1331" s="16"/>
    </row>
    <row r="1332" spans="1:88" ht="24.75" customHeight="1">
      <c r="A1332" s="36" t="s">
        <v>20</v>
      </c>
      <c r="B1332" s="29"/>
      <c r="C1332" s="36"/>
      <c r="D1332" s="36"/>
      <c r="E1332" s="39"/>
      <c r="F1332" s="39"/>
      <c r="G1332" s="36"/>
      <c r="H1332" s="39"/>
      <c r="I1332" s="39"/>
      <c r="J1332" s="39"/>
      <c r="K1332" s="39"/>
      <c r="L1332" s="39">
        <f t="shared" si="751"/>
        <v>0</v>
      </c>
      <c r="M1332" s="36"/>
      <c r="N1332" s="36"/>
      <c r="O1332" s="39"/>
      <c r="P1332" s="39"/>
      <c r="Q1332" s="39"/>
      <c r="R1332" s="39">
        <f t="shared" si="752"/>
        <v>0</v>
      </c>
      <c r="S1332" s="39"/>
      <c r="T1332" s="39"/>
      <c r="U1332" s="39"/>
      <c r="V1332" s="39"/>
      <c r="W1332" s="39"/>
      <c r="X1332" s="39"/>
      <c r="Y1332" s="39"/>
      <c r="Z1332" s="39"/>
      <c r="AA1332" s="39"/>
      <c r="AB1332" s="39">
        <f t="shared" si="753"/>
        <v>0</v>
      </c>
      <c r="AC1332" s="39"/>
      <c r="AD1332" s="39"/>
      <c r="AE1332" s="39"/>
      <c r="AF1332" s="39"/>
      <c r="AG1332" s="39"/>
      <c r="AH1332" s="39">
        <f t="shared" si="779"/>
        <v>0</v>
      </c>
      <c r="AI1332" s="39"/>
      <c r="AJ1332" s="39"/>
      <c r="AK1332" s="39"/>
      <c r="AL1332" s="39"/>
      <c r="AM1332" s="39"/>
      <c r="AN1332" s="39">
        <f t="shared" si="778"/>
        <v>0</v>
      </c>
      <c r="AO1332" s="39"/>
      <c r="AP1332" s="39"/>
      <c r="AQ1332" s="39"/>
      <c r="AR1332" s="39"/>
      <c r="AS1332" s="39"/>
      <c r="AT1332" s="39">
        <f t="shared" si="762"/>
        <v>0</v>
      </c>
      <c r="AU1332" s="39"/>
      <c r="AV1332" s="39"/>
      <c r="AW1332" s="39"/>
      <c r="AX1332" s="39"/>
      <c r="AY1332" s="39"/>
      <c r="AZ1332" s="39">
        <f t="shared" si="763"/>
        <v>0</v>
      </c>
      <c r="BA1332" s="39"/>
      <c r="BB1332" s="39"/>
      <c r="BC1332" s="39"/>
      <c r="BD1332" s="39"/>
      <c r="BE1332" s="39"/>
      <c r="BF1332" s="39">
        <f t="shared" si="764"/>
        <v>0</v>
      </c>
      <c r="BG1332" s="39"/>
      <c r="BH1332" s="39"/>
      <c r="BI1332" s="39"/>
      <c r="BJ1332" s="39"/>
      <c r="BK1332" s="39"/>
      <c r="BL1332" s="39">
        <f t="shared" si="780"/>
        <v>0</v>
      </c>
      <c r="BM1332" s="54" t="e">
        <f t="shared" si="765"/>
        <v>#DIV/0!</v>
      </c>
      <c r="BN1332" s="64"/>
      <c r="BO1332" s="39"/>
      <c r="BP1332" s="39"/>
      <c r="BQ1332" s="39"/>
      <c r="BR1332" s="36"/>
      <c r="BS1332" s="36"/>
      <c r="BT1332" s="39"/>
      <c r="BU1332" s="39"/>
      <c r="BV1332" s="39"/>
      <c r="BW1332" s="39"/>
      <c r="BX1332" s="39"/>
      <c r="BY1332" s="39"/>
      <c r="BZ1332" s="39">
        <f t="shared" si="781"/>
        <v>0</v>
      </c>
      <c r="CA1332" s="39">
        <f t="shared" si="766"/>
        <v>0</v>
      </c>
      <c r="CB1332" s="39">
        <f t="shared" si="767"/>
        <v>0</v>
      </c>
      <c r="CC1332" s="39">
        <f t="shared" si="768"/>
        <v>0</v>
      </c>
      <c r="CD1332" s="39">
        <f t="shared" si="782"/>
        <v>0</v>
      </c>
      <c r="CE1332" s="47" t="e">
        <f t="shared" si="769"/>
        <v>#DIV/0!</v>
      </c>
      <c r="CF1332" s="36"/>
      <c r="CG1332" s="39"/>
      <c r="CH1332" s="39"/>
      <c r="CI1332" s="25">
        <v>1</v>
      </c>
    </row>
    <row r="1333" spans="1:88" ht="24.75" customHeight="1">
      <c r="A1333" s="36" t="s">
        <v>20</v>
      </c>
      <c r="B1333" s="29"/>
      <c r="C1333" s="36"/>
      <c r="D1333" s="36"/>
      <c r="E1333" s="39"/>
      <c r="F1333" s="39"/>
      <c r="G1333" s="36"/>
      <c r="H1333" s="39"/>
      <c r="I1333" s="39"/>
      <c r="J1333" s="39"/>
      <c r="K1333" s="39"/>
      <c r="L1333" s="39">
        <f t="shared" si="751"/>
        <v>0</v>
      </c>
      <c r="M1333" s="36"/>
      <c r="N1333" s="36"/>
      <c r="O1333" s="39"/>
      <c r="P1333" s="39"/>
      <c r="Q1333" s="39"/>
      <c r="R1333" s="39">
        <f t="shared" si="752"/>
        <v>0</v>
      </c>
      <c r="S1333" s="39"/>
      <c r="T1333" s="39"/>
      <c r="U1333" s="39"/>
      <c r="V1333" s="39"/>
      <c r="W1333" s="39"/>
      <c r="X1333" s="39"/>
      <c r="Y1333" s="39"/>
      <c r="Z1333" s="39"/>
      <c r="AA1333" s="39"/>
      <c r="AB1333" s="39">
        <f t="shared" si="753"/>
        <v>0</v>
      </c>
      <c r="AC1333" s="39"/>
      <c r="AD1333" s="39"/>
      <c r="AE1333" s="39"/>
      <c r="AF1333" s="39"/>
      <c r="AG1333" s="39"/>
      <c r="AH1333" s="39">
        <f t="shared" si="779"/>
        <v>0</v>
      </c>
      <c r="AI1333" s="39"/>
      <c r="AJ1333" s="39"/>
      <c r="AK1333" s="39"/>
      <c r="AL1333" s="39"/>
      <c r="AM1333" s="39"/>
      <c r="AN1333" s="39">
        <f t="shared" si="778"/>
        <v>0</v>
      </c>
      <c r="AO1333" s="39"/>
      <c r="AP1333" s="39"/>
      <c r="AQ1333" s="39"/>
      <c r="AR1333" s="39"/>
      <c r="AS1333" s="39"/>
      <c r="AT1333" s="39">
        <f t="shared" si="762"/>
        <v>0</v>
      </c>
      <c r="AU1333" s="39"/>
      <c r="AV1333" s="39"/>
      <c r="AW1333" s="39"/>
      <c r="AX1333" s="39"/>
      <c r="AY1333" s="39"/>
      <c r="AZ1333" s="39">
        <f t="shared" si="763"/>
        <v>0</v>
      </c>
      <c r="BA1333" s="39"/>
      <c r="BB1333" s="39"/>
      <c r="BC1333" s="39"/>
      <c r="BD1333" s="39"/>
      <c r="BE1333" s="39"/>
      <c r="BF1333" s="39">
        <f t="shared" si="764"/>
        <v>0</v>
      </c>
      <c r="BG1333" s="39"/>
      <c r="BH1333" s="39"/>
      <c r="BI1333" s="39"/>
      <c r="BJ1333" s="39"/>
      <c r="BK1333" s="39"/>
      <c r="BL1333" s="39">
        <f t="shared" si="780"/>
        <v>0</v>
      </c>
      <c r="BM1333" s="54" t="e">
        <f t="shared" si="765"/>
        <v>#DIV/0!</v>
      </c>
      <c r="BN1333" s="64"/>
      <c r="BO1333" s="36"/>
      <c r="BP1333" s="36"/>
      <c r="BQ1333" s="36"/>
      <c r="BR1333" s="36"/>
      <c r="BS1333" s="36"/>
      <c r="BT1333" s="39"/>
      <c r="BU1333" s="39"/>
      <c r="BV1333" s="39"/>
      <c r="BW1333" s="39"/>
      <c r="BX1333" s="39"/>
      <c r="BY1333" s="39"/>
      <c r="BZ1333" s="39">
        <f t="shared" si="781"/>
        <v>0</v>
      </c>
      <c r="CA1333" s="39">
        <f t="shared" si="766"/>
        <v>0</v>
      </c>
      <c r="CB1333" s="39">
        <f t="shared" si="767"/>
        <v>0</v>
      </c>
      <c r="CC1333" s="39">
        <f t="shared" si="768"/>
        <v>0</v>
      </c>
      <c r="CD1333" s="39">
        <f t="shared" si="782"/>
        <v>0</v>
      </c>
      <c r="CE1333" s="47" t="e">
        <f t="shared" si="769"/>
        <v>#DIV/0!</v>
      </c>
      <c r="CF1333" s="36"/>
      <c r="CG1333" s="39"/>
      <c r="CH1333" s="39"/>
      <c r="CI1333" s="25">
        <v>1</v>
      </c>
    </row>
    <row r="1334" spans="1:88" ht="24.75" customHeight="1">
      <c r="A1334" s="36" t="s">
        <v>20</v>
      </c>
      <c r="B1334" s="29"/>
      <c r="C1334" s="36"/>
      <c r="D1334" s="36"/>
      <c r="E1334" s="39"/>
      <c r="F1334" s="39"/>
      <c r="G1334" s="36"/>
      <c r="H1334" s="39"/>
      <c r="I1334" s="39"/>
      <c r="J1334" s="39"/>
      <c r="K1334" s="39"/>
      <c r="L1334" s="39">
        <f t="shared" si="751"/>
        <v>0</v>
      </c>
      <c r="M1334" s="36"/>
      <c r="N1334" s="36"/>
      <c r="O1334" s="39"/>
      <c r="P1334" s="39"/>
      <c r="Q1334" s="39"/>
      <c r="R1334" s="39">
        <f t="shared" si="752"/>
        <v>0</v>
      </c>
      <c r="S1334" s="39"/>
      <c r="T1334" s="39"/>
      <c r="U1334" s="39"/>
      <c r="V1334" s="39"/>
      <c r="W1334" s="39"/>
      <c r="X1334" s="39"/>
      <c r="Y1334" s="39"/>
      <c r="Z1334" s="39"/>
      <c r="AA1334" s="39"/>
      <c r="AB1334" s="39">
        <f t="shared" si="753"/>
        <v>0</v>
      </c>
      <c r="AC1334" s="39"/>
      <c r="AD1334" s="39"/>
      <c r="AE1334" s="39"/>
      <c r="AF1334" s="39"/>
      <c r="AG1334" s="39"/>
      <c r="AH1334" s="39">
        <f t="shared" si="779"/>
        <v>0</v>
      </c>
      <c r="AI1334" s="39"/>
      <c r="AJ1334" s="39"/>
      <c r="AK1334" s="39"/>
      <c r="AL1334" s="39"/>
      <c r="AM1334" s="39"/>
      <c r="AN1334" s="39">
        <f t="shared" si="778"/>
        <v>0</v>
      </c>
      <c r="AO1334" s="39"/>
      <c r="AP1334" s="39"/>
      <c r="AQ1334" s="39"/>
      <c r="AR1334" s="39"/>
      <c r="AS1334" s="39"/>
      <c r="AT1334" s="39">
        <f t="shared" si="762"/>
        <v>0</v>
      </c>
      <c r="AU1334" s="39"/>
      <c r="AV1334" s="39"/>
      <c r="AW1334" s="39"/>
      <c r="AX1334" s="39"/>
      <c r="AY1334" s="39"/>
      <c r="AZ1334" s="39">
        <f t="shared" si="763"/>
        <v>0</v>
      </c>
      <c r="BA1334" s="39"/>
      <c r="BB1334" s="39"/>
      <c r="BC1334" s="39"/>
      <c r="BD1334" s="39"/>
      <c r="BE1334" s="39"/>
      <c r="BF1334" s="39">
        <f t="shared" si="764"/>
        <v>0</v>
      </c>
      <c r="BG1334" s="39"/>
      <c r="BH1334" s="39"/>
      <c r="BI1334" s="39"/>
      <c r="BJ1334" s="39"/>
      <c r="BK1334" s="39"/>
      <c r="BL1334" s="39">
        <f t="shared" si="780"/>
        <v>0</v>
      </c>
      <c r="BM1334" s="54" t="e">
        <f t="shared" si="765"/>
        <v>#DIV/0!</v>
      </c>
      <c r="BN1334" s="64"/>
      <c r="BO1334" s="36"/>
      <c r="BP1334" s="36"/>
      <c r="BQ1334" s="36"/>
      <c r="BR1334" s="36"/>
      <c r="BS1334" s="36"/>
      <c r="BT1334" s="39"/>
      <c r="BU1334" s="39"/>
      <c r="BV1334" s="39"/>
      <c r="BW1334" s="39"/>
      <c r="BX1334" s="39"/>
      <c r="BY1334" s="39"/>
      <c r="BZ1334" s="39">
        <f t="shared" si="781"/>
        <v>0</v>
      </c>
      <c r="CA1334" s="39">
        <f t="shared" si="766"/>
        <v>0</v>
      </c>
      <c r="CB1334" s="39">
        <f t="shared" si="767"/>
        <v>0</v>
      </c>
      <c r="CC1334" s="39">
        <f t="shared" si="768"/>
        <v>0</v>
      </c>
      <c r="CD1334" s="39">
        <f t="shared" si="782"/>
        <v>0</v>
      </c>
      <c r="CE1334" s="47" t="e">
        <f t="shared" si="769"/>
        <v>#DIV/0!</v>
      </c>
      <c r="CF1334" s="36"/>
      <c r="CG1334" s="39"/>
      <c r="CH1334" s="39"/>
      <c r="CI1334" s="25">
        <v>1</v>
      </c>
    </row>
    <row r="1335" spans="1:88" ht="24.75" customHeight="1">
      <c r="A1335" s="36" t="s">
        <v>20</v>
      </c>
      <c r="B1335" s="29"/>
      <c r="C1335" s="36"/>
      <c r="D1335" s="36"/>
      <c r="E1335" s="39"/>
      <c r="F1335" s="39"/>
      <c r="G1335" s="36"/>
      <c r="H1335" s="39"/>
      <c r="I1335" s="39"/>
      <c r="J1335" s="39"/>
      <c r="K1335" s="39"/>
      <c r="L1335" s="39">
        <f t="shared" si="751"/>
        <v>0</v>
      </c>
      <c r="M1335" s="36"/>
      <c r="N1335" s="36"/>
      <c r="O1335" s="39"/>
      <c r="P1335" s="39"/>
      <c r="Q1335" s="39"/>
      <c r="R1335" s="39">
        <f t="shared" si="752"/>
        <v>0</v>
      </c>
      <c r="S1335" s="39"/>
      <c r="T1335" s="39"/>
      <c r="U1335" s="39"/>
      <c r="V1335" s="39"/>
      <c r="W1335" s="39"/>
      <c r="X1335" s="39"/>
      <c r="Y1335" s="39"/>
      <c r="Z1335" s="39"/>
      <c r="AA1335" s="39"/>
      <c r="AB1335" s="39">
        <f t="shared" si="753"/>
        <v>0</v>
      </c>
      <c r="AC1335" s="39"/>
      <c r="AD1335" s="39"/>
      <c r="AE1335" s="39"/>
      <c r="AF1335" s="39"/>
      <c r="AG1335" s="39"/>
      <c r="AH1335" s="39">
        <f t="shared" si="779"/>
        <v>0</v>
      </c>
      <c r="AI1335" s="39"/>
      <c r="AJ1335" s="39"/>
      <c r="AK1335" s="39"/>
      <c r="AL1335" s="39"/>
      <c r="AM1335" s="39"/>
      <c r="AN1335" s="39">
        <f t="shared" si="778"/>
        <v>0</v>
      </c>
      <c r="AO1335" s="39"/>
      <c r="AP1335" s="39"/>
      <c r="AQ1335" s="39"/>
      <c r="AR1335" s="39"/>
      <c r="AS1335" s="39"/>
      <c r="AT1335" s="39">
        <f t="shared" si="762"/>
        <v>0</v>
      </c>
      <c r="AU1335" s="39"/>
      <c r="AV1335" s="39"/>
      <c r="AW1335" s="39"/>
      <c r="AX1335" s="39"/>
      <c r="AY1335" s="39"/>
      <c r="AZ1335" s="39">
        <f t="shared" si="763"/>
        <v>0</v>
      </c>
      <c r="BA1335" s="39"/>
      <c r="BB1335" s="39"/>
      <c r="BC1335" s="39"/>
      <c r="BD1335" s="39"/>
      <c r="BE1335" s="39"/>
      <c r="BF1335" s="39">
        <f t="shared" si="764"/>
        <v>0</v>
      </c>
      <c r="BG1335" s="39"/>
      <c r="BH1335" s="39"/>
      <c r="BI1335" s="39"/>
      <c r="BJ1335" s="39"/>
      <c r="BK1335" s="39"/>
      <c r="BL1335" s="39">
        <f t="shared" si="780"/>
        <v>0</v>
      </c>
      <c r="BM1335" s="54" t="e">
        <f t="shared" si="765"/>
        <v>#DIV/0!</v>
      </c>
      <c r="BN1335" s="64"/>
      <c r="BO1335" s="36"/>
      <c r="BP1335" s="36"/>
      <c r="BQ1335" s="36"/>
      <c r="BR1335" s="36"/>
      <c r="BS1335" s="36"/>
      <c r="BT1335" s="39"/>
      <c r="BU1335" s="39"/>
      <c r="BV1335" s="39"/>
      <c r="BW1335" s="39"/>
      <c r="BX1335" s="39"/>
      <c r="BY1335" s="39"/>
      <c r="BZ1335" s="39">
        <f t="shared" si="781"/>
        <v>0</v>
      </c>
      <c r="CA1335" s="39">
        <f t="shared" si="766"/>
        <v>0</v>
      </c>
      <c r="CB1335" s="39">
        <f t="shared" si="767"/>
        <v>0</v>
      </c>
      <c r="CC1335" s="39">
        <f t="shared" si="768"/>
        <v>0</v>
      </c>
      <c r="CD1335" s="39">
        <f t="shared" si="782"/>
        <v>0</v>
      </c>
      <c r="CE1335" s="47" t="e">
        <f t="shared" si="769"/>
        <v>#DIV/0!</v>
      </c>
      <c r="CF1335" s="36"/>
      <c r="CG1335" s="39"/>
      <c r="CH1335" s="39"/>
      <c r="CI1335" s="25">
        <v>1</v>
      </c>
    </row>
    <row r="1336" spans="1:88" ht="24.75" customHeight="1">
      <c r="A1336" s="36" t="s">
        <v>20</v>
      </c>
      <c r="B1336" s="29"/>
      <c r="C1336" s="36"/>
      <c r="D1336" s="36"/>
      <c r="E1336" s="39"/>
      <c r="F1336" s="39"/>
      <c r="G1336" s="36"/>
      <c r="H1336" s="39"/>
      <c r="I1336" s="39"/>
      <c r="J1336" s="39"/>
      <c r="K1336" s="39"/>
      <c r="L1336" s="39">
        <f t="shared" si="751"/>
        <v>0</v>
      </c>
      <c r="M1336" s="36"/>
      <c r="N1336" s="36"/>
      <c r="O1336" s="39"/>
      <c r="P1336" s="39"/>
      <c r="Q1336" s="39"/>
      <c r="R1336" s="39">
        <f t="shared" si="752"/>
        <v>0</v>
      </c>
      <c r="S1336" s="39"/>
      <c r="T1336" s="39"/>
      <c r="U1336" s="39"/>
      <c r="V1336" s="39"/>
      <c r="W1336" s="39"/>
      <c r="X1336" s="39"/>
      <c r="Y1336" s="39"/>
      <c r="Z1336" s="39"/>
      <c r="AA1336" s="39"/>
      <c r="AB1336" s="39">
        <f t="shared" si="753"/>
        <v>0</v>
      </c>
      <c r="AC1336" s="39"/>
      <c r="AD1336" s="39"/>
      <c r="AE1336" s="39"/>
      <c r="AF1336" s="39"/>
      <c r="AG1336" s="39"/>
      <c r="AH1336" s="39">
        <f t="shared" si="779"/>
        <v>0</v>
      </c>
      <c r="AI1336" s="39"/>
      <c r="AJ1336" s="39"/>
      <c r="AK1336" s="39"/>
      <c r="AL1336" s="39"/>
      <c r="AM1336" s="39"/>
      <c r="AN1336" s="39">
        <f t="shared" si="778"/>
        <v>0</v>
      </c>
      <c r="AO1336" s="39"/>
      <c r="AP1336" s="39"/>
      <c r="AQ1336" s="39"/>
      <c r="AR1336" s="39"/>
      <c r="AS1336" s="39"/>
      <c r="AT1336" s="39">
        <f t="shared" si="762"/>
        <v>0</v>
      </c>
      <c r="AU1336" s="39"/>
      <c r="AV1336" s="39"/>
      <c r="AW1336" s="39"/>
      <c r="AX1336" s="39"/>
      <c r="AY1336" s="39"/>
      <c r="AZ1336" s="39">
        <f t="shared" si="763"/>
        <v>0</v>
      </c>
      <c r="BA1336" s="39"/>
      <c r="BB1336" s="39"/>
      <c r="BC1336" s="39"/>
      <c r="BD1336" s="39"/>
      <c r="BE1336" s="39"/>
      <c r="BF1336" s="39">
        <f t="shared" si="764"/>
        <v>0</v>
      </c>
      <c r="BG1336" s="39"/>
      <c r="BH1336" s="39"/>
      <c r="BI1336" s="39"/>
      <c r="BJ1336" s="39"/>
      <c r="BK1336" s="39"/>
      <c r="BL1336" s="39">
        <f t="shared" si="780"/>
        <v>0</v>
      </c>
      <c r="BM1336" s="54" t="e">
        <f t="shared" si="765"/>
        <v>#DIV/0!</v>
      </c>
      <c r="BN1336" s="64"/>
      <c r="BO1336" s="36"/>
      <c r="BP1336" s="36"/>
      <c r="BQ1336" s="36"/>
      <c r="BR1336" s="36"/>
      <c r="BS1336" s="36"/>
      <c r="BT1336" s="39"/>
      <c r="BU1336" s="39"/>
      <c r="BV1336" s="39"/>
      <c r="BW1336" s="39"/>
      <c r="BX1336" s="39"/>
      <c r="BY1336" s="39"/>
      <c r="BZ1336" s="39">
        <f t="shared" si="781"/>
        <v>0</v>
      </c>
      <c r="CA1336" s="39">
        <f t="shared" si="766"/>
        <v>0</v>
      </c>
      <c r="CB1336" s="39">
        <f t="shared" si="767"/>
        <v>0</v>
      </c>
      <c r="CC1336" s="39">
        <f t="shared" si="768"/>
        <v>0</v>
      </c>
      <c r="CD1336" s="39">
        <f t="shared" si="782"/>
        <v>0</v>
      </c>
      <c r="CE1336" s="47" t="e">
        <f t="shared" si="769"/>
        <v>#DIV/0!</v>
      </c>
      <c r="CF1336" s="36"/>
      <c r="CG1336" s="39"/>
      <c r="CH1336" s="39"/>
      <c r="CI1336" s="25">
        <v>1</v>
      </c>
    </row>
    <row r="1337" spans="1:88" ht="24.75" customHeight="1">
      <c r="A1337" s="36" t="s">
        <v>20</v>
      </c>
      <c r="B1337" s="29"/>
      <c r="C1337" s="36"/>
      <c r="D1337" s="36"/>
      <c r="E1337" s="39"/>
      <c r="F1337" s="39"/>
      <c r="G1337" s="36"/>
      <c r="H1337" s="39"/>
      <c r="I1337" s="39"/>
      <c r="J1337" s="39"/>
      <c r="K1337" s="39"/>
      <c r="L1337" s="39">
        <f t="shared" si="751"/>
        <v>0</v>
      </c>
      <c r="M1337" s="36"/>
      <c r="N1337" s="36"/>
      <c r="O1337" s="39"/>
      <c r="P1337" s="39"/>
      <c r="Q1337" s="39"/>
      <c r="R1337" s="39">
        <f t="shared" si="752"/>
        <v>0</v>
      </c>
      <c r="S1337" s="39"/>
      <c r="T1337" s="39"/>
      <c r="U1337" s="39"/>
      <c r="V1337" s="39"/>
      <c r="W1337" s="39"/>
      <c r="X1337" s="39"/>
      <c r="Y1337" s="39"/>
      <c r="Z1337" s="39"/>
      <c r="AA1337" s="39"/>
      <c r="AB1337" s="39">
        <f t="shared" si="753"/>
        <v>0</v>
      </c>
      <c r="AC1337" s="39"/>
      <c r="AD1337" s="39"/>
      <c r="AE1337" s="39"/>
      <c r="AF1337" s="39"/>
      <c r="AG1337" s="39"/>
      <c r="AH1337" s="39">
        <f t="shared" si="779"/>
        <v>0</v>
      </c>
      <c r="AI1337" s="39"/>
      <c r="AJ1337" s="39"/>
      <c r="AK1337" s="39"/>
      <c r="AL1337" s="39"/>
      <c r="AM1337" s="39"/>
      <c r="AN1337" s="39">
        <f t="shared" si="778"/>
        <v>0</v>
      </c>
      <c r="AO1337" s="39"/>
      <c r="AP1337" s="39"/>
      <c r="AQ1337" s="39"/>
      <c r="AR1337" s="39"/>
      <c r="AS1337" s="39"/>
      <c r="AT1337" s="39">
        <f t="shared" si="762"/>
        <v>0</v>
      </c>
      <c r="AU1337" s="39"/>
      <c r="AV1337" s="39"/>
      <c r="AW1337" s="39"/>
      <c r="AX1337" s="39"/>
      <c r="AY1337" s="39"/>
      <c r="AZ1337" s="39">
        <f t="shared" si="763"/>
        <v>0</v>
      </c>
      <c r="BA1337" s="39"/>
      <c r="BB1337" s="39"/>
      <c r="BC1337" s="39"/>
      <c r="BD1337" s="39"/>
      <c r="BE1337" s="39"/>
      <c r="BF1337" s="39">
        <f t="shared" si="764"/>
        <v>0</v>
      </c>
      <c r="BG1337" s="39"/>
      <c r="BH1337" s="39"/>
      <c r="BI1337" s="39"/>
      <c r="BJ1337" s="39"/>
      <c r="BK1337" s="39"/>
      <c r="BL1337" s="39">
        <f t="shared" si="780"/>
        <v>0</v>
      </c>
      <c r="BM1337" s="54" t="e">
        <f t="shared" si="765"/>
        <v>#DIV/0!</v>
      </c>
      <c r="BN1337" s="64"/>
      <c r="BO1337" s="36"/>
      <c r="BP1337" s="36"/>
      <c r="BQ1337" s="36"/>
      <c r="BR1337" s="36"/>
      <c r="BS1337" s="36"/>
      <c r="BT1337" s="39"/>
      <c r="BU1337" s="39"/>
      <c r="BV1337" s="39"/>
      <c r="BW1337" s="39"/>
      <c r="BX1337" s="39"/>
      <c r="BY1337" s="39"/>
      <c r="BZ1337" s="39">
        <f t="shared" si="781"/>
        <v>0</v>
      </c>
      <c r="CA1337" s="39">
        <f t="shared" si="766"/>
        <v>0</v>
      </c>
      <c r="CB1337" s="39">
        <f t="shared" si="767"/>
        <v>0</v>
      </c>
      <c r="CC1337" s="39">
        <f t="shared" si="768"/>
        <v>0</v>
      </c>
      <c r="CD1337" s="39">
        <f t="shared" si="782"/>
        <v>0</v>
      </c>
      <c r="CE1337" s="47" t="e">
        <f t="shared" si="769"/>
        <v>#DIV/0!</v>
      </c>
      <c r="CF1337" s="36"/>
      <c r="CG1337" s="39"/>
      <c r="CH1337" s="39"/>
      <c r="CI1337" s="25">
        <v>1</v>
      </c>
    </row>
    <row r="1338" spans="1:88" ht="24.75" customHeight="1">
      <c r="A1338" s="36" t="s">
        <v>20</v>
      </c>
      <c r="B1338" s="29"/>
      <c r="C1338" s="36"/>
      <c r="D1338" s="36"/>
      <c r="E1338" s="39"/>
      <c r="F1338" s="39"/>
      <c r="G1338" s="36"/>
      <c r="H1338" s="39"/>
      <c r="I1338" s="39"/>
      <c r="J1338" s="39"/>
      <c r="K1338" s="39"/>
      <c r="L1338" s="39">
        <f t="shared" si="751"/>
        <v>0</v>
      </c>
      <c r="M1338" s="36"/>
      <c r="N1338" s="36"/>
      <c r="O1338" s="39"/>
      <c r="P1338" s="39"/>
      <c r="Q1338" s="39"/>
      <c r="R1338" s="39">
        <f t="shared" si="752"/>
        <v>0</v>
      </c>
      <c r="S1338" s="39"/>
      <c r="T1338" s="39"/>
      <c r="U1338" s="39"/>
      <c r="V1338" s="39"/>
      <c r="W1338" s="39"/>
      <c r="X1338" s="39"/>
      <c r="Y1338" s="39"/>
      <c r="Z1338" s="39"/>
      <c r="AA1338" s="39"/>
      <c r="AB1338" s="39">
        <f t="shared" si="753"/>
        <v>0</v>
      </c>
      <c r="AC1338" s="39"/>
      <c r="AD1338" s="39"/>
      <c r="AE1338" s="39"/>
      <c r="AF1338" s="39"/>
      <c r="AG1338" s="39"/>
      <c r="AH1338" s="39">
        <f t="shared" si="779"/>
        <v>0</v>
      </c>
      <c r="AI1338" s="39"/>
      <c r="AJ1338" s="39"/>
      <c r="AK1338" s="39"/>
      <c r="AL1338" s="39"/>
      <c r="AM1338" s="39"/>
      <c r="AN1338" s="39">
        <f t="shared" si="778"/>
        <v>0</v>
      </c>
      <c r="AO1338" s="39"/>
      <c r="AP1338" s="39"/>
      <c r="AQ1338" s="39"/>
      <c r="AR1338" s="39"/>
      <c r="AS1338" s="39"/>
      <c r="AT1338" s="39">
        <f t="shared" si="762"/>
        <v>0</v>
      </c>
      <c r="AU1338" s="39"/>
      <c r="AV1338" s="39"/>
      <c r="AW1338" s="39"/>
      <c r="AX1338" s="39"/>
      <c r="AY1338" s="39"/>
      <c r="AZ1338" s="39">
        <f t="shared" si="763"/>
        <v>0</v>
      </c>
      <c r="BA1338" s="39"/>
      <c r="BB1338" s="39"/>
      <c r="BC1338" s="39"/>
      <c r="BD1338" s="39"/>
      <c r="BE1338" s="39"/>
      <c r="BF1338" s="39">
        <f t="shared" si="764"/>
        <v>0</v>
      </c>
      <c r="BG1338" s="39"/>
      <c r="BH1338" s="39"/>
      <c r="BI1338" s="39"/>
      <c r="BJ1338" s="39"/>
      <c r="BK1338" s="39"/>
      <c r="BL1338" s="39">
        <f t="shared" si="780"/>
        <v>0</v>
      </c>
      <c r="BM1338" s="54" t="e">
        <f t="shared" si="765"/>
        <v>#DIV/0!</v>
      </c>
      <c r="BN1338" s="64"/>
      <c r="BO1338" s="36"/>
      <c r="BP1338" s="36"/>
      <c r="BQ1338" s="36"/>
      <c r="BR1338" s="36"/>
      <c r="BS1338" s="36"/>
      <c r="BT1338" s="39"/>
      <c r="BU1338" s="39"/>
      <c r="BV1338" s="39"/>
      <c r="BW1338" s="39"/>
      <c r="BX1338" s="39"/>
      <c r="BY1338" s="39"/>
      <c r="BZ1338" s="39">
        <f t="shared" si="781"/>
        <v>0</v>
      </c>
      <c r="CA1338" s="39">
        <f t="shared" si="766"/>
        <v>0</v>
      </c>
      <c r="CB1338" s="39">
        <f t="shared" si="767"/>
        <v>0</v>
      </c>
      <c r="CC1338" s="39">
        <f t="shared" si="768"/>
        <v>0</v>
      </c>
      <c r="CD1338" s="39">
        <f t="shared" si="782"/>
        <v>0</v>
      </c>
      <c r="CE1338" s="47" t="e">
        <f t="shared" si="769"/>
        <v>#DIV/0!</v>
      </c>
      <c r="CF1338" s="36"/>
      <c r="CG1338" s="39"/>
      <c r="CH1338" s="39"/>
      <c r="CI1338" s="25">
        <v>1</v>
      </c>
    </row>
    <row r="1339" spans="1:88" ht="24.75" customHeight="1">
      <c r="A1339" s="36" t="s">
        <v>20</v>
      </c>
      <c r="B1339" s="29" t="s">
        <v>1787</v>
      </c>
      <c r="C1339" s="253" t="s">
        <v>1788</v>
      </c>
      <c r="D1339" s="36"/>
      <c r="E1339" s="39">
        <v>180</v>
      </c>
      <c r="F1339" s="39" t="s">
        <v>53</v>
      </c>
      <c r="G1339" s="36" t="s">
        <v>23</v>
      </c>
      <c r="H1339" s="36" t="s">
        <v>87</v>
      </c>
      <c r="I1339" s="39">
        <v>409</v>
      </c>
      <c r="J1339" s="39"/>
      <c r="K1339" s="39"/>
      <c r="L1339" s="39">
        <f t="shared" ref="L1339:L1344" si="845">SUM(I1339:K1339)</f>
        <v>409</v>
      </c>
      <c r="M1339" s="117">
        <v>46260</v>
      </c>
      <c r="N1339" s="117">
        <v>46275</v>
      </c>
      <c r="O1339" s="39"/>
      <c r="P1339" s="39"/>
      <c r="Q1339" s="39"/>
      <c r="R1339" s="39">
        <f t="shared" ref="R1339:R1341" si="846">SUM(O1339:Q1339)</f>
        <v>0</v>
      </c>
      <c r="S1339" s="39" t="s">
        <v>28</v>
      </c>
      <c r="T1339" s="39"/>
      <c r="U1339" s="39"/>
      <c r="V1339" s="117">
        <v>46224</v>
      </c>
      <c r="W1339" s="39">
        <v>454</v>
      </c>
      <c r="X1339" s="117">
        <v>46257</v>
      </c>
      <c r="Y1339" s="39">
        <v>422</v>
      </c>
      <c r="Z1339" s="39"/>
      <c r="AA1339" s="39"/>
      <c r="AB1339" s="119">
        <f t="shared" ref="AB1339:AB1341" si="847">SUM(Y1339:AA1339)</f>
        <v>422</v>
      </c>
      <c r="AC1339" s="39"/>
      <c r="AD1339" s="39"/>
      <c r="AE1339" s="39"/>
      <c r="AF1339" s="39"/>
      <c r="AG1339" s="39"/>
      <c r="AH1339" s="39">
        <f t="shared" si="779"/>
        <v>0</v>
      </c>
      <c r="AI1339" s="39"/>
      <c r="AJ1339" s="39"/>
      <c r="AK1339" s="39"/>
      <c r="AL1339" s="39"/>
      <c r="AM1339" s="39"/>
      <c r="AN1339" s="39">
        <f t="shared" si="778"/>
        <v>0</v>
      </c>
      <c r="AO1339" s="39"/>
      <c r="AP1339" s="39"/>
      <c r="AQ1339" s="39"/>
      <c r="AR1339" s="39"/>
      <c r="AS1339" s="39"/>
      <c r="AT1339" s="39">
        <f t="shared" si="762"/>
        <v>0</v>
      </c>
      <c r="AU1339" s="39"/>
      <c r="AV1339" s="39"/>
      <c r="AW1339" s="39"/>
      <c r="AX1339" s="39"/>
      <c r="AY1339" s="39"/>
      <c r="AZ1339" s="39">
        <f t="shared" si="763"/>
        <v>0</v>
      </c>
      <c r="BA1339" s="39"/>
      <c r="BB1339" s="39"/>
      <c r="BC1339" s="39"/>
      <c r="BD1339" s="39"/>
      <c r="BE1339" s="39"/>
      <c r="BF1339" s="39">
        <f t="shared" si="764"/>
        <v>0</v>
      </c>
      <c r="BG1339" s="39"/>
      <c r="BH1339" s="39"/>
      <c r="BI1339" s="39"/>
      <c r="BJ1339" s="39"/>
      <c r="BK1339" s="39"/>
      <c r="BL1339" s="39">
        <f t="shared" si="780"/>
        <v>0</v>
      </c>
      <c r="BM1339" s="54" t="str">
        <f t="shared" si="765"/>
        <v/>
      </c>
      <c r="BN1339" s="59">
        <v>46276</v>
      </c>
      <c r="BO1339" s="57">
        <v>46286</v>
      </c>
      <c r="BP1339" s="36"/>
      <c r="BQ1339" s="36"/>
      <c r="BR1339" s="57">
        <v>46258</v>
      </c>
      <c r="BS1339" s="57">
        <v>46258</v>
      </c>
      <c r="BT1339" s="39">
        <v>1986</v>
      </c>
      <c r="BU1339" s="39">
        <v>422</v>
      </c>
      <c r="BV1339" s="39"/>
      <c r="BW1339" s="39"/>
      <c r="BX1339" s="39"/>
      <c r="BY1339" s="39"/>
      <c r="BZ1339" s="39">
        <f t="shared" si="781"/>
        <v>422</v>
      </c>
      <c r="CA1339" s="39">
        <f t="shared" si="766"/>
        <v>13</v>
      </c>
      <c r="CB1339" s="39">
        <f t="shared" si="767"/>
        <v>0</v>
      </c>
      <c r="CC1339" s="39">
        <f t="shared" si="768"/>
        <v>0</v>
      </c>
      <c r="CD1339" s="39">
        <f t="shared" si="782"/>
        <v>0</v>
      </c>
      <c r="CE1339" s="102">
        <f t="shared" si="769"/>
        <v>0</v>
      </c>
      <c r="CF1339" s="36"/>
      <c r="CG1339" s="39" t="s">
        <v>233</v>
      </c>
      <c r="CH1339" s="39"/>
      <c r="CI1339" s="25">
        <v>2</v>
      </c>
    </row>
    <row r="1340" spans="1:88" ht="24.75" customHeight="1">
      <c r="A1340" s="36" t="s">
        <v>20</v>
      </c>
      <c r="B1340" s="29" t="s">
        <v>1787</v>
      </c>
      <c r="C1340" s="254"/>
      <c r="D1340" s="36" t="s">
        <v>24</v>
      </c>
      <c r="E1340" s="39">
        <v>180</v>
      </c>
      <c r="F1340" s="39" t="s">
        <v>53</v>
      </c>
      <c r="G1340" s="36" t="s">
        <v>464</v>
      </c>
      <c r="H1340" s="36" t="s">
        <v>87</v>
      </c>
      <c r="I1340" s="39">
        <v>424</v>
      </c>
      <c r="J1340" s="39"/>
      <c r="K1340" s="39">
        <v>35</v>
      </c>
      <c r="L1340" s="39">
        <f t="shared" si="845"/>
        <v>459</v>
      </c>
      <c r="M1340" s="117">
        <v>46260</v>
      </c>
      <c r="N1340" s="117">
        <v>46275</v>
      </c>
      <c r="O1340" s="39"/>
      <c r="P1340" s="39"/>
      <c r="Q1340" s="39"/>
      <c r="R1340" s="39">
        <f t="shared" si="846"/>
        <v>0</v>
      </c>
      <c r="S1340" s="39" t="s">
        <v>28</v>
      </c>
      <c r="T1340" s="39"/>
      <c r="U1340" s="39"/>
      <c r="V1340" s="117">
        <v>46242</v>
      </c>
      <c r="W1340" s="39">
        <f>446+37</f>
        <v>483</v>
      </c>
      <c r="X1340" s="117">
        <v>46249</v>
      </c>
      <c r="Y1340" s="39">
        <v>425</v>
      </c>
      <c r="Z1340" s="39"/>
      <c r="AA1340" s="39">
        <v>35</v>
      </c>
      <c r="AB1340" s="119">
        <f t="shared" si="847"/>
        <v>460</v>
      </c>
      <c r="AC1340" s="39"/>
      <c r="AD1340" s="39"/>
      <c r="AE1340" s="39"/>
      <c r="AF1340" s="39"/>
      <c r="AG1340" s="39"/>
      <c r="AH1340" s="39">
        <f t="shared" si="779"/>
        <v>0</v>
      </c>
      <c r="AI1340" s="39"/>
      <c r="AJ1340" s="39"/>
      <c r="AK1340" s="39"/>
      <c r="AL1340" s="39"/>
      <c r="AM1340" s="39"/>
      <c r="AN1340" s="39">
        <f t="shared" si="778"/>
        <v>0</v>
      </c>
      <c r="AO1340" s="39"/>
      <c r="AP1340" s="39"/>
      <c r="AQ1340" s="39"/>
      <c r="AR1340" s="39"/>
      <c r="AS1340" s="39"/>
      <c r="AT1340" s="39">
        <f t="shared" si="762"/>
        <v>0</v>
      </c>
      <c r="AU1340" s="39"/>
      <c r="AV1340" s="39"/>
      <c r="AW1340" s="39"/>
      <c r="AX1340" s="39"/>
      <c r="AY1340" s="39"/>
      <c r="AZ1340" s="39">
        <f t="shared" si="763"/>
        <v>0</v>
      </c>
      <c r="BA1340" s="39"/>
      <c r="BB1340" s="39"/>
      <c r="BC1340" s="39"/>
      <c r="BD1340" s="39"/>
      <c r="BE1340" s="39"/>
      <c r="BF1340" s="39">
        <f t="shared" si="764"/>
        <v>0</v>
      </c>
      <c r="BG1340" s="39"/>
      <c r="BH1340" s="39"/>
      <c r="BI1340" s="39"/>
      <c r="BJ1340" s="39"/>
      <c r="BK1340" s="39"/>
      <c r="BL1340" s="39">
        <f t="shared" si="780"/>
        <v>0</v>
      </c>
      <c r="BM1340" s="54" t="str">
        <f t="shared" si="765"/>
        <v/>
      </c>
      <c r="BN1340" s="59">
        <v>46276</v>
      </c>
      <c r="BO1340" s="57">
        <v>46286</v>
      </c>
      <c r="BP1340" s="36"/>
      <c r="BQ1340" s="36"/>
      <c r="BR1340" s="57">
        <v>46249</v>
      </c>
      <c r="BS1340" s="57">
        <v>46249</v>
      </c>
      <c r="BT1340" s="39">
        <v>575</v>
      </c>
      <c r="BU1340" s="39">
        <v>425</v>
      </c>
      <c r="BV1340" s="39"/>
      <c r="BW1340" s="39"/>
      <c r="BX1340" s="39">
        <v>575</v>
      </c>
      <c r="BY1340" s="39">
        <v>35</v>
      </c>
      <c r="BZ1340" s="39">
        <f t="shared" si="781"/>
        <v>460</v>
      </c>
      <c r="CA1340" s="39">
        <f t="shared" si="766"/>
        <v>1</v>
      </c>
      <c r="CB1340" s="39">
        <f t="shared" si="767"/>
        <v>0</v>
      </c>
      <c r="CC1340" s="39">
        <f t="shared" si="768"/>
        <v>0</v>
      </c>
      <c r="CD1340" s="39">
        <f t="shared" si="782"/>
        <v>0</v>
      </c>
      <c r="CE1340" s="102">
        <f t="shared" si="769"/>
        <v>0</v>
      </c>
      <c r="CF1340" s="36"/>
      <c r="CG1340" s="39" t="s">
        <v>233</v>
      </c>
      <c r="CH1340" s="39"/>
      <c r="CI1340" s="25">
        <v>2</v>
      </c>
    </row>
    <row r="1341" spans="1:88" ht="24.75" customHeight="1">
      <c r="A1341" s="36" t="s">
        <v>20</v>
      </c>
      <c r="B1341" s="29" t="s">
        <v>1789</v>
      </c>
      <c r="C1341" s="253" t="s">
        <v>2407</v>
      </c>
      <c r="D1341" s="36"/>
      <c r="E1341" s="39">
        <v>180</v>
      </c>
      <c r="F1341" s="39" t="s">
        <v>53</v>
      </c>
      <c r="G1341" s="36" t="s">
        <v>23</v>
      </c>
      <c r="H1341" s="36" t="s">
        <v>87</v>
      </c>
      <c r="I1341" s="39">
        <v>471</v>
      </c>
      <c r="J1341" s="39"/>
      <c r="K1341" s="39"/>
      <c r="L1341" s="39">
        <f t="shared" si="845"/>
        <v>471</v>
      </c>
      <c r="M1341" s="117">
        <v>46266</v>
      </c>
      <c r="N1341" s="117">
        <v>46275</v>
      </c>
      <c r="O1341" s="39"/>
      <c r="P1341" s="39"/>
      <c r="Q1341" s="39"/>
      <c r="R1341" s="39">
        <f t="shared" si="846"/>
        <v>0</v>
      </c>
      <c r="S1341" s="39" t="s">
        <v>28</v>
      </c>
      <c r="T1341" s="39"/>
      <c r="U1341" s="39"/>
      <c r="V1341" s="117">
        <v>46228</v>
      </c>
      <c r="W1341" s="39">
        <v>524</v>
      </c>
      <c r="X1341" s="117">
        <v>46256</v>
      </c>
      <c r="Y1341" s="39">
        <v>485</v>
      </c>
      <c r="Z1341" s="39"/>
      <c r="AA1341" s="39"/>
      <c r="AB1341" s="119">
        <f t="shared" si="847"/>
        <v>485</v>
      </c>
      <c r="AC1341" s="39"/>
      <c r="AD1341" s="39"/>
      <c r="AE1341" s="39"/>
      <c r="AF1341" s="39"/>
      <c r="AG1341" s="39"/>
      <c r="AH1341" s="39">
        <f t="shared" si="779"/>
        <v>0</v>
      </c>
      <c r="AI1341" s="39"/>
      <c r="AJ1341" s="39"/>
      <c r="AK1341" s="39"/>
      <c r="AL1341" s="39"/>
      <c r="AM1341" s="39"/>
      <c r="AN1341" s="39">
        <f t="shared" si="778"/>
        <v>0</v>
      </c>
      <c r="AO1341" s="39"/>
      <c r="AP1341" s="39"/>
      <c r="AQ1341" s="39"/>
      <c r="AR1341" s="39"/>
      <c r="AS1341" s="39"/>
      <c r="AT1341" s="39">
        <f t="shared" si="762"/>
        <v>0</v>
      </c>
      <c r="AU1341" s="39"/>
      <c r="AV1341" s="39"/>
      <c r="AW1341" s="39"/>
      <c r="AX1341" s="39"/>
      <c r="AY1341" s="39"/>
      <c r="AZ1341" s="39">
        <f t="shared" si="763"/>
        <v>0</v>
      </c>
      <c r="BA1341" s="39"/>
      <c r="BB1341" s="39"/>
      <c r="BC1341" s="39"/>
      <c r="BD1341" s="39"/>
      <c r="BE1341" s="39"/>
      <c r="BF1341" s="39">
        <f t="shared" si="764"/>
        <v>0</v>
      </c>
      <c r="BG1341" s="39"/>
      <c r="BH1341" s="39"/>
      <c r="BI1341" s="39"/>
      <c r="BJ1341" s="39"/>
      <c r="BK1341" s="39"/>
      <c r="BL1341" s="39">
        <f t="shared" si="780"/>
        <v>0</v>
      </c>
      <c r="BM1341" s="54" t="str">
        <f t="shared" si="765"/>
        <v/>
      </c>
      <c r="BN1341" s="59">
        <v>46276</v>
      </c>
      <c r="BO1341" s="57">
        <v>46284</v>
      </c>
      <c r="BP1341" s="36"/>
      <c r="BQ1341" s="36"/>
      <c r="BR1341" s="57">
        <v>46258</v>
      </c>
      <c r="BS1341" s="57">
        <v>46258</v>
      </c>
      <c r="BT1341" s="39">
        <v>1986</v>
      </c>
      <c r="BU1341" s="39">
        <v>485</v>
      </c>
      <c r="BV1341" s="39"/>
      <c r="BW1341" s="39"/>
      <c r="BX1341" s="39"/>
      <c r="BY1341" s="39"/>
      <c r="BZ1341" s="39">
        <f t="shared" si="781"/>
        <v>485</v>
      </c>
      <c r="CA1341" s="39">
        <f t="shared" si="766"/>
        <v>14</v>
      </c>
      <c r="CB1341" s="39">
        <f t="shared" si="767"/>
        <v>0</v>
      </c>
      <c r="CC1341" s="39">
        <f t="shared" si="768"/>
        <v>0</v>
      </c>
      <c r="CD1341" s="39">
        <f t="shared" si="782"/>
        <v>0</v>
      </c>
      <c r="CE1341" s="102">
        <f t="shared" si="769"/>
        <v>0</v>
      </c>
      <c r="CF1341" s="36"/>
      <c r="CG1341" s="39" t="s">
        <v>233</v>
      </c>
      <c r="CH1341" s="39"/>
      <c r="CI1341" s="25">
        <v>2</v>
      </c>
    </row>
    <row r="1342" spans="1:88" ht="24.75" customHeight="1">
      <c r="A1342" s="36" t="s">
        <v>20</v>
      </c>
      <c r="B1342" s="29" t="s">
        <v>1789</v>
      </c>
      <c r="C1342" s="266"/>
      <c r="D1342" s="36" t="s">
        <v>24</v>
      </c>
      <c r="E1342" s="39">
        <v>180</v>
      </c>
      <c r="F1342" s="39" t="s">
        <v>53</v>
      </c>
      <c r="G1342" s="36" t="s">
        <v>525</v>
      </c>
      <c r="H1342" s="36" t="s">
        <v>87</v>
      </c>
      <c r="I1342" s="39">
        <v>491</v>
      </c>
      <c r="J1342" s="39"/>
      <c r="K1342" s="39">
        <v>33</v>
      </c>
      <c r="L1342" s="39">
        <f t="shared" si="845"/>
        <v>524</v>
      </c>
      <c r="M1342" s="117">
        <v>46266</v>
      </c>
      <c r="N1342" s="117">
        <v>46275</v>
      </c>
      <c r="O1342" s="39"/>
      <c r="P1342" s="39"/>
      <c r="Q1342" s="39"/>
      <c r="R1342" s="39">
        <f t="shared" ref="R1342:R1366" si="848">SUM(O1342:Q1342)</f>
        <v>0</v>
      </c>
      <c r="S1342" s="39" t="s">
        <v>28</v>
      </c>
      <c r="T1342" s="39"/>
      <c r="U1342" s="39"/>
      <c r="V1342" s="117">
        <v>46242</v>
      </c>
      <c r="W1342" s="39">
        <f>515+41</f>
        <v>556</v>
      </c>
      <c r="X1342" s="117">
        <v>46249</v>
      </c>
      <c r="Y1342" s="39">
        <f>17+475</f>
        <v>492</v>
      </c>
      <c r="Z1342" s="39"/>
      <c r="AA1342" s="39">
        <v>40</v>
      </c>
      <c r="AB1342" s="119">
        <f t="shared" ref="AB1342:AB1344" si="849">SUM(Y1342:AA1342)</f>
        <v>532</v>
      </c>
      <c r="AC1342" s="39"/>
      <c r="AD1342" s="39"/>
      <c r="AE1342" s="39"/>
      <c r="AF1342" s="39"/>
      <c r="AG1342" s="39"/>
      <c r="AH1342" s="39">
        <f t="shared" si="779"/>
        <v>0</v>
      </c>
      <c r="AI1342" s="39"/>
      <c r="AJ1342" s="39"/>
      <c r="AK1342" s="39"/>
      <c r="AL1342" s="39"/>
      <c r="AM1342" s="39"/>
      <c r="AN1342" s="39">
        <f t="shared" si="778"/>
        <v>0</v>
      </c>
      <c r="AO1342" s="39"/>
      <c r="AP1342" s="39"/>
      <c r="AQ1342" s="39"/>
      <c r="AR1342" s="39"/>
      <c r="AS1342" s="39"/>
      <c r="AT1342" s="39">
        <f t="shared" si="762"/>
        <v>0</v>
      </c>
      <c r="AU1342" s="39"/>
      <c r="AV1342" s="39"/>
      <c r="AW1342" s="39"/>
      <c r="AX1342" s="39"/>
      <c r="AY1342" s="39"/>
      <c r="AZ1342" s="39">
        <f t="shared" si="763"/>
        <v>0</v>
      </c>
      <c r="BA1342" s="39"/>
      <c r="BB1342" s="39"/>
      <c r="BC1342" s="39"/>
      <c r="BD1342" s="39"/>
      <c r="BE1342" s="39"/>
      <c r="BF1342" s="39">
        <f t="shared" si="764"/>
        <v>0</v>
      </c>
      <c r="BG1342" s="39"/>
      <c r="BH1342" s="39"/>
      <c r="BI1342" s="39"/>
      <c r="BJ1342" s="39"/>
      <c r="BK1342" s="39"/>
      <c r="BL1342" s="39">
        <f t="shared" si="780"/>
        <v>0</v>
      </c>
      <c r="BM1342" s="54" t="str">
        <f t="shared" si="765"/>
        <v/>
      </c>
      <c r="BN1342" s="59">
        <v>46276</v>
      </c>
      <c r="BO1342" s="57">
        <v>46284</v>
      </c>
      <c r="BP1342" s="36"/>
      <c r="BQ1342" s="36"/>
      <c r="BR1342" s="57">
        <v>46249</v>
      </c>
      <c r="BS1342" s="57">
        <v>46249</v>
      </c>
      <c r="BT1342" s="39">
        <v>575</v>
      </c>
      <c r="BU1342" s="39">
        <v>492</v>
      </c>
      <c r="BV1342" s="39"/>
      <c r="BW1342" s="39"/>
      <c r="BX1342" s="39">
        <v>575</v>
      </c>
      <c r="BY1342" s="39">
        <v>40</v>
      </c>
      <c r="BZ1342" s="39">
        <f t="shared" si="781"/>
        <v>532</v>
      </c>
      <c r="CA1342" s="39">
        <f t="shared" si="766"/>
        <v>1</v>
      </c>
      <c r="CB1342" s="39">
        <f t="shared" si="767"/>
        <v>0</v>
      </c>
      <c r="CC1342" s="39">
        <f t="shared" si="768"/>
        <v>7</v>
      </c>
      <c r="CD1342" s="39">
        <f t="shared" si="782"/>
        <v>0</v>
      </c>
      <c r="CE1342" s="102">
        <f t="shared" si="769"/>
        <v>0</v>
      </c>
      <c r="CF1342" s="36"/>
      <c r="CG1342" s="39" t="s">
        <v>233</v>
      </c>
      <c r="CH1342" s="39"/>
      <c r="CI1342" s="25">
        <v>2</v>
      </c>
    </row>
    <row r="1343" spans="1:88" ht="24.75" customHeight="1">
      <c r="A1343" s="36" t="s">
        <v>20</v>
      </c>
      <c r="B1343" s="29" t="s">
        <v>1789</v>
      </c>
      <c r="C1343" s="266"/>
      <c r="D1343" s="36"/>
      <c r="E1343" s="39">
        <v>180</v>
      </c>
      <c r="F1343" s="39" t="s">
        <v>53</v>
      </c>
      <c r="G1343" s="36" t="s">
        <v>41</v>
      </c>
      <c r="H1343" s="36" t="s">
        <v>87</v>
      </c>
      <c r="I1343" s="39">
        <f>353-308+30</f>
        <v>75</v>
      </c>
      <c r="J1343" s="39"/>
      <c r="K1343" s="39"/>
      <c r="L1343" s="39">
        <f t="shared" si="845"/>
        <v>75</v>
      </c>
      <c r="M1343" s="117">
        <v>46266</v>
      </c>
      <c r="N1343" s="117">
        <v>46275</v>
      </c>
      <c r="O1343" s="39"/>
      <c r="P1343" s="39"/>
      <c r="Q1343" s="39"/>
      <c r="R1343" s="39">
        <f t="shared" si="848"/>
        <v>0</v>
      </c>
      <c r="S1343" s="39" t="s">
        <v>130</v>
      </c>
      <c r="T1343" s="39">
        <v>109214</v>
      </c>
      <c r="U1343" s="117">
        <v>46271</v>
      </c>
      <c r="V1343" s="117"/>
      <c r="W1343" s="39"/>
      <c r="X1343" s="39"/>
      <c r="Y1343" s="39">
        <v>90</v>
      </c>
      <c r="Z1343" s="39"/>
      <c r="AA1343" s="39"/>
      <c r="AB1343" s="119">
        <f t="shared" si="849"/>
        <v>90</v>
      </c>
      <c r="AC1343" s="39"/>
      <c r="AD1343" s="39"/>
      <c r="AE1343" s="39"/>
      <c r="AF1343" s="39"/>
      <c r="AG1343" s="39"/>
      <c r="AH1343" s="39">
        <f t="shared" si="779"/>
        <v>0</v>
      </c>
      <c r="AI1343" s="39"/>
      <c r="AJ1343" s="39"/>
      <c r="AK1343" s="39"/>
      <c r="AL1343" s="39"/>
      <c r="AM1343" s="39"/>
      <c r="AN1343" s="39">
        <f t="shared" si="778"/>
        <v>0</v>
      </c>
      <c r="AO1343" s="39"/>
      <c r="AP1343" s="39"/>
      <c r="AQ1343" s="39"/>
      <c r="AR1343" s="39"/>
      <c r="AS1343" s="39"/>
      <c r="AT1343" s="39">
        <f t="shared" si="762"/>
        <v>0</v>
      </c>
      <c r="AU1343" s="39"/>
      <c r="AV1343" s="39"/>
      <c r="AW1343" s="39"/>
      <c r="AX1343" s="39"/>
      <c r="AY1343" s="39"/>
      <c r="AZ1343" s="39">
        <f t="shared" si="763"/>
        <v>0</v>
      </c>
      <c r="BA1343" s="39"/>
      <c r="BB1343" s="39"/>
      <c r="BC1343" s="39"/>
      <c r="BD1343" s="39"/>
      <c r="BE1343" s="39"/>
      <c r="BF1343" s="39">
        <f t="shared" si="764"/>
        <v>0</v>
      </c>
      <c r="BG1343" s="39"/>
      <c r="BH1343" s="39"/>
      <c r="BI1343" s="39"/>
      <c r="BJ1343" s="39"/>
      <c r="BK1343" s="39"/>
      <c r="BL1343" s="39">
        <f t="shared" si="780"/>
        <v>0</v>
      </c>
      <c r="BM1343" s="54" t="str">
        <f t="shared" si="765"/>
        <v/>
      </c>
      <c r="BN1343" s="59">
        <v>46276</v>
      </c>
      <c r="BO1343" s="57">
        <v>46284</v>
      </c>
      <c r="BP1343" s="36"/>
      <c r="BQ1343" s="36"/>
      <c r="BR1343" s="57">
        <v>46272</v>
      </c>
      <c r="BS1343" s="57">
        <v>46272</v>
      </c>
      <c r="BT1343" s="39">
        <v>763</v>
      </c>
      <c r="BU1343" s="39">
        <v>80</v>
      </c>
      <c r="BV1343" s="39"/>
      <c r="BW1343" s="39"/>
      <c r="BX1343" s="39"/>
      <c r="BY1343" s="39"/>
      <c r="BZ1343" s="39">
        <f t="shared" si="781"/>
        <v>80</v>
      </c>
      <c r="CA1343" s="39">
        <f t="shared" si="766"/>
        <v>5</v>
      </c>
      <c r="CB1343" s="39">
        <f t="shared" si="767"/>
        <v>0</v>
      </c>
      <c r="CC1343" s="39">
        <f t="shared" si="768"/>
        <v>0</v>
      </c>
      <c r="CD1343" s="39">
        <f t="shared" si="782"/>
        <v>0</v>
      </c>
      <c r="CE1343" s="102">
        <f t="shared" si="769"/>
        <v>0</v>
      </c>
      <c r="CF1343" s="36"/>
      <c r="CG1343" s="39" t="s">
        <v>233</v>
      </c>
      <c r="CH1343" s="39"/>
      <c r="CI1343" s="25">
        <v>2</v>
      </c>
    </row>
    <row r="1344" spans="1:88" ht="24.75" customHeight="1">
      <c r="A1344" s="36" t="s">
        <v>20</v>
      </c>
      <c r="B1344" s="29" t="s">
        <v>1789</v>
      </c>
      <c r="C1344" s="254"/>
      <c r="D1344" s="36" t="s">
        <v>24</v>
      </c>
      <c r="E1344" s="39">
        <v>180</v>
      </c>
      <c r="F1344" s="39" t="s">
        <v>53</v>
      </c>
      <c r="G1344" s="36" t="s">
        <v>526</v>
      </c>
      <c r="H1344" s="36" t="s">
        <v>87</v>
      </c>
      <c r="I1344" s="39">
        <v>369</v>
      </c>
      <c r="J1344" s="39"/>
      <c r="K1344" s="39">
        <v>24</v>
      </c>
      <c r="L1344" s="39">
        <f t="shared" si="845"/>
        <v>393</v>
      </c>
      <c r="M1344" s="117">
        <v>46266</v>
      </c>
      <c r="N1344" s="117">
        <v>46275</v>
      </c>
      <c r="O1344" s="39"/>
      <c r="P1344" s="39"/>
      <c r="Q1344" s="39"/>
      <c r="R1344" s="39">
        <f t="shared" si="848"/>
        <v>0</v>
      </c>
      <c r="S1344" s="39" t="s">
        <v>28</v>
      </c>
      <c r="T1344" s="39"/>
      <c r="U1344" s="39"/>
      <c r="V1344" s="117">
        <v>46249</v>
      </c>
      <c r="W1344" s="39">
        <f>390+27</f>
        <v>417</v>
      </c>
      <c r="X1344" s="117">
        <v>46265</v>
      </c>
      <c r="Y1344" s="39">
        <v>370</v>
      </c>
      <c r="Z1344" s="39"/>
      <c r="AA1344" s="39">
        <v>26</v>
      </c>
      <c r="AB1344" s="119">
        <f t="shared" si="849"/>
        <v>396</v>
      </c>
      <c r="AC1344" s="39"/>
      <c r="AD1344" s="39"/>
      <c r="AE1344" s="39"/>
      <c r="AF1344" s="39"/>
      <c r="AG1344" s="39"/>
      <c r="AH1344" s="39">
        <f t="shared" si="779"/>
        <v>0</v>
      </c>
      <c r="AI1344" s="39"/>
      <c r="AJ1344" s="39"/>
      <c r="AK1344" s="39"/>
      <c r="AL1344" s="39"/>
      <c r="AM1344" s="39"/>
      <c r="AN1344" s="39">
        <f t="shared" si="778"/>
        <v>0</v>
      </c>
      <c r="AO1344" s="39"/>
      <c r="AP1344" s="39"/>
      <c r="AQ1344" s="39"/>
      <c r="AR1344" s="39"/>
      <c r="AS1344" s="39"/>
      <c r="AT1344" s="39">
        <f t="shared" si="762"/>
        <v>0</v>
      </c>
      <c r="AU1344" s="39"/>
      <c r="AV1344" s="39"/>
      <c r="AW1344" s="39"/>
      <c r="AX1344" s="39"/>
      <c r="AY1344" s="39"/>
      <c r="AZ1344" s="39">
        <f t="shared" si="763"/>
        <v>0</v>
      </c>
      <c r="BA1344" s="39"/>
      <c r="BB1344" s="39"/>
      <c r="BC1344" s="39"/>
      <c r="BD1344" s="39"/>
      <c r="BE1344" s="39"/>
      <c r="BF1344" s="39">
        <f t="shared" si="764"/>
        <v>0</v>
      </c>
      <c r="BG1344" s="39"/>
      <c r="BH1344" s="39"/>
      <c r="BI1344" s="39"/>
      <c r="BJ1344" s="39"/>
      <c r="BK1344" s="39"/>
      <c r="BL1344" s="39">
        <f t="shared" si="780"/>
        <v>0</v>
      </c>
      <c r="BM1344" s="54" t="str">
        <f t="shared" si="765"/>
        <v/>
      </c>
      <c r="BN1344" s="59">
        <v>46276</v>
      </c>
      <c r="BO1344" s="57">
        <v>46284</v>
      </c>
      <c r="BP1344" s="36"/>
      <c r="BQ1344" s="36"/>
      <c r="BR1344" s="57">
        <v>46267</v>
      </c>
      <c r="BS1344" s="57">
        <v>46267</v>
      </c>
      <c r="BT1344" s="39">
        <v>592</v>
      </c>
      <c r="BU1344" s="39">
        <v>370</v>
      </c>
      <c r="BV1344" s="39"/>
      <c r="BW1344" s="39"/>
      <c r="BX1344" s="39">
        <v>592</v>
      </c>
      <c r="BY1344" s="39">
        <v>26</v>
      </c>
      <c r="BZ1344" s="39">
        <f t="shared" si="781"/>
        <v>396</v>
      </c>
      <c r="CA1344" s="39">
        <f t="shared" si="766"/>
        <v>1</v>
      </c>
      <c r="CB1344" s="39">
        <f t="shared" si="767"/>
        <v>0</v>
      </c>
      <c r="CC1344" s="39">
        <f t="shared" si="768"/>
        <v>2</v>
      </c>
      <c r="CD1344" s="39">
        <f t="shared" si="782"/>
        <v>0</v>
      </c>
      <c r="CE1344" s="102">
        <f t="shared" si="769"/>
        <v>0</v>
      </c>
      <c r="CF1344" s="36"/>
      <c r="CG1344" s="39" t="s">
        <v>233</v>
      </c>
      <c r="CH1344" s="39"/>
      <c r="CI1344" s="25">
        <v>2</v>
      </c>
    </row>
    <row r="1345" spans="1:87" ht="24.75" customHeight="1">
      <c r="A1345" s="36" t="s">
        <v>20</v>
      </c>
      <c r="B1345" s="29" t="s">
        <v>2076</v>
      </c>
      <c r="C1345" s="227" t="s">
        <v>2077</v>
      </c>
      <c r="D1345" s="36"/>
      <c r="E1345" s="39">
        <v>180</v>
      </c>
      <c r="F1345" s="39" t="s">
        <v>53</v>
      </c>
      <c r="G1345" s="36" t="s">
        <v>527</v>
      </c>
      <c r="H1345" s="36" t="s">
        <v>87</v>
      </c>
      <c r="I1345" s="39">
        <v>243</v>
      </c>
      <c r="J1345" s="39"/>
      <c r="K1345" s="39"/>
      <c r="L1345" s="39">
        <f t="shared" ref="L1345" si="850">SUM(I1345:K1345)</f>
        <v>243</v>
      </c>
      <c r="M1345" s="117">
        <v>46266</v>
      </c>
      <c r="N1345" s="117">
        <v>46276</v>
      </c>
      <c r="O1345" s="39"/>
      <c r="P1345" s="39"/>
      <c r="Q1345" s="39"/>
      <c r="R1345" s="39">
        <f t="shared" si="848"/>
        <v>0</v>
      </c>
      <c r="S1345" s="39" t="s">
        <v>28</v>
      </c>
      <c r="T1345" s="39"/>
      <c r="U1345" s="39"/>
      <c r="V1345" s="117">
        <v>46252</v>
      </c>
      <c r="W1345" s="39">
        <v>285</v>
      </c>
      <c r="X1345" s="39"/>
      <c r="Y1345" s="39"/>
      <c r="Z1345" s="39"/>
      <c r="AA1345" s="39"/>
      <c r="AB1345" s="118">
        <f t="shared" ref="AB1345" si="851">SUM(Y1345:AA1345)</f>
        <v>0</v>
      </c>
      <c r="AC1345" s="39"/>
      <c r="AD1345" s="39"/>
      <c r="AE1345" s="39"/>
      <c r="AF1345" s="39"/>
      <c r="AG1345" s="39"/>
      <c r="AH1345" s="39">
        <f t="shared" si="779"/>
        <v>0</v>
      </c>
      <c r="AI1345" s="39"/>
      <c r="AJ1345" s="39"/>
      <c r="AK1345" s="39"/>
      <c r="AL1345" s="39"/>
      <c r="AM1345" s="39"/>
      <c r="AN1345" s="39">
        <f t="shared" si="778"/>
        <v>0</v>
      </c>
      <c r="AO1345" s="39"/>
      <c r="AP1345" s="39"/>
      <c r="AQ1345" s="39"/>
      <c r="AR1345" s="39"/>
      <c r="AS1345" s="39"/>
      <c r="AT1345" s="39">
        <f t="shared" si="762"/>
        <v>0</v>
      </c>
      <c r="AU1345" s="39"/>
      <c r="AV1345" s="39"/>
      <c r="AW1345" s="39"/>
      <c r="AX1345" s="39"/>
      <c r="AY1345" s="39"/>
      <c r="AZ1345" s="39">
        <f t="shared" si="763"/>
        <v>0</v>
      </c>
      <c r="BA1345" s="39"/>
      <c r="BB1345" s="39"/>
      <c r="BC1345" s="39"/>
      <c r="BD1345" s="39"/>
      <c r="BE1345" s="39"/>
      <c r="BF1345" s="39">
        <f t="shared" si="764"/>
        <v>0</v>
      </c>
      <c r="BG1345" s="39"/>
      <c r="BH1345" s="39"/>
      <c r="BI1345" s="39"/>
      <c r="BJ1345" s="39"/>
      <c r="BK1345" s="39"/>
      <c r="BL1345" s="39">
        <f t="shared" si="780"/>
        <v>0</v>
      </c>
      <c r="BM1345" s="54">
        <f t="shared" ca="1" si="765"/>
        <v>46283</v>
      </c>
      <c r="BN1345" s="59">
        <v>46277</v>
      </c>
      <c r="BO1345" s="57">
        <v>46287</v>
      </c>
      <c r="BP1345" s="36"/>
      <c r="BQ1345" s="36"/>
      <c r="BR1345" s="39"/>
      <c r="BS1345" s="39"/>
      <c r="BT1345" s="39"/>
      <c r="BU1345" s="39"/>
      <c r="BV1345" s="39"/>
      <c r="BW1345" s="39"/>
      <c r="BX1345" s="39"/>
      <c r="BY1345" s="39"/>
      <c r="BZ1345" s="39">
        <f t="shared" si="781"/>
        <v>0</v>
      </c>
      <c r="CA1345" s="39">
        <f t="shared" si="766"/>
        <v>-243</v>
      </c>
      <c r="CB1345" s="39">
        <f t="shared" si="767"/>
        <v>0</v>
      </c>
      <c r="CC1345" s="39">
        <f t="shared" si="768"/>
        <v>0</v>
      </c>
      <c r="CD1345" s="39">
        <f t="shared" si="782"/>
        <v>-243</v>
      </c>
      <c r="CE1345" s="102">
        <f t="shared" si="769"/>
        <v>-1</v>
      </c>
      <c r="CF1345" s="36"/>
      <c r="CG1345" s="39" t="s">
        <v>233</v>
      </c>
      <c r="CH1345" s="39"/>
      <c r="CI1345" s="25">
        <v>2</v>
      </c>
    </row>
    <row r="1346" spans="1:87" ht="24.75" customHeight="1">
      <c r="A1346" s="36" t="s">
        <v>20</v>
      </c>
      <c r="B1346" s="29" t="s">
        <v>2076</v>
      </c>
      <c r="C1346" s="228"/>
      <c r="D1346" s="36" t="s">
        <v>24</v>
      </c>
      <c r="E1346" s="39">
        <v>180</v>
      </c>
      <c r="F1346" s="39" t="s">
        <v>53</v>
      </c>
      <c r="G1346" s="36" t="s">
        <v>528</v>
      </c>
      <c r="H1346" s="36" t="s">
        <v>87</v>
      </c>
      <c r="I1346" s="39">
        <v>255</v>
      </c>
      <c r="J1346" s="39"/>
      <c r="K1346" s="39">
        <v>18</v>
      </c>
      <c r="L1346" s="39">
        <f t="shared" ref="L1346" si="852">SUM(I1346:K1346)</f>
        <v>273</v>
      </c>
      <c r="M1346" s="117">
        <v>46266</v>
      </c>
      <c r="N1346" s="117">
        <v>46276</v>
      </c>
      <c r="O1346" s="39"/>
      <c r="P1346" s="39"/>
      <c r="Q1346" s="39"/>
      <c r="R1346" s="39">
        <f t="shared" si="848"/>
        <v>0</v>
      </c>
      <c r="S1346" s="39" t="s">
        <v>28</v>
      </c>
      <c r="T1346" s="39"/>
      <c r="U1346" s="39"/>
      <c r="V1346" s="117">
        <v>46270</v>
      </c>
      <c r="W1346" s="39">
        <f>270+20</f>
        <v>290</v>
      </c>
      <c r="X1346" s="39"/>
      <c r="Y1346" s="39"/>
      <c r="Z1346" s="39"/>
      <c r="AA1346" s="39"/>
      <c r="AB1346" s="118">
        <f t="shared" ref="AB1346:AB1366" si="853">SUM(Y1346:AA1346)</f>
        <v>0</v>
      </c>
      <c r="AC1346" s="39"/>
      <c r="AD1346" s="39"/>
      <c r="AE1346" s="39"/>
      <c r="AF1346" s="39"/>
      <c r="AG1346" s="39"/>
      <c r="AH1346" s="39">
        <f t="shared" si="779"/>
        <v>0</v>
      </c>
      <c r="AI1346" s="39"/>
      <c r="AJ1346" s="39"/>
      <c r="AK1346" s="39"/>
      <c r="AL1346" s="39"/>
      <c r="AM1346" s="39"/>
      <c r="AN1346" s="39">
        <f t="shared" si="778"/>
        <v>0</v>
      </c>
      <c r="AO1346" s="39"/>
      <c r="AP1346" s="39"/>
      <c r="AQ1346" s="39"/>
      <c r="AR1346" s="39"/>
      <c r="AS1346" s="39"/>
      <c r="AT1346" s="39">
        <f t="shared" si="762"/>
        <v>0</v>
      </c>
      <c r="AU1346" s="39"/>
      <c r="AV1346" s="39"/>
      <c r="AW1346" s="39"/>
      <c r="AX1346" s="39"/>
      <c r="AY1346" s="39"/>
      <c r="AZ1346" s="39">
        <f t="shared" si="763"/>
        <v>0</v>
      </c>
      <c r="BA1346" s="39"/>
      <c r="BB1346" s="39"/>
      <c r="BC1346" s="39"/>
      <c r="BD1346" s="39"/>
      <c r="BE1346" s="39"/>
      <c r="BF1346" s="39">
        <f t="shared" si="764"/>
        <v>0</v>
      </c>
      <c r="BG1346" s="39"/>
      <c r="BH1346" s="39"/>
      <c r="BI1346" s="39"/>
      <c r="BJ1346" s="39"/>
      <c r="BK1346" s="39"/>
      <c r="BL1346" s="39">
        <f t="shared" si="780"/>
        <v>0</v>
      </c>
      <c r="BM1346" s="54">
        <f t="shared" ca="1" si="765"/>
        <v>46283</v>
      </c>
      <c r="BN1346" s="59">
        <v>46277</v>
      </c>
      <c r="BO1346" s="57">
        <v>46287</v>
      </c>
      <c r="BP1346" s="36"/>
      <c r="BQ1346" s="36"/>
      <c r="BR1346" s="39"/>
      <c r="BS1346" s="39"/>
      <c r="BT1346" s="39"/>
      <c r="BU1346" s="39"/>
      <c r="BV1346" s="39"/>
      <c r="BW1346" s="39"/>
      <c r="BX1346" s="39"/>
      <c r="BY1346" s="39"/>
      <c r="BZ1346" s="39">
        <f t="shared" si="781"/>
        <v>0</v>
      </c>
      <c r="CA1346" s="39">
        <f t="shared" si="766"/>
        <v>-255</v>
      </c>
      <c r="CB1346" s="39">
        <f t="shared" si="767"/>
        <v>0</v>
      </c>
      <c r="CC1346" s="39">
        <f t="shared" si="768"/>
        <v>-18</v>
      </c>
      <c r="CD1346" s="39">
        <f t="shared" si="782"/>
        <v>-273</v>
      </c>
      <c r="CE1346" s="102">
        <f t="shared" si="769"/>
        <v>-1</v>
      </c>
      <c r="CF1346" s="36"/>
      <c r="CG1346" s="39" t="s">
        <v>233</v>
      </c>
      <c r="CH1346" s="39"/>
      <c r="CI1346" s="25">
        <v>2</v>
      </c>
    </row>
    <row r="1347" spans="1:87" ht="24.75" customHeight="1">
      <c r="A1347" s="36" t="s">
        <v>20</v>
      </c>
      <c r="B1347" s="29" t="s">
        <v>2078</v>
      </c>
      <c r="C1347" s="36" t="s">
        <v>2079</v>
      </c>
      <c r="D1347" s="36"/>
      <c r="E1347" s="39">
        <v>220</v>
      </c>
      <c r="F1347" s="39" t="s">
        <v>64</v>
      </c>
      <c r="G1347" s="36" t="s">
        <v>23</v>
      </c>
      <c r="H1347" s="36" t="s">
        <v>2080</v>
      </c>
      <c r="I1347" s="39">
        <v>254</v>
      </c>
      <c r="J1347" s="39"/>
      <c r="K1347" s="39"/>
      <c r="L1347" s="39">
        <f t="shared" ref="L1347:L1349" si="854">SUM(I1347:K1347)</f>
        <v>254</v>
      </c>
      <c r="M1347" s="117">
        <v>46266</v>
      </c>
      <c r="N1347" s="117">
        <v>46277</v>
      </c>
      <c r="O1347" s="39"/>
      <c r="P1347" s="39"/>
      <c r="Q1347" s="39"/>
      <c r="R1347" s="39">
        <f t="shared" si="848"/>
        <v>0</v>
      </c>
      <c r="S1347" s="39" t="s">
        <v>130</v>
      </c>
      <c r="T1347" s="39"/>
      <c r="U1347" s="39"/>
      <c r="V1347" s="39"/>
      <c r="W1347" s="39"/>
      <c r="X1347" s="39"/>
      <c r="Y1347" s="39"/>
      <c r="Z1347" s="39"/>
      <c r="AA1347" s="39"/>
      <c r="AB1347" s="118">
        <f t="shared" si="853"/>
        <v>0</v>
      </c>
      <c r="AC1347" s="39"/>
      <c r="AD1347" s="39"/>
      <c r="AE1347" s="39"/>
      <c r="AF1347" s="39"/>
      <c r="AG1347" s="39"/>
      <c r="AH1347" s="39">
        <f t="shared" si="779"/>
        <v>0</v>
      </c>
      <c r="AI1347" s="39"/>
      <c r="AJ1347" s="39"/>
      <c r="AK1347" s="39"/>
      <c r="AL1347" s="39"/>
      <c r="AM1347" s="39"/>
      <c r="AN1347" s="39">
        <f t="shared" si="778"/>
        <v>0</v>
      </c>
      <c r="AO1347" s="39"/>
      <c r="AP1347" s="39"/>
      <c r="AQ1347" s="39"/>
      <c r="AR1347" s="39"/>
      <c r="AS1347" s="39"/>
      <c r="AT1347" s="39">
        <f t="shared" si="762"/>
        <v>0</v>
      </c>
      <c r="AU1347" s="39"/>
      <c r="AV1347" s="39"/>
      <c r="AW1347" s="39"/>
      <c r="AX1347" s="39"/>
      <c r="AY1347" s="39"/>
      <c r="AZ1347" s="39">
        <f t="shared" si="763"/>
        <v>0</v>
      </c>
      <c r="BA1347" s="39"/>
      <c r="BB1347" s="39"/>
      <c r="BC1347" s="39"/>
      <c r="BD1347" s="39"/>
      <c r="BE1347" s="39"/>
      <c r="BF1347" s="39">
        <f t="shared" si="764"/>
        <v>0</v>
      </c>
      <c r="BG1347" s="39"/>
      <c r="BH1347" s="39"/>
      <c r="BI1347" s="39"/>
      <c r="BJ1347" s="39"/>
      <c r="BK1347" s="39"/>
      <c r="BL1347" s="39">
        <f t="shared" si="780"/>
        <v>0</v>
      </c>
      <c r="BM1347" s="54">
        <f t="shared" ca="1" si="765"/>
        <v>46283</v>
      </c>
      <c r="BN1347" s="59">
        <v>46279</v>
      </c>
      <c r="BO1347" s="57">
        <v>46290</v>
      </c>
      <c r="BP1347" s="36"/>
      <c r="BQ1347" s="36"/>
      <c r="BR1347" s="39"/>
      <c r="BS1347" s="39"/>
      <c r="BT1347" s="39"/>
      <c r="BU1347" s="39"/>
      <c r="BV1347" s="39"/>
      <c r="BW1347" s="39"/>
      <c r="BX1347" s="39"/>
      <c r="BY1347" s="39"/>
      <c r="BZ1347" s="39">
        <f t="shared" si="781"/>
        <v>0</v>
      </c>
      <c r="CA1347" s="39">
        <f t="shared" si="766"/>
        <v>-254</v>
      </c>
      <c r="CB1347" s="39">
        <f t="shared" si="767"/>
        <v>0</v>
      </c>
      <c r="CC1347" s="39">
        <f t="shared" si="768"/>
        <v>0</v>
      </c>
      <c r="CD1347" s="39">
        <f t="shared" si="782"/>
        <v>-254</v>
      </c>
      <c r="CE1347" s="102">
        <f t="shared" si="769"/>
        <v>-1</v>
      </c>
      <c r="CF1347" s="36"/>
      <c r="CG1347" s="39" t="s">
        <v>233</v>
      </c>
      <c r="CH1347" s="39"/>
      <c r="CI1347" s="25">
        <v>2</v>
      </c>
    </row>
    <row r="1348" spans="1:87" ht="24.75" customHeight="1">
      <c r="A1348" s="36" t="s">
        <v>20</v>
      </c>
      <c r="B1348" s="29" t="s">
        <v>2148</v>
      </c>
      <c r="C1348" s="227" t="s">
        <v>2797</v>
      </c>
      <c r="D1348" s="36"/>
      <c r="E1348" s="39">
        <v>240</v>
      </c>
      <c r="F1348" s="39" t="s">
        <v>349</v>
      </c>
      <c r="G1348" s="36" t="s">
        <v>23</v>
      </c>
      <c r="H1348" s="36" t="s">
        <v>264</v>
      </c>
      <c r="I1348" s="39">
        <v>370</v>
      </c>
      <c r="J1348" s="39"/>
      <c r="K1348" s="39"/>
      <c r="L1348" s="39">
        <f t="shared" ref="L1348" si="855">SUM(I1348:K1348)</f>
        <v>370</v>
      </c>
      <c r="M1348" s="117">
        <v>46266</v>
      </c>
      <c r="N1348" s="117">
        <v>46279</v>
      </c>
      <c r="O1348" s="39"/>
      <c r="P1348" s="39"/>
      <c r="Q1348" s="39"/>
      <c r="R1348" s="39">
        <f t="shared" ref="R1348" si="856">SUM(O1348:Q1348)</f>
        <v>0</v>
      </c>
      <c r="S1348" s="39" t="s">
        <v>130</v>
      </c>
      <c r="T1348" s="39">
        <v>109387</v>
      </c>
      <c r="U1348" s="117">
        <v>46279</v>
      </c>
      <c r="V1348" s="39"/>
      <c r="W1348" s="39"/>
      <c r="X1348" s="39"/>
      <c r="Y1348" s="39">
        <v>403</v>
      </c>
      <c r="Z1348" s="39"/>
      <c r="AA1348" s="39"/>
      <c r="AB1348" s="119">
        <f t="shared" ref="AB1348" si="857">SUM(Y1348:AA1348)</f>
        <v>403</v>
      </c>
      <c r="AC1348" s="39"/>
      <c r="AD1348" s="39"/>
      <c r="AE1348" s="39"/>
      <c r="AF1348" s="39"/>
      <c r="AG1348" s="39"/>
      <c r="AH1348" s="39">
        <f t="shared" ref="AH1348" si="858">AG1348-AE1348</f>
        <v>0</v>
      </c>
      <c r="AI1348" s="39"/>
      <c r="AJ1348" s="39"/>
      <c r="AK1348" s="39"/>
      <c r="AL1348" s="39"/>
      <c r="AM1348" s="39"/>
      <c r="AN1348" s="39">
        <f t="shared" ref="AN1348" si="859">AM1348-AK1348</f>
        <v>0</v>
      </c>
      <c r="AO1348" s="39"/>
      <c r="AP1348" s="39"/>
      <c r="AQ1348" s="39"/>
      <c r="AR1348" s="39"/>
      <c r="AS1348" s="39"/>
      <c r="AT1348" s="39">
        <f t="shared" ref="AT1348" si="860">AS1348-AQ1348</f>
        <v>0</v>
      </c>
      <c r="AU1348" s="39"/>
      <c r="AV1348" s="39"/>
      <c r="AW1348" s="39"/>
      <c r="AX1348" s="39"/>
      <c r="AY1348" s="39"/>
      <c r="AZ1348" s="39">
        <f t="shared" ref="AZ1348" si="861">AY1348-AW1348</f>
        <v>0</v>
      </c>
      <c r="BA1348" s="39"/>
      <c r="BB1348" s="39"/>
      <c r="BC1348" s="39"/>
      <c r="BD1348" s="39"/>
      <c r="BE1348" s="39"/>
      <c r="BF1348" s="39">
        <f t="shared" ref="BF1348" si="862">BE1348-BC1348</f>
        <v>0</v>
      </c>
      <c r="BG1348" s="39"/>
      <c r="BH1348" s="39"/>
      <c r="BI1348" s="39"/>
      <c r="BJ1348" s="39"/>
      <c r="BK1348" s="39"/>
      <c r="BL1348" s="39">
        <f t="shared" ref="BL1348" si="863">BK1348-BI1348</f>
        <v>0</v>
      </c>
      <c r="BM1348" s="54">
        <f t="shared" ref="BM1348" ca="1" si="864">IF((BZ1348/L1348)&lt;0.9,$CO$1-U1348,"")</f>
        <v>4</v>
      </c>
      <c r="BN1348" s="59">
        <v>46280</v>
      </c>
      <c r="BO1348" s="57">
        <v>46298</v>
      </c>
      <c r="BP1348" s="36"/>
      <c r="BQ1348" s="36"/>
      <c r="BR1348" s="39"/>
      <c r="BS1348" s="39"/>
      <c r="BT1348" s="39"/>
      <c r="BU1348" s="39"/>
      <c r="BV1348" s="39"/>
      <c r="BW1348" s="39"/>
      <c r="BX1348" s="39"/>
      <c r="BY1348" s="39"/>
      <c r="BZ1348" s="39">
        <f t="shared" ref="BZ1348" si="865">BU1348+BW1348+BY1348</f>
        <v>0</v>
      </c>
      <c r="CA1348" s="39">
        <f t="shared" ref="CA1348" si="866">BU1348-I1348</f>
        <v>-370</v>
      </c>
      <c r="CB1348" s="39">
        <f t="shared" ref="CB1348" si="867">BW1348-J1348</f>
        <v>0</v>
      </c>
      <c r="CC1348" s="39">
        <f t="shared" ref="CC1348" si="868">BY1348-K1348</f>
        <v>0</v>
      </c>
      <c r="CD1348" s="39">
        <f t="shared" ref="CD1348" si="869">SUMIF(CA1348:CC1348,"&lt;0")</f>
        <v>-370</v>
      </c>
      <c r="CE1348" s="102">
        <f t="shared" ref="CE1348" si="870">CD1348/L1348</f>
        <v>-1</v>
      </c>
      <c r="CF1348" s="36"/>
      <c r="CG1348" s="39" t="s">
        <v>233</v>
      </c>
      <c r="CH1348" s="39"/>
      <c r="CI1348" s="25">
        <v>2</v>
      </c>
    </row>
    <row r="1349" spans="1:87" ht="24.75" customHeight="1">
      <c r="A1349" s="36" t="s">
        <v>20</v>
      </c>
      <c r="B1349" s="29" t="s">
        <v>2148</v>
      </c>
      <c r="C1349" s="228"/>
      <c r="D1349" s="36"/>
      <c r="E1349" s="39">
        <v>240</v>
      </c>
      <c r="F1349" s="39" t="s">
        <v>349</v>
      </c>
      <c r="G1349" s="36" t="s">
        <v>192</v>
      </c>
      <c r="H1349" s="36" t="s">
        <v>264</v>
      </c>
      <c r="I1349" s="39">
        <v>530</v>
      </c>
      <c r="J1349" s="39"/>
      <c r="K1349" s="39"/>
      <c r="L1349" s="39">
        <f t="shared" si="854"/>
        <v>530</v>
      </c>
      <c r="M1349" s="117">
        <v>46266</v>
      </c>
      <c r="N1349" s="117">
        <v>46279</v>
      </c>
      <c r="O1349" s="39"/>
      <c r="P1349" s="39"/>
      <c r="Q1349" s="39"/>
      <c r="R1349" s="39">
        <f t="shared" si="848"/>
        <v>0</v>
      </c>
      <c r="S1349" s="39" t="s">
        <v>130</v>
      </c>
      <c r="T1349" s="39"/>
      <c r="U1349" s="39"/>
      <c r="V1349" s="39"/>
      <c r="W1349" s="39"/>
      <c r="X1349" s="39"/>
      <c r="Y1349" s="39"/>
      <c r="Z1349" s="39"/>
      <c r="AA1349" s="39"/>
      <c r="AB1349" s="118">
        <f t="shared" si="853"/>
        <v>0</v>
      </c>
      <c r="AC1349" s="39"/>
      <c r="AD1349" s="39"/>
      <c r="AE1349" s="39"/>
      <c r="AF1349" s="39"/>
      <c r="AG1349" s="39"/>
      <c r="AH1349" s="39">
        <f t="shared" si="779"/>
        <v>0</v>
      </c>
      <c r="AI1349" s="39"/>
      <c r="AJ1349" s="39"/>
      <c r="AK1349" s="39"/>
      <c r="AL1349" s="39"/>
      <c r="AM1349" s="39"/>
      <c r="AN1349" s="39">
        <f t="shared" si="778"/>
        <v>0</v>
      </c>
      <c r="AO1349" s="39"/>
      <c r="AP1349" s="39"/>
      <c r="AQ1349" s="39"/>
      <c r="AR1349" s="39"/>
      <c r="AS1349" s="39"/>
      <c r="AT1349" s="39">
        <f t="shared" si="762"/>
        <v>0</v>
      </c>
      <c r="AU1349" s="39"/>
      <c r="AV1349" s="39"/>
      <c r="AW1349" s="39"/>
      <c r="AX1349" s="39"/>
      <c r="AY1349" s="39"/>
      <c r="AZ1349" s="39">
        <f t="shared" si="763"/>
        <v>0</v>
      </c>
      <c r="BA1349" s="39"/>
      <c r="BB1349" s="39"/>
      <c r="BC1349" s="39"/>
      <c r="BD1349" s="39"/>
      <c r="BE1349" s="39"/>
      <c r="BF1349" s="39">
        <f t="shared" si="764"/>
        <v>0</v>
      </c>
      <c r="BG1349" s="39"/>
      <c r="BH1349" s="39"/>
      <c r="BI1349" s="39"/>
      <c r="BJ1349" s="39"/>
      <c r="BK1349" s="39"/>
      <c r="BL1349" s="39">
        <f t="shared" si="780"/>
        <v>0</v>
      </c>
      <c r="BM1349" s="54">
        <f t="shared" ca="1" si="765"/>
        <v>46283</v>
      </c>
      <c r="BN1349" s="59">
        <v>46280</v>
      </c>
      <c r="BO1349" s="57">
        <v>46298</v>
      </c>
      <c r="BP1349" s="36"/>
      <c r="BQ1349" s="36"/>
      <c r="BR1349" s="39"/>
      <c r="BS1349" s="39"/>
      <c r="BT1349" s="39"/>
      <c r="BU1349" s="39"/>
      <c r="BV1349" s="39"/>
      <c r="BW1349" s="39"/>
      <c r="BX1349" s="39"/>
      <c r="BY1349" s="39"/>
      <c r="BZ1349" s="39">
        <f t="shared" si="781"/>
        <v>0</v>
      </c>
      <c r="CA1349" s="39">
        <f t="shared" si="766"/>
        <v>-530</v>
      </c>
      <c r="CB1349" s="39">
        <f t="shared" si="767"/>
        <v>0</v>
      </c>
      <c r="CC1349" s="39">
        <f t="shared" si="768"/>
        <v>0</v>
      </c>
      <c r="CD1349" s="39">
        <f t="shared" si="782"/>
        <v>-530</v>
      </c>
      <c r="CE1349" s="102">
        <f t="shared" si="769"/>
        <v>-1</v>
      </c>
      <c r="CF1349" s="36"/>
      <c r="CG1349" s="39" t="s">
        <v>233</v>
      </c>
      <c r="CH1349" s="39"/>
      <c r="CI1349" s="25">
        <v>2</v>
      </c>
    </row>
    <row r="1350" spans="1:87" ht="24.75" customHeight="1">
      <c r="A1350" s="36" t="s">
        <v>20</v>
      </c>
      <c r="B1350" s="29" t="s">
        <v>2149</v>
      </c>
      <c r="C1350" s="36" t="s">
        <v>2150</v>
      </c>
      <c r="D1350" s="36"/>
      <c r="E1350" s="39">
        <v>280</v>
      </c>
      <c r="F1350" s="39" t="s">
        <v>64</v>
      </c>
      <c r="G1350" s="36" t="s">
        <v>23</v>
      </c>
      <c r="H1350" s="36" t="s">
        <v>972</v>
      </c>
      <c r="I1350" s="39">
        <v>620</v>
      </c>
      <c r="J1350" s="39"/>
      <c r="K1350" s="39"/>
      <c r="L1350" s="39">
        <f t="shared" ref="L1350:L1352" si="871">SUM(I1350:K1350)</f>
        <v>620</v>
      </c>
      <c r="M1350" s="117">
        <v>46266</v>
      </c>
      <c r="N1350" s="117">
        <v>46273</v>
      </c>
      <c r="O1350" s="39"/>
      <c r="P1350" s="39"/>
      <c r="Q1350" s="39"/>
      <c r="R1350" s="39">
        <f t="shared" si="848"/>
        <v>0</v>
      </c>
      <c r="S1350" s="39" t="s">
        <v>130</v>
      </c>
      <c r="T1350" s="39">
        <v>109345</v>
      </c>
      <c r="U1350" s="117">
        <v>46279</v>
      </c>
      <c r="V1350" s="39"/>
      <c r="W1350" s="39"/>
      <c r="X1350" s="39"/>
      <c r="Y1350" s="39">
        <v>655</v>
      </c>
      <c r="Z1350" s="39"/>
      <c r="AA1350" s="39"/>
      <c r="AB1350" s="119">
        <f t="shared" si="853"/>
        <v>655</v>
      </c>
      <c r="AC1350" s="39"/>
      <c r="AD1350" s="39"/>
      <c r="AE1350" s="39"/>
      <c r="AF1350" s="39"/>
      <c r="AG1350" s="39"/>
      <c r="AH1350" s="39">
        <f t="shared" si="779"/>
        <v>0</v>
      </c>
      <c r="AI1350" s="39"/>
      <c r="AJ1350" s="39"/>
      <c r="AK1350" s="39"/>
      <c r="AL1350" s="39"/>
      <c r="AM1350" s="39"/>
      <c r="AN1350" s="39">
        <f t="shared" si="778"/>
        <v>0</v>
      </c>
      <c r="AO1350" s="39"/>
      <c r="AP1350" s="39"/>
      <c r="AQ1350" s="39"/>
      <c r="AR1350" s="39"/>
      <c r="AS1350" s="39"/>
      <c r="AT1350" s="39">
        <f t="shared" si="762"/>
        <v>0</v>
      </c>
      <c r="AU1350" s="39"/>
      <c r="AV1350" s="39"/>
      <c r="AW1350" s="39"/>
      <c r="AX1350" s="39"/>
      <c r="AY1350" s="39"/>
      <c r="AZ1350" s="39">
        <f t="shared" si="763"/>
        <v>0</v>
      </c>
      <c r="BA1350" s="39"/>
      <c r="BB1350" s="39"/>
      <c r="BC1350" s="39"/>
      <c r="BD1350" s="39"/>
      <c r="BE1350" s="39"/>
      <c r="BF1350" s="39">
        <f t="shared" si="764"/>
        <v>0</v>
      </c>
      <c r="BG1350" s="39"/>
      <c r="BH1350" s="39"/>
      <c r="BI1350" s="39"/>
      <c r="BJ1350" s="39"/>
      <c r="BK1350" s="39"/>
      <c r="BL1350" s="39">
        <f t="shared" si="780"/>
        <v>0</v>
      </c>
      <c r="BM1350" s="54" t="str">
        <f t="shared" si="765"/>
        <v/>
      </c>
      <c r="BN1350" s="59">
        <v>46280</v>
      </c>
      <c r="BO1350" s="57">
        <v>46290</v>
      </c>
      <c r="BP1350" s="36"/>
      <c r="BQ1350" s="36"/>
      <c r="BR1350" s="117">
        <v>46282</v>
      </c>
      <c r="BS1350" s="117">
        <v>46282</v>
      </c>
      <c r="BT1350" s="39">
        <v>910</v>
      </c>
      <c r="BU1350" s="39">
        <v>635</v>
      </c>
      <c r="BV1350" s="39"/>
      <c r="BW1350" s="39"/>
      <c r="BX1350" s="39"/>
      <c r="BY1350" s="39"/>
      <c r="BZ1350" s="39">
        <f t="shared" si="781"/>
        <v>635</v>
      </c>
      <c r="CA1350" s="39">
        <f t="shared" si="766"/>
        <v>15</v>
      </c>
      <c r="CB1350" s="39">
        <f t="shared" si="767"/>
        <v>0</v>
      </c>
      <c r="CC1350" s="39">
        <f t="shared" si="768"/>
        <v>0</v>
      </c>
      <c r="CD1350" s="39">
        <f t="shared" si="782"/>
        <v>0</v>
      </c>
      <c r="CE1350" s="102">
        <f t="shared" si="769"/>
        <v>0</v>
      </c>
      <c r="CF1350" s="36"/>
      <c r="CG1350" s="39" t="s">
        <v>232</v>
      </c>
      <c r="CH1350" s="39"/>
      <c r="CI1350" s="25">
        <v>2</v>
      </c>
    </row>
    <row r="1351" spans="1:87" ht="24.75" customHeight="1">
      <c r="A1351" s="36" t="s">
        <v>20</v>
      </c>
      <c r="B1351" s="29" t="s">
        <v>2151</v>
      </c>
      <c r="C1351" s="36" t="s">
        <v>2152</v>
      </c>
      <c r="D1351" s="36"/>
      <c r="E1351" s="39">
        <v>200</v>
      </c>
      <c r="F1351" s="39" t="s">
        <v>60</v>
      </c>
      <c r="G1351" s="36" t="s">
        <v>23</v>
      </c>
      <c r="H1351" s="36" t="s">
        <v>91</v>
      </c>
      <c r="I1351" s="39">
        <v>182</v>
      </c>
      <c r="J1351" s="39"/>
      <c r="K1351" s="39"/>
      <c r="L1351" s="39">
        <f t="shared" si="871"/>
        <v>182</v>
      </c>
      <c r="M1351" s="117">
        <v>46266</v>
      </c>
      <c r="N1351" s="117">
        <v>46272</v>
      </c>
      <c r="O1351" s="39"/>
      <c r="P1351" s="39"/>
      <c r="Q1351" s="39"/>
      <c r="R1351" s="39">
        <f t="shared" si="848"/>
        <v>0</v>
      </c>
      <c r="S1351" s="39" t="s">
        <v>28</v>
      </c>
      <c r="T1351" s="39"/>
      <c r="U1351" s="39"/>
      <c r="V1351" s="117">
        <v>46259</v>
      </c>
      <c r="W1351" s="39">
        <v>209</v>
      </c>
      <c r="X1351" s="117">
        <v>46275</v>
      </c>
      <c r="Y1351" s="39">
        <v>196</v>
      </c>
      <c r="Z1351" s="39"/>
      <c r="AA1351" s="39"/>
      <c r="AB1351" s="119">
        <f t="shared" si="853"/>
        <v>196</v>
      </c>
      <c r="AC1351" s="39"/>
      <c r="AD1351" s="39"/>
      <c r="AE1351" s="39"/>
      <c r="AF1351" s="39"/>
      <c r="AG1351" s="39"/>
      <c r="AH1351" s="39">
        <f t="shared" si="779"/>
        <v>0</v>
      </c>
      <c r="AI1351" s="39"/>
      <c r="AJ1351" s="39"/>
      <c r="AK1351" s="39"/>
      <c r="AL1351" s="39"/>
      <c r="AM1351" s="39"/>
      <c r="AN1351" s="39">
        <f t="shared" si="778"/>
        <v>0</v>
      </c>
      <c r="AO1351" s="39"/>
      <c r="AP1351" s="39"/>
      <c r="AQ1351" s="39"/>
      <c r="AR1351" s="39"/>
      <c r="AS1351" s="39"/>
      <c r="AT1351" s="39">
        <f t="shared" si="762"/>
        <v>0</v>
      </c>
      <c r="AU1351" s="39"/>
      <c r="AV1351" s="39"/>
      <c r="AW1351" s="39"/>
      <c r="AX1351" s="39"/>
      <c r="AY1351" s="39"/>
      <c r="AZ1351" s="39">
        <f t="shared" si="763"/>
        <v>0</v>
      </c>
      <c r="BA1351" s="39"/>
      <c r="BB1351" s="39"/>
      <c r="BC1351" s="39"/>
      <c r="BD1351" s="39"/>
      <c r="BE1351" s="39"/>
      <c r="BF1351" s="39">
        <f t="shared" si="764"/>
        <v>0</v>
      </c>
      <c r="BG1351" s="39"/>
      <c r="BH1351" s="39"/>
      <c r="BI1351" s="39"/>
      <c r="BJ1351" s="39"/>
      <c r="BK1351" s="39"/>
      <c r="BL1351" s="39">
        <f t="shared" si="780"/>
        <v>0</v>
      </c>
      <c r="BM1351" s="54" t="str">
        <f t="shared" si="765"/>
        <v/>
      </c>
      <c r="BN1351" s="59">
        <v>46280</v>
      </c>
      <c r="BO1351" s="57">
        <v>46290</v>
      </c>
      <c r="BP1351" s="36"/>
      <c r="BQ1351" s="36"/>
      <c r="BR1351" s="117">
        <v>46272</v>
      </c>
      <c r="BS1351" s="117">
        <v>46272</v>
      </c>
      <c r="BT1351" s="39">
        <v>965</v>
      </c>
      <c r="BU1351" s="39">
        <v>196</v>
      </c>
      <c r="BV1351" s="39"/>
      <c r="BW1351" s="39"/>
      <c r="BX1351" s="39"/>
      <c r="BY1351" s="39"/>
      <c r="BZ1351" s="39">
        <f t="shared" si="781"/>
        <v>196</v>
      </c>
      <c r="CA1351" s="39">
        <f t="shared" si="766"/>
        <v>14</v>
      </c>
      <c r="CB1351" s="39">
        <f t="shared" si="767"/>
        <v>0</v>
      </c>
      <c r="CC1351" s="39">
        <f t="shared" si="768"/>
        <v>0</v>
      </c>
      <c r="CD1351" s="39">
        <f t="shared" si="782"/>
        <v>0</v>
      </c>
      <c r="CE1351" s="102">
        <f t="shared" si="769"/>
        <v>0</v>
      </c>
      <c r="CF1351" s="36"/>
      <c r="CG1351" s="39" t="s">
        <v>232</v>
      </c>
      <c r="CH1351" s="39"/>
      <c r="CI1351" s="25">
        <v>2</v>
      </c>
    </row>
    <row r="1352" spans="1:87" ht="24.75" customHeight="1">
      <c r="A1352" s="36" t="s">
        <v>20</v>
      </c>
      <c r="B1352" s="29" t="s">
        <v>2153</v>
      </c>
      <c r="C1352" s="144" t="s">
        <v>2154</v>
      </c>
      <c r="D1352" s="36"/>
      <c r="E1352" s="39">
        <v>200</v>
      </c>
      <c r="F1352" s="39" t="s">
        <v>60</v>
      </c>
      <c r="G1352" s="36" t="s">
        <v>1355</v>
      </c>
      <c r="H1352" s="36" t="s">
        <v>91</v>
      </c>
      <c r="I1352" s="39">
        <v>192</v>
      </c>
      <c r="J1352" s="39"/>
      <c r="K1352" s="39">
        <v>6</v>
      </c>
      <c r="L1352" s="39">
        <f t="shared" si="871"/>
        <v>198</v>
      </c>
      <c r="M1352" s="117">
        <v>46266</v>
      </c>
      <c r="N1352" s="117">
        <v>46273</v>
      </c>
      <c r="O1352" s="39"/>
      <c r="P1352" s="39"/>
      <c r="Q1352" s="39"/>
      <c r="R1352" s="39">
        <f t="shared" si="848"/>
        <v>0</v>
      </c>
      <c r="S1352" s="39" t="s">
        <v>28</v>
      </c>
      <c r="T1352" s="39"/>
      <c r="U1352" s="39"/>
      <c r="V1352" s="117" t="s">
        <v>2577</v>
      </c>
      <c r="W1352" s="39">
        <f>9+226</f>
        <v>235</v>
      </c>
      <c r="X1352" s="39"/>
      <c r="Y1352" s="39"/>
      <c r="Z1352" s="39"/>
      <c r="AA1352" s="39"/>
      <c r="AB1352" s="118">
        <f t="shared" si="853"/>
        <v>0</v>
      </c>
      <c r="AC1352" s="39"/>
      <c r="AD1352" s="39"/>
      <c r="AE1352" s="39"/>
      <c r="AF1352" s="39"/>
      <c r="AG1352" s="39"/>
      <c r="AH1352" s="39">
        <f t="shared" si="779"/>
        <v>0</v>
      </c>
      <c r="AI1352" s="39"/>
      <c r="AJ1352" s="39"/>
      <c r="AK1352" s="39"/>
      <c r="AL1352" s="39"/>
      <c r="AM1352" s="39"/>
      <c r="AN1352" s="39">
        <f t="shared" si="778"/>
        <v>0</v>
      </c>
      <c r="AO1352" s="39"/>
      <c r="AP1352" s="39"/>
      <c r="AQ1352" s="39"/>
      <c r="AR1352" s="39"/>
      <c r="AS1352" s="39"/>
      <c r="AT1352" s="39">
        <f t="shared" si="762"/>
        <v>0</v>
      </c>
      <c r="AU1352" s="39"/>
      <c r="AV1352" s="39"/>
      <c r="AW1352" s="39"/>
      <c r="AX1352" s="39"/>
      <c r="AY1352" s="39"/>
      <c r="AZ1352" s="39">
        <f t="shared" si="763"/>
        <v>0</v>
      </c>
      <c r="BA1352" s="39"/>
      <c r="BB1352" s="39"/>
      <c r="BC1352" s="39"/>
      <c r="BD1352" s="39"/>
      <c r="BE1352" s="39"/>
      <c r="BF1352" s="39">
        <f t="shared" si="764"/>
        <v>0</v>
      </c>
      <c r="BG1352" s="39"/>
      <c r="BH1352" s="39"/>
      <c r="BI1352" s="39"/>
      <c r="BJ1352" s="39"/>
      <c r="BK1352" s="39"/>
      <c r="BL1352" s="39">
        <f t="shared" si="780"/>
        <v>0</v>
      </c>
      <c r="BM1352" s="54">
        <f t="shared" ca="1" si="765"/>
        <v>46283</v>
      </c>
      <c r="BN1352" s="59">
        <v>46280</v>
      </c>
      <c r="BO1352" s="57">
        <v>46291</v>
      </c>
      <c r="BP1352" s="36"/>
      <c r="BQ1352" s="36"/>
      <c r="BR1352" s="39"/>
      <c r="BS1352" s="39"/>
      <c r="BT1352" s="39"/>
      <c r="BU1352" s="39"/>
      <c r="BV1352" s="39"/>
      <c r="BW1352" s="39"/>
      <c r="BX1352" s="39"/>
      <c r="BY1352" s="39"/>
      <c r="BZ1352" s="39">
        <f t="shared" si="781"/>
        <v>0</v>
      </c>
      <c r="CA1352" s="39">
        <f t="shared" si="766"/>
        <v>-192</v>
      </c>
      <c r="CB1352" s="39">
        <f t="shared" si="767"/>
        <v>0</v>
      </c>
      <c r="CC1352" s="39">
        <f t="shared" si="768"/>
        <v>-6</v>
      </c>
      <c r="CD1352" s="39">
        <f t="shared" si="782"/>
        <v>-198</v>
      </c>
      <c r="CE1352" s="102">
        <f t="shared" si="769"/>
        <v>-1</v>
      </c>
      <c r="CF1352" s="36"/>
      <c r="CG1352" s="39" t="s">
        <v>232</v>
      </c>
      <c r="CH1352" s="39"/>
      <c r="CI1352" s="25">
        <v>2</v>
      </c>
    </row>
    <row r="1353" spans="1:87" ht="24.75" customHeight="1">
      <c r="A1353" s="36" t="s">
        <v>20</v>
      </c>
      <c r="B1353" s="29" t="s">
        <v>2155</v>
      </c>
      <c r="C1353" s="36" t="s">
        <v>2156</v>
      </c>
      <c r="D1353" s="36"/>
      <c r="E1353" s="39">
        <v>180</v>
      </c>
      <c r="F1353" s="39" t="s">
        <v>58</v>
      </c>
      <c r="G1353" s="36" t="s">
        <v>23</v>
      </c>
      <c r="H1353" s="36" t="s">
        <v>87</v>
      </c>
      <c r="I1353" s="39">
        <v>540</v>
      </c>
      <c r="J1353" s="39"/>
      <c r="K1353" s="39"/>
      <c r="L1353" s="39">
        <f t="shared" ref="L1353:L1354" si="872">SUM(I1353:K1353)</f>
        <v>540</v>
      </c>
      <c r="M1353" s="117">
        <v>46266</v>
      </c>
      <c r="N1353" s="117">
        <v>46274</v>
      </c>
      <c r="O1353" s="39"/>
      <c r="P1353" s="39"/>
      <c r="Q1353" s="39"/>
      <c r="R1353" s="39">
        <f t="shared" si="848"/>
        <v>0</v>
      </c>
      <c r="S1353" s="39" t="s">
        <v>28</v>
      </c>
      <c r="T1353" s="39"/>
      <c r="U1353" s="39"/>
      <c r="V1353" s="117">
        <v>46263</v>
      </c>
      <c r="W1353" s="39">
        <v>600</v>
      </c>
      <c r="X1353" s="117">
        <v>46277</v>
      </c>
      <c r="Y1353" s="39">
        <v>551</v>
      </c>
      <c r="Z1353" s="39"/>
      <c r="AA1353" s="39"/>
      <c r="AB1353" s="119">
        <f t="shared" si="853"/>
        <v>551</v>
      </c>
      <c r="AC1353" s="39"/>
      <c r="AD1353" s="39"/>
      <c r="AE1353" s="39"/>
      <c r="AF1353" s="39"/>
      <c r="AG1353" s="39"/>
      <c r="AH1353" s="39">
        <f t="shared" si="779"/>
        <v>0</v>
      </c>
      <c r="AI1353" s="39"/>
      <c r="AJ1353" s="39"/>
      <c r="AK1353" s="39"/>
      <c r="AL1353" s="39"/>
      <c r="AM1353" s="39"/>
      <c r="AN1353" s="39">
        <f t="shared" si="778"/>
        <v>0</v>
      </c>
      <c r="AO1353" s="39"/>
      <c r="AP1353" s="39"/>
      <c r="AQ1353" s="39"/>
      <c r="AR1353" s="39"/>
      <c r="AS1353" s="39"/>
      <c r="AT1353" s="39">
        <f t="shared" si="762"/>
        <v>0</v>
      </c>
      <c r="AU1353" s="39"/>
      <c r="AV1353" s="39"/>
      <c r="AW1353" s="39"/>
      <c r="AX1353" s="39"/>
      <c r="AY1353" s="39"/>
      <c r="AZ1353" s="39">
        <f t="shared" si="763"/>
        <v>0</v>
      </c>
      <c r="BA1353" s="39"/>
      <c r="BB1353" s="39"/>
      <c r="BC1353" s="39"/>
      <c r="BD1353" s="39"/>
      <c r="BE1353" s="39"/>
      <c r="BF1353" s="39">
        <f t="shared" si="764"/>
        <v>0</v>
      </c>
      <c r="BG1353" s="39"/>
      <c r="BH1353" s="39"/>
      <c r="BI1353" s="39"/>
      <c r="BJ1353" s="39"/>
      <c r="BK1353" s="39"/>
      <c r="BL1353" s="39">
        <f t="shared" si="780"/>
        <v>0</v>
      </c>
      <c r="BM1353" s="54" t="str">
        <f t="shared" si="765"/>
        <v/>
      </c>
      <c r="BN1353" s="59">
        <v>46280</v>
      </c>
      <c r="BO1353" s="57">
        <v>46291</v>
      </c>
      <c r="BP1353" s="36"/>
      <c r="BQ1353" s="36"/>
      <c r="BR1353" s="117">
        <v>46277</v>
      </c>
      <c r="BS1353" s="117">
        <v>46277</v>
      </c>
      <c r="BT1353" s="39">
        <v>969</v>
      </c>
      <c r="BU1353" s="39">
        <v>551</v>
      </c>
      <c r="BV1353" s="39"/>
      <c r="BW1353" s="39"/>
      <c r="BX1353" s="39"/>
      <c r="BY1353" s="39"/>
      <c r="BZ1353" s="39">
        <f t="shared" si="781"/>
        <v>551</v>
      </c>
      <c r="CA1353" s="39">
        <f t="shared" si="766"/>
        <v>11</v>
      </c>
      <c r="CB1353" s="39">
        <f t="shared" si="767"/>
        <v>0</v>
      </c>
      <c r="CC1353" s="39">
        <f t="shared" si="768"/>
        <v>0</v>
      </c>
      <c r="CD1353" s="39">
        <f t="shared" si="782"/>
        <v>0</v>
      </c>
      <c r="CE1353" s="102">
        <f t="shared" si="769"/>
        <v>0</v>
      </c>
      <c r="CF1353" s="36"/>
      <c r="CG1353" s="39" t="s">
        <v>232</v>
      </c>
      <c r="CH1353" s="39"/>
      <c r="CI1353" s="25">
        <v>2</v>
      </c>
    </row>
    <row r="1354" spans="1:87" ht="24.75" customHeight="1">
      <c r="A1354" s="36" t="s">
        <v>20</v>
      </c>
      <c r="B1354" s="29" t="s">
        <v>2157</v>
      </c>
      <c r="C1354" s="227" t="s">
        <v>2158</v>
      </c>
      <c r="D1354" s="36"/>
      <c r="E1354" s="39">
        <v>220</v>
      </c>
      <c r="F1354" s="39" t="s">
        <v>53</v>
      </c>
      <c r="G1354" s="36" t="s">
        <v>23</v>
      </c>
      <c r="H1354" s="36" t="s">
        <v>96</v>
      </c>
      <c r="I1354" s="39">
        <v>156</v>
      </c>
      <c r="J1354" s="39"/>
      <c r="K1354" s="39"/>
      <c r="L1354" s="39">
        <f t="shared" si="872"/>
        <v>156</v>
      </c>
      <c r="M1354" s="117">
        <v>46266</v>
      </c>
      <c r="N1354" s="117">
        <v>46275</v>
      </c>
      <c r="O1354" s="39"/>
      <c r="P1354" s="39"/>
      <c r="Q1354" s="39"/>
      <c r="R1354" s="39">
        <f t="shared" si="848"/>
        <v>0</v>
      </c>
      <c r="S1354" s="39" t="s">
        <v>28</v>
      </c>
      <c r="T1354" s="39"/>
      <c r="U1354" s="39"/>
      <c r="V1354" s="117">
        <v>46270</v>
      </c>
      <c r="W1354" s="39">
        <v>181</v>
      </c>
      <c r="X1354" s="39"/>
      <c r="Y1354" s="39"/>
      <c r="Z1354" s="39"/>
      <c r="AA1354" s="39"/>
      <c r="AB1354" s="118">
        <f t="shared" si="853"/>
        <v>0</v>
      </c>
      <c r="AC1354" s="39"/>
      <c r="AD1354" s="39"/>
      <c r="AE1354" s="39"/>
      <c r="AF1354" s="39"/>
      <c r="AG1354" s="39"/>
      <c r="AH1354" s="39">
        <f t="shared" si="779"/>
        <v>0</v>
      </c>
      <c r="AI1354" s="39"/>
      <c r="AJ1354" s="39"/>
      <c r="AK1354" s="39"/>
      <c r="AL1354" s="39"/>
      <c r="AM1354" s="39"/>
      <c r="AN1354" s="39">
        <f t="shared" si="778"/>
        <v>0</v>
      </c>
      <c r="AO1354" s="39"/>
      <c r="AP1354" s="39"/>
      <c r="AQ1354" s="39"/>
      <c r="AR1354" s="39"/>
      <c r="AS1354" s="39"/>
      <c r="AT1354" s="39">
        <f t="shared" si="762"/>
        <v>0</v>
      </c>
      <c r="AU1354" s="39"/>
      <c r="AV1354" s="39"/>
      <c r="AW1354" s="39"/>
      <c r="AX1354" s="39"/>
      <c r="AY1354" s="39"/>
      <c r="AZ1354" s="39">
        <f t="shared" si="763"/>
        <v>0</v>
      </c>
      <c r="BA1354" s="39"/>
      <c r="BB1354" s="39"/>
      <c r="BC1354" s="39"/>
      <c r="BD1354" s="39"/>
      <c r="BE1354" s="39"/>
      <c r="BF1354" s="39">
        <f t="shared" si="764"/>
        <v>0</v>
      </c>
      <c r="BG1354" s="39"/>
      <c r="BH1354" s="39"/>
      <c r="BI1354" s="39"/>
      <c r="BJ1354" s="39"/>
      <c r="BK1354" s="39"/>
      <c r="BL1354" s="39">
        <f t="shared" si="780"/>
        <v>0</v>
      </c>
      <c r="BM1354" s="54">
        <f t="shared" ca="1" si="765"/>
        <v>46283</v>
      </c>
      <c r="BN1354" s="59">
        <v>46280</v>
      </c>
      <c r="BO1354" s="57">
        <v>46291</v>
      </c>
      <c r="BP1354" s="36"/>
      <c r="BQ1354" s="36"/>
      <c r="BR1354" s="39"/>
      <c r="BS1354" s="39"/>
      <c r="BT1354" s="39"/>
      <c r="BU1354" s="39"/>
      <c r="BV1354" s="39"/>
      <c r="BW1354" s="39"/>
      <c r="BX1354" s="39"/>
      <c r="BY1354" s="39"/>
      <c r="BZ1354" s="39">
        <f t="shared" si="781"/>
        <v>0</v>
      </c>
      <c r="CA1354" s="39">
        <f t="shared" si="766"/>
        <v>-156</v>
      </c>
      <c r="CB1354" s="39">
        <f t="shared" si="767"/>
        <v>0</v>
      </c>
      <c r="CC1354" s="39">
        <f t="shared" si="768"/>
        <v>0</v>
      </c>
      <c r="CD1354" s="39">
        <f t="shared" si="782"/>
        <v>-156</v>
      </c>
      <c r="CE1354" s="102">
        <f t="shared" si="769"/>
        <v>-1</v>
      </c>
      <c r="CF1354" s="36"/>
      <c r="CG1354" s="39" t="s">
        <v>232</v>
      </c>
      <c r="CH1354" s="39"/>
      <c r="CI1354" s="25">
        <v>2</v>
      </c>
    </row>
    <row r="1355" spans="1:87" ht="24.75" customHeight="1">
      <c r="A1355" s="36" t="s">
        <v>20</v>
      </c>
      <c r="B1355" s="29" t="s">
        <v>2157</v>
      </c>
      <c r="C1355" s="231"/>
      <c r="D1355" s="36"/>
      <c r="E1355" s="39">
        <v>220</v>
      </c>
      <c r="F1355" s="39" t="s">
        <v>53</v>
      </c>
      <c r="G1355" s="36" t="s">
        <v>283</v>
      </c>
      <c r="H1355" s="36" t="s">
        <v>96</v>
      </c>
      <c r="I1355" s="39">
        <v>156</v>
      </c>
      <c r="J1355" s="39"/>
      <c r="K1355" s="39"/>
      <c r="L1355" s="39">
        <f t="shared" ref="L1355:L1356" si="873">SUM(I1355:K1355)</f>
        <v>156</v>
      </c>
      <c r="M1355" s="117">
        <v>46266</v>
      </c>
      <c r="N1355" s="117">
        <v>46275</v>
      </c>
      <c r="O1355" s="39"/>
      <c r="P1355" s="39"/>
      <c r="Q1355" s="39"/>
      <c r="R1355" s="39">
        <f t="shared" si="848"/>
        <v>0</v>
      </c>
      <c r="S1355" s="39" t="s">
        <v>28</v>
      </c>
      <c r="T1355" s="39"/>
      <c r="U1355" s="39"/>
      <c r="V1355" s="117">
        <v>46270</v>
      </c>
      <c r="W1355" s="39">
        <v>195</v>
      </c>
      <c r="X1355" s="39"/>
      <c r="Y1355" s="39"/>
      <c r="Z1355" s="39"/>
      <c r="AA1355" s="39"/>
      <c r="AB1355" s="118">
        <f t="shared" si="853"/>
        <v>0</v>
      </c>
      <c r="AC1355" s="39"/>
      <c r="AD1355" s="39"/>
      <c r="AE1355" s="39"/>
      <c r="AF1355" s="39"/>
      <c r="AG1355" s="39"/>
      <c r="AH1355" s="39">
        <f t="shared" si="779"/>
        <v>0</v>
      </c>
      <c r="AI1355" s="39"/>
      <c r="AJ1355" s="39"/>
      <c r="AK1355" s="39"/>
      <c r="AL1355" s="39"/>
      <c r="AM1355" s="39"/>
      <c r="AN1355" s="39">
        <f t="shared" si="778"/>
        <v>0</v>
      </c>
      <c r="AO1355" s="39"/>
      <c r="AP1355" s="39"/>
      <c r="AQ1355" s="39"/>
      <c r="AR1355" s="39"/>
      <c r="AS1355" s="39"/>
      <c r="AT1355" s="39">
        <f t="shared" si="762"/>
        <v>0</v>
      </c>
      <c r="AU1355" s="39"/>
      <c r="AV1355" s="39"/>
      <c r="AW1355" s="39"/>
      <c r="AX1355" s="39"/>
      <c r="AY1355" s="39"/>
      <c r="AZ1355" s="39">
        <f t="shared" si="763"/>
        <v>0</v>
      </c>
      <c r="BA1355" s="39"/>
      <c r="BB1355" s="39"/>
      <c r="BC1355" s="39"/>
      <c r="BD1355" s="39"/>
      <c r="BE1355" s="39"/>
      <c r="BF1355" s="39">
        <f t="shared" si="764"/>
        <v>0</v>
      </c>
      <c r="BG1355" s="39"/>
      <c r="BH1355" s="39"/>
      <c r="BI1355" s="39"/>
      <c r="BJ1355" s="39"/>
      <c r="BK1355" s="39"/>
      <c r="BL1355" s="39">
        <f t="shared" si="780"/>
        <v>0</v>
      </c>
      <c r="BM1355" s="54">
        <f t="shared" ca="1" si="765"/>
        <v>46283</v>
      </c>
      <c r="BN1355" s="59">
        <v>46280</v>
      </c>
      <c r="BO1355" s="57">
        <v>46291</v>
      </c>
      <c r="BP1355" s="36"/>
      <c r="BQ1355" s="36"/>
      <c r="BR1355" s="39"/>
      <c r="BS1355" s="39"/>
      <c r="BT1355" s="39"/>
      <c r="BU1355" s="39"/>
      <c r="BV1355" s="39"/>
      <c r="BW1355" s="39"/>
      <c r="BX1355" s="39"/>
      <c r="BY1355" s="39"/>
      <c r="BZ1355" s="39">
        <f t="shared" si="781"/>
        <v>0</v>
      </c>
      <c r="CA1355" s="39">
        <f t="shared" si="766"/>
        <v>-156</v>
      </c>
      <c r="CB1355" s="39">
        <f t="shared" si="767"/>
        <v>0</v>
      </c>
      <c r="CC1355" s="39">
        <f t="shared" si="768"/>
        <v>0</v>
      </c>
      <c r="CD1355" s="39">
        <f t="shared" si="782"/>
        <v>-156</v>
      </c>
      <c r="CE1355" s="102">
        <f t="shared" si="769"/>
        <v>-1</v>
      </c>
      <c r="CF1355" s="36"/>
      <c r="CG1355" s="39" t="s">
        <v>232</v>
      </c>
      <c r="CH1355" s="39"/>
      <c r="CI1355" s="25">
        <v>2</v>
      </c>
    </row>
    <row r="1356" spans="1:87" ht="24.75" customHeight="1">
      <c r="A1356" s="36" t="s">
        <v>20</v>
      </c>
      <c r="B1356" s="29" t="s">
        <v>2157</v>
      </c>
      <c r="C1356" s="228"/>
      <c r="D1356" s="36"/>
      <c r="E1356" s="39"/>
      <c r="F1356" s="39"/>
      <c r="G1356" s="36" t="s">
        <v>75</v>
      </c>
      <c r="H1356" s="36"/>
      <c r="I1356" s="39"/>
      <c r="J1356" s="39"/>
      <c r="K1356" s="39"/>
      <c r="L1356" s="39">
        <f t="shared" si="873"/>
        <v>0</v>
      </c>
      <c r="M1356" s="117">
        <v>46266</v>
      </c>
      <c r="N1356" s="117">
        <v>46275</v>
      </c>
      <c r="O1356" s="39"/>
      <c r="P1356" s="39"/>
      <c r="Q1356" s="39"/>
      <c r="R1356" s="39">
        <f t="shared" si="848"/>
        <v>0</v>
      </c>
      <c r="S1356" s="39" t="s">
        <v>130</v>
      </c>
      <c r="T1356" s="39"/>
      <c r="U1356" s="39"/>
      <c r="V1356" s="39"/>
      <c r="W1356" s="39"/>
      <c r="X1356" s="39"/>
      <c r="Y1356" s="39"/>
      <c r="Z1356" s="39"/>
      <c r="AA1356" s="39"/>
      <c r="AB1356" s="39">
        <f t="shared" si="853"/>
        <v>0</v>
      </c>
      <c r="AC1356" s="39"/>
      <c r="AD1356" s="39"/>
      <c r="AE1356" s="39"/>
      <c r="AF1356" s="39"/>
      <c r="AG1356" s="39"/>
      <c r="AH1356" s="39">
        <f t="shared" si="779"/>
        <v>0</v>
      </c>
      <c r="AI1356" s="39"/>
      <c r="AJ1356" s="39"/>
      <c r="AK1356" s="39"/>
      <c r="AL1356" s="39"/>
      <c r="AM1356" s="39"/>
      <c r="AN1356" s="39">
        <f t="shared" si="778"/>
        <v>0</v>
      </c>
      <c r="AO1356" s="39"/>
      <c r="AP1356" s="39"/>
      <c r="AQ1356" s="39"/>
      <c r="AR1356" s="39"/>
      <c r="AS1356" s="39"/>
      <c r="AT1356" s="39">
        <f t="shared" si="762"/>
        <v>0</v>
      </c>
      <c r="AU1356" s="39"/>
      <c r="AV1356" s="39"/>
      <c r="AW1356" s="39"/>
      <c r="AX1356" s="39"/>
      <c r="AY1356" s="39"/>
      <c r="AZ1356" s="39">
        <f t="shared" si="763"/>
        <v>0</v>
      </c>
      <c r="BA1356" s="39"/>
      <c r="BB1356" s="39"/>
      <c r="BC1356" s="39"/>
      <c r="BD1356" s="39"/>
      <c r="BE1356" s="39"/>
      <c r="BF1356" s="39">
        <f t="shared" si="764"/>
        <v>0</v>
      </c>
      <c r="BG1356" s="39"/>
      <c r="BH1356" s="39"/>
      <c r="BI1356" s="39"/>
      <c r="BJ1356" s="39"/>
      <c r="BK1356" s="39"/>
      <c r="BL1356" s="39">
        <f t="shared" si="780"/>
        <v>0</v>
      </c>
      <c r="BM1356" s="54" t="e">
        <f t="shared" si="765"/>
        <v>#DIV/0!</v>
      </c>
      <c r="BN1356" s="59">
        <v>46280</v>
      </c>
      <c r="BO1356" s="57">
        <v>46291</v>
      </c>
      <c r="BP1356" s="36"/>
      <c r="BQ1356" s="36"/>
      <c r="BR1356" s="39"/>
      <c r="BS1356" s="39"/>
      <c r="BT1356" s="39"/>
      <c r="BU1356" s="39"/>
      <c r="BV1356" s="39"/>
      <c r="BW1356" s="39"/>
      <c r="BX1356" s="39"/>
      <c r="BY1356" s="39"/>
      <c r="BZ1356" s="39">
        <f t="shared" si="781"/>
        <v>0</v>
      </c>
      <c r="CA1356" s="39">
        <f t="shared" si="766"/>
        <v>0</v>
      </c>
      <c r="CB1356" s="39">
        <f t="shared" si="767"/>
        <v>0</v>
      </c>
      <c r="CC1356" s="39">
        <f t="shared" si="768"/>
        <v>0</v>
      </c>
      <c r="CD1356" s="39">
        <f t="shared" si="782"/>
        <v>0</v>
      </c>
      <c r="CE1356" s="102" t="e">
        <f t="shared" si="769"/>
        <v>#DIV/0!</v>
      </c>
      <c r="CF1356" s="36"/>
      <c r="CG1356" s="39" t="s">
        <v>232</v>
      </c>
      <c r="CH1356" s="39"/>
      <c r="CI1356" s="25">
        <v>2</v>
      </c>
    </row>
    <row r="1357" spans="1:87" ht="24.75" customHeight="1">
      <c r="A1357" s="36" t="s">
        <v>20</v>
      </c>
      <c r="B1357" s="29" t="s">
        <v>2159</v>
      </c>
      <c r="C1357" s="36" t="s">
        <v>2160</v>
      </c>
      <c r="D1357" s="36"/>
      <c r="E1357" s="39">
        <v>180</v>
      </c>
      <c r="F1357" s="39" t="s">
        <v>58</v>
      </c>
      <c r="G1357" s="36" t="s">
        <v>23</v>
      </c>
      <c r="H1357" s="36" t="s">
        <v>87</v>
      </c>
      <c r="I1357" s="39">
        <v>165</v>
      </c>
      <c r="J1357" s="39"/>
      <c r="K1357" s="39"/>
      <c r="L1357" s="39">
        <f t="shared" ref="L1357:L1359" si="874">SUM(I1357:K1357)</f>
        <v>165</v>
      </c>
      <c r="M1357" s="117">
        <v>46266</v>
      </c>
      <c r="N1357" s="117">
        <v>46274</v>
      </c>
      <c r="O1357" s="39"/>
      <c r="P1357" s="39"/>
      <c r="Q1357" s="39"/>
      <c r="R1357" s="39">
        <f t="shared" si="848"/>
        <v>0</v>
      </c>
      <c r="S1357" s="39" t="s">
        <v>28</v>
      </c>
      <c r="T1357" s="39"/>
      <c r="U1357" s="39"/>
      <c r="V1357" s="117">
        <v>46245</v>
      </c>
      <c r="W1357" s="39">
        <v>198</v>
      </c>
      <c r="X1357" s="117">
        <v>46268</v>
      </c>
      <c r="Y1357" s="39">
        <v>181</v>
      </c>
      <c r="Z1357" s="39"/>
      <c r="AA1357" s="39"/>
      <c r="AB1357" s="119">
        <f t="shared" si="853"/>
        <v>181</v>
      </c>
      <c r="AC1357" s="39"/>
      <c r="AD1357" s="39"/>
      <c r="AE1357" s="39"/>
      <c r="AF1357" s="39"/>
      <c r="AG1357" s="39"/>
      <c r="AH1357" s="39">
        <f t="shared" si="779"/>
        <v>0</v>
      </c>
      <c r="AI1357" s="39"/>
      <c r="AJ1357" s="39"/>
      <c r="AK1357" s="39"/>
      <c r="AL1357" s="39"/>
      <c r="AM1357" s="39"/>
      <c r="AN1357" s="39">
        <f t="shared" si="778"/>
        <v>0</v>
      </c>
      <c r="AO1357" s="39"/>
      <c r="AP1357" s="39"/>
      <c r="AQ1357" s="39"/>
      <c r="AR1357" s="39"/>
      <c r="AS1357" s="39"/>
      <c r="AT1357" s="39">
        <f t="shared" si="762"/>
        <v>0</v>
      </c>
      <c r="AU1357" s="39"/>
      <c r="AV1357" s="39"/>
      <c r="AW1357" s="39"/>
      <c r="AX1357" s="39"/>
      <c r="AY1357" s="39"/>
      <c r="AZ1357" s="39">
        <f t="shared" si="763"/>
        <v>0</v>
      </c>
      <c r="BA1357" s="39"/>
      <c r="BB1357" s="39"/>
      <c r="BC1357" s="39"/>
      <c r="BD1357" s="39"/>
      <c r="BE1357" s="39"/>
      <c r="BF1357" s="39">
        <f t="shared" si="764"/>
        <v>0</v>
      </c>
      <c r="BG1357" s="39"/>
      <c r="BH1357" s="39"/>
      <c r="BI1357" s="39"/>
      <c r="BJ1357" s="39"/>
      <c r="BK1357" s="39"/>
      <c r="BL1357" s="39">
        <f t="shared" si="780"/>
        <v>0</v>
      </c>
      <c r="BM1357" s="54" t="str">
        <f t="shared" si="765"/>
        <v/>
      </c>
      <c r="BN1357" s="59">
        <v>46279</v>
      </c>
      <c r="BO1357" s="57">
        <v>46291</v>
      </c>
      <c r="BP1357" s="36"/>
      <c r="BQ1357" s="36"/>
      <c r="BR1357" s="117">
        <v>46268</v>
      </c>
      <c r="BS1357" s="117">
        <v>46268</v>
      </c>
      <c r="BT1357" s="39">
        <v>957</v>
      </c>
      <c r="BU1357" s="39">
        <v>181</v>
      </c>
      <c r="BV1357" s="39"/>
      <c r="BW1357" s="39"/>
      <c r="BX1357" s="39"/>
      <c r="BY1357" s="39"/>
      <c r="BZ1357" s="39">
        <f t="shared" si="781"/>
        <v>181</v>
      </c>
      <c r="CA1357" s="39">
        <f t="shared" si="766"/>
        <v>16</v>
      </c>
      <c r="CB1357" s="39">
        <f t="shared" si="767"/>
        <v>0</v>
      </c>
      <c r="CC1357" s="39">
        <f t="shared" si="768"/>
        <v>0</v>
      </c>
      <c r="CD1357" s="39">
        <f t="shared" si="782"/>
        <v>0</v>
      </c>
      <c r="CE1357" s="102">
        <f t="shared" si="769"/>
        <v>0</v>
      </c>
      <c r="CF1357" s="36"/>
      <c r="CG1357" s="39" t="s">
        <v>232</v>
      </c>
      <c r="CH1357" s="39"/>
      <c r="CI1357" s="25">
        <v>2</v>
      </c>
    </row>
    <row r="1358" spans="1:87" ht="24.75" customHeight="1">
      <c r="A1358" s="36" t="s">
        <v>20</v>
      </c>
      <c r="B1358" s="29" t="s">
        <v>2161</v>
      </c>
      <c r="C1358" s="36" t="s">
        <v>2162</v>
      </c>
      <c r="D1358" s="36"/>
      <c r="E1358" s="39">
        <v>220</v>
      </c>
      <c r="F1358" s="39" t="s">
        <v>56</v>
      </c>
      <c r="G1358" s="36" t="s">
        <v>455</v>
      </c>
      <c r="H1358" s="36" t="s">
        <v>102</v>
      </c>
      <c r="I1358" s="39">
        <v>146</v>
      </c>
      <c r="J1358" s="39"/>
      <c r="K1358" s="39"/>
      <c r="L1358" s="39">
        <f t="shared" si="874"/>
        <v>146</v>
      </c>
      <c r="M1358" s="117">
        <v>46266</v>
      </c>
      <c r="N1358" s="117">
        <v>46276</v>
      </c>
      <c r="O1358" s="39"/>
      <c r="P1358" s="39"/>
      <c r="Q1358" s="39"/>
      <c r="R1358" s="39">
        <f t="shared" si="848"/>
        <v>0</v>
      </c>
      <c r="S1358" s="39" t="s">
        <v>130</v>
      </c>
      <c r="T1358" s="39"/>
      <c r="U1358" s="39"/>
      <c r="V1358" s="39"/>
      <c r="W1358" s="39"/>
      <c r="X1358" s="39"/>
      <c r="Y1358" s="39"/>
      <c r="Z1358" s="39"/>
      <c r="AA1358" s="39"/>
      <c r="AB1358" s="118">
        <f t="shared" si="853"/>
        <v>0</v>
      </c>
      <c r="AC1358" s="39"/>
      <c r="AD1358" s="39"/>
      <c r="AE1358" s="39"/>
      <c r="AF1358" s="39"/>
      <c r="AG1358" s="39"/>
      <c r="AH1358" s="39">
        <f t="shared" si="779"/>
        <v>0</v>
      </c>
      <c r="AI1358" s="39"/>
      <c r="AJ1358" s="39"/>
      <c r="AK1358" s="39"/>
      <c r="AL1358" s="39"/>
      <c r="AM1358" s="39"/>
      <c r="AN1358" s="39">
        <f t="shared" si="778"/>
        <v>0</v>
      </c>
      <c r="AO1358" s="39"/>
      <c r="AP1358" s="39"/>
      <c r="AQ1358" s="39"/>
      <c r="AR1358" s="39"/>
      <c r="AS1358" s="39"/>
      <c r="AT1358" s="39">
        <f t="shared" si="762"/>
        <v>0</v>
      </c>
      <c r="AU1358" s="39"/>
      <c r="AV1358" s="39"/>
      <c r="AW1358" s="39"/>
      <c r="AX1358" s="39"/>
      <c r="AY1358" s="39"/>
      <c r="AZ1358" s="39">
        <f t="shared" si="763"/>
        <v>0</v>
      </c>
      <c r="BA1358" s="39"/>
      <c r="BB1358" s="39"/>
      <c r="BC1358" s="39"/>
      <c r="BD1358" s="39"/>
      <c r="BE1358" s="39"/>
      <c r="BF1358" s="39">
        <f t="shared" si="764"/>
        <v>0</v>
      </c>
      <c r="BG1358" s="39"/>
      <c r="BH1358" s="39"/>
      <c r="BI1358" s="39"/>
      <c r="BJ1358" s="39"/>
      <c r="BK1358" s="39"/>
      <c r="BL1358" s="39">
        <f t="shared" si="780"/>
        <v>0</v>
      </c>
      <c r="BM1358" s="54">
        <f t="shared" ca="1" si="765"/>
        <v>46283</v>
      </c>
      <c r="BN1358" s="59">
        <v>46279</v>
      </c>
      <c r="BO1358" s="57">
        <v>46291</v>
      </c>
      <c r="BP1358" s="36"/>
      <c r="BQ1358" s="36"/>
      <c r="BR1358" s="39"/>
      <c r="BS1358" s="39"/>
      <c r="BT1358" s="39"/>
      <c r="BU1358" s="39"/>
      <c r="BV1358" s="39"/>
      <c r="BW1358" s="39"/>
      <c r="BX1358" s="39"/>
      <c r="BY1358" s="39"/>
      <c r="BZ1358" s="39">
        <f t="shared" si="781"/>
        <v>0</v>
      </c>
      <c r="CA1358" s="39">
        <f t="shared" si="766"/>
        <v>-146</v>
      </c>
      <c r="CB1358" s="39">
        <f t="shared" si="767"/>
        <v>0</v>
      </c>
      <c r="CC1358" s="39">
        <f t="shared" si="768"/>
        <v>0</v>
      </c>
      <c r="CD1358" s="39">
        <f t="shared" si="782"/>
        <v>-146</v>
      </c>
      <c r="CE1358" s="102">
        <f t="shared" si="769"/>
        <v>-1</v>
      </c>
      <c r="CF1358" s="36"/>
      <c r="CG1358" s="39" t="s">
        <v>232</v>
      </c>
      <c r="CH1358" s="39"/>
      <c r="CI1358" s="25">
        <v>2</v>
      </c>
    </row>
    <row r="1359" spans="1:87" ht="24.75" customHeight="1">
      <c r="A1359" s="36" t="s">
        <v>20</v>
      </c>
      <c r="B1359" s="29" t="s">
        <v>2163</v>
      </c>
      <c r="C1359" s="36" t="s">
        <v>2164</v>
      </c>
      <c r="D1359" s="36"/>
      <c r="E1359" s="39">
        <v>180</v>
      </c>
      <c r="F1359" s="39" t="s">
        <v>56</v>
      </c>
      <c r="G1359" s="36" t="s">
        <v>23</v>
      </c>
      <c r="H1359" s="36" t="s">
        <v>87</v>
      </c>
      <c r="I1359" s="39">
        <v>215</v>
      </c>
      <c r="J1359" s="39"/>
      <c r="K1359" s="39"/>
      <c r="L1359" s="39">
        <f t="shared" si="874"/>
        <v>215</v>
      </c>
      <c r="M1359" s="117">
        <v>46266</v>
      </c>
      <c r="N1359" s="117">
        <v>46274</v>
      </c>
      <c r="O1359" s="39"/>
      <c r="P1359" s="39"/>
      <c r="Q1359" s="39"/>
      <c r="R1359" s="39">
        <f t="shared" si="848"/>
        <v>0</v>
      </c>
      <c r="S1359" s="39" t="s">
        <v>28</v>
      </c>
      <c r="T1359" s="39"/>
      <c r="U1359" s="39"/>
      <c r="V1359" s="117">
        <v>46281</v>
      </c>
      <c r="W1359" s="39">
        <v>242</v>
      </c>
      <c r="X1359" s="39"/>
      <c r="Y1359" s="39"/>
      <c r="Z1359" s="39"/>
      <c r="AA1359" s="39"/>
      <c r="AB1359" s="118">
        <f t="shared" si="853"/>
        <v>0</v>
      </c>
      <c r="AC1359" s="39"/>
      <c r="AD1359" s="39"/>
      <c r="AE1359" s="39"/>
      <c r="AF1359" s="39"/>
      <c r="AG1359" s="39"/>
      <c r="AH1359" s="39">
        <f t="shared" si="779"/>
        <v>0</v>
      </c>
      <c r="AI1359" s="39"/>
      <c r="AJ1359" s="39"/>
      <c r="AK1359" s="39"/>
      <c r="AL1359" s="39"/>
      <c r="AM1359" s="39"/>
      <c r="AN1359" s="39">
        <f t="shared" si="778"/>
        <v>0</v>
      </c>
      <c r="AO1359" s="39"/>
      <c r="AP1359" s="39"/>
      <c r="AQ1359" s="39"/>
      <c r="AR1359" s="39"/>
      <c r="AS1359" s="39"/>
      <c r="AT1359" s="39">
        <f t="shared" si="762"/>
        <v>0</v>
      </c>
      <c r="AU1359" s="39"/>
      <c r="AV1359" s="39"/>
      <c r="AW1359" s="39"/>
      <c r="AX1359" s="39"/>
      <c r="AY1359" s="39"/>
      <c r="AZ1359" s="39">
        <f t="shared" si="763"/>
        <v>0</v>
      </c>
      <c r="BA1359" s="39"/>
      <c r="BB1359" s="39"/>
      <c r="BC1359" s="39"/>
      <c r="BD1359" s="39"/>
      <c r="BE1359" s="39"/>
      <c r="BF1359" s="39">
        <f t="shared" si="764"/>
        <v>0</v>
      </c>
      <c r="BG1359" s="39"/>
      <c r="BH1359" s="39"/>
      <c r="BI1359" s="39"/>
      <c r="BJ1359" s="39"/>
      <c r="BK1359" s="39"/>
      <c r="BL1359" s="39">
        <f t="shared" si="780"/>
        <v>0</v>
      </c>
      <c r="BM1359" s="54">
        <f t="shared" ca="1" si="765"/>
        <v>46283</v>
      </c>
      <c r="BN1359" s="59">
        <v>46280</v>
      </c>
      <c r="BO1359" s="57">
        <v>46290</v>
      </c>
      <c r="BP1359" s="36"/>
      <c r="BQ1359" s="36"/>
      <c r="BR1359" s="39"/>
      <c r="BS1359" s="39"/>
      <c r="BT1359" s="39"/>
      <c r="BU1359" s="39"/>
      <c r="BV1359" s="39"/>
      <c r="BW1359" s="39"/>
      <c r="BX1359" s="39"/>
      <c r="BY1359" s="39"/>
      <c r="BZ1359" s="39">
        <f t="shared" si="781"/>
        <v>0</v>
      </c>
      <c r="CA1359" s="39">
        <f t="shared" si="766"/>
        <v>-215</v>
      </c>
      <c r="CB1359" s="39">
        <f t="shared" si="767"/>
        <v>0</v>
      </c>
      <c r="CC1359" s="39">
        <f t="shared" si="768"/>
        <v>0</v>
      </c>
      <c r="CD1359" s="39">
        <f t="shared" si="782"/>
        <v>-215</v>
      </c>
      <c r="CE1359" s="102">
        <f t="shared" si="769"/>
        <v>-1</v>
      </c>
      <c r="CF1359" s="36"/>
      <c r="CG1359" s="39" t="s">
        <v>232</v>
      </c>
      <c r="CH1359" s="39"/>
      <c r="CI1359" s="25">
        <v>2</v>
      </c>
    </row>
    <row r="1360" spans="1:87" ht="24.75" customHeight="1">
      <c r="A1360" s="36" t="s">
        <v>20</v>
      </c>
      <c r="B1360" s="29" t="s">
        <v>2165</v>
      </c>
      <c r="C1360" s="227" t="s">
        <v>2755</v>
      </c>
      <c r="D1360" s="36"/>
      <c r="E1360" s="39">
        <v>200</v>
      </c>
      <c r="F1360" s="39" t="s">
        <v>60</v>
      </c>
      <c r="G1360" s="36" t="s">
        <v>1122</v>
      </c>
      <c r="H1360" s="36" t="s">
        <v>91</v>
      </c>
      <c r="I1360" s="39">
        <v>206</v>
      </c>
      <c r="J1360" s="39"/>
      <c r="K1360" s="39"/>
      <c r="L1360" s="39">
        <f t="shared" ref="L1360:L1361" si="875">SUM(I1360:K1360)</f>
        <v>206</v>
      </c>
      <c r="M1360" s="117">
        <v>46266</v>
      </c>
      <c r="N1360" s="117">
        <v>46276</v>
      </c>
      <c r="O1360" s="39"/>
      <c r="P1360" s="39"/>
      <c r="Q1360" s="39"/>
      <c r="R1360" s="39">
        <f t="shared" si="848"/>
        <v>0</v>
      </c>
      <c r="S1360" s="39" t="s">
        <v>28</v>
      </c>
      <c r="T1360" s="39"/>
      <c r="U1360" s="39"/>
      <c r="V1360" s="117">
        <v>46276</v>
      </c>
      <c r="W1360" s="39">
        <v>234</v>
      </c>
      <c r="X1360" s="39"/>
      <c r="Y1360" s="39"/>
      <c r="Z1360" s="39"/>
      <c r="AA1360" s="39"/>
      <c r="AB1360" s="118">
        <f t="shared" si="853"/>
        <v>0</v>
      </c>
      <c r="AC1360" s="39"/>
      <c r="AD1360" s="39"/>
      <c r="AE1360" s="39"/>
      <c r="AF1360" s="39"/>
      <c r="AG1360" s="39"/>
      <c r="AH1360" s="39">
        <f t="shared" si="779"/>
        <v>0</v>
      </c>
      <c r="AI1360" s="39"/>
      <c r="AJ1360" s="39"/>
      <c r="AK1360" s="39"/>
      <c r="AL1360" s="39"/>
      <c r="AM1360" s="39"/>
      <c r="AN1360" s="39">
        <f t="shared" si="778"/>
        <v>0</v>
      </c>
      <c r="AO1360" s="39"/>
      <c r="AP1360" s="39"/>
      <c r="AQ1360" s="39"/>
      <c r="AR1360" s="39"/>
      <c r="AS1360" s="39"/>
      <c r="AT1360" s="39">
        <f t="shared" si="762"/>
        <v>0</v>
      </c>
      <c r="AU1360" s="39"/>
      <c r="AV1360" s="39"/>
      <c r="AW1360" s="39"/>
      <c r="AX1360" s="39"/>
      <c r="AY1360" s="39"/>
      <c r="AZ1360" s="39">
        <f t="shared" si="763"/>
        <v>0</v>
      </c>
      <c r="BA1360" s="39"/>
      <c r="BB1360" s="39"/>
      <c r="BC1360" s="39"/>
      <c r="BD1360" s="39"/>
      <c r="BE1360" s="39"/>
      <c r="BF1360" s="39">
        <f t="shared" si="764"/>
        <v>0</v>
      </c>
      <c r="BG1360" s="39"/>
      <c r="BH1360" s="39"/>
      <c r="BI1360" s="39"/>
      <c r="BJ1360" s="39"/>
      <c r="BK1360" s="39"/>
      <c r="BL1360" s="39">
        <f t="shared" si="780"/>
        <v>0</v>
      </c>
      <c r="BM1360" s="54">
        <f t="shared" ca="1" si="765"/>
        <v>46283</v>
      </c>
      <c r="BN1360" s="59">
        <v>46277</v>
      </c>
      <c r="BO1360" s="57">
        <v>46287</v>
      </c>
      <c r="BP1360" s="36"/>
      <c r="BQ1360" s="36"/>
      <c r="BR1360" s="39"/>
      <c r="BS1360" s="39"/>
      <c r="BT1360" s="39"/>
      <c r="BU1360" s="39"/>
      <c r="BV1360" s="39"/>
      <c r="BW1360" s="39"/>
      <c r="BX1360" s="39"/>
      <c r="BY1360" s="39"/>
      <c r="BZ1360" s="39">
        <f t="shared" si="781"/>
        <v>0</v>
      </c>
      <c r="CA1360" s="39">
        <f t="shared" si="766"/>
        <v>-206</v>
      </c>
      <c r="CB1360" s="39">
        <f t="shared" si="767"/>
        <v>0</v>
      </c>
      <c r="CC1360" s="39">
        <f t="shared" si="768"/>
        <v>0</v>
      </c>
      <c r="CD1360" s="39">
        <f t="shared" si="782"/>
        <v>-206</v>
      </c>
      <c r="CE1360" s="102">
        <f t="shared" si="769"/>
        <v>-1</v>
      </c>
      <c r="CF1360" s="36"/>
      <c r="CG1360" s="39" t="s">
        <v>232</v>
      </c>
      <c r="CH1360" s="39"/>
      <c r="CI1360" s="25">
        <v>2</v>
      </c>
    </row>
    <row r="1361" spans="1:87" ht="24.75" customHeight="1">
      <c r="A1361" s="36" t="s">
        <v>20</v>
      </c>
      <c r="B1361" s="29" t="s">
        <v>2165</v>
      </c>
      <c r="C1361" s="231"/>
      <c r="D1361" s="36"/>
      <c r="E1361" s="39">
        <v>200</v>
      </c>
      <c r="F1361" s="39" t="s">
        <v>60</v>
      </c>
      <c r="G1361" s="36" t="s">
        <v>448</v>
      </c>
      <c r="H1361" s="36" t="s">
        <v>91</v>
      </c>
      <c r="I1361" s="39">
        <v>148</v>
      </c>
      <c r="J1361" s="39"/>
      <c r="K1361" s="39"/>
      <c r="L1361" s="39">
        <f t="shared" si="875"/>
        <v>148</v>
      </c>
      <c r="M1361" s="117">
        <v>46266</v>
      </c>
      <c r="N1361" s="117">
        <v>46276</v>
      </c>
      <c r="O1361" s="39"/>
      <c r="P1361" s="39"/>
      <c r="Q1361" s="39"/>
      <c r="R1361" s="39">
        <f t="shared" si="848"/>
        <v>0</v>
      </c>
      <c r="S1361" s="39" t="s">
        <v>28</v>
      </c>
      <c r="T1361" s="39"/>
      <c r="U1361" s="39"/>
      <c r="V1361" s="117">
        <v>46276</v>
      </c>
      <c r="W1361" s="39">
        <v>180</v>
      </c>
      <c r="X1361" s="39"/>
      <c r="Y1361" s="39"/>
      <c r="Z1361" s="39"/>
      <c r="AA1361" s="39"/>
      <c r="AB1361" s="118">
        <f t="shared" si="853"/>
        <v>0</v>
      </c>
      <c r="AC1361" s="39"/>
      <c r="AD1361" s="39"/>
      <c r="AE1361" s="39"/>
      <c r="AF1361" s="39"/>
      <c r="AG1361" s="39"/>
      <c r="AH1361" s="39">
        <f t="shared" si="779"/>
        <v>0</v>
      </c>
      <c r="AI1361" s="39"/>
      <c r="AJ1361" s="39"/>
      <c r="AK1361" s="39"/>
      <c r="AL1361" s="39"/>
      <c r="AM1361" s="39"/>
      <c r="AN1361" s="39">
        <f t="shared" si="778"/>
        <v>0</v>
      </c>
      <c r="AO1361" s="39"/>
      <c r="AP1361" s="39"/>
      <c r="AQ1361" s="39"/>
      <c r="AR1361" s="39"/>
      <c r="AS1361" s="39"/>
      <c r="AT1361" s="39">
        <f t="shared" si="762"/>
        <v>0</v>
      </c>
      <c r="AU1361" s="39"/>
      <c r="AV1361" s="39"/>
      <c r="AW1361" s="39"/>
      <c r="AX1361" s="39"/>
      <c r="AY1361" s="39"/>
      <c r="AZ1361" s="39">
        <f t="shared" si="763"/>
        <v>0</v>
      </c>
      <c r="BA1361" s="39"/>
      <c r="BB1361" s="39"/>
      <c r="BC1361" s="39"/>
      <c r="BD1361" s="39"/>
      <c r="BE1361" s="39"/>
      <c r="BF1361" s="39">
        <f t="shared" si="764"/>
        <v>0</v>
      </c>
      <c r="BG1361" s="39"/>
      <c r="BH1361" s="39"/>
      <c r="BI1361" s="39"/>
      <c r="BJ1361" s="39"/>
      <c r="BK1361" s="39"/>
      <c r="BL1361" s="39">
        <f t="shared" si="780"/>
        <v>0</v>
      </c>
      <c r="BM1361" s="54">
        <f t="shared" ca="1" si="765"/>
        <v>46283</v>
      </c>
      <c r="BN1361" s="59">
        <v>46277</v>
      </c>
      <c r="BO1361" s="57">
        <v>46287</v>
      </c>
      <c r="BP1361" s="36"/>
      <c r="BQ1361" s="36"/>
      <c r="BR1361" s="39"/>
      <c r="BS1361" s="39"/>
      <c r="BT1361" s="39"/>
      <c r="BU1361" s="39"/>
      <c r="BV1361" s="39"/>
      <c r="BW1361" s="39"/>
      <c r="BX1361" s="39"/>
      <c r="BY1361" s="39"/>
      <c r="BZ1361" s="39">
        <f t="shared" si="781"/>
        <v>0</v>
      </c>
      <c r="CA1361" s="39">
        <f t="shared" si="766"/>
        <v>-148</v>
      </c>
      <c r="CB1361" s="39">
        <f t="shared" si="767"/>
        <v>0</v>
      </c>
      <c r="CC1361" s="39">
        <f t="shared" si="768"/>
        <v>0</v>
      </c>
      <c r="CD1361" s="39">
        <f t="shared" si="782"/>
        <v>-148</v>
      </c>
      <c r="CE1361" s="102">
        <f t="shared" si="769"/>
        <v>-1</v>
      </c>
      <c r="CF1361" s="36"/>
      <c r="CG1361" s="39" t="s">
        <v>232</v>
      </c>
      <c r="CH1361" s="39"/>
      <c r="CI1361" s="25">
        <v>2</v>
      </c>
    </row>
    <row r="1362" spans="1:87" ht="24.75" customHeight="1">
      <c r="A1362" s="36" t="s">
        <v>20</v>
      </c>
      <c r="B1362" s="29" t="s">
        <v>2165</v>
      </c>
      <c r="C1362" s="228"/>
      <c r="D1362" s="36"/>
      <c r="E1362" s="39"/>
      <c r="F1362" s="39"/>
      <c r="G1362" s="36" t="s">
        <v>587</v>
      </c>
      <c r="H1362" s="36">
        <f>126+386+335+140+60+26+13+1065+90+275+240+100+45+20+10+750</f>
        <v>3681</v>
      </c>
      <c r="I1362" s="39" t="s">
        <v>199</v>
      </c>
      <c r="J1362" s="39"/>
      <c r="K1362" s="39"/>
      <c r="L1362" s="39">
        <f t="shared" ref="L1362:L1364" si="876">SUM(I1362:K1362)</f>
        <v>0</v>
      </c>
      <c r="M1362" s="117">
        <v>46266</v>
      </c>
      <c r="N1362" s="117">
        <v>46276</v>
      </c>
      <c r="O1362" s="39"/>
      <c r="P1362" s="39"/>
      <c r="Q1362" s="39"/>
      <c r="R1362" s="39">
        <f t="shared" si="848"/>
        <v>0</v>
      </c>
      <c r="S1362" s="39" t="s">
        <v>130</v>
      </c>
      <c r="T1362" s="39"/>
      <c r="U1362" s="39"/>
      <c r="V1362" s="39"/>
      <c r="W1362" s="39"/>
      <c r="X1362" s="39"/>
      <c r="Y1362" s="39"/>
      <c r="Z1362" s="39"/>
      <c r="AA1362" s="39"/>
      <c r="AB1362" s="39">
        <f t="shared" si="853"/>
        <v>0</v>
      </c>
      <c r="AC1362" s="39"/>
      <c r="AD1362" s="39"/>
      <c r="AE1362" s="39"/>
      <c r="AF1362" s="39"/>
      <c r="AG1362" s="39"/>
      <c r="AH1362" s="39">
        <f t="shared" si="779"/>
        <v>0</v>
      </c>
      <c r="AI1362" s="39"/>
      <c r="AJ1362" s="39"/>
      <c r="AK1362" s="39"/>
      <c r="AL1362" s="39"/>
      <c r="AM1362" s="39"/>
      <c r="AN1362" s="39">
        <f t="shared" si="778"/>
        <v>0</v>
      </c>
      <c r="AO1362" s="39"/>
      <c r="AP1362" s="39"/>
      <c r="AQ1362" s="39"/>
      <c r="AR1362" s="39"/>
      <c r="AS1362" s="39"/>
      <c r="AT1362" s="39">
        <f t="shared" si="762"/>
        <v>0</v>
      </c>
      <c r="AU1362" s="39"/>
      <c r="AV1362" s="39"/>
      <c r="AW1362" s="39"/>
      <c r="AX1362" s="39"/>
      <c r="AY1362" s="39"/>
      <c r="AZ1362" s="39">
        <f t="shared" si="763"/>
        <v>0</v>
      </c>
      <c r="BA1362" s="39"/>
      <c r="BB1362" s="39"/>
      <c r="BC1362" s="39"/>
      <c r="BD1362" s="39"/>
      <c r="BE1362" s="39"/>
      <c r="BF1362" s="39">
        <f t="shared" si="764"/>
        <v>0</v>
      </c>
      <c r="BG1362" s="39"/>
      <c r="BH1362" s="39"/>
      <c r="BI1362" s="39"/>
      <c r="BJ1362" s="39"/>
      <c r="BK1362" s="39"/>
      <c r="BL1362" s="39">
        <f t="shared" si="780"/>
        <v>0</v>
      </c>
      <c r="BM1362" s="54" t="e">
        <f t="shared" si="765"/>
        <v>#DIV/0!</v>
      </c>
      <c r="BN1362" s="59">
        <v>46277</v>
      </c>
      <c r="BO1362" s="57">
        <v>46287</v>
      </c>
      <c r="BP1362" s="36"/>
      <c r="BQ1362" s="36"/>
      <c r="BR1362" s="39"/>
      <c r="BS1362" s="39"/>
      <c r="BT1362" s="39"/>
      <c r="BU1362" s="39"/>
      <c r="BV1362" s="39"/>
      <c r="BW1362" s="39"/>
      <c r="BX1362" s="39"/>
      <c r="BY1362" s="39"/>
      <c r="BZ1362" s="39">
        <f t="shared" si="781"/>
        <v>0</v>
      </c>
      <c r="CA1362" s="39" t="e">
        <f t="shared" si="766"/>
        <v>#VALUE!</v>
      </c>
      <c r="CB1362" s="39">
        <f t="shared" si="767"/>
        <v>0</v>
      </c>
      <c r="CC1362" s="39">
        <f t="shared" si="768"/>
        <v>0</v>
      </c>
      <c r="CD1362" s="39">
        <f t="shared" si="782"/>
        <v>0</v>
      </c>
      <c r="CE1362" s="102" t="e">
        <f t="shared" si="769"/>
        <v>#DIV/0!</v>
      </c>
      <c r="CF1362" s="36"/>
      <c r="CG1362" s="39" t="s">
        <v>232</v>
      </c>
      <c r="CH1362" s="39"/>
      <c r="CI1362" s="25">
        <v>2</v>
      </c>
    </row>
    <row r="1363" spans="1:87" ht="24.75" customHeight="1">
      <c r="A1363" s="36" t="s">
        <v>20</v>
      </c>
      <c r="B1363" s="29" t="s">
        <v>2166</v>
      </c>
      <c r="C1363" s="227" t="s">
        <v>2167</v>
      </c>
      <c r="D1363" s="36"/>
      <c r="E1363" s="39">
        <v>180</v>
      </c>
      <c r="F1363" s="39" t="s">
        <v>53</v>
      </c>
      <c r="G1363" s="36" t="s">
        <v>23</v>
      </c>
      <c r="H1363" s="36" t="s">
        <v>87</v>
      </c>
      <c r="I1363" s="39">
        <v>292</v>
      </c>
      <c r="J1363" s="39"/>
      <c r="K1363" s="39"/>
      <c r="L1363" s="39">
        <f t="shared" si="876"/>
        <v>292</v>
      </c>
      <c r="M1363" s="117">
        <v>46266</v>
      </c>
      <c r="N1363" s="117">
        <v>46275</v>
      </c>
      <c r="O1363" s="39"/>
      <c r="P1363" s="39"/>
      <c r="Q1363" s="39"/>
      <c r="R1363" s="39">
        <f t="shared" si="848"/>
        <v>0</v>
      </c>
      <c r="S1363" s="39" t="s">
        <v>28</v>
      </c>
      <c r="T1363" s="39"/>
      <c r="U1363" s="39"/>
      <c r="V1363" s="117">
        <v>46263</v>
      </c>
      <c r="W1363" s="39">
        <v>326</v>
      </c>
      <c r="X1363" s="117">
        <v>46274</v>
      </c>
      <c r="Y1363" s="39">
        <v>303</v>
      </c>
      <c r="Z1363" s="39"/>
      <c r="AA1363" s="39"/>
      <c r="AB1363" s="119">
        <f t="shared" si="853"/>
        <v>303</v>
      </c>
      <c r="AC1363" s="39"/>
      <c r="AD1363" s="39"/>
      <c r="AE1363" s="39"/>
      <c r="AF1363" s="39"/>
      <c r="AG1363" s="39"/>
      <c r="AH1363" s="39">
        <f t="shared" si="779"/>
        <v>0</v>
      </c>
      <c r="AI1363" s="39"/>
      <c r="AJ1363" s="39"/>
      <c r="AK1363" s="39"/>
      <c r="AL1363" s="39"/>
      <c r="AM1363" s="39"/>
      <c r="AN1363" s="39">
        <f t="shared" si="778"/>
        <v>0</v>
      </c>
      <c r="AO1363" s="39"/>
      <c r="AP1363" s="39"/>
      <c r="AQ1363" s="39"/>
      <c r="AR1363" s="39"/>
      <c r="AS1363" s="39"/>
      <c r="AT1363" s="39">
        <f t="shared" si="762"/>
        <v>0</v>
      </c>
      <c r="AU1363" s="39"/>
      <c r="AV1363" s="39"/>
      <c r="AW1363" s="39"/>
      <c r="AX1363" s="39"/>
      <c r="AY1363" s="39"/>
      <c r="AZ1363" s="39">
        <f t="shared" si="763"/>
        <v>0</v>
      </c>
      <c r="BA1363" s="39"/>
      <c r="BB1363" s="39"/>
      <c r="BC1363" s="39"/>
      <c r="BD1363" s="39"/>
      <c r="BE1363" s="39"/>
      <c r="BF1363" s="39">
        <f t="shared" si="764"/>
        <v>0</v>
      </c>
      <c r="BG1363" s="39"/>
      <c r="BH1363" s="39"/>
      <c r="BI1363" s="39"/>
      <c r="BJ1363" s="39"/>
      <c r="BK1363" s="39"/>
      <c r="BL1363" s="39">
        <f t="shared" si="780"/>
        <v>0</v>
      </c>
      <c r="BM1363" s="54" t="str">
        <f t="shared" si="765"/>
        <v/>
      </c>
      <c r="BN1363" s="59">
        <v>46276</v>
      </c>
      <c r="BO1363" s="57">
        <v>46287</v>
      </c>
      <c r="BP1363" s="36"/>
      <c r="BQ1363" s="36"/>
      <c r="BR1363" s="117">
        <v>46272</v>
      </c>
      <c r="BS1363" s="39"/>
      <c r="BT1363" s="39">
        <v>854</v>
      </c>
      <c r="BU1363" s="39">
        <v>303</v>
      </c>
      <c r="BV1363" s="39"/>
      <c r="BW1363" s="39"/>
      <c r="BX1363" s="39"/>
      <c r="BY1363" s="39"/>
      <c r="BZ1363" s="39">
        <f t="shared" si="781"/>
        <v>303</v>
      </c>
      <c r="CA1363" s="39">
        <f t="shared" si="766"/>
        <v>11</v>
      </c>
      <c r="CB1363" s="39">
        <f t="shared" si="767"/>
        <v>0</v>
      </c>
      <c r="CC1363" s="39">
        <f t="shared" si="768"/>
        <v>0</v>
      </c>
      <c r="CD1363" s="39">
        <f t="shared" si="782"/>
        <v>0</v>
      </c>
      <c r="CE1363" s="102">
        <f t="shared" si="769"/>
        <v>0</v>
      </c>
      <c r="CF1363" s="36"/>
      <c r="CG1363" s="39" t="s">
        <v>233</v>
      </c>
      <c r="CH1363" s="39"/>
      <c r="CI1363" s="25">
        <v>2</v>
      </c>
    </row>
    <row r="1364" spans="1:87" ht="24.75" customHeight="1">
      <c r="A1364" s="36" t="s">
        <v>20</v>
      </c>
      <c r="B1364" s="29" t="s">
        <v>2166</v>
      </c>
      <c r="C1364" s="228"/>
      <c r="D1364" s="36" t="s">
        <v>24</v>
      </c>
      <c r="E1364" s="39">
        <v>180</v>
      </c>
      <c r="F1364" s="39" t="s">
        <v>53</v>
      </c>
      <c r="G1364" s="36" t="s">
        <v>2168</v>
      </c>
      <c r="H1364" s="36" t="s">
        <v>87</v>
      </c>
      <c r="I1364" s="39">
        <v>303</v>
      </c>
      <c r="J1364" s="39"/>
      <c r="K1364" s="39">
        <v>23</v>
      </c>
      <c r="L1364" s="39">
        <f t="shared" si="876"/>
        <v>326</v>
      </c>
      <c r="M1364" s="117">
        <v>46266</v>
      </c>
      <c r="N1364" s="117">
        <v>46275</v>
      </c>
      <c r="O1364" s="39"/>
      <c r="P1364" s="39"/>
      <c r="Q1364" s="39"/>
      <c r="R1364" s="39">
        <f t="shared" si="848"/>
        <v>0</v>
      </c>
      <c r="S1364" s="39" t="s">
        <v>130</v>
      </c>
      <c r="T1364" s="39"/>
      <c r="U1364" s="39"/>
      <c r="V1364" s="39"/>
      <c r="W1364" s="39"/>
      <c r="X1364" s="39"/>
      <c r="Y1364" s="39"/>
      <c r="Z1364" s="39"/>
      <c r="AA1364" s="39"/>
      <c r="AB1364" s="118">
        <f t="shared" si="853"/>
        <v>0</v>
      </c>
      <c r="AC1364" s="39"/>
      <c r="AD1364" s="39"/>
      <c r="AE1364" s="39"/>
      <c r="AF1364" s="39"/>
      <c r="AG1364" s="39"/>
      <c r="AH1364" s="39">
        <f t="shared" si="779"/>
        <v>0</v>
      </c>
      <c r="AI1364" s="39"/>
      <c r="AJ1364" s="39"/>
      <c r="AK1364" s="39"/>
      <c r="AL1364" s="39"/>
      <c r="AM1364" s="39"/>
      <c r="AN1364" s="39">
        <f t="shared" si="778"/>
        <v>0</v>
      </c>
      <c r="AO1364" s="39"/>
      <c r="AP1364" s="39"/>
      <c r="AQ1364" s="39"/>
      <c r="AR1364" s="39"/>
      <c r="AS1364" s="39"/>
      <c r="AT1364" s="39">
        <f t="shared" si="762"/>
        <v>0</v>
      </c>
      <c r="AU1364" s="39"/>
      <c r="AV1364" s="39"/>
      <c r="AW1364" s="39"/>
      <c r="AX1364" s="39"/>
      <c r="AY1364" s="39"/>
      <c r="AZ1364" s="39">
        <f t="shared" si="763"/>
        <v>0</v>
      </c>
      <c r="BA1364" s="39"/>
      <c r="BB1364" s="39"/>
      <c r="BC1364" s="39"/>
      <c r="BD1364" s="39"/>
      <c r="BE1364" s="39"/>
      <c r="BF1364" s="39">
        <f t="shared" si="764"/>
        <v>0</v>
      </c>
      <c r="BG1364" s="39"/>
      <c r="BH1364" s="39"/>
      <c r="BI1364" s="39"/>
      <c r="BJ1364" s="39"/>
      <c r="BK1364" s="39"/>
      <c r="BL1364" s="39">
        <f t="shared" si="780"/>
        <v>0</v>
      </c>
      <c r="BM1364" s="54">
        <f t="shared" ca="1" si="765"/>
        <v>46283</v>
      </c>
      <c r="BN1364" s="59">
        <v>46276</v>
      </c>
      <c r="BO1364" s="57">
        <v>46287</v>
      </c>
      <c r="BP1364" s="36"/>
      <c r="BQ1364" s="36"/>
      <c r="BR1364" s="39"/>
      <c r="BS1364" s="39"/>
      <c r="BT1364" s="39"/>
      <c r="BU1364" s="39"/>
      <c r="BV1364" s="39"/>
      <c r="BW1364" s="39"/>
      <c r="BX1364" s="39"/>
      <c r="BY1364" s="39"/>
      <c r="BZ1364" s="39">
        <f t="shared" si="781"/>
        <v>0</v>
      </c>
      <c r="CA1364" s="39">
        <f t="shared" si="766"/>
        <v>-303</v>
      </c>
      <c r="CB1364" s="39">
        <f t="shared" si="767"/>
        <v>0</v>
      </c>
      <c r="CC1364" s="39">
        <f t="shared" si="768"/>
        <v>-23</v>
      </c>
      <c r="CD1364" s="39">
        <f t="shared" si="782"/>
        <v>-326</v>
      </c>
      <c r="CE1364" s="102">
        <f t="shared" si="769"/>
        <v>-1</v>
      </c>
      <c r="CF1364" s="36"/>
      <c r="CG1364" s="39" t="s">
        <v>233</v>
      </c>
      <c r="CH1364" s="39"/>
      <c r="CI1364" s="25">
        <v>2</v>
      </c>
    </row>
    <row r="1365" spans="1:87" ht="24.75" customHeight="1">
      <c r="A1365" s="36" t="s">
        <v>20</v>
      </c>
      <c r="B1365" s="29" t="s">
        <v>2689</v>
      </c>
      <c r="C1365" s="227" t="s">
        <v>2690</v>
      </c>
      <c r="D1365" s="36"/>
      <c r="E1365" s="39">
        <v>160</v>
      </c>
      <c r="F1365" s="39" t="s">
        <v>54</v>
      </c>
      <c r="G1365" s="36" t="s">
        <v>21</v>
      </c>
      <c r="H1365" s="36" t="s">
        <v>207</v>
      </c>
      <c r="I1365" s="39">
        <v>445</v>
      </c>
      <c r="J1365" s="39"/>
      <c r="K1365" s="39"/>
      <c r="L1365" s="39">
        <f t="shared" ref="L1365:L1366" si="877">SUM(I1365:K1365)</f>
        <v>445</v>
      </c>
      <c r="M1365" s="117">
        <v>46270</v>
      </c>
      <c r="N1365" s="117">
        <v>46277</v>
      </c>
      <c r="O1365" s="39"/>
      <c r="P1365" s="39"/>
      <c r="Q1365" s="39"/>
      <c r="R1365" s="39">
        <f t="shared" si="848"/>
        <v>0</v>
      </c>
      <c r="S1365" s="39" t="s">
        <v>130</v>
      </c>
      <c r="T1365" s="39"/>
      <c r="U1365" s="39"/>
      <c r="V1365" s="39"/>
      <c r="W1365" s="39"/>
      <c r="X1365" s="39"/>
      <c r="Y1365" s="39"/>
      <c r="Z1365" s="39"/>
      <c r="AA1365" s="39"/>
      <c r="AB1365" s="118">
        <f t="shared" si="853"/>
        <v>0</v>
      </c>
      <c r="AC1365" s="39"/>
      <c r="AD1365" s="39"/>
      <c r="AE1365" s="39"/>
      <c r="AF1365" s="39"/>
      <c r="AG1365" s="39"/>
      <c r="AH1365" s="39">
        <f t="shared" ref="AH1365:AH1366" si="878">AG1365-AE1365</f>
        <v>0</v>
      </c>
      <c r="AI1365" s="39"/>
      <c r="AJ1365" s="39"/>
      <c r="AK1365" s="39"/>
      <c r="AL1365" s="39"/>
      <c r="AM1365" s="39"/>
      <c r="AN1365" s="39">
        <f t="shared" ref="AN1365:AN1366" si="879">AM1365-AK1365</f>
        <v>0</v>
      </c>
      <c r="AO1365" s="39"/>
      <c r="AP1365" s="39"/>
      <c r="AQ1365" s="39"/>
      <c r="AR1365" s="39"/>
      <c r="AS1365" s="39"/>
      <c r="AT1365" s="39">
        <f t="shared" si="762"/>
        <v>0</v>
      </c>
      <c r="AU1365" s="39"/>
      <c r="AV1365" s="39"/>
      <c r="AW1365" s="39"/>
      <c r="AX1365" s="39"/>
      <c r="AY1365" s="39"/>
      <c r="AZ1365" s="39">
        <f t="shared" si="763"/>
        <v>0</v>
      </c>
      <c r="BA1365" s="39"/>
      <c r="BB1365" s="39"/>
      <c r="BC1365" s="39"/>
      <c r="BD1365" s="39"/>
      <c r="BE1365" s="39"/>
      <c r="BF1365" s="39">
        <f t="shared" si="764"/>
        <v>0</v>
      </c>
      <c r="BG1365" s="39"/>
      <c r="BH1365" s="39"/>
      <c r="BI1365" s="39"/>
      <c r="BJ1365" s="39"/>
      <c r="BK1365" s="39"/>
      <c r="BL1365" s="39">
        <f t="shared" ref="BL1365:BL1366" si="880">BK1365-BI1365</f>
        <v>0</v>
      </c>
      <c r="BM1365" s="54">
        <f t="shared" ca="1" si="765"/>
        <v>46283</v>
      </c>
      <c r="BN1365" s="59">
        <v>46279</v>
      </c>
      <c r="BO1365" s="57">
        <v>46291</v>
      </c>
      <c r="BP1365" s="36"/>
      <c r="BQ1365" s="36"/>
      <c r="BR1365" s="39"/>
      <c r="BS1365" s="39"/>
      <c r="BT1365" s="39"/>
      <c r="BU1365" s="39"/>
      <c r="BV1365" s="39"/>
      <c r="BW1365" s="39"/>
      <c r="BX1365" s="39"/>
      <c r="BY1365" s="39"/>
      <c r="BZ1365" s="39">
        <f t="shared" ref="BZ1365:BZ1366" si="881">BU1365+BW1365+BY1365</f>
        <v>0</v>
      </c>
      <c r="CA1365" s="39">
        <f t="shared" si="766"/>
        <v>-445</v>
      </c>
      <c r="CB1365" s="39">
        <f t="shared" si="767"/>
        <v>0</v>
      </c>
      <c r="CC1365" s="39">
        <f t="shared" si="768"/>
        <v>0</v>
      </c>
      <c r="CD1365" s="39">
        <f t="shared" ref="CD1365:CD1366" si="882">SUMIF(CA1365:CC1365,"&lt;0")</f>
        <v>-445</v>
      </c>
      <c r="CE1365" s="102">
        <f t="shared" si="769"/>
        <v>-1</v>
      </c>
      <c r="CF1365" s="36"/>
      <c r="CG1365" s="39" t="s">
        <v>233</v>
      </c>
      <c r="CH1365" s="39"/>
      <c r="CI1365" s="25">
        <v>2</v>
      </c>
    </row>
    <row r="1366" spans="1:87" ht="24.75" customHeight="1">
      <c r="A1366" s="36" t="s">
        <v>20</v>
      </c>
      <c r="B1366" s="29" t="s">
        <v>2689</v>
      </c>
      <c r="C1366" s="228"/>
      <c r="D1366" s="36"/>
      <c r="E1366" s="39">
        <v>160</v>
      </c>
      <c r="F1366" s="39" t="s">
        <v>54</v>
      </c>
      <c r="G1366" s="36" t="s">
        <v>21</v>
      </c>
      <c r="H1366" s="36" t="s">
        <v>207</v>
      </c>
      <c r="I1366" s="39">
        <v>445</v>
      </c>
      <c r="J1366" s="39"/>
      <c r="K1366" s="39"/>
      <c r="L1366" s="39">
        <f t="shared" si="877"/>
        <v>445</v>
      </c>
      <c r="M1366" s="117">
        <v>46270</v>
      </c>
      <c r="N1366" s="117">
        <v>46277</v>
      </c>
      <c r="O1366" s="39"/>
      <c r="P1366" s="39"/>
      <c r="Q1366" s="39"/>
      <c r="R1366" s="39">
        <f t="shared" si="848"/>
        <v>0</v>
      </c>
      <c r="S1366" s="39" t="s">
        <v>130</v>
      </c>
      <c r="T1366" s="39"/>
      <c r="U1366" s="39"/>
      <c r="V1366" s="39"/>
      <c r="W1366" s="39"/>
      <c r="X1366" s="39"/>
      <c r="Y1366" s="39"/>
      <c r="Z1366" s="39"/>
      <c r="AA1366" s="39"/>
      <c r="AB1366" s="118">
        <f t="shared" si="853"/>
        <v>0</v>
      </c>
      <c r="AC1366" s="39"/>
      <c r="AD1366" s="39"/>
      <c r="AE1366" s="39"/>
      <c r="AF1366" s="39"/>
      <c r="AG1366" s="39"/>
      <c r="AH1366" s="39">
        <f t="shared" si="878"/>
        <v>0</v>
      </c>
      <c r="AI1366" s="39"/>
      <c r="AJ1366" s="39"/>
      <c r="AK1366" s="39"/>
      <c r="AL1366" s="39"/>
      <c r="AM1366" s="39"/>
      <c r="AN1366" s="39">
        <f t="shared" si="879"/>
        <v>0</v>
      </c>
      <c r="AO1366" s="39"/>
      <c r="AP1366" s="39"/>
      <c r="AQ1366" s="39"/>
      <c r="AR1366" s="39"/>
      <c r="AS1366" s="39"/>
      <c r="AT1366" s="39">
        <f t="shared" si="762"/>
        <v>0</v>
      </c>
      <c r="AU1366" s="39"/>
      <c r="AV1366" s="39"/>
      <c r="AW1366" s="39"/>
      <c r="AX1366" s="39"/>
      <c r="AY1366" s="39"/>
      <c r="AZ1366" s="39">
        <f t="shared" si="763"/>
        <v>0</v>
      </c>
      <c r="BA1366" s="39"/>
      <c r="BB1366" s="39"/>
      <c r="BC1366" s="39"/>
      <c r="BD1366" s="39"/>
      <c r="BE1366" s="39"/>
      <c r="BF1366" s="39">
        <f t="shared" si="764"/>
        <v>0</v>
      </c>
      <c r="BG1366" s="39"/>
      <c r="BH1366" s="39"/>
      <c r="BI1366" s="39"/>
      <c r="BJ1366" s="39"/>
      <c r="BK1366" s="39"/>
      <c r="BL1366" s="39">
        <f t="shared" si="880"/>
        <v>0</v>
      </c>
      <c r="BM1366" s="54">
        <f t="shared" ca="1" si="765"/>
        <v>46283</v>
      </c>
      <c r="BN1366" s="59">
        <v>46279</v>
      </c>
      <c r="BO1366" s="57">
        <v>46291</v>
      </c>
      <c r="BP1366" s="36"/>
      <c r="BQ1366" s="36"/>
      <c r="BR1366" s="39"/>
      <c r="BS1366" s="39"/>
      <c r="BT1366" s="39"/>
      <c r="BU1366" s="39"/>
      <c r="BV1366" s="39"/>
      <c r="BW1366" s="39"/>
      <c r="BX1366" s="39"/>
      <c r="BY1366" s="39"/>
      <c r="BZ1366" s="39">
        <f t="shared" si="881"/>
        <v>0</v>
      </c>
      <c r="CA1366" s="39">
        <f t="shared" si="766"/>
        <v>-445</v>
      </c>
      <c r="CB1366" s="39">
        <f t="shared" si="767"/>
        <v>0</v>
      </c>
      <c r="CC1366" s="39">
        <f t="shared" si="768"/>
        <v>0</v>
      </c>
      <c r="CD1366" s="39">
        <f t="shared" si="882"/>
        <v>-445</v>
      </c>
      <c r="CE1366" s="102">
        <f t="shared" si="769"/>
        <v>-1</v>
      </c>
      <c r="CF1366" s="36"/>
      <c r="CG1366" s="39" t="s">
        <v>233</v>
      </c>
      <c r="CH1366" s="39"/>
      <c r="CI1366" s="25">
        <v>2</v>
      </c>
    </row>
    <row r="1367" spans="1:87" ht="24.75" customHeight="1">
      <c r="A1367" s="36" t="s">
        <v>20</v>
      </c>
      <c r="B1367" s="29"/>
      <c r="C1367" s="36"/>
      <c r="D1367" s="36"/>
      <c r="E1367" s="39"/>
      <c r="F1367" s="39"/>
      <c r="G1367" s="36"/>
      <c r="H1367" s="39"/>
      <c r="I1367" s="39"/>
      <c r="J1367" s="39"/>
      <c r="K1367" s="39"/>
      <c r="L1367" s="39">
        <f t="shared" ref="L1367:L1399" si="883">SUM(I1367:K1367)</f>
        <v>0</v>
      </c>
      <c r="M1367" s="39"/>
      <c r="N1367" s="39"/>
      <c r="O1367" s="39"/>
      <c r="P1367" s="39"/>
      <c r="Q1367" s="39"/>
      <c r="R1367" s="39">
        <f t="shared" ref="R1367:R1399" si="884">SUM(O1367:Q1367)</f>
        <v>0</v>
      </c>
      <c r="S1367" s="39"/>
      <c r="T1367" s="39"/>
      <c r="U1367" s="39"/>
      <c r="V1367" s="39"/>
      <c r="W1367" s="39"/>
      <c r="X1367" s="39"/>
      <c r="Y1367" s="39"/>
      <c r="Z1367" s="39"/>
      <c r="AA1367" s="39"/>
      <c r="AB1367" s="39">
        <f t="shared" ref="AB1367:AB1399" si="885">SUM(Y1367:AA1367)</f>
        <v>0</v>
      </c>
      <c r="AC1367" s="39"/>
      <c r="AD1367" s="39"/>
      <c r="AE1367" s="39"/>
      <c r="AF1367" s="39"/>
      <c r="AG1367" s="39"/>
      <c r="AH1367" s="39">
        <f t="shared" si="779"/>
        <v>0</v>
      </c>
      <c r="AI1367" s="39"/>
      <c r="AJ1367" s="39"/>
      <c r="AK1367" s="39"/>
      <c r="AL1367" s="39"/>
      <c r="AM1367" s="39"/>
      <c r="AN1367" s="39">
        <f t="shared" si="778"/>
        <v>0</v>
      </c>
      <c r="AO1367" s="39"/>
      <c r="AP1367" s="39"/>
      <c r="AQ1367" s="39"/>
      <c r="AR1367" s="39"/>
      <c r="AS1367" s="39"/>
      <c r="AT1367" s="39">
        <f t="shared" si="762"/>
        <v>0</v>
      </c>
      <c r="AU1367" s="39"/>
      <c r="AV1367" s="39"/>
      <c r="AW1367" s="39"/>
      <c r="AX1367" s="39"/>
      <c r="AY1367" s="39"/>
      <c r="AZ1367" s="39">
        <f t="shared" si="763"/>
        <v>0</v>
      </c>
      <c r="BA1367" s="39"/>
      <c r="BB1367" s="39"/>
      <c r="BC1367" s="39"/>
      <c r="BD1367" s="39"/>
      <c r="BE1367" s="39"/>
      <c r="BF1367" s="39">
        <f t="shared" si="764"/>
        <v>0</v>
      </c>
      <c r="BG1367" s="39"/>
      <c r="BH1367" s="39"/>
      <c r="BI1367" s="39"/>
      <c r="BJ1367" s="39"/>
      <c r="BK1367" s="39"/>
      <c r="BL1367" s="39">
        <f t="shared" si="780"/>
        <v>0</v>
      </c>
      <c r="BM1367" s="54" t="e">
        <f t="shared" si="765"/>
        <v>#DIV/0!</v>
      </c>
      <c r="BN1367" s="65"/>
      <c r="BO1367" s="36"/>
      <c r="BP1367" s="36"/>
      <c r="BQ1367" s="36"/>
      <c r="BR1367" s="39"/>
      <c r="BS1367" s="39"/>
      <c r="BT1367" s="39"/>
      <c r="BU1367" s="39"/>
      <c r="BV1367" s="39"/>
      <c r="BW1367" s="39"/>
      <c r="BX1367" s="39"/>
      <c r="BY1367" s="39"/>
      <c r="BZ1367" s="39">
        <f t="shared" si="781"/>
        <v>0</v>
      </c>
      <c r="CA1367" s="39">
        <f t="shared" si="766"/>
        <v>0</v>
      </c>
      <c r="CB1367" s="39">
        <f t="shared" si="767"/>
        <v>0</v>
      </c>
      <c r="CC1367" s="39">
        <f t="shared" si="768"/>
        <v>0</v>
      </c>
      <c r="CD1367" s="39">
        <f t="shared" si="782"/>
        <v>0</v>
      </c>
      <c r="CE1367" s="47" t="e">
        <f t="shared" si="769"/>
        <v>#DIV/0!</v>
      </c>
      <c r="CF1367" s="36"/>
      <c r="CG1367" s="39"/>
      <c r="CH1367" s="39"/>
      <c r="CI1367" s="25">
        <v>2</v>
      </c>
    </row>
    <row r="1368" spans="1:87" ht="24.75" customHeight="1">
      <c r="A1368" s="36" t="s">
        <v>20</v>
      </c>
      <c r="B1368" s="29"/>
      <c r="C1368" s="36"/>
      <c r="D1368" s="36"/>
      <c r="E1368" s="39"/>
      <c r="F1368" s="39"/>
      <c r="G1368" s="36"/>
      <c r="H1368" s="39"/>
      <c r="I1368" s="39"/>
      <c r="J1368" s="39"/>
      <c r="K1368" s="39"/>
      <c r="L1368" s="39">
        <f t="shared" si="883"/>
        <v>0</v>
      </c>
      <c r="M1368" s="39"/>
      <c r="N1368" s="39"/>
      <c r="O1368" s="39"/>
      <c r="P1368" s="39"/>
      <c r="Q1368" s="39"/>
      <c r="R1368" s="39">
        <f t="shared" si="884"/>
        <v>0</v>
      </c>
      <c r="S1368" s="39"/>
      <c r="T1368" s="39"/>
      <c r="U1368" s="39"/>
      <c r="V1368" s="39"/>
      <c r="W1368" s="39"/>
      <c r="X1368" s="39"/>
      <c r="Y1368" s="39"/>
      <c r="Z1368" s="39"/>
      <c r="AA1368" s="39"/>
      <c r="AB1368" s="39">
        <f t="shared" si="885"/>
        <v>0</v>
      </c>
      <c r="AC1368" s="39"/>
      <c r="AD1368" s="39"/>
      <c r="AE1368" s="39"/>
      <c r="AF1368" s="39"/>
      <c r="AG1368" s="39"/>
      <c r="AH1368" s="39">
        <f t="shared" si="779"/>
        <v>0</v>
      </c>
      <c r="AI1368" s="39"/>
      <c r="AJ1368" s="39"/>
      <c r="AK1368" s="39"/>
      <c r="AL1368" s="39"/>
      <c r="AM1368" s="39"/>
      <c r="AN1368" s="39">
        <f t="shared" si="778"/>
        <v>0</v>
      </c>
      <c r="AO1368" s="39"/>
      <c r="AP1368" s="39"/>
      <c r="AQ1368" s="39"/>
      <c r="AR1368" s="39"/>
      <c r="AS1368" s="39"/>
      <c r="AT1368" s="39">
        <f t="shared" si="762"/>
        <v>0</v>
      </c>
      <c r="AU1368" s="39"/>
      <c r="AV1368" s="39"/>
      <c r="AW1368" s="39"/>
      <c r="AX1368" s="39"/>
      <c r="AY1368" s="39"/>
      <c r="AZ1368" s="39">
        <f t="shared" si="763"/>
        <v>0</v>
      </c>
      <c r="BA1368" s="39"/>
      <c r="BB1368" s="39"/>
      <c r="BC1368" s="39"/>
      <c r="BD1368" s="39"/>
      <c r="BE1368" s="39"/>
      <c r="BF1368" s="39">
        <f t="shared" si="764"/>
        <v>0</v>
      </c>
      <c r="BG1368" s="39"/>
      <c r="BH1368" s="39"/>
      <c r="BI1368" s="39"/>
      <c r="BJ1368" s="39"/>
      <c r="BK1368" s="39"/>
      <c r="BL1368" s="39">
        <f t="shared" si="780"/>
        <v>0</v>
      </c>
      <c r="BM1368" s="54" t="e">
        <f t="shared" si="765"/>
        <v>#DIV/0!</v>
      </c>
      <c r="BN1368" s="65"/>
      <c r="BO1368" s="36"/>
      <c r="BP1368" s="36"/>
      <c r="BQ1368" s="36"/>
      <c r="BR1368" s="39"/>
      <c r="BS1368" s="39"/>
      <c r="BT1368" s="39"/>
      <c r="BU1368" s="39"/>
      <c r="BV1368" s="39"/>
      <c r="BW1368" s="39"/>
      <c r="BX1368" s="39"/>
      <c r="BY1368" s="39"/>
      <c r="BZ1368" s="39">
        <f t="shared" si="781"/>
        <v>0</v>
      </c>
      <c r="CA1368" s="39">
        <f t="shared" si="766"/>
        <v>0</v>
      </c>
      <c r="CB1368" s="39">
        <f t="shared" si="767"/>
        <v>0</v>
      </c>
      <c r="CC1368" s="39">
        <f t="shared" si="768"/>
        <v>0</v>
      </c>
      <c r="CD1368" s="39">
        <f t="shared" si="782"/>
        <v>0</v>
      </c>
      <c r="CE1368" s="47" t="e">
        <f t="shared" si="769"/>
        <v>#DIV/0!</v>
      </c>
      <c r="CF1368" s="36"/>
      <c r="CG1368" s="39"/>
      <c r="CH1368" s="39"/>
      <c r="CI1368" s="25">
        <v>2</v>
      </c>
    </row>
    <row r="1369" spans="1:87" ht="24.75" customHeight="1">
      <c r="A1369" s="36" t="s">
        <v>20</v>
      </c>
      <c r="B1369" s="29"/>
      <c r="C1369" s="36"/>
      <c r="D1369" s="36"/>
      <c r="E1369" s="39"/>
      <c r="F1369" s="39"/>
      <c r="G1369" s="36"/>
      <c r="H1369" s="39"/>
      <c r="I1369" s="39"/>
      <c r="J1369" s="39"/>
      <c r="K1369" s="39"/>
      <c r="L1369" s="39">
        <f t="shared" si="883"/>
        <v>0</v>
      </c>
      <c r="M1369" s="39"/>
      <c r="N1369" s="39"/>
      <c r="O1369" s="39"/>
      <c r="P1369" s="39"/>
      <c r="Q1369" s="39"/>
      <c r="R1369" s="39">
        <f t="shared" si="884"/>
        <v>0</v>
      </c>
      <c r="S1369" s="39"/>
      <c r="T1369" s="39"/>
      <c r="U1369" s="39"/>
      <c r="V1369" s="39"/>
      <c r="W1369" s="39"/>
      <c r="X1369" s="39"/>
      <c r="Y1369" s="39"/>
      <c r="Z1369" s="39"/>
      <c r="AA1369" s="39"/>
      <c r="AB1369" s="39">
        <f t="shared" si="885"/>
        <v>0</v>
      </c>
      <c r="AC1369" s="39"/>
      <c r="AD1369" s="39"/>
      <c r="AE1369" s="39"/>
      <c r="AF1369" s="39"/>
      <c r="AG1369" s="39"/>
      <c r="AH1369" s="39">
        <f t="shared" si="779"/>
        <v>0</v>
      </c>
      <c r="AI1369" s="39"/>
      <c r="AJ1369" s="39"/>
      <c r="AK1369" s="39"/>
      <c r="AL1369" s="39"/>
      <c r="AM1369" s="39"/>
      <c r="AN1369" s="39">
        <f t="shared" si="778"/>
        <v>0</v>
      </c>
      <c r="AO1369" s="39"/>
      <c r="AP1369" s="39"/>
      <c r="AQ1369" s="39"/>
      <c r="AR1369" s="39"/>
      <c r="AS1369" s="39"/>
      <c r="AT1369" s="39">
        <f t="shared" si="762"/>
        <v>0</v>
      </c>
      <c r="AU1369" s="39"/>
      <c r="AV1369" s="39"/>
      <c r="AW1369" s="39"/>
      <c r="AX1369" s="39"/>
      <c r="AY1369" s="39"/>
      <c r="AZ1369" s="39">
        <f t="shared" si="763"/>
        <v>0</v>
      </c>
      <c r="BA1369" s="39"/>
      <c r="BB1369" s="39"/>
      <c r="BC1369" s="39"/>
      <c r="BD1369" s="39"/>
      <c r="BE1369" s="39"/>
      <c r="BF1369" s="39">
        <f t="shared" si="764"/>
        <v>0</v>
      </c>
      <c r="BG1369" s="39"/>
      <c r="BH1369" s="39"/>
      <c r="BI1369" s="39"/>
      <c r="BJ1369" s="39"/>
      <c r="BK1369" s="39"/>
      <c r="BL1369" s="39">
        <f t="shared" si="780"/>
        <v>0</v>
      </c>
      <c r="BM1369" s="54" t="e">
        <f t="shared" si="765"/>
        <v>#DIV/0!</v>
      </c>
      <c r="BN1369" s="65"/>
      <c r="BO1369" s="36"/>
      <c r="BP1369" s="36"/>
      <c r="BQ1369" s="36"/>
      <c r="BR1369" s="39"/>
      <c r="BS1369" s="39"/>
      <c r="BT1369" s="39"/>
      <c r="BU1369" s="39"/>
      <c r="BV1369" s="39"/>
      <c r="BW1369" s="39"/>
      <c r="BX1369" s="39"/>
      <c r="BY1369" s="39"/>
      <c r="BZ1369" s="39">
        <f t="shared" si="781"/>
        <v>0</v>
      </c>
      <c r="CA1369" s="39">
        <f t="shared" si="766"/>
        <v>0</v>
      </c>
      <c r="CB1369" s="39">
        <f t="shared" si="767"/>
        <v>0</v>
      </c>
      <c r="CC1369" s="39">
        <f t="shared" si="768"/>
        <v>0</v>
      </c>
      <c r="CD1369" s="39">
        <f t="shared" si="782"/>
        <v>0</v>
      </c>
      <c r="CE1369" s="47" t="e">
        <f t="shared" si="769"/>
        <v>#DIV/0!</v>
      </c>
      <c r="CF1369" s="36"/>
      <c r="CG1369" s="39"/>
      <c r="CH1369" s="39"/>
      <c r="CI1369" s="25">
        <v>2</v>
      </c>
    </row>
    <row r="1370" spans="1:87" ht="24.75" customHeight="1">
      <c r="A1370" s="36" t="s">
        <v>20</v>
      </c>
      <c r="B1370" s="29"/>
      <c r="C1370" s="36"/>
      <c r="D1370" s="36"/>
      <c r="E1370" s="39"/>
      <c r="F1370" s="39"/>
      <c r="G1370" s="36"/>
      <c r="H1370" s="39"/>
      <c r="I1370" s="39"/>
      <c r="J1370" s="39"/>
      <c r="K1370" s="39"/>
      <c r="L1370" s="39">
        <f t="shared" si="883"/>
        <v>0</v>
      </c>
      <c r="M1370" s="39"/>
      <c r="N1370" s="39"/>
      <c r="O1370" s="39"/>
      <c r="P1370" s="39"/>
      <c r="Q1370" s="39"/>
      <c r="R1370" s="39">
        <f t="shared" si="884"/>
        <v>0</v>
      </c>
      <c r="S1370" s="39"/>
      <c r="T1370" s="39"/>
      <c r="U1370" s="39"/>
      <c r="V1370" s="39"/>
      <c r="W1370" s="39"/>
      <c r="X1370" s="39"/>
      <c r="Y1370" s="39"/>
      <c r="Z1370" s="39"/>
      <c r="AA1370" s="39"/>
      <c r="AB1370" s="39">
        <f t="shared" si="885"/>
        <v>0</v>
      </c>
      <c r="AC1370" s="39"/>
      <c r="AD1370" s="39"/>
      <c r="AE1370" s="39"/>
      <c r="AF1370" s="39"/>
      <c r="AG1370" s="39"/>
      <c r="AH1370" s="39">
        <f t="shared" si="779"/>
        <v>0</v>
      </c>
      <c r="AI1370" s="39"/>
      <c r="AJ1370" s="39"/>
      <c r="AK1370" s="39"/>
      <c r="AL1370" s="39"/>
      <c r="AM1370" s="39"/>
      <c r="AN1370" s="39">
        <f t="shared" si="778"/>
        <v>0</v>
      </c>
      <c r="AO1370" s="39"/>
      <c r="AP1370" s="39"/>
      <c r="AQ1370" s="39"/>
      <c r="AR1370" s="39"/>
      <c r="AS1370" s="39"/>
      <c r="AT1370" s="39">
        <f t="shared" si="762"/>
        <v>0</v>
      </c>
      <c r="AU1370" s="39"/>
      <c r="AV1370" s="39"/>
      <c r="AW1370" s="39"/>
      <c r="AX1370" s="39"/>
      <c r="AY1370" s="39"/>
      <c r="AZ1370" s="39">
        <f t="shared" si="763"/>
        <v>0</v>
      </c>
      <c r="BA1370" s="39"/>
      <c r="BB1370" s="39"/>
      <c r="BC1370" s="39"/>
      <c r="BD1370" s="39"/>
      <c r="BE1370" s="39"/>
      <c r="BF1370" s="39">
        <f t="shared" si="764"/>
        <v>0</v>
      </c>
      <c r="BG1370" s="39"/>
      <c r="BH1370" s="39"/>
      <c r="BI1370" s="39"/>
      <c r="BJ1370" s="39"/>
      <c r="BK1370" s="39"/>
      <c r="BL1370" s="39">
        <f t="shared" si="780"/>
        <v>0</v>
      </c>
      <c r="BM1370" s="54" t="e">
        <f t="shared" si="765"/>
        <v>#DIV/0!</v>
      </c>
      <c r="BN1370" s="65"/>
      <c r="BO1370" s="36"/>
      <c r="BP1370" s="36"/>
      <c r="BQ1370" s="36"/>
      <c r="BR1370" s="39"/>
      <c r="BS1370" s="39"/>
      <c r="BT1370" s="39"/>
      <c r="BU1370" s="39"/>
      <c r="BV1370" s="39"/>
      <c r="BW1370" s="39"/>
      <c r="BX1370" s="39"/>
      <c r="BY1370" s="39"/>
      <c r="BZ1370" s="39">
        <f t="shared" si="781"/>
        <v>0</v>
      </c>
      <c r="CA1370" s="39">
        <f t="shared" si="766"/>
        <v>0</v>
      </c>
      <c r="CB1370" s="39">
        <f t="shared" si="767"/>
        <v>0</v>
      </c>
      <c r="CC1370" s="39">
        <f t="shared" si="768"/>
        <v>0</v>
      </c>
      <c r="CD1370" s="39">
        <f t="shared" si="782"/>
        <v>0</v>
      </c>
      <c r="CE1370" s="47" t="e">
        <f t="shared" si="769"/>
        <v>#DIV/0!</v>
      </c>
      <c r="CF1370" s="36"/>
      <c r="CG1370" s="39"/>
      <c r="CH1370" s="39"/>
      <c r="CI1370" s="25">
        <v>2</v>
      </c>
    </row>
    <row r="1371" spans="1:87" ht="24.75" customHeight="1">
      <c r="A1371" s="36" t="s">
        <v>20</v>
      </c>
      <c r="B1371" s="29"/>
      <c r="C1371" s="36"/>
      <c r="D1371" s="36"/>
      <c r="E1371" s="39"/>
      <c r="F1371" s="39"/>
      <c r="G1371" s="36"/>
      <c r="H1371" s="39"/>
      <c r="I1371" s="39"/>
      <c r="J1371" s="39"/>
      <c r="K1371" s="39"/>
      <c r="L1371" s="39">
        <f t="shared" si="883"/>
        <v>0</v>
      </c>
      <c r="M1371" s="39"/>
      <c r="N1371" s="39"/>
      <c r="O1371" s="39"/>
      <c r="P1371" s="39"/>
      <c r="Q1371" s="39"/>
      <c r="R1371" s="39">
        <f t="shared" si="884"/>
        <v>0</v>
      </c>
      <c r="S1371" s="39"/>
      <c r="T1371" s="39"/>
      <c r="U1371" s="39"/>
      <c r="V1371" s="39"/>
      <c r="W1371" s="39"/>
      <c r="X1371" s="39"/>
      <c r="Y1371" s="39"/>
      <c r="Z1371" s="39"/>
      <c r="AA1371" s="39"/>
      <c r="AB1371" s="39">
        <f t="shared" si="885"/>
        <v>0</v>
      </c>
      <c r="AC1371" s="39"/>
      <c r="AD1371" s="39"/>
      <c r="AE1371" s="39"/>
      <c r="AF1371" s="39"/>
      <c r="AG1371" s="39"/>
      <c r="AH1371" s="39">
        <f t="shared" si="779"/>
        <v>0</v>
      </c>
      <c r="AI1371" s="39"/>
      <c r="AJ1371" s="39"/>
      <c r="AK1371" s="39"/>
      <c r="AL1371" s="39"/>
      <c r="AM1371" s="39"/>
      <c r="AN1371" s="39">
        <f t="shared" si="778"/>
        <v>0</v>
      </c>
      <c r="AO1371" s="39"/>
      <c r="AP1371" s="39"/>
      <c r="AQ1371" s="39"/>
      <c r="AR1371" s="39"/>
      <c r="AS1371" s="39"/>
      <c r="AT1371" s="39">
        <f t="shared" si="762"/>
        <v>0</v>
      </c>
      <c r="AU1371" s="39"/>
      <c r="AV1371" s="39"/>
      <c r="AW1371" s="39"/>
      <c r="AX1371" s="39"/>
      <c r="AY1371" s="39"/>
      <c r="AZ1371" s="39">
        <f t="shared" si="763"/>
        <v>0</v>
      </c>
      <c r="BA1371" s="39"/>
      <c r="BB1371" s="39"/>
      <c r="BC1371" s="39"/>
      <c r="BD1371" s="39"/>
      <c r="BE1371" s="39"/>
      <c r="BF1371" s="39">
        <f t="shared" si="764"/>
        <v>0</v>
      </c>
      <c r="BG1371" s="39"/>
      <c r="BH1371" s="39"/>
      <c r="BI1371" s="39"/>
      <c r="BJ1371" s="39"/>
      <c r="BK1371" s="39"/>
      <c r="BL1371" s="39">
        <f t="shared" si="780"/>
        <v>0</v>
      </c>
      <c r="BM1371" s="54" t="e">
        <f t="shared" si="765"/>
        <v>#DIV/0!</v>
      </c>
      <c r="BN1371" s="65"/>
      <c r="BO1371" s="36"/>
      <c r="BP1371" s="36"/>
      <c r="BQ1371" s="36"/>
      <c r="BR1371" s="39"/>
      <c r="BS1371" s="39"/>
      <c r="BT1371" s="39"/>
      <c r="BU1371" s="39"/>
      <c r="BV1371" s="39"/>
      <c r="BW1371" s="39"/>
      <c r="BX1371" s="39"/>
      <c r="BY1371" s="39"/>
      <c r="BZ1371" s="39">
        <f t="shared" si="781"/>
        <v>0</v>
      </c>
      <c r="CA1371" s="39">
        <f t="shared" si="766"/>
        <v>0</v>
      </c>
      <c r="CB1371" s="39">
        <f t="shared" si="767"/>
        <v>0</v>
      </c>
      <c r="CC1371" s="39">
        <f t="shared" si="768"/>
        <v>0</v>
      </c>
      <c r="CD1371" s="39">
        <f t="shared" si="782"/>
        <v>0</v>
      </c>
      <c r="CE1371" s="47" t="e">
        <f t="shared" si="769"/>
        <v>#DIV/0!</v>
      </c>
      <c r="CF1371" s="36"/>
      <c r="CG1371" s="39"/>
      <c r="CH1371" s="39"/>
      <c r="CI1371" s="25">
        <v>2</v>
      </c>
    </row>
    <row r="1372" spans="1:87" ht="24.75" customHeight="1">
      <c r="A1372" s="36" t="s">
        <v>20</v>
      </c>
      <c r="B1372" s="29"/>
      <c r="C1372" s="36"/>
      <c r="D1372" s="36"/>
      <c r="E1372" s="39"/>
      <c r="F1372" s="39"/>
      <c r="G1372" s="36"/>
      <c r="H1372" s="39"/>
      <c r="I1372" s="39"/>
      <c r="J1372" s="39"/>
      <c r="K1372" s="39"/>
      <c r="L1372" s="39">
        <f t="shared" si="883"/>
        <v>0</v>
      </c>
      <c r="M1372" s="39"/>
      <c r="N1372" s="39"/>
      <c r="O1372" s="39"/>
      <c r="P1372" s="39"/>
      <c r="Q1372" s="39"/>
      <c r="R1372" s="39">
        <f t="shared" si="884"/>
        <v>0</v>
      </c>
      <c r="S1372" s="39"/>
      <c r="T1372" s="39"/>
      <c r="U1372" s="39"/>
      <c r="V1372" s="39"/>
      <c r="W1372" s="39"/>
      <c r="X1372" s="39"/>
      <c r="Y1372" s="39"/>
      <c r="Z1372" s="39"/>
      <c r="AA1372" s="39"/>
      <c r="AB1372" s="39">
        <f t="shared" si="885"/>
        <v>0</v>
      </c>
      <c r="AC1372" s="39"/>
      <c r="AD1372" s="39"/>
      <c r="AE1372" s="39"/>
      <c r="AF1372" s="39"/>
      <c r="AG1372" s="39"/>
      <c r="AH1372" s="39">
        <f t="shared" si="779"/>
        <v>0</v>
      </c>
      <c r="AI1372" s="39"/>
      <c r="AJ1372" s="39"/>
      <c r="AK1372" s="39"/>
      <c r="AL1372" s="39"/>
      <c r="AM1372" s="39"/>
      <c r="AN1372" s="39">
        <f t="shared" si="778"/>
        <v>0</v>
      </c>
      <c r="AO1372" s="39"/>
      <c r="AP1372" s="39"/>
      <c r="AQ1372" s="39"/>
      <c r="AR1372" s="39"/>
      <c r="AS1372" s="39"/>
      <c r="AT1372" s="39">
        <f t="shared" si="762"/>
        <v>0</v>
      </c>
      <c r="AU1372" s="39"/>
      <c r="AV1372" s="39"/>
      <c r="AW1372" s="39"/>
      <c r="AX1372" s="39"/>
      <c r="AY1372" s="39"/>
      <c r="AZ1372" s="39">
        <f t="shared" si="763"/>
        <v>0</v>
      </c>
      <c r="BA1372" s="39"/>
      <c r="BB1372" s="39"/>
      <c r="BC1372" s="39"/>
      <c r="BD1372" s="39"/>
      <c r="BE1372" s="39"/>
      <c r="BF1372" s="39">
        <f t="shared" si="764"/>
        <v>0</v>
      </c>
      <c r="BG1372" s="39"/>
      <c r="BH1372" s="39"/>
      <c r="BI1372" s="39"/>
      <c r="BJ1372" s="39"/>
      <c r="BK1372" s="39"/>
      <c r="BL1372" s="39">
        <f t="shared" si="780"/>
        <v>0</v>
      </c>
      <c r="BM1372" s="54" t="e">
        <f t="shared" si="765"/>
        <v>#DIV/0!</v>
      </c>
      <c r="BN1372" s="65"/>
      <c r="BO1372" s="36"/>
      <c r="BP1372" s="36"/>
      <c r="BQ1372" s="36"/>
      <c r="BR1372" s="39"/>
      <c r="BS1372" s="39"/>
      <c r="BT1372" s="39"/>
      <c r="BU1372" s="39"/>
      <c r="BV1372" s="39"/>
      <c r="BW1372" s="39"/>
      <c r="BX1372" s="39"/>
      <c r="BY1372" s="39"/>
      <c r="BZ1372" s="39">
        <f t="shared" si="781"/>
        <v>0</v>
      </c>
      <c r="CA1372" s="39">
        <f t="shared" si="766"/>
        <v>0</v>
      </c>
      <c r="CB1372" s="39">
        <f t="shared" si="767"/>
        <v>0</v>
      </c>
      <c r="CC1372" s="39">
        <f t="shared" si="768"/>
        <v>0</v>
      </c>
      <c r="CD1372" s="39">
        <f t="shared" si="782"/>
        <v>0</v>
      </c>
      <c r="CE1372" s="47" t="e">
        <f t="shared" si="769"/>
        <v>#DIV/0!</v>
      </c>
      <c r="CF1372" s="36"/>
      <c r="CG1372" s="39"/>
      <c r="CH1372" s="39"/>
      <c r="CI1372" s="25">
        <v>2</v>
      </c>
    </row>
    <row r="1373" spans="1:87" ht="24.75" customHeight="1">
      <c r="A1373" s="36" t="s">
        <v>20</v>
      </c>
      <c r="B1373" s="29"/>
      <c r="C1373" s="36"/>
      <c r="D1373" s="36"/>
      <c r="E1373" s="39"/>
      <c r="F1373" s="39"/>
      <c r="G1373" s="36"/>
      <c r="H1373" s="39"/>
      <c r="I1373" s="39"/>
      <c r="J1373" s="39"/>
      <c r="K1373" s="39"/>
      <c r="L1373" s="39">
        <f t="shared" si="883"/>
        <v>0</v>
      </c>
      <c r="M1373" s="39"/>
      <c r="N1373" s="39"/>
      <c r="O1373" s="39"/>
      <c r="P1373" s="39"/>
      <c r="Q1373" s="39"/>
      <c r="R1373" s="39">
        <f t="shared" si="884"/>
        <v>0</v>
      </c>
      <c r="S1373" s="39"/>
      <c r="T1373" s="39"/>
      <c r="U1373" s="39"/>
      <c r="V1373" s="39"/>
      <c r="W1373" s="39"/>
      <c r="X1373" s="39"/>
      <c r="Y1373" s="39"/>
      <c r="Z1373" s="39"/>
      <c r="AA1373" s="39"/>
      <c r="AB1373" s="39">
        <f t="shared" si="885"/>
        <v>0</v>
      </c>
      <c r="AC1373" s="39"/>
      <c r="AD1373" s="39"/>
      <c r="AE1373" s="39"/>
      <c r="AF1373" s="39"/>
      <c r="AG1373" s="39"/>
      <c r="AH1373" s="39">
        <f t="shared" si="779"/>
        <v>0</v>
      </c>
      <c r="AI1373" s="39"/>
      <c r="AJ1373" s="39"/>
      <c r="AK1373" s="39"/>
      <c r="AL1373" s="39"/>
      <c r="AM1373" s="39"/>
      <c r="AN1373" s="39">
        <f t="shared" si="778"/>
        <v>0</v>
      </c>
      <c r="AO1373" s="39"/>
      <c r="AP1373" s="39"/>
      <c r="AQ1373" s="39"/>
      <c r="AR1373" s="39"/>
      <c r="AS1373" s="39"/>
      <c r="AT1373" s="39">
        <f t="shared" si="762"/>
        <v>0</v>
      </c>
      <c r="AU1373" s="39"/>
      <c r="AV1373" s="39"/>
      <c r="AW1373" s="39"/>
      <c r="AX1373" s="39"/>
      <c r="AY1373" s="39"/>
      <c r="AZ1373" s="39">
        <f t="shared" si="763"/>
        <v>0</v>
      </c>
      <c r="BA1373" s="39"/>
      <c r="BB1373" s="39"/>
      <c r="BC1373" s="39"/>
      <c r="BD1373" s="39"/>
      <c r="BE1373" s="39"/>
      <c r="BF1373" s="39">
        <f t="shared" si="764"/>
        <v>0</v>
      </c>
      <c r="BG1373" s="39"/>
      <c r="BH1373" s="39"/>
      <c r="BI1373" s="39"/>
      <c r="BJ1373" s="39"/>
      <c r="BK1373" s="39"/>
      <c r="BL1373" s="39">
        <f t="shared" si="780"/>
        <v>0</v>
      </c>
      <c r="BM1373" s="54" t="e">
        <f t="shared" si="765"/>
        <v>#DIV/0!</v>
      </c>
      <c r="BN1373" s="65"/>
      <c r="BO1373" s="36"/>
      <c r="BP1373" s="36"/>
      <c r="BQ1373" s="36"/>
      <c r="BR1373" s="39"/>
      <c r="BS1373" s="39"/>
      <c r="BT1373" s="39"/>
      <c r="BU1373" s="39"/>
      <c r="BV1373" s="39"/>
      <c r="BW1373" s="39"/>
      <c r="BX1373" s="39"/>
      <c r="BY1373" s="39"/>
      <c r="BZ1373" s="39">
        <f t="shared" si="781"/>
        <v>0</v>
      </c>
      <c r="CA1373" s="39">
        <f t="shared" si="766"/>
        <v>0</v>
      </c>
      <c r="CB1373" s="39">
        <f t="shared" si="767"/>
        <v>0</v>
      </c>
      <c r="CC1373" s="39">
        <f t="shared" si="768"/>
        <v>0</v>
      </c>
      <c r="CD1373" s="39">
        <f t="shared" si="782"/>
        <v>0</v>
      </c>
      <c r="CE1373" s="47" t="e">
        <f t="shared" si="769"/>
        <v>#DIV/0!</v>
      </c>
      <c r="CF1373" s="36"/>
      <c r="CG1373" s="39"/>
      <c r="CH1373" s="39"/>
      <c r="CI1373" s="25">
        <v>2</v>
      </c>
    </row>
    <row r="1374" spans="1:87" ht="24.75" customHeight="1">
      <c r="A1374" s="36" t="s">
        <v>20</v>
      </c>
      <c r="B1374" s="29"/>
      <c r="C1374" s="36"/>
      <c r="D1374" s="36"/>
      <c r="E1374" s="39"/>
      <c r="F1374" s="39"/>
      <c r="G1374" s="36"/>
      <c r="H1374" s="39"/>
      <c r="I1374" s="39"/>
      <c r="J1374" s="39"/>
      <c r="K1374" s="39"/>
      <c r="L1374" s="39">
        <f t="shared" si="883"/>
        <v>0</v>
      </c>
      <c r="M1374" s="39"/>
      <c r="N1374" s="39"/>
      <c r="O1374" s="39"/>
      <c r="P1374" s="39"/>
      <c r="Q1374" s="39"/>
      <c r="R1374" s="39">
        <f t="shared" si="884"/>
        <v>0</v>
      </c>
      <c r="S1374" s="39"/>
      <c r="T1374" s="39"/>
      <c r="U1374" s="39"/>
      <c r="V1374" s="39"/>
      <c r="W1374" s="39"/>
      <c r="X1374" s="39"/>
      <c r="Y1374" s="39"/>
      <c r="Z1374" s="39"/>
      <c r="AA1374" s="39"/>
      <c r="AB1374" s="39">
        <f t="shared" si="885"/>
        <v>0</v>
      </c>
      <c r="AC1374" s="39"/>
      <c r="AD1374" s="39"/>
      <c r="AE1374" s="39"/>
      <c r="AF1374" s="39"/>
      <c r="AG1374" s="39"/>
      <c r="AH1374" s="39">
        <f t="shared" si="779"/>
        <v>0</v>
      </c>
      <c r="AI1374" s="39"/>
      <c r="AJ1374" s="39"/>
      <c r="AK1374" s="39"/>
      <c r="AL1374" s="39"/>
      <c r="AM1374" s="39"/>
      <c r="AN1374" s="39">
        <f t="shared" si="778"/>
        <v>0</v>
      </c>
      <c r="AO1374" s="39"/>
      <c r="AP1374" s="39"/>
      <c r="AQ1374" s="39"/>
      <c r="AR1374" s="39"/>
      <c r="AS1374" s="39"/>
      <c r="AT1374" s="39">
        <f t="shared" si="762"/>
        <v>0</v>
      </c>
      <c r="AU1374" s="39"/>
      <c r="AV1374" s="39"/>
      <c r="AW1374" s="39"/>
      <c r="AX1374" s="39"/>
      <c r="AY1374" s="39"/>
      <c r="AZ1374" s="39">
        <f t="shared" si="763"/>
        <v>0</v>
      </c>
      <c r="BA1374" s="39"/>
      <c r="BB1374" s="39"/>
      <c r="BC1374" s="39"/>
      <c r="BD1374" s="39"/>
      <c r="BE1374" s="39"/>
      <c r="BF1374" s="39">
        <f t="shared" si="764"/>
        <v>0</v>
      </c>
      <c r="BG1374" s="39"/>
      <c r="BH1374" s="39"/>
      <c r="BI1374" s="39"/>
      <c r="BJ1374" s="39"/>
      <c r="BK1374" s="39"/>
      <c r="BL1374" s="39">
        <f t="shared" si="780"/>
        <v>0</v>
      </c>
      <c r="BM1374" s="54" t="e">
        <f t="shared" si="765"/>
        <v>#DIV/0!</v>
      </c>
      <c r="BN1374" s="65"/>
      <c r="BO1374" s="36"/>
      <c r="BP1374" s="36"/>
      <c r="BQ1374" s="36"/>
      <c r="BR1374" s="39"/>
      <c r="BS1374" s="39"/>
      <c r="BT1374" s="39"/>
      <c r="BU1374" s="39"/>
      <c r="BV1374" s="39"/>
      <c r="BW1374" s="39"/>
      <c r="BX1374" s="39"/>
      <c r="BY1374" s="39"/>
      <c r="BZ1374" s="39">
        <f t="shared" si="781"/>
        <v>0</v>
      </c>
      <c r="CA1374" s="39">
        <f t="shared" si="766"/>
        <v>0</v>
      </c>
      <c r="CB1374" s="39">
        <f t="shared" si="767"/>
        <v>0</v>
      </c>
      <c r="CC1374" s="39">
        <f t="shared" si="768"/>
        <v>0</v>
      </c>
      <c r="CD1374" s="39">
        <f t="shared" si="782"/>
        <v>0</v>
      </c>
      <c r="CE1374" s="47" t="e">
        <f t="shared" si="769"/>
        <v>#DIV/0!</v>
      </c>
      <c r="CF1374" s="36"/>
      <c r="CG1374" s="39"/>
      <c r="CH1374" s="39"/>
      <c r="CI1374" s="25">
        <v>2</v>
      </c>
    </row>
    <row r="1375" spans="1:87" ht="24.75" customHeight="1">
      <c r="A1375" s="36" t="s">
        <v>20</v>
      </c>
      <c r="B1375" s="29"/>
      <c r="C1375" s="36"/>
      <c r="D1375" s="36"/>
      <c r="E1375" s="39"/>
      <c r="F1375" s="39"/>
      <c r="G1375" s="36"/>
      <c r="H1375" s="39"/>
      <c r="I1375" s="39"/>
      <c r="J1375" s="39"/>
      <c r="K1375" s="39"/>
      <c r="L1375" s="39">
        <f t="shared" si="883"/>
        <v>0</v>
      </c>
      <c r="M1375" s="39"/>
      <c r="N1375" s="39"/>
      <c r="O1375" s="39"/>
      <c r="P1375" s="39"/>
      <c r="Q1375" s="39"/>
      <c r="R1375" s="39">
        <f t="shared" si="884"/>
        <v>0</v>
      </c>
      <c r="S1375" s="39"/>
      <c r="T1375" s="39"/>
      <c r="U1375" s="39"/>
      <c r="V1375" s="39"/>
      <c r="W1375" s="39"/>
      <c r="X1375" s="39"/>
      <c r="Y1375" s="39"/>
      <c r="Z1375" s="39"/>
      <c r="AA1375" s="39"/>
      <c r="AB1375" s="39">
        <f t="shared" si="885"/>
        <v>0</v>
      </c>
      <c r="AC1375" s="39"/>
      <c r="AD1375" s="39"/>
      <c r="AE1375" s="39"/>
      <c r="AF1375" s="39"/>
      <c r="AG1375" s="39"/>
      <c r="AH1375" s="39">
        <f t="shared" si="779"/>
        <v>0</v>
      </c>
      <c r="AI1375" s="39"/>
      <c r="AJ1375" s="39"/>
      <c r="AK1375" s="39"/>
      <c r="AL1375" s="39"/>
      <c r="AM1375" s="39"/>
      <c r="AN1375" s="39">
        <f t="shared" si="778"/>
        <v>0</v>
      </c>
      <c r="AO1375" s="39"/>
      <c r="AP1375" s="39"/>
      <c r="AQ1375" s="39"/>
      <c r="AR1375" s="39"/>
      <c r="AS1375" s="39"/>
      <c r="AT1375" s="39">
        <f t="shared" si="762"/>
        <v>0</v>
      </c>
      <c r="AU1375" s="39"/>
      <c r="AV1375" s="39"/>
      <c r="AW1375" s="39"/>
      <c r="AX1375" s="39"/>
      <c r="AY1375" s="39"/>
      <c r="AZ1375" s="39">
        <f t="shared" si="763"/>
        <v>0</v>
      </c>
      <c r="BA1375" s="39"/>
      <c r="BB1375" s="39"/>
      <c r="BC1375" s="39"/>
      <c r="BD1375" s="39"/>
      <c r="BE1375" s="39"/>
      <c r="BF1375" s="39">
        <f t="shared" si="764"/>
        <v>0</v>
      </c>
      <c r="BG1375" s="39"/>
      <c r="BH1375" s="39"/>
      <c r="BI1375" s="39"/>
      <c r="BJ1375" s="39"/>
      <c r="BK1375" s="39"/>
      <c r="BL1375" s="39">
        <f t="shared" si="780"/>
        <v>0</v>
      </c>
      <c r="BM1375" s="54" t="e">
        <f t="shared" si="765"/>
        <v>#DIV/0!</v>
      </c>
      <c r="BN1375" s="65"/>
      <c r="BO1375" s="36"/>
      <c r="BP1375" s="36"/>
      <c r="BQ1375" s="36"/>
      <c r="BR1375" s="39"/>
      <c r="BS1375" s="39"/>
      <c r="BT1375" s="39"/>
      <c r="BU1375" s="39"/>
      <c r="BV1375" s="39"/>
      <c r="BW1375" s="39"/>
      <c r="BX1375" s="39"/>
      <c r="BY1375" s="39"/>
      <c r="BZ1375" s="39">
        <f t="shared" si="781"/>
        <v>0</v>
      </c>
      <c r="CA1375" s="39">
        <f t="shared" si="766"/>
        <v>0</v>
      </c>
      <c r="CB1375" s="39">
        <f t="shared" si="767"/>
        <v>0</v>
      </c>
      <c r="CC1375" s="39">
        <f t="shared" si="768"/>
        <v>0</v>
      </c>
      <c r="CD1375" s="39">
        <f t="shared" si="782"/>
        <v>0</v>
      </c>
      <c r="CE1375" s="47" t="e">
        <f t="shared" si="769"/>
        <v>#DIV/0!</v>
      </c>
      <c r="CF1375" s="36"/>
      <c r="CG1375" s="39"/>
      <c r="CH1375" s="39"/>
      <c r="CI1375" s="25">
        <v>2</v>
      </c>
    </row>
    <row r="1376" spans="1:87" ht="24.75" customHeight="1">
      <c r="A1376" s="36" t="s">
        <v>20</v>
      </c>
      <c r="B1376" s="29"/>
      <c r="C1376" s="36"/>
      <c r="D1376" s="36"/>
      <c r="E1376" s="39"/>
      <c r="F1376" s="39"/>
      <c r="G1376" s="36"/>
      <c r="H1376" s="39"/>
      <c r="I1376" s="39"/>
      <c r="J1376" s="39"/>
      <c r="K1376" s="39"/>
      <c r="L1376" s="39">
        <f t="shared" si="883"/>
        <v>0</v>
      </c>
      <c r="M1376" s="39"/>
      <c r="N1376" s="39"/>
      <c r="O1376" s="39"/>
      <c r="P1376" s="39"/>
      <c r="Q1376" s="39"/>
      <c r="R1376" s="39">
        <f t="shared" si="884"/>
        <v>0</v>
      </c>
      <c r="S1376" s="39"/>
      <c r="T1376" s="39"/>
      <c r="U1376" s="39"/>
      <c r="V1376" s="39"/>
      <c r="W1376" s="39"/>
      <c r="X1376" s="39"/>
      <c r="Y1376" s="39"/>
      <c r="Z1376" s="39"/>
      <c r="AA1376" s="39"/>
      <c r="AB1376" s="39">
        <f t="shared" si="885"/>
        <v>0</v>
      </c>
      <c r="AC1376" s="39"/>
      <c r="AD1376" s="39"/>
      <c r="AE1376" s="39"/>
      <c r="AF1376" s="39"/>
      <c r="AG1376" s="39"/>
      <c r="AH1376" s="39">
        <f t="shared" si="779"/>
        <v>0</v>
      </c>
      <c r="AI1376" s="39"/>
      <c r="AJ1376" s="39"/>
      <c r="AK1376" s="39"/>
      <c r="AL1376" s="39"/>
      <c r="AM1376" s="39"/>
      <c r="AN1376" s="39">
        <f t="shared" si="778"/>
        <v>0</v>
      </c>
      <c r="AO1376" s="39"/>
      <c r="AP1376" s="39"/>
      <c r="AQ1376" s="39"/>
      <c r="AR1376" s="39"/>
      <c r="AS1376" s="39"/>
      <c r="AT1376" s="39">
        <f t="shared" si="762"/>
        <v>0</v>
      </c>
      <c r="AU1376" s="39"/>
      <c r="AV1376" s="39"/>
      <c r="AW1376" s="39"/>
      <c r="AX1376" s="39"/>
      <c r="AY1376" s="39"/>
      <c r="AZ1376" s="39">
        <f t="shared" si="763"/>
        <v>0</v>
      </c>
      <c r="BA1376" s="39"/>
      <c r="BB1376" s="39"/>
      <c r="BC1376" s="39"/>
      <c r="BD1376" s="39"/>
      <c r="BE1376" s="39"/>
      <c r="BF1376" s="39">
        <f t="shared" si="764"/>
        <v>0</v>
      </c>
      <c r="BG1376" s="39"/>
      <c r="BH1376" s="39"/>
      <c r="BI1376" s="39"/>
      <c r="BJ1376" s="39"/>
      <c r="BK1376" s="39"/>
      <c r="BL1376" s="39">
        <f t="shared" si="780"/>
        <v>0</v>
      </c>
      <c r="BM1376" s="54" t="e">
        <f t="shared" si="765"/>
        <v>#DIV/0!</v>
      </c>
      <c r="BN1376" s="65"/>
      <c r="BO1376" s="36"/>
      <c r="BP1376" s="36"/>
      <c r="BQ1376" s="36"/>
      <c r="BR1376" s="39"/>
      <c r="BS1376" s="39"/>
      <c r="BT1376" s="39"/>
      <c r="BU1376" s="39"/>
      <c r="BV1376" s="39"/>
      <c r="BW1376" s="39"/>
      <c r="BX1376" s="39"/>
      <c r="BY1376" s="39"/>
      <c r="BZ1376" s="39">
        <f t="shared" si="781"/>
        <v>0</v>
      </c>
      <c r="CA1376" s="39">
        <f t="shared" si="766"/>
        <v>0</v>
      </c>
      <c r="CB1376" s="39">
        <f t="shared" si="767"/>
        <v>0</v>
      </c>
      <c r="CC1376" s="39">
        <f t="shared" si="768"/>
        <v>0</v>
      </c>
      <c r="CD1376" s="39">
        <f t="shared" si="782"/>
        <v>0</v>
      </c>
      <c r="CE1376" s="47" t="e">
        <f t="shared" si="769"/>
        <v>#DIV/0!</v>
      </c>
      <c r="CF1376" s="36"/>
      <c r="CG1376" s="39"/>
      <c r="CH1376" s="39"/>
      <c r="CI1376" s="25">
        <v>2</v>
      </c>
    </row>
    <row r="1377" spans="1:87" ht="24.75" customHeight="1">
      <c r="A1377" s="36" t="s">
        <v>20</v>
      </c>
      <c r="B1377" s="29" t="s">
        <v>2169</v>
      </c>
      <c r="C1377" s="227" t="s">
        <v>2170</v>
      </c>
      <c r="D1377" s="36"/>
      <c r="E1377" s="39">
        <v>200</v>
      </c>
      <c r="F1377" s="39" t="s">
        <v>60</v>
      </c>
      <c r="G1377" s="36" t="s">
        <v>192</v>
      </c>
      <c r="H1377" s="36" t="s">
        <v>89</v>
      </c>
      <c r="I1377" s="39">
        <v>122</v>
      </c>
      <c r="J1377" s="39"/>
      <c r="K1377" s="39"/>
      <c r="L1377" s="39">
        <f t="shared" si="883"/>
        <v>122</v>
      </c>
      <c r="M1377" s="57">
        <v>46276</v>
      </c>
      <c r="N1377" s="57">
        <v>46284</v>
      </c>
      <c r="O1377" s="39"/>
      <c r="P1377" s="39"/>
      <c r="Q1377" s="39"/>
      <c r="R1377" s="39">
        <f t="shared" si="884"/>
        <v>0</v>
      </c>
      <c r="S1377" s="39" t="s">
        <v>130</v>
      </c>
      <c r="T1377" s="39"/>
      <c r="U1377" s="39"/>
      <c r="V1377" s="39"/>
      <c r="W1377" s="39"/>
      <c r="X1377" s="39"/>
      <c r="Y1377" s="39"/>
      <c r="Z1377" s="39"/>
      <c r="AA1377" s="39"/>
      <c r="AB1377" s="118">
        <f t="shared" si="885"/>
        <v>0</v>
      </c>
      <c r="AC1377" s="39"/>
      <c r="AD1377" s="39"/>
      <c r="AE1377" s="39"/>
      <c r="AF1377" s="39"/>
      <c r="AG1377" s="39"/>
      <c r="AH1377" s="39">
        <f t="shared" si="779"/>
        <v>0</v>
      </c>
      <c r="AI1377" s="39"/>
      <c r="AJ1377" s="39"/>
      <c r="AK1377" s="39"/>
      <c r="AL1377" s="39"/>
      <c r="AM1377" s="39"/>
      <c r="AN1377" s="39">
        <f t="shared" si="778"/>
        <v>0</v>
      </c>
      <c r="AO1377" s="39"/>
      <c r="AP1377" s="39"/>
      <c r="AQ1377" s="39"/>
      <c r="AR1377" s="39"/>
      <c r="AS1377" s="39"/>
      <c r="AT1377" s="39">
        <f t="shared" si="762"/>
        <v>0</v>
      </c>
      <c r="AU1377" s="39"/>
      <c r="AV1377" s="39"/>
      <c r="AW1377" s="39"/>
      <c r="AX1377" s="39"/>
      <c r="AY1377" s="39"/>
      <c r="AZ1377" s="39">
        <f t="shared" si="763"/>
        <v>0</v>
      </c>
      <c r="BA1377" s="39"/>
      <c r="BB1377" s="39"/>
      <c r="BC1377" s="39"/>
      <c r="BD1377" s="39"/>
      <c r="BE1377" s="39"/>
      <c r="BF1377" s="39">
        <f t="shared" si="764"/>
        <v>0</v>
      </c>
      <c r="BG1377" s="39"/>
      <c r="BH1377" s="39"/>
      <c r="BI1377" s="39"/>
      <c r="BJ1377" s="39"/>
      <c r="BK1377" s="39"/>
      <c r="BL1377" s="39">
        <f t="shared" si="780"/>
        <v>0</v>
      </c>
      <c r="BM1377" s="54">
        <f t="shared" ca="1" si="765"/>
        <v>46283</v>
      </c>
      <c r="BN1377" s="60">
        <v>46286</v>
      </c>
      <c r="BO1377" s="117">
        <v>46294</v>
      </c>
      <c r="BP1377" s="39"/>
      <c r="BQ1377" s="39"/>
      <c r="BR1377" s="36"/>
      <c r="BS1377" s="36"/>
      <c r="BT1377" s="39"/>
      <c r="BU1377" s="39"/>
      <c r="BV1377" s="39"/>
      <c r="BW1377" s="39"/>
      <c r="BX1377" s="39"/>
      <c r="BY1377" s="39"/>
      <c r="BZ1377" s="39">
        <f t="shared" si="781"/>
        <v>0</v>
      </c>
      <c r="CA1377" s="39">
        <f t="shared" si="766"/>
        <v>-122</v>
      </c>
      <c r="CB1377" s="39">
        <f t="shared" si="767"/>
        <v>0</v>
      </c>
      <c r="CC1377" s="39">
        <f t="shared" si="768"/>
        <v>0</v>
      </c>
      <c r="CD1377" s="39">
        <f t="shared" si="782"/>
        <v>-122</v>
      </c>
      <c r="CE1377" s="102">
        <f t="shared" si="769"/>
        <v>-1</v>
      </c>
      <c r="CF1377" s="36"/>
      <c r="CG1377" s="39" t="s">
        <v>233</v>
      </c>
      <c r="CH1377" s="39"/>
      <c r="CI1377" s="25">
        <v>3</v>
      </c>
    </row>
    <row r="1378" spans="1:87" ht="24.75" customHeight="1">
      <c r="A1378" s="36" t="s">
        <v>20</v>
      </c>
      <c r="B1378" s="29" t="s">
        <v>2169</v>
      </c>
      <c r="C1378" s="228"/>
      <c r="D1378" s="36"/>
      <c r="E1378" s="39"/>
      <c r="F1378" s="39"/>
      <c r="G1378" s="36" t="s">
        <v>587</v>
      </c>
      <c r="H1378" s="36">
        <f>270+18</f>
        <v>288</v>
      </c>
      <c r="I1378" s="39" t="s">
        <v>199</v>
      </c>
      <c r="J1378" s="39"/>
      <c r="K1378" s="39"/>
      <c r="L1378" s="39">
        <f t="shared" si="883"/>
        <v>0</v>
      </c>
      <c r="M1378" s="57">
        <v>46276</v>
      </c>
      <c r="N1378" s="57">
        <v>46284</v>
      </c>
      <c r="O1378" s="39"/>
      <c r="P1378" s="39"/>
      <c r="Q1378" s="39"/>
      <c r="R1378" s="39">
        <f t="shared" si="884"/>
        <v>0</v>
      </c>
      <c r="S1378" s="39" t="s">
        <v>130</v>
      </c>
      <c r="T1378" s="39"/>
      <c r="U1378" s="39"/>
      <c r="V1378" s="39"/>
      <c r="W1378" s="39"/>
      <c r="X1378" s="39"/>
      <c r="Y1378" s="39"/>
      <c r="Z1378" s="39"/>
      <c r="AA1378" s="39"/>
      <c r="AB1378" s="39">
        <f t="shared" si="885"/>
        <v>0</v>
      </c>
      <c r="AC1378" s="39"/>
      <c r="AD1378" s="39"/>
      <c r="AE1378" s="39"/>
      <c r="AF1378" s="39"/>
      <c r="AG1378" s="39"/>
      <c r="AH1378" s="39">
        <f t="shared" si="779"/>
        <v>0</v>
      </c>
      <c r="AI1378" s="39"/>
      <c r="AJ1378" s="39"/>
      <c r="AK1378" s="39"/>
      <c r="AL1378" s="39"/>
      <c r="AM1378" s="39"/>
      <c r="AN1378" s="39">
        <f t="shared" si="778"/>
        <v>0</v>
      </c>
      <c r="AO1378" s="39"/>
      <c r="AP1378" s="39"/>
      <c r="AQ1378" s="39"/>
      <c r="AR1378" s="39"/>
      <c r="AS1378" s="39"/>
      <c r="AT1378" s="39">
        <f t="shared" si="762"/>
        <v>0</v>
      </c>
      <c r="AU1378" s="39"/>
      <c r="AV1378" s="39"/>
      <c r="AW1378" s="39"/>
      <c r="AX1378" s="39"/>
      <c r="AY1378" s="39"/>
      <c r="AZ1378" s="39">
        <f t="shared" si="763"/>
        <v>0</v>
      </c>
      <c r="BA1378" s="39"/>
      <c r="BB1378" s="39"/>
      <c r="BC1378" s="39"/>
      <c r="BD1378" s="39"/>
      <c r="BE1378" s="39"/>
      <c r="BF1378" s="39">
        <f t="shared" si="764"/>
        <v>0</v>
      </c>
      <c r="BG1378" s="39"/>
      <c r="BH1378" s="39"/>
      <c r="BI1378" s="39"/>
      <c r="BJ1378" s="39"/>
      <c r="BK1378" s="39"/>
      <c r="BL1378" s="39">
        <f t="shared" si="780"/>
        <v>0</v>
      </c>
      <c r="BM1378" s="54" t="e">
        <f t="shared" si="765"/>
        <v>#DIV/0!</v>
      </c>
      <c r="BN1378" s="60">
        <v>46286</v>
      </c>
      <c r="BO1378" s="117">
        <v>46294</v>
      </c>
      <c r="BP1378" s="39"/>
      <c r="BQ1378" s="39"/>
      <c r="BR1378" s="36"/>
      <c r="BS1378" s="36"/>
      <c r="BT1378" s="39"/>
      <c r="BU1378" s="39"/>
      <c r="BV1378" s="39"/>
      <c r="BW1378" s="39"/>
      <c r="BX1378" s="39"/>
      <c r="BY1378" s="39"/>
      <c r="BZ1378" s="39">
        <f t="shared" si="781"/>
        <v>0</v>
      </c>
      <c r="CA1378" s="39" t="e">
        <f t="shared" si="766"/>
        <v>#VALUE!</v>
      </c>
      <c r="CB1378" s="39">
        <f t="shared" si="767"/>
        <v>0</v>
      </c>
      <c r="CC1378" s="39">
        <f t="shared" si="768"/>
        <v>0</v>
      </c>
      <c r="CD1378" s="39">
        <f t="shared" si="782"/>
        <v>0</v>
      </c>
      <c r="CE1378" s="102" t="e">
        <f t="shared" si="769"/>
        <v>#DIV/0!</v>
      </c>
      <c r="CF1378" s="36"/>
      <c r="CG1378" s="39" t="s">
        <v>233</v>
      </c>
      <c r="CH1378" s="39"/>
      <c r="CI1378" s="25">
        <v>3</v>
      </c>
    </row>
    <row r="1379" spans="1:87" ht="24.75" customHeight="1">
      <c r="A1379" s="36" t="s">
        <v>20</v>
      </c>
      <c r="B1379" s="29">
        <v>48712</v>
      </c>
      <c r="C1379" s="227" t="s">
        <v>2515</v>
      </c>
      <c r="D1379" s="36" t="s">
        <v>24</v>
      </c>
      <c r="E1379" s="39">
        <v>180</v>
      </c>
      <c r="F1379" s="39" t="s">
        <v>57</v>
      </c>
      <c r="G1379" s="36" t="s">
        <v>2516</v>
      </c>
      <c r="H1379" s="36" t="s">
        <v>22</v>
      </c>
      <c r="I1379" s="39">
        <v>286</v>
      </c>
      <c r="J1379" s="39">
        <v>12</v>
      </c>
      <c r="K1379" s="39">
        <v>7</v>
      </c>
      <c r="L1379" s="39">
        <f t="shared" si="883"/>
        <v>305</v>
      </c>
      <c r="M1379" s="57">
        <v>46276</v>
      </c>
      <c r="N1379" s="57">
        <v>46284</v>
      </c>
      <c r="O1379" s="39"/>
      <c r="P1379" s="39"/>
      <c r="Q1379" s="39"/>
      <c r="R1379" s="39">
        <f t="shared" si="884"/>
        <v>0</v>
      </c>
      <c r="S1379" s="39" t="s">
        <v>130</v>
      </c>
      <c r="T1379" s="39"/>
      <c r="U1379" s="39"/>
      <c r="V1379" s="39"/>
      <c r="W1379" s="39"/>
      <c r="X1379" s="39"/>
      <c r="Y1379" s="39"/>
      <c r="Z1379" s="39"/>
      <c r="AA1379" s="39"/>
      <c r="AB1379" s="118">
        <f t="shared" si="885"/>
        <v>0</v>
      </c>
      <c r="AC1379" s="39"/>
      <c r="AD1379" s="39"/>
      <c r="AE1379" s="39"/>
      <c r="AF1379" s="39"/>
      <c r="AG1379" s="39"/>
      <c r="AH1379" s="39">
        <f t="shared" si="779"/>
        <v>0</v>
      </c>
      <c r="AI1379" s="39"/>
      <c r="AJ1379" s="39"/>
      <c r="AK1379" s="39"/>
      <c r="AL1379" s="39"/>
      <c r="AM1379" s="39"/>
      <c r="AN1379" s="39">
        <f t="shared" si="778"/>
        <v>0</v>
      </c>
      <c r="AO1379" s="39"/>
      <c r="AP1379" s="39"/>
      <c r="AQ1379" s="39"/>
      <c r="AR1379" s="39"/>
      <c r="AS1379" s="39"/>
      <c r="AT1379" s="39">
        <f t="shared" si="762"/>
        <v>0</v>
      </c>
      <c r="AU1379" s="39"/>
      <c r="AV1379" s="39"/>
      <c r="AW1379" s="39"/>
      <c r="AX1379" s="39"/>
      <c r="AY1379" s="39"/>
      <c r="AZ1379" s="39">
        <f t="shared" si="763"/>
        <v>0</v>
      </c>
      <c r="BA1379" s="39"/>
      <c r="BB1379" s="39"/>
      <c r="BC1379" s="39"/>
      <c r="BD1379" s="39"/>
      <c r="BE1379" s="39"/>
      <c r="BF1379" s="39">
        <f t="shared" si="764"/>
        <v>0</v>
      </c>
      <c r="BG1379" s="39"/>
      <c r="BH1379" s="39"/>
      <c r="BI1379" s="39"/>
      <c r="BJ1379" s="39"/>
      <c r="BK1379" s="39"/>
      <c r="BL1379" s="39">
        <f t="shared" si="780"/>
        <v>0</v>
      </c>
      <c r="BM1379" s="54">
        <f t="shared" ca="1" si="765"/>
        <v>46283</v>
      </c>
      <c r="BN1379" s="60">
        <v>46286</v>
      </c>
      <c r="BO1379" s="117">
        <v>46293</v>
      </c>
      <c r="BP1379" s="39"/>
      <c r="BQ1379" s="39"/>
      <c r="BR1379" s="36"/>
      <c r="BS1379" s="36"/>
      <c r="BT1379" s="39"/>
      <c r="BU1379" s="39"/>
      <c r="BV1379" s="39"/>
      <c r="BW1379" s="39"/>
      <c r="BX1379" s="39"/>
      <c r="BY1379" s="39"/>
      <c r="BZ1379" s="39">
        <f t="shared" si="781"/>
        <v>0</v>
      </c>
      <c r="CA1379" s="39">
        <f t="shared" si="766"/>
        <v>-286</v>
      </c>
      <c r="CB1379" s="39">
        <f t="shared" si="767"/>
        <v>-12</v>
      </c>
      <c r="CC1379" s="39">
        <f t="shared" si="768"/>
        <v>-7</v>
      </c>
      <c r="CD1379" s="39">
        <f t="shared" si="782"/>
        <v>-305</v>
      </c>
      <c r="CE1379" s="102">
        <f t="shared" si="769"/>
        <v>-1</v>
      </c>
      <c r="CF1379" s="36"/>
      <c r="CG1379" s="39" t="s">
        <v>232</v>
      </c>
      <c r="CH1379" s="39"/>
      <c r="CI1379" s="25">
        <v>3</v>
      </c>
    </row>
    <row r="1380" spans="1:87" ht="24.75" customHeight="1">
      <c r="A1380" s="36" t="s">
        <v>20</v>
      </c>
      <c r="B1380" s="29">
        <v>48712</v>
      </c>
      <c r="C1380" s="228"/>
      <c r="D1380" s="36" t="s">
        <v>24</v>
      </c>
      <c r="E1380" s="39">
        <v>180</v>
      </c>
      <c r="F1380" s="39" t="s">
        <v>57</v>
      </c>
      <c r="G1380" s="36" t="s">
        <v>2517</v>
      </c>
      <c r="H1380" s="36" t="s">
        <v>22</v>
      </c>
      <c r="I1380" s="39">
        <v>286</v>
      </c>
      <c r="J1380" s="39">
        <v>12</v>
      </c>
      <c r="K1380" s="39">
        <v>7</v>
      </c>
      <c r="L1380" s="39">
        <f t="shared" si="883"/>
        <v>305</v>
      </c>
      <c r="M1380" s="57">
        <v>46276</v>
      </c>
      <c r="N1380" s="57">
        <v>46284</v>
      </c>
      <c r="O1380" s="39"/>
      <c r="P1380" s="39"/>
      <c r="Q1380" s="39"/>
      <c r="R1380" s="39">
        <f t="shared" si="884"/>
        <v>0</v>
      </c>
      <c r="S1380" s="39" t="s">
        <v>130</v>
      </c>
      <c r="T1380" s="39"/>
      <c r="U1380" s="39"/>
      <c r="V1380" s="39"/>
      <c r="W1380" s="39"/>
      <c r="X1380" s="39"/>
      <c r="Y1380" s="39"/>
      <c r="Z1380" s="39"/>
      <c r="AA1380" s="39"/>
      <c r="AB1380" s="118">
        <f t="shared" si="885"/>
        <v>0</v>
      </c>
      <c r="AC1380" s="39"/>
      <c r="AD1380" s="39"/>
      <c r="AE1380" s="39"/>
      <c r="AF1380" s="39"/>
      <c r="AG1380" s="39"/>
      <c r="AH1380" s="39">
        <f t="shared" ref="AH1380:AH1394" si="886">AG1380-AE1380</f>
        <v>0</v>
      </c>
      <c r="AI1380" s="39"/>
      <c r="AJ1380" s="39"/>
      <c r="AK1380" s="39"/>
      <c r="AL1380" s="39"/>
      <c r="AM1380" s="39"/>
      <c r="AN1380" s="39">
        <f t="shared" ref="AN1380:AN1394" si="887">AM1380-AK1380</f>
        <v>0</v>
      </c>
      <c r="AO1380" s="39"/>
      <c r="AP1380" s="39"/>
      <c r="AQ1380" s="39"/>
      <c r="AR1380" s="39"/>
      <c r="AS1380" s="39"/>
      <c r="AT1380" s="39">
        <f t="shared" si="762"/>
        <v>0</v>
      </c>
      <c r="AU1380" s="39"/>
      <c r="AV1380" s="39"/>
      <c r="AW1380" s="39"/>
      <c r="AX1380" s="39"/>
      <c r="AY1380" s="39"/>
      <c r="AZ1380" s="39">
        <f t="shared" si="763"/>
        <v>0</v>
      </c>
      <c r="BA1380" s="39"/>
      <c r="BB1380" s="39"/>
      <c r="BC1380" s="39"/>
      <c r="BD1380" s="39"/>
      <c r="BE1380" s="39"/>
      <c r="BF1380" s="39">
        <f t="shared" si="764"/>
        <v>0</v>
      </c>
      <c r="BG1380" s="39"/>
      <c r="BH1380" s="39"/>
      <c r="BI1380" s="39"/>
      <c r="BJ1380" s="39"/>
      <c r="BK1380" s="39"/>
      <c r="BL1380" s="39">
        <f t="shared" ref="BL1380:BL1394" si="888">BK1380-BI1380</f>
        <v>0</v>
      </c>
      <c r="BM1380" s="54">
        <f t="shared" ca="1" si="765"/>
        <v>46283</v>
      </c>
      <c r="BN1380" s="60">
        <v>46286</v>
      </c>
      <c r="BO1380" s="117">
        <v>46293</v>
      </c>
      <c r="BP1380" s="39"/>
      <c r="BQ1380" s="39"/>
      <c r="BR1380" s="36"/>
      <c r="BS1380" s="36"/>
      <c r="BT1380" s="39"/>
      <c r="BU1380" s="39"/>
      <c r="BV1380" s="39"/>
      <c r="BW1380" s="39"/>
      <c r="BX1380" s="39"/>
      <c r="BY1380" s="39"/>
      <c r="BZ1380" s="39">
        <f t="shared" ref="BZ1380:BZ1394" si="889">BU1380+BW1380+BY1380</f>
        <v>0</v>
      </c>
      <c r="CA1380" s="39">
        <f t="shared" si="766"/>
        <v>-286</v>
      </c>
      <c r="CB1380" s="39">
        <f t="shared" si="767"/>
        <v>-12</v>
      </c>
      <c r="CC1380" s="39">
        <f t="shared" si="768"/>
        <v>-7</v>
      </c>
      <c r="CD1380" s="39">
        <f t="shared" ref="CD1380:CD1394" si="890">SUMIF(CA1380:CC1380,"&lt;0")</f>
        <v>-305</v>
      </c>
      <c r="CE1380" s="102">
        <f t="shared" si="769"/>
        <v>-1</v>
      </c>
      <c r="CF1380" s="36"/>
      <c r="CG1380" s="39" t="s">
        <v>232</v>
      </c>
      <c r="CH1380" s="39"/>
      <c r="CI1380" s="25">
        <v>3</v>
      </c>
    </row>
    <row r="1381" spans="1:87" ht="24.75" customHeight="1">
      <c r="A1381" s="36" t="s">
        <v>20</v>
      </c>
      <c r="B1381" s="29">
        <v>48713</v>
      </c>
      <c r="C1381" s="36" t="s">
        <v>2518</v>
      </c>
      <c r="D1381" s="36" t="s">
        <v>24</v>
      </c>
      <c r="E1381" s="39">
        <v>180</v>
      </c>
      <c r="F1381" s="39" t="s">
        <v>53</v>
      </c>
      <c r="G1381" s="36" t="s">
        <v>2519</v>
      </c>
      <c r="H1381" s="36" t="s">
        <v>22</v>
      </c>
      <c r="I1381" s="39">
        <v>296</v>
      </c>
      <c r="J1381" s="39">
        <v>16</v>
      </c>
      <c r="K1381" s="39">
        <v>7</v>
      </c>
      <c r="L1381" s="39">
        <f t="shared" si="883"/>
        <v>319</v>
      </c>
      <c r="M1381" s="57">
        <v>46276</v>
      </c>
      <c r="N1381" s="57">
        <v>46284</v>
      </c>
      <c r="O1381" s="39"/>
      <c r="P1381" s="39"/>
      <c r="Q1381" s="39"/>
      <c r="R1381" s="39">
        <f t="shared" si="884"/>
        <v>0</v>
      </c>
      <c r="S1381" s="39" t="s">
        <v>130</v>
      </c>
      <c r="T1381" s="39"/>
      <c r="U1381" s="39"/>
      <c r="V1381" s="39"/>
      <c r="W1381" s="39"/>
      <c r="X1381" s="39"/>
      <c r="Y1381" s="39"/>
      <c r="Z1381" s="39"/>
      <c r="AA1381" s="39"/>
      <c r="AB1381" s="118">
        <f t="shared" si="885"/>
        <v>0</v>
      </c>
      <c r="AC1381" s="39"/>
      <c r="AD1381" s="39"/>
      <c r="AE1381" s="39"/>
      <c r="AF1381" s="39"/>
      <c r="AG1381" s="39"/>
      <c r="AH1381" s="39">
        <f t="shared" si="886"/>
        <v>0</v>
      </c>
      <c r="AI1381" s="39"/>
      <c r="AJ1381" s="39"/>
      <c r="AK1381" s="39"/>
      <c r="AL1381" s="39"/>
      <c r="AM1381" s="39"/>
      <c r="AN1381" s="39">
        <f t="shared" si="887"/>
        <v>0</v>
      </c>
      <c r="AO1381" s="39"/>
      <c r="AP1381" s="39"/>
      <c r="AQ1381" s="39"/>
      <c r="AR1381" s="39"/>
      <c r="AS1381" s="39"/>
      <c r="AT1381" s="39">
        <f t="shared" si="762"/>
        <v>0</v>
      </c>
      <c r="AU1381" s="39"/>
      <c r="AV1381" s="39"/>
      <c r="AW1381" s="39"/>
      <c r="AX1381" s="39"/>
      <c r="AY1381" s="39"/>
      <c r="AZ1381" s="39">
        <f t="shared" si="763"/>
        <v>0</v>
      </c>
      <c r="BA1381" s="39"/>
      <c r="BB1381" s="39"/>
      <c r="BC1381" s="39"/>
      <c r="BD1381" s="39"/>
      <c r="BE1381" s="39"/>
      <c r="BF1381" s="39">
        <f t="shared" si="764"/>
        <v>0</v>
      </c>
      <c r="BG1381" s="39"/>
      <c r="BH1381" s="39"/>
      <c r="BI1381" s="39"/>
      <c r="BJ1381" s="39"/>
      <c r="BK1381" s="39"/>
      <c r="BL1381" s="39">
        <f t="shared" si="888"/>
        <v>0</v>
      </c>
      <c r="BM1381" s="54">
        <f t="shared" ca="1" si="765"/>
        <v>46283</v>
      </c>
      <c r="BN1381" s="60">
        <v>46286</v>
      </c>
      <c r="BO1381" s="117">
        <v>46293</v>
      </c>
      <c r="BP1381" s="39"/>
      <c r="BQ1381" s="39"/>
      <c r="BR1381" s="36"/>
      <c r="BS1381" s="36"/>
      <c r="BT1381" s="39"/>
      <c r="BU1381" s="39"/>
      <c r="BV1381" s="39"/>
      <c r="BW1381" s="39"/>
      <c r="BX1381" s="39"/>
      <c r="BY1381" s="39"/>
      <c r="BZ1381" s="39">
        <f t="shared" si="889"/>
        <v>0</v>
      </c>
      <c r="CA1381" s="39">
        <f t="shared" si="766"/>
        <v>-296</v>
      </c>
      <c r="CB1381" s="39">
        <f t="shared" si="767"/>
        <v>-16</v>
      </c>
      <c r="CC1381" s="39">
        <f t="shared" si="768"/>
        <v>-7</v>
      </c>
      <c r="CD1381" s="39">
        <f t="shared" si="890"/>
        <v>-319</v>
      </c>
      <c r="CE1381" s="102">
        <f t="shared" si="769"/>
        <v>-1</v>
      </c>
      <c r="CF1381" s="36"/>
      <c r="CG1381" s="39" t="s">
        <v>232</v>
      </c>
      <c r="CH1381" s="39"/>
      <c r="CI1381" s="25">
        <v>3</v>
      </c>
    </row>
    <row r="1382" spans="1:87" ht="24.75" customHeight="1">
      <c r="A1382" s="36" t="s">
        <v>20</v>
      </c>
      <c r="B1382" s="29">
        <v>48589</v>
      </c>
      <c r="C1382" s="227" t="s">
        <v>2613</v>
      </c>
      <c r="D1382" s="36"/>
      <c r="E1382" s="39">
        <v>240</v>
      </c>
      <c r="F1382" s="39" t="s">
        <v>58</v>
      </c>
      <c r="G1382" s="36" t="s">
        <v>23</v>
      </c>
      <c r="H1382" s="36" t="s">
        <v>96</v>
      </c>
      <c r="I1382" s="39">
        <v>210</v>
      </c>
      <c r="J1382" s="39"/>
      <c r="K1382" s="39"/>
      <c r="L1382" s="39">
        <f t="shared" si="883"/>
        <v>210</v>
      </c>
      <c r="M1382" s="57">
        <v>46279</v>
      </c>
      <c r="N1382" s="57">
        <v>46290</v>
      </c>
      <c r="O1382" s="39"/>
      <c r="P1382" s="39"/>
      <c r="Q1382" s="39"/>
      <c r="R1382" s="39">
        <f t="shared" si="884"/>
        <v>0</v>
      </c>
      <c r="S1382" s="39" t="s">
        <v>28</v>
      </c>
      <c r="T1382" s="39"/>
      <c r="U1382" s="39"/>
      <c r="V1382" s="117">
        <v>46270</v>
      </c>
      <c r="W1382" s="39">
        <v>260</v>
      </c>
      <c r="X1382" s="39"/>
      <c r="Y1382" s="39"/>
      <c r="Z1382" s="39"/>
      <c r="AA1382" s="39"/>
      <c r="AB1382" s="118">
        <f t="shared" si="885"/>
        <v>0</v>
      </c>
      <c r="AC1382" s="39"/>
      <c r="AD1382" s="39"/>
      <c r="AE1382" s="39"/>
      <c r="AF1382" s="39"/>
      <c r="AG1382" s="39"/>
      <c r="AH1382" s="39">
        <f t="shared" si="886"/>
        <v>0</v>
      </c>
      <c r="AI1382" s="39"/>
      <c r="AJ1382" s="39"/>
      <c r="AK1382" s="39"/>
      <c r="AL1382" s="39"/>
      <c r="AM1382" s="39"/>
      <c r="AN1382" s="39">
        <f t="shared" si="887"/>
        <v>0</v>
      </c>
      <c r="AO1382" s="39"/>
      <c r="AP1382" s="39"/>
      <c r="AQ1382" s="39"/>
      <c r="AR1382" s="39"/>
      <c r="AS1382" s="39"/>
      <c r="AT1382" s="39">
        <f t="shared" si="762"/>
        <v>0</v>
      </c>
      <c r="AU1382" s="39"/>
      <c r="AV1382" s="39"/>
      <c r="AW1382" s="39"/>
      <c r="AX1382" s="39"/>
      <c r="AY1382" s="39"/>
      <c r="AZ1382" s="39">
        <f t="shared" si="763"/>
        <v>0</v>
      </c>
      <c r="BA1382" s="39"/>
      <c r="BB1382" s="39"/>
      <c r="BC1382" s="39"/>
      <c r="BD1382" s="39"/>
      <c r="BE1382" s="39"/>
      <c r="BF1382" s="39">
        <f t="shared" si="764"/>
        <v>0</v>
      </c>
      <c r="BG1382" s="39"/>
      <c r="BH1382" s="39"/>
      <c r="BI1382" s="39"/>
      <c r="BJ1382" s="39"/>
      <c r="BK1382" s="39"/>
      <c r="BL1382" s="39">
        <f t="shared" si="888"/>
        <v>0</v>
      </c>
      <c r="BM1382" s="54">
        <f t="shared" ca="1" si="765"/>
        <v>46283</v>
      </c>
      <c r="BN1382" s="60">
        <v>46291</v>
      </c>
      <c r="BO1382" s="117">
        <v>46302</v>
      </c>
      <c r="BP1382" s="39"/>
      <c r="BQ1382" s="39"/>
      <c r="BR1382" s="36"/>
      <c r="BS1382" s="36"/>
      <c r="BT1382" s="39"/>
      <c r="BU1382" s="39"/>
      <c r="BV1382" s="39"/>
      <c r="BW1382" s="39"/>
      <c r="BX1382" s="39"/>
      <c r="BY1382" s="39"/>
      <c r="BZ1382" s="39">
        <f t="shared" si="889"/>
        <v>0</v>
      </c>
      <c r="CA1382" s="39">
        <f t="shared" si="766"/>
        <v>-210</v>
      </c>
      <c r="CB1382" s="39">
        <f t="shared" si="767"/>
        <v>0</v>
      </c>
      <c r="CC1382" s="39">
        <f t="shared" si="768"/>
        <v>0</v>
      </c>
      <c r="CD1382" s="39">
        <f t="shared" si="890"/>
        <v>-210</v>
      </c>
      <c r="CE1382" s="102">
        <f t="shared" si="769"/>
        <v>-1</v>
      </c>
      <c r="CF1382" s="36"/>
      <c r="CG1382" s="39" t="s">
        <v>233</v>
      </c>
      <c r="CH1382" s="39"/>
      <c r="CI1382" s="25">
        <v>3</v>
      </c>
    </row>
    <row r="1383" spans="1:87" ht="24.75" customHeight="1">
      <c r="A1383" s="36" t="s">
        <v>20</v>
      </c>
      <c r="B1383" s="29">
        <v>48589</v>
      </c>
      <c r="C1383" s="231"/>
      <c r="D1383" s="36"/>
      <c r="E1383" s="39">
        <v>240</v>
      </c>
      <c r="F1383" s="39" t="s">
        <v>58</v>
      </c>
      <c r="G1383" s="36" t="s">
        <v>192</v>
      </c>
      <c r="H1383" s="36" t="s">
        <v>96</v>
      </c>
      <c r="I1383" s="39">
        <v>30</v>
      </c>
      <c r="J1383" s="39"/>
      <c r="K1383" s="39"/>
      <c r="L1383" s="39">
        <f t="shared" ref="L1383:L1394" si="891">SUM(I1383:K1383)</f>
        <v>30</v>
      </c>
      <c r="M1383" s="57">
        <v>46279</v>
      </c>
      <c r="N1383" s="57">
        <v>46290</v>
      </c>
      <c r="O1383" s="39"/>
      <c r="P1383" s="39"/>
      <c r="Q1383" s="39"/>
      <c r="R1383" s="39">
        <f t="shared" si="884"/>
        <v>0</v>
      </c>
      <c r="S1383" s="39" t="s">
        <v>130</v>
      </c>
      <c r="T1383" s="39"/>
      <c r="U1383" s="39"/>
      <c r="V1383" s="39"/>
      <c r="W1383" s="39"/>
      <c r="X1383" s="39"/>
      <c r="Y1383" s="39"/>
      <c r="Z1383" s="39"/>
      <c r="AA1383" s="39"/>
      <c r="AB1383" s="118">
        <f t="shared" si="885"/>
        <v>0</v>
      </c>
      <c r="AC1383" s="39"/>
      <c r="AD1383" s="39"/>
      <c r="AE1383" s="39"/>
      <c r="AF1383" s="39"/>
      <c r="AG1383" s="39"/>
      <c r="AH1383" s="39">
        <f t="shared" si="886"/>
        <v>0</v>
      </c>
      <c r="AI1383" s="39"/>
      <c r="AJ1383" s="39"/>
      <c r="AK1383" s="39"/>
      <c r="AL1383" s="39"/>
      <c r="AM1383" s="39"/>
      <c r="AN1383" s="39">
        <f t="shared" si="887"/>
        <v>0</v>
      </c>
      <c r="AO1383" s="39"/>
      <c r="AP1383" s="39"/>
      <c r="AQ1383" s="39"/>
      <c r="AR1383" s="39"/>
      <c r="AS1383" s="39"/>
      <c r="AT1383" s="39">
        <f t="shared" si="762"/>
        <v>0</v>
      </c>
      <c r="AU1383" s="39"/>
      <c r="AV1383" s="39"/>
      <c r="AW1383" s="39"/>
      <c r="AX1383" s="39"/>
      <c r="AY1383" s="39"/>
      <c r="AZ1383" s="39">
        <f t="shared" si="763"/>
        <v>0</v>
      </c>
      <c r="BA1383" s="39"/>
      <c r="BB1383" s="39"/>
      <c r="BC1383" s="39"/>
      <c r="BD1383" s="39"/>
      <c r="BE1383" s="39"/>
      <c r="BF1383" s="39">
        <f t="shared" si="764"/>
        <v>0</v>
      </c>
      <c r="BG1383" s="39"/>
      <c r="BH1383" s="39"/>
      <c r="BI1383" s="39"/>
      <c r="BJ1383" s="39"/>
      <c r="BK1383" s="39"/>
      <c r="BL1383" s="39">
        <f t="shared" si="888"/>
        <v>0</v>
      </c>
      <c r="BM1383" s="54">
        <f t="shared" ca="1" si="765"/>
        <v>46283</v>
      </c>
      <c r="BN1383" s="60">
        <v>46291</v>
      </c>
      <c r="BO1383" s="117">
        <v>46302</v>
      </c>
      <c r="BP1383" s="39"/>
      <c r="BQ1383" s="39"/>
      <c r="BR1383" s="36"/>
      <c r="BS1383" s="36"/>
      <c r="BT1383" s="39"/>
      <c r="BU1383" s="39"/>
      <c r="BV1383" s="39"/>
      <c r="BW1383" s="39"/>
      <c r="BX1383" s="39"/>
      <c r="BY1383" s="39"/>
      <c r="BZ1383" s="39">
        <f t="shared" si="889"/>
        <v>0</v>
      </c>
      <c r="CA1383" s="39">
        <f t="shared" si="766"/>
        <v>-30</v>
      </c>
      <c r="CB1383" s="39">
        <f t="shared" si="767"/>
        <v>0</v>
      </c>
      <c r="CC1383" s="39">
        <f t="shared" si="768"/>
        <v>0</v>
      </c>
      <c r="CD1383" s="39">
        <f t="shared" si="890"/>
        <v>-30</v>
      </c>
      <c r="CE1383" s="102">
        <f t="shared" si="769"/>
        <v>-1</v>
      </c>
      <c r="CF1383" s="36"/>
      <c r="CG1383" s="39" t="s">
        <v>233</v>
      </c>
      <c r="CH1383" s="39"/>
      <c r="CI1383" s="25">
        <v>3</v>
      </c>
    </row>
    <row r="1384" spans="1:87" ht="24.75" customHeight="1">
      <c r="A1384" s="36" t="s">
        <v>20</v>
      </c>
      <c r="B1384" s="29">
        <v>48589</v>
      </c>
      <c r="C1384" s="231"/>
      <c r="D1384" s="36"/>
      <c r="E1384" s="39">
        <v>240</v>
      </c>
      <c r="F1384" s="39" t="s">
        <v>58</v>
      </c>
      <c r="G1384" s="36" t="s">
        <v>192</v>
      </c>
      <c r="H1384" s="36" t="s">
        <v>96</v>
      </c>
      <c r="I1384" s="39">
        <v>210</v>
      </c>
      <c r="J1384" s="39"/>
      <c r="K1384" s="39"/>
      <c r="L1384" s="39">
        <f t="shared" si="891"/>
        <v>210</v>
      </c>
      <c r="M1384" s="57">
        <v>46279</v>
      </c>
      <c r="N1384" s="57">
        <v>46290</v>
      </c>
      <c r="O1384" s="39"/>
      <c r="P1384" s="39"/>
      <c r="Q1384" s="39"/>
      <c r="R1384" s="39">
        <f t="shared" si="884"/>
        <v>0</v>
      </c>
      <c r="S1384" s="39" t="s">
        <v>130</v>
      </c>
      <c r="T1384" s="39"/>
      <c r="U1384" s="39"/>
      <c r="V1384" s="39"/>
      <c r="W1384" s="39"/>
      <c r="X1384" s="39"/>
      <c r="Y1384" s="39"/>
      <c r="Z1384" s="39"/>
      <c r="AA1384" s="39"/>
      <c r="AB1384" s="118">
        <f t="shared" si="885"/>
        <v>0</v>
      </c>
      <c r="AC1384" s="39"/>
      <c r="AD1384" s="39"/>
      <c r="AE1384" s="39"/>
      <c r="AF1384" s="39"/>
      <c r="AG1384" s="39"/>
      <c r="AH1384" s="39">
        <f t="shared" si="886"/>
        <v>0</v>
      </c>
      <c r="AI1384" s="39"/>
      <c r="AJ1384" s="39"/>
      <c r="AK1384" s="39"/>
      <c r="AL1384" s="39"/>
      <c r="AM1384" s="39"/>
      <c r="AN1384" s="39">
        <f t="shared" si="887"/>
        <v>0</v>
      </c>
      <c r="AO1384" s="39"/>
      <c r="AP1384" s="39"/>
      <c r="AQ1384" s="39"/>
      <c r="AR1384" s="39"/>
      <c r="AS1384" s="39"/>
      <c r="AT1384" s="39">
        <f t="shared" si="762"/>
        <v>0</v>
      </c>
      <c r="AU1384" s="39"/>
      <c r="AV1384" s="39"/>
      <c r="AW1384" s="39"/>
      <c r="AX1384" s="39"/>
      <c r="AY1384" s="39"/>
      <c r="AZ1384" s="39">
        <f t="shared" si="763"/>
        <v>0</v>
      </c>
      <c r="BA1384" s="39"/>
      <c r="BB1384" s="39"/>
      <c r="BC1384" s="39"/>
      <c r="BD1384" s="39"/>
      <c r="BE1384" s="39"/>
      <c r="BF1384" s="39">
        <f t="shared" si="764"/>
        <v>0</v>
      </c>
      <c r="BG1384" s="39"/>
      <c r="BH1384" s="39"/>
      <c r="BI1384" s="39"/>
      <c r="BJ1384" s="39"/>
      <c r="BK1384" s="39"/>
      <c r="BL1384" s="39">
        <f t="shared" si="888"/>
        <v>0</v>
      </c>
      <c r="BM1384" s="54">
        <f t="shared" ca="1" si="765"/>
        <v>46283</v>
      </c>
      <c r="BN1384" s="60">
        <v>46291</v>
      </c>
      <c r="BO1384" s="117">
        <v>46302</v>
      </c>
      <c r="BP1384" s="39"/>
      <c r="BQ1384" s="39"/>
      <c r="BR1384" s="36"/>
      <c r="BS1384" s="36"/>
      <c r="BT1384" s="39"/>
      <c r="BU1384" s="39"/>
      <c r="BV1384" s="39"/>
      <c r="BW1384" s="39"/>
      <c r="BX1384" s="39"/>
      <c r="BY1384" s="39"/>
      <c r="BZ1384" s="39">
        <f t="shared" si="889"/>
        <v>0</v>
      </c>
      <c r="CA1384" s="39">
        <f t="shared" si="766"/>
        <v>-210</v>
      </c>
      <c r="CB1384" s="39">
        <f t="shared" si="767"/>
        <v>0</v>
      </c>
      <c r="CC1384" s="39">
        <f t="shared" si="768"/>
        <v>0</v>
      </c>
      <c r="CD1384" s="39">
        <f t="shared" si="890"/>
        <v>-210</v>
      </c>
      <c r="CE1384" s="102">
        <f t="shared" si="769"/>
        <v>-1</v>
      </c>
      <c r="CF1384" s="36"/>
      <c r="CG1384" s="39" t="s">
        <v>233</v>
      </c>
      <c r="CH1384" s="39"/>
      <c r="CI1384" s="25">
        <v>3</v>
      </c>
    </row>
    <row r="1385" spans="1:87" ht="24.75" customHeight="1">
      <c r="A1385" s="36" t="s">
        <v>20</v>
      </c>
      <c r="B1385" s="29">
        <v>48589</v>
      </c>
      <c r="C1385" s="231"/>
      <c r="D1385" s="36"/>
      <c r="E1385" s="39">
        <v>240</v>
      </c>
      <c r="F1385" s="39" t="s">
        <v>58</v>
      </c>
      <c r="G1385" s="36" t="s">
        <v>23</v>
      </c>
      <c r="H1385" s="36" t="s">
        <v>96</v>
      </c>
      <c r="I1385" s="39">
        <v>30</v>
      </c>
      <c r="J1385" s="39"/>
      <c r="K1385" s="39"/>
      <c r="L1385" s="39">
        <f t="shared" si="891"/>
        <v>30</v>
      </c>
      <c r="M1385" s="57">
        <v>46279</v>
      </c>
      <c r="N1385" s="57">
        <v>46290</v>
      </c>
      <c r="O1385" s="39"/>
      <c r="P1385" s="39"/>
      <c r="Q1385" s="39"/>
      <c r="R1385" s="39">
        <f t="shared" si="884"/>
        <v>0</v>
      </c>
      <c r="S1385" s="39" t="s">
        <v>28</v>
      </c>
      <c r="T1385" s="39"/>
      <c r="U1385" s="39"/>
      <c r="V1385" s="39"/>
      <c r="W1385" s="39"/>
      <c r="X1385" s="39"/>
      <c r="Y1385" s="39"/>
      <c r="Z1385" s="39"/>
      <c r="AA1385" s="39"/>
      <c r="AB1385" s="118">
        <f t="shared" si="885"/>
        <v>0</v>
      </c>
      <c r="AC1385" s="39"/>
      <c r="AD1385" s="39"/>
      <c r="AE1385" s="39"/>
      <c r="AF1385" s="39"/>
      <c r="AG1385" s="39"/>
      <c r="AH1385" s="39">
        <f t="shared" si="886"/>
        <v>0</v>
      </c>
      <c r="AI1385" s="39"/>
      <c r="AJ1385" s="39"/>
      <c r="AK1385" s="39"/>
      <c r="AL1385" s="39"/>
      <c r="AM1385" s="39"/>
      <c r="AN1385" s="39">
        <f t="shared" si="887"/>
        <v>0</v>
      </c>
      <c r="AO1385" s="39"/>
      <c r="AP1385" s="39"/>
      <c r="AQ1385" s="39"/>
      <c r="AR1385" s="39"/>
      <c r="AS1385" s="39"/>
      <c r="AT1385" s="39">
        <f t="shared" si="762"/>
        <v>0</v>
      </c>
      <c r="AU1385" s="39"/>
      <c r="AV1385" s="39"/>
      <c r="AW1385" s="39"/>
      <c r="AX1385" s="39"/>
      <c r="AY1385" s="39"/>
      <c r="AZ1385" s="39">
        <f t="shared" si="763"/>
        <v>0</v>
      </c>
      <c r="BA1385" s="39"/>
      <c r="BB1385" s="39"/>
      <c r="BC1385" s="39"/>
      <c r="BD1385" s="39"/>
      <c r="BE1385" s="39"/>
      <c r="BF1385" s="39">
        <f t="shared" si="764"/>
        <v>0</v>
      </c>
      <c r="BG1385" s="39"/>
      <c r="BH1385" s="39"/>
      <c r="BI1385" s="39"/>
      <c r="BJ1385" s="39"/>
      <c r="BK1385" s="39"/>
      <c r="BL1385" s="39">
        <f t="shared" si="888"/>
        <v>0</v>
      </c>
      <c r="BM1385" s="54">
        <f t="shared" ca="1" si="765"/>
        <v>46283</v>
      </c>
      <c r="BN1385" s="60">
        <v>46291</v>
      </c>
      <c r="BO1385" s="117">
        <v>46302</v>
      </c>
      <c r="BP1385" s="39"/>
      <c r="BQ1385" s="39"/>
      <c r="BR1385" s="36"/>
      <c r="BS1385" s="36"/>
      <c r="BT1385" s="39"/>
      <c r="BU1385" s="39"/>
      <c r="BV1385" s="39"/>
      <c r="BW1385" s="39"/>
      <c r="BX1385" s="39"/>
      <c r="BY1385" s="39"/>
      <c r="BZ1385" s="39">
        <f t="shared" si="889"/>
        <v>0</v>
      </c>
      <c r="CA1385" s="39">
        <f t="shared" si="766"/>
        <v>-30</v>
      </c>
      <c r="CB1385" s="39">
        <f t="shared" si="767"/>
        <v>0</v>
      </c>
      <c r="CC1385" s="39">
        <f t="shared" si="768"/>
        <v>0</v>
      </c>
      <c r="CD1385" s="39">
        <f t="shared" si="890"/>
        <v>-30</v>
      </c>
      <c r="CE1385" s="102">
        <f t="shared" si="769"/>
        <v>-1</v>
      </c>
      <c r="CF1385" s="36"/>
      <c r="CG1385" s="39" t="s">
        <v>233</v>
      </c>
      <c r="CH1385" s="39"/>
      <c r="CI1385" s="25">
        <v>3</v>
      </c>
    </row>
    <row r="1386" spans="1:87" ht="24.75" customHeight="1">
      <c r="A1386" s="36" t="s">
        <v>20</v>
      </c>
      <c r="B1386" s="29">
        <v>48589</v>
      </c>
      <c r="C1386" s="228"/>
      <c r="D1386" s="36" t="s">
        <v>24</v>
      </c>
      <c r="E1386" s="39">
        <v>240</v>
      </c>
      <c r="F1386" s="39" t="s">
        <v>55</v>
      </c>
      <c r="G1386" s="36" t="s">
        <v>2614</v>
      </c>
      <c r="H1386" s="36" t="s">
        <v>96</v>
      </c>
      <c r="I1386" s="39">
        <v>222</v>
      </c>
      <c r="J1386" s="39">
        <v>30</v>
      </c>
      <c r="K1386" s="39"/>
      <c r="L1386" s="39">
        <f t="shared" si="891"/>
        <v>252</v>
      </c>
      <c r="M1386" s="57">
        <v>46279</v>
      </c>
      <c r="N1386" s="57">
        <v>46290</v>
      </c>
      <c r="O1386" s="39"/>
      <c r="P1386" s="39"/>
      <c r="Q1386" s="39"/>
      <c r="R1386" s="39">
        <f t="shared" si="884"/>
        <v>0</v>
      </c>
      <c r="S1386" s="39" t="s">
        <v>130</v>
      </c>
      <c r="T1386" s="39"/>
      <c r="U1386" s="39"/>
      <c r="V1386" s="39"/>
      <c r="W1386" s="39"/>
      <c r="X1386" s="39"/>
      <c r="Y1386" s="39"/>
      <c r="Z1386" s="39"/>
      <c r="AA1386" s="39"/>
      <c r="AB1386" s="118">
        <f t="shared" si="885"/>
        <v>0</v>
      </c>
      <c r="AC1386" s="39"/>
      <c r="AD1386" s="39"/>
      <c r="AE1386" s="39"/>
      <c r="AF1386" s="39"/>
      <c r="AG1386" s="39"/>
      <c r="AH1386" s="39">
        <f t="shared" si="886"/>
        <v>0</v>
      </c>
      <c r="AI1386" s="39"/>
      <c r="AJ1386" s="39"/>
      <c r="AK1386" s="39"/>
      <c r="AL1386" s="39"/>
      <c r="AM1386" s="39"/>
      <c r="AN1386" s="39">
        <f t="shared" si="887"/>
        <v>0</v>
      </c>
      <c r="AO1386" s="39"/>
      <c r="AP1386" s="39"/>
      <c r="AQ1386" s="39"/>
      <c r="AR1386" s="39"/>
      <c r="AS1386" s="39"/>
      <c r="AT1386" s="39">
        <f t="shared" si="762"/>
        <v>0</v>
      </c>
      <c r="AU1386" s="39"/>
      <c r="AV1386" s="39"/>
      <c r="AW1386" s="39"/>
      <c r="AX1386" s="39"/>
      <c r="AY1386" s="39"/>
      <c r="AZ1386" s="39">
        <f t="shared" si="763"/>
        <v>0</v>
      </c>
      <c r="BA1386" s="39"/>
      <c r="BB1386" s="39"/>
      <c r="BC1386" s="39"/>
      <c r="BD1386" s="39"/>
      <c r="BE1386" s="39"/>
      <c r="BF1386" s="39">
        <f t="shared" si="764"/>
        <v>0</v>
      </c>
      <c r="BG1386" s="39"/>
      <c r="BH1386" s="39"/>
      <c r="BI1386" s="39"/>
      <c r="BJ1386" s="39"/>
      <c r="BK1386" s="39"/>
      <c r="BL1386" s="39">
        <f t="shared" si="888"/>
        <v>0</v>
      </c>
      <c r="BM1386" s="54">
        <f t="shared" ca="1" si="765"/>
        <v>46283</v>
      </c>
      <c r="BN1386" s="60">
        <v>46291</v>
      </c>
      <c r="BO1386" s="117">
        <v>46302</v>
      </c>
      <c r="BP1386" s="39"/>
      <c r="BQ1386" s="39"/>
      <c r="BR1386" s="36"/>
      <c r="BS1386" s="36"/>
      <c r="BT1386" s="39"/>
      <c r="BU1386" s="39"/>
      <c r="BV1386" s="39"/>
      <c r="BW1386" s="39"/>
      <c r="BX1386" s="39"/>
      <c r="BY1386" s="39"/>
      <c r="BZ1386" s="39">
        <f t="shared" si="889"/>
        <v>0</v>
      </c>
      <c r="CA1386" s="39">
        <f t="shared" si="766"/>
        <v>-222</v>
      </c>
      <c r="CB1386" s="39">
        <f t="shared" si="767"/>
        <v>-30</v>
      </c>
      <c r="CC1386" s="39">
        <f t="shared" si="768"/>
        <v>0</v>
      </c>
      <c r="CD1386" s="39">
        <f t="shared" si="890"/>
        <v>-252</v>
      </c>
      <c r="CE1386" s="102">
        <f t="shared" si="769"/>
        <v>-1</v>
      </c>
      <c r="CF1386" s="36"/>
      <c r="CG1386" s="39" t="s">
        <v>233</v>
      </c>
      <c r="CH1386" s="39"/>
      <c r="CI1386" s="25">
        <v>3</v>
      </c>
    </row>
    <row r="1387" spans="1:87" ht="24.75" customHeight="1">
      <c r="A1387" s="36" t="s">
        <v>20</v>
      </c>
      <c r="B1387" s="29" t="s">
        <v>2615</v>
      </c>
      <c r="C1387" s="227" t="s">
        <v>2616</v>
      </c>
      <c r="D1387" s="36"/>
      <c r="E1387" s="39">
        <v>240</v>
      </c>
      <c r="F1387" s="39" t="s">
        <v>58</v>
      </c>
      <c r="G1387" s="36" t="s">
        <v>192</v>
      </c>
      <c r="H1387" s="36" t="s">
        <v>96</v>
      </c>
      <c r="I1387" s="39">
        <v>180</v>
      </c>
      <c r="J1387" s="39"/>
      <c r="K1387" s="39"/>
      <c r="L1387" s="39">
        <f t="shared" si="891"/>
        <v>180</v>
      </c>
      <c r="M1387" s="57">
        <v>46279</v>
      </c>
      <c r="N1387" s="57">
        <v>46290</v>
      </c>
      <c r="O1387" s="39"/>
      <c r="P1387" s="39"/>
      <c r="Q1387" s="39"/>
      <c r="R1387" s="39">
        <f t="shared" si="884"/>
        <v>0</v>
      </c>
      <c r="S1387" s="39" t="s">
        <v>130</v>
      </c>
      <c r="T1387" s="39"/>
      <c r="U1387" s="39"/>
      <c r="V1387" s="39"/>
      <c r="W1387" s="39"/>
      <c r="X1387" s="39"/>
      <c r="Y1387" s="39"/>
      <c r="Z1387" s="39"/>
      <c r="AA1387" s="39"/>
      <c r="AB1387" s="118">
        <f t="shared" si="885"/>
        <v>0</v>
      </c>
      <c r="AC1387" s="39"/>
      <c r="AD1387" s="39"/>
      <c r="AE1387" s="39"/>
      <c r="AF1387" s="39"/>
      <c r="AG1387" s="39"/>
      <c r="AH1387" s="39">
        <f t="shared" si="886"/>
        <v>0</v>
      </c>
      <c r="AI1387" s="39"/>
      <c r="AJ1387" s="39"/>
      <c r="AK1387" s="39"/>
      <c r="AL1387" s="39"/>
      <c r="AM1387" s="39"/>
      <c r="AN1387" s="39">
        <f t="shared" si="887"/>
        <v>0</v>
      </c>
      <c r="AO1387" s="39"/>
      <c r="AP1387" s="39"/>
      <c r="AQ1387" s="39"/>
      <c r="AR1387" s="39"/>
      <c r="AS1387" s="39"/>
      <c r="AT1387" s="39">
        <f t="shared" si="762"/>
        <v>0</v>
      </c>
      <c r="AU1387" s="39"/>
      <c r="AV1387" s="39"/>
      <c r="AW1387" s="39"/>
      <c r="AX1387" s="39"/>
      <c r="AY1387" s="39"/>
      <c r="AZ1387" s="39">
        <f t="shared" si="763"/>
        <v>0</v>
      </c>
      <c r="BA1387" s="39"/>
      <c r="BB1387" s="39"/>
      <c r="BC1387" s="39"/>
      <c r="BD1387" s="39"/>
      <c r="BE1387" s="39"/>
      <c r="BF1387" s="39">
        <f t="shared" si="764"/>
        <v>0</v>
      </c>
      <c r="BG1387" s="39"/>
      <c r="BH1387" s="39"/>
      <c r="BI1387" s="39"/>
      <c r="BJ1387" s="39"/>
      <c r="BK1387" s="39"/>
      <c r="BL1387" s="39">
        <f t="shared" si="888"/>
        <v>0</v>
      </c>
      <c r="BM1387" s="54">
        <f t="shared" ca="1" si="765"/>
        <v>46283</v>
      </c>
      <c r="BN1387" s="60">
        <v>46291</v>
      </c>
      <c r="BO1387" s="117">
        <v>46302</v>
      </c>
      <c r="BP1387" s="39"/>
      <c r="BQ1387" s="39"/>
      <c r="BR1387" s="36"/>
      <c r="BS1387" s="36"/>
      <c r="BT1387" s="39"/>
      <c r="BU1387" s="39"/>
      <c r="BV1387" s="39"/>
      <c r="BW1387" s="39"/>
      <c r="BX1387" s="39"/>
      <c r="BY1387" s="39"/>
      <c r="BZ1387" s="39">
        <f t="shared" si="889"/>
        <v>0</v>
      </c>
      <c r="CA1387" s="39">
        <f t="shared" si="766"/>
        <v>-180</v>
      </c>
      <c r="CB1387" s="39">
        <f t="shared" si="767"/>
        <v>0</v>
      </c>
      <c r="CC1387" s="39">
        <f t="shared" si="768"/>
        <v>0</v>
      </c>
      <c r="CD1387" s="39">
        <f t="shared" si="890"/>
        <v>-180</v>
      </c>
      <c r="CE1387" s="102">
        <f t="shared" si="769"/>
        <v>-1</v>
      </c>
      <c r="CF1387" s="36"/>
      <c r="CG1387" s="39" t="s">
        <v>233</v>
      </c>
      <c r="CH1387" s="39"/>
      <c r="CI1387" s="25">
        <v>3</v>
      </c>
    </row>
    <row r="1388" spans="1:87" ht="24.75" customHeight="1">
      <c r="A1388" s="36" t="s">
        <v>20</v>
      </c>
      <c r="B1388" s="29" t="s">
        <v>2615</v>
      </c>
      <c r="C1388" s="231"/>
      <c r="D1388" s="36"/>
      <c r="E1388" s="39">
        <v>240</v>
      </c>
      <c r="F1388" s="39" t="s">
        <v>58</v>
      </c>
      <c r="G1388" s="36" t="s">
        <v>35</v>
      </c>
      <c r="H1388" s="36" t="s">
        <v>96</v>
      </c>
      <c r="I1388" s="39">
        <v>180</v>
      </c>
      <c r="J1388" s="39"/>
      <c r="K1388" s="39"/>
      <c r="L1388" s="39">
        <f t="shared" si="891"/>
        <v>180</v>
      </c>
      <c r="M1388" s="57">
        <v>46279</v>
      </c>
      <c r="N1388" s="57">
        <v>46290</v>
      </c>
      <c r="O1388" s="39"/>
      <c r="P1388" s="39"/>
      <c r="Q1388" s="39"/>
      <c r="R1388" s="39">
        <f t="shared" si="884"/>
        <v>0</v>
      </c>
      <c r="S1388" s="39" t="s">
        <v>28</v>
      </c>
      <c r="T1388" s="39"/>
      <c r="U1388" s="39"/>
      <c r="V1388" s="117">
        <v>46270</v>
      </c>
      <c r="W1388" s="39">
        <v>213</v>
      </c>
      <c r="X1388" s="39"/>
      <c r="Y1388" s="39"/>
      <c r="Z1388" s="39"/>
      <c r="AA1388" s="39"/>
      <c r="AB1388" s="118">
        <f t="shared" si="885"/>
        <v>0</v>
      </c>
      <c r="AC1388" s="39"/>
      <c r="AD1388" s="39"/>
      <c r="AE1388" s="39"/>
      <c r="AF1388" s="39"/>
      <c r="AG1388" s="39"/>
      <c r="AH1388" s="39">
        <f t="shared" si="886"/>
        <v>0</v>
      </c>
      <c r="AI1388" s="39"/>
      <c r="AJ1388" s="39"/>
      <c r="AK1388" s="39"/>
      <c r="AL1388" s="39"/>
      <c r="AM1388" s="39"/>
      <c r="AN1388" s="39">
        <f t="shared" si="887"/>
        <v>0</v>
      </c>
      <c r="AO1388" s="39"/>
      <c r="AP1388" s="39"/>
      <c r="AQ1388" s="39"/>
      <c r="AR1388" s="39"/>
      <c r="AS1388" s="39"/>
      <c r="AT1388" s="39">
        <f t="shared" si="762"/>
        <v>0</v>
      </c>
      <c r="AU1388" s="39"/>
      <c r="AV1388" s="39"/>
      <c r="AW1388" s="39"/>
      <c r="AX1388" s="39"/>
      <c r="AY1388" s="39"/>
      <c r="AZ1388" s="39">
        <f t="shared" si="763"/>
        <v>0</v>
      </c>
      <c r="BA1388" s="39"/>
      <c r="BB1388" s="39"/>
      <c r="BC1388" s="39"/>
      <c r="BD1388" s="39"/>
      <c r="BE1388" s="39"/>
      <c r="BF1388" s="39">
        <f t="shared" si="764"/>
        <v>0</v>
      </c>
      <c r="BG1388" s="39"/>
      <c r="BH1388" s="39"/>
      <c r="BI1388" s="39"/>
      <c r="BJ1388" s="39"/>
      <c r="BK1388" s="39"/>
      <c r="BL1388" s="39">
        <f t="shared" si="888"/>
        <v>0</v>
      </c>
      <c r="BM1388" s="54">
        <f t="shared" ca="1" si="765"/>
        <v>46283</v>
      </c>
      <c r="BN1388" s="60">
        <v>46291</v>
      </c>
      <c r="BO1388" s="117">
        <v>46302</v>
      </c>
      <c r="BP1388" s="39"/>
      <c r="BQ1388" s="39"/>
      <c r="BR1388" s="36"/>
      <c r="BS1388" s="36"/>
      <c r="BT1388" s="39"/>
      <c r="BU1388" s="39"/>
      <c r="BV1388" s="39"/>
      <c r="BW1388" s="39"/>
      <c r="BX1388" s="39"/>
      <c r="BY1388" s="39"/>
      <c r="BZ1388" s="39">
        <f t="shared" si="889"/>
        <v>0</v>
      </c>
      <c r="CA1388" s="39">
        <f t="shared" si="766"/>
        <v>-180</v>
      </c>
      <c r="CB1388" s="39">
        <f t="shared" si="767"/>
        <v>0</v>
      </c>
      <c r="CC1388" s="39">
        <f t="shared" si="768"/>
        <v>0</v>
      </c>
      <c r="CD1388" s="39">
        <f t="shared" si="890"/>
        <v>-180</v>
      </c>
      <c r="CE1388" s="102">
        <f t="shared" si="769"/>
        <v>-1</v>
      </c>
      <c r="CF1388" s="36"/>
      <c r="CG1388" s="39" t="s">
        <v>233</v>
      </c>
      <c r="CH1388" s="39"/>
      <c r="CI1388" s="25">
        <v>3</v>
      </c>
    </row>
    <row r="1389" spans="1:87" ht="24.75" customHeight="1">
      <c r="A1389" s="36" t="s">
        <v>20</v>
      </c>
      <c r="B1389" s="29" t="s">
        <v>2615</v>
      </c>
      <c r="C1389" s="231"/>
      <c r="D1389" s="36" t="s">
        <v>24</v>
      </c>
      <c r="E1389" s="39">
        <v>240</v>
      </c>
      <c r="F1389" s="39" t="s">
        <v>55</v>
      </c>
      <c r="G1389" s="36" t="s">
        <v>2617</v>
      </c>
      <c r="H1389" s="36" t="s">
        <v>96</v>
      </c>
      <c r="I1389" s="39">
        <v>170</v>
      </c>
      <c r="J1389" s="39">
        <v>35</v>
      </c>
      <c r="K1389" s="39"/>
      <c r="L1389" s="39">
        <f t="shared" si="891"/>
        <v>205</v>
      </c>
      <c r="M1389" s="57">
        <v>46279</v>
      </c>
      <c r="N1389" s="57">
        <v>46290</v>
      </c>
      <c r="O1389" s="39"/>
      <c r="P1389" s="39"/>
      <c r="Q1389" s="39"/>
      <c r="R1389" s="39">
        <f t="shared" si="884"/>
        <v>0</v>
      </c>
      <c r="S1389" s="39" t="s">
        <v>130</v>
      </c>
      <c r="T1389" s="39"/>
      <c r="U1389" s="39"/>
      <c r="V1389" s="39"/>
      <c r="W1389" s="39"/>
      <c r="X1389" s="39"/>
      <c r="Y1389" s="39"/>
      <c r="Z1389" s="39"/>
      <c r="AA1389" s="39"/>
      <c r="AB1389" s="118">
        <f t="shared" si="885"/>
        <v>0</v>
      </c>
      <c r="AC1389" s="39"/>
      <c r="AD1389" s="39"/>
      <c r="AE1389" s="39"/>
      <c r="AF1389" s="39"/>
      <c r="AG1389" s="39"/>
      <c r="AH1389" s="39">
        <f t="shared" si="886"/>
        <v>0</v>
      </c>
      <c r="AI1389" s="39"/>
      <c r="AJ1389" s="39"/>
      <c r="AK1389" s="39"/>
      <c r="AL1389" s="39"/>
      <c r="AM1389" s="39"/>
      <c r="AN1389" s="39">
        <f t="shared" si="887"/>
        <v>0</v>
      </c>
      <c r="AO1389" s="39"/>
      <c r="AP1389" s="39"/>
      <c r="AQ1389" s="39"/>
      <c r="AR1389" s="39"/>
      <c r="AS1389" s="39"/>
      <c r="AT1389" s="39">
        <f t="shared" si="762"/>
        <v>0</v>
      </c>
      <c r="AU1389" s="39"/>
      <c r="AV1389" s="39"/>
      <c r="AW1389" s="39"/>
      <c r="AX1389" s="39"/>
      <c r="AY1389" s="39"/>
      <c r="AZ1389" s="39">
        <f t="shared" si="763"/>
        <v>0</v>
      </c>
      <c r="BA1389" s="39"/>
      <c r="BB1389" s="39"/>
      <c r="BC1389" s="39"/>
      <c r="BD1389" s="39"/>
      <c r="BE1389" s="39"/>
      <c r="BF1389" s="39">
        <f t="shared" si="764"/>
        <v>0</v>
      </c>
      <c r="BG1389" s="39"/>
      <c r="BH1389" s="39"/>
      <c r="BI1389" s="39"/>
      <c r="BJ1389" s="39"/>
      <c r="BK1389" s="39"/>
      <c r="BL1389" s="39">
        <f t="shared" si="888"/>
        <v>0</v>
      </c>
      <c r="BM1389" s="54">
        <f t="shared" ca="1" si="765"/>
        <v>46283</v>
      </c>
      <c r="BN1389" s="60">
        <v>46291</v>
      </c>
      <c r="BO1389" s="117">
        <v>46302</v>
      </c>
      <c r="BP1389" s="39"/>
      <c r="BQ1389" s="39"/>
      <c r="BR1389" s="36"/>
      <c r="BS1389" s="36"/>
      <c r="BT1389" s="39"/>
      <c r="BU1389" s="39"/>
      <c r="BV1389" s="39"/>
      <c r="BW1389" s="39"/>
      <c r="BX1389" s="39"/>
      <c r="BY1389" s="39"/>
      <c r="BZ1389" s="39">
        <f t="shared" si="889"/>
        <v>0</v>
      </c>
      <c r="CA1389" s="39">
        <f t="shared" si="766"/>
        <v>-170</v>
      </c>
      <c r="CB1389" s="39">
        <f t="shared" si="767"/>
        <v>-35</v>
      </c>
      <c r="CC1389" s="39">
        <f t="shared" si="768"/>
        <v>0</v>
      </c>
      <c r="CD1389" s="39">
        <f t="shared" si="890"/>
        <v>-205</v>
      </c>
      <c r="CE1389" s="102">
        <f t="shared" si="769"/>
        <v>-1</v>
      </c>
      <c r="CF1389" s="36"/>
      <c r="CG1389" s="39" t="s">
        <v>233</v>
      </c>
      <c r="CH1389" s="39"/>
      <c r="CI1389" s="25">
        <v>3</v>
      </c>
    </row>
    <row r="1390" spans="1:87" ht="24.75" customHeight="1">
      <c r="A1390" s="36" t="s">
        <v>20</v>
      </c>
      <c r="B1390" s="29" t="s">
        <v>2615</v>
      </c>
      <c r="C1390" s="231"/>
      <c r="D1390" s="36"/>
      <c r="E1390" s="39">
        <v>240</v>
      </c>
      <c r="F1390" s="39" t="s">
        <v>58</v>
      </c>
      <c r="G1390" s="36" t="s">
        <v>192</v>
      </c>
      <c r="H1390" s="36" t="s">
        <v>96</v>
      </c>
      <c r="I1390" s="39">
        <v>180</v>
      </c>
      <c r="J1390" s="39"/>
      <c r="K1390" s="39"/>
      <c r="L1390" s="39">
        <f t="shared" si="891"/>
        <v>180</v>
      </c>
      <c r="M1390" s="57">
        <v>46279</v>
      </c>
      <c r="N1390" s="57">
        <v>46290</v>
      </c>
      <c r="O1390" s="39"/>
      <c r="P1390" s="39"/>
      <c r="Q1390" s="39"/>
      <c r="R1390" s="39">
        <f t="shared" si="884"/>
        <v>0</v>
      </c>
      <c r="S1390" s="39" t="s">
        <v>130</v>
      </c>
      <c r="T1390" s="39"/>
      <c r="U1390" s="39"/>
      <c r="V1390" s="39"/>
      <c r="W1390" s="39"/>
      <c r="X1390" s="39"/>
      <c r="Y1390" s="39"/>
      <c r="Z1390" s="39"/>
      <c r="AA1390" s="39"/>
      <c r="AB1390" s="118">
        <f t="shared" si="885"/>
        <v>0</v>
      </c>
      <c r="AC1390" s="39"/>
      <c r="AD1390" s="39"/>
      <c r="AE1390" s="39"/>
      <c r="AF1390" s="39"/>
      <c r="AG1390" s="39"/>
      <c r="AH1390" s="39">
        <f t="shared" si="886"/>
        <v>0</v>
      </c>
      <c r="AI1390" s="39"/>
      <c r="AJ1390" s="39"/>
      <c r="AK1390" s="39"/>
      <c r="AL1390" s="39"/>
      <c r="AM1390" s="39"/>
      <c r="AN1390" s="39">
        <f t="shared" si="887"/>
        <v>0</v>
      </c>
      <c r="AO1390" s="39"/>
      <c r="AP1390" s="39"/>
      <c r="AQ1390" s="39"/>
      <c r="AR1390" s="39"/>
      <c r="AS1390" s="39"/>
      <c r="AT1390" s="39">
        <f t="shared" si="762"/>
        <v>0</v>
      </c>
      <c r="AU1390" s="39"/>
      <c r="AV1390" s="39"/>
      <c r="AW1390" s="39"/>
      <c r="AX1390" s="39"/>
      <c r="AY1390" s="39"/>
      <c r="AZ1390" s="39">
        <f t="shared" si="763"/>
        <v>0</v>
      </c>
      <c r="BA1390" s="39"/>
      <c r="BB1390" s="39"/>
      <c r="BC1390" s="39"/>
      <c r="BD1390" s="39"/>
      <c r="BE1390" s="39"/>
      <c r="BF1390" s="39">
        <f t="shared" si="764"/>
        <v>0</v>
      </c>
      <c r="BG1390" s="39"/>
      <c r="BH1390" s="39"/>
      <c r="BI1390" s="39"/>
      <c r="BJ1390" s="39"/>
      <c r="BK1390" s="39"/>
      <c r="BL1390" s="39">
        <f t="shared" si="888"/>
        <v>0</v>
      </c>
      <c r="BM1390" s="54">
        <f t="shared" ca="1" si="765"/>
        <v>46283</v>
      </c>
      <c r="BN1390" s="60">
        <v>46291</v>
      </c>
      <c r="BO1390" s="117">
        <v>46302</v>
      </c>
      <c r="BP1390" s="39"/>
      <c r="BQ1390" s="39"/>
      <c r="BR1390" s="36"/>
      <c r="BS1390" s="36"/>
      <c r="BT1390" s="39"/>
      <c r="BU1390" s="39"/>
      <c r="BV1390" s="39"/>
      <c r="BW1390" s="39"/>
      <c r="BX1390" s="39"/>
      <c r="BY1390" s="39"/>
      <c r="BZ1390" s="39">
        <f t="shared" si="889"/>
        <v>0</v>
      </c>
      <c r="CA1390" s="39">
        <f t="shared" si="766"/>
        <v>-180</v>
      </c>
      <c r="CB1390" s="39">
        <f t="shared" si="767"/>
        <v>0</v>
      </c>
      <c r="CC1390" s="39">
        <f t="shared" si="768"/>
        <v>0</v>
      </c>
      <c r="CD1390" s="39">
        <f t="shared" si="890"/>
        <v>-180</v>
      </c>
      <c r="CE1390" s="102">
        <f t="shared" si="769"/>
        <v>-1</v>
      </c>
      <c r="CF1390" s="36"/>
      <c r="CG1390" s="39" t="s">
        <v>233</v>
      </c>
      <c r="CH1390" s="39"/>
      <c r="CI1390" s="25">
        <v>3</v>
      </c>
    </row>
    <row r="1391" spans="1:87" ht="24.75" customHeight="1">
      <c r="A1391" s="36" t="s">
        <v>20</v>
      </c>
      <c r="B1391" s="29" t="s">
        <v>2615</v>
      </c>
      <c r="C1391" s="231"/>
      <c r="D1391" s="36"/>
      <c r="E1391" s="39">
        <v>240</v>
      </c>
      <c r="F1391" s="39" t="s">
        <v>58</v>
      </c>
      <c r="G1391" s="36" t="s">
        <v>439</v>
      </c>
      <c r="H1391" s="36" t="s">
        <v>96</v>
      </c>
      <c r="I1391" s="39">
        <v>180</v>
      </c>
      <c r="J1391" s="39"/>
      <c r="K1391" s="39"/>
      <c r="L1391" s="39">
        <f t="shared" si="891"/>
        <v>180</v>
      </c>
      <c r="M1391" s="57">
        <v>46279</v>
      </c>
      <c r="N1391" s="57">
        <v>46290</v>
      </c>
      <c r="O1391" s="39"/>
      <c r="P1391" s="39"/>
      <c r="Q1391" s="39"/>
      <c r="R1391" s="39">
        <f t="shared" si="884"/>
        <v>0</v>
      </c>
      <c r="S1391" s="39" t="s">
        <v>28</v>
      </c>
      <c r="T1391" s="39"/>
      <c r="U1391" s="39"/>
      <c r="V1391" s="117">
        <v>46270</v>
      </c>
      <c r="W1391" s="39">
        <v>213</v>
      </c>
      <c r="X1391" s="39"/>
      <c r="Y1391" s="39"/>
      <c r="Z1391" s="39"/>
      <c r="AA1391" s="39"/>
      <c r="AB1391" s="118">
        <f t="shared" si="885"/>
        <v>0</v>
      </c>
      <c r="AC1391" s="39"/>
      <c r="AD1391" s="39"/>
      <c r="AE1391" s="39"/>
      <c r="AF1391" s="39"/>
      <c r="AG1391" s="39"/>
      <c r="AH1391" s="39">
        <f t="shared" si="886"/>
        <v>0</v>
      </c>
      <c r="AI1391" s="39"/>
      <c r="AJ1391" s="39"/>
      <c r="AK1391" s="39"/>
      <c r="AL1391" s="39"/>
      <c r="AM1391" s="39"/>
      <c r="AN1391" s="39">
        <f t="shared" si="887"/>
        <v>0</v>
      </c>
      <c r="AO1391" s="39"/>
      <c r="AP1391" s="39"/>
      <c r="AQ1391" s="39"/>
      <c r="AR1391" s="39"/>
      <c r="AS1391" s="39"/>
      <c r="AT1391" s="39">
        <f t="shared" si="762"/>
        <v>0</v>
      </c>
      <c r="AU1391" s="39"/>
      <c r="AV1391" s="39"/>
      <c r="AW1391" s="39"/>
      <c r="AX1391" s="39"/>
      <c r="AY1391" s="39"/>
      <c r="AZ1391" s="39">
        <f t="shared" si="763"/>
        <v>0</v>
      </c>
      <c r="BA1391" s="39"/>
      <c r="BB1391" s="39"/>
      <c r="BC1391" s="39"/>
      <c r="BD1391" s="39"/>
      <c r="BE1391" s="39"/>
      <c r="BF1391" s="39">
        <f t="shared" si="764"/>
        <v>0</v>
      </c>
      <c r="BG1391" s="39"/>
      <c r="BH1391" s="39"/>
      <c r="BI1391" s="39"/>
      <c r="BJ1391" s="39"/>
      <c r="BK1391" s="39"/>
      <c r="BL1391" s="39">
        <f t="shared" si="888"/>
        <v>0</v>
      </c>
      <c r="BM1391" s="54">
        <f t="shared" ca="1" si="765"/>
        <v>46283</v>
      </c>
      <c r="BN1391" s="60">
        <v>46291</v>
      </c>
      <c r="BO1391" s="117">
        <v>46302</v>
      </c>
      <c r="BP1391" s="39"/>
      <c r="BQ1391" s="39"/>
      <c r="BR1391" s="36"/>
      <c r="BS1391" s="36"/>
      <c r="BT1391" s="39"/>
      <c r="BU1391" s="39"/>
      <c r="BV1391" s="39"/>
      <c r="BW1391" s="39"/>
      <c r="BX1391" s="39"/>
      <c r="BY1391" s="39"/>
      <c r="BZ1391" s="39">
        <f t="shared" si="889"/>
        <v>0</v>
      </c>
      <c r="CA1391" s="39">
        <f t="shared" si="766"/>
        <v>-180</v>
      </c>
      <c r="CB1391" s="39">
        <f t="shared" si="767"/>
        <v>0</v>
      </c>
      <c r="CC1391" s="39">
        <f t="shared" si="768"/>
        <v>0</v>
      </c>
      <c r="CD1391" s="39">
        <f t="shared" si="890"/>
        <v>-180</v>
      </c>
      <c r="CE1391" s="102">
        <f t="shared" si="769"/>
        <v>-1</v>
      </c>
      <c r="CF1391" s="36"/>
      <c r="CG1391" s="39" t="s">
        <v>233</v>
      </c>
      <c r="CH1391" s="39"/>
      <c r="CI1391" s="25">
        <v>3</v>
      </c>
    </row>
    <row r="1392" spans="1:87" ht="24.75" customHeight="1">
      <c r="A1392" s="36" t="s">
        <v>20</v>
      </c>
      <c r="B1392" s="29" t="s">
        <v>2615</v>
      </c>
      <c r="C1392" s="228"/>
      <c r="D1392" s="36" t="s">
        <v>24</v>
      </c>
      <c r="E1392" s="39">
        <v>240</v>
      </c>
      <c r="F1392" s="39" t="s">
        <v>55</v>
      </c>
      <c r="G1392" s="36" t="s">
        <v>2618</v>
      </c>
      <c r="H1392" s="36" t="s">
        <v>96</v>
      </c>
      <c r="I1392" s="39">
        <v>170</v>
      </c>
      <c r="J1392" s="39">
        <v>35</v>
      </c>
      <c r="K1392" s="39"/>
      <c r="L1392" s="39">
        <f t="shared" si="891"/>
        <v>205</v>
      </c>
      <c r="M1392" s="57">
        <v>46279</v>
      </c>
      <c r="N1392" s="57">
        <v>46290</v>
      </c>
      <c r="O1392" s="39"/>
      <c r="P1392" s="39"/>
      <c r="Q1392" s="39"/>
      <c r="R1392" s="39">
        <f t="shared" si="884"/>
        <v>0</v>
      </c>
      <c r="S1392" s="39" t="s">
        <v>130</v>
      </c>
      <c r="T1392" s="39"/>
      <c r="U1392" s="39"/>
      <c r="V1392" s="39"/>
      <c r="W1392" s="39"/>
      <c r="X1392" s="39"/>
      <c r="Y1392" s="39"/>
      <c r="Z1392" s="39"/>
      <c r="AA1392" s="39"/>
      <c r="AB1392" s="118">
        <f t="shared" si="885"/>
        <v>0</v>
      </c>
      <c r="AC1392" s="39"/>
      <c r="AD1392" s="39"/>
      <c r="AE1392" s="39"/>
      <c r="AF1392" s="39"/>
      <c r="AG1392" s="39"/>
      <c r="AH1392" s="39">
        <f t="shared" si="886"/>
        <v>0</v>
      </c>
      <c r="AI1392" s="39"/>
      <c r="AJ1392" s="39"/>
      <c r="AK1392" s="39"/>
      <c r="AL1392" s="39"/>
      <c r="AM1392" s="39"/>
      <c r="AN1392" s="39">
        <f t="shared" si="887"/>
        <v>0</v>
      </c>
      <c r="AO1392" s="39"/>
      <c r="AP1392" s="39"/>
      <c r="AQ1392" s="39"/>
      <c r="AR1392" s="39"/>
      <c r="AS1392" s="39"/>
      <c r="AT1392" s="39">
        <f t="shared" si="762"/>
        <v>0</v>
      </c>
      <c r="AU1392" s="39"/>
      <c r="AV1392" s="39"/>
      <c r="AW1392" s="39"/>
      <c r="AX1392" s="39"/>
      <c r="AY1392" s="39"/>
      <c r="AZ1392" s="39">
        <f t="shared" si="763"/>
        <v>0</v>
      </c>
      <c r="BA1392" s="39"/>
      <c r="BB1392" s="39"/>
      <c r="BC1392" s="39"/>
      <c r="BD1392" s="39"/>
      <c r="BE1392" s="39"/>
      <c r="BF1392" s="39">
        <f t="shared" si="764"/>
        <v>0</v>
      </c>
      <c r="BG1392" s="39"/>
      <c r="BH1392" s="39"/>
      <c r="BI1392" s="39"/>
      <c r="BJ1392" s="39"/>
      <c r="BK1392" s="39"/>
      <c r="BL1392" s="39">
        <f t="shared" si="888"/>
        <v>0</v>
      </c>
      <c r="BM1392" s="54">
        <f t="shared" ca="1" si="765"/>
        <v>46283</v>
      </c>
      <c r="BN1392" s="60">
        <v>46291</v>
      </c>
      <c r="BO1392" s="117">
        <v>46302</v>
      </c>
      <c r="BP1392" s="39"/>
      <c r="BQ1392" s="39"/>
      <c r="BR1392" s="36"/>
      <c r="BS1392" s="36"/>
      <c r="BT1392" s="39"/>
      <c r="BU1392" s="39"/>
      <c r="BV1392" s="39"/>
      <c r="BW1392" s="39"/>
      <c r="BX1392" s="39"/>
      <c r="BY1392" s="39"/>
      <c r="BZ1392" s="39">
        <f t="shared" si="889"/>
        <v>0</v>
      </c>
      <c r="CA1392" s="39">
        <f t="shared" si="766"/>
        <v>-170</v>
      </c>
      <c r="CB1392" s="39">
        <f t="shared" si="767"/>
        <v>-35</v>
      </c>
      <c r="CC1392" s="39">
        <f t="shared" si="768"/>
        <v>0</v>
      </c>
      <c r="CD1392" s="39">
        <f t="shared" si="890"/>
        <v>-205</v>
      </c>
      <c r="CE1392" s="102">
        <f t="shared" si="769"/>
        <v>-1</v>
      </c>
      <c r="CF1392" s="36"/>
      <c r="CG1392" s="39" t="s">
        <v>233</v>
      </c>
      <c r="CH1392" s="39"/>
      <c r="CI1392" s="25">
        <v>3</v>
      </c>
    </row>
    <row r="1393" spans="1:87" ht="24.75" customHeight="1">
      <c r="A1393" s="36" t="s">
        <v>20</v>
      </c>
      <c r="B1393" s="29" t="s">
        <v>2619</v>
      </c>
      <c r="C1393" s="227" t="s">
        <v>2620</v>
      </c>
      <c r="D1393" s="36"/>
      <c r="E1393" s="39">
        <v>180</v>
      </c>
      <c r="F1393" s="39" t="s">
        <v>53</v>
      </c>
      <c r="G1393" s="36" t="s">
        <v>985</v>
      </c>
      <c r="H1393" s="36" t="s">
        <v>87</v>
      </c>
      <c r="I1393" s="39">
        <v>122</v>
      </c>
      <c r="J1393" s="39"/>
      <c r="K1393" s="39"/>
      <c r="L1393" s="39">
        <f t="shared" si="891"/>
        <v>122</v>
      </c>
      <c r="M1393" s="57">
        <v>46279</v>
      </c>
      <c r="N1393" s="57">
        <v>46290</v>
      </c>
      <c r="O1393" s="39"/>
      <c r="P1393" s="39"/>
      <c r="Q1393" s="39"/>
      <c r="R1393" s="39">
        <f t="shared" si="884"/>
        <v>0</v>
      </c>
      <c r="S1393" s="39" t="s">
        <v>28</v>
      </c>
      <c r="T1393" s="39"/>
      <c r="U1393" s="39"/>
      <c r="V1393" s="117">
        <v>46273</v>
      </c>
      <c r="W1393" s="39">
        <v>146</v>
      </c>
      <c r="X1393" s="39"/>
      <c r="Y1393" s="39"/>
      <c r="Z1393" s="39"/>
      <c r="AA1393" s="39"/>
      <c r="AB1393" s="118">
        <f t="shared" si="885"/>
        <v>0</v>
      </c>
      <c r="AC1393" s="39"/>
      <c r="AD1393" s="39"/>
      <c r="AE1393" s="39"/>
      <c r="AF1393" s="39"/>
      <c r="AG1393" s="39"/>
      <c r="AH1393" s="39">
        <f t="shared" si="886"/>
        <v>0</v>
      </c>
      <c r="AI1393" s="39"/>
      <c r="AJ1393" s="39"/>
      <c r="AK1393" s="39"/>
      <c r="AL1393" s="39"/>
      <c r="AM1393" s="39"/>
      <c r="AN1393" s="39">
        <f t="shared" si="887"/>
        <v>0</v>
      </c>
      <c r="AO1393" s="39"/>
      <c r="AP1393" s="39"/>
      <c r="AQ1393" s="39"/>
      <c r="AR1393" s="39"/>
      <c r="AS1393" s="39"/>
      <c r="AT1393" s="39">
        <f t="shared" si="762"/>
        <v>0</v>
      </c>
      <c r="AU1393" s="39"/>
      <c r="AV1393" s="39"/>
      <c r="AW1393" s="39"/>
      <c r="AX1393" s="39"/>
      <c r="AY1393" s="39"/>
      <c r="AZ1393" s="39">
        <f t="shared" si="763"/>
        <v>0</v>
      </c>
      <c r="BA1393" s="39"/>
      <c r="BB1393" s="39"/>
      <c r="BC1393" s="39"/>
      <c r="BD1393" s="39"/>
      <c r="BE1393" s="39"/>
      <c r="BF1393" s="39">
        <f t="shared" si="764"/>
        <v>0</v>
      </c>
      <c r="BG1393" s="39"/>
      <c r="BH1393" s="39"/>
      <c r="BI1393" s="39"/>
      <c r="BJ1393" s="39"/>
      <c r="BK1393" s="39"/>
      <c r="BL1393" s="39">
        <f t="shared" si="888"/>
        <v>0</v>
      </c>
      <c r="BM1393" s="54">
        <f t="shared" ca="1" si="765"/>
        <v>46283</v>
      </c>
      <c r="BN1393" s="60">
        <v>46293</v>
      </c>
      <c r="BO1393" s="117">
        <v>46303</v>
      </c>
      <c r="BP1393" s="39"/>
      <c r="BQ1393" s="39"/>
      <c r="BR1393" s="36"/>
      <c r="BS1393" s="36"/>
      <c r="BT1393" s="39"/>
      <c r="BU1393" s="39"/>
      <c r="BV1393" s="39"/>
      <c r="BW1393" s="39"/>
      <c r="BX1393" s="39"/>
      <c r="BY1393" s="39"/>
      <c r="BZ1393" s="39">
        <f t="shared" si="889"/>
        <v>0</v>
      </c>
      <c r="CA1393" s="39">
        <f t="shared" si="766"/>
        <v>-122</v>
      </c>
      <c r="CB1393" s="39">
        <f t="shared" si="767"/>
        <v>0</v>
      </c>
      <c r="CC1393" s="39">
        <f t="shared" si="768"/>
        <v>0</v>
      </c>
      <c r="CD1393" s="39">
        <f t="shared" si="890"/>
        <v>-122</v>
      </c>
      <c r="CE1393" s="102">
        <f t="shared" si="769"/>
        <v>-1</v>
      </c>
      <c r="CF1393" s="36"/>
      <c r="CG1393" s="39" t="s">
        <v>233</v>
      </c>
      <c r="CH1393" s="39"/>
      <c r="CI1393" s="25">
        <v>3</v>
      </c>
    </row>
    <row r="1394" spans="1:87" ht="24.75" customHeight="1">
      <c r="A1394" s="36" t="s">
        <v>20</v>
      </c>
      <c r="B1394" s="29" t="s">
        <v>2619</v>
      </c>
      <c r="C1394" s="228"/>
      <c r="D1394" s="36" t="s">
        <v>24</v>
      </c>
      <c r="E1394" s="39">
        <v>180</v>
      </c>
      <c r="F1394" s="39" t="s">
        <v>53</v>
      </c>
      <c r="G1394" s="36" t="s">
        <v>2621</v>
      </c>
      <c r="H1394" s="36" t="s">
        <v>87</v>
      </c>
      <c r="I1394" s="39">
        <v>133</v>
      </c>
      <c r="J1394" s="39"/>
      <c r="K1394" s="39">
        <v>15</v>
      </c>
      <c r="L1394" s="39">
        <f t="shared" si="891"/>
        <v>148</v>
      </c>
      <c r="M1394" s="57">
        <v>46279</v>
      </c>
      <c r="N1394" s="57">
        <v>46290</v>
      </c>
      <c r="O1394" s="39"/>
      <c r="P1394" s="39"/>
      <c r="Q1394" s="39"/>
      <c r="R1394" s="39">
        <f t="shared" si="884"/>
        <v>0</v>
      </c>
      <c r="S1394" s="39" t="s">
        <v>130</v>
      </c>
      <c r="T1394" s="39"/>
      <c r="U1394" s="39"/>
      <c r="V1394" s="39"/>
      <c r="W1394" s="39"/>
      <c r="X1394" s="39"/>
      <c r="Y1394" s="39"/>
      <c r="Z1394" s="39"/>
      <c r="AA1394" s="39"/>
      <c r="AB1394" s="118">
        <f t="shared" si="885"/>
        <v>0</v>
      </c>
      <c r="AC1394" s="39"/>
      <c r="AD1394" s="39"/>
      <c r="AE1394" s="39"/>
      <c r="AF1394" s="39"/>
      <c r="AG1394" s="39"/>
      <c r="AH1394" s="39">
        <f t="shared" si="886"/>
        <v>0</v>
      </c>
      <c r="AI1394" s="39"/>
      <c r="AJ1394" s="39"/>
      <c r="AK1394" s="39"/>
      <c r="AL1394" s="39"/>
      <c r="AM1394" s="39"/>
      <c r="AN1394" s="39">
        <f t="shared" si="887"/>
        <v>0</v>
      </c>
      <c r="AO1394" s="39"/>
      <c r="AP1394" s="39"/>
      <c r="AQ1394" s="39"/>
      <c r="AR1394" s="39"/>
      <c r="AS1394" s="39"/>
      <c r="AT1394" s="39">
        <f t="shared" si="762"/>
        <v>0</v>
      </c>
      <c r="AU1394" s="39"/>
      <c r="AV1394" s="39"/>
      <c r="AW1394" s="39"/>
      <c r="AX1394" s="39"/>
      <c r="AY1394" s="39"/>
      <c r="AZ1394" s="39">
        <f t="shared" si="763"/>
        <v>0</v>
      </c>
      <c r="BA1394" s="39"/>
      <c r="BB1394" s="39"/>
      <c r="BC1394" s="39"/>
      <c r="BD1394" s="39"/>
      <c r="BE1394" s="39"/>
      <c r="BF1394" s="39">
        <f t="shared" si="764"/>
        <v>0</v>
      </c>
      <c r="BG1394" s="39"/>
      <c r="BH1394" s="39"/>
      <c r="BI1394" s="39"/>
      <c r="BJ1394" s="39"/>
      <c r="BK1394" s="39"/>
      <c r="BL1394" s="39">
        <f t="shared" si="888"/>
        <v>0</v>
      </c>
      <c r="BM1394" s="54">
        <f t="shared" ca="1" si="765"/>
        <v>46283</v>
      </c>
      <c r="BN1394" s="60">
        <v>46293</v>
      </c>
      <c r="BO1394" s="117">
        <v>46303</v>
      </c>
      <c r="BP1394" s="39"/>
      <c r="BQ1394" s="39"/>
      <c r="BR1394" s="36"/>
      <c r="BS1394" s="36"/>
      <c r="BT1394" s="39"/>
      <c r="BU1394" s="39"/>
      <c r="BV1394" s="39"/>
      <c r="BW1394" s="39"/>
      <c r="BX1394" s="39"/>
      <c r="BY1394" s="39"/>
      <c r="BZ1394" s="39">
        <f t="shared" si="889"/>
        <v>0</v>
      </c>
      <c r="CA1394" s="39">
        <f t="shared" si="766"/>
        <v>-133</v>
      </c>
      <c r="CB1394" s="39">
        <f t="shared" si="767"/>
        <v>0</v>
      </c>
      <c r="CC1394" s="39">
        <f t="shared" si="768"/>
        <v>-15</v>
      </c>
      <c r="CD1394" s="39">
        <f t="shared" si="890"/>
        <v>-148</v>
      </c>
      <c r="CE1394" s="102">
        <f t="shared" si="769"/>
        <v>-1</v>
      </c>
      <c r="CF1394" s="36"/>
      <c r="CG1394" s="39" t="s">
        <v>233</v>
      </c>
      <c r="CH1394" s="39"/>
      <c r="CI1394" s="25">
        <v>3</v>
      </c>
    </row>
    <row r="1395" spans="1:87" ht="24.75" customHeight="1">
      <c r="A1395" s="36" t="s">
        <v>20</v>
      </c>
      <c r="B1395" s="29"/>
      <c r="C1395" s="36"/>
      <c r="D1395" s="36"/>
      <c r="E1395" s="39"/>
      <c r="F1395" s="39"/>
      <c r="G1395" s="36"/>
      <c r="H1395" s="39"/>
      <c r="I1395" s="39"/>
      <c r="J1395" s="39"/>
      <c r="K1395" s="39"/>
      <c r="L1395" s="39">
        <f t="shared" si="883"/>
        <v>0</v>
      </c>
      <c r="M1395" s="36"/>
      <c r="N1395" s="36"/>
      <c r="O1395" s="39"/>
      <c r="P1395" s="39"/>
      <c r="Q1395" s="39"/>
      <c r="R1395" s="39">
        <f t="shared" si="884"/>
        <v>0</v>
      </c>
      <c r="S1395" s="39"/>
      <c r="T1395" s="39"/>
      <c r="U1395" s="39"/>
      <c r="V1395" s="39"/>
      <c r="W1395" s="39"/>
      <c r="X1395" s="39"/>
      <c r="Y1395" s="39"/>
      <c r="Z1395" s="39"/>
      <c r="AA1395" s="39"/>
      <c r="AB1395" s="39">
        <f t="shared" si="885"/>
        <v>0</v>
      </c>
      <c r="AC1395" s="39"/>
      <c r="AD1395" s="39"/>
      <c r="AE1395" s="39"/>
      <c r="AF1395" s="39"/>
      <c r="AG1395" s="39"/>
      <c r="AH1395" s="39">
        <f t="shared" si="779"/>
        <v>0</v>
      </c>
      <c r="AI1395" s="39"/>
      <c r="AJ1395" s="39"/>
      <c r="AK1395" s="39"/>
      <c r="AL1395" s="39"/>
      <c r="AM1395" s="39"/>
      <c r="AN1395" s="39">
        <f t="shared" si="778"/>
        <v>0</v>
      </c>
      <c r="AO1395" s="39"/>
      <c r="AP1395" s="39"/>
      <c r="AQ1395" s="39"/>
      <c r="AR1395" s="39"/>
      <c r="AS1395" s="39"/>
      <c r="AT1395" s="39">
        <f t="shared" si="762"/>
        <v>0</v>
      </c>
      <c r="AU1395" s="39"/>
      <c r="AV1395" s="39"/>
      <c r="AW1395" s="39"/>
      <c r="AX1395" s="39"/>
      <c r="AY1395" s="39"/>
      <c r="AZ1395" s="39">
        <f t="shared" si="763"/>
        <v>0</v>
      </c>
      <c r="BA1395" s="39"/>
      <c r="BB1395" s="39"/>
      <c r="BC1395" s="39"/>
      <c r="BD1395" s="39"/>
      <c r="BE1395" s="39"/>
      <c r="BF1395" s="39">
        <f t="shared" si="764"/>
        <v>0</v>
      </c>
      <c r="BG1395" s="39"/>
      <c r="BH1395" s="39"/>
      <c r="BI1395" s="39"/>
      <c r="BJ1395" s="39"/>
      <c r="BK1395" s="39"/>
      <c r="BL1395" s="39">
        <f t="shared" si="780"/>
        <v>0</v>
      </c>
      <c r="BM1395" s="54" t="e">
        <f t="shared" si="765"/>
        <v>#DIV/0!</v>
      </c>
      <c r="BN1395" s="61"/>
      <c r="BO1395" s="39"/>
      <c r="BP1395" s="39"/>
      <c r="BQ1395" s="39"/>
      <c r="BR1395" s="36"/>
      <c r="BS1395" s="36"/>
      <c r="BT1395" s="39"/>
      <c r="BU1395" s="39"/>
      <c r="BV1395" s="39"/>
      <c r="BW1395" s="39"/>
      <c r="BX1395" s="39"/>
      <c r="BY1395" s="39"/>
      <c r="BZ1395" s="39">
        <f t="shared" si="781"/>
        <v>0</v>
      </c>
      <c r="CA1395" s="39">
        <f t="shared" si="766"/>
        <v>0</v>
      </c>
      <c r="CB1395" s="39">
        <f t="shared" si="767"/>
        <v>0</v>
      </c>
      <c r="CC1395" s="39">
        <f t="shared" si="768"/>
        <v>0</v>
      </c>
      <c r="CD1395" s="39">
        <f t="shared" si="782"/>
        <v>0</v>
      </c>
      <c r="CE1395" s="47" t="e">
        <f t="shared" si="769"/>
        <v>#DIV/0!</v>
      </c>
      <c r="CF1395" s="36"/>
      <c r="CG1395" s="39"/>
      <c r="CH1395" s="39"/>
      <c r="CI1395" s="25">
        <v>3</v>
      </c>
    </row>
    <row r="1396" spans="1:87" ht="24.75" customHeight="1">
      <c r="A1396" s="36" t="s">
        <v>20</v>
      </c>
      <c r="B1396" s="29"/>
      <c r="C1396" s="36"/>
      <c r="D1396" s="36"/>
      <c r="E1396" s="39"/>
      <c r="F1396" s="39"/>
      <c r="G1396" s="36"/>
      <c r="H1396" s="39"/>
      <c r="I1396" s="39"/>
      <c r="J1396" s="39"/>
      <c r="K1396" s="39"/>
      <c r="L1396" s="39">
        <f t="shared" si="883"/>
        <v>0</v>
      </c>
      <c r="M1396" s="36"/>
      <c r="N1396" s="36"/>
      <c r="O1396" s="39"/>
      <c r="P1396" s="39"/>
      <c r="Q1396" s="39"/>
      <c r="R1396" s="39">
        <f t="shared" si="884"/>
        <v>0</v>
      </c>
      <c r="S1396" s="39"/>
      <c r="T1396" s="39"/>
      <c r="U1396" s="39"/>
      <c r="V1396" s="39"/>
      <c r="W1396" s="39"/>
      <c r="X1396" s="39"/>
      <c r="Y1396" s="39"/>
      <c r="Z1396" s="39"/>
      <c r="AA1396" s="39"/>
      <c r="AB1396" s="39">
        <f t="shared" si="885"/>
        <v>0</v>
      </c>
      <c r="AC1396" s="39"/>
      <c r="AD1396" s="39"/>
      <c r="AE1396" s="39"/>
      <c r="AF1396" s="39"/>
      <c r="AG1396" s="39"/>
      <c r="AH1396" s="39">
        <f t="shared" si="779"/>
        <v>0</v>
      </c>
      <c r="AI1396" s="39"/>
      <c r="AJ1396" s="39"/>
      <c r="AK1396" s="39"/>
      <c r="AL1396" s="39"/>
      <c r="AM1396" s="39"/>
      <c r="AN1396" s="39">
        <f t="shared" si="778"/>
        <v>0</v>
      </c>
      <c r="AO1396" s="39"/>
      <c r="AP1396" s="39"/>
      <c r="AQ1396" s="39"/>
      <c r="AR1396" s="39"/>
      <c r="AS1396" s="39"/>
      <c r="AT1396" s="39">
        <f t="shared" si="762"/>
        <v>0</v>
      </c>
      <c r="AU1396" s="39"/>
      <c r="AV1396" s="39"/>
      <c r="AW1396" s="39"/>
      <c r="AX1396" s="39"/>
      <c r="AY1396" s="39"/>
      <c r="AZ1396" s="39">
        <f t="shared" si="763"/>
        <v>0</v>
      </c>
      <c r="BA1396" s="39"/>
      <c r="BB1396" s="39"/>
      <c r="BC1396" s="39"/>
      <c r="BD1396" s="39"/>
      <c r="BE1396" s="39"/>
      <c r="BF1396" s="39">
        <f t="shared" si="764"/>
        <v>0</v>
      </c>
      <c r="BG1396" s="39"/>
      <c r="BH1396" s="39"/>
      <c r="BI1396" s="39"/>
      <c r="BJ1396" s="39"/>
      <c r="BK1396" s="39"/>
      <c r="BL1396" s="39">
        <f t="shared" si="780"/>
        <v>0</v>
      </c>
      <c r="BM1396" s="54" t="e">
        <f t="shared" si="765"/>
        <v>#DIV/0!</v>
      </c>
      <c r="BN1396" s="61"/>
      <c r="BO1396" s="39"/>
      <c r="BP1396" s="39"/>
      <c r="BQ1396" s="39"/>
      <c r="BR1396" s="36"/>
      <c r="BS1396" s="36"/>
      <c r="BT1396" s="39"/>
      <c r="BU1396" s="39"/>
      <c r="BV1396" s="39"/>
      <c r="BW1396" s="39"/>
      <c r="BX1396" s="39"/>
      <c r="BY1396" s="39"/>
      <c r="BZ1396" s="39">
        <f t="shared" si="781"/>
        <v>0</v>
      </c>
      <c r="CA1396" s="39">
        <f t="shared" si="766"/>
        <v>0</v>
      </c>
      <c r="CB1396" s="39">
        <f t="shared" si="767"/>
        <v>0</v>
      </c>
      <c r="CC1396" s="39">
        <f t="shared" si="768"/>
        <v>0</v>
      </c>
      <c r="CD1396" s="39">
        <f t="shared" si="782"/>
        <v>0</v>
      </c>
      <c r="CE1396" s="47" t="e">
        <f t="shared" si="769"/>
        <v>#DIV/0!</v>
      </c>
      <c r="CF1396" s="36"/>
      <c r="CG1396" s="39"/>
      <c r="CH1396" s="39"/>
      <c r="CI1396" s="25">
        <v>3</v>
      </c>
    </row>
    <row r="1397" spans="1:87" ht="24.75" customHeight="1">
      <c r="A1397" s="36" t="s">
        <v>20</v>
      </c>
      <c r="B1397" s="29"/>
      <c r="C1397" s="36"/>
      <c r="D1397" s="36"/>
      <c r="E1397" s="39"/>
      <c r="F1397" s="39"/>
      <c r="G1397" s="36"/>
      <c r="H1397" s="39"/>
      <c r="I1397" s="39"/>
      <c r="J1397" s="39"/>
      <c r="K1397" s="39"/>
      <c r="L1397" s="39">
        <f t="shared" si="883"/>
        <v>0</v>
      </c>
      <c r="M1397" s="36"/>
      <c r="N1397" s="36"/>
      <c r="O1397" s="39"/>
      <c r="P1397" s="39"/>
      <c r="Q1397" s="39"/>
      <c r="R1397" s="39">
        <f t="shared" si="884"/>
        <v>0</v>
      </c>
      <c r="S1397" s="39"/>
      <c r="T1397" s="39"/>
      <c r="U1397" s="39"/>
      <c r="V1397" s="39"/>
      <c r="W1397" s="39"/>
      <c r="X1397" s="39"/>
      <c r="Y1397" s="39"/>
      <c r="Z1397" s="39"/>
      <c r="AA1397" s="39"/>
      <c r="AB1397" s="39">
        <f t="shared" si="885"/>
        <v>0</v>
      </c>
      <c r="AC1397" s="39"/>
      <c r="AD1397" s="39"/>
      <c r="AE1397" s="39"/>
      <c r="AF1397" s="39"/>
      <c r="AG1397" s="39"/>
      <c r="AH1397" s="39">
        <f t="shared" si="779"/>
        <v>0</v>
      </c>
      <c r="AI1397" s="39"/>
      <c r="AJ1397" s="39"/>
      <c r="AK1397" s="39"/>
      <c r="AL1397" s="39"/>
      <c r="AM1397" s="39"/>
      <c r="AN1397" s="39">
        <f t="shared" si="778"/>
        <v>0</v>
      </c>
      <c r="AO1397" s="39"/>
      <c r="AP1397" s="39"/>
      <c r="AQ1397" s="39"/>
      <c r="AR1397" s="39"/>
      <c r="AS1397" s="39"/>
      <c r="AT1397" s="39">
        <f t="shared" si="762"/>
        <v>0</v>
      </c>
      <c r="AU1397" s="39"/>
      <c r="AV1397" s="39"/>
      <c r="AW1397" s="39"/>
      <c r="AX1397" s="39"/>
      <c r="AY1397" s="39"/>
      <c r="AZ1397" s="39">
        <f t="shared" si="763"/>
        <v>0</v>
      </c>
      <c r="BA1397" s="39"/>
      <c r="BB1397" s="39"/>
      <c r="BC1397" s="39"/>
      <c r="BD1397" s="39"/>
      <c r="BE1397" s="39"/>
      <c r="BF1397" s="39">
        <f t="shared" si="764"/>
        <v>0</v>
      </c>
      <c r="BG1397" s="39"/>
      <c r="BH1397" s="39"/>
      <c r="BI1397" s="39"/>
      <c r="BJ1397" s="39"/>
      <c r="BK1397" s="39"/>
      <c r="BL1397" s="39">
        <f t="shared" si="780"/>
        <v>0</v>
      </c>
      <c r="BM1397" s="54" t="e">
        <f t="shared" si="765"/>
        <v>#DIV/0!</v>
      </c>
      <c r="BN1397" s="61"/>
      <c r="BO1397" s="39"/>
      <c r="BP1397" s="39"/>
      <c r="BQ1397" s="39"/>
      <c r="BR1397" s="36"/>
      <c r="BS1397" s="36"/>
      <c r="BT1397" s="39"/>
      <c r="BU1397" s="39"/>
      <c r="BV1397" s="39"/>
      <c r="BW1397" s="39"/>
      <c r="BX1397" s="39"/>
      <c r="BY1397" s="39"/>
      <c r="BZ1397" s="39">
        <f t="shared" si="781"/>
        <v>0</v>
      </c>
      <c r="CA1397" s="39">
        <f t="shared" si="766"/>
        <v>0</v>
      </c>
      <c r="CB1397" s="39">
        <f t="shared" si="767"/>
        <v>0</v>
      </c>
      <c r="CC1397" s="39">
        <f t="shared" si="768"/>
        <v>0</v>
      </c>
      <c r="CD1397" s="39">
        <f t="shared" si="782"/>
        <v>0</v>
      </c>
      <c r="CE1397" s="47" t="e">
        <f t="shared" si="769"/>
        <v>#DIV/0!</v>
      </c>
      <c r="CF1397" s="36"/>
      <c r="CG1397" s="39"/>
      <c r="CH1397" s="39"/>
      <c r="CI1397" s="25">
        <v>3</v>
      </c>
    </row>
    <row r="1398" spans="1:87" ht="24.75" customHeight="1">
      <c r="A1398" s="36" t="s">
        <v>20</v>
      </c>
      <c r="B1398" s="29"/>
      <c r="C1398" s="36"/>
      <c r="D1398" s="36"/>
      <c r="E1398" s="39"/>
      <c r="F1398" s="39"/>
      <c r="G1398" s="36"/>
      <c r="H1398" s="39"/>
      <c r="I1398" s="39"/>
      <c r="J1398" s="39"/>
      <c r="K1398" s="39"/>
      <c r="L1398" s="39">
        <f t="shared" si="883"/>
        <v>0</v>
      </c>
      <c r="M1398" s="36"/>
      <c r="N1398" s="36"/>
      <c r="O1398" s="39"/>
      <c r="P1398" s="39"/>
      <c r="Q1398" s="39"/>
      <c r="R1398" s="39">
        <f t="shared" si="884"/>
        <v>0</v>
      </c>
      <c r="S1398" s="39"/>
      <c r="T1398" s="39"/>
      <c r="U1398" s="39"/>
      <c r="V1398" s="39"/>
      <c r="W1398" s="39"/>
      <c r="X1398" s="39"/>
      <c r="Y1398" s="39"/>
      <c r="Z1398" s="39"/>
      <c r="AA1398" s="39"/>
      <c r="AB1398" s="39">
        <f t="shared" si="885"/>
        <v>0</v>
      </c>
      <c r="AC1398" s="39"/>
      <c r="AD1398" s="39"/>
      <c r="AE1398" s="39"/>
      <c r="AF1398" s="39"/>
      <c r="AG1398" s="39"/>
      <c r="AH1398" s="39">
        <f t="shared" si="779"/>
        <v>0</v>
      </c>
      <c r="AI1398" s="39"/>
      <c r="AJ1398" s="39"/>
      <c r="AK1398" s="39"/>
      <c r="AL1398" s="39"/>
      <c r="AM1398" s="39"/>
      <c r="AN1398" s="39">
        <f t="shared" si="778"/>
        <v>0</v>
      </c>
      <c r="AO1398" s="39"/>
      <c r="AP1398" s="39"/>
      <c r="AQ1398" s="39"/>
      <c r="AR1398" s="39"/>
      <c r="AS1398" s="39"/>
      <c r="AT1398" s="39">
        <f t="shared" si="762"/>
        <v>0</v>
      </c>
      <c r="AU1398" s="39"/>
      <c r="AV1398" s="39"/>
      <c r="AW1398" s="39"/>
      <c r="AX1398" s="39"/>
      <c r="AY1398" s="39"/>
      <c r="AZ1398" s="39">
        <f t="shared" si="763"/>
        <v>0</v>
      </c>
      <c r="BA1398" s="39"/>
      <c r="BB1398" s="39"/>
      <c r="BC1398" s="39"/>
      <c r="BD1398" s="39"/>
      <c r="BE1398" s="39"/>
      <c r="BF1398" s="39">
        <f t="shared" si="764"/>
        <v>0</v>
      </c>
      <c r="BG1398" s="39"/>
      <c r="BH1398" s="39"/>
      <c r="BI1398" s="39"/>
      <c r="BJ1398" s="39"/>
      <c r="BK1398" s="39"/>
      <c r="BL1398" s="39">
        <f t="shared" si="780"/>
        <v>0</v>
      </c>
      <c r="BM1398" s="54" t="e">
        <f t="shared" si="765"/>
        <v>#DIV/0!</v>
      </c>
      <c r="BN1398" s="61"/>
      <c r="BO1398" s="39"/>
      <c r="BP1398" s="39"/>
      <c r="BQ1398" s="39"/>
      <c r="BR1398" s="36"/>
      <c r="BS1398" s="36"/>
      <c r="BT1398" s="39"/>
      <c r="BU1398" s="39"/>
      <c r="BV1398" s="39"/>
      <c r="BW1398" s="39"/>
      <c r="BX1398" s="39"/>
      <c r="BY1398" s="39"/>
      <c r="BZ1398" s="39">
        <f t="shared" si="781"/>
        <v>0</v>
      </c>
      <c r="CA1398" s="39">
        <f t="shared" si="766"/>
        <v>0</v>
      </c>
      <c r="CB1398" s="39">
        <f t="shared" si="767"/>
        <v>0</v>
      </c>
      <c r="CC1398" s="39">
        <f t="shared" si="768"/>
        <v>0</v>
      </c>
      <c r="CD1398" s="39">
        <f t="shared" si="782"/>
        <v>0</v>
      </c>
      <c r="CE1398" s="47" t="e">
        <f t="shared" si="769"/>
        <v>#DIV/0!</v>
      </c>
      <c r="CF1398" s="36"/>
      <c r="CG1398" s="39"/>
      <c r="CH1398" s="39"/>
      <c r="CI1398" s="25">
        <v>3</v>
      </c>
    </row>
    <row r="1399" spans="1:87" ht="24.75" customHeight="1">
      <c r="A1399" s="36" t="s">
        <v>20</v>
      </c>
      <c r="B1399" s="29"/>
      <c r="C1399" s="36"/>
      <c r="D1399" s="36"/>
      <c r="E1399" s="39"/>
      <c r="F1399" s="39"/>
      <c r="G1399" s="36"/>
      <c r="H1399" s="39"/>
      <c r="I1399" s="39"/>
      <c r="J1399" s="39"/>
      <c r="K1399" s="39"/>
      <c r="L1399" s="39">
        <f t="shared" si="883"/>
        <v>0</v>
      </c>
      <c r="M1399" s="36"/>
      <c r="N1399" s="36"/>
      <c r="O1399" s="39"/>
      <c r="P1399" s="39"/>
      <c r="Q1399" s="39"/>
      <c r="R1399" s="39">
        <f t="shared" si="884"/>
        <v>0</v>
      </c>
      <c r="S1399" s="39"/>
      <c r="T1399" s="39"/>
      <c r="U1399" s="39"/>
      <c r="V1399" s="39"/>
      <c r="W1399" s="39"/>
      <c r="X1399" s="39"/>
      <c r="Y1399" s="39"/>
      <c r="Z1399" s="39"/>
      <c r="AA1399" s="39"/>
      <c r="AB1399" s="39">
        <f t="shared" si="885"/>
        <v>0</v>
      </c>
      <c r="AC1399" s="39"/>
      <c r="AD1399" s="39"/>
      <c r="AE1399" s="39"/>
      <c r="AF1399" s="39"/>
      <c r="AG1399" s="39"/>
      <c r="AH1399" s="39">
        <f t="shared" si="779"/>
        <v>0</v>
      </c>
      <c r="AI1399" s="39"/>
      <c r="AJ1399" s="39"/>
      <c r="AK1399" s="39"/>
      <c r="AL1399" s="39"/>
      <c r="AM1399" s="39"/>
      <c r="AN1399" s="39">
        <f t="shared" si="778"/>
        <v>0</v>
      </c>
      <c r="AO1399" s="39"/>
      <c r="AP1399" s="39"/>
      <c r="AQ1399" s="39"/>
      <c r="AR1399" s="39"/>
      <c r="AS1399" s="39"/>
      <c r="AT1399" s="39">
        <f t="shared" si="762"/>
        <v>0</v>
      </c>
      <c r="AU1399" s="39"/>
      <c r="AV1399" s="39"/>
      <c r="AW1399" s="39"/>
      <c r="AX1399" s="39"/>
      <c r="AY1399" s="39"/>
      <c r="AZ1399" s="39">
        <f t="shared" si="763"/>
        <v>0</v>
      </c>
      <c r="BA1399" s="39"/>
      <c r="BB1399" s="39"/>
      <c r="BC1399" s="39"/>
      <c r="BD1399" s="39"/>
      <c r="BE1399" s="39"/>
      <c r="BF1399" s="39">
        <f t="shared" si="764"/>
        <v>0</v>
      </c>
      <c r="BG1399" s="39"/>
      <c r="BH1399" s="39"/>
      <c r="BI1399" s="39"/>
      <c r="BJ1399" s="39"/>
      <c r="BK1399" s="39"/>
      <c r="BL1399" s="39">
        <f t="shared" si="780"/>
        <v>0</v>
      </c>
      <c r="BM1399" s="54" t="e">
        <f t="shared" si="765"/>
        <v>#DIV/0!</v>
      </c>
      <c r="BN1399" s="61"/>
      <c r="BO1399" s="39"/>
      <c r="BP1399" s="39"/>
      <c r="BQ1399" s="39"/>
      <c r="BR1399" s="36"/>
      <c r="BS1399" s="36"/>
      <c r="BT1399" s="39"/>
      <c r="BU1399" s="39"/>
      <c r="BV1399" s="39"/>
      <c r="BW1399" s="39"/>
      <c r="BX1399" s="39"/>
      <c r="BY1399" s="39"/>
      <c r="BZ1399" s="39">
        <f t="shared" si="781"/>
        <v>0</v>
      </c>
      <c r="CA1399" s="39">
        <f t="shared" si="766"/>
        <v>0</v>
      </c>
      <c r="CB1399" s="39">
        <f t="shared" si="767"/>
        <v>0</v>
      </c>
      <c r="CC1399" s="39">
        <f t="shared" si="768"/>
        <v>0</v>
      </c>
      <c r="CD1399" s="39">
        <f t="shared" si="782"/>
        <v>0</v>
      </c>
      <c r="CE1399" s="47" t="e">
        <f t="shared" si="769"/>
        <v>#DIV/0!</v>
      </c>
      <c r="CF1399" s="36"/>
      <c r="CG1399" s="39"/>
      <c r="CH1399" s="39"/>
      <c r="CI1399" s="25">
        <v>3</v>
      </c>
    </row>
    <row r="1400" spans="1:87" ht="24.75" customHeight="1">
      <c r="A1400" s="36" t="s">
        <v>20</v>
      </c>
      <c r="B1400" s="29"/>
      <c r="C1400" s="36"/>
      <c r="D1400" s="36"/>
      <c r="E1400" s="39"/>
      <c r="F1400" s="39"/>
      <c r="G1400" s="36"/>
      <c r="H1400" s="39"/>
      <c r="I1400" s="39"/>
      <c r="J1400" s="39"/>
      <c r="K1400" s="39"/>
      <c r="L1400" s="39">
        <f t="shared" ref="L1400:L1403" si="892">SUM(I1400:K1400)</f>
        <v>0</v>
      </c>
      <c r="M1400" s="36"/>
      <c r="N1400" s="36"/>
      <c r="O1400" s="39"/>
      <c r="P1400" s="39"/>
      <c r="Q1400" s="39"/>
      <c r="R1400" s="39">
        <f t="shared" ref="R1400:R1522" si="893">SUM(O1400:Q1400)</f>
        <v>0</v>
      </c>
      <c r="S1400" s="39"/>
      <c r="T1400" s="39"/>
      <c r="U1400" s="39"/>
      <c r="V1400" s="39"/>
      <c r="W1400" s="39"/>
      <c r="X1400" s="39"/>
      <c r="Y1400" s="39"/>
      <c r="Z1400" s="39"/>
      <c r="AA1400" s="39"/>
      <c r="AB1400" s="39">
        <f t="shared" ref="AB1400:AB1522" si="894">SUM(Y1400:AA1400)</f>
        <v>0</v>
      </c>
      <c r="AC1400" s="39"/>
      <c r="AD1400" s="39"/>
      <c r="AE1400" s="39"/>
      <c r="AF1400" s="39"/>
      <c r="AG1400" s="39"/>
      <c r="AH1400" s="39">
        <f t="shared" si="779"/>
        <v>0</v>
      </c>
      <c r="AI1400" s="39"/>
      <c r="AJ1400" s="39"/>
      <c r="AK1400" s="39"/>
      <c r="AL1400" s="39"/>
      <c r="AM1400" s="39"/>
      <c r="AN1400" s="39">
        <f t="shared" si="778"/>
        <v>0</v>
      </c>
      <c r="AO1400" s="39"/>
      <c r="AP1400" s="39"/>
      <c r="AQ1400" s="39"/>
      <c r="AR1400" s="39"/>
      <c r="AS1400" s="39"/>
      <c r="AT1400" s="39">
        <f t="shared" si="762"/>
        <v>0</v>
      </c>
      <c r="AU1400" s="39"/>
      <c r="AV1400" s="39"/>
      <c r="AW1400" s="39"/>
      <c r="AX1400" s="39"/>
      <c r="AY1400" s="39"/>
      <c r="AZ1400" s="39">
        <f t="shared" si="763"/>
        <v>0</v>
      </c>
      <c r="BA1400" s="39"/>
      <c r="BB1400" s="39"/>
      <c r="BC1400" s="39"/>
      <c r="BD1400" s="39"/>
      <c r="BE1400" s="39"/>
      <c r="BF1400" s="39">
        <f t="shared" si="764"/>
        <v>0</v>
      </c>
      <c r="BG1400" s="39"/>
      <c r="BH1400" s="39"/>
      <c r="BI1400" s="39"/>
      <c r="BJ1400" s="39"/>
      <c r="BK1400" s="39"/>
      <c r="BL1400" s="39">
        <f t="shared" si="780"/>
        <v>0</v>
      </c>
      <c r="BM1400" s="54" t="e">
        <f t="shared" si="765"/>
        <v>#DIV/0!</v>
      </c>
      <c r="BN1400" s="61"/>
      <c r="BO1400" s="39"/>
      <c r="BP1400" s="39"/>
      <c r="BQ1400" s="39"/>
      <c r="BR1400" s="36"/>
      <c r="BS1400" s="36"/>
      <c r="BT1400" s="39"/>
      <c r="BU1400" s="39"/>
      <c r="BV1400" s="39"/>
      <c r="BW1400" s="39"/>
      <c r="BX1400" s="39"/>
      <c r="BY1400" s="39"/>
      <c r="BZ1400" s="39">
        <f t="shared" si="781"/>
        <v>0</v>
      </c>
      <c r="CA1400" s="39">
        <f t="shared" si="766"/>
        <v>0</v>
      </c>
      <c r="CB1400" s="39">
        <f t="shared" si="767"/>
        <v>0</v>
      </c>
      <c r="CC1400" s="39">
        <f t="shared" si="768"/>
        <v>0</v>
      </c>
      <c r="CD1400" s="39">
        <f t="shared" si="782"/>
        <v>0</v>
      </c>
      <c r="CE1400" s="47" t="e">
        <f t="shared" si="769"/>
        <v>#DIV/0!</v>
      </c>
      <c r="CF1400" s="36"/>
      <c r="CG1400" s="39"/>
      <c r="CH1400" s="39"/>
      <c r="CI1400" s="25">
        <v>3</v>
      </c>
    </row>
    <row r="1401" spans="1:87" ht="24.75" customHeight="1">
      <c r="A1401" s="36" t="s">
        <v>20</v>
      </c>
      <c r="B1401" s="29"/>
      <c r="C1401" s="36"/>
      <c r="D1401" s="36"/>
      <c r="E1401" s="39"/>
      <c r="F1401" s="39"/>
      <c r="G1401" s="36"/>
      <c r="H1401" s="39"/>
      <c r="I1401" s="39"/>
      <c r="J1401" s="39"/>
      <c r="K1401" s="39"/>
      <c r="L1401" s="39">
        <f t="shared" si="892"/>
        <v>0</v>
      </c>
      <c r="M1401" s="36"/>
      <c r="N1401" s="36"/>
      <c r="O1401" s="39"/>
      <c r="P1401" s="39"/>
      <c r="Q1401" s="39"/>
      <c r="R1401" s="39">
        <f t="shared" si="893"/>
        <v>0</v>
      </c>
      <c r="S1401" s="39"/>
      <c r="T1401" s="39"/>
      <c r="U1401" s="39"/>
      <c r="V1401" s="39"/>
      <c r="W1401" s="39"/>
      <c r="X1401" s="39"/>
      <c r="Y1401" s="39"/>
      <c r="Z1401" s="39"/>
      <c r="AA1401" s="39"/>
      <c r="AB1401" s="39">
        <f t="shared" si="894"/>
        <v>0</v>
      </c>
      <c r="AC1401" s="39"/>
      <c r="AD1401" s="39"/>
      <c r="AE1401" s="39"/>
      <c r="AF1401" s="39"/>
      <c r="AG1401" s="39"/>
      <c r="AH1401" s="39">
        <f t="shared" si="779"/>
        <v>0</v>
      </c>
      <c r="AI1401" s="39"/>
      <c r="AJ1401" s="39"/>
      <c r="AK1401" s="39"/>
      <c r="AL1401" s="39"/>
      <c r="AM1401" s="39"/>
      <c r="AN1401" s="39">
        <f t="shared" si="778"/>
        <v>0</v>
      </c>
      <c r="AO1401" s="39"/>
      <c r="AP1401" s="39"/>
      <c r="AQ1401" s="39"/>
      <c r="AR1401" s="39"/>
      <c r="AS1401" s="39"/>
      <c r="AT1401" s="39">
        <f t="shared" si="762"/>
        <v>0</v>
      </c>
      <c r="AU1401" s="39"/>
      <c r="AV1401" s="39"/>
      <c r="AW1401" s="39"/>
      <c r="AX1401" s="39"/>
      <c r="AY1401" s="39"/>
      <c r="AZ1401" s="39">
        <f t="shared" si="763"/>
        <v>0</v>
      </c>
      <c r="BA1401" s="39"/>
      <c r="BB1401" s="39"/>
      <c r="BC1401" s="39"/>
      <c r="BD1401" s="39"/>
      <c r="BE1401" s="39"/>
      <c r="BF1401" s="39">
        <f t="shared" si="764"/>
        <v>0</v>
      </c>
      <c r="BG1401" s="39"/>
      <c r="BH1401" s="39"/>
      <c r="BI1401" s="39"/>
      <c r="BJ1401" s="39"/>
      <c r="BK1401" s="39"/>
      <c r="BL1401" s="39">
        <f t="shared" si="780"/>
        <v>0</v>
      </c>
      <c r="BM1401" s="54" t="e">
        <f t="shared" si="765"/>
        <v>#DIV/0!</v>
      </c>
      <c r="BN1401" s="61"/>
      <c r="BO1401" s="39"/>
      <c r="BP1401" s="39"/>
      <c r="BQ1401" s="39"/>
      <c r="BR1401" s="36"/>
      <c r="BS1401" s="36"/>
      <c r="BT1401" s="39"/>
      <c r="BU1401" s="39"/>
      <c r="BV1401" s="39"/>
      <c r="BW1401" s="39"/>
      <c r="BX1401" s="39"/>
      <c r="BY1401" s="39"/>
      <c r="BZ1401" s="39">
        <f t="shared" si="781"/>
        <v>0</v>
      </c>
      <c r="CA1401" s="39">
        <f t="shared" si="766"/>
        <v>0</v>
      </c>
      <c r="CB1401" s="39">
        <f t="shared" si="767"/>
        <v>0</v>
      </c>
      <c r="CC1401" s="39">
        <f t="shared" si="768"/>
        <v>0</v>
      </c>
      <c r="CD1401" s="39">
        <f t="shared" si="782"/>
        <v>0</v>
      </c>
      <c r="CE1401" s="47" t="e">
        <f t="shared" si="769"/>
        <v>#DIV/0!</v>
      </c>
      <c r="CF1401" s="36"/>
      <c r="CG1401" s="39"/>
      <c r="CH1401" s="39"/>
      <c r="CI1401" s="25">
        <v>3</v>
      </c>
    </row>
    <row r="1402" spans="1:87" ht="24.75" customHeight="1">
      <c r="A1402" s="36" t="s">
        <v>20</v>
      </c>
      <c r="B1402" s="29"/>
      <c r="C1402" s="36"/>
      <c r="D1402" s="36"/>
      <c r="E1402" s="39"/>
      <c r="F1402" s="39"/>
      <c r="G1402" s="36"/>
      <c r="H1402" s="39"/>
      <c r="I1402" s="39"/>
      <c r="J1402" s="39"/>
      <c r="K1402" s="39"/>
      <c r="L1402" s="39">
        <f t="shared" si="892"/>
        <v>0</v>
      </c>
      <c r="M1402" s="36"/>
      <c r="N1402" s="36"/>
      <c r="O1402" s="39"/>
      <c r="P1402" s="39"/>
      <c r="Q1402" s="39"/>
      <c r="R1402" s="39">
        <f t="shared" si="893"/>
        <v>0</v>
      </c>
      <c r="S1402" s="39"/>
      <c r="T1402" s="39"/>
      <c r="U1402" s="39"/>
      <c r="V1402" s="39"/>
      <c r="W1402" s="39"/>
      <c r="X1402" s="39"/>
      <c r="Y1402" s="39"/>
      <c r="Z1402" s="39"/>
      <c r="AA1402" s="39"/>
      <c r="AB1402" s="39">
        <f t="shared" si="894"/>
        <v>0</v>
      </c>
      <c r="AC1402" s="39"/>
      <c r="AD1402" s="39"/>
      <c r="AE1402" s="39"/>
      <c r="AF1402" s="39"/>
      <c r="AG1402" s="39"/>
      <c r="AH1402" s="39">
        <f t="shared" si="779"/>
        <v>0</v>
      </c>
      <c r="AI1402" s="39"/>
      <c r="AJ1402" s="39"/>
      <c r="AK1402" s="39"/>
      <c r="AL1402" s="39"/>
      <c r="AM1402" s="39"/>
      <c r="AN1402" s="39">
        <f t="shared" si="778"/>
        <v>0</v>
      </c>
      <c r="AO1402" s="39"/>
      <c r="AP1402" s="39"/>
      <c r="AQ1402" s="39"/>
      <c r="AR1402" s="39"/>
      <c r="AS1402" s="39"/>
      <c r="AT1402" s="39">
        <f t="shared" si="762"/>
        <v>0</v>
      </c>
      <c r="AU1402" s="39"/>
      <c r="AV1402" s="39"/>
      <c r="AW1402" s="39"/>
      <c r="AX1402" s="39"/>
      <c r="AY1402" s="39"/>
      <c r="AZ1402" s="39">
        <f t="shared" si="763"/>
        <v>0</v>
      </c>
      <c r="BA1402" s="39"/>
      <c r="BB1402" s="39"/>
      <c r="BC1402" s="39"/>
      <c r="BD1402" s="39"/>
      <c r="BE1402" s="39"/>
      <c r="BF1402" s="39">
        <f t="shared" si="764"/>
        <v>0</v>
      </c>
      <c r="BG1402" s="39"/>
      <c r="BH1402" s="39"/>
      <c r="BI1402" s="39"/>
      <c r="BJ1402" s="39"/>
      <c r="BK1402" s="39"/>
      <c r="BL1402" s="39">
        <f t="shared" si="780"/>
        <v>0</v>
      </c>
      <c r="BM1402" s="54" t="e">
        <f t="shared" si="765"/>
        <v>#DIV/0!</v>
      </c>
      <c r="BN1402" s="61"/>
      <c r="BO1402" s="39"/>
      <c r="BP1402" s="39"/>
      <c r="BQ1402" s="39"/>
      <c r="BR1402" s="36"/>
      <c r="BS1402" s="36"/>
      <c r="BT1402" s="39"/>
      <c r="BU1402" s="39"/>
      <c r="BV1402" s="39"/>
      <c r="BW1402" s="39"/>
      <c r="BX1402" s="39"/>
      <c r="BY1402" s="39"/>
      <c r="BZ1402" s="39">
        <f t="shared" si="781"/>
        <v>0</v>
      </c>
      <c r="CA1402" s="39">
        <f t="shared" si="766"/>
        <v>0</v>
      </c>
      <c r="CB1402" s="39">
        <f t="shared" si="767"/>
        <v>0</v>
      </c>
      <c r="CC1402" s="39">
        <f t="shared" si="768"/>
        <v>0</v>
      </c>
      <c r="CD1402" s="39">
        <f t="shared" si="782"/>
        <v>0</v>
      </c>
      <c r="CE1402" s="47" t="e">
        <f t="shared" si="769"/>
        <v>#DIV/0!</v>
      </c>
      <c r="CF1402" s="36"/>
      <c r="CG1402" s="39"/>
      <c r="CH1402" s="39"/>
      <c r="CI1402" s="25">
        <v>3</v>
      </c>
    </row>
    <row r="1403" spans="1:87" ht="24.75" customHeight="1">
      <c r="A1403" s="36" t="s">
        <v>20</v>
      </c>
      <c r="B1403" s="29"/>
      <c r="C1403" s="36"/>
      <c r="D1403" s="36"/>
      <c r="E1403" s="39"/>
      <c r="F1403" s="39"/>
      <c r="G1403" s="36"/>
      <c r="H1403" s="39"/>
      <c r="I1403" s="39"/>
      <c r="J1403" s="39"/>
      <c r="K1403" s="39"/>
      <c r="L1403" s="39">
        <f t="shared" si="892"/>
        <v>0</v>
      </c>
      <c r="M1403" s="36"/>
      <c r="N1403" s="36"/>
      <c r="O1403" s="39"/>
      <c r="P1403" s="39"/>
      <c r="Q1403" s="39"/>
      <c r="R1403" s="39">
        <f t="shared" si="893"/>
        <v>0</v>
      </c>
      <c r="S1403" s="39"/>
      <c r="T1403" s="39"/>
      <c r="U1403" s="39"/>
      <c r="V1403" s="39"/>
      <c r="W1403" s="39"/>
      <c r="X1403" s="39"/>
      <c r="Y1403" s="39"/>
      <c r="Z1403" s="39"/>
      <c r="AA1403" s="39"/>
      <c r="AB1403" s="39">
        <f t="shared" si="894"/>
        <v>0</v>
      </c>
      <c r="AC1403" s="39"/>
      <c r="AD1403" s="39"/>
      <c r="AE1403" s="39"/>
      <c r="AF1403" s="39"/>
      <c r="AG1403" s="39"/>
      <c r="AH1403" s="39">
        <f t="shared" si="779"/>
        <v>0</v>
      </c>
      <c r="AI1403" s="39"/>
      <c r="AJ1403" s="39"/>
      <c r="AK1403" s="39"/>
      <c r="AL1403" s="39"/>
      <c r="AM1403" s="39"/>
      <c r="AN1403" s="39">
        <f t="shared" si="778"/>
        <v>0</v>
      </c>
      <c r="AO1403" s="39"/>
      <c r="AP1403" s="39"/>
      <c r="AQ1403" s="39"/>
      <c r="AR1403" s="39"/>
      <c r="AS1403" s="39"/>
      <c r="AT1403" s="39">
        <f t="shared" si="762"/>
        <v>0</v>
      </c>
      <c r="AU1403" s="39"/>
      <c r="AV1403" s="39"/>
      <c r="AW1403" s="39"/>
      <c r="AX1403" s="39"/>
      <c r="AY1403" s="39"/>
      <c r="AZ1403" s="39">
        <f t="shared" si="763"/>
        <v>0</v>
      </c>
      <c r="BA1403" s="39"/>
      <c r="BB1403" s="39"/>
      <c r="BC1403" s="39"/>
      <c r="BD1403" s="39"/>
      <c r="BE1403" s="39"/>
      <c r="BF1403" s="39">
        <f t="shared" si="764"/>
        <v>0</v>
      </c>
      <c r="BG1403" s="39"/>
      <c r="BH1403" s="39"/>
      <c r="BI1403" s="39"/>
      <c r="BJ1403" s="39"/>
      <c r="BK1403" s="39"/>
      <c r="BL1403" s="39">
        <f t="shared" si="780"/>
        <v>0</v>
      </c>
      <c r="BM1403" s="54" t="e">
        <f t="shared" si="765"/>
        <v>#DIV/0!</v>
      </c>
      <c r="BN1403" s="61"/>
      <c r="BO1403" s="39"/>
      <c r="BP1403" s="39"/>
      <c r="BQ1403" s="39"/>
      <c r="BR1403" s="36"/>
      <c r="BS1403" s="36"/>
      <c r="BT1403" s="39"/>
      <c r="BU1403" s="39"/>
      <c r="BV1403" s="39"/>
      <c r="BW1403" s="39"/>
      <c r="BX1403" s="39"/>
      <c r="BY1403" s="39"/>
      <c r="BZ1403" s="39">
        <f t="shared" si="781"/>
        <v>0</v>
      </c>
      <c r="CA1403" s="39">
        <f t="shared" si="766"/>
        <v>0</v>
      </c>
      <c r="CB1403" s="39">
        <f t="shared" si="767"/>
        <v>0</v>
      </c>
      <c r="CC1403" s="39">
        <f t="shared" si="768"/>
        <v>0</v>
      </c>
      <c r="CD1403" s="39">
        <f t="shared" si="782"/>
        <v>0</v>
      </c>
      <c r="CE1403" s="47" t="e">
        <f t="shared" si="769"/>
        <v>#DIV/0!</v>
      </c>
      <c r="CF1403" s="36"/>
      <c r="CG1403" s="39"/>
      <c r="CH1403" s="39"/>
      <c r="CI1403" s="25">
        <v>3</v>
      </c>
    </row>
    <row r="1404" spans="1:87" ht="24.75" customHeight="1">
      <c r="A1404" s="36" t="s">
        <v>20</v>
      </c>
      <c r="B1404" s="29"/>
      <c r="C1404" s="36"/>
      <c r="D1404" s="36"/>
      <c r="E1404" s="39"/>
      <c r="F1404" s="39"/>
      <c r="G1404" s="36"/>
      <c r="H1404" s="39"/>
      <c r="I1404" s="39"/>
      <c r="J1404" s="39"/>
      <c r="K1404" s="39"/>
      <c r="L1404" s="39">
        <f t="shared" ref="L1404:L1522" si="895">SUM(I1404:K1404)</f>
        <v>0</v>
      </c>
      <c r="M1404" s="36"/>
      <c r="N1404" s="36"/>
      <c r="O1404" s="39"/>
      <c r="P1404" s="39"/>
      <c r="Q1404" s="39"/>
      <c r="R1404" s="39">
        <f t="shared" si="893"/>
        <v>0</v>
      </c>
      <c r="S1404" s="39"/>
      <c r="T1404" s="39"/>
      <c r="U1404" s="39"/>
      <c r="V1404" s="39"/>
      <c r="W1404" s="39"/>
      <c r="X1404" s="39"/>
      <c r="Y1404" s="39"/>
      <c r="Z1404" s="39"/>
      <c r="AA1404" s="39"/>
      <c r="AB1404" s="39">
        <f t="shared" si="894"/>
        <v>0</v>
      </c>
      <c r="AC1404" s="39"/>
      <c r="AD1404" s="39"/>
      <c r="AE1404" s="39"/>
      <c r="AF1404" s="39"/>
      <c r="AG1404" s="39"/>
      <c r="AH1404" s="39">
        <f t="shared" si="779"/>
        <v>0</v>
      </c>
      <c r="AI1404" s="39"/>
      <c r="AJ1404" s="39"/>
      <c r="AK1404" s="39"/>
      <c r="AL1404" s="39"/>
      <c r="AM1404" s="39"/>
      <c r="AN1404" s="39">
        <f t="shared" si="778"/>
        <v>0</v>
      </c>
      <c r="AO1404" s="39"/>
      <c r="AP1404" s="39"/>
      <c r="AQ1404" s="39"/>
      <c r="AR1404" s="39"/>
      <c r="AS1404" s="39"/>
      <c r="AT1404" s="39">
        <f t="shared" si="762"/>
        <v>0</v>
      </c>
      <c r="AU1404" s="39"/>
      <c r="AV1404" s="39"/>
      <c r="AW1404" s="39"/>
      <c r="AX1404" s="39"/>
      <c r="AY1404" s="39"/>
      <c r="AZ1404" s="39">
        <f t="shared" si="763"/>
        <v>0</v>
      </c>
      <c r="BA1404" s="39"/>
      <c r="BB1404" s="39"/>
      <c r="BC1404" s="39"/>
      <c r="BD1404" s="39"/>
      <c r="BE1404" s="39"/>
      <c r="BF1404" s="39">
        <f t="shared" si="764"/>
        <v>0</v>
      </c>
      <c r="BG1404" s="39"/>
      <c r="BH1404" s="39"/>
      <c r="BI1404" s="39"/>
      <c r="BJ1404" s="39"/>
      <c r="BK1404" s="39"/>
      <c r="BL1404" s="39">
        <f t="shared" si="780"/>
        <v>0</v>
      </c>
      <c r="BM1404" s="54" t="e">
        <f t="shared" si="765"/>
        <v>#DIV/0!</v>
      </c>
      <c r="BN1404" s="61"/>
      <c r="BO1404" s="39"/>
      <c r="BP1404" s="39"/>
      <c r="BQ1404" s="39"/>
      <c r="BR1404" s="36"/>
      <c r="BS1404" s="36"/>
      <c r="BT1404" s="39"/>
      <c r="BU1404" s="39"/>
      <c r="BV1404" s="39"/>
      <c r="BW1404" s="39"/>
      <c r="BX1404" s="39"/>
      <c r="BY1404" s="39"/>
      <c r="BZ1404" s="39">
        <f t="shared" si="781"/>
        <v>0</v>
      </c>
      <c r="CA1404" s="39">
        <f t="shared" si="766"/>
        <v>0</v>
      </c>
      <c r="CB1404" s="39">
        <f t="shared" si="767"/>
        <v>0</v>
      </c>
      <c r="CC1404" s="39">
        <f t="shared" si="768"/>
        <v>0</v>
      </c>
      <c r="CD1404" s="39">
        <f t="shared" si="782"/>
        <v>0</v>
      </c>
      <c r="CE1404" s="47" t="e">
        <f t="shared" si="769"/>
        <v>#DIV/0!</v>
      </c>
      <c r="CF1404" s="36"/>
      <c r="CG1404" s="39"/>
      <c r="CH1404" s="39"/>
      <c r="CI1404" s="25">
        <v>3</v>
      </c>
    </row>
    <row r="1405" spans="1:87" ht="24.75" customHeight="1">
      <c r="A1405" s="36" t="s">
        <v>20</v>
      </c>
      <c r="B1405" s="29"/>
      <c r="C1405" s="36"/>
      <c r="D1405" s="36"/>
      <c r="E1405" s="39"/>
      <c r="F1405" s="39"/>
      <c r="G1405" s="36"/>
      <c r="H1405" s="39"/>
      <c r="I1405" s="39"/>
      <c r="J1405" s="39"/>
      <c r="K1405" s="39"/>
      <c r="L1405" s="39">
        <f t="shared" si="895"/>
        <v>0</v>
      </c>
      <c r="M1405" s="36"/>
      <c r="N1405" s="36"/>
      <c r="O1405" s="39"/>
      <c r="P1405" s="39"/>
      <c r="Q1405" s="39"/>
      <c r="R1405" s="39">
        <f t="shared" si="893"/>
        <v>0</v>
      </c>
      <c r="S1405" s="39"/>
      <c r="T1405" s="39"/>
      <c r="U1405" s="39"/>
      <c r="V1405" s="39"/>
      <c r="W1405" s="39"/>
      <c r="X1405" s="39"/>
      <c r="Y1405" s="39"/>
      <c r="Z1405" s="39"/>
      <c r="AA1405" s="39"/>
      <c r="AB1405" s="39">
        <f t="shared" si="894"/>
        <v>0</v>
      </c>
      <c r="AC1405" s="39"/>
      <c r="AD1405" s="39"/>
      <c r="AE1405" s="39"/>
      <c r="AF1405" s="39"/>
      <c r="AG1405" s="39"/>
      <c r="AH1405" s="39">
        <f t="shared" si="779"/>
        <v>0</v>
      </c>
      <c r="AI1405" s="39"/>
      <c r="AJ1405" s="39"/>
      <c r="AK1405" s="39"/>
      <c r="AL1405" s="39"/>
      <c r="AM1405" s="39"/>
      <c r="AN1405" s="39">
        <f t="shared" si="778"/>
        <v>0</v>
      </c>
      <c r="AO1405" s="39"/>
      <c r="AP1405" s="39"/>
      <c r="AQ1405" s="39"/>
      <c r="AR1405" s="39"/>
      <c r="AS1405" s="39"/>
      <c r="AT1405" s="39">
        <f t="shared" si="762"/>
        <v>0</v>
      </c>
      <c r="AU1405" s="39"/>
      <c r="AV1405" s="39"/>
      <c r="AW1405" s="39"/>
      <c r="AX1405" s="39"/>
      <c r="AY1405" s="39"/>
      <c r="AZ1405" s="39">
        <f t="shared" si="763"/>
        <v>0</v>
      </c>
      <c r="BA1405" s="39"/>
      <c r="BB1405" s="39"/>
      <c r="BC1405" s="39"/>
      <c r="BD1405" s="39"/>
      <c r="BE1405" s="39"/>
      <c r="BF1405" s="39">
        <f t="shared" si="764"/>
        <v>0</v>
      </c>
      <c r="BG1405" s="39"/>
      <c r="BH1405" s="39"/>
      <c r="BI1405" s="39"/>
      <c r="BJ1405" s="39"/>
      <c r="BK1405" s="39"/>
      <c r="BL1405" s="39">
        <f t="shared" si="780"/>
        <v>0</v>
      </c>
      <c r="BM1405" s="54" t="e">
        <f t="shared" si="765"/>
        <v>#DIV/0!</v>
      </c>
      <c r="BN1405" s="61"/>
      <c r="BO1405" s="39"/>
      <c r="BP1405" s="39"/>
      <c r="BQ1405" s="39"/>
      <c r="BR1405" s="36"/>
      <c r="BS1405" s="36"/>
      <c r="BT1405" s="39"/>
      <c r="BU1405" s="39"/>
      <c r="BV1405" s="39"/>
      <c r="BW1405" s="39"/>
      <c r="BX1405" s="39"/>
      <c r="BY1405" s="39"/>
      <c r="BZ1405" s="39">
        <f t="shared" si="781"/>
        <v>0</v>
      </c>
      <c r="CA1405" s="39">
        <f t="shared" si="766"/>
        <v>0</v>
      </c>
      <c r="CB1405" s="39">
        <f t="shared" si="767"/>
        <v>0</v>
      </c>
      <c r="CC1405" s="39">
        <f t="shared" si="768"/>
        <v>0</v>
      </c>
      <c r="CD1405" s="39">
        <f t="shared" si="782"/>
        <v>0</v>
      </c>
      <c r="CE1405" s="47" t="e">
        <f t="shared" si="769"/>
        <v>#DIV/0!</v>
      </c>
      <c r="CF1405" s="36"/>
      <c r="CG1405" s="39"/>
      <c r="CH1405" s="39"/>
      <c r="CI1405" s="25">
        <v>3</v>
      </c>
    </row>
    <row r="1406" spans="1:87" ht="24.75" customHeight="1">
      <c r="A1406" s="36" t="s">
        <v>20</v>
      </c>
      <c r="B1406" s="29"/>
      <c r="C1406" s="36"/>
      <c r="D1406" s="36"/>
      <c r="E1406" s="39"/>
      <c r="F1406" s="39"/>
      <c r="G1406" s="36"/>
      <c r="H1406" s="39"/>
      <c r="I1406" s="39"/>
      <c r="J1406" s="39"/>
      <c r="K1406" s="39"/>
      <c r="L1406" s="39">
        <f t="shared" si="895"/>
        <v>0</v>
      </c>
      <c r="M1406" s="36"/>
      <c r="N1406" s="36"/>
      <c r="O1406" s="39"/>
      <c r="P1406" s="39"/>
      <c r="Q1406" s="39"/>
      <c r="R1406" s="39">
        <f t="shared" si="893"/>
        <v>0</v>
      </c>
      <c r="S1406" s="39"/>
      <c r="T1406" s="39"/>
      <c r="U1406" s="39"/>
      <c r="V1406" s="39"/>
      <c r="W1406" s="39"/>
      <c r="X1406" s="39"/>
      <c r="Y1406" s="39"/>
      <c r="Z1406" s="39"/>
      <c r="AA1406" s="39"/>
      <c r="AB1406" s="39">
        <f t="shared" si="894"/>
        <v>0</v>
      </c>
      <c r="AC1406" s="39"/>
      <c r="AD1406" s="39"/>
      <c r="AE1406" s="39"/>
      <c r="AF1406" s="39"/>
      <c r="AG1406" s="39"/>
      <c r="AH1406" s="39">
        <f t="shared" si="779"/>
        <v>0</v>
      </c>
      <c r="AI1406" s="39"/>
      <c r="AJ1406" s="39"/>
      <c r="AK1406" s="39"/>
      <c r="AL1406" s="39"/>
      <c r="AM1406" s="39"/>
      <c r="AN1406" s="39">
        <f t="shared" si="778"/>
        <v>0</v>
      </c>
      <c r="AO1406" s="39"/>
      <c r="AP1406" s="39"/>
      <c r="AQ1406" s="39"/>
      <c r="AR1406" s="39"/>
      <c r="AS1406" s="39"/>
      <c r="AT1406" s="39">
        <f t="shared" ref="AT1406:AT1675" si="896">AS1406-AQ1406</f>
        <v>0</v>
      </c>
      <c r="AU1406" s="39"/>
      <c r="AV1406" s="39"/>
      <c r="AW1406" s="39"/>
      <c r="AX1406" s="39"/>
      <c r="AY1406" s="39"/>
      <c r="AZ1406" s="39">
        <f t="shared" ref="AZ1406:AZ1675" si="897">AY1406-AW1406</f>
        <v>0</v>
      </c>
      <c r="BA1406" s="39"/>
      <c r="BB1406" s="39"/>
      <c r="BC1406" s="39"/>
      <c r="BD1406" s="39"/>
      <c r="BE1406" s="39"/>
      <c r="BF1406" s="39">
        <f t="shared" ref="BF1406:BF1675" si="898">BE1406-BC1406</f>
        <v>0</v>
      </c>
      <c r="BG1406" s="39"/>
      <c r="BH1406" s="39"/>
      <c r="BI1406" s="39"/>
      <c r="BJ1406" s="39"/>
      <c r="BK1406" s="39"/>
      <c r="BL1406" s="39">
        <f t="shared" si="780"/>
        <v>0</v>
      </c>
      <c r="BM1406" s="54" t="e">
        <f t="shared" ref="BM1406:BM1675" si="899">IF((BZ1406/L1406)&lt;0.9,$CO$1-U1406,"")</f>
        <v>#DIV/0!</v>
      </c>
      <c r="BN1406" s="61"/>
      <c r="BO1406" s="39"/>
      <c r="BP1406" s="39"/>
      <c r="BQ1406" s="39"/>
      <c r="BR1406" s="36"/>
      <c r="BS1406" s="36"/>
      <c r="BT1406" s="39"/>
      <c r="BU1406" s="39"/>
      <c r="BV1406" s="39"/>
      <c r="BW1406" s="39"/>
      <c r="BX1406" s="39"/>
      <c r="BY1406" s="39"/>
      <c r="BZ1406" s="39">
        <f t="shared" si="781"/>
        <v>0</v>
      </c>
      <c r="CA1406" s="39">
        <f t="shared" ref="CA1406:CA1675" si="900">BU1406-I1406</f>
        <v>0</v>
      </c>
      <c r="CB1406" s="39">
        <f t="shared" ref="CB1406:CB1675" si="901">BW1406-J1406</f>
        <v>0</v>
      </c>
      <c r="CC1406" s="39">
        <f t="shared" ref="CC1406:CC1675" si="902">BY1406-K1406</f>
        <v>0</v>
      </c>
      <c r="CD1406" s="39">
        <f t="shared" si="782"/>
        <v>0</v>
      </c>
      <c r="CE1406" s="47" t="e">
        <f t="shared" ref="CE1406:CE1675" si="903">CD1406/L1406</f>
        <v>#DIV/0!</v>
      </c>
      <c r="CF1406" s="36"/>
      <c r="CG1406" s="39"/>
      <c r="CH1406" s="39"/>
      <c r="CI1406" s="25">
        <v>3</v>
      </c>
    </row>
    <row r="1407" spans="1:87" ht="24.75" customHeight="1">
      <c r="A1407" s="36" t="s">
        <v>20</v>
      </c>
      <c r="B1407" s="29"/>
      <c r="C1407" s="36"/>
      <c r="D1407" s="36"/>
      <c r="E1407" s="39"/>
      <c r="F1407" s="39"/>
      <c r="G1407" s="36"/>
      <c r="H1407" s="39"/>
      <c r="I1407" s="39"/>
      <c r="J1407" s="39"/>
      <c r="K1407" s="39"/>
      <c r="L1407" s="39">
        <f t="shared" si="895"/>
        <v>0</v>
      </c>
      <c r="M1407" s="36"/>
      <c r="N1407" s="36"/>
      <c r="O1407" s="39"/>
      <c r="P1407" s="39"/>
      <c r="Q1407" s="39"/>
      <c r="R1407" s="39">
        <f t="shared" si="893"/>
        <v>0</v>
      </c>
      <c r="S1407" s="39"/>
      <c r="T1407" s="39"/>
      <c r="U1407" s="39"/>
      <c r="V1407" s="39"/>
      <c r="W1407" s="39"/>
      <c r="X1407" s="39"/>
      <c r="Y1407" s="39"/>
      <c r="Z1407" s="39"/>
      <c r="AA1407" s="39"/>
      <c r="AB1407" s="39">
        <f t="shared" si="894"/>
        <v>0</v>
      </c>
      <c r="AC1407" s="39"/>
      <c r="AD1407" s="39"/>
      <c r="AE1407" s="39"/>
      <c r="AF1407" s="39"/>
      <c r="AG1407" s="39"/>
      <c r="AH1407" s="39">
        <f t="shared" si="779"/>
        <v>0</v>
      </c>
      <c r="AI1407" s="39"/>
      <c r="AJ1407" s="39"/>
      <c r="AK1407" s="39"/>
      <c r="AL1407" s="39"/>
      <c r="AM1407" s="39"/>
      <c r="AN1407" s="39">
        <f t="shared" si="778"/>
        <v>0</v>
      </c>
      <c r="AO1407" s="39"/>
      <c r="AP1407" s="39"/>
      <c r="AQ1407" s="39"/>
      <c r="AR1407" s="39"/>
      <c r="AS1407" s="39"/>
      <c r="AT1407" s="39">
        <f t="shared" si="896"/>
        <v>0</v>
      </c>
      <c r="AU1407" s="39"/>
      <c r="AV1407" s="39"/>
      <c r="AW1407" s="39"/>
      <c r="AX1407" s="39"/>
      <c r="AY1407" s="39"/>
      <c r="AZ1407" s="39">
        <f t="shared" si="897"/>
        <v>0</v>
      </c>
      <c r="BA1407" s="39"/>
      <c r="BB1407" s="39"/>
      <c r="BC1407" s="39"/>
      <c r="BD1407" s="39"/>
      <c r="BE1407" s="39"/>
      <c r="BF1407" s="39">
        <f t="shared" si="898"/>
        <v>0</v>
      </c>
      <c r="BG1407" s="39"/>
      <c r="BH1407" s="39"/>
      <c r="BI1407" s="39"/>
      <c r="BJ1407" s="39"/>
      <c r="BK1407" s="39"/>
      <c r="BL1407" s="39">
        <f t="shared" si="780"/>
        <v>0</v>
      </c>
      <c r="BM1407" s="54" t="e">
        <f t="shared" si="899"/>
        <v>#DIV/0!</v>
      </c>
      <c r="BN1407" s="61"/>
      <c r="BO1407" s="39"/>
      <c r="BP1407" s="39"/>
      <c r="BQ1407" s="39"/>
      <c r="BR1407" s="36"/>
      <c r="BS1407" s="36"/>
      <c r="BT1407" s="39"/>
      <c r="BU1407" s="39"/>
      <c r="BV1407" s="39"/>
      <c r="BW1407" s="39"/>
      <c r="BX1407" s="39"/>
      <c r="BY1407" s="39"/>
      <c r="BZ1407" s="39">
        <f t="shared" si="781"/>
        <v>0</v>
      </c>
      <c r="CA1407" s="39">
        <f t="shared" si="900"/>
        <v>0</v>
      </c>
      <c r="CB1407" s="39">
        <f t="shared" si="901"/>
        <v>0</v>
      </c>
      <c r="CC1407" s="39">
        <f t="shared" si="902"/>
        <v>0</v>
      </c>
      <c r="CD1407" s="39">
        <f t="shared" si="782"/>
        <v>0</v>
      </c>
      <c r="CE1407" s="47" t="e">
        <f t="shared" si="903"/>
        <v>#DIV/0!</v>
      </c>
      <c r="CF1407" s="36"/>
      <c r="CG1407" s="39"/>
      <c r="CH1407" s="39"/>
      <c r="CI1407" s="25">
        <v>3</v>
      </c>
    </row>
    <row r="1408" spans="1:87" ht="24.75" customHeight="1">
      <c r="A1408" s="36" t="s">
        <v>20</v>
      </c>
      <c r="B1408" s="29"/>
      <c r="C1408" s="36"/>
      <c r="D1408" s="36"/>
      <c r="E1408" s="39"/>
      <c r="F1408" s="39"/>
      <c r="G1408" s="36"/>
      <c r="H1408" s="39"/>
      <c r="I1408" s="39"/>
      <c r="J1408" s="39"/>
      <c r="K1408" s="39"/>
      <c r="L1408" s="39">
        <f t="shared" si="895"/>
        <v>0</v>
      </c>
      <c r="M1408" s="36"/>
      <c r="N1408" s="36"/>
      <c r="O1408" s="39"/>
      <c r="P1408" s="39"/>
      <c r="Q1408" s="39"/>
      <c r="R1408" s="39">
        <f t="shared" si="893"/>
        <v>0</v>
      </c>
      <c r="S1408" s="39"/>
      <c r="T1408" s="39"/>
      <c r="U1408" s="39"/>
      <c r="V1408" s="39"/>
      <c r="W1408" s="39"/>
      <c r="X1408" s="39"/>
      <c r="Y1408" s="39"/>
      <c r="Z1408" s="39"/>
      <c r="AA1408" s="39"/>
      <c r="AB1408" s="39">
        <f t="shared" si="894"/>
        <v>0</v>
      </c>
      <c r="AC1408" s="39"/>
      <c r="AD1408" s="39"/>
      <c r="AE1408" s="39"/>
      <c r="AF1408" s="39"/>
      <c r="AG1408" s="39"/>
      <c r="AH1408" s="39">
        <f t="shared" si="779"/>
        <v>0</v>
      </c>
      <c r="AI1408" s="39"/>
      <c r="AJ1408" s="39"/>
      <c r="AK1408" s="39"/>
      <c r="AL1408" s="39"/>
      <c r="AM1408" s="39"/>
      <c r="AN1408" s="39">
        <f t="shared" si="778"/>
        <v>0</v>
      </c>
      <c r="AO1408" s="39"/>
      <c r="AP1408" s="39"/>
      <c r="AQ1408" s="39"/>
      <c r="AR1408" s="39"/>
      <c r="AS1408" s="39"/>
      <c r="AT1408" s="39">
        <f t="shared" si="896"/>
        <v>0</v>
      </c>
      <c r="AU1408" s="39"/>
      <c r="AV1408" s="39"/>
      <c r="AW1408" s="39"/>
      <c r="AX1408" s="39"/>
      <c r="AY1408" s="39"/>
      <c r="AZ1408" s="39">
        <f t="shared" si="897"/>
        <v>0</v>
      </c>
      <c r="BA1408" s="39"/>
      <c r="BB1408" s="39"/>
      <c r="BC1408" s="39"/>
      <c r="BD1408" s="39"/>
      <c r="BE1408" s="39"/>
      <c r="BF1408" s="39">
        <f t="shared" si="898"/>
        <v>0</v>
      </c>
      <c r="BG1408" s="39"/>
      <c r="BH1408" s="39"/>
      <c r="BI1408" s="39"/>
      <c r="BJ1408" s="39"/>
      <c r="BK1408" s="39"/>
      <c r="BL1408" s="39">
        <f t="shared" si="780"/>
        <v>0</v>
      </c>
      <c r="BM1408" s="54" t="e">
        <f t="shared" si="899"/>
        <v>#DIV/0!</v>
      </c>
      <c r="BN1408" s="61"/>
      <c r="BO1408" s="39"/>
      <c r="BP1408" s="39"/>
      <c r="BQ1408" s="39"/>
      <c r="BR1408" s="36"/>
      <c r="BS1408" s="36"/>
      <c r="BT1408" s="39"/>
      <c r="BU1408" s="39"/>
      <c r="BV1408" s="39"/>
      <c r="BW1408" s="39"/>
      <c r="BX1408" s="39"/>
      <c r="BY1408" s="39"/>
      <c r="BZ1408" s="39">
        <f t="shared" si="781"/>
        <v>0</v>
      </c>
      <c r="CA1408" s="39">
        <f t="shared" si="900"/>
        <v>0</v>
      </c>
      <c r="CB1408" s="39">
        <f t="shared" si="901"/>
        <v>0</v>
      </c>
      <c r="CC1408" s="39">
        <f t="shared" si="902"/>
        <v>0</v>
      </c>
      <c r="CD1408" s="39">
        <f t="shared" si="782"/>
        <v>0</v>
      </c>
      <c r="CE1408" s="47" t="e">
        <f t="shared" si="903"/>
        <v>#DIV/0!</v>
      </c>
      <c r="CF1408" s="36"/>
      <c r="CG1408" s="39"/>
      <c r="CH1408" s="39"/>
      <c r="CI1408" s="25">
        <v>3</v>
      </c>
    </row>
    <row r="1409" spans="1:87" ht="24.75" customHeight="1">
      <c r="A1409" s="36" t="s">
        <v>20</v>
      </c>
      <c r="B1409" s="29"/>
      <c r="C1409" s="36"/>
      <c r="D1409" s="36"/>
      <c r="E1409" s="39"/>
      <c r="F1409" s="39"/>
      <c r="G1409" s="36"/>
      <c r="H1409" s="39"/>
      <c r="I1409" s="39"/>
      <c r="J1409" s="39"/>
      <c r="K1409" s="39"/>
      <c r="L1409" s="39">
        <f t="shared" si="895"/>
        <v>0</v>
      </c>
      <c r="M1409" s="36"/>
      <c r="N1409" s="36"/>
      <c r="O1409" s="39"/>
      <c r="P1409" s="39"/>
      <c r="Q1409" s="39"/>
      <c r="R1409" s="39">
        <f t="shared" si="893"/>
        <v>0</v>
      </c>
      <c r="S1409" s="39"/>
      <c r="T1409" s="39"/>
      <c r="U1409" s="39"/>
      <c r="V1409" s="39"/>
      <c r="W1409" s="39"/>
      <c r="X1409" s="39"/>
      <c r="Y1409" s="39"/>
      <c r="Z1409" s="39"/>
      <c r="AA1409" s="39"/>
      <c r="AB1409" s="39">
        <f t="shared" si="894"/>
        <v>0</v>
      </c>
      <c r="AC1409" s="39"/>
      <c r="AD1409" s="39"/>
      <c r="AE1409" s="39"/>
      <c r="AF1409" s="39"/>
      <c r="AG1409" s="39"/>
      <c r="AH1409" s="39">
        <f t="shared" si="779"/>
        <v>0</v>
      </c>
      <c r="AI1409" s="39"/>
      <c r="AJ1409" s="39"/>
      <c r="AK1409" s="39"/>
      <c r="AL1409" s="39"/>
      <c r="AM1409" s="39"/>
      <c r="AN1409" s="39">
        <f t="shared" si="778"/>
        <v>0</v>
      </c>
      <c r="AO1409" s="39"/>
      <c r="AP1409" s="39"/>
      <c r="AQ1409" s="39"/>
      <c r="AR1409" s="39"/>
      <c r="AS1409" s="39"/>
      <c r="AT1409" s="39">
        <f t="shared" si="896"/>
        <v>0</v>
      </c>
      <c r="AU1409" s="39"/>
      <c r="AV1409" s="39"/>
      <c r="AW1409" s="39"/>
      <c r="AX1409" s="39"/>
      <c r="AY1409" s="39"/>
      <c r="AZ1409" s="39">
        <f t="shared" si="897"/>
        <v>0</v>
      </c>
      <c r="BA1409" s="39"/>
      <c r="BB1409" s="39"/>
      <c r="BC1409" s="39"/>
      <c r="BD1409" s="39"/>
      <c r="BE1409" s="39"/>
      <c r="BF1409" s="39">
        <f t="shared" si="898"/>
        <v>0</v>
      </c>
      <c r="BG1409" s="39"/>
      <c r="BH1409" s="39"/>
      <c r="BI1409" s="39"/>
      <c r="BJ1409" s="39"/>
      <c r="BK1409" s="39"/>
      <c r="BL1409" s="39">
        <f t="shared" si="780"/>
        <v>0</v>
      </c>
      <c r="BM1409" s="54" t="e">
        <f t="shared" si="899"/>
        <v>#DIV/0!</v>
      </c>
      <c r="BN1409" s="61"/>
      <c r="BO1409" s="39"/>
      <c r="BP1409" s="39"/>
      <c r="BQ1409" s="39"/>
      <c r="BR1409" s="36"/>
      <c r="BS1409" s="36"/>
      <c r="BT1409" s="39"/>
      <c r="BU1409" s="39"/>
      <c r="BV1409" s="39"/>
      <c r="BW1409" s="39"/>
      <c r="BX1409" s="39"/>
      <c r="BY1409" s="39"/>
      <c r="BZ1409" s="39">
        <f t="shared" si="781"/>
        <v>0</v>
      </c>
      <c r="CA1409" s="39">
        <f t="shared" si="900"/>
        <v>0</v>
      </c>
      <c r="CB1409" s="39">
        <f t="shared" si="901"/>
        <v>0</v>
      </c>
      <c r="CC1409" s="39">
        <f t="shared" si="902"/>
        <v>0</v>
      </c>
      <c r="CD1409" s="39">
        <f t="shared" si="782"/>
        <v>0</v>
      </c>
      <c r="CE1409" s="47" t="e">
        <f t="shared" si="903"/>
        <v>#DIV/0!</v>
      </c>
      <c r="CF1409" s="36"/>
      <c r="CG1409" s="39"/>
      <c r="CH1409" s="39"/>
      <c r="CI1409" s="25">
        <v>3</v>
      </c>
    </row>
    <row r="1410" spans="1:87" ht="24.75" customHeight="1">
      <c r="A1410" s="36" t="s">
        <v>46</v>
      </c>
      <c r="B1410" s="30">
        <v>47836</v>
      </c>
      <c r="C1410" s="144" t="s">
        <v>1893</v>
      </c>
      <c r="D1410" s="23"/>
      <c r="E1410" s="39">
        <v>180</v>
      </c>
      <c r="F1410" s="39" t="s">
        <v>54</v>
      </c>
      <c r="G1410" s="36" t="s">
        <v>1214</v>
      </c>
      <c r="H1410" s="36" t="s">
        <v>22</v>
      </c>
      <c r="I1410" s="39">
        <v>375</v>
      </c>
      <c r="J1410" s="39">
        <v>38</v>
      </c>
      <c r="K1410" s="39"/>
      <c r="L1410" s="39">
        <f t="shared" ref="L1410:L1426" si="904">SUM(I1410:K1410)</f>
        <v>413</v>
      </c>
      <c r="M1410" s="117">
        <v>46254</v>
      </c>
      <c r="N1410" s="117">
        <v>46265</v>
      </c>
      <c r="O1410" s="39"/>
      <c r="P1410" s="39"/>
      <c r="Q1410" s="39"/>
      <c r="R1410" s="39">
        <f t="shared" ref="R1410:R1417" si="905">SUM(O1410:Q1410)</f>
        <v>0</v>
      </c>
      <c r="S1410" s="39" t="s">
        <v>130</v>
      </c>
      <c r="T1410" s="39"/>
      <c r="U1410" s="39"/>
      <c r="V1410" s="39"/>
      <c r="W1410" s="39"/>
      <c r="X1410" s="39"/>
      <c r="Y1410" s="39"/>
      <c r="Z1410" s="39"/>
      <c r="AA1410" s="39"/>
      <c r="AB1410" s="118">
        <f t="shared" ref="AB1410:AB1419" si="906">SUM(Y1410:AA1410)</f>
        <v>0</v>
      </c>
      <c r="AC1410" s="39"/>
      <c r="AD1410" s="39"/>
      <c r="AE1410" s="39"/>
      <c r="AF1410" s="39"/>
      <c r="AG1410" s="39"/>
      <c r="AH1410" s="39">
        <f t="shared" si="779"/>
        <v>0</v>
      </c>
      <c r="AI1410" s="39"/>
      <c r="AJ1410" s="39"/>
      <c r="AK1410" s="39"/>
      <c r="AL1410" s="39"/>
      <c r="AM1410" s="39"/>
      <c r="AN1410" s="39">
        <f t="shared" si="778"/>
        <v>0</v>
      </c>
      <c r="AO1410" s="39"/>
      <c r="AP1410" s="39"/>
      <c r="AQ1410" s="39"/>
      <c r="AR1410" s="39"/>
      <c r="AS1410" s="39"/>
      <c r="AT1410" s="39">
        <f t="shared" si="896"/>
        <v>0</v>
      </c>
      <c r="AU1410" s="39"/>
      <c r="AV1410" s="39"/>
      <c r="AW1410" s="39"/>
      <c r="AX1410" s="39"/>
      <c r="AY1410" s="39"/>
      <c r="AZ1410" s="39">
        <f t="shared" si="897"/>
        <v>0</v>
      </c>
      <c r="BA1410" s="39"/>
      <c r="BB1410" s="39"/>
      <c r="BC1410" s="39"/>
      <c r="BD1410" s="39"/>
      <c r="BE1410" s="39"/>
      <c r="BF1410" s="39">
        <f t="shared" si="898"/>
        <v>0</v>
      </c>
      <c r="BG1410" s="39"/>
      <c r="BH1410" s="39"/>
      <c r="BI1410" s="39"/>
      <c r="BJ1410" s="39"/>
      <c r="BK1410" s="39"/>
      <c r="BL1410" s="39">
        <f t="shared" si="780"/>
        <v>0</v>
      </c>
      <c r="BM1410" s="54">
        <f t="shared" ca="1" si="899"/>
        <v>46283</v>
      </c>
      <c r="BN1410" s="58">
        <v>46266</v>
      </c>
      <c r="BO1410" s="57">
        <v>46277</v>
      </c>
      <c r="BP1410" s="36"/>
      <c r="BQ1410" s="36"/>
      <c r="BR1410" s="36"/>
      <c r="BS1410" s="36"/>
      <c r="BT1410" s="39"/>
      <c r="BU1410" s="39"/>
      <c r="BV1410" s="39"/>
      <c r="BW1410" s="39"/>
      <c r="BX1410" s="39"/>
      <c r="BY1410" s="39"/>
      <c r="BZ1410" s="39">
        <f t="shared" si="781"/>
        <v>0</v>
      </c>
      <c r="CA1410" s="39">
        <f t="shared" si="900"/>
        <v>-375</v>
      </c>
      <c r="CB1410" s="39">
        <f t="shared" si="901"/>
        <v>-38</v>
      </c>
      <c r="CC1410" s="39">
        <f t="shared" si="902"/>
        <v>0</v>
      </c>
      <c r="CD1410" s="39">
        <f t="shared" si="782"/>
        <v>-413</v>
      </c>
      <c r="CE1410" s="102">
        <f t="shared" si="903"/>
        <v>-1</v>
      </c>
      <c r="CF1410" s="36"/>
      <c r="CG1410" s="39" t="s">
        <v>245</v>
      </c>
      <c r="CH1410" s="39"/>
      <c r="CI1410" s="25">
        <v>1</v>
      </c>
    </row>
    <row r="1411" spans="1:87" ht="24.75" customHeight="1">
      <c r="A1411" s="36" t="s">
        <v>46</v>
      </c>
      <c r="B1411" s="30">
        <v>48037</v>
      </c>
      <c r="C1411" s="227" t="s">
        <v>1894</v>
      </c>
      <c r="D1411" s="23" t="s">
        <v>37</v>
      </c>
      <c r="E1411" s="39">
        <v>160</v>
      </c>
      <c r="F1411" s="39" t="s">
        <v>54</v>
      </c>
      <c r="G1411" s="36" t="s">
        <v>1895</v>
      </c>
      <c r="H1411" s="36" t="s">
        <v>22</v>
      </c>
      <c r="I1411" s="39">
        <f>1513+44</f>
        <v>1557</v>
      </c>
      <c r="J1411" s="39"/>
      <c r="K1411" s="39"/>
      <c r="L1411" s="39">
        <f t="shared" si="904"/>
        <v>1557</v>
      </c>
      <c r="M1411" s="117">
        <v>46251</v>
      </c>
      <c r="N1411" s="117">
        <v>46262</v>
      </c>
      <c r="O1411" s="39"/>
      <c r="P1411" s="39"/>
      <c r="Q1411" s="39"/>
      <c r="R1411" s="39">
        <f t="shared" si="905"/>
        <v>0</v>
      </c>
      <c r="S1411" s="39" t="s">
        <v>100</v>
      </c>
      <c r="T1411" s="39"/>
      <c r="U1411" s="39"/>
      <c r="V1411" s="117">
        <v>46261</v>
      </c>
      <c r="W1411" s="39">
        <v>1734</v>
      </c>
      <c r="X1411" s="117" t="s">
        <v>2984</v>
      </c>
      <c r="Y1411" s="39">
        <f>663+698</f>
        <v>1361</v>
      </c>
      <c r="Z1411" s="39"/>
      <c r="AA1411" s="39"/>
      <c r="AB1411" s="120">
        <f t="shared" si="906"/>
        <v>1361</v>
      </c>
      <c r="AC1411" s="39" t="s">
        <v>139</v>
      </c>
      <c r="AD1411" s="117">
        <v>46280</v>
      </c>
      <c r="AE1411" s="39">
        <f>697+665</f>
        <v>1362</v>
      </c>
      <c r="AF1411" s="39"/>
      <c r="AG1411" s="39"/>
      <c r="AH1411" s="39">
        <f t="shared" si="779"/>
        <v>-1362</v>
      </c>
      <c r="AI1411" s="39"/>
      <c r="AJ1411" s="39"/>
      <c r="AK1411" s="39"/>
      <c r="AL1411" s="39"/>
      <c r="AM1411" s="39"/>
      <c r="AN1411" s="39">
        <f t="shared" si="778"/>
        <v>0</v>
      </c>
      <c r="AO1411" s="39"/>
      <c r="AP1411" s="39"/>
      <c r="AQ1411" s="39"/>
      <c r="AR1411" s="39"/>
      <c r="AS1411" s="39"/>
      <c r="AT1411" s="39">
        <f t="shared" si="896"/>
        <v>0</v>
      </c>
      <c r="AU1411" s="39"/>
      <c r="AV1411" s="39"/>
      <c r="AW1411" s="39"/>
      <c r="AX1411" s="39"/>
      <c r="AY1411" s="39"/>
      <c r="AZ1411" s="39">
        <f t="shared" si="897"/>
        <v>0</v>
      </c>
      <c r="BA1411" s="39"/>
      <c r="BB1411" s="39"/>
      <c r="BC1411" s="39"/>
      <c r="BD1411" s="39"/>
      <c r="BE1411" s="39"/>
      <c r="BF1411" s="39">
        <f t="shared" si="898"/>
        <v>0</v>
      </c>
      <c r="BG1411" s="39"/>
      <c r="BH1411" s="39"/>
      <c r="BI1411" s="39"/>
      <c r="BJ1411" s="39"/>
      <c r="BK1411" s="39"/>
      <c r="BL1411" s="39">
        <f t="shared" si="780"/>
        <v>0</v>
      </c>
      <c r="BM1411" s="54">
        <f t="shared" ca="1" si="899"/>
        <v>46283</v>
      </c>
      <c r="BN1411" s="58">
        <v>46266</v>
      </c>
      <c r="BO1411" s="57">
        <v>46279</v>
      </c>
      <c r="BP1411" s="57">
        <v>46280</v>
      </c>
      <c r="BQ1411" s="57">
        <v>46290</v>
      </c>
      <c r="BR1411" s="36"/>
      <c r="BS1411" s="36"/>
      <c r="BT1411" s="39"/>
      <c r="BU1411" s="39"/>
      <c r="BV1411" s="39"/>
      <c r="BW1411" s="39"/>
      <c r="BX1411" s="39"/>
      <c r="BY1411" s="39"/>
      <c r="BZ1411" s="39">
        <f t="shared" si="781"/>
        <v>0</v>
      </c>
      <c r="CA1411" s="39">
        <f t="shared" si="900"/>
        <v>-1557</v>
      </c>
      <c r="CB1411" s="39">
        <f t="shared" si="901"/>
        <v>0</v>
      </c>
      <c r="CC1411" s="39">
        <f t="shared" si="902"/>
        <v>0</v>
      </c>
      <c r="CD1411" s="39">
        <f t="shared" si="782"/>
        <v>-1557</v>
      </c>
      <c r="CE1411" s="102">
        <f t="shared" si="903"/>
        <v>-1</v>
      </c>
      <c r="CF1411" s="36"/>
      <c r="CG1411" s="39" t="s">
        <v>242</v>
      </c>
      <c r="CH1411" s="39"/>
      <c r="CI1411" s="25">
        <v>1</v>
      </c>
    </row>
    <row r="1412" spans="1:87" ht="24.75" customHeight="1">
      <c r="A1412" s="36" t="s">
        <v>46</v>
      </c>
      <c r="B1412" s="30">
        <v>48037</v>
      </c>
      <c r="C1412" s="228"/>
      <c r="D1412" s="23" t="s">
        <v>37</v>
      </c>
      <c r="E1412" s="39">
        <v>160</v>
      </c>
      <c r="F1412" s="39" t="s">
        <v>54</v>
      </c>
      <c r="G1412" s="36" t="s">
        <v>1896</v>
      </c>
      <c r="H1412" s="36" t="s">
        <v>22</v>
      </c>
      <c r="I1412" s="39">
        <f>1068+31</f>
        <v>1099</v>
      </c>
      <c r="J1412" s="39"/>
      <c r="K1412" s="39"/>
      <c r="L1412" s="39">
        <f t="shared" si="904"/>
        <v>1099</v>
      </c>
      <c r="M1412" s="117">
        <v>46251</v>
      </c>
      <c r="N1412" s="117">
        <v>46262</v>
      </c>
      <c r="O1412" s="39"/>
      <c r="P1412" s="39"/>
      <c r="Q1412" s="39"/>
      <c r="R1412" s="39">
        <f t="shared" si="905"/>
        <v>0</v>
      </c>
      <c r="S1412" s="39" t="s">
        <v>100</v>
      </c>
      <c r="T1412" s="39"/>
      <c r="U1412" s="39"/>
      <c r="V1412" s="117">
        <v>46263</v>
      </c>
      <c r="W1412" s="39">
        <v>1237</v>
      </c>
      <c r="X1412" s="117" t="s">
        <v>3064</v>
      </c>
      <c r="Y1412" s="39">
        <f>1059+31</f>
        <v>1090</v>
      </c>
      <c r="Z1412" s="39"/>
      <c r="AA1412" s="39"/>
      <c r="AB1412" s="119">
        <f t="shared" si="906"/>
        <v>1090</v>
      </c>
      <c r="AC1412" s="39" t="s">
        <v>139</v>
      </c>
      <c r="AD1412" s="117">
        <v>46280</v>
      </c>
      <c r="AE1412" s="39">
        <v>1062</v>
      </c>
      <c r="AF1412" s="39"/>
      <c r="AG1412" s="39"/>
      <c r="AH1412" s="39">
        <f t="shared" si="779"/>
        <v>-1062</v>
      </c>
      <c r="AI1412" s="39"/>
      <c r="AJ1412" s="39"/>
      <c r="AK1412" s="39"/>
      <c r="AL1412" s="39"/>
      <c r="AM1412" s="39"/>
      <c r="AN1412" s="39">
        <f t="shared" si="778"/>
        <v>0</v>
      </c>
      <c r="AO1412" s="39"/>
      <c r="AP1412" s="39"/>
      <c r="AQ1412" s="39"/>
      <c r="AR1412" s="39"/>
      <c r="AS1412" s="39"/>
      <c r="AT1412" s="39">
        <f t="shared" si="896"/>
        <v>0</v>
      </c>
      <c r="AU1412" s="39"/>
      <c r="AV1412" s="39"/>
      <c r="AW1412" s="39"/>
      <c r="AX1412" s="39"/>
      <c r="AY1412" s="39"/>
      <c r="AZ1412" s="39">
        <f t="shared" si="897"/>
        <v>0</v>
      </c>
      <c r="BA1412" s="39"/>
      <c r="BB1412" s="39"/>
      <c r="BC1412" s="39"/>
      <c r="BD1412" s="39"/>
      <c r="BE1412" s="39"/>
      <c r="BF1412" s="39">
        <f t="shared" si="898"/>
        <v>0</v>
      </c>
      <c r="BG1412" s="39"/>
      <c r="BH1412" s="39"/>
      <c r="BI1412" s="39"/>
      <c r="BJ1412" s="39"/>
      <c r="BK1412" s="39"/>
      <c r="BL1412" s="39">
        <f t="shared" si="780"/>
        <v>0</v>
      </c>
      <c r="BM1412" s="54">
        <f t="shared" ca="1" si="899"/>
        <v>46283</v>
      </c>
      <c r="BN1412" s="58">
        <v>46266</v>
      </c>
      <c r="BO1412" s="57">
        <v>46279</v>
      </c>
      <c r="BP1412" s="57">
        <v>46280</v>
      </c>
      <c r="BQ1412" s="57">
        <v>46290</v>
      </c>
      <c r="BR1412" s="36"/>
      <c r="BS1412" s="36"/>
      <c r="BT1412" s="39"/>
      <c r="BU1412" s="39"/>
      <c r="BV1412" s="39"/>
      <c r="BW1412" s="39"/>
      <c r="BX1412" s="39"/>
      <c r="BY1412" s="39"/>
      <c r="BZ1412" s="39">
        <f t="shared" si="781"/>
        <v>0</v>
      </c>
      <c r="CA1412" s="39">
        <f t="shared" si="900"/>
        <v>-1099</v>
      </c>
      <c r="CB1412" s="39">
        <f t="shared" si="901"/>
        <v>0</v>
      </c>
      <c r="CC1412" s="39">
        <f t="shared" si="902"/>
        <v>0</v>
      </c>
      <c r="CD1412" s="39">
        <f t="shared" si="782"/>
        <v>-1099</v>
      </c>
      <c r="CE1412" s="102">
        <f t="shared" si="903"/>
        <v>-1</v>
      </c>
      <c r="CF1412" s="36"/>
      <c r="CG1412" s="39" t="s">
        <v>242</v>
      </c>
      <c r="CH1412" s="39"/>
      <c r="CI1412" s="25">
        <v>1</v>
      </c>
    </row>
    <row r="1413" spans="1:87" ht="24.75" customHeight="1">
      <c r="A1413" s="36" t="s">
        <v>46</v>
      </c>
      <c r="B1413" s="30">
        <v>47806</v>
      </c>
      <c r="C1413" s="227" t="s">
        <v>2062</v>
      </c>
      <c r="D1413" s="23" t="s">
        <v>37</v>
      </c>
      <c r="E1413" s="39">
        <v>280</v>
      </c>
      <c r="F1413" s="39" t="s">
        <v>65</v>
      </c>
      <c r="G1413" s="36" t="s">
        <v>1739</v>
      </c>
      <c r="H1413" s="36" t="s">
        <v>111</v>
      </c>
      <c r="I1413" s="39">
        <f>480+395</f>
        <v>875</v>
      </c>
      <c r="J1413" s="39"/>
      <c r="K1413" s="39"/>
      <c r="L1413" s="39">
        <f t="shared" si="904"/>
        <v>875</v>
      </c>
      <c r="M1413" s="117">
        <v>46254</v>
      </c>
      <c r="N1413" s="117">
        <v>46265</v>
      </c>
      <c r="O1413" s="39"/>
      <c r="P1413" s="39"/>
      <c r="Q1413" s="39"/>
      <c r="R1413" s="39">
        <f t="shared" si="905"/>
        <v>0</v>
      </c>
      <c r="S1413" s="39" t="s">
        <v>130</v>
      </c>
      <c r="T1413" s="39">
        <v>108415</v>
      </c>
      <c r="U1413" s="117">
        <v>46242</v>
      </c>
      <c r="V1413" s="39"/>
      <c r="W1413" s="39"/>
      <c r="X1413" s="39"/>
      <c r="Y1413" s="39">
        <v>984</v>
      </c>
      <c r="Z1413" s="39"/>
      <c r="AA1413" s="39"/>
      <c r="AB1413" s="119">
        <f t="shared" si="906"/>
        <v>984</v>
      </c>
      <c r="AC1413" s="39" t="s">
        <v>139</v>
      </c>
      <c r="AD1413" s="117">
        <v>46246</v>
      </c>
      <c r="AE1413" s="39">
        <v>873</v>
      </c>
      <c r="AF1413" s="117" t="s">
        <v>2907</v>
      </c>
      <c r="AG1413" s="39">
        <f>9+874-877+863</f>
        <v>869</v>
      </c>
      <c r="AH1413" s="39">
        <f t="shared" si="779"/>
        <v>-4</v>
      </c>
      <c r="AI1413" s="39"/>
      <c r="AJ1413" s="39"/>
      <c r="AK1413" s="39"/>
      <c r="AL1413" s="39"/>
      <c r="AM1413" s="39"/>
      <c r="AN1413" s="39">
        <f t="shared" si="778"/>
        <v>0</v>
      </c>
      <c r="AO1413" s="39"/>
      <c r="AP1413" s="39"/>
      <c r="AQ1413" s="39"/>
      <c r="AR1413" s="39"/>
      <c r="AS1413" s="39"/>
      <c r="AT1413" s="39">
        <f t="shared" si="896"/>
        <v>0</v>
      </c>
      <c r="AU1413" s="39"/>
      <c r="AV1413" s="39"/>
      <c r="AW1413" s="39"/>
      <c r="AX1413" s="39"/>
      <c r="AY1413" s="39"/>
      <c r="AZ1413" s="39">
        <f t="shared" si="897"/>
        <v>0</v>
      </c>
      <c r="BA1413" s="39"/>
      <c r="BB1413" s="39"/>
      <c r="BC1413" s="39"/>
      <c r="BD1413" s="39"/>
      <c r="BE1413" s="39"/>
      <c r="BF1413" s="39">
        <f t="shared" si="898"/>
        <v>0</v>
      </c>
      <c r="BG1413" s="39"/>
      <c r="BH1413" s="39"/>
      <c r="BI1413" s="39"/>
      <c r="BJ1413" s="39"/>
      <c r="BK1413" s="39"/>
      <c r="BL1413" s="39">
        <f t="shared" si="780"/>
        <v>0</v>
      </c>
      <c r="BM1413" s="54" t="str">
        <f t="shared" si="899"/>
        <v/>
      </c>
      <c r="BN1413" s="58">
        <v>46266</v>
      </c>
      <c r="BO1413" s="57">
        <v>46277</v>
      </c>
      <c r="BP1413" s="57">
        <v>46279</v>
      </c>
      <c r="BQ1413" s="57">
        <v>46290</v>
      </c>
      <c r="BR1413" s="57">
        <v>46272</v>
      </c>
      <c r="BS1413" s="57">
        <v>46272</v>
      </c>
      <c r="BT1413" s="39">
        <v>806</v>
      </c>
      <c r="BU1413" s="39">
        <v>861</v>
      </c>
      <c r="BV1413" s="39"/>
      <c r="BW1413" s="39"/>
      <c r="BX1413" s="39"/>
      <c r="BY1413" s="39"/>
      <c r="BZ1413" s="39">
        <f t="shared" si="781"/>
        <v>861</v>
      </c>
      <c r="CA1413" s="39">
        <f t="shared" si="900"/>
        <v>-14</v>
      </c>
      <c r="CB1413" s="39">
        <f t="shared" si="901"/>
        <v>0</v>
      </c>
      <c r="CC1413" s="39">
        <f t="shared" si="902"/>
        <v>0</v>
      </c>
      <c r="CD1413" s="39">
        <v>0</v>
      </c>
      <c r="CE1413" s="102">
        <f t="shared" si="903"/>
        <v>0</v>
      </c>
      <c r="CF1413" s="36"/>
      <c r="CG1413" s="39" t="s">
        <v>245</v>
      </c>
      <c r="CH1413" s="39"/>
      <c r="CI1413" s="25">
        <v>1</v>
      </c>
    </row>
    <row r="1414" spans="1:87" ht="24.75" customHeight="1">
      <c r="A1414" s="36" t="s">
        <v>46</v>
      </c>
      <c r="B1414" s="30">
        <v>47806</v>
      </c>
      <c r="C1414" s="228"/>
      <c r="D1414" s="23"/>
      <c r="E1414" s="39"/>
      <c r="F1414" s="39"/>
      <c r="G1414" s="36" t="s">
        <v>1897</v>
      </c>
      <c r="H1414" s="36">
        <v>4090</v>
      </c>
      <c r="I1414" s="39" t="s">
        <v>199</v>
      </c>
      <c r="J1414" s="39"/>
      <c r="K1414" s="39"/>
      <c r="L1414" s="39">
        <f t="shared" si="904"/>
        <v>0</v>
      </c>
      <c r="M1414" s="117">
        <v>46254</v>
      </c>
      <c r="N1414" s="117">
        <v>46265</v>
      </c>
      <c r="O1414" s="39"/>
      <c r="P1414" s="39"/>
      <c r="Q1414" s="39"/>
      <c r="R1414" s="39">
        <f t="shared" ref="R1414" si="907">SUM(O1414:Q1414)</f>
        <v>0</v>
      </c>
      <c r="S1414" s="39" t="s">
        <v>130</v>
      </c>
      <c r="T1414" s="39"/>
      <c r="U1414" s="39"/>
      <c r="V1414" s="39"/>
      <c r="W1414" s="39"/>
      <c r="X1414" s="39"/>
      <c r="Y1414" s="39"/>
      <c r="Z1414" s="39"/>
      <c r="AA1414" s="39"/>
      <c r="AB1414" s="39">
        <f t="shared" si="906"/>
        <v>0</v>
      </c>
      <c r="AC1414" s="39"/>
      <c r="AD1414" s="39"/>
      <c r="AE1414" s="39"/>
      <c r="AF1414" s="39"/>
      <c r="AG1414" s="39"/>
      <c r="AH1414" s="39">
        <f t="shared" si="779"/>
        <v>0</v>
      </c>
      <c r="AI1414" s="39"/>
      <c r="AJ1414" s="39"/>
      <c r="AK1414" s="39"/>
      <c r="AL1414" s="39"/>
      <c r="AM1414" s="39"/>
      <c r="AN1414" s="39">
        <f t="shared" si="778"/>
        <v>0</v>
      </c>
      <c r="AO1414" s="39"/>
      <c r="AP1414" s="39"/>
      <c r="AQ1414" s="39"/>
      <c r="AR1414" s="39"/>
      <c r="AS1414" s="39"/>
      <c r="AT1414" s="39">
        <f t="shared" si="896"/>
        <v>0</v>
      </c>
      <c r="AU1414" s="39"/>
      <c r="AV1414" s="39"/>
      <c r="AW1414" s="39"/>
      <c r="AX1414" s="39"/>
      <c r="AY1414" s="39"/>
      <c r="AZ1414" s="39">
        <f t="shared" si="897"/>
        <v>0</v>
      </c>
      <c r="BA1414" s="39"/>
      <c r="BB1414" s="39"/>
      <c r="BC1414" s="39"/>
      <c r="BD1414" s="39"/>
      <c r="BE1414" s="39"/>
      <c r="BF1414" s="39">
        <f t="shared" si="898"/>
        <v>0</v>
      </c>
      <c r="BG1414" s="39"/>
      <c r="BH1414" s="39"/>
      <c r="BI1414" s="39"/>
      <c r="BJ1414" s="39"/>
      <c r="BK1414" s="39"/>
      <c r="BL1414" s="39">
        <f t="shared" si="780"/>
        <v>0</v>
      </c>
      <c r="BM1414" s="54" t="e">
        <f t="shared" si="899"/>
        <v>#DIV/0!</v>
      </c>
      <c r="BN1414" s="58">
        <v>46266</v>
      </c>
      <c r="BO1414" s="57">
        <v>46277</v>
      </c>
      <c r="BP1414" s="36"/>
      <c r="BQ1414" s="36"/>
      <c r="BR1414" s="36"/>
      <c r="BS1414" s="36"/>
      <c r="BT1414" s="39"/>
      <c r="BU1414" s="39"/>
      <c r="BV1414" s="39"/>
      <c r="BW1414" s="39"/>
      <c r="BX1414" s="39"/>
      <c r="BY1414" s="39"/>
      <c r="BZ1414" s="39">
        <f t="shared" si="781"/>
        <v>0</v>
      </c>
      <c r="CA1414" s="39" t="e">
        <f t="shared" si="900"/>
        <v>#VALUE!</v>
      </c>
      <c r="CB1414" s="39">
        <f t="shared" si="901"/>
        <v>0</v>
      </c>
      <c r="CC1414" s="39">
        <f t="shared" si="902"/>
        <v>0</v>
      </c>
      <c r="CD1414" s="39">
        <f t="shared" si="782"/>
        <v>0</v>
      </c>
      <c r="CE1414" s="102" t="e">
        <f t="shared" si="903"/>
        <v>#DIV/0!</v>
      </c>
      <c r="CF1414" s="36"/>
      <c r="CG1414" s="39" t="s">
        <v>245</v>
      </c>
      <c r="CH1414" s="39"/>
      <c r="CI1414" s="25">
        <v>1</v>
      </c>
    </row>
    <row r="1415" spans="1:87" ht="24.75" customHeight="1">
      <c r="A1415" s="36" t="s">
        <v>46</v>
      </c>
      <c r="B1415" s="30">
        <v>47807</v>
      </c>
      <c r="C1415" s="227" t="s">
        <v>2044</v>
      </c>
      <c r="D1415" s="23" t="s">
        <v>37</v>
      </c>
      <c r="E1415" s="39">
        <v>280</v>
      </c>
      <c r="F1415" s="39" t="s">
        <v>65</v>
      </c>
      <c r="G1415" s="36" t="s">
        <v>1898</v>
      </c>
      <c r="H1415" s="36" t="s">
        <v>111</v>
      </c>
      <c r="I1415" s="39">
        <f>720+183</f>
        <v>903</v>
      </c>
      <c r="J1415" s="39"/>
      <c r="K1415" s="39"/>
      <c r="L1415" s="39">
        <f t="shared" si="904"/>
        <v>903</v>
      </c>
      <c r="M1415" s="117">
        <v>46254</v>
      </c>
      <c r="N1415" s="117">
        <v>46265</v>
      </c>
      <c r="O1415" s="39"/>
      <c r="P1415" s="39"/>
      <c r="Q1415" s="39"/>
      <c r="R1415" s="39">
        <f t="shared" si="905"/>
        <v>0</v>
      </c>
      <c r="S1415" s="39" t="s">
        <v>130</v>
      </c>
      <c r="T1415" s="39">
        <v>108363</v>
      </c>
      <c r="U1415" s="117">
        <v>46241</v>
      </c>
      <c r="V1415" s="39"/>
      <c r="W1415" s="39"/>
      <c r="X1415" s="39"/>
      <c r="Y1415" s="39">
        <f>812</f>
        <v>812</v>
      </c>
      <c r="Z1415" s="39"/>
      <c r="AA1415" s="39"/>
      <c r="AB1415" s="118">
        <f t="shared" si="906"/>
        <v>812</v>
      </c>
      <c r="AC1415" s="39" t="s">
        <v>139</v>
      </c>
      <c r="AD1415" s="117">
        <v>46246</v>
      </c>
      <c r="AE1415" s="39">
        <f>736</f>
        <v>736</v>
      </c>
      <c r="AF1415" s="117">
        <v>46258</v>
      </c>
      <c r="AG1415" s="39">
        <v>727</v>
      </c>
      <c r="AH1415" s="39">
        <f t="shared" si="779"/>
        <v>-9</v>
      </c>
      <c r="AI1415" s="39"/>
      <c r="AJ1415" s="39"/>
      <c r="AK1415" s="39"/>
      <c r="AL1415" s="39"/>
      <c r="AM1415" s="39"/>
      <c r="AN1415" s="39">
        <f t="shared" si="778"/>
        <v>0</v>
      </c>
      <c r="AO1415" s="39"/>
      <c r="AP1415" s="39"/>
      <c r="AQ1415" s="39"/>
      <c r="AR1415" s="39"/>
      <c r="AS1415" s="39"/>
      <c r="AT1415" s="39">
        <f t="shared" si="896"/>
        <v>0</v>
      </c>
      <c r="AU1415" s="39"/>
      <c r="AV1415" s="39"/>
      <c r="AW1415" s="39"/>
      <c r="AX1415" s="39"/>
      <c r="AY1415" s="39"/>
      <c r="AZ1415" s="39">
        <f t="shared" si="897"/>
        <v>0</v>
      </c>
      <c r="BA1415" s="39"/>
      <c r="BB1415" s="39"/>
      <c r="BC1415" s="39"/>
      <c r="BD1415" s="39"/>
      <c r="BE1415" s="39"/>
      <c r="BF1415" s="39">
        <f t="shared" si="898"/>
        <v>0</v>
      </c>
      <c r="BG1415" s="39"/>
      <c r="BH1415" s="39"/>
      <c r="BI1415" s="39"/>
      <c r="BJ1415" s="39"/>
      <c r="BK1415" s="39"/>
      <c r="BL1415" s="39">
        <f t="shared" si="780"/>
        <v>0</v>
      </c>
      <c r="BM1415" s="54">
        <f t="shared" ca="1" si="899"/>
        <v>42</v>
      </c>
      <c r="BN1415" s="58">
        <v>46266</v>
      </c>
      <c r="BO1415" s="57">
        <v>46277</v>
      </c>
      <c r="BP1415" s="57">
        <v>46279</v>
      </c>
      <c r="BQ1415" s="57">
        <v>46290</v>
      </c>
      <c r="BR1415" s="57">
        <v>46259</v>
      </c>
      <c r="BS1415" s="36"/>
      <c r="BT1415" s="39">
        <v>1887</v>
      </c>
      <c r="BU1415" s="39">
        <f>74+653</f>
        <v>727</v>
      </c>
      <c r="BV1415" s="39"/>
      <c r="BW1415" s="39"/>
      <c r="BX1415" s="39"/>
      <c r="BY1415" s="39"/>
      <c r="BZ1415" s="39">
        <f t="shared" si="781"/>
        <v>727</v>
      </c>
      <c r="CA1415" s="39">
        <f t="shared" si="900"/>
        <v>-176</v>
      </c>
      <c r="CB1415" s="39">
        <f t="shared" si="901"/>
        <v>0</v>
      </c>
      <c r="CC1415" s="39">
        <f t="shared" si="902"/>
        <v>0</v>
      </c>
      <c r="CD1415" s="39">
        <f t="shared" si="782"/>
        <v>-176</v>
      </c>
      <c r="CE1415" s="102">
        <f t="shared" si="903"/>
        <v>-0.19490586932447398</v>
      </c>
      <c r="CF1415" s="36"/>
      <c r="CG1415" s="39" t="s">
        <v>245</v>
      </c>
      <c r="CH1415" s="39"/>
      <c r="CI1415" s="25">
        <v>1</v>
      </c>
    </row>
    <row r="1416" spans="1:87" ht="24.75" customHeight="1">
      <c r="A1416" s="36" t="s">
        <v>46</v>
      </c>
      <c r="B1416" s="30">
        <v>47807</v>
      </c>
      <c r="C1416" s="228"/>
      <c r="D1416" s="23"/>
      <c r="E1416" s="39"/>
      <c r="F1416" s="39"/>
      <c r="G1416" s="36" t="s">
        <v>1897</v>
      </c>
      <c r="H1416" s="36">
        <v>3950</v>
      </c>
      <c r="I1416" s="39" t="s">
        <v>90</v>
      </c>
      <c r="J1416" s="39"/>
      <c r="K1416" s="39"/>
      <c r="L1416" s="39">
        <f t="shared" si="904"/>
        <v>0</v>
      </c>
      <c r="M1416" s="117">
        <v>46254</v>
      </c>
      <c r="N1416" s="117">
        <v>46265</v>
      </c>
      <c r="O1416" s="39"/>
      <c r="P1416" s="39"/>
      <c r="Q1416" s="39"/>
      <c r="R1416" s="39">
        <f t="shared" ref="R1416" si="908">SUM(O1416:Q1416)</f>
        <v>0</v>
      </c>
      <c r="S1416" s="39" t="s">
        <v>130</v>
      </c>
      <c r="T1416" s="39"/>
      <c r="U1416" s="39"/>
      <c r="V1416" s="39"/>
      <c r="W1416" s="39"/>
      <c r="X1416" s="39"/>
      <c r="Y1416" s="39"/>
      <c r="Z1416" s="39"/>
      <c r="AA1416" s="39"/>
      <c r="AB1416" s="39">
        <f t="shared" si="906"/>
        <v>0</v>
      </c>
      <c r="AC1416" s="39"/>
      <c r="AD1416" s="39"/>
      <c r="AE1416" s="39"/>
      <c r="AF1416" s="39"/>
      <c r="AG1416" s="39"/>
      <c r="AH1416" s="39">
        <f t="shared" si="779"/>
        <v>0</v>
      </c>
      <c r="AI1416" s="39"/>
      <c r="AJ1416" s="39"/>
      <c r="AK1416" s="39"/>
      <c r="AL1416" s="39"/>
      <c r="AM1416" s="39"/>
      <c r="AN1416" s="39">
        <f t="shared" si="778"/>
        <v>0</v>
      </c>
      <c r="AO1416" s="39"/>
      <c r="AP1416" s="39"/>
      <c r="AQ1416" s="39"/>
      <c r="AR1416" s="39"/>
      <c r="AS1416" s="39"/>
      <c r="AT1416" s="39">
        <f t="shared" si="896"/>
        <v>0</v>
      </c>
      <c r="AU1416" s="39"/>
      <c r="AV1416" s="39"/>
      <c r="AW1416" s="39"/>
      <c r="AX1416" s="39"/>
      <c r="AY1416" s="39"/>
      <c r="AZ1416" s="39">
        <f t="shared" si="897"/>
        <v>0</v>
      </c>
      <c r="BA1416" s="39"/>
      <c r="BB1416" s="39"/>
      <c r="BC1416" s="39"/>
      <c r="BD1416" s="39"/>
      <c r="BE1416" s="39"/>
      <c r="BF1416" s="39">
        <f t="shared" si="898"/>
        <v>0</v>
      </c>
      <c r="BG1416" s="39"/>
      <c r="BH1416" s="39"/>
      <c r="BI1416" s="39"/>
      <c r="BJ1416" s="39"/>
      <c r="BK1416" s="39"/>
      <c r="BL1416" s="39">
        <f t="shared" si="780"/>
        <v>0</v>
      </c>
      <c r="BM1416" s="54" t="e">
        <f t="shared" si="899"/>
        <v>#DIV/0!</v>
      </c>
      <c r="BN1416" s="58">
        <v>46266</v>
      </c>
      <c r="BO1416" s="57">
        <v>46277</v>
      </c>
      <c r="BP1416" s="36"/>
      <c r="BQ1416" s="36"/>
      <c r="BR1416" s="36"/>
      <c r="BS1416" s="36"/>
      <c r="BT1416" s="39"/>
      <c r="BU1416" s="39"/>
      <c r="BV1416" s="39"/>
      <c r="BW1416" s="39"/>
      <c r="BX1416" s="39"/>
      <c r="BY1416" s="39"/>
      <c r="BZ1416" s="39">
        <f t="shared" si="781"/>
        <v>0</v>
      </c>
      <c r="CA1416" s="39" t="e">
        <f t="shared" si="900"/>
        <v>#VALUE!</v>
      </c>
      <c r="CB1416" s="39">
        <f t="shared" si="901"/>
        <v>0</v>
      </c>
      <c r="CC1416" s="39">
        <f t="shared" si="902"/>
        <v>0</v>
      </c>
      <c r="CD1416" s="39">
        <f t="shared" si="782"/>
        <v>0</v>
      </c>
      <c r="CE1416" s="102" t="e">
        <f t="shared" si="903"/>
        <v>#DIV/0!</v>
      </c>
      <c r="CF1416" s="36"/>
      <c r="CG1416" s="39" t="s">
        <v>245</v>
      </c>
      <c r="CH1416" s="39"/>
      <c r="CI1416" s="25">
        <v>1</v>
      </c>
    </row>
    <row r="1417" spans="1:87" ht="24.75" customHeight="1">
      <c r="A1417" s="36" t="s">
        <v>46</v>
      </c>
      <c r="B1417" s="30">
        <v>47832</v>
      </c>
      <c r="C1417" s="227" t="s">
        <v>1899</v>
      </c>
      <c r="D1417" s="23"/>
      <c r="E1417" s="39">
        <v>180</v>
      </c>
      <c r="F1417" s="39" t="s">
        <v>55</v>
      </c>
      <c r="G1417" s="36" t="s">
        <v>47</v>
      </c>
      <c r="H1417" s="36" t="s">
        <v>22</v>
      </c>
      <c r="I1417" s="39">
        <v>502</v>
      </c>
      <c r="J1417" s="39"/>
      <c r="K1417" s="39"/>
      <c r="L1417" s="39">
        <f t="shared" si="904"/>
        <v>502</v>
      </c>
      <c r="M1417" s="117">
        <v>46254</v>
      </c>
      <c r="N1417" s="117">
        <v>46265</v>
      </c>
      <c r="O1417" s="39"/>
      <c r="P1417" s="39"/>
      <c r="Q1417" s="39"/>
      <c r="R1417" s="39">
        <f t="shared" si="905"/>
        <v>0</v>
      </c>
      <c r="S1417" s="39" t="s">
        <v>130</v>
      </c>
      <c r="T1417" s="39">
        <v>108453</v>
      </c>
      <c r="U1417" s="117">
        <v>46246</v>
      </c>
      <c r="V1417" s="39"/>
      <c r="W1417" s="39"/>
      <c r="X1417" s="39"/>
      <c r="Y1417" s="39">
        <v>565</v>
      </c>
      <c r="Z1417" s="39"/>
      <c r="AA1417" s="39"/>
      <c r="AB1417" s="119">
        <f t="shared" si="906"/>
        <v>565</v>
      </c>
      <c r="AC1417" s="39"/>
      <c r="AD1417" s="39"/>
      <c r="AE1417" s="39"/>
      <c r="AF1417" s="39"/>
      <c r="AG1417" s="39"/>
      <c r="AH1417" s="39">
        <f t="shared" si="779"/>
        <v>0</v>
      </c>
      <c r="AI1417" s="39"/>
      <c r="AJ1417" s="39"/>
      <c r="AK1417" s="39"/>
      <c r="AL1417" s="39"/>
      <c r="AM1417" s="39"/>
      <c r="AN1417" s="39">
        <f t="shared" si="778"/>
        <v>0</v>
      </c>
      <c r="AO1417" s="39"/>
      <c r="AP1417" s="39"/>
      <c r="AQ1417" s="39"/>
      <c r="AR1417" s="39"/>
      <c r="AS1417" s="39"/>
      <c r="AT1417" s="39">
        <f t="shared" si="896"/>
        <v>0</v>
      </c>
      <c r="AU1417" s="39"/>
      <c r="AV1417" s="39"/>
      <c r="AW1417" s="39"/>
      <c r="AX1417" s="39"/>
      <c r="AY1417" s="39"/>
      <c r="AZ1417" s="39">
        <f t="shared" si="897"/>
        <v>0</v>
      </c>
      <c r="BA1417" s="39"/>
      <c r="BB1417" s="39"/>
      <c r="BC1417" s="39"/>
      <c r="BD1417" s="39"/>
      <c r="BE1417" s="39"/>
      <c r="BF1417" s="39">
        <f t="shared" si="898"/>
        <v>0</v>
      </c>
      <c r="BG1417" s="39"/>
      <c r="BH1417" s="39"/>
      <c r="BI1417" s="39"/>
      <c r="BJ1417" s="39"/>
      <c r="BK1417" s="39"/>
      <c r="BL1417" s="39">
        <f t="shared" si="780"/>
        <v>0</v>
      </c>
      <c r="BM1417" s="54" t="str">
        <f t="shared" si="899"/>
        <v/>
      </c>
      <c r="BN1417" s="58">
        <v>46266</v>
      </c>
      <c r="BO1417" s="57">
        <v>46277</v>
      </c>
      <c r="BP1417" s="36"/>
      <c r="BQ1417" s="36"/>
      <c r="BR1417" s="57">
        <v>46251</v>
      </c>
      <c r="BS1417" s="57">
        <v>46251</v>
      </c>
      <c r="BT1417" s="39">
        <v>644</v>
      </c>
      <c r="BU1417" s="39">
        <f>471+36</f>
        <v>507</v>
      </c>
      <c r="BV1417" s="39"/>
      <c r="BW1417" s="39"/>
      <c r="BX1417" s="39"/>
      <c r="BY1417" s="39"/>
      <c r="BZ1417" s="39">
        <f t="shared" si="781"/>
        <v>507</v>
      </c>
      <c r="CA1417" s="39">
        <f t="shared" si="900"/>
        <v>5</v>
      </c>
      <c r="CB1417" s="39">
        <f t="shared" si="901"/>
        <v>0</v>
      </c>
      <c r="CC1417" s="39">
        <f t="shared" si="902"/>
        <v>0</v>
      </c>
      <c r="CD1417" s="39">
        <f t="shared" si="782"/>
        <v>0</v>
      </c>
      <c r="CE1417" s="102">
        <f t="shared" si="903"/>
        <v>0</v>
      </c>
      <c r="CF1417" s="36"/>
      <c r="CG1417" s="39" t="s">
        <v>245</v>
      </c>
      <c r="CH1417" s="39"/>
      <c r="CI1417" s="25">
        <v>1</v>
      </c>
    </row>
    <row r="1418" spans="1:87" ht="24.75" customHeight="1">
      <c r="A1418" s="36" t="s">
        <v>46</v>
      </c>
      <c r="B1418" s="30">
        <v>47832</v>
      </c>
      <c r="C1418" s="231"/>
      <c r="D1418" s="23"/>
      <c r="E1418" s="39"/>
      <c r="F1418" s="39"/>
      <c r="G1418" s="36" t="s">
        <v>1212</v>
      </c>
      <c r="H1418" s="36">
        <v>9290</v>
      </c>
      <c r="I1418" s="39" t="s">
        <v>199</v>
      </c>
      <c r="J1418" s="39"/>
      <c r="K1418" s="39"/>
      <c r="L1418" s="39">
        <f t="shared" si="904"/>
        <v>0</v>
      </c>
      <c r="M1418" s="117">
        <v>46254</v>
      </c>
      <c r="N1418" s="117">
        <v>46265</v>
      </c>
      <c r="O1418" s="39"/>
      <c r="P1418" s="39"/>
      <c r="Q1418" s="39"/>
      <c r="R1418" s="39">
        <f t="shared" ref="R1418:R1419" si="909">SUM(O1418:Q1418)</f>
        <v>0</v>
      </c>
      <c r="S1418" s="39" t="s">
        <v>130</v>
      </c>
      <c r="T1418" s="39"/>
      <c r="U1418" s="39"/>
      <c r="V1418" s="39"/>
      <c r="W1418" s="39"/>
      <c r="X1418" s="39"/>
      <c r="Y1418" s="39"/>
      <c r="Z1418" s="39"/>
      <c r="AA1418" s="39"/>
      <c r="AB1418" s="39">
        <f t="shared" si="906"/>
        <v>0</v>
      </c>
      <c r="AC1418" s="39"/>
      <c r="AD1418" s="39"/>
      <c r="AE1418" s="39"/>
      <c r="AF1418" s="39"/>
      <c r="AG1418" s="39"/>
      <c r="AH1418" s="39">
        <f t="shared" si="779"/>
        <v>0</v>
      </c>
      <c r="AI1418" s="39"/>
      <c r="AJ1418" s="39"/>
      <c r="AK1418" s="39"/>
      <c r="AL1418" s="39"/>
      <c r="AM1418" s="39"/>
      <c r="AN1418" s="39">
        <f t="shared" si="778"/>
        <v>0</v>
      </c>
      <c r="AO1418" s="39"/>
      <c r="AP1418" s="39"/>
      <c r="AQ1418" s="39"/>
      <c r="AR1418" s="39"/>
      <c r="AS1418" s="39"/>
      <c r="AT1418" s="39">
        <f t="shared" si="896"/>
        <v>0</v>
      </c>
      <c r="AU1418" s="39"/>
      <c r="AV1418" s="39"/>
      <c r="AW1418" s="39"/>
      <c r="AX1418" s="39"/>
      <c r="AY1418" s="39"/>
      <c r="AZ1418" s="39">
        <f t="shared" si="897"/>
        <v>0</v>
      </c>
      <c r="BA1418" s="39"/>
      <c r="BB1418" s="39"/>
      <c r="BC1418" s="39"/>
      <c r="BD1418" s="39"/>
      <c r="BE1418" s="39"/>
      <c r="BF1418" s="39">
        <f t="shared" si="898"/>
        <v>0</v>
      </c>
      <c r="BG1418" s="39"/>
      <c r="BH1418" s="39"/>
      <c r="BI1418" s="39"/>
      <c r="BJ1418" s="39"/>
      <c r="BK1418" s="39"/>
      <c r="BL1418" s="39">
        <f t="shared" si="780"/>
        <v>0</v>
      </c>
      <c r="BM1418" s="54" t="e">
        <f t="shared" si="899"/>
        <v>#DIV/0!</v>
      </c>
      <c r="BN1418" s="58">
        <v>46266</v>
      </c>
      <c r="BO1418" s="57">
        <v>46277</v>
      </c>
      <c r="BP1418" s="36"/>
      <c r="BQ1418" s="36"/>
      <c r="BR1418" s="36"/>
      <c r="BS1418" s="36"/>
      <c r="BT1418" s="39"/>
      <c r="BU1418" s="39"/>
      <c r="BV1418" s="39"/>
      <c r="BW1418" s="39"/>
      <c r="BX1418" s="39"/>
      <c r="BY1418" s="39"/>
      <c r="BZ1418" s="39">
        <f t="shared" si="781"/>
        <v>0</v>
      </c>
      <c r="CA1418" s="39" t="e">
        <f t="shared" si="900"/>
        <v>#VALUE!</v>
      </c>
      <c r="CB1418" s="39">
        <f t="shared" si="901"/>
        <v>0</v>
      </c>
      <c r="CC1418" s="39">
        <f t="shared" si="902"/>
        <v>0</v>
      </c>
      <c r="CD1418" s="39">
        <f t="shared" si="782"/>
        <v>0</v>
      </c>
      <c r="CE1418" s="102" t="e">
        <f t="shared" si="903"/>
        <v>#DIV/0!</v>
      </c>
      <c r="CF1418" s="36"/>
      <c r="CG1418" s="39" t="s">
        <v>245</v>
      </c>
      <c r="CH1418" s="39"/>
      <c r="CI1418" s="25">
        <v>1</v>
      </c>
    </row>
    <row r="1419" spans="1:87" ht="24.75" customHeight="1">
      <c r="A1419" s="36" t="s">
        <v>46</v>
      </c>
      <c r="B1419" s="30">
        <v>47832</v>
      </c>
      <c r="C1419" s="228"/>
      <c r="D1419" s="23"/>
      <c r="E1419" s="39"/>
      <c r="F1419" s="39"/>
      <c r="G1419" s="36" t="s">
        <v>75</v>
      </c>
      <c r="H1419" s="36">
        <v>4500</v>
      </c>
      <c r="I1419" s="39" t="s">
        <v>90</v>
      </c>
      <c r="J1419" s="39"/>
      <c r="K1419" s="39"/>
      <c r="L1419" s="39">
        <f t="shared" si="904"/>
        <v>0</v>
      </c>
      <c r="M1419" s="117">
        <v>46254</v>
      </c>
      <c r="N1419" s="117">
        <v>46265</v>
      </c>
      <c r="O1419" s="39"/>
      <c r="P1419" s="39"/>
      <c r="Q1419" s="39"/>
      <c r="R1419" s="39">
        <f t="shared" si="909"/>
        <v>0</v>
      </c>
      <c r="S1419" s="39" t="s">
        <v>130</v>
      </c>
      <c r="T1419" s="39"/>
      <c r="U1419" s="39"/>
      <c r="V1419" s="39"/>
      <c r="W1419" s="39"/>
      <c r="X1419" s="39"/>
      <c r="Y1419" s="39"/>
      <c r="Z1419" s="39"/>
      <c r="AA1419" s="39"/>
      <c r="AB1419" s="39">
        <f t="shared" si="906"/>
        <v>0</v>
      </c>
      <c r="AC1419" s="39"/>
      <c r="AD1419" s="39"/>
      <c r="AE1419" s="39"/>
      <c r="AF1419" s="39"/>
      <c r="AG1419" s="39"/>
      <c r="AH1419" s="39">
        <f t="shared" si="779"/>
        <v>0</v>
      </c>
      <c r="AI1419" s="39"/>
      <c r="AJ1419" s="39"/>
      <c r="AK1419" s="39"/>
      <c r="AL1419" s="39"/>
      <c r="AM1419" s="39"/>
      <c r="AN1419" s="39">
        <f t="shared" si="778"/>
        <v>0</v>
      </c>
      <c r="AO1419" s="39"/>
      <c r="AP1419" s="39"/>
      <c r="AQ1419" s="39"/>
      <c r="AR1419" s="39"/>
      <c r="AS1419" s="39"/>
      <c r="AT1419" s="39">
        <f t="shared" si="896"/>
        <v>0</v>
      </c>
      <c r="AU1419" s="39"/>
      <c r="AV1419" s="39"/>
      <c r="AW1419" s="39"/>
      <c r="AX1419" s="39"/>
      <c r="AY1419" s="39"/>
      <c r="AZ1419" s="39">
        <f t="shared" si="897"/>
        <v>0</v>
      </c>
      <c r="BA1419" s="39"/>
      <c r="BB1419" s="39"/>
      <c r="BC1419" s="39"/>
      <c r="BD1419" s="39"/>
      <c r="BE1419" s="39"/>
      <c r="BF1419" s="39">
        <f t="shared" si="898"/>
        <v>0</v>
      </c>
      <c r="BG1419" s="39"/>
      <c r="BH1419" s="39"/>
      <c r="BI1419" s="39"/>
      <c r="BJ1419" s="39"/>
      <c r="BK1419" s="39"/>
      <c r="BL1419" s="39">
        <f t="shared" si="780"/>
        <v>0</v>
      </c>
      <c r="BM1419" s="54" t="e">
        <f t="shared" si="899"/>
        <v>#DIV/0!</v>
      </c>
      <c r="BN1419" s="58">
        <v>46266</v>
      </c>
      <c r="BO1419" s="57">
        <v>46277</v>
      </c>
      <c r="BP1419" s="36"/>
      <c r="BQ1419" s="36"/>
      <c r="BR1419" s="36"/>
      <c r="BS1419" s="36"/>
      <c r="BT1419" s="39"/>
      <c r="BU1419" s="39"/>
      <c r="BV1419" s="39"/>
      <c r="BW1419" s="39"/>
      <c r="BX1419" s="39"/>
      <c r="BY1419" s="39"/>
      <c r="BZ1419" s="39">
        <f t="shared" si="781"/>
        <v>0</v>
      </c>
      <c r="CA1419" s="39" t="e">
        <f t="shared" si="900"/>
        <v>#VALUE!</v>
      </c>
      <c r="CB1419" s="39">
        <f t="shared" si="901"/>
        <v>0</v>
      </c>
      <c r="CC1419" s="39">
        <f t="shared" si="902"/>
        <v>0</v>
      </c>
      <c r="CD1419" s="39">
        <f t="shared" si="782"/>
        <v>0</v>
      </c>
      <c r="CE1419" s="102" t="e">
        <f t="shared" si="903"/>
        <v>#DIV/0!</v>
      </c>
      <c r="CF1419" s="36"/>
      <c r="CG1419" s="39" t="s">
        <v>245</v>
      </c>
      <c r="CH1419" s="39"/>
      <c r="CI1419" s="25">
        <v>1</v>
      </c>
    </row>
    <row r="1420" spans="1:87" ht="24.75" customHeight="1">
      <c r="A1420" s="36" t="s">
        <v>46</v>
      </c>
      <c r="B1420" s="30">
        <v>47834</v>
      </c>
      <c r="C1420" s="227" t="s">
        <v>2936</v>
      </c>
      <c r="D1420" s="23" t="s">
        <v>37</v>
      </c>
      <c r="E1420" s="39">
        <v>180</v>
      </c>
      <c r="F1420" s="39" t="s">
        <v>58</v>
      </c>
      <c r="G1420" s="36" t="s">
        <v>1344</v>
      </c>
      <c r="H1420" s="36" t="s">
        <v>87</v>
      </c>
      <c r="I1420" s="39">
        <v>319</v>
      </c>
      <c r="J1420" s="39"/>
      <c r="K1420" s="39">
        <v>101</v>
      </c>
      <c r="L1420" s="39">
        <f t="shared" si="904"/>
        <v>420</v>
      </c>
      <c r="M1420" s="117">
        <v>46254</v>
      </c>
      <c r="N1420" s="117">
        <v>46265</v>
      </c>
      <c r="O1420" s="39"/>
      <c r="P1420" s="39"/>
      <c r="Q1420" s="39"/>
      <c r="R1420" s="39">
        <f t="shared" ref="R1420:R1422" si="910">SUM(O1420:Q1420)</f>
        <v>0</v>
      </c>
      <c r="S1420" s="39" t="s">
        <v>130</v>
      </c>
      <c r="T1420" s="39"/>
      <c r="U1420" s="39"/>
      <c r="V1420" s="39"/>
      <c r="W1420" s="39"/>
      <c r="X1420" s="39"/>
      <c r="Y1420" s="39"/>
      <c r="Z1420" s="39"/>
      <c r="AA1420" s="39"/>
      <c r="AB1420" s="118">
        <f t="shared" ref="AB1420:AB1422" si="911">SUM(Y1420:AA1420)</f>
        <v>0</v>
      </c>
      <c r="AC1420" s="39"/>
      <c r="AD1420" s="39"/>
      <c r="AE1420" s="39"/>
      <c r="AF1420" s="39"/>
      <c r="AG1420" s="39"/>
      <c r="AH1420" s="39">
        <f t="shared" si="779"/>
        <v>0</v>
      </c>
      <c r="AI1420" s="39"/>
      <c r="AJ1420" s="39"/>
      <c r="AK1420" s="39"/>
      <c r="AL1420" s="39"/>
      <c r="AM1420" s="39"/>
      <c r="AN1420" s="39">
        <f t="shared" si="778"/>
        <v>0</v>
      </c>
      <c r="AO1420" s="39"/>
      <c r="AP1420" s="39"/>
      <c r="AQ1420" s="39"/>
      <c r="AR1420" s="39"/>
      <c r="AS1420" s="39"/>
      <c r="AT1420" s="39">
        <f t="shared" si="896"/>
        <v>0</v>
      </c>
      <c r="AU1420" s="39"/>
      <c r="AV1420" s="39"/>
      <c r="AW1420" s="39"/>
      <c r="AX1420" s="39"/>
      <c r="AY1420" s="39"/>
      <c r="AZ1420" s="39">
        <f t="shared" si="897"/>
        <v>0</v>
      </c>
      <c r="BA1420" s="39"/>
      <c r="BB1420" s="39"/>
      <c r="BC1420" s="39"/>
      <c r="BD1420" s="39"/>
      <c r="BE1420" s="39"/>
      <c r="BF1420" s="39">
        <f t="shared" si="898"/>
        <v>0</v>
      </c>
      <c r="BG1420" s="39"/>
      <c r="BH1420" s="39"/>
      <c r="BI1420" s="39"/>
      <c r="BJ1420" s="39"/>
      <c r="BK1420" s="39"/>
      <c r="BL1420" s="39">
        <f t="shared" si="780"/>
        <v>0</v>
      </c>
      <c r="BM1420" s="54">
        <f t="shared" ca="1" si="899"/>
        <v>46283</v>
      </c>
      <c r="BN1420" s="58">
        <v>46266</v>
      </c>
      <c r="BO1420" s="57">
        <v>46275</v>
      </c>
      <c r="BP1420" s="57">
        <v>46276</v>
      </c>
      <c r="BQ1420" s="57">
        <v>46283</v>
      </c>
      <c r="BR1420" s="36"/>
      <c r="BS1420" s="36"/>
      <c r="BT1420" s="39"/>
      <c r="BU1420" s="39"/>
      <c r="BV1420" s="39"/>
      <c r="BW1420" s="39"/>
      <c r="BX1420" s="39"/>
      <c r="BY1420" s="39"/>
      <c r="BZ1420" s="39">
        <f t="shared" si="781"/>
        <v>0</v>
      </c>
      <c r="CA1420" s="39">
        <f t="shared" si="900"/>
        <v>-319</v>
      </c>
      <c r="CB1420" s="39">
        <f t="shared" si="901"/>
        <v>0</v>
      </c>
      <c r="CC1420" s="39">
        <f t="shared" si="902"/>
        <v>-101</v>
      </c>
      <c r="CD1420" s="39">
        <f t="shared" si="782"/>
        <v>-420</v>
      </c>
      <c r="CE1420" s="102">
        <f t="shared" si="903"/>
        <v>-1</v>
      </c>
      <c r="CF1420" s="36"/>
      <c r="CG1420" s="39" t="s">
        <v>245</v>
      </c>
      <c r="CH1420" s="39"/>
      <c r="CI1420" s="25">
        <v>1</v>
      </c>
    </row>
    <row r="1421" spans="1:87" ht="24.75" customHeight="1">
      <c r="A1421" s="36" t="s">
        <v>46</v>
      </c>
      <c r="B1421" s="30">
        <v>47834</v>
      </c>
      <c r="C1421" s="228"/>
      <c r="D1421" s="23"/>
      <c r="E1421" s="39"/>
      <c r="F1421" s="39"/>
      <c r="G1421" s="36" t="s">
        <v>2937</v>
      </c>
      <c r="H1421" s="36">
        <v>3000</v>
      </c>
      <c r="I1421" s="39" t="s">
        <v>90</v>
      </c>
      <c r="J1421" s="39"/>
      <c r="K1421" s="39"/>
      <c r="L1421" s="39">
        <f t="shared" si="904"/>
        <v>0</v>
      </c>
      <c r="M1421" s="117">
        <v>46254</v>
      </c>
      <c r="N1421" s="117">
        <v>46265</v>
      </c>
      <c r="O1421" s="39"/>
      <c r="P1421" s="39"/>
      <c r="Q1421" s="39"/>
      <c r="R1421" s="39">
        <f t="shared" ref="R1421" si="912">SUM(O1421:Q1421)</f>
        <v>0</v>
      </c>
      <c r="S1421" s="39" t="s">
        <v>130</v>
      </c>
      <c r="T1421" s="39"/>
      <c r="U1421" s="39"/>
      <c r="V1421" s="39"/>
      <c r="W1421" s="39"/>
      <c r="X1421" s="39"/>
      <c r="Y1421" s="39"/>
      <c r="Z1421" s="39"/>
      <c r="AA1421" s="39"/>
      <c r="AB1421" s="39">
        <f t="shared" ref="AB1421" si="913">SUM(Y1421:AA1421)</f>
        <v>0</v>
      </c>
      <c r="AC1421" s="39"/>
      <c r="AD1421" s="39"/>
      <c r="AE1421" s="39"/>
      <c r="AF1421" s="39"/>
      <c r="AG1421" s="39"/>
      <c r="AH1421" s="39">
        <f t="shared" si="779"/>
        <v>0</v>
      </c>
      <c r="AI1421" s="39"/>
      <c r="AJ1421" s="39"/>
      <c r="AK1421" s="39"/>
      <c r="AL1421" s="39"/>
      <c r="AM1421" s="39"/>
      <c r="AN1421" s="39">
        <f t="shared" si="778"/>
        <v>0</v>
      </c>
      <c r="AO1421" s="39"/>
      <c r="AP1421" s="39"/>
      <c r="AQ1421" s="39"/>
      <c r="AR1421" s="39"/>
      <c r="AS1421" s="39"/>
      <c r="AT1421" s="39">
        <f t="shared" si="896"/>
        <v>0</v>
      </c>
      <c r="AU1421" s="39"/>
      <c r="AV1421" s="39"/>
      <c r="AW1421" s="39"/>
      <c r="AX1421" s="39"/>
      <c r="AY1421" s="39"/>
      <c r="AZ1421" s="39">
        <f t="shared" si="897"/>
        <v>0</v>
      </c>
      <c r="BA1421" s="39"/>
      <c r="BB1421" s="39"/>
      <c r="BC1421" s="39"/>
      <c r="BD1421" s="39"/>
      <c r="BE1421" s="39"/>
      <c r="BF1421" s="39">
        <f t="shared" si="898"/>
        <v>0</v>
      </c>
      <c r="BG1421" s="39"/>
      <c r="BH1421" s="39"/>
      <c r="BI1421" s="39"/>
      <c r="BJ1421" s="39"/>
      <c r="BK1421" s="39"/>
      <c r="BL1421" s="39">
        <f t="shared" si="780"/>
        <v>0</v>
      </c>
      <c r="BM1421" s="54" t="e">
        <f t="shared" si="899"/>
        <v>#DIV/0!</v>
      </c>
      <c r="BN1421" s="58">
        <v>46266</v>
      </c>
      <c r="BO1421" s="57">
        <v>46275</v>
      </c>
      <c r="BP1421" s="36"/>
      <c r="BQ1421" s="36"/>
      <c r="BR1421" s="36"/>
      <c r="BS1421" s="36"/>
      <c r="BT1421" s="39"/>
      <c r="BU1421" s="39"/>
      <c r="BV1421" s="39"/>
      <c r="BW1421" s="39"/>
      <c r="BX1421" s="39"/>
      <c r="BY1421" s="39"/>
      <c r="BZ1421" s="39">
        <f t="shared" si="781"/>
        <v>0</v>
      </c>
      <c r="CA1421" s="39" t="e">
        <f t="shared" si="900"/>
        <v>#VALUE!</v>
      </c>
      <c r="CB1421" s="39">
        <f t="shared" si="901"/>
        <v>0</v>
      </c>
      <c r="CC1421" s="39">
        <f t="shared" si="902"/>
        <v>0</v>
      </c>
      <c r="CD1421" s="39">
        <f t="shared" si="782"/>
        <v>0</v>
      </c>
      <c r="CE1421" s="102" t="e">
        <f t="shared" si="903"/>
        <v>#DIV/0!</v>
      </c>
      <c r="CF1421" s="36"/>
      <c r="CG1421" s="39" t="s">
        <v>245</v>
      </c>
      <c r="CH1421" s="39"/>
      <c r="CI1421" s="25">
        <v>1</v>
      </c>
    </row>
    <row r="1422" spans="1:87" ht="24.75" customHeight="1">
      <c r="A1422" s="36" t="s">
        <v>46</v>
      </c>
      <c r="B1422" s="30">
        <v>47831</v>
      </c>
      <c r="C1422" s="227" t="s">
        <v>1900</v>
      </c>
      <c r="D1422" s="23" t="s">
        <v>37</v>
      </c>
      <c r="E1422" s="39">
        <v>260</v>
      </c>
      <c r="F1422" s="39" t="s">
        <v>58</v>
      </c>
      <c r="G1422" s="36" t="s">
        <v>1344</v>
      </c>
      <c r="H1422" s="36" t="s">
        <v>111</v>
      </c>
      <c r="I1422" s="39">
        <v>838</v>
      </c>
      <c r="J1422" s="39"/>
      <c r="K1422" s="39">
        <v>35</v>
      </c>
      <c r="L1422" s="39">
        <f t="shared" si="904"/>
        <v>873</v>
      </c>
      <c r="M1422" s="117">
        <v>46252</v>
      </c>
      <c r="N1422" s="117">
        <v>46265</v>
      </c>
      <c r="O1422" s="39"/>
      <c r="P1422" s="39"/>
      <c r="Q1422" s="39"/>
      <c r="R1422" s="39">
        <f t="shared" si="910"/>
        <v>0</v>
      </c>
      <c r="S1422" s="39" t="s">
        <v>130</v>
      </c>
      <c r="T1422" s="39" t="s">
        <v>2403</v>
      </c>
      <c r="U1422" s="117" t="s">
        <v>2362</v>
      </c>
      <c r="V1422" s="39"/>
      <c r="W1422" s="39"/>
      <c r="X1422" s="39"/>
      <c r="Y1422" s="39">
        <f>813+131</f>
        <v>944</v>
      </c>
      <c r="Z1422" s="39"/>
      <c r="AA1422" s="39">
        <f>33+10</f>
        <v>43</v>
      </c>
      <c r="AB1422" s="119">
        <f t="shared" si="911"/>
        <v>987</v>
      </c>
      <c r="AC1422" s="39" t="s">
        <v>139</v>
      </c>
      <c r="AD1422" s="117" t="s">
        <v>2408</v>
      </c>
      <c r="AE1422" s="39">
        <f>482+245+118</f>
        <v>845</v>
      </c>
      <c r="AF1422" s="39"/>
      <c r="AG1422" s="39"/>
      <c r="AH1422" s="39">
        <f t="shared" si="779"/>
        <v>-845</v>
      </c>
      <c r="AI1422" s="39"/>
      <c r="AJ1422" s="39"/>
      <c r="AK1422" s="39"/>
      <c r="AL1422" s="39"/>
      <c r="AM1422" s="39"/>
      <c r="AN1422" s="39">
        <f t="shared" si="778"/>
        <v>0</v>
      </c>
      <c r="AO1422" s="39"/>
      <c r="AP1422" s="39"/>
      <c r="AQ1422" s="39"/>
      <c r="AR1422" s="39"/>
      <c r="AS1422" s="39"/>
      <c r="AT1422" s="39">
        <f t="shared" si="896"/>
        <v>0</v>
      </c>
      <c r="AU1422" s="39"/>
      <c r="AV1422" s="39"/>
      <c r="AW1422" s="39"/>
      <c r="AX1422" s="39"/>
      <c r="AY1422" s="39"/>
      <c r="AZ1422" s="39">
        <f t="shared" si="897"/>
        <v>0</v>
      </c>
      <c r="BA1422" s="39"/>
      <c r="BB1422" s="39"/>
      <c r="BC1422" s="39"/>
      <c r="BD1422" s="39"/>
      <c r="BE1422" s="39"/>
      <c r="BF1422" s="39">
        <f t="shared" si="898"/>
        <v>0</v>
      </c>
      <c r="BG1422" s="39"/>
      <c r="BH1422" s="39"/>
      <c r="BI1422" s="39"/>
      <c r="BJ1422" s="39"/>
      <c r="BK1422" s="39"/>
      <c r="BL1422" s="39">
        <f t="shared" si="780"/>
        <v>0</v>
      </c>
      <c r="BM1422" s="54" t="e">
        <f t="shared" ca="1" si="899"/>
        <v>#VALUE!</v>
      </c>
      <c r="BN1422" s="58">
        <v>46266</v>
      </c>
      <c r="BO1422" s="57">
        <v>46277</v>
      </c>
      <c r="BP1422" s="57">
        <v>46279</v>
      </c>
      <c r="BQ1422" s="57">
        <v>46289</v>
      </c>
      <c r="BR1422" s="36"/>
      <c r="BS1422" s="36"/>
      <c r="BT1422" s="39"/>
      <c r="BU1422" s="39"/>
      <c r="BV1422" s="39"/>
      <c r="BW1422" s="39"/>
      <c r="BX1422" s="39"/>
      <c r="BY1422" s="39"/>
      <c r="BZ1422" s="39">
        <f t="shared" si="781"/>
        <v>0</v>
      </c>
      <c r="CA1422" s="39">
        <f t="shared" si="900"/>
        <v>-838</v>
      </c>
      <c r="CB1422" s="39">
        <f t="shared" si="901"/>
        <v>0</v>
      </c>
      <c r="CC1422" s="39">
        <f t="shared" si="902"/>
        <v>-35</v>
      </c>
      <c r="CD1422" s="39">
        <f t="shared" si="782"/>
        <v>-873</v>
      </c>
      <c r="CE1422" s="102">
        <f t="shared" si="903"/>
        <v>-1</v>
      </c>
      <c r="CF1422" s="36"/>
      <c r="CG1422" s="39" t="s">
        <v>245</v>
      </c>
      <c r="CH1422" s="39"/>
      <c r="CI1422" s="25">
        <v>1</v>
      </c>
    </row>
    <row r="1423" spans="1:87" ht="24.75" customHeight="1">
      <c r="A1423" s="36" t="s">
        <v>46</v>
      </c>
      <c r="B1423" s="30">
        <v>47831</v>
      </c>
      <c r="C1423" s="228"/>
      <c r="D1423" s="23"/>
      <c r="E1423" s="39">
        <v>180</v>
      </c>
      <c r="F1423" s="39" t="s">
        <v>55</v>
      </c>
      <c r="G1423" s="36" t="s">
        <v>1901</v>
      </c>
      <c r="H1423" s="36" t="s">
        <v>87</v>
      </c>
      <c r="I1423" s="39">
        <v>300</v>
      </c>
      <c r="J1423" s="39"/>
      <c r="K1423" s="39"/>
      <c r="L1423" s="39">
        <f t="shared" si="904"/>
        <v>300</v>
      </c>
      <c r="M1423" s="117">
        <v>46252</v>
      </c>
      <c r="N1423" s="117">
        <v>46265</v>
      </c>
      <c r="O1423" s="39"/>
      <c r="P1423" s="39"/>
      <c r="Q1423" s="39"/>
      <c r="R1423" s="39">
        <f t="shared" ref="R1423" si="914">SUM(O1423:Q1423)</f>
        <v>0</v>
      </c>
      <c r="S1423" s="39" t="s">
        <v>31</v>
      </c>
      <c r="T1423" s="39"/>
      <c r="U1423" s="39"/>
      <c r="V1423" s="117">
        <v>46266</v>
      </c>
      <c r="W1423" s="39">
        <v>348</v>
      </c>
      <c r="X1423" s="39"/>
      <c r="Y1423" s="39"/>
      <c r="Z1423" s="39"/>
      <c r="AA1423" s="39"/>
      <c r="AB1423" s="118">
        <f t="shared" ref="AB1423:AB1426" si="915">SUM(Y1423:AA1423)</f>
        <v>0</v>
      </c>
      <c r="AC1423" s="39"/>
      <c r="AD1423" s="39"/>
      <c r="AE1423" s="39"/>
      <c r="AF1423" s="39"/>
      <c r="AG1423" s="39"/>
      <c r="AH1423" s="39">
        <f t="shared" si="779"/>
        <v>0</v>
      </c>
      <c r="AI1423" s="39"/>
      <c r="AJ1423" s="39"/>
      <c r="AK1423" s="39"/>
      <c r="AL1423" s="39"/>
      <c r="AM1423" s="39"/>
      <c r="AN1423" s="39">
        <f t="shared" si="778"/>
        <v>0</v>
      </c>
      <c r="AO1423" s="39"/>
      <c r="AP1423" s="39"/>
      <c r="AQ1423" s="39"/>
      <c r="AR1423" s="39"/>
      <c r="AS1423" s="39"/>
      <c r="AT1423" s="39">
        <f t="shared" si="896"/>
        <v>0</v>
      </c>
      <c r="AU1423" s="39"/>
      <c r="AV1423" s="39"/>
      <c r="AW1423" s="39"/>
      <c r="AX1423" s="39"/>
      <c r="AY1423" s="39"/>
      <c r="AZ1423" s="39">
        <f t="shared" si="897"/>
        <v>0</v>
      </c>
      <c r="BA1423" s="39"/>
      <c r="BB1423" s="39"/>
      <c r="BC1423" s="39"/>
      <c r="BD1423" s="39"/>
      <c r="BE1423" s="39"/>
      <c r="BF1423" s="39">
        <f t="shared" si="898"/>
        <v>0</v>
      </c>
      <c r="BG1423" s="39"/>
      <c r="BH1423" s="39"/>
      <c r="BI1423" s="39"/>
      <c r="BJ1423" s="39"/>
      <c r="BK1423" s="39"/>
      <c r="BL1423" s="39">
        <f t="shared" si="780"/>
        <v>0</v>
      </c>
      <c r="BM1423" s="54">
        <f t="shared" ca="1" si="899"/>
        <v>46283</v>
      </c>
      <c r="BN1423" s="58">
        <v>46266</v>
      </c>
      <c r="BO1423" s="57">
        <v>46277</v>
      </c>
      <c r="BP1423" s="57">
        <v>46279</v>
      </c>
      <c r="BQ1423" s="57">
        <v>46289</v>
      </c>
      <c r="BR1423" s="36"/>
      <c r="BS1423" s="36"/>
      <c r="BT1423" s="39"/>
      <c r="BU1423" s="39"/>
      <c r="BV1423" s="39"/>
      <c r="BW1423" s="39"/>
      <c r="BX1423" s="39"/>
      <c r="BY1423" s="39"/>
      <c r="BZ1423" s="39">
        <f t="shared" si="781"/>
        <v>0</v>
      </c>
      <c r="CA1423" s="39">
        <f t="shared" si="900"/>
        <v>-300</v>
      </c>
      <c r="CB1423" s="39">
        <f t="shared" si="901"/>
        <v>0</v>
      </c>
      <c r="CC1423" s="39">
        <f t="shared" si="902"/>
        <v>0</v>
      </c>
      <c r="CD1423" s="39">
        <f t="shared" si="782"/>
        <v>-300</v>
      </c>
      <c r="CE1423" s="102">
        <f t="shared" si="903"/>
        <v>-1</v>
      </c>
      <c r="CF1423" s="36"/>
      <c r="CG1423" s="39" t="s">
        <v>245</v>
      </c>
      <c r="CH1423" s="39"/>
      <c r="CI1423" s="25">
        <v>1</v>
      </c>
    </row>
    <row r="1424" spans="1:87" ht="24.75" customHeight="1">
      <c r="A1424" s="36" t="s">
        <v>46</v>
      </c>
      <c r="B1424" s="30">
        <v>47798</v>
      </c>
      <c r="C1424" s="227" t="s">
        <v>1920</v>
      </c>
      <c r="D1424" s="23"/>
      <c r="E1424" s="39">
        <v>180</v>
      </c>
      <c r="F1424" s="39" t="s">
        <v>55</v>
      </c>
      <c r="G1424" s="36" t="s">
        <v>443</v>
      </c>
      <c r="H1424" s="36" t="s">
        <v>22</v>
      </c>
      <c r="I1424" s="39">
        <v>470</v>
      </c>
      <c r="J1424" s="39"/>
      <c r="K1424" s="39"/>
      <c r="L1424" s="39">
        <f t="shared" si="904"/>
        <v>470</v>
      </c>
      <c r="M1424" s="117">
        <v>46254</v>
      </c>
      <c r="N1424" s="117">
        <v>46265</v>
      </c>
      <c r="O1424" s="39"/>
      <c r="P1424" s="39"/>
      <c r="Q1424" s="39"/>
      <c r="R1424" s="39">
        <f t="shared" ref="R1424:R1426" si="916">SUM(O1424:Q1424)</f>
        <v>0</v>
      </c>
      <c r="S1424" s="39" t="s">
        <v>130</v>
      </c>
      <c r="T1424" s="39">
        <v>109192</v>
      </c>
      <c r="U1424" s="117">
        <v>46269</v>
      </c>
      <c r="V1424" s="39"/>
      <c r="W1424" s="39"/>
      <c r="X1424" s="39"/>
      <c r="Y1424" s="39">
        <v>530</v>
      </c>
      <c r="Z1424" s="39"/>
      <c r="AA1424" s="39"/>
      <c r="AB1424" s="119">
        <f t="shared" si="915"/>
        <v>530</v>
      </c>
      <c r="AC1424" s="39"/>
      <c r="AD1424" s="39"/>
      <c r="AE1424" s="39"/>
      <c r="AF1424" s="39"/>
      <c r="AG1424" s="39"/>
      <c r="AH1424" s="39">
        <f t="shared" si="779"/>
        <v>0</v>
      </c>
      <c r="AI1424" s="39"/>
      <c r="AJ1424" s="39"/>
      <c r="AK1424" s="39"/>
      <c r="AL1424" s="39"/>
      <c r="AM1424" s="39"/>
      <c r="AN1424" s="39">
        <f t="shared" si="778"/>
        <v>0</v>
      </c>
      <c r="AO1424" s="39"/>
      <c r="AP1424" s="39"/>
      <c r="AQ1424" s="39"/>
      <c r="AR1424" s="39"/>
      <c r="AS1424" s="39"/>
      <c r="AT1424" s="39">
        <f t="shared" si="896"/>
        <v>0</v>
      </c>
      <c r="AU1424" s="39"/>
      <c r="AV1424" s="39"/>
      <c r="AW1424" s="39"/>
      <c r="AX1424" s="39"/>
      <c r="AY1424" s="39"/>
      <c r="AZ1424" s="39">
        <f t="shared" si="897"/>
        <v>0</v>
      </c>
      <c r="BA1424" s="39"/>
      <c r="BB1424" s="39"/>
      <c r="BC1424" s="39"/>
      <c r="BD1424" s="39"/>
      <c r="BE1424" s="39"/>
      <c r="BF1424" s="39">
        <f t="shared" si="898"/>
        <v>0</v>
      </c>
      <c r="BG1424" s="39"/>
      <c r="BH1424" s="39"/>
      <c r="BI1424" s="39"/>
      <c r="BJ1424" s="39"/>
      <c r="BK1424" s="39"/>
      <c r="BL1424" s="39">
        <f t="shared" si="780"/>
        <v>0</v>
      </c>
      <c r="BM1424" s="54" t="str">
        <f t="shared" si="899"/>
        <v/>
      </c>
      <c r="BN1424" s="58">
        <v>46266</v>
      </c>
      <c r="BO1424" s="57">
        <v>46280</v>
      </c>
      <c r="BP1424" s="36"/>
      <c r="BQ1424" s="36"/>
      <c r="BR1424" s="57">
        <v>46272</v>
      </c>
      <c r="BS1424" s="57">
        <v>46272</v>
      </c>
      <c r="BT1424" s="39">
        <v>772</v>
      </c>
      <c r="BU1424" s="39">
        <v>482</v>
      </c>
      <c r="BV1424" s="39"/>
      <c r="BW1424" s="39"/>
      <c r="BX1424" s="39"/>
      <c r="BY1424" s="39"/>
      <c r="BZ1424" s="39">
        <f t="shared" si="781"/>
        <v>482</v>
      </c>
      <c r="CA1424" s="39">
        <f t="shared" si="900"/>
        <v>12</v>
      </c>
      <c r="CB1424" s="39">
        <f t="shared" si="901"/>
        <v>0</v>
      </c>
      <c r="CC1424" s="39">
        <f t="shared" si="902"/>
        <v>0</v>
      </c>
      <c r="CD1424" s="39">
        <f t="shared" si="782"/>
        <v>0</v>
      </c>
      <c r="CE1424" s="102">
        <f t="shared" si="903"/>
        <v>0</v>
      </c>
      <c r="CF1424" s="36"/>
      <c r="CG1424" s="39" t="s">
        <v>240</v>
      </c>
      <c r="CH1424" s="39"/>
      <c r="CI1424" s="25">
        <v>1</v>
      </c>
    </row>
    <row r="1425" spans="1:87" ht="24.75" customHeight="1">
      <c r="A1425" s="36" t="s">
        <v>46</v>
      </c>
      <c r="B1425" s="30">
        <v>47798</v>
      </c>
      <c r="C1425" s="228"/>
      <c r="D1425" s="23"/>
      <c r="E1425" s="39">
        <v>260</v>
      </c>
      <c r="F1425" s="39" t="s">
        <v>56</v>
      </c>
      <c r="G1425" s="36" t="s">
        <v>1912</v>
      </c>
      <c r="H1425" s="36" t="s">
        <v>96</v>
      </c>
      <c r="I1425" s="39">
        <v>25</v>
      </c>
      <c r="J1425" s="39"/>
      <c r="K1425" s="39">
        <v>15</v>
      </c>
      <c r="L1425" s="39">
        <f t="shared" si="904"/>
        <v>40</v>
      </c>
      <c r="M1425" s="117">
        <v>46254</v>
      </c>
      <c r="N1425" s="117">
        <v>46265</v>
      </c>
      <c r="O1425" s="39"/>
      <c r="P1425" s="39"/>
      <c r="Q1425" s="39"/>
      <c r="R1425" s="39">
        <f t="shared" si="916"/>
        <v>0</v>
      </c>
      <c r="S1425" s="39" t="s">
        <v>130</v>
      </c>
      <c r="T1425" s="39"/>
      <c r="U1425" s="39"/>
      <c r="V1425" s="39"/>
      <c r="W1425" s="39"/>
      <c r="X1425" s="39"/>
      <c r="Y1425" s="39"/>
      <c r="Z1425" s="39"/>
      <c r="AA1425" s="39"/>
      <c r="AB1425" s="118">
        <f t="shared" si="915"/>
        <v>0</v>
      </c>
      <c r="AC1425" s="39"/>
      <c r="AD1425" s="39"/>
      <c r="AE1425" s="39"/>
      <c r="AF1425" s="39"/>
      <c r="AG1425" s="39"/>
      <c r="AH1425" s="39">
        <f t="shared" si="779"/>
        <v>0</v>
      </c>
      <c r="AI1425" s="39"/>
      <c r="AJ1425" s="39"/>
      <c r="AK1425" s="39"/>
      <c r="AL1425" s="39"/>
      <c r="AM1425" s="39"/>
      <c r="AN1425" s="39">
        <f t="shared" si="778"/>
        <v>0</v>
      </c>
      <c r="AO1425" s="39"/>
      <c r="AP1425" s="39"/>
      <c r="AQ1425" s="39"/>
      <c r="AR1425" s="39"/>
      <c r="AS1425" s="39"/>
      <c r="AT1425" s="39">
        <f t="shared" si="896"/>
        <v>0</v>
      </c>
      <c r="AU1425" s="39"/>
      <c r="AV1425" s="39"/>
      <c r="AW1425" s="39"/>
      <c r="AX1425" s="39"/>
      <c r="AY1425" s="39"/>
      <c r="AZ1425" s="39">
        <f t="shared" si="897"/>
        <v>0</v>
      </c>
      <c r="BA1425" s="39"/>
      <c r="BB1425" s="39"/>
      <c r="BC1425" s="39"/>
      <c r="BD1425" s="39"/>
      <c r="BE1425" s="39"/>
      <c r="BF1425" s="39">
        <f t="shared" si="898"/>
        <v>0</v>
      </c>
      <c r="BG1425" s="39"/>
      <c r="BH1425" s="39"/>
      <c r="BI1425" s="39"/>
      <c r="BJ1425" s="39"/>
      <c r="BK1425" s="39"/>
      <c r="BL1425" s="39">
        <f t="shared" si="780"/>
        <v>0</v>
      </c>
      <c r="BM1425" s="54">
        <f t="shared" ca="1" si="899"/>
        <v>46283</v>
      </c>
      <c r="BN1425" s="58">
        <v>46266</v>
      </c>
      <c r="BO1425" s="57">
        <v>46280</v>
      </c>
      <c r="BP1425" s="36"/>
      <c r="BQ1425" s="36"/>
      <c r="BR1425" s="39"/>
      <c r="BS1425" s="39"/>
      <c r="BT1425" s="39"/>
      <c r="BU1425" s="39"/>
      <c r="BV1425" s="39"/>
      <c r="BW1425" s="39"/>
      <c r="BX1425" s="39"/>
      <c r="BY1425" s="39"/>
      <c r="BZ1425" s="39">
        <f t="shared" si="781"/>
        <v>0</v>
      </c>
      <c r="CA1425" s="39">
        <f t="shared" si="900"/>
        <v>-25</v>
      </c>
      <c r="CB1425" s="39">
        <f t="shared" si="901"/>
        <v>0</v>
      </c>
      <c r="CC1425" s="39">
        <f t="shared" si="902"/>
        <v>-15</v>
      </c>
      <c r="CD1425" s="39">
        <f t="shared" si="782"/>
        <v>-40</v>
      </c>
      <c r="CE1425" s="102">
        <f t="shared" si="903"/>
        <v>-1</v>
      </c>
      <c r="CF1425" s="36"/>
      <c r="CG1425" s="39" t="s">
        <v>240</v>
      </c>
      <c r="CH1425" s="39"/>
      <c r="CI1425" s="25">
        <v>1</v>
      </c>
    </row>
    <row r="1426" spans="1:87" ht="24.75" customHeight="1">
      <c r="A1426" s="36" t="s">
        <v>46</v>
      </c>
      <c r="B1426" s="30">
        <v>47880</v>
      </c>
      <c r="C1426" s="36" t="s">
        <v>2970</v>
      </c>
      <c r="D1426" s="23" t="s">
        <v>37</v>
      </c>
      <c r="E1426" s="39">
        <v>160</v>
      </c>
      <c r="F1426" s="39" t="s">
        <v>57</v>
      </c>
      <c r="G1426" s="36" t="s">
        <v>2198</v>
      </c>
      <c r="H1426" s="36" t="s">
        <v>22</v>
      </c>
      <c r="I1426" s="39">
        <f>1790+50+45</f>
        <v>1885</v>
      </c>
      <c r="J1426" s="39"/>
      <c r="K1426" s="39">
        <f>25-5</f>
        <v>20</v>
      </c>
      <c r="L1426" s="39">
        <f t="shared" si="904"/>
        <v>1905</v>
      </c>
      <c r="M1426" s="117">
        <v>46252</v>
      </c>
      <c r="N1426" s="117">
        <v>46265</v>
      </c>
      <c r="O1426" s="39"/>
      <c r="P1426" s="39"/>
      <c r="Q1426" s="39"/>
      <c r="R1426" s="39">
        <f t="shared" si="916"/>
        <v>0</v>
      </c>
      <c r="S1426" s="39" t="s">
        <v>31</v>
      </c>
      <c r="T1426" s="39"/>
      <c r="U1426" s="39"/>
      <c r="V1426" s="117">
        <v>46262</v>
      </c>
      <c r="W1426" s="39">
        <v>2069</v>
      </c>
      <c r="X1426" s="117" t="s">
        <v>3062</v>
      </c>
      <c r="Y1426" s="39">
        <f>470+426+7</f>
        <v>903</v>
      </c>
      <c r="Z1426" s="39"/>
      <c r="AA1426" s="39">
        <f>7</f>
        <v>7</v>
      </c>
      <c r="AB1426" s="120">
        <f t="shared" si="915"/>
        <v>910</v>
      </c>
      <c r="AC1426" s="39" t="s">
        <v>139</v>
      </c>
      <c r="AD1426" s="117" t="s">
        <v>3060</v>
      </c>
      <c r="AE1426" s="39">
        <f>471+425</f>
        <v>896</v>
      </c>
      <c r="AF1426" s="39"/>
      <c r="AG1426" s="39"/>
      <c r="AH1426" s="39">
        <f t="shared" si="779"/>
        <v>-896</v>
      </c>
      <c r="AI1426" s="39"/>
      <c r="AJ1426" s="39"/>
      <c r="AK1426" s="39"/>
      <c r="AL1426" s="39"/>
      <c r="AM1426" s="39"/>
      <c r="AN1426" s="39">
        <f t="shared" si="778"/>
        <v>0</v>
      </c>
      <c r="AO1426" s="39"/>
      <c r="AP1426" s="39"/>
      <c r="AQ1426" s="39"/>
      <c r="AR1426" s="39"/>
      <c r="AS1426" s="39"/>
      <c r="AT1426" s="39">
        <f t="shared" si="896"/>
        <v>0</v>
      </c>
      <c r="AU1426" s="39"/>
      <c r="AV1426" s="39"/>
      <c r="AW1426" s="39"/>
      <c r="AX1426" s="39"/>
      <c r="AY1426" s="39"/>
      <c r="AZ1426" s="39">
        <f t="shared" si="897"/>
        <v>0</v>
      </c>
      <c r="BA1426" s="39"/>
      <c r="BB1426" s="39"/>
      <c r="BC1426" s="39"/>
      <c r="BD1426" s="39"/>
      <c r="BE1426" s="39"/>
      <c r="BF1426" s="39">
        <f t="shared" si="898"/>
        <v>0</v>
      </c>
      <c r="BG1426" s="39"/>
      <c r="BH1426" s="39"/>
      <c r="BI1426" s="39"/>
      <c r="BJ1426" s="39"/>
      <c r="BK1426" s="39"/>
      <c r="BL1426" s="39">
        <f t="shared" si="780"/>
        <v>0</v>
      </c>
      <c r="BM1426" s="54">
        <f t="shared" ca="1" si="899"/>
        <v>46283</v>
      </c>
      <c r="BN1426" s="58">
        <v>46266</v>
      </c>
      <c r="BO1426" s="57">
        <v>46279</v>
      </c>
      <c r="BP1426" s="57">
        <v>46280</v>
      </c>
      <c r="BQ1426" s="57">
        <v>46289</v>
      </c>
      <c r="BR1426" s="39"/>
      <c r="BS1426" s="39"/>
      <c r="BT1426" s="39"/>
      <c r="BU1426" s="39"/>
      <c r="BV1426" s="39"/>
      <c r="BW1426" s="39"/>
      <c r="BX1426" s="39"/>
      <c r="BY1426" s="39"/>
      <c r="BZ1426" s="39">
        <f t="shared" si="781"/>
        <v>0</v>
      </c>
      <c r="CA1426" s="39">
        <f t="shared" si="900"/>
        <v>-1885</v>
      </c>
      <c r="CB1426" s="39">
        <f t="shared" si="901"/>
        <v>0</v>
      </c>
      <c r="CC1426" s="39">
        <f t="shared" si="902"/>
        <v>-20</v>
      </c>
      <c r="CD1426" s="39">
        <f t="shared" si="782"/>
        <v>-1905</v>
      </c>
      <c r="CE1426" s="102">
        <f t="shared" si="903"/>
        <v>-1</v>
      </c>
      <c r="CF1426" s="36"/>
      <c r="CG1426" s="39" t="s">
        <v>240</v>
      </c>
      <c r="CH1426" s="39"/>
      <c r="CI1426" s="25">
        <v>1</v>
      </c>
    </row>
    <row r="1427" spans="1:87" ht="24.75" customHeight="1">
      <c r="A1427" s="36" t="s">
        <v>46</v>
      </c>
      <c r="B1427" s="30">
        <v>48130</v>
      </c>
      <c r="C1427" s="227" t="s">
        <v>1921</v>
      </c>
      <c r="D1427" s="23" t="s">
        <v>24</v>
      </c>
      <c r="E1427" s="39">
        <v>230</v>
      </c>
      <c r="F1427" s="39" t="s">
        <v>349</v>
      </c>
      <c r="G1427" s="36" t="s">
        <v>1922</v>
      </c>
      <c r="H1427" s="36" t="s">
        <v>1923</v>
      </c>
      <c r="I1427" s="39">
        <v>690</v>
      </c>
      <c r="J1427" s="39"/>
      <c r="K1427" s="39"/>
      <c r="L1427" s="39">
        <f t="shared" ref="L1427:L1428" si="917">SUM(I1427:K1427)</f>
        <v>690</v>
      </c>
      <c r="M1427" s="117">
        <v>46255</v>
      </c>
      <c r="N1427" s="117">
        <v>46265</v>
      </c>
      <c r="O1427" s="39"/>
      <c r="P1427" s="39"/>
      <c r="Q1427" s="39"/>
      <c r="R1427" s="39">
        <f t="shared" ref="R1427:R1434" si="918">SUM(O1427:Q1427)</f>
        <v>0</v>
      </c>
      <c r="S1427" s="39" t="s">
        <v>130</v>
      </c>
      <c r="T1427" s="39"/>
      <c r="U1427" s="39"/>
      <c r="V1427" s="39"/>
      <c r="W1427" s="39"/>
      <c r="X1427" s="39"/>
      <c r="Y1427" s="39"/>
      <c r="Z1427" s="39"/>
      <c r="AA1427" s="39"/>
      <c r="AB1427" s="118">
        <f t="shared" ref="AB1427:AB1434" si="919">SUM(Y1427:AA1427)</f>
        <v>0</v>
      </c>
      <c r="AC1427" s="39"/>
      <c r="AD1427" s="39"/>
      <c r="AE1427" s="39"/>
      <c r="AF1427" s="39"/>
      <c r="AG1427" s="39"/>
      <c r="AH1427" s="39">
        <f t="shared" si="779"/>
        <v>0</v>
      </c>
      <c r="AI1427" s="39"/>
      <c r="AJ1427" s="39"/>
      <c r="AK1427" s="39"/>
      <c r="AL1427" s="39"/>
      <c r="AM1427" s="39"/>
      <c r="AN1427" s="39">
        <f t="shared" si="778"/>
        <v>0</v>
      </c>
      <c r="AO1427" s="39"/>
      <c r="AP1427" s="39"/>
      <c r="AQ1427" s="39"/>
      <c r="AR1427" s="39"/>
      <c r="AS1427" s="39"/>
      <c r="AT1427" s="39">
        <f t="shared" si="896"/>
        <v>0</v>
      </c>
      <c r="AU1427" s="39"/>
      <c r="AV1427" s="39"/>
      <c r="AW1427" s="39"/>
      <c r="AX1427" s="39"/>
      <c r="AY1427" s="39"/>
      <c r="AZ1427" s="39">
        <f t="shared" si="897"/>
        <v>0</v>
      </c>
      <c r="BA1427" s="39"/>
      <c r="BB1427" s="39"/>
      <c r="BC1427" s="39"/>
      <c r="BD1427" s="39"/>
      <c r="BE1427" s="39"/>
      <c r="BF1427" s="39">
        <f t="shared" si="898"/>
        <v>0</v>
      </c>
      <c r="BG1427" s="39"/>
      <c r="BH1427" s="39"/>
      <c r="BI1427" s="39"/>
      <c r="BJ1427" s="39"/>
      <c r="BK1427" s="39"/>
      <c r="BL1427" s="39">
        <f t="shared" si="780"/>
        <v>0</v>
      </c>
      <c r="BM1427" s="54">
        <f t="shared" ca="1" si="899"/>
        <v>46283</v>
      </c>
      <c r="BN1427" s="58">
        <v>46266</v>
      </c>
      <c r="BO1427" s="57">
        <v>46277</v>
      </c>
      <c r="BP1427" s="36"/>
      <c r="BQ1427" s="36"/>
      <c r="BR1427" s="39"/>
      <c r="BS1427" s="39"/>
      <c r="BT1427" s="39"/>
      <c r="BU1427" s="39"/>
      <c r="BV1427" s="39"/>
      <c r="BW1427" s="39"/>
      <c r="BX1427" s="39"/>
      <c r="BY1427" s="39"/>
      <c r="BZ1427" s="39">
        <f t="shared" si="781"/>
        <v>0</v>
      </c>
      <c r="CA1427" s="39">
        <f t="shared" si="900"/>
        <v>-690</v>
      </c>
      <c r="CB1427" s="39">
        <f t="shared" si="901"/>
        <v>0</v>
      </c>
      <c r="CC1427" s="39">
        <f t="shared" si="902"/>
        <v>0</v>
      </c>
      <c r="CD1427" s="39">
        <f t="shared" si="782"/>
        <v>-690</v>
      </c>
      <c r="CE1427" s="102">
        <f t="shared" si="903"/>
        <v>-1</v>
      </c>
      <c r="CF1427" s="36"/>
      <c r="CG1427" s="39" t="s">
        <v>245</v>
      </c>
      <c r="CH1427" s="39"/>
      <c r="CI1427" s="25">
        <v>1</v>
      </c>
    </row>
    <row r="1428" spans="1:87" ht="24.75" customHeight="1">
      <c r="A1428" s="36" t="s">
        <v>46</v>
      </c>
      <c r="B1428" s="30">
        <v>48130</v>
      </c>
      <c r="C1428" s="228"/>
      <c r="D1428" s="23"/>
      <c r="E1428" s="39">
        <v>160</v>
      </c>
      <c r="F1428" s="39" t="s">
        <v>57</v>
      </c>
      <c r="G1428" s="36" t="s">
        <v>1838</v>
      </c>
      <c r="H1428" s="36" t="s">
        <v>87</v>
      </c>
      <c r="I1428" s="39">
        <v>15</v>
      </c>
      <c r="J1428" s="39"/>
      <c r="K1428" s="39"/>
      <c r="L1428" s="39">
        <f t="shared" si="917"/>
        <v>15</v>
      </c>
      <c r="M1428" s="117">
        <v>46255</v>
      </c>
      <c r="N1428" s="117">
        <v>46265</v>
      </c>
      <c r="O1428" s="39"/>
      <c r="P1428" s="39"/>
      <c r="Q1428" s="39"/>
      <c r="R1428" s="39">
        <f t="shared" si="918"/>
        <v>0</v>
      </c>
      <c r="S1428" s="39" t="s">
        <v>130</v>
      </c>
      <c r="T1428" s="39"/>
      <c r="U1428" s="39"/>
      <c r="V1428" s="39"/>
      <c r="W1428" s="39"/>
      <c r="X1428" s="39"/>
      <c r="Y1428" s="39"/>
      <c r="Z1428" s="39"/>
      <c r="AA1428" s="39"/>
      <c r="AB1428" s="118">
        <f t="shared" si="919"/>
        <v>0</v>
      </c>
      <c r="AC1428" s="39"/>
      <c r="AD1428" s="39"/>
      <c r="AE1428" s="39"/>
      <c r="AF1428" s="39"/>
      <c r="AG1428" s="39"/>
      <c r="AH1428" s="39">
        <f t="shared" si="779"/>
        <v>0</v>
      </c>
      <c r="AI1428" s="39"/>
      <c r="AJ1428" s="39"/>
      <c r="AK1428" s="39"/>
      <c r="AL1428" s="39"/>
      <c r="AM1428" s="39"/>
      <c r="AN1428" s="39">
        <f t="shared" si="778"/>
        <v>0</v>
      </c>
      <c r="AO1428" s="39"/>
      <c r="AP1428" s="39"/>
      <c r="AQ1428" s="39"/>
      <c r="AR1428" s="39"/>
      <c r="AS1428" s="39"/>
      <c r="AT1428" s="39">
        <f t="shared" si="896"/>
        <v>0</v>
      </c>
      <c r="AU1428" s="39"/>
      <c r="AV1428" s="39"/>
      <c r="AW1428" s="39"/>
      <c r="AX1428" s="39"/>
      <c r="AY1428" s="39"/>
      <c r="AZ1428" s="39">
        <f t="shared" si="897"/>
        <v>0</v>
      </c>
      <c r="BA1428" s="39"/>
      <c r="BB1428" s="39"/>
      <c r="BC1428" s="39"/>
      <c r="BD1428" s="39"/>
      <c r="BE1428" s="39"/>
      <c r="BF1428" s="39">
        <f t="shared" si="898"/>
        <v>0</v>
      </c>
      <c r="BG1428" s="39"/>
      <c r="BH1428" s="39"/>
      <c r="BI1428" s="39"/>
      <c r="BJ1428" s="39"/>
      <c r="BK1428" s="39"/>
      <c r="BL1428" s="39">
        <f t="shared" si="780"/>
        <v>0</v>
      </c>
      <c r="BM1428" s="54">
        <f t="shared" ca="1" si="899"/>
        <v>46283</v>
      </c>
      <c r="BN1428" s="58">
        <v>46266</v>
      </c>
      <c r="BO1428" s="57">
        <v>46277</v>
      </c>
      <c r="BP1428" s="36"/>
      <c r="BQ1428" s="36"/>
      <c r="BR1428" s="39"/>
      <c r="BS1428" s="39"/>
      <c r="BT1428" s="39"/>
      <c r="BU1428" s="39"/>
      <c r="BV1428" s="39"/>
      <c r="BW1428" s="39"/>
      <c r="BX1428" s="39"/>
      <c r="BY1428" s="39"/>
      <c r="BZ1428" s="39">
        <f t="shared" si="781"/>
        <v>0</v>
      </c>
      <c r="CA1428" s="39">
        <f t="shared" si="900"/>
        <v>-15</v>
      </c>
      <c r="CB1428" s="39">
        <f t="shared" si="901"/>
        <v>0</v>
      </c>
      <c r="CC1428" s="39">
        <f t="shared" si="902"/>
        <v>0</v>
      </c>
      <c r="CD1428" s="39">
        <f t="shared" si="782"/>
        <v>-15</v>
      </c>
      <c r="CE1428" s="102">
        <f t="shared" si="903"/>
        <v>-1</v>
      </c>
      <c r="CF1428" s="36"/>
      <c r="CG1428" s="39" t="s">
        <v>245</v>
      </c>
      <c r="CH1428" s="39"/>
      <c r="CI1428" s="25">
        <v>1</v>
      </c>
    </row>
    <row r="1429" spans="1:87" ht="24.75" customHeight="1">
      <c r="A1429" s="36" t="s">
        <v>46</v>
      </c>
      <c r="B1429" s="30">
        <v>47816</v>
      </c>
      <c r="C1429" s="227" t="s">
        <v>1924</v>
      </c>
      <c r="D1429" s="23"/>
      <c r="E1429" s="39" t="s">
        <v>1925</v>
      </c>
      <c r="F1429" s="39" t="s">
        <v>68</v>
      </c>
      <c r="G1429" s="36" t="s">
        <v>1926</v>
      </c>
      <c r="H1429" s="36" t="s">
        <v>89</v>
      </c>
      <c r="I1429" s="39">
        <v>515</v>
      </c>
      <c r="J1429" s="39"/>
      <c r="K1429" s="39"/>
      <c r="L1429" s="39">
        <f t="shared" ref="L1429:L1432" si="920">SUM(I1429:K1429)</f>
        <v>515</v>
      </c>
      <c r="M1429" s="117">
        <v>46249</v>
      </c>
      <c r="N1429" s="117">
        <v>46262</v>
      </c>
      <c r="O1429" s="39"/>
      <c r="P1429" s="39"/>
      <c r="Q1429" s="39"/>
      <c r="R1429" s="39">
        <f t="shared" si="918"/>
        <v>0</v>
      </c>
      <c r="S1429" s="39" t="s">
        <v>130</v>
      </c>
      <c r="T1429" s="39"/>
      <c r="U1429" s="117"/>
      <c r="V1429" s="39"/>
      <c r="W1429" s="39"/>
      <c r="X1429" s="39"/>
      <c r="Y1429" s="39"/>
      <c r="Z1429" s="39"/>
      <c r="AA1429" s="39"/>
      <c r="AB1429" s="118">
        <f t="shared" si="919"/>
        <v>0</v>
      </c>
      <c r="AC1429" s="39"/>
      <c r="AD1429" s="39"/>
      <c r="AE1429" s="39"/>
      <c r="AF1429" s="39"/>
      <c r="AG1429" s="39"/>
      <c r="AH1429" s="39">
        <f t="shared" si="779"/>
        <v>0</v>
      </c>
      <c r="AI1429" s="39"/>
      <c r="AJ1429" s="39"/>
      <c r="AK1429" s="39"/>
      <c r="AL1429" s="39"/>
      <c r="AM1429" s="39"/>
      <c r="AN1429" s="39">
        <f t="shared" si="778"/>
        <v>0</v>
      </c>
      <c r="AO1429" s="39"/>
      <c r="AP1429" s="39"/>
      <c r="AQ1429" s="39"/>
      <c r="AR1429" s="39"/>
      <c r="AS1429" s="39"/>
      <c r="AT1429" s="39">
        <f t="shared" si="896"/>
        <v>0</v>
      </c>
      <c r="AU1429" s="39"/>
      <c r="AV1429" s="39"/>
      <c r="AW1429" s="39"/>
      <c r="AX1429" s="39"/>
      <c r="AY1429" s="39"/>
      <c r="AZ1429" s="39">
        <f t="shared" si="897"/>
        <v>0</v>
      </c>
      <c r="BA1429" s="39"/>
      <c r="BB1429" s="39"/>
      <c r="BC1429" s="39"/>
      <c r="BD1429" s="39"/>
      <c r="BE1429" s="39"/>
      <c r="BF1429" s="39">
        <f t="shared" si="898"/>
        <v>0</v>
      </c>
      <c r="BG1429" s="39"/>
      <c r="BH1429" s="39"/>
      <c r="BI1429" s="39"/>
      <c r="BJ1429" s="39"/>
      <c r="BK1429" s="39"/>
      <c r="BL1429" s="39">
        <f t="shared" si="780"/>
        <v>0</v>
      </c>
      <c r="BM1429" s="54">
        <f t="shared" ca="1" si="899"/>
        <v>46283</v>
      </c>
      <c r="BN1429" s="58">
        <v>46266</v>
      </c>
      <c r="BO1429" s="57">
        <v>46279</v>
      </c>
      <c r="BP1429" s="57">
        <v>46279</v>
      </c>
      <c r="BQ1429" s="57">
        <v>46288</v>
      </c>
      <c r="BR1429" s="39"/>
      <c r="BS1429" s="39"/>
      <c r="BT1429" s="39"/>
      <c r="BU1429" s="39"/>
      <c r="BV1429" s="39"/>
      <c r="BW1429" s="39"/>
      <c r="BX1429" s="39"/>
      <c r="BY1429" s="39"/>
      <c r="BZ1429" s="39">
        <f t="shared" si="781"/>
        <v>0</v>
      </c>
      <c r="CA1429" s="39">
        <f t="shared" si="900"/>
        <v>-515</v>
      </c>
      <c r="CB1429" s="39">
        <f t="shared" si="901"/>
        <v>0</v>
      </c>
      <c r="CC1429" s="39">
        <f t="shared" si="902"/>
        <v>0</v>
      </c>
      <c r="CD1429" s="39">
        <f t="shared" si="782"/>
        <v>-515</v>
      </c>
      <c r="CE1429" s="102">
        <f t="shared" si="903"/>
        <v>-1</v>
      </c>
      <c r="CF1429" s="36"/>
      <c r="CG1429" s="39" t="s">
        <v>242</v>
      </c>
      <c r="CH1429" s="39"/>
      <c r="CI1429" s="25">
        <v>1</v>
      </c>
    </row>
    <row r="1430" spans="1:87" ht="24.75" customHeight="1">
      <c r="A1430" s="36" t="s">
        <v>46</v>
      </c>
      <c r="B1430" s="30">
        <v>47816</v>
      </c>
      <c r="C1430" s="231"/>
      <c r="D1430" s="23" t="s">
        <v>110</v>
      </c>
      <c r="E1430" s="39">
        <v>160</v>
      </c>
      <c r="F1430" s="39" t="s">
        <v>54</v>
      </c>
      <c r="G1430" s="36" t="s">
        <v>522</v>
      </c>
      <c r="H1430" s="36" t="s">
        <v>22</v>
      </c>
      <c r="I1430" s="39">
        <v>614</v>
      </c>
      <c r="J1430" s="39"/>
      <c r="K1430" s="39"/>
      <c r="L1430" s="39">
        <f t="shared" si="920"/>
        <v>614</v>
      </c>
      <c r="M1430" s="117">
        <v>46249</v>
      </c>
      <c r="N1430" s="117">
        <v>46262</v>
      </c>
      <c r="O1430" s="39"/>
      <c r="P1430" s="39"/>
      <c r="Q1430" s="39"/>
      <c r="R1430" s="39">
        <f t="shared" si="918"/>
        <v>0</v>
      </c>
      <c r="S1430" s="39" t="s">
        <v>130</v>
      </c>
      <c r="T1430" s="39">
        <v>108602</v>
      </c>
      <c r="U1430" s="117">
        <v>46247</v>
      </c>
      <c r="V1430" s="39"/>
      <c r="W1430" s="39"/>
      <c r="X1430" s="39"/>
      <c r="Y1430" s="39">
        <v>683</v>
      </c>
      <c r="Z1430" s="39"/>
      <c r="AA1430" s="39"/>
      <c r="AB1430" s="119">
        <f t="shared" si="919"/>
        <v>683</v>
      </c>
      <c r="AC1430" s="39" t="s">
        <v>139</v>
      </c>
      <c r="AD1430" s="117">
        <v>46259</v>
      </c>
      <c r="AE1430" s="39">
        <v>613</v>
      </c>
      <c r="AF1430" s="117" t="s">
        <v>3014</v>
      </c>
      <c r="AG1430" s="39">
        <f>12+571</f>
        <v>583</v>
      </c>
      <c r="AH1430" s="39">
        <f t="shared" si="779"/>
        <v>-30</v>
      </c>
      <c r="AI1430" s="39" t="s">
        <v>257</v>
      </c>
      <c r="AJ1430" s="117">
        <v>46249</v>
      </c>
      <c r="AK1430" s="39">
        <v>621</v>
      </c>
      <c r="AL1430" s="117">
        <v>46252</v>
      </c>
      <c r="AM1430" s="39">
        <v>612</v>
      </c>
      <c r="AN1430" s="39">
        <f t="shared" si="778"/>
        <v>-9</v>
      </c>
      <c r="AO1430" s="39"/>
      <c r="AP1430" s="39"/>
      <c r="AQ1430" s="39"/>
      <c r="AR1430" s="39"/>
      <c r="AS1430" s="39"/>
      <c r="AT1430" s="39">
        <f t="shared" si="896"/>
        <v>0</v>
      </c>
      <c r="AU1430" s="39"/>
      <c r="AV1430" s="39"/>
      <c r="AW1430" s="39"/>
      <c r="AX1430" s="39"/>
      <c r="AY1430" s="39"/>
      <c r="AZ1430" s="39">
        <f t="shared" si="897"/>
        <v>0</v>
      </c>
      <c r="BA1430" s="39"/>
      <c r="BB1430" s="39"/>
      <c r="BC1430" s="39"/>
      <c r="BD1430" s="39"/>
      <c r="BE1430" s="39"/>
      <c r="BF1430" s="39">
        <f t="shared" si="898"/>
        <v>0</v>
      </c>
      <c r="BG1430" s="39"/>
      <c r="BH1430" s="39"/>
      <c r="BI1430" s="39"/>
      <c r="BJ1430" s="39"/>
      <c r="BK1430" s="39"/>
      <c r="BL1430" s="39">
        <f t="shared" si="780"/>
        <v>0</v>
      </c>
      <c r="BM1430" s="54">
        <f t="shared" ca="1" si="899"/>
        <v>36</v>
      </c>
      <c r="BN1430" s="58">
        <v>46266</v>
      </c>
      <c r="BO1430" s="57">
        <v>46279</v>
      </c>
      <c r="BP1430" s="57">
        <v>46279</v>
      </c>
      <c r="BQ1430" s="57">
        <v>46288</v>
      </c>
      <c r="BR1430" s="117">
        <v>46267</v>
      </c>
      <c r="BS1430" s="39"/>
      <c r="BT1430" s="39">
        <v>1896</v>
      </c>
      <c r="BU1430" s="39">
        <f>8</f>
        <v>8</v>
      </c>
      <c r="BV1430" s="39"/>
      <c r="BW1430" s="39"/>
      <c r="BX1430" s="39"/>
      <c r="BY1430" s="39"/>
      <c r="BZ1430" s="39">
        <f t="shared" si="781"/>
        <v>8</v>
      </c>
      <c r="CA1430" s="39">
        <f t="shared" si="900"/>
        <v>-606</v>
      </c>
      <c r="CB1430" s="39">
        <f t="shared" si="901"/>
        <v>0</v>
      </c>
      <c r="CC1430" s="39">
        <f t="shared" si="902"/>
        <v>0</v>
      </c>
      <c r="CD1430" s="39">
        <f t="shared" si="782"/>
        <v>-606</v>
      </c>
      <c r="CE1430" s="102">
        <f t="shared" si="903"/>
        <v>-0.98697068403908794</v>
      </c>
      <c r="CF1430" s="36"/>
      <c r="CG1430" s="39" t="s">
        <v>242</v>
      </c>
      <c r="CH1430" s="39"/>
      <c r="CI1430" s="25">
        <v>1</v>
      </c>
    </row>
    <row r="1431" spans="1:87" ht="24.75" customHeight="1">
      <c r="A1431" s="36" t="s">
        <v>46</v>
      </c>
      <c r="B1431" s="30">
        <v>47816</v>
      </c>
      <c r="C1431" s="231"/>
      <c r="D1431" s="23"/>
      <c r="E1431" s="39" t="s">
        <v>1925</v>
      </c>
      <c r="F1431" s="39" t="s">
        <v>68</v>
      </c>
      <c r="G1431" s="36" t="s">
        <v>201</v>
      </c>
      <c r="H1431" s="36" t="s">
        <v>89</v>
      </c>
      <c r="I1431" s="39">
        <v>515</v>
      </c>
      <c r="J1431" s="39"/>
      <c r="K1431" s="39"/>
      <c r="L1431" s="39">
        <f t="shared" si="920"/>
        <v>515</v>
      </c>
      <c r="M1431" s="117">
        <v>46249</v>
      </c>
      <c r="N1431" s="117">
        <v>46262</v>
      </c>
      <c r="O1431" s="39"/>
      <c r="P1431" s="39"/>
      <c r="Q1431" s="39"/>
      <c r="R1431" s="39">
        <f t="shared" si="918"/>
        <v>0</v>
      </c>
      <c r="S1431" s="39" t="s">
        <v>130</v>
      </c>
      <c r="T1431" s="39"/>
      <c r="U1431" s="39"/>
      <c r="V1431" s="39"/>
      <c r="W1431" s="39"/>
      <c r="X1431" s="39"/>
      <c r="Y1431" s="39"/>
      <c r="Z1431" s="39"/>
      <c r="AA1431" s="39"/>
      <c r="AB1431" s="118">
        <f t="shared" si="919"/>
        <v>0</v>
      </c>
      <c r="AC1431" s="39"/>
      <c r="AD1431" s="39"/>
      <c r="AE1431" s="39"/>
      <c r="AF1431" s="39"/>
      <c r="AG1431" s="39"/>
      <c r="AH1431" s="39">
        <f t="shared" si="779"/>
        <v>0</v>
      </c>
      <c r="AI1431" s="39"/>
      <c r="AJ1431" s="39"/>
      <c r="AK1431" s="39"/>
      <c r="AL1431" s="39"/>
      <c r="AM1431" s="39"/>
      <c r="AN1431" s="39">
        <f t="shared" si="778"/>
        <v>0</v>
      </c>
      <c r="AO1431" s="39"/>
      <c r="AP1431" s="39"/>
      <c r="AQ1431" s="39"/>
      <c r="AR1431" s="39"/>
      <c r="AS1431" s="39"/>
      <c r="AT1431" s="39">
        <f t="shared" si="896"/>
        <v>0</v>
      </c>
      <c r="AU1431" s="39"/>
      <c r="AV1431" s="39"/>
      <c r="AW1431" s="39"/>
      <c r="AX1431" s="39"/>
      <c r="AY1431" s="39"/>
      <c r="AZ1431" s="39">
        <f t="shared" si="897"/>
        <v>0</v>
      </c>
      <c r="BA1431" s="39"/>
      <c r="BB1431" s="39"/>
      <c r="BC1431" s="39"/>
      <c r="BD1431" s="39"/>
      <c r="BE1431" s="39"/>
      <c r="BF1431" s="39">
        <f t="shared" si="898"/>
        <v>0</v>
      </c>
      <c r="BG1431" s="39"/>
      <c r="BH1431" s="39"/>
      <c r="BI1431" s="39"/>
      <c r="BJ1431" s="39"/>
      <c r="BK1431" s="39"/>
      <c r="BL1431" s="39">
        <f t="shared" si="780"/>
        <v>0</v>
      </c>
      <c r="BM1431" s="54">
        <f t="shared" ca="1" si="899"/>
        <v>46283</v>
      </c>
      <c r="BN1431" s="58">
        <v>46266</v>
      </c>
      <c r="BO1431" s="57">
        <v>46279</v>
      </c>
      <c r="BP1431" s="57">
        <v>46279</v>
      </c>
      <c r="BQ1431" s="57">
        <v>46288</v>
      </c>
      <c r="BR1431" s="39"/>
      <c r="BS1431" s="39"/>
      <c r="BT1431" s="39"/>
      <c r="BU1431" s="39"/>
      <c r="BV1431" s="39"/>
      <c r="BW1431" s="39"/>
      <c r="BX1431" s="39"/>
      <c r="BY1431" s="39"/>
      <c r="BZ1431" s="39">
        <f t="shared" si="781"/>
        <v>0</v>
      </c>
      <c r="CA1431" s="39">
        <f t="shared" si="900"/>
        <v>-515</v>
      </c>
      <c r="CB1431" s="39">
        <f t="shared" si="901"/>
        <v>0</v>
      </c>
      <c r="CC1431" s="39">
        <f t="shared" si="902"/>
        <v>0</v>
      </c>
      <c r="CD1431" s="39">
        <f t="shared" si="782"/>
        <v>-515</v>
      </c>
      <c r="CE1431" s="102">
        <f t="shared" si="903"/>
        <v>-1</v>
      </c>
      <c r="CF1431" s="36"/>
      <c r="CG1431" s="39" t="s">
        <v>242</v>
      </c>
      <c r="CH1431" s="39"/>
      <c r="CI1431" s="25">
        <v>1</v>
      </c>
    </row>
    <row r="1432" spans="1:87" ht="24.75" customHeight="1">
      <c r="A1432" s="36" t="s">
        <v>46</v>
      </c>
      <c r="B1432" s="30">
        <v>47816</v>
      </c>
      <c r="C1432" s="231"/>
      <c r="D1432" s="23" t="s">
        <v>110</v>
      </c>
      <c r="E1432" s="39">
        <v>160</v>
      </c>
      <c r="F1432" s="39" t="s">
        <v>54</v>
      </c>
      <c r="G1432" s="36" t="s">
        <v>1927</v>
      </c>
      <c r="H1432" s="36" t="s">
        <v>22</v>
      </c>
      <c r="I1432" s="39">
        <v>614</v>
      </c>
      <c r="J1432" s="39"/>
      <c r="K1432" s="39"/>
      <c r="L1432" s="39">
        <f t="shared" si="920"/>
        <v>614</v>
      </c>
      <c r="M1432" s="117">
        <v>46249</v>
      </c>
      <c r="N1432" s="117">
        <v>46262</v>
      </c>
      <c r="O1432" s="39"/>
      <c r="P1432" s="39"/>
      <c r="Q1432" s="39"/>
      <c r="R1432" s="39">
        <f t="shared" si="918"/>
        <v>0</v>
      </c>
      <c r="S1432" s="39" t="s">
        <v>130</v>
      </c>
      <c r="T1432" s="39">
        <v>108902</v>
      </c>
      <c r="U1432" s="117">
        <v>46258</v>
      </c>
      <c r="V1432" s="39"/>
      <c r="W1432" s="39"/>
      <c r="X1432" s="39"/>
      <c r="Y1432" s="39">
        <v>709</v>
      </c>
      <c r="Z1432" s="39"/>
      <c r="AA1432" s="39"/>
      <c r="AB1432" s="119">
        <f t="shared" si="919"/>
        <v>709</v>
      </c>
      <c r="AC1432" s="39" t="s">
        <v>139</v>
      </c>
      <c r="AD1432" s="117">
        <v>46265</v>
      </c>
      <c r="AE1432" s="39">
        <v>639</v>
      </c>
      <c r="AF1432" s="117">
        <v>46270</v>
      </c>
      <c r="AG1432" s="39">
        <f>617</f>
        <v>617</v>
      </c>
      <c r="AH1432" s="39">
        <f t="shared" si="779"/>
        <v>-22</v>
      </c>
      <c r="AI1432" s="39" t="s">
        <v>257</v>
      </c>
      <c r="AJ1432" s="117">
        <v>46260</v>
      </c>
      <c r="AK1432" s="39">
        <v>653</v>
      </c>
      <c r="AL1432" s="117">
        <v>46261</v>
      </c>
      <c r="AM1432" s="39">
        <v>639</v>
      </c>
      <c r="AN1432" s="39">
        <f t="shared" si="778"/>
        <v>-14</v>
      </c>
      <c r="AO1432" s="39"/>
      <c r="AP1432" s="39"/>
      <c r="AQ1432" s="39"/>
      <c r="AR1432" s="39"/>
      <c r="AS1432" s="39"/>
      <c r="AT1432" s="39">
        <f t="shared" si="896"/>
        <v>0</v>
      </c>
      <c r="AU1432" s="39"/>
      <c r="AV1432" s="39"/>
      <c r="AW1432" s="39"/>
      <c r="AX1432" s="39"/>
      <c r="AY1432" s="39"/>
      <c r="AZ1432" s="39">
        <f t="shared" si="897"/>
        <v>0</v>
      </c>
      <c r="BA1432" s="39"/>
      <c r="BB1432" s="39"/>
      <c r="BC1432" s="39"/>
      <c r="BD1432" s="39"/>
      <c r="BE1432" s="39"/>
      <c r="BF1432" s="39">
        <f t="shared" si="898"/>
        <v>0</v>
      </c>
      <c r="BG1432" s="39"/>
      <c r="BH1432" s="39"/>
      <c r="BI1432" s="39"/>
      <c r="BJ1432" s="39"/>
      <c r="BK1432" s="39"/>
      <c r="BL1432" s="39">
        <f t="shared" si="780"/>
        <v>0</v>
      </c>
      <c r="BM1432" s="54" t="str">
        <f t="shared" si="899"/>
        <v/>
      </c>
      <c r="BN1432" s="58">
        <v>46266</v>
      </c>
      <c r="BO1432" s="57">
        <v>46279</v>
      </c>
      <c r="BP1432" s="57">
        <v>46279</v>
      </c>
      <c r="BQ1432" s="57">
        <v>46288</v>
      </c>
      <c r="BR1432" s="117">
        <v>46272</v>
      </c>
      <c r="BS1432" s="117">
        <v>46272</v>
      </c>
      <c r="BT1432" s="39">
        <v>802</v>
      </c>
      <c r="BU1432" s="39">
        <v>617</v>
      </c>
      <c r="BV1432" s="39"/>
      <c r="BW1432" s="39"/>
      <c r="BX1432" s="39"/>
      <c r="BY1432" s="39"/>
      <c r="BZ1432" s="39">
        <f t="shared" si="781"/>
        <v>617</v>
      </c>
      <c r="CA1432" s="39">
        <f t="shared" si="900"/>
        <v>3</v>
      </c>
      <c r="CB1432" s="39">
        <f t="shared" si="901"/>
        <v>0</v>
      </c>
      <c r="CC1432" s="39">
        <f t="shared" si="902"/>
        <v>0</v>
      </c>
      <c r="CD1432" s="39">
        <f t="shared" si="782"/>
        <v>0</v>
      </c>
      <c r="CE1432" s="102">
        <f t="shared" si="903"/>
        <v>0</v>
      </c>
      <c r="CF1432" s="36"/>
      <c r="CG1432" s="39" t="s">
        <v>242</v>
      </c>
      <c r="CH1432" s="39"/>
      <c r="CI1432" s="25">
        <v>1</v>
      </c>
    </row>
    <row r="1433" spans="1:87" ht="24.75" customHeight="1">
      <c r="A1433" s="36" t="s">
        <v>46</v>
      </c>
      <c r="B1433" s="30">
        <v>47816</v>
      </c>
      <c r="C1433" s="231"/>
      <c r="D1433" s="23"/>
      <c r="E1433" s="39" t="s">
        <v>1925</v>
      </c>
      <c r="F1433" s="39" t="s">
        <v>68</v>
      </c>
      <c r="G1433" s="36" t="s">
        <v>1928</v>
      </c>
      <c r="H1433" s="36" t="s">
        <v>89</v>
      </c>
      <c r="I1433" s="39">
        <v>515</v>
      </c>
      <c r="J1433" s="39"/>
      <c r="K1433" s="39"/>
      <c r="L1433" s="39">
        <f t="shared" ref="L1433:L1435" si="921">SUM(I1433:K1433)</f>
        <v>515</v>
      </c>
      <c r="M1433" s="117">
        <v>46249</v>
      </c>
      <c r="N1433" s="117">
        <v>46262</v>
      </c>
      <c r="O1433" s="39"/>
      <c r="P1433" s="39"/>
      <c r="Q1433" s="39"/>
      <c r="R1433" s="39">
        <f t="shared" si="918"/>
        <v>0</v>
      </c>
      <c r="S1433" s="39" t="s">
        <v>31</v>
      </c>
      <c r="T1433" s="39"/>
      <c r="U1433" s="39"/>
      <c r="V1433" s="117">
        <v>46256</v>
      </c>
      <c r="W1433" s="39">
        <v>579</v>
      </c>
      <c r="X1433" s="39"/>
      <c r="Y1433" s="39"/>
      <c r="Z1433" s="39"/>
      <c r="AA1433" s="39"/>
      <c r="AB1433" s="118">
        <f t="shared" si="919"/>
        <v>0</v>
      </c>
      <c r="AC1433" s="39"/>
      <c r="AD1433" s="39"/>
      <c r="AE1433" s="39"/>
      <c r="AF1433" s="39"/>
      <c r="AG1433" s="39"/>
      <c r="AH1433" s="39">
        <f t="shared" si="779"/>
        <v>0</v>
      </c>
      <c r="AI1433" s="39"/>
      <c r="AJ1433" s="39"/>
      <c r="AK1433" s="39"/>
      <c r="AL1433" s="39"/>
      <c r="AM1433" s="39"/>
      <c r="AN1433" s="39">
        <f t="shared" si="778"/>
        <v>0</v>
      </c>
      <c r="AO1433" s="39"/>
      <c r="AP1433" s="39"/>
      <c r="AQ1433" s="39"/>
      <c r="AR1433" s="39"/>
      <c r="AS1433" s="39"/>
      <c r="AT1433" s="39">
        <f t="shared" si="896"/>
        <v>0</v>
      </c>
      <c r="AU1433" s="39"/>
      <c r="AV1433" s="39"/>
      <c r="AW1433" s="39"/>
      <c r="AX1433" s="39"/>
      <c r="AY1433" s="39"/>
      <c r="AZ1433" s="39">
        <f t="shared" si="897"/>
        <v>0</v>
      </c>
      <c r="BA1433" s="39"/>
      <c r="BB1433" s="39"/>
      <c r="BC1433" s="39"/>
      <c r="BD1433" s="39"/>
      <c r="BE1433" s="39"/>
      <c r="BF1433" s="39">
        <f t="shared" si="898"/>
        <v>0</v>
      </c>
      <c r="BG1433" s="39"/>
      <c r="BH1433" s="39"/>
      <c r="BI1433" s="39"/>
      <c r="BJ1433" s="39"/>
      <c r="BK1433" s="39"/>
      <c r="BL1433" s="39">
        <f t="shared" si="780"/>
        <v>0</v>
      </c>
      <c r="BM1433" s="54">
        <f t="shared" ca="1" si="899"/>
        <v>46283</v>
      </c>
      <c r="BN1433" s="58">
        <v>46266</v>
      </c>
      <c r="BO1433" s="57">
        <v>46279</v>
      </c>
      <c r="BP1433" s="57">
        <v>46279</v>
      </c>
      <c r="BQ1433" s="57">
        <v>46288</v>
      </c>
      <c r="BR1433" s="39"/>
      <c r="BS1433" s="39"/>
      <c r="BT1433" s="39"/>
      <c r="BU1433" s="39"/>
      <c r="BV1433" s="39"/>
      <c r="BW1433" s="39"/>
      <c r="BX1433" s="39"/>
      <c r="BY1433" s="39"/>
      <c r="BZ1433" s="39">
        <f t="shared" si="781"/>
        <v>0</v>
      </c>
      <c r="CA1433" s="39">
        <f t="shared" si="900"/>
        <v>-515</v>
      </c>
      <c r="CB1433" s="39">
        <f t="shared" si="901"/>
        <v>0</v>
      </c>
      <c r="CC1433" s="39">
        <f t="shared" si="902"/>
        <v>0</v>
      </c>
      <c r="CD1433" s="39">
        <f t="shared" si="782"/>
        <v>-515</v>
      </c>
      <c r="CE1433" s="102">
        <f t="shared" si="903"/>
        <v>-1</v>
      </c>
      <c r="CF1433" s="36"/>
      <c r="CG1433" s="39" t="s">
        <v>242</v>
      </c>
      <c r="CH1433" s="39"/>
      <c r="CI1433" s="25">
        <v>1</v>
      </c>
    </row>
    <row r="1434" spans="1:87" ht="24.75" customHeight="1">
      <c r="A1434" s="36" t="s">
        <v>46</v>
      </c>
      <c r="B1434" s="30">
        <v>47816</v>
      </c>
      <c r="C1434" s="228"/>
      <c r="D1434" s="23" t="s">
        <v>110</v>
      </c>
      <c r="E1434" s="39">
        <v>160</v>
      </c>
      <c r="F1434" s="39" t="s">
        <v>54</v>
      </c>
      <c r="G1434" s="36" t="s">
        <v>1929</v>
      </c>
      <c r="H1434" s="36" t="s">
        <v>22</v>
      </c>
      <c r="I1434" s="39">
        <v>614</v>
      </c>
      <c r="J1434" s="39"/>
      <c r="K1434" s="39"/>
      <c r="L1434" s="39">
        <f t="shared" si="921"/>
        <v>614</v>
      </c>
      <c r="M1434" s="117">
        <v>46249</v>
      </c>
      <c r="N1434" s="117">
        <v>46262</v>
      </c>
      <c r="O1434" s="39"/>
      <c r="P1434" s="39"/>
      <c r="Q1434" s="39"/>
      <c r="R1434" s="39">
        <f t="shared" si="918"/>
        <v>0</v>
      </c>
      <c r="S1434" s="39" t="s">
        <v>130</v>
      </c>
      <c r="T1434" s="39">
        <v>108618</v>
      </c>
      <c r="U1434" s="117">
        <v>46248</v>
      </c>
      <c r="V1434" s="39"/>
      <c r="W1434" s="39"/>
      <c r="X1434" s="39"/>
      <c r="Y1434" s="39">
        <v>709</v>
      </c>
      <c r="Z1434" s="39"/>
      <c r="AA1434" s="39"/>
      <c r="AB1434" s="119">
        <f t="shared" si="919"/>
        <v>709</v>
      </c>
      <c r="AC1434" s="39" t="s">
        <v>139</v>
      </c>
      <c r="AD1434" s="117">
        <v>46259</v>
      </c>
      <c r="AE1434" s="39">
        <v>650</v>
      </c>
      <c r="AF1434" s="117" t="s">
        <v>2701</v>
      </c>
      <c r="AG1434" s="39">
        <f>540+80</f>
        <v>620</v>
      </c>
      <c r="AH1434" s="39">
        <f t="shared" si="779"/>
        <v>-30</v>
      </c>
      <c r="AI1434" s="39" t="s">
        <v>257</v>
      </c>
      <c r="AJ1434" s="117">
        <v>46251</v>
      </c>
      <c r="AK1434" s="39">
        <v>661</v>
      </c>
      <c r="AL1434" s="117">
        <v>46252</v>
      </c>
      <c r="AM1434" s="39">
        <v>650</v>
      </c>
      <c r="AN1434" s="39">
        <f t="shared" si="778"/>
        <v>-11</v>
      </c>
      <c r="AO1434" s="39"/>
      <c r="AP1434" s="39"/>
      <c r="AQ1434" s="39"/>
      <c r="AR1434" s="39"/>
      <c r="AS1434" s="39"/>
      <c r="AT1434" s="39">
        <f t="shared" si="896"/>
        <v>0</v>
      </c>
      <c r="AU1434" s="39"/>
      <c r="AV1434" s="39"/>
      <c r="AW1434" s="39"/>
      <c r="AX1434" s="39"/>
      <c r="AY1434" s="39"/>
      <c r="AZ1434" s="39">
        <f t="shared" si="897"/>
        <v>0</v>
      </c>
      <c r="BA1434" s="39"/>
      <c r="BB1434" s="39"/>
      <c r="BC1434" s="39"/>
      <c r="BD1434" s="39"/>
      <c r="BE1434" s="39"/>
      <c r="BF1434" s="39">
        <f t="shared" si="898"/>
        <v>0</v>
      </c>
      <c r="BG1434" s="39"/>
      <c r="BH1434" s="39"/>
      <c r="BI1434" s="39"/>
      <c r="BJ1434" s="39"/>
      <c r="BK1434" s="39"/>
      <c r="BL1434" s="39">
        <f t="shared" si="780"/>
        <v>0</v>
      </c>
      <c r="BM1434" s="54" t="str">
        <f t="shared" si="899"/>
        <v/>
      </c>
      <c r="BN1434" s="58">
        <v>46266</v>
      </c>
      <c r="BO1434" s="57">
        <v>46279</v>
      </c>
      <c r="BP1434" s="57">
        <v>46279</v>
      </c>
      <c r="BQ1434" s="57">
        <v>46288</v>
      </c>
      <c r="BR1434" s="117">
        <v>46267</v>
      </c>
      <c r="BS1434" s="117">
        <v>46272</v>
      </c>
      <c r="BT1434" s="39" t="s">
        <v>2904</v>
      </c>
      <c r="BU1434" s="39">
        <f>80+538</f>
        <v>618</v>
      </c>
      <c r="BV1434" s="39"/>
      <c r="BW1434" s="39"/>
      <c r="BX1434" s="39"/>
      <c r="BY1434" s="39"/>
      <c r="BZ1434" s="39">
        <f t="shared" si="781"/>
        <v>618</v>
      </c>
      <c r="CA1434" s="39">
        <f t="shared" si="900"/>
        <v>4</v>
      </c>
      <c r="CB1434" s="39">
        <f t="shared" si="901"/>
        <v>0</v>
      </c>
      <c r="CC1434" s="39">
        <f t="shared" si="902"/>
        <v>0</v>
      </c>
      <c r="CD1434" s="39">
        <f t="shared" si="782"/>
        <v>0</v>
      </c>
      <c r="CE1434" s="102">
        <f t="shared" si="903"/>
        <v>0</v>
      </c>
      <c r="CF1434" s="36"/>
      <c r="CG1434" s="39" t="s">
        <v>242</v>
      </c>
      <c r="CH1434" s="39"/>
      <c r="CI1434" s="25">
        <v>1</v>
      </c>
    </row>
    <row r="1435" spans="1:87" ht="24.75" customHeight="1">
      <c r="A1435" s="36" t="s">
        <v>46</v>
      </c>
      <c r="B1435" s="30">
        <v>48142</v>
      </c>
      <c r="C1435" s="227" t="s">
        <v>1930</v>
      </c>
      <c r="D1435" s="23"/>
      <c r="E1435" s="39">
        <v>280</v>
      </c>
      <c r="F1435" s="39" t="s">
        <v>65</v>
      </c>
      <c r="G1435" s="36" t="s">
        <v>23</v>
      </c>
      <c r="H1435" s="36" t="s">
        <v>200</v>
      </c>
      <c r="I1435" s="39">
        <v>1215</v>
      </c>
      <c r="J1435" s="39"/>
      <c r="K1435" s="39"/>
      <c r="L1435" s="39">
        <f t="shared" si="921"/>
        <v>1215</v>
      </c>
      <c r="M1435" s="117">
        <v>46249</v>
      </c>
      <c r="N1435" s="117">
        <v>46261</v>
      </c>
      <c r="O1435" s="39"/>
      <c r="P1435" s="39"/>
      <c r="Q1435" s="39"/>
      <c r="R1435" s="39">
        <f t="shared" ref="R1435:R1438" si="922">SUM(O1435:Q1435)</f>
        <v>0</v>
      </c>
      <c r="S1435" s="39" t="s">
        <v>130</v>
      </c>
      <c r="T1435" s="39">
        <v>108410</v>
      </c>
      <c r="U1435" s="117">
        <v>46242</v>
      </c>
      <c r="V1435" s="39"/>
      <c r="W1435" s="39"/>
      <c r="X1435" s="39"/>
      <c r="Y1435" s="39">
        <f>1153</f>
        <v>1153</v>
      </c>
      <c r="Z1435" s="39"/>
      <c r="AA1435" s="39"/>
      <c r="AB1435" s="118">
        <f t="shared" ref="AB1435:AB1438" si="923">SUM(Y1435:AA1435)</f>
        <v>1153</v>
      </c>
      <c r="AC1435" s="39"/>
      <c r="AD1435" s="39"/>
      <c r="AE1435" s="39"/>
      <c r="AF1435" s="39"/>
      <c r="AG1435" s="39"/>
      <c r="AH1435" s="39">
        <f t="shared" si="779"/>
        <v>0</v>
      </c>
      <c r="AI1435" s="39"/>
      <c r="AJ1435" s="39"/>
      <c r="AK1435" s="39"/>
      <c r="AL1435" s="39"/>
      <c r="AM1435" s="39"/>
      <c r="AN1435" s="39">
        <f t="shared" si="778"/>
        <v>0</v>
      </c>
      <c r="AO1435" s="39"/>
      <c r="AP1435" s="39"/>
      <c r="AQ1435" s="39"/>
      <c r="AR1435" s="39"/>
      <c r="AS1435" s="39"/>
      <c r="AT1435" s="39">
        <f t="shared" si="896"/>
        <v>0</v>
      </c>
      <c r="AU1435" s="39"/>
      <c r="AV1435" s="39"/>
      <c r="AW1435" s="39"/>
      <c r="AX1435" s="39"/>
      <c r="AY1435" s="39"/>
      <c r="AZ1435" s="39">
        <f t="shared" si="897"/>
        <v>0</v>
      </c>
      <c r="BA1435" s="39"/>
      <c r="BB1435" s="39"/>
      <c r="BC1435" s="39"/>
      <c r="BD1435" s="39"/>
      <c r="BE1435" s="39"/>
      <c r="BF1435" s="39">
        <f t="shared" si="898"/>
        <v>0</v>
      </c>
      <c r="BG1435" s="39"/>
      <c r="BH1435" s="39"/>
      <c r="BI1435" s="39"/>
      <c r="BJ1435" s="39"/>
      <c r="BK1435" s="39"/>
      <c r="BL1435" s="39">
        <f t="shared" si="780"/>
        <v>0</v>
      </c>
      <c r="BM1435" s="54" t="str">
        <f t="shared" si="899"/>
        <v/>
      </c>
      <c r="BN1435" s="58">
        <v>46266</v>
      </c>
      <c r="BO1435" s="57">
        <v>46277</v>
      </c>
      <c r="BP1435" s="36"/>
      <c r="BQ1435" s="36"/>
      <c r="BR1435" s="117">
        <v>46267</v>
      </c>
      <c r="BS1435" s="39"/>
      <c r="BT1435" s="39">
        <v>740</v>
      </c>
      <c r="BU1435" s="39">
        <f>1098</f>
        <v>1098</v>
      </c>
      <c r="BV1435" s="39"/>
      <c r="BW1435" s="39"/>
      <c r="BX1435" s="39"/>
      <c r="BY1435" s="39"/>
      <c r="BZ1435" s="39">
        <f t="shared" si="781"/>
        <v>1098</v>
      </c>
      <c r="CA1435" s="39">
        <f t="shared" si="900"/>
        <v>-117</v>
      </c>
      <c r="CB1435" s="39">
        <f t="shared" si="901"/>
        <v>0</v>
      </c>
      <c r="CC1435" s="39">
        <f t="shared" si="902"/>
        <v>0</v>
      </c>
      <c r="CD1435" s="39">
        <f t="shared" si="782"/>
        <v>-117</v>
      </c>
      <c r="CE1435" s="102">
        <f t="shared" si="903"/>
        <v>-9.6296296296296297E-2</v>
      </c>
      <c r="CF1435" s="36"/>
      <c r="CG1435" s="39" t="s">
        <v>244</v>
      </c>
      <c r="CH1435" s="39"/>
      <c r="CI1435" s="25">
        <v>1</v>
      </c>
    </row>
    <row r="1436" spans="1:87" ht="24.75" customHeight="1">
      <c r="A1436" s="36" t="s">
        <v>46</v>
      </c>
      <c r="B1436" s="30">
        <v>48142</v>
      </c>
      <c r="C1436" s="231"/>
      <c r="D1436" s="23"/>
      <c r="E1436" s="39">
        <v>280</v>
      </c>
      <c r="F1436" s="39" t="s">
        <v>65</v>
      </c>
      <c r="G1436" s="36" t="s">
        <v>35</v>
      </c>
      <c r="H1436" s="36" t="s">
        <v>200</v>
      </c>
      <c r="I1436" s="39">
        <v>683</v>
      </c>
      <c r="J1436" s="39"/>
      <c r="K1436" s="39"/>
      <c r="L1436" s="39">
        <f t="shared" ref="L1436:L1437" si="924">SUM(I1436:K1436)</f>
        <v>683</v>
      </c>
      <c r="M1436" s="117">
        <v>46249</v>
      </c>
      <c r="N1436" s="117">
        <v>46261</v>
      </c>
      <c r="O1436" s="39"/>
      <c r="P1436" s="39"/>
      <c r="Q1436" s="39"/>
      <c r="R1436" s="39">
        <f t="shared" si="922"/>
        <v>0</v>
      </c>
      <c r="S1436" s="39" t="s">
        <v>130</v>
      </c>
      <c r="T1436" s="39">
        <v>108675</v>
      </c>
      <c r="U1436" s="117">
        <v>46249</v>
      </c>
      <c r="V1436" s="39"/>
      <c r="W1436" s="39"/>
      <c r="X1436" s="39"/>
      <c r="Y1436" s="39">
        <v>785</v>
      </c>
      <c r="Z1436" s="39"/>
      <c r="AA1436" s="39"/>
      <c r="AB1436" s="119">
        <f t="shared" si="923"/>
        <v>785</v>
      </c>
      <c r="AC1436" s="39"/>
      <c r="AD1436" s="39"/>
      <c r="AE1436" s="39"/>
      <c r="AF1436" s="39"/>
      <c r="AG1436" s="39"/>
      <c r="AH1436" s="39">
        <f t="shared" si="779"/>
        <v>0</v>
      </c>
      <c r="AI1436" s="39"/>
      <c r="AJ1436" s="39"/>
      <c r="AK1436" s="39"/>
      <c r="AL1436" s="39"/>
      <c r="AM1436" s="39"/>
      <c r="AN1436" s="39">
        <f t="shared" si="778"/>
        <v>0</v>
      </c>
      <c r="AO1436" s="39"/>
      <c r="AP1436" s="39"/>
      <c r="AQ1436" s="39"/>
      <c r="AR1436" s="39"/>
      <c r="AS1436" s="39"/>
      <c r="AT1436" s="39">
        <f t="shared" si="896"/>
        <v>0</v>
      </c>
      <c r="AU1436" s="39"/>
      <c r="AV1436" s="39"/>
      <c r="AW1436" s="39"/>
      <c r="AX1436" s="39"/>
      <c r="AY1436" s="39"/>
      <c r="AZ1436" s="39">
        <f t="shared" si="897"/>
        <v>0</v>
      </c>
      <c r="BA1436" s="39"/>
      <c r="BB1436" s="39"/>
      <c r="BC1436" s="39"/>
      <c r="BD1436" s="39"/>
      <c r="BE1436" s="39"/>
      <c r="BF1436" s="39">
        <f t="shared" si="898"/>
        <v>0</v>
      </c>
      <c r="BG1436" s="39"/>
      <c r="BH1436" s="39"/>
      <c r="BI1436" s="39"/>
      <c r="BJ1436" s="39"/>
      <c r="BK1436" s="39"/>
      <c r="BL1436" s="39">
        <f t="shared" si="780"/>
        <v>0</v>
      </c>
      <c r="BM1436" s="54" t="str">
        <f t="shared" si="899"/>
        <v/>
      </c>
      <c r="BN1436" s="58">
        <v>46266</v>
      </c>
      <c r="BO1436" s="57">
        <v>46277</v>
      </c>
      <c r="BP1436" s="36"/>
      <c r="BQ1436" s="36"/>
      <c r="BR1436" s="117">
        <v>46267</v>
      </c>
      <c r="BS1436" s="117">
        <v>46267</v>
      </c>
      <c r="BT1436" s="39">
        <v>740</v>
      </c>
      <c r="BU1436" s="39">
        <v>695</v>
      </c>
      <c r="BV1436" s="39"/>
      <c r="BW1436" s="39"/>
      <c r="BX1436" s="39"/>
      <c r="BY1436" s="39"/>
      <c r="BZ1436" s="39">
        <f t="shared" si="781"/>
        <v>695</v>
      </c>
      <c r="CA1436" s="39">
        <f t="shared" si="900"/>
        <v>12</v>
      </c>
      <c r="CB1436" s="39">
        <f t="shared" si="901"/>
        <v>0</v>
      </c>
      <c r="CC1436" s="39">
        <f t="shared" si="902"/>
        <v>0</v>
      </c>
      <c r="CD1436" s="39">
        <f t="shared" si="782"/>
        <v>0</v>
      </c>
      <c r="CE1436" s="102">
        <f t="shared" si="903"/>
        <v>0</v>
      </c>
      <c r="CF1436" s="36"/>
      <c r="CG1436" s="39" t="s">
        <v>244</v>
      </c>
      <c r="CH1436" s="39" t="s">
        <v>483</v>
      </c>
      <c r="CI1436" s="25">
        <v>1</v>
      </c>
    </row>
    <row r="1437" spans="1:87" ht="24.75" customHeight="1">
      <c r="A1437" s="36" t="s">
        <v>46</v>
      </c>
      <c r="B1437" s="30">
        <v>48142</v>
      </c>
      <c r="C1437" s="231"/>
      <c r="D1437" s="23"/>
      <c r="E1437" s="39">
        <v>280</v>
      </c>
      <c r="F1437" s="39" t="s">
        <v>65</v>
      </c>
      <c r="G1437" s="36" t="s">
        <v>187</v>
      </c>
      <c r="H1437" s="36" t="s">
        <v>200</v>
      </c>
      <c r="I1437" s="39">
        <v>705</v>
      </c>
      <c r="J1437" s="39"/>
      <c r="K1437" s="39"/>
      <c r="L1437" s="39">
        <f t="shared" si="924"/>
        <v>705</v>
      </c>
      <c r="M1437" s="117">
        <v>46249</v>
      </c>
      <c r="N1437" s="117">
        <v>46261</v>
      </c>
      <c r="O1437" s="39"/>
      <c r="P1437" s="39"/>
      <c r="Q1437" s="39"/>
      <c r="R1437" s="39">
        <f t="shared" si="922"/>
        <v>0</v>
      </c>
      <c r="S1437" s="39" t="s">
        <v>130</v>
      </c>
      <c r="T1437" s="39">
        <v>108753</v>
      </c>
      <c r="U1437" s="117">
        <v>46254</v>
      </c>
      <c r="V1437" s="39"/>
      <c r="W1437" s="39"/>
      <c r="X1437" s="39"/>
      <c r="Y1437" s="39">
        <v>805</v>
      </c>
      <c r="Z1437" s="39"/>
      <c r="AA1437" s="39"/>
      <c r="AB1437" s="119">
        <f t="shared" si="923"/>
        <v>805</v>
      </c>
      <c r="AC1437" s="39"/>
      <c r="AD1437" s="39"/>
      <c r="AE1437" s="39"/>
      <c r="AF1437" s="39"/>
      <c r="AG1437" s="39"/>
      <c r="AH1437" s="39">
        <f t="shared" si="779"/>
        <v>0</v>
      </c>
      <c r="AI1437" s="39"/>
      <c r="AJ1437" s="39"/>
      <c r="AK1437" s="39"/>
      <c r="AL1437" s="39"/>
      <c r="AM1437" s="39"/>
      <c r="AN1437" s="39">
        <f t="shared" si="778"/>
        <v>0</v>
      </c>
      <c r="AO1437" s="39"/>
      <c r="AP1437" s="39"/>
      <c r="AQ1437" s="39"/>
      <c r="AR1437" s="39"/>
      <c r="AS1437" s="39"/>
      <c r="AT1437" s="39">
        <f t="shared" si="896"/>
        <v>0</v>
      </c>
      <c r="AU1437" s="39"/>
      <c r="AV1437" s="39"/>
      <c r="AW1437" s="39"/>
      <c r="AX1437" s="39"/>
      <c r="AY1437" s="39"/>
      <c r="AZ1437" s="39">
        <f t="shared" si="897"/>
        <v>0</v>
      </c>
      <c r="BA1437" s="39"/>
      <c r="BB1437" s="39"/>
      <c r="BC1437" s="39"/>
      <c r="BD1437" s="39"/>
      <c r="BE1437" s="39"/>
      <c r="BF1437" s="39">
        <f t="shared" si="898"/>
        <v>0</v>
      </c>
      <c r="BG1437" s="39"/>
      <c r="BH1437" s="39"/>
      <c r="BI1437" s="39"/>
      <c r="BJ1437" s="39"/>
      <c r="BK1437" s="39"/>
      <c r="BL1437" s="39">
        <f t="shared" si="780"/>
        <v>0</v>
      </c>
      <c r="BM1437" s="54" t="str">
        <f t="shared" si="899"/>
        <v/>
      </c>
      <c r="BN1437" s="58">
        <v>46266</v>
      </c>
      <c r="BO1437" s="57">
        <v>46277</v>
      </c>
      <c r="BP1437" s="36"/>
      <c r="BQ1437" s="36"/>
      <c r="BR1437" s="117">
        <v>46256</v>
      </c>
      <c r="BS1437" s="117">
        <v>46256</v>
      </c>
      <c r="BT1437" s="39">
        <v>1024</v>
      </c>
      <c r="BU1437" s="39">
        <v>714</v>
      </c>
      <c r="BV1437" s="39"/>
      <c r="BW1437" s="39"/>
      <c r="BX1437" s="39"/>
      <c r="BY1437" s="39"/>
      <c r="BZ1437" s="39">
        <f t="shared" si="781"/>
        <v>714</v>
      </c>
      <c r="CA1437" s="39">
        <f t="shared" si="900"/>
        <v>9</v>
      </c>
      <c r="CB1437" s="39">
        <f t="shared" si="901"/>
        <v>0</v>
      </c>
      <c r="CC1437" s="39">
        <f t="shared" si="902"/>
        <v>0</v>
      </c>
      <c r="CD1437" s="39">
        <f t="shared" si="782"/>
        <v>0</v>
      </c>
      <c r="CE1437" s="102">
        <f t="shared" si="903"/>
        <v>0</v>
      </c>
      <c r="CF1437" s="36"/>
      <c r="CG1437" s="39" t="s">
        <v>244</v>
      </c>
      <c r="CH1437" s="39"/>
      <c r="CI1437" s="25">
        <v>1</v>
      </c>
    </row>
    <row r="1438" spans="1:87" ht="24.75" customHeight="1">
      <c r="A1438" s="36" t="s">
        <v>46</v>
      </c>
      <c r="B1438" s="30">
        <v>48142</v>
      </c>
      <c r="C1438" s="228"/>
      <c r="D1438" s="23"/>
      <c r="E1438" s="39"/>
      <c r="F1438" s="39"/>
      <c r="G1438" s="36" t="s">
        <v>1919</v>
      </c>
      <c r="H1438" s="36">
        <f>2513+1416+1413</f>
        <v>5342</v>
      </c>
      <c r="I1438" s="39" t="s">
        <v>199</v>
      </c>
      <c r="J1438" s="39"/>
      <c r="K1438" s="39"/>
      <c r="L1438" s="39">
        <f t="shared" ref="L1438:L1444" si="925">SUM(I1438:K1438)</f>
        <v>0</v>
      </c>
      <c r="M1438" s="117">
        <v>46249</v>
      </c>
      <c r="N1438" s="117">
        <v>46261</v>
      </c>
      <c r="O1438" s="39"/>
      <c r="P1438" s="39"/>
      <c r="Q1438" s="39"/>
      <c r="R1438" s="39">
        <f t="shared" si="922"/>
        <v>0</v>
      </c>
      <c r="S1438" s="39" t="s">
        <v>130</v>
      </c>
      <c r="T1438" s="39"/>
      <c r="U1438" s="39"/>
      <c r="V1438" s="39"/>
      <c r="W1438" s="39"/>
      <c r="X1438" s="39"/>
      <c r="Y1438" s="39"/>
      <c r="Z1438" s="39"/>
      <c r="AA1438" s="39"/>
      <c r="AB1438" s="39">
        <f t="shared" si="923"/>
        <v>0</v>
      </c>
      <c r="AC1438" s="39"/>
      <c r="AD1438" s="39"/>
      <c r="AE1438" s="39"/>
      <c r="AF1438" s="39"/>
      <c r="AG1438" s="39"/>
      <c r="AH1438" s="39">
        <f t="shared" si="779"/>
        <v>0</v>
      </c>
      <c r="AI1438" s="39"/>
      <c r="AJ1438" s="39"/>
      <c r="AK1438" s="39"/>
      <c r="AL1438" s="39"/>
      <c r="AM1438" s="39"/>
      <c r="AN1438" s="39">
        <f t="shared" si="778"/>
        <v>0</v>
      </c>
      <c r="AO1438" s="39"/>
      <c r="AP1438" s="39"/>
      <c r="AQ1438" s="39"/>
      <c r="AR1438" s="39"/>
      <c r="AS1438" s="39"/>
      <c r="AT1438" s="39">
        <f t="shared" si="896"/>
        <v>0</v>
      </c>
      <c r="AU1438" s="39"/>
      <c r="AV1438" s="39"/>
      <c r="AW1438" s="39"/>
      <c r="AX1438" s="39"/>
      <c r="AY1438" s="39"/>
      <c r="AZ1438" s="39">
        <f t="shared" si="897"/>
        <v>0</v>
      </c>
      <c r="BA1438" s="39"/>
      <c r="BB1438" s="39"/>
      <c r="BC1438" s="39"/>
      <c r="BD1438" s="39"/>
      <c r="BE1438" s="39"/>
      <c r="BF1438" s="39">
        <f t="shared" si="898"/>
        <v>0</v>
      </c>
      <c r="BG1438" s="39"/>
      <c r="BH1438" s="39"/>
      <c r="BI1438" s="39"/>
      <c r="BJ1438" s="39"/>
      <c r="BK1438" s="39"/>
      <c r="BL1438" s="39">
        <f t="shared" si="780"/>
        <v>0</v>
      </c>
      <c r="BM1438" s="54" t="e">
        <f t="shared" si="899"/>
        <v>#DIV/0!</v>
      </c>
      <c r="BN1438" s="58">
        <v>46266</v>
      </c>
      <c r="BO1438" s="57">
        <v>46277</v>
      </c>
      <c r="BP1438" s="36"/>
      <c r="BQ1438" s="36"/>
      <c r="BR1438" s="39"/>
      <c r="BS1438" s="39"/>
      <c r="BT1438" s="39"/>
      <c r="BU1438" s="39"/>
      <c r="BV1438" s="39"/>
      <c r="BW1438" s="39"/>
      <c r="BX1438" s="39"/>
      <c r="BY1438" s="39"/>
      <c r="BZ1438" s="39">
        <f t="shared" si="781"/>
        <v>0</v>
      </c>
      <c r="CA1438" s="39" t="e">
        <f t="shared" si="900"/>
        <v>#VALUE!</v>
      </c>
      <c r="CB1438" s="39">
        <f t="shared" si="901"/>
        <v>0</v>
      </c>
      <c r="CC1438" s="39">
        <f t="shared" si="902"/>
        <v>0</v>
      </c>
      <c r="CD1438" s="39">
        <f t="shared" si="782"/>
        <v>0</v>
      </c>
      <c r="CE1438" s="102" t="e">
        <f t="shared" si="903"/>
        <v>#DIV/0!</v>
      </c>
      <c r="CF1438" s="36"/>
      <c r="CG1438" s="39" t="s">
        <v>244</v>
      </c>
      <c r="CH1438" s="39"/>
      <c r="CI1438" s="25">
        <v>1</v>
      </c>
    </row>
    <row r="1439" spans="1:87" ht="24.75" customHeight="1">
      <c r="A1439" s="36" t="s">
        <v>46</v>
      </c>
      <c r="B1439" s="30">
        <v>47927</v>
      </c>
      <c r="C1439" s="227" t="s">
        <v>2448</v>
      </c>
      <c r="D1439" s="23"/>
      <c r="E1439" s="39">
        <v>220</v>
      </c>
      <c r="F1439" s="39" t="s">
        <v>57</v>
      </c>
      <c r="G1439" s="36" t="s">
        <v>125</v>
      </c>
      <c r="H1439" s="36" t="s">
        <v>96</v>
      </c>
      <c r="I1439" s="39">
        <f>824+63-47</f>
        <v>840</v>
      </c>
      <c r="J1439" s="39"/>
      <c r="K1439" s="39"/>
      <c r="L1439" s="39">
        <f t="shared" si="925"/>
        <v>840</v>
      </c>
      <c r="M1439" s="117">
        <v>46249</v>
      </c>
      <c r="N1439" s="117">
        <v>46259</v>
      </c>
      <c r="O1439" s="39"/>
      <c r="P1439" s="39"/>
      <c r="Q1439" s="39"/>
      <c r="R1439" s="39">
        <f t="shared" ref="R1439:R1444" si="926">SUM(O1439:Q1439)</f>
        <v>0</v>
      </c>
      <c r="S1439" s="39" t="s">
        <v>130</v>
      </c>
      <c r="T1439" s="39" t="s">
        <v>3050</v>
      </c>
      <c r="U1439" s="117" t="s">
        <v>3051</v>
      </c>
      <c r="V1439" s="39"/>
      <c r="W1439" s="39"/>
      <c r="X1439" s="39"/>
      <c r="Y1439" s="39">
        <f>850+105</f>
        <v>955</v>
      </c>
      <c r="Z1439" s="39"/>
      <c r="AA1439" s="39"/>
      <c r="AB1439" s="119">
        <f t="shared" ref="AB1439:AB1444" si="927">SUM(Y1439:AA1439)</f>
        <v>955</v>
      </c>
      <c r="AC1439" s="39"/>
      <c r="AD1439" s="39"/>
      <c r="AE1439" s="39"/>
      <c r="AF1439" s="39"/>
      <c r="AG1439" s="39"/>
      <c r="AH1439" s="39">
        <f t="shared" si="779"/>
        <v>0</v>
      </c>
      <c r="AI1439" s="39"/>
      <c r="AJ1439" s="39"/>
      <c r="AK1439" s="39"/>
      <c r="AL1439" s="39"/>
      <c r="AM1439" s="39"/>
      <c r="AN1439" s="39">
        <f t="shared" si="778"/>
        <v>0</v>
      </c>
      <c r="AO1439" s="39"/>
      <c r="AP1439" s="39"/>
      <c r="AQ1439" s="39"/>
      <c r="AR1439" s="39"/>
      <c r="AS1439" s="39"/>
      <c r="AT1439" s="39">
        <f t="shared" si="896"/>
        <v>0</v>
      </c>
      <c r="AU1439" s="39"/>
      <c r="AV1439" s="39"/>
      <c r="AW1439" s="39"/>
      <c r="AX1439" s="39"/>
      <c r="AY1439" s="39"/>
      <c r="AZ1439" s="39">
        <f t="shared" si="897"/>
        <v>0</v>
      </c>
      <c r="BA1439" s="39"/>
      <c r="BB1439" s="39"/>
      <c r="BC1439" s="39"/>
      <c r="BD1439" s="39"/>
      <c r="BE1439" s="39"/>
      <c r="BF1439" s="39">
        <f t="shared" si="898"/>
        <v>0</v>
      </c>
      <c r="BG1439" s="39"/>
      <c r="BH1439" s="39"/>
      <c r="BI1439" s="39"/>
      <c r="BJ1439" s="39"/>
      <c r="BK1439" s="39"/>
      <c r="BL1439" s="39">
        <f t="shared" si="780"/>
        <v>0</v>
      </c>
      <c r="BM1439" s="54" t="e">
        <f t="shared" ca="1" si="899"/>
        <v>#VALUE!</v>
      </c>
      <c r="BN1439" s="58">
        <v>46266</v>
      </c>
      <c r="BO1439" s="57">
        <v>46277</v>
      </c>
      <c r="BP1439" s="36"/>
      <c r="BQ1439" s="36"/>
      <c r="BR1439" s="117">
        <v>46270</v>
      </c>
      <c r="BS1439" s="39"/>
      <c r="BT1439" s="39">
        <v>753</v>
      </c>
      <c r="BU1439" s="39">
        <f>565+190</f>
        <v>755</v>
      </c>
      <c r="BV1439" s="39"/>
      <c r="BW1439" s="39"/>
      <c r="BX1439" s="39"/>
      <c r="BY1439" s="39"/>
      <c r="BZ1439" s="39">
        <f t="shared" si="781"/>
        <v>755</v>
      </c>
      <c r="CA1439" s="39">
        <f t="shared" si="900"/>
        <v>-85</v>
      </c>
      <c r="CB1439" s="39">
        <f t="shared" si="901"/>
        <v>0</v>
      </c>
      <c r="CC1439" s="39">
        <f t="shared" si="902"/>
        <v>0</v>
      </c>
      <c r="CD1439" s="39">
        <f t="shared" si="782"/>
        <v>-85</v>
      </c>
      <c r="CE1439" s="102">
        <f t="shared" si="903"/>
        <v>-0.10119047619047619</v>
      </c>
      <c r="CF1439" s="36"/>
      <c r="CG1439" s="39" t="s">
        <v>244</v>
      </c>
      <c r="CH1439" s="39"/>
      <c r="CI1439" s="25">
        <v>1</v>
      </c>
    </row>
    <row r="1440" spans="1:87" ht="24.75" customHeight="1">
      <c r="A1440" s="36" t="s">
        <v>46</v>
      </c>
      <c r="B1440" s="30">
        <v>47927</v>
      </c>
      <c r="C1440" s="228"/>
      <c r="D1440" s="23"/>
      <c r="E1440" s="39">
        <v>220</v>
      </c>
      <c r="F1440" s="39" t="s">
        <v>57</v>
      </c>
      <c r="G1440" s="36" t="s">
        <v>1931</v>
      </c>
      <c r="H1440" s="36" t="s">
        <v>96</v>
      </c>
      <c r="I1440" s="39">
        <f>141+11+6</f>
        <v>158</v>
      </c>
      <c r="J1440" s="39"/>
      <c r="K1440" s="39"/>
      <c r="L1440" s="39">
        <f t="shared" si="925"/>
        <v>158</v>
      </c>
      <c r="M1440" s="117">
        <v>46249</v>
      </c>
      <c r="N1440" s="117">
        <v>46259</v>
      </c>
      <c r="O1440" s="39"/>
      <c r="P1440" s="39"/>
      <c r="Q1440" s="39"/>
      <c r="R1440" s="39">
        <f t="shared" si="926"/>
        <v>0</v>
      </c>
      <c r="S1440" s="39" t="s">
        <v>130</v>
      </c>
      <c r="T1440" s="39"/>
      <c r="U1440" s="39"/>
      <c r="V1440" s="39"/>
      <c r="W1440" s="39"/>
      <c r="X1440" s="39"/>
      <c r="Y1440" s="39"/>
      <c r="Z1440" s="39"/>
      <c r="AA1440" s="39"/>
      <c r="AB1440" s="118">
        <f t="shared" si="927"/>
        <v>0</v>
      </c>
      <c r="AC1440" s="39"/>
      <c r="AD1440" s="39"/>
      <c r="AE1440" s="39"/>
      <c r="AF1440" s="39"/>
      <c r="AG1440" s="39"/>
      <c r="AH1440" s="39">
        <f t="shared" si="779"/>
        <v>0</v>
      </c>
      <c r="AI1440" s="39"/>
      <c r="AJ1440" s="39"/>
      <c r="AK1440" s="39"/>
      <c r="AL1440" s="39"/>
      <c r="AM1440" s="39"/>
      <c r="AN1440" s="39">
        <f t="shared" si="778"/>
        <v>0</v>
      </c>
      <c r="AO1440" s="39"/>
      <c r="AP1440" s="39"/>
      <c r="AQ1440" s="39"/>
      <c r="AR1440" s="39"/>
      <c r="AS1440" s="39"/>
      <c r="AT1440" s="39">
        <f t="shared" si="896"/>
        <v>0</v>
      </c>
      <c r="AU1440" s="39"/>
      <c r="AV1440" s="39"/>
      <c r="AW1440" s="39"/>
      <c r="AX1440" s="39"/>
      <c r="AY1440" s="39"/>
      <c r="AZ1440" s="39">
        <f t="shared" si="897"/>
        <v>0</v>
      </c>
      <c r="BA1440" s="39"/>
      <c r="BB1440" s="39"/>
      <c r="BC1440" s="39"/>
      <c r="BD1440" s="39"/>
      <c r="BE1440" s="39"/>
      <c r="BF1440" s="39">
        <f t="shared" si="898"/>
        <v>0</v>
      </c>
      <c r="BG1440" s="39"/>
      <c r="BH1440" s="39"/>
      <c r="BI1440" s="39"/>
      <c r="BJ1440" s="39"/>
      <c r="BK1440" s="39"/>
      <c r="BL1440" s="39">
        <f t="shared" si="780"/>
        <v>0</v>
      </c>
      <c r="BM1440" s="54">
        <f t="shared" ca="1" si="899"/>
        <v>46283</v>
      </c>
      <c r="BN1440" s="58">
        <v>46266</v>
      </c>
      <c r="BO1440" s="57">
        <v>46277</v>
      </c>
      <c r="BP1440" s="36"/>
      <c r="BQ1440" s="36"/>
      <c r="BR1440" s="39"/>
      <c r="BS1440" s="39"/>
      <c r="BT1440" s="39"/>
      <c r="BU1440" s="39"/>
      <c r="BV1440" s="39"/>
      <c r="BW1440" s="39"/>
      <c r="BX1440" s="39"/>
      <c r="BY1440" s="39"/>
      <c r="BZ1440" s="39">
        <f t="shared" si="781"/>
        <v>0</v>
      </c>
      <c r="CA1440" s="39">
        <f t="shared" si="900"/>
        <v>-158</v>
      </c>
      <c r="CB1440" s="39">
        <f t="shared" si="901"/>
        <v>0</v>
      </c>
      <c r="CC1440" s="39">
        <f t="shared" si="902"/>
        <v>0</v>
      </c>
      <c r="CD1440" s="39">
        <f t="shared" si="782"/>
        <v>-158</v>
      </c>
      <c r="CE1440" s="102">
        <f t="shared" si="903"/>
        <v>-1</v>
      </c>
      <c r="CF1440" s="36"/>
      <c r="CG1440" s="39" t="s">
        <v>244</v>
      </c>
      <c r="CH1440" s="39"/>
      <c r="CI1440" s="25">
        <v>1</v>
      </c>
    </row>
    <row r="1441" spans="1:87" ht="24.75" customHeight="1">
      <c r="A1441" s="36" t="s">
        <v>46</v>
      </c>
      <c r="B1441" s="30">
        <v>48144</v>
      </c>
      <c r="C1441" s="227" t="s">
        <v>2267</v>
      </c>
      <c r="D1441" s="23"/>
      <c r="E1441" s="39">
        <v>280</v>
      </c>
      <c r="F1441" s="39" t="s">
        <v>58</v>
      </c>
      <c r="G1441" s="36" t="s">
        <v>23</v>
      </c>
      <c r="H1441" s="36" t="s">
        <v>200</v>
      </c>
      <c r="I1441" s="39">
        <f>746+49</f>
        <v>795</v>
      </c>
      <c r="J1441" s="39"/>
      <c r="K1441" s="39">
        <v>16</v>
      </c>
      <c r="L1441" s="39">
        <f t="shared" si="925"/>
        <v>811</v>
      </c>
      <c r="M1441" s="117">
        <v>46249</v>
      </c>
      <c r="N1441" s="117">
        <v>46261</v>
      </c>
      <c r="O1441" s="39"/>
      <c r="P1441" s="39"/>
      <c r="Q1441" s="39"/>
      <c r="R1441" s="39">
        <f t="shared" si="926"/>
        <v>0</v>
      </c>
      <c r="S1441" s="39" t="s">
        <v>28</v>
      </c>
      <c r="T1441" s="39"/>
      <c r="U1441" s="39"/>
      <c r="V1441" s="117">
        <v>46252</v>
      </c>
      <c r="W1441" s="39">
        <f>889+19</f>
        <v>908</v>
      </c>
      <c r="X1441" s="117">
        <v>46275</v>
      </c>
      <c r="Y1441" s="39">
        <v>846</v>
      </c>
      <c r="Z1441" s="39"/>
      <c r="AA1441" s="39">
        <v>20</v>
      </c>
      <c r="AB1441" s="119">
        <f t="shared" si="927"/>
        <v>866</v>
      </c>
      <c r="AC1441" s="39"/>
      <c r="AD1441" s="39"/>
      <c r="AE1441" s="39"/>
      <c r="AF1441" s="39"/>
      <c r="AG1441" s="39"/>
      <c r="AH1441" s="39">
        <f t="shared" si="779"/>
        <v>0</v>
      </c>
      <c r="AI1441" s="39"/>
      <c r="AJ1441" s="39"/>
      <c r="AK1441" s="39"/>
      <c r="AL1441" s="39"/>
      <c r="AM1441" s="39"/>
      <c r="AN1441" s="39">
        <f t="shared" si="778"/>
        <v>0</v>
      </c>
      <c r="AO1441" s="39"/>
      <c r="AP1441" s="39"/>
      <c r="AQ1441" s="39"/>
      <c r="AR1441" s="39"/>
      <c r="AS1441" s="39"/>
      <c r="AT1441" s="39">
        <f t="shared" si="896"/>
        <v>0</v>
      </c>
      <c r="AU1441" s="39"/>
      <c r="AV1441" s="39"/>
      <c r="AW1441" s="39"/>
      <c r="AX1441" s="39"/>
      <c r="AY1441" s="39"/>
      <c r="AZ1441" s="39">
        <f t="shared" si="897"/>
        <v>0</v>
      </c>
      <c r="BA1441" s="39"/>
      <c r="BB1441" s="39"/>
      <c r="BC1441" s="39"/>
      <c r="BD1441" s="39"/>
      <c r="BE1441" s="39"/>
      <c r="BF1441" s="39">
        <f t="shared" si="898"/>
        <v>0</v>
      </c>
      <c r="BG1441" s="39"/>
      <c r="BH1441" s="39"/>
      <c r="BI1441" s="39"/>
      <c r="BJ1441" s="39"/>
      <c r="BK1441" s="39"/>
      <c r="BL1441" s="39">
        <f t="shared" si="780"/>
        <v>0</v>
      </c>
      <c r="BM1441" s="54" t="str">
        <f t="shared" si="899"/>
        <v/>
      </c>
      <c r="BN1441" s="58">
        <v>46266</v>
      </c>
      <c r="BO1441" s="57">
        <v>46279</v>
      </c>
      <c r="BP1441" s="36"/>
      <c r="BQ1441" s="36"/>
      <c r="BR1441" s="117">
        <v>46272</v>
      </c>
      <c r="BS1441" s="117">
        <v>46272</v>
      </c>
      <c r="BT1441" s="39">
        <v>967</v>
      </c>
      <c r="BU1441" s="39">
        <v>846</v>
      </c>
      <c r="BV1441" s="39"/>
      <c r="BW1441" s="39"/>
      <c r="BX1441" s="39">
        <v>967</v>
      </c>
      <c r="BY1441" s="39">
        <v>19</v>
      </c>
      <c r="BZ1441" s="39">
        <f t="shared" si="781"/>
        <v>865</v>
      </c>
      <c r="CA1441" s="39">
        <f t="shared" si="900"/>
        <v>51</v>
      </c>
      <c r="CB1441" s="39">
        <f t="shared" si="901"/>
        <v>0</v>
      </c>
      <c r="CC1441" s="39">
        <f t="shared" si="902"/>
        <v>3</v>
      </c>
      <c r="CD1441" s="39">
        <f t="shared" si="782"/>
        <v>0</v>
      </c>
      <c r="CE1441" s="102">
        <f t="shared" si="903"/>
        <v>0</v>
      </c>
      <c r="CF1441" s="36"/>
      <c r="CG1441" s="39" t="s">
        <v>244</v>
      </c>
      <c r="CH1441" s="39"/>
      <c r="CI1441" s="25">
        <v>1</v>
      </c>
    </row>
    <row r="1442" spans="1:87" ht="24.75" customHeight="1">
      <c r="A1442" s="36" t="s">
        <v>46</v>
      </c>
      <c r="B1442" s="30">
        <v>48144</v>
      </c>
      <c r="C1442" s="228"/>
      <c r="D1442" s="23"/>
      <c r="E1442" s="39">
        <v>280</v>
      </c>
      <c r="F1442" s="39" t="s">
        <v>58</v>
      </c>
      <c r="G1442" s="36" t="s">
        <v>187</v>
      </c>
      <c r="H1442" s="36" t="s">
        <v>200</v>
      </c>
      <c r="I1442" s="39">
        <f>746+49</f>
        <v>795</v>
      </c>
      <c r="J1442" s="39"/>
      <c r="K1442" s="39">
        <v>16</v>
      </c>
      <c r="L1442" s="39">
        <f t="shared" si="925"/>
        <v>811</v>
      </c>
      <c r="M1442" s="117">
        <v>46249</v>
      </c>
      <c r="N1442" s="117">
        <v>46261</v>
      </c>
      <c r="O1442" s="39"/>
      <c r="P1442" s="39"/>
      <c r="Q1442" s="39"/>
      <c r="R1442" s="39">
        <f t="shared" si="926"/>
        <v>0</v>
      </c>
      <c r="S1442" s="39" t="s">
        <v>130</v>
      </c>
      <c r="T1442" s="39">
        <v>109267</v>
      </c>
      <c r="U1442" s="117">
        <v>46274</v>
      </c>
      <c r="V1442" s="39"/>
      <c r="W1442" s="39"/>
      <c r="X1442" s="39"/>
      <c r="Y1442" s="39">
        <v>908</v>
      </c>
      <c r="Z1442" s="39"/>
      <c r="AA1442" s="39">
        <v>20</v>
      </c>
      <c r="AB1442" s="119">
        <f t="shared" si="927"/>
        <v>928</v>
      </c>
      <c r="AC1442" s="39"/>
      <c r="AD1442" s="39"/>
      <c r="AE1442" s="39"/>
      <c r="AF1442" s="39"/>
      <c r="AG1442" s="39"/>
      <c r="AH1442" s="39">
        <f t="shared" si="779"/>
        <v>0</v>
      </c>
      <c r="AI1442" s="39"/>
      <c r="AJ1442" s="39"/>
      <c r="AK1442" s="39"/>
      <c r="AL1442" s="39"/>
      <c r="AM1442" s="39"/>
      <c r="AN1442" s="39">
        <f t="shared" si="778"/>
        <v>0</v>
      </c>
      <c r="AO1442" s="39"/>
      <c r="AP1442" s="39"/>
      <c r="AQ1442" s="39"/>
      <c r="AR1442" s="39"/>
      <c r="AS1442" s="39"/>
      <c r="AT1442" s="39">
        <f t="shared" si="896"/>
        <v>0</v>
      </c>
      <c r="AU1442" s="39"/>
      <c r="AV1442" s="39"/>
      <c r="AW1442" s="39"/>
      <c r="AX1442" s="39"/>
      <c r="AY1442" s="39"/>
      <c r="AZ1442" s="39">
        <f t="shared" si="897"/>
        <v>0</v>
      </c>
      <c r="BA1442" s="39"/>
      <c r="BB1442" s="39"/>
      <c r="BC1442" s="39"/>
      <c r="BD1442" s="39"/>
      <c r="BE1442" s="39"/>
      <c r="BF1442" s="39">
        <f t="shared" si="898"/>
        <v>0</v>
      </c>
      <c r="BG1442" s="39"/>
      <c r="BH1442" s="39"/>
      <c r="BI1442" s="39"/>
      <c r="BJ1442" s="39"/>
      <c r="BK1442" s="39"/>
      <c r="BL1442" s="39">
        <f t="shared" si="780"/>
        <v>0</v>
      </c>
      <c r="BM1442" s="54" t="str">
        <f t="shared" si="899"/>
        <v/>
      </c>
      <c r="BN1442" s="58">
        <v>46266</v>
      </c>
      <c r="BO1442" s="57">
        <v>46279</v>
      </c>
      <c r="BP1442" s="36"/>
      <c r="BQ1442" s="36"/>
      <c r="BR1442" s="117">
        <v>46277</v>
      </c>
      <c r="BS1442" s="117">
        <v>46280</v>
      </c>
      <c r="BT1442" s="39" t="s">
        <v>3044</v>
      </c>
      <c r="BU1442" s="39">
        <f>580+11+229</f>
        <v>820</v>
      </c>
      <c r="BV1442" s="39"/>
      <c r="BW1442" s="39"/>
      <c r="BX1442" s="39">
        <v>785</v>
      </c>
      <c r="BY1442" s="39">
        <v>18</v>
      </c>
      <c r="BZ1442" s="39">
        <f t="shared" si="781"/>
        <v>838</v>
      </c>
      <c r="CA1442" s="39">
        <f t="shared" si="900"/>
        <v>25</v>
      </c>
      <c r="CB1442" s="39">
        <f t="shared" si="901"/>
        <v>0</v>
      </c>
      <c r="CC1442" s="39">
        <f t="shared" si="902"/>
        <v>2</v>
      </c>
      <c r="CD1442" s="39">
        <f t="shared" si="782"/>
        <v>0</v>
      </c>
      <c r="CE1442" s="102">
        <f t="shared" si="903"/>
        <v>0</v>
      </c>
      <c r="CF1442" s="36"/>
      <c r="CG1442" s="39" t="s">
        <v>244</v>
      </c>
      <c r="CH1442" s="39" t="s">
        <v>2976</v>
      </c>
      <c r="CI1442" s="25">
        <v>1</v>
      </c>
    </row>
    <row r="1443" spans="1:87" ht="24.75" customHeight="1">
      <c r="A1443" s="36" t="s">
        <v>46</v>
      </c>
      <c r="B1443" s="30">
        <v>48246</v>
      </c>
      <c r="C1443" s="227" t="s">
        <v>2266</v>
      </c>
      <c r="D1443" s="23" t="s">
        <v>194</v>
      </c>
      <c r="E1443" s="39">
        <v>150</v>
      </c>
      <c r="F1443" s="39" t="s">
        <v>65</v>
      </c>
      <c r="G1443" s="36" t="s">
        <v>2264</v>
      </c>
      <c r="H1443" s="36" t="s">
        <v>22</v>
      </c>
      <c r="I1443" s="39">
        <v>255</v>
      </c>
      <c r="J1443" s="39">
        <v>60</v>
      </c>
      <c r="K1443" s="39"/>
      <c r="L1443" s="39">
        <f t="shared" si="925"/>
        <v>315</v>
      </c>
      <c r="M1443" s="117">
        <v>46249</v>
      </c>
      <c r="N1443" s="117">
        <v>46259</v>
      </c>
      <c r="O1443" s="39"/>
      <c r="P1443" s="39"/>
      <c r="Q1443" s="39"/>
      <c r="R1443" s="39">
        <f t="shared" si="926"/>
        <v>0</v>
      </c>
      <c r="S1443" s="39" t="s">
        <v>130</v>
      </c>
      <c r="T1443" s="39">
        <v>108971</v>
      </c>
      <c r="U1443" s="117">
        <v>46261</v>
      </c>
      <c r="V1443" s="39"/>
      <c r="W1443" s="39"/>
      <c r="X1443" s="39"/>
      <c r="Y1443" s="39">
        <v>289</v>
      </c>
      <c r="Z1443" s="39">
        <v>71</v>
      </c>
      <c r="AA1443" s="39"/>
      <c r="AB1443" s="119">
        <f t="shared" si="927"/>
        <v>360</v>
      </c>
      <c r="AC1443" s="39"/>
      <c r="AD1443" s="39"/>
      <c r="AE1443" s="39"/>
      <c r="AF1443" s="39"/>
      <c r="AG1443" s="39"/>
      <c r="AH1443" s="39">
        <f t="shared" si="779"/>
        <v>0</v>
      </c>
      <c r="AI1443" s="39"/>
      <c r="AJ1443" s="39"/>
      <c r="AK1443" s="39"/>
      <c r="AL1443" s="39"/>
      <c r="AM1443" s="39"/>
      <c r="AN1443" s="39">
        <f t="shared" si="778"/>
        <v>0</v>
      </c>
      <c r="AO1443" s="39"/>
      <c r="AP1443" s="39"/>
      <c r="AQ1443" s="39"/>
      <c r="AR1443" s="39"/>
      <c r="AS1443" s="39"/>
      <c r="AT1443" s="39">
        <f t="shared" si="896"/>
        <v>0</v>
      </c>
      <c r="AU1443" s="39"/>
      <c r="AV1443" s="39"/>
      <c r="AW1443" s="39"/>
      <c r="AX1443" s="39"/>
      <c r="AY1443" s="39"/>
      <c r="AZ1443" s="39">
        <f t="shared" si="897"/>
        <v>0</v>
      </c>
      <c r="BA1443" s="39"/>
      <c r="BB1443" s="39"/>
      <c r="BC1443" s="39"/>
      <c r="BD1443" s="39"/>
      <c r="BE1443" s="39"/>
      <c r="BF1443" s="39">
        <f t="shared" si="898"/>
        <v>0</v>
      </c>
      <c r="BG1443" s="39"/>
      <c r="BH1443" s="39"/>
      <c r="BI1443" s="39"/>
      <c r="BJ1443" s="39"/>
      <c r="BK1443" s="39"/>
      <c r="BL1443" s="39">
        <f t="shared" si="780"/>
        <v>0</v>
      </c>
      <c r="BM1443" s="54" t="str">
        <f t="shared" si="899"/>
        <v/>
      </c>
      <c r="BN1443" s="58">
        <v>46266</v>
      </c>
      <c r="BO1443" s="57">
        <v>46279</v>
      </c>
      <c r="BP1443" s="36"/>
      <c r="BQ1443" s="36"/>
      <c r="BR1443" s="117">
        <v>46265</v>
      </c>
      <c r="BS1443" s="117">
        <v>46265</v>
      </c>
      <c r="BT1443" s="39">
        <v>725</v>
      </c>
      <c r="BU1443" s="39">
        <f>237</f>
        <v>237</v>
      </c>
      <c r="BV1443" s="39">
        <v>725</v>
      </c>
      <c r="BW1443" s="39">
        <v>63</v>
      </c>
      <c r="BX1443" s="39"/>
      <c r="BY1443" s="39"/>
      <c r="BZ1443" s="39">
        <f t="shared" si="781"/>
        <v>300</v>
      </c>
      <c r="CA1443" s="39">
        <f t="shared" si="900"/>
        <v>-18</v>
      </c>
      <c r="CB1443" s="39">
        <f t="shared" si="901"/>
        <v>3</v>
      </c>
      <c r="CC1443" s="39">
        <f t="shared" si="902"/>
        <v>0</v>
      </c>
      <c r="CD1443" s="39">
        <f t="shared" si="782"/>
        <v>-18</v>
      </c>
      <c r="CE1443" s="102">
        <f t="shared" si="903"/>
        <v>-5.7142857142857141E-2</v>
      </c>
      <c r="CF1443" s="36"/>
      <c r="CG1443" s="39" t="s">
        <v>244</v>
      </c>
      <c r="CH1443" s="39"/>
      <c r="CI1443" s="25">
        <v>1</v>
      </c>
    </row>
    <row r="1444" spans="1:87" ht="24.75" customHeight="1">
      <c r="A1444" s="36" t="s">
        <v>46</v>
      </c>
      <c r="B1444" s="30">
        <v>48246</v>
      </c>
      <c r="C1444" s="231"/>
      <c r="D1444" s="23" t="s">
        <v>194</v>
      </c>
      <c r="E1444" s="39">
        <v>150</v>
      </c>
      <c r="F1444" s="39" t="s">
        <v>65</v>
      </c>
      <c r="G1444" s="36" t="s">
        <v>2265</v>
      </c>
      <c r="H1444" s="36" t="s">
        <v>22</v>
      </c>
      <c r="I1444" s="39">
        <v>255</v>
      </c>
      <c r="J1444" s="39">
        <v>60</v>
      </c>
      <c r="K1444" s="39"/>
      <c r="L1444" s="39">
        <f t="shared" si="925"/>
        <v>315</v>
      </c>
      <c r="M1444" s="117">
        <v>46249</v>
      </c>
      <c r="N1444" s="117">
        <v>46259</v>
      </c>
      <c r="O1444" s="39"/>
      <c r="P1444" s="39"/>
      <c r="Q1444" s="39"/>
      <c r="R1444" s="39">
        <f t="shared" si="926"/>
        <v>0</v>
      </c>
      <c r="S1444" s="39" t="s">
        <v>130</v>
      </c>
      <c r="T1444" s="39">
        <v>108971</v>
      </c>
      <c r="U1444" s="117">
        <v>46261</v>
      </c>
      <c r="V1444" s="39"/>
      <c r="W1444" s="39"/>
      <c r="X1444" s="39"/>
      <c r="Y1444" s="39">
        <v>287</v>
      </c>
      <c r="Z1444" s="39">
        <v>71</v>
      </c>
      <c r="AA1444" s="39"/>
      <c r="AB1444" s="119">
        <f t="shared" si="927"/>
        <v>358</v>
      </c>
      <c r="AC1444" s="39"/>
      <c r="AD1444" s="39"/>
      <c r="AE1444" s="39"/>
      <c r="AF1444" s="39"/>
      <c r="AG1444" s="39"/>
      <c r="AH1444" s="39">
        <f t="shared" si="779"/>
        <v>0</v>
      </c>
      <c r="AI1444" s="39"/>
      <c r="AJ1444" s="39"/>
      <c r="AK1444" s="39"/>
      <c r="AL1444" s="39"/>
      <c r="AM1444" s="39"/>
      <c r="AN1444" s="39">
        <f t="shared" si="778"/>
        <v>0</v>
      </c>
      <c r="AO1444" s="39"/>
      <c r="AP1444" s="39"/>
      <c r="AQ1444" s="39"/>
      <c r="AR1444" s="39"/>
      <c r="AS1444" s="39"/>
      <c r="AT1444" s="39">
        <f t="shared" si="896"/>
        <v>0</v>
      </c>
      <c r="AU1444" s="39"/>
      <c r="AV1444" s="39"/>
      <c r="AW1444" s="39"/>
      <c r="AX1444" s="39"/>
      <c r="AY1444" s="39"/>
      <c r="AZ1444" s="39">
        <f t="shared" si="897"/>
        <v>0</v>
      </c>
      <c r="BA1444" s="39"/>
      <c r="BB1444" s="39"/>
      <c r="BC1444" s="39"/>
      <c r="BD1444" s="39"/>
      <c r="BE1444" s="39"/>
      <c r="BF1444" s="39">
        <f t="shared" si="898"/>
        <v>0</v>
      </c>
      <c r="BG1444" s="39"/>
      <c r="BH1444" s="39"/>
      <c r="BI1444" s="39"/>
      <c r="BJ1444" s="39"/>
      <c r="BK1444" s="39"/>
      <c r="BL1444" s="39">
        <f t="shared" si="780"/>
        <v>0</v>
      </c>
      <c r="BM1444" s="54">
        <f t="shared" ca="1" si="899"/>
        <v>22</v>
      </c>
      <c r="BN1444" s="58">
        <v>46266</v>
      </c>
      <c r="BO1444" s="57">
        <v>46279</v>
      </c>
      <c r="BP1444" s="36"/>
      <c r="BQ1444" s="36"/>
      <c r="BR1444" s="39"/>
      <c r="BS1444" s="39"/>
      <c r="BT1444" s="39"/>
      <c r="BU1444" s="39"/>
      <c r="BV1444" s="39"/>
      <c r="BW1444" s="39"/>
      <c r="BX1444" s="39"/>
      <c r="BY1444" s="39"/>
      <c r="BZ1444" s="39">
        <f t="shared" si="781"/>
        <v>0</v>
      </c>
      <c r="CA1444" s="39">
        <f t="shared" si="900"/>
        <v>-255</v>
      </c>
      <c r="CB1444" s="39">
        <f t="shared" si="901"/>
        <v>-60</v>
      </c>
      <c r="CC1444" s="39">
        <f t="shared" si="902"/>
        <v>0</v>
      </c>
      <c r="CD1444" s="39">
        <f t="shared" si="782"/>
        <v>-315</v>
      </c>
      <c r="CE1444" s="102">
        <f t="shared" si="903"/>
        <v>-1</v>
      </c>
      <c r="CF1444" s="36"/>
      <c r="CG1444" s="39" t="s">
        <v>244</v>
      </c>
      <c r="CH1444" s="39"/>
      <c r="CI1444" s="25">
        <v>1</v>
      </c>
    </row>
    <row r="1445" spans="1:87" ht="24.75" customHeight="1">
      <c r="A1445" s="36" t="s">
        <v>46</v>
      </c>
      <c r="B1445" s="30">
        <v>47796</v>
      </c>
      <c r="C1445" s="36" t="s">
        <v>2199</v>
      </c>
      <c r="D1445" s="23"/>
      <c r="E1445" s="39">
        <v>320</v>
      </c>
      <c r="F1445" s="39" t="s">
        <v>183</v>
      </c>
      <c r="G1445" s="36" t="s">
        <v>985</v>
      </c>
      <c r="H1445" s="36" t="s">
        <v>111</v>
      </c>
      <c r="I1445" s="39">
        <v>840</v>
      </c>
      <c r="J1445" s="39"/>
      <c r="K1445" s="39"/>
      <c r="L1445" s="39">
        <f t="shared" ref="L1445:L1446" si="928">SUM(I1445:K1445)</f>
        <v>840</v>
      </c>
      <c r="M1445" s="117">
        <v>46254</v>
      </c>
      <c r="N1445" s="117">
        <v>46265</v>
      </c>
      <c r="O1445" s="39"/>
      <c r="P1445" s="39"/>
      <c r="Q1445" s="39"/>
      <c r="R1445" s="39">
        <f t="shared" ref="R1445:R1448" si="929">SUM(O1445:Q1445)</f>
        <v>0</v>
      </c>
      <c r="S1445" s="39" t="s">
        <v>270</v>
      </c>
      <c r="T1445" s="39"/>
      <c r="U1445" s="39"/>
      <c r="V1445" s="117">
        <v>46263</v>
      </c>
      <c r="W1445" s="39">
        <v>941</v>
      </c>
      <c r="X1445" s="117">
        <v>46275</v>
      </c>
      <c r="Y1445" s="39">
        <f>835</f>
        <v>835</v>
      </c>
      <c r="Z1445" s="39"/>
      <c r="AA1445" s="39"/>
      <c r="AB1445" s="119">
        <f t="shared" ref="AB1445:AB1448" si="930">SUM(Y1445:AA1445)</f>
        <v>835</v>
      </c>
      <c r="AC1445" s="39"/>
      <c r="AD1445" s="39"/>
      <c r="AE1445" s="39"/>
      <c r="AF1445" s="39"/>
      <c r="AG1445" s="39"/>
      <c r="AH1445" s="39">
        <f t="shared" si="779"/>
        <v>0</v>
      </c>
      <c r="AI1445" s="39"/>
      <c r="AJ1445" s="39"/>
      <c r="AK1445" s="39"/>
      <c r="AL1445" s="39"/>
      <c r="AM1445" s="39"/>
      <c r="AN1445" s="39">
        <f t="shared" si="778"/>
        <v>0</v>
      </c>
      <c r="AO1445" s="39"/>
      <c r="AP1445" s="39"/>
      <c r="AQ1445" s="39"/>
      <c r="AR1445" s="39"/>
      <c r="AS1445" s="39"/>
      <c r="AT1445" s="39">
        <f t="shared" si="896"/>
        <v>0</v>
      </c>
      <c r="AU1445" s="39"/>
      <c r="AV1445" s="39"/>
      <c r="AW1445" s="39"/>
      <c r="AX1445" s="39"/>
      <c r="AY1445" s="39"/>
      <c r="AZ1445" s="39">
        <f t="shared" si="897"/>
        <v>0</v>
      </c>
      <c r="BA1445" s="39"/>
      <c r="BB1445" s="39"/>
      <c r="BC1445" s="39"/>
      <c r="BD1445" s="39"/>
      <c r="BE1445" s="39"/>
      <c r="BF1445" s="39">
        <f t="shared" si="898"/>
        <v>0</v>
      </c>
      <c r="BG1445" s="39"/>
      <c r="BH1445" s="39"/>
      <c r="BI1445" s="39"/>
      <c r="BJ1445" s="39"/>
      <c r="BK1445" s="39"/>
      <c r="BL1445" s="39">
        <f t="shared" si="780"/>
        <v>0</v>
      </c>
      <c r="BM1445" s="54" t="str">
        <f t="shared" si="899"/>
        <v/>
      </c>
      <c r="BN1445" s="58">
        <v>46266</v>
      </c>
      <c r="BO1445" s="57">
        <v>46279</v>
      </c>
      <c r="BP1445" s="36"/>
      <c r="BQ1445" s="36"/>
      <c r="BR1445" s="117">
        <v>46276</v>
      </c>
      <c r="BS1445" s="117">
        <v>46276</v>
      </c>
      <c r="BT1445" s="39">
        <v>857</v>
      </c>
      <c r="BU1445" s="39">
        <v>835</v>
      </c>
      <c r="BV1445" s="39"/>
      <c r="BW1445" s="39"/>
      <c r="BX1445" s="39"/>
      <c r="BY1445" s="39"/>
      <c r="BZ1445" s="39">
        <f t="shared" si="781"/>
        <v>835</v>
      </c>
      <c r="CA1445" s="39">
        <f t="shared" si="900"/>
        <v>-5</v>
      </c>
      <c r="CB1445" s="39">
        <f t="shared" si="901"/>
        <v>0</v>
      </c>
      <c r="CC1445" s="39">
        <f t="shared" si="902"/>
        <v>0</v>
      </c>
      <c r="CD1445" s="39">
        <v>0</v>
      </c>
      <c r="CE1445" s="102">
        <f t="shared" si="903"/>
        <v>0</v>
      </c>
      <c r="CF1445" s="36"/>
      <c r="CG1445" s="39" t="s">
        <v>240</v>
      </c>
      <c r="CH1445" s="39"/>
      <c r="CI1445" s="25">
        <v>1</v>
      </c>
    </row>
    <row r="1446" spans="1:87" ht="24.75" customHeight="1">
      <c r="A1446" s="36" t="s">
        <v>46</v>
      </c>
      <c r="B1446" s="30">
        <v>48297</v>
      </c>
      <c r="C1446" s="227" t="s">
        <v>1932</v>
      </c>
      <c r="D1446" s="23"/>
      <c r="E1446" s="39">
        <v>240</v>
      </c>
      <c r="F1446" s="39" t="s">
        <v>58</v>
      </c>
      <c r="G1446" s="36" t="s">
        <v>1933</v>
      </c>
      <c r="H1446" s="36" t="s">
        <v>111</v>
      </c>
      <c r="I1446" s="39">
        <v>391</v>
      </c>
      <c r="J1446" s="39">
        <v>117</v>
      </c>
      <c r="K1446" s="39"/>
      <c r="L1446" s="39">
        <f t="shared" si="928"/>
        <v>508</v>
      </c>
      <c r="M1446" s="117">
        <v>46249</v>
      </c>
      <c r="N1446" s="117">
        <v>46265</v>
      </c>
      <c r="O1446" s="39"/>
      <c r="P1446" s="39"/>
      <c r="Q1446" s="39"/>
      <c r="R1446" s="39">
        <f t="shared" si="929"/>
        <v>0</v>
      </c>
      <c r="S1446" s="39" t="s">
        <v>31</v>
      </c>
      <c r="T1446" s="39"/>
      <c r="U1446" s="39"/>
      <c r="V1446" s="117">
        <v>46263</v>
      </c>
      <c r="W1446" s="39">
        <f>439+138</f>
        <v>577</v>
      </c>
      <c r="X1446" s="39"/>
      <c r="Y1446" s="39"/>
      <c r="Z1446" s="39"/>
      <c r="AA1446" s="39"/>
      <c r="AB1446" s="118">
        <f t="shared" si="930"/>
        <v>0</v>
      </c>
      <c r="AC1446" s="39"/>
      <c r="AD1446" s="39"/>
      <c r="AE1446" s="39"/>
      <c r="AF1446" s="39"/>
      <c r="AG1446" s="39"/>
      <c r="AH1446" s="39">
        <f t="shared" si="779"/>
        <v>0</v>
      </c>
      <c r="AI1446" s="39"/>
      <c r="AJ1446" s="39"/>
      <c r="AK1446" s="39"/>
      <c r="AL1446" s="39"/>
      <c r="AM1446" s="39"/>
      <c r="AN1446" s="39">
        <f t="shared" si="778"/>
        <v>0</v>
      </c>
      <c r="AO1446" s="39"/>
      <c r="AP1446" s="39"/>
      <c r="AQ1446" s="39"/>
      <c r="AR1446" s="39"/>
      <c r="AS1446" s="39"/>
      <c r="AT1446" s="39">
        <f t="shared" si="896"/>
        <v>0</v>
      </c>
      <c r="AU1446" s="39"/>
      <c r="AV1446" s="39"/>
      <c r="AW1446" s="39"/>
      <c r="AX1446" s="39"/>
      <c r="AY1446" s="39"/>
      <c r="AZ1446" s="39">
        <f t="shared" si="897"/>
        <v>0</v>
      </c>
      <c r="BA1446" s="39"/>
      <c r="BB1446" s="39"/>
      <c r="BC1446" s="39"/>
      <c r="BD1446" s="39"/>
      <c r="BE1446" s="39"/>
      <c r="BF1446" s="39">
        <f t="shared" si="898"/>
        <v>0</v>
      </c>
      <c r="BG1446" s="39"/>
      <c r="BH1446" s="39"/>
      <c r="BI1446" s="39"/>
      <c r="BJ1446" s="39"/>
      <c r="BK1446" s="39"/>
      <c r="BL1446" s="39">
        <f t="shared" si="780"/>
        <v>0</v>
      </c>
      <c r="BM1446" s="54">
        <f t="shared" ca="1" si="899"/>
        <v>46283</v>
      </c>
      <c r="BN1446" s="58">
        <v>46266</v>
      </c>
      <c r="BO1446" s="57">
        <v>46280</v>
      </c>
      <c r="BP1446" s="36"/>
      <c r="BQ1446" s="36"/>
      <c r="BR1446" s="39"/>
      <c r="BS1446" s="39"/>
      <c r="BT1446" s="39"/>
      <c r="BU1446" s="39"/>
      <c r="BV1446" s="39"/>
      <c r="BW1446" s="39"/>
      <c r="BX1446" s="39"/>
      <c r="BY1446" s="39"/>
      <c r="BZ1446" s="39">
        <f t="shared" si="781"/>
        <v>0</v>
      </c>
      <c r="CA1446" s="39">
        <f t="shared" si="900"/>
        <v>-391</v>
      </c>
      <c r="CB1446" s="39">
        <f t="shared" si="901"/>
        <v>-117</v>
      </c>
      <c r="CC1446" s="39">
        <f t="shared" si="902"/>
        <v>0</v>
      </c>
      <c r="CD1446" s="39">
        <f t="shared" si="782"/>
        <v>-508</v>
      </c>
      <c r="CE1446" s="102">
        <f t="shared" si="903"/>
        <v>-1</v>
      </c>
      <c r="CF1446" s="36"/>
      <c r="CG1446" s="39" t="s">
        <v>242</v>
      </c>
      <c r="CH1446" s="39"/>
      <c r="CI1446" s="25">
        <v>1</v>
      </c>
    </row>
    <row r="1447" spans="1:87" ht="24.75" customHeight="1">
      <c r="A1447" s="36" t="s">
        <v>46</v>
      </c>
      <c r="B1447" s="30">
        <v>48297</v>
      </c>
      <c r="C1447" s="231"/>
      <c r="D1447" s="23"/>
      <c r="E1447" s="39">
        <v>160</v>
      </c>
      <c r="F1447" s="39" t="s">
        <v>58</v>
      </c>
      <c r="G1447" s="36" t="s">
        <v>1934</v>
      </c>
      <c r="H1447" s="36" t="s">
        <v>22</v>
      </c>
      <c r="I1447" s="39">
        <v>10</v>
      </c>
      <c r="J1447" s="39"/>
      <c r="K1447" s="39"/>
      <c r="L1447" s="39">
        <f t="shared" ref="L1447:L1448" si="931">SUM(I1447:K1447)</f>
        <v>10</v>
      </c>
      <c r="M1447" s="117">
        <v>46249</v>
      </c>
      <c r="N1447" s="117">
        <v>46265</v>
      </c>
      <c r="O1447" s="39"/>
      <c r="P1447" s="39"/>
      <c r="Q1447" s="39"/>
      <c r="R1447" s="39">
        <f t="shared" si="929"/>
        <v>0</v>
      </c>
      <c r="S1447" s="39" t="s">
        <v>130</v>
      </c>
      <c r="T1447" s="39">
        <v>109242</v>
      </c>
      <c r="U1447" s="117">
        <v>46272</v>
      </c>
      <c r="V1447" s="39"/>
      <c r="W1447" s="39"/>
      <c r="X1447" s="39"/>
      <c r="Y1447" s="39">
        <v>15</v>
      </c>
      <c r="Z1447" s="39"/>
      <c r="AA1447" s="39"/>
      <c r="AB1447" s="119">
        <f t="shared" si="930"/>
        <v>15</v>
      </c>
      <c r="AC1447" s="39"/>
      <c r="AD1447" s="39"/>
      <c r="AE1447" s="39"/>
      <c r="AF1447" s="39"/>
      <c r="AG1447" s="39"/>
      <c r="AH1447" s="39">
        <f t="shared" si="779"/>
        <v>0</v>
      </c>
      <c r="AI1447" s="39"/>
      <c r="AJ1447" s="39"/>
      <c r="AK1447" s="39"/>
      <c r="AL1447" s="39"/>
      <c r="AM1447" s="39"/>
      <c r="AN1447" s="39">
        <f t="shared" si="778"/>
        <v>0</v>
      </c>
      <c r="AO1447" s="39"/>
      <c r="AP1447" s="39"/>
      <c r="AQ1447" s="39"/>
      <c r="AR1447" s="39"/>
      <c r="AS1447" s="39"/>
      <c r="AT1447" s="39">
        <f t="shared" si="896"/>
        <v>0</v>
      </c>
      <c r="AU1447" s="39"/>
      <c r="AV1447" s="39"/>
      <c r="AW1447" s="39"/>
      <c r="AX1447" s="39"/>
      <c r="AY1447" s="39"/>
      <c r="AZ1447" s="39">
        <f t="shared" si="897"/>
        <v>0</v>
      </c>
      <c r="BA1447" s="39"/>
      <c r="BB1447" s="39"/>
      <c r="BC1447" s="39"/>
      <c r="BD1447" s="39"/>
      <c r="BE1447" s="39"/>
      <c r="BF1447" s="39">
        <f t="shared" si="898"/>
        <v>0</v>
      </c>
      <c r="BG1447" s="39"/>
      <c r="BH1447" s="39"/>
      <c r="BI1447" s="39"/>
      <c r="BJ1447" s="39"/>
      <c r="BK1447" s="39"/>
      <c r="BL1447" s="39">
        <f t="shared" si="780"/>
        <v>0</v>
      </c>
      <c r="BM1447" s="54" t="str">
        <f t="shared" si="899"/>
        <v/>
      </c>
      <c r="BN1447" s="58">
        <v>46266</v>
      </c>
      <c r="BO1447" s="57">
        <v>46280</v>
      </c>
      <c r="BP1447" s="36"/>
      <c r="BQ1447" s="36"/>
      <c r="BR1447" s="57">
        <v>46272</v>
      </c>
      <c r="BS1447" s="57">
        <v>46272</v>
      </c>
      <c r="BT1447" s="39">
        <v>769</v>
      </c>
      <c r="BU1447" s="39">
        <v>13</v>
      </c>
      <c r="BV1447" s="39"/>
      <c r="BW1447" s="39"/>
      <c r="BX1447" s="39"/>
      <c r="BY1447" s="39"/>
      <c r="BZ1447" s="39">
        <f t="shared" si="781"/>
        <v>13</v>
      </c>
      <c r="CA1447" s="39">
        <f t="shared" si="900"/>
        <v>3</v>
      </c>
      <c r="CB1447" s="39">
        <f t="shared" si="901"/>
        <v>0</v>
      </c>
      <c r="CC1447" s="39">
        <f t="shared" si="902"/>
        <v>0</v>
      </c>
      <c r="CD1447" s="39">
        <f t="shared" si="782"/>
        <v>0</v>
      </c>
      <c r="CE1447" s="102">
        <f t="shared" si="903"/>
        <v>0</v>
      </c>
      <c r="CF1447" s="36"/>
      <c r="CG1447" s="39" t="s">
        <v>242</v>
      </c>
      <c r="CH1447" s="39"/>
      <c r="CI1447" s="25">
        <v>1</v>
      </c>
    </row>
    <row r="1448" spans="1:87" ht="24.75" customHeight="1">
      <c r="A1448" s="36" t="s">
        <v>46</v>
      </c>
      <c r="B1448" s="30">
        <v>48297</v>
      </c>
      <c r="C1448" s="228"/>
      <c r="D1448" s="23"/>
      <c r="E1448" s="39">
        <v>240</v>
      </c>
      <c r="F1448" s="39" t="s">
        <v>58</v>
      </c>
      <c r="G1448" s="36" t="s">
        <v>1935</v>
      </c>
      <c r="H1448" s="36" t="s">
        <v>111</v>
      </c>
      <c r="I1448" s="39">
        <v>334</v>
      </c>
      <c r="J1448" s="39">
        <v>47</v>
      </c>
      <c r="K1448" s="39"/>
      <c r="L1448" s="39">
        <f t="shared" si="931"/>
        <v>381</v>
      </c>
      <c r="M1448" s="117">
        <v>46249</v>
      </c>
      <c r="N1448" s="117">
        <v>46265</v>
      </c>
      <c r="O1448" s="39"/>
      <c r="P1448" s="39"/>
      <c r="Q1448" s="39"/>
      <c r="R1448" s="39">
        <f t="shared" si="929"/>
        <v>0</v>
      </c>
      <c r="S1448" s="39" t="s">
        <v>130</v>
      </c>
      <c r="T1448" s="39">
        <v>109226</v>
      </c>
      <c r="U1448" s="117">
        <v>46271</v>
      </c>
      <c r="V1448" s="39"/>
      <c r="W1448" s="39"/>
      <c r="X1448" s="39"/>
      <c r="Y1448" s="39">
        <v>376</v>
      </c>
      <c r="Z1448" s="39">
        <v>57</v>
      </c>
      <c r="AA1448" s="39"/>
      <c r="AB1448" s="119">
        <f t="shared" si="930"/>
        <v>433</v>
      </c>
      <c r="AC1448" s="39"/>
      <c r="AD1448" s="39"/>
      <c r="AE1448" s="39"/>
      <c r="AF1448" s="39"/>
      <c r="AG1448" s="39"/>
      <c r="AH1448" s="39">
        <f t="shared" si="779"/>
        <v>0</v>
      </c>
      <c r="AI1448" s="39"/>
      <c r="AJ1448" s="39"/>
      <c r="AK1448" s="39"/>
      <c r="AL1448" s="39"/>
      <c r="AM1448" s="39"/>
      <c r="AN1448" s="39">
        <f t="shared" si="778"/>
        <v>0</v>
      </c>
      <c r="AO1448" s="39"/>
      <c r="AP1448" s="39"/>
      <c r="AQ1448" s="39"/>
      <c r="AR1448" s="39"/>
      <c r="AS1448" s="39"/>
      <c r="AT1448" s="39">
        <f t="shared" si="896"/>
        <v>0</v>
      </c>
      <c r="AU1448" s="39"/>
      <c r="AV1448" s="39"/>
      <c r="AW1448" s="39"/>
      <c r="AX1448" s="39"/>
      <c r="AY1448" s="39"/>
      <c r="AZ1448" s="39">
        <f t="shared" si="897"/>
        <v>0</v>
      </c>
      <c r="BA1448" s="39"/>
      <c r="BB1448" s="39"/>
      <c r="BC1448" s="39"/>
      <c r="BD1448" s="39"/>
      <c r="BE1448" s="39"/>
      <c r="BF1448" s="39">
        <f t="shared" si="898"/>
        <v>0</v>
      </c>
      <c r="BG1448" s="39"/>
      <c r="BH1448" s="39"/>
      <c r="BI1448" s="39"/>
      <c r="BJ1448" s="39"/>
      <c r="BK1448" s="39"/>
      <c r="BL1448" s="39">
        <f t="shared" si="780"/>
        <v>0</v>
      </c>
      <c r="BM1448" s="54" t="str">
        <f t="shared" si="899"/>
        <v/>
      </c>
      <c r="BN1448" s="58">
        <v>46266</v>
      </c>
      <c r="BO1448" s="57">
        <v>46280</v>
      </c>
      <c r="BP1448" s="36"/>
      <c r="BQ1448" s="36"/>
      <c r="BR1448" s="57">
        <v>46272</v>
      </c>
      <c r="BS1448" s="117">
        <v>46280</v>
      </c>
      <c r="BT1448" s="39">
        <v>774</v>
      </c>
      <c r="BU1448" s="39">
        <v>340</v>
      </c>
      <c r="BV1448" s="39">
        <v>902</v>
      </c>
      <c r="BW1448" s="39">
        <v>50</v>
      </c>
      <c r="BX1448" s="39"/>
      <c r="BY1448" s="39"/>
      <c r="BZ1448" s="39">
        <f t="shared" si="781"/>
        <v>390</v>
      </c>
      <c r="CA1448" s="39">
        <f t="shared" si="900"/>
        <v>6</v>
      </c>
      <c r="CB1448" s="39">
        <f t="shared" si="901"/>
        <v>3</v>
      </c>
      <c r="CC1448" s="39">
        <f t="shared" si="902"/>
        <v>0</v>
      </c>
      <c r="CD1448" s="39">
        <f t="shared" si="782"/>
        <v>0</v>
      </c>
      <c r="CE1448" s="102">
        <f t="shared" si="903"/>
        <v>0</v>
      </c>
      <c r="CF1448" s="36"/>
      <c r="CG1448" s="39" t="s">
        <v>242</v>
      </c>
      <c r="CH1448" s="39" t="s">
        <v>114</v>
      </c>
      <c r="CI1448" s="25">
        <v>1</v>
      </c>
    </row>
    <row r="1449" spans="1:87" ht="24.75" customHeight="1">
      <c r="A1449" s="36" t="s">
        <v>46</v>
      </c>
      <c r="B1449" s="30">
        <v>48252</v>
      </c>
      <c r="C1449" s="227" t="s">
        <v>2719</v>
      </c>
      <c r="D1449" s="23"/>
      <c r="E1449" s="39">
        <v>300</v>
      </c>
      <c r="F1449" s="39" t="s">
        <v>65</v>
      </c>
      <c r="G1449" s="36" t="s">
        <v>2006</v>
      </c>
      <c r="H1449" s="36" t="s">
        <v>111</v>
      </c>
      <c r="I1449" s="39">
        <f>1596+421+13</f>
        <v>2030</v>
      </c>
      <c r="J1449" s="39">
        <f>491+136</f>
        <v>627</v>
      </c>
      <c r="K1449" s="39">
        <f>45+13</f>
        <v>58</v>
      </c>
      <c r="L1449" s="39">
        <f t="shared" ref="L1449:L1450" si="932">SUM(I1449:K1449)</f>
        <v>2715</v>
      </c>
      <c r="M1449" s="117">
        <v>46259</v>
      </c>
      <c r="N1449" s="117">
        <v>46273</v>
      </c>
      <c r="O1449" s="39"/>
      <c r="P1449" s="39"/>
      <c r="Q1449" s="39"/>
      <c r="R1449" s="39">
        <f t="shared" ref="R1449:R1453" si="933">SUM(O1449:Q1449)</f>
        <v>0</v>
      </c>
      <c r="S1449" s="39" t="s">
        <v>130</v>
      </c>
      <c r="T1449" s="39" t="s">
        <v>2996</v>
      </c>
      <c r="U1449" s="117">
        <v>46277</v>
      </c>
      <c r="V1449" s="39"/>
      <c r="W1449" s="39"/>
      <c r="X1449" s="39"/>
      <c r="Y1449" s="39">
        <f>754+742+761</f>
        <v>2257</v>
      </c>
      <c r="Z1449" s="39">
        <f>235+244+237</f>
        <v>716</v>
      </c>
      <c r="AA1449" s="39">
        <f>24+23+23</f>
        <v>70</v>
      </c>
      <c r="AB1449" s="119">
        <f t="shared" ref="AB1449:AB1453" si="934">SUM(Y1449:AA1449)</f>
        <v>3043</v>
      </c>
      <c r="AC1449" s="39"/>
      <c r="AD1449" s="39"/>
      <c r="AE1449" s="39"/>
      <c r="AF1449" s="39"/>
      <c r="AG1449" s="39"/>
      <c r="AH1449" s="39">
        <f t="shared" si="779"/>
        <v>0</v>
      </c>
      <c r="AI1449" s="39"/>
      <c r="AJ1449" s="39"/>
      <c r="AK1449" s="39"/>
      <c r="AL1449" s="39"/>
      <c r="AM1449" s="39"/>
      <c r="AN1449" s="39">
        <f t="shared" si="778"/>
        <v>0</v>
      </c>
      <c r="AO1449" s="39"/>
      <c r="AP1449" s="39"/>
      <c r="AQ1449" s="39"/>
      <c r="AR1449" s="39"/>
      <c r="AS1449" s="39"/>
      <c r="AT1449" s="39">
        <f t="shared" si="896"/>
        <v>0</v>
      </c>
      <c r="AU1449" s="39"/>
      <c r="AV1449" s="39"/>
      <c r="AW1449" s="39"/>
      <c r="AX1449" s="39"/>
      <c r="AY1449" s="39"/>
      <c r="AZ1449" s="39">
        <f t="shared" si="897"/>
        <v>0</v>
      </c>
      <c r="BA1449" s="39"/>
      <c r="BB1449" s="39"/>
      <c r="BC1449" s="39"/>
      <c r="BD1449" s="39"/>
      <c r="BE1449" s="39"/>
      <c r="BF1449" s="39">
        <f t="shared" si="898"/>
        <v>0</v>
      </c>
      <c r="BG1449" s="39"/>
      <c r="BH1449" s="39"/>
      <c r="BI1449" s="39"/>
      <c r="BJ1449" s="39"/>
      <c r="BK1449" s="39"/>
      <c r="BL1449" s="39">
        <f t="shared" si="780"/>
        <v>0</v>
      </c>
      <c r="BM1449" s="54" t="str">
        <f t="shared" si="899"/>
        <v/>
      </c>
      <c r="BN1449" s="58">
        <v>46275</v>
      </c>
      <c r="BO1449" s="57">
        <v>46290</v>
      </c>
      <c r="BP1449" s="36"/>
      <c r="BQ1449" s="36"/>
      <c r="BR1449" s="117">
        <v>46279</v>
      </c>
      <c r="BS1449" s="117">
        <v>46279</v>
      </c>
      <c r="BT1449" s="39">
        <v>799</v>
      </c>
      <c r="BU1449" s="39">
        <f>685+615+69+671</f>
        <v>2040</v>
      </c>
      <c r="BV1449" s="39">
        <v>799</v>
      </c>
      <c r="BW1449" s="39">
        <f>214+215+222</f>
        <v>651</v>
      </c>
      <c r="BX1449" s="39">
        <v>799</v>
      </c>
      <c r="BY1449" s="39">
        <f>21+21+20</f>
        <v>62</v>
      </c>
      <c r="BZ1449" s="39">
        <f t="shared" si="781"/>
        <v>2753</v>
      </c>
      <c r="CA1449" s="39">
        <f t="shared" si="900"/>
        <v>10</v>
      </c>
      <c r="CB1449" s="39">
        <f t="shared" si="901"/>
        <v>24</v>
      </c>
      <c r="CC1449" s="39">
        <f t="shared" si="902"/>
        <v>4</v>
      </c>
      <c r="CD1449" s="39">
        <f t="shared" si="782"/>
        <v>0</v>
      </c>
      <c r="CE1449" s="102">
        <f t="shared" si="903"/>
        <v>0</v>
      </c>
      <c r="CF1449" s="36"/>
      <c r="CG1449" s="39" t="s">
        <v>238</v>
      </c>
      <c r="CH1449" s="39"/>
      <c r="CI1449" s="25">
        <v>1</v>
      </c>
    </row>
    <row r="1450" spans="1:87" ht="24.75" customHeight="1">
      <c r="A1450" s="36" t="s">
        <v>46</v>
      </c>
      <c r="B1450" s="30">
        <v>48252</v>
      </c>
      <c r="C1450" s="231"/>
      <c r="D1450" s="23"/>
      <c r="E1450" s="39">
        <v>160</v>
      </c>
      <c r="F1450" s="39" t="s">
        <v>57</v>
      </c>
      <c r="G1450" s="36" t="s">
        <v>2007</v>
      </c>
      <c r="H1450" s="36" t="s">
        <v>22</v>
      </c>
      <c r="I1450" s="39">
        <f>49+14</f>
        <v>63</v>
      </c>
      <c r="J1450" s="39"/>
      <c r="K1450" s="39"/>
      <c r="L1450" s="39">
        <f t="shared" si="932"/>
        <v>63</v>
      </c>
      <c r="M1450" s="117">
        <v>46259</v>
      </c>
      <c r="N1450" s="117">
        <v>46273</v>
      </c>
      <c r="O1450" s="39"/>
      <c r="P1450" s="39"/>
      <c r="Q1450" s="39"/>
      <c r="R1450" s="39">
        <f t="shared" si="933"/>
        <v>0</v>
      </c>
      <c r="S1450" s="39" t="s">
        <v>130</v>
      </c>
      <c r="T1450" s="39"/>
      <c r="U1450" s="39"/>
      <c r="V1450" s="39"/>
      <c r="W1450" s="39"/>
      <c r="X1450" s="39"/>
      <c r="Y1450" s="39"/>
      <c r="Z1450" s="39"/>
      <c r="AA1450" s="39"/>
      <c r="AB1450" s="118">
        <f t="shared" si="934"/>
        <v>0</v>
      </c>
      <c r="AC1450" s="39"/>
      <c r="AD1450" s="39"/>
      <c r="AE1450" s="39"/>
      <c r="AF1450" s="39"/>
      <c r="AG1450" s="39"/>
      <c r="AH1450" s="39">
        <f t="shared" si="779"/>
        <v>0</v>
      </c>
      <c r="AI1450" s="39"/>
      <c r="AJ1450" s="39"/>
      <c r="AK1450" s="39"/>
      <c r="AL1450" s="39"/>
      <c r="AM1450" s="39"/>
      <c r="AN1450" s="39">
        <f t="shared" si="778"/>
        <v>0</v>
      </c>
      <c r="AO1450" s="39"/>
      <c r="AP1450" s="39"/>
      <c r="AQ1450" s="39"/>
      <c r="AR1450" s="39"/>
      <c r="AS1450" s="39"/>
      <c r="AT1450" s="39">
        <f t="shared" si="896"/>
        <v>0</v>
      </c>
      <c r="AU1450" s="39"/>
      <c r="AV1450" s="39"/>
      <c r="AW1450" s="39"/>
      <c r="AX1450" s="39"/>
      <c r="AY1450" s="39"/>
      <c r="AZ1450" s="39">
        <f t="shared" si="897"/>
        <v>0</v>
      </c>
      <c r="BA1450" s="39"/>
      <c r="BB1450" s="39"/>
      <c r="BC1450" s="39"/>
      <c r="BD1450" s="39"/>
      <c r="BE1450" s="39"/>
      <c r="BF1450" s="39">
        <f t="shared" si="898"/>
        <v>0</v>
      </c>
      <c r="BG1450" s="39"/>
      <c r="BH1450" s="39"/>
      <c r="BI1450" s="39"/>
      <c r="BJ1450" s="39"/>
      <c r="BK1450" s="39"/>
      <c r="BL1450" s="39">
        <f t="shared" si="780"/>
        <v>0</v>
      </c>
      <c r="BM1450" s="54">
        <f t="shared" ca="1" si="899"/>
        <v>46283</v>
      </c>
      <c r="BN1450" s="58">
        <v>46275</v>
      </c>
      <c r="BO1450" s="57">
        <v>46290</v>
      </c>
      <c r="BP1450" s="36"/>
      <c r="BQ1450" s="36"/>
      <c r="BR1450" s="39"/>
      <c r="BS1450" s="39"/>
      <c r="BT1450" s="39"/>
      <c r="BU1450" s="39"/>
      <c r="BV1450" s="39"/>
      <c r="BW1450" s="39"/>
      <c r="BX1450" s="39"/>
      <c r="BY1450" s="39"/>
      <c r="BZ1450" s="39">
        <f t="shared" si="781"/>
        <v>0</v>
      </c>
      <c r="CA1450" s="39">
        <f t="shared" si="900"/>
        <v>-63</v>
      </c>
      <c r="CB1450" s="39">
        <f t="shared" si="901"/>
        <v>0</v>
      </c>
      <c r="CC1450" s="39">
        <f t="shared" si="902"/>
        <v>0</v>
      </c>
      <c r="CD1450" s="39">
        <f t="shared" si="782"/>
        <v>-63</v>
      </c>
      <c r="CE1450" s="102">
        <f t="shared" si="903"/>
        <v>-1</v>
      </c>
      <c r="CF1450" s="36"/>
      <c r="CG1450" s="39" t="s">
        <v>238</v>
      </c>
      <c r="CH1450" s="39"/>
      <c r="CI1450" s="25">
        <v>1</v>
      </c>
    </row>
    <row r="1451" spans="1:87" ht="24.75" customHeight="1">
      <c r="A1451" s="36" t="s">
        <v>46</v>
      </c>
      <c r="B1451" s="30">
        <v>48252</v>
      </c>
      <c r="C1451" s="231"/>
      <c r="D1451" s="23"/>
      <c r="E1451" s="39">
        <v>300</v>
      </c>
      <c r="F1451" s="39" t="s">
        <v>65</v>
      </c>
      <c r="G1451" s="36" t="s">
        <v>2008</v>
      </c>
      <c r="H1451" s="36" t="s">
        <v>111</v>
      </c>
      <c r="I1451" s="39">
        <f>102+28+5</f>
        <v>135</v>
      </c>
      <c r="J1451" s="39"/>
      <c r="K1451" s="39"/>
      <c r="L1451" s="39">
        <f t="shared" ref="L1451:L1453" si="935">SUM(I1451:K1451)</f>
        <v>135</v>
      </c>
      <c r="M1451" s="117">
        <v>46259</v>
      </c>
      <c r="N1451" s="117">
        <v>46273</v>
      </c>
      <c r="O1451" s="39"/>
      <c r="P1451" s="39"/>
      <c r="Q1451" s="39"/>
      <c r="R1451" s="39">
        <f t="shared" si="933"/>
        <v>0</v>
      </c>
      <c r="S1451" s="39" t="s">
        <v>130</v>
      </c>
      <c r="T1451" s="39"/>
      <c r="U1451" s="39"/>
      <c r="V1451" s="39"/>
      <c r="W1451" s="39"/>
      <c r="X1451" s="39"/>
      <c r="Y1451" s="39"/>
      <c r="Z1451" s="39"/>
      <c r="AA1451" s="39"/>
      <c r="AB1451" s="118">
        <f t="shared" si="934"/>
        <v>0</v>
      </c>
      <c r="AC1451" s="39"/>
      <c r="AD1451" s="39"/>
      <c r="AE1451" s="39"/>
      <c r="AF1451" s="39"/>
      <c r="AG1451" s="39"/>
      <c r="AH1451" s="39">
        <f t="shared" si="779"/>
        <v>0</v>
      </c>
      <c r="AI1451" s="39"/>
      <c r="AJ1451" s="39"/>
      <c r="AK1451" s="39"/>
      <c r="AL1451" s="39"/>
      <c r="AM1451" s="39"/>
      <c r="AN1451" s="39">
        <f t="shared" si="778"/>
        <v>0</v>
      </c>
      <c r="AO1451" s="39"/>
      <c r="AP1451" s="39"/>
      <c r="AQ1451" s="39"/>
      <c r="AR1451" s="39"/>
      <c r="AS1451" s="39"/>
      <c r="AT1451" s="39">
        <f t="shared" si="896"/>
        <v>0</v>
      </c>
      <c r="AU1451" s="39"/>
      <c r="AV1451" s="39"/>
      <c r="AW1451" s="39"/>
      <c r="AX1451" s="39"/>
      <c r="AY1451" s="39"/>
      <c r="AZ1451" s="39">
        <f t="shared" si="897"/>
        <v>0</v>
      </c>
      <c r="BA1451" s="39"/>
      <c r="BB1451" s="39"/>
      <c r="BC1451" s="39"/>
      <c r="BD1451" s="39"/>
      <c r="BE1451" s="39"/>
      <c r="BF1451" s="39">
        <f t="shared" si="898"/>
        <v>0</v>
      </c>
      <c r="BG1451" s="39"/>
      <c r="BH1451" s="39"/>
      <c r="BI1451" s="39"/>
      <c r="BJ1451" s="39"/>
      <c r="BK1451" s="39"/>
      <c r="BL1451" s="39">
        <f t="shared" si="780"/>
        <v>0</v>
      </c>
      <c r="BM1451" s="54">
        <f t="shared" ca="1" si="899"/>
        <v>46283</v>
      </c>
      <c r="BN1451" s="58">
        <v>46275</v>
      </c>
      <c r="BO1451" s="57">
        <v>46290</v>
      </c>
      <c r="BP1451" s="36"/>
      <c r="BQ1451" s="36"/>
      <c r="BR1451" s="39"/>
      <c r="BS1451" s="39"/>
      <c r="BT1451" s="39"/>
      <c r="BU1451" s="39"/>
      <c r="BV1451" s="39"/>
      <c r="BW1451" s="39"/>
      <c r="BX1451" s="39"/>
      <c r="BY1451" s="39"/>
      <c r="BZ1451" s="39">
        <f t="shared" si="781"/>
        <v>0</v>
      </c>
      <c r="CA1451" s="39">
        <f t="shared" si="900"/>
        <v>-135</v>
      </c>
      <c r="CB1451" s="39">
        <f t="shared" si="901"/>
        <v>0</v>
      </c>
      <c r="CC1451" s="39">
        <f t="shared" si="902"/>
        <v>0</v>
      </c>
      <c r="CD1451" s="39">
        <f t="shared" si="782"/>
        <v>-135</v>
      </c>
      <c r="CE1451" s="102">
        <f t="shared" si="903"/>
        <v>-1</v>
      </c>
      <c r="CF1451" s="36"/>
      <c r="CG1451" s="39" t="s">
        <v>238</v>
      </c>
      <c r="CH1451" s="39"/>
      <c r="CI1451" s="25">
        <v>1</v>
      </c>
    </row>
    <row r="1452" spans="1:87" ht="24.75" customHeight="1">
      <c r="A1452" s="36" t="s">
        <v>46</v>
      </c>
      <c r="B1452" s="30">
        <v>48252</v>
      </c>
      <c r="C1452" s="228"/>
      <c r="D1452" s="23"/>
      <c r="E1452" s="39">
        <v>300</v>
      </c>
      <c r="F1452" s="39" t="s">
        <v>65</v>
      </c>
      <c r="G1452" s="36" t="s">
        <v>2009</v>
      </c>
      <c r="H1452" s="36" t="s">
        <v>111</v>
      </c>
      <c r="I1452" s="39">
        <f>117+33-8</f>
        <v>142</v>
      </c>
      <c r="J1452" s="39"/>
      <c r="K1452" s="39"/>
      <c r="L1452" s="39">
        <f t="shared" si="935"/>
        <v>142</v>
      </c>
      <c r="M1452" s="117">
        <v>46259</v>
      </c>
      <c r="N1452" s="117">
        <v>46273</v>
      </c>
      <c r="O1452" s="39"/>
      <c r="P1452" s="39"/>
      <c r="Q1452" s="39"/>
      <c r="R1452" s="39">
        <f t="shared" si="933"/>
        <v>0</v>
      </c>
      <c r="S1452" s="39" t="s">
        <v>130</v>
      </c>
      <c r="T1452" s="39">
        <v>109326</v>
      </c>
      <c r="U1452" s="117">
        <v>46275</v>
      </c>
      <c r="V1452" s="39"/>
      <c r="W1452" s="39"/>
      <c r="X1452" s="39"/>
      <c r="Y1452" s="39">
        <f>107</f>
        <v>107</v>
      </c>
      <c r="Z1452" s="39"/>
      <c r="AA1452" s="39"/>
      <c r="AB1452" s="118">
        <f t="shared" si="934"/>
        <v>107</v>
      </c>
      <c r="AC1452" s="39"/>
      <c r="AD1452" s="39"/>
      <c r="AE1452" s="39"/>
      <c r="AF1452" s="39"/>
      <c r="AG1452" s="39"/>
      <c r="AH1452" s="39">
        <f t="shared" si="779"/>
        <v>0</v>
      </c>
      <c r="AI1452" s="39"/>
      <c r="AJ1452" s="39"/>
      <c r="AK1452" s="39"/>
      <c r="AL1452" s="39"/>
      <c r="AM1452" s="39"/>
      <c r="AN1452" s="39">
        <f t="shared" si="778"/>
        <v>0</v>
      </c>
      <c r="AO1452" s="39"/>
      <c r="AP1452" s="39"/>
      <c r="AQ1452" s="39"/>
      <c r="AR1452" s="39"/>
      <c r="AS1452" s="39"/>
      <c r="AT1452" s="39">
        <f t="shared" si="896"/>
        <v>0</v>
      </c>
      <c r="AU1452" s="39"/>
      <c r="AV1452" s="39"/>
      <c r="AW1452" s="39"/>
      <c r="AX1452" s="39"/>
      <c r="AY1452" s="39"/>
      <c r="AZ1452" s="39">
        <f t="shared" si="897"/>
        <v>0</v>
      </c>
      <c r="BA1452" s="39"/>
      <c r="BB1452" s="39"/>
      <c r="BC1452" s="39"/>
      <c r="BD1452" s="39"/>
      <c r="BE1452" s="39"/>
      <c r="BF1452" s="39">
        <f t="shared" si="898"/>
        <v>0</v>
      </c>
      <c r="BG1452" s="39"/>
      <c r="BH1452" s="39"/>
      <c r="BI1452" s="39"/>
      <c r="BJ1452" s="39"/>
      <c r="BK1452" s="39"/>
      <c r="BL1452" s="39">
        <f t="shared" si="780"/>
        <v>0</v>
      </c>
      <c r="BM1452" s="54" t="str">
        <f t="shared" si="899"/>
        <v/>
      </c>
      <c r="BN1452" s="58">
        <v>46275</v>
      </c>
      <c r="BO1452" s="57">
        <v>46290</v>
      </c>
      <c r="BP1452" s="36"/>
      <c r="BQ1452" s="36"/>
      <c r="BR1452" s="117">
        <v>46279</v>
      </c>
      <c r="BS1452" s="117">
        <v>46279</v>
      </c>
      <c r="BT1452" s="39">
        <v>794</v>
      </c>
      <c r="BU1452" s="39">
        <v>149</v>
      </c>
      <c r="BV1452" s="39"/>
      <c r="BW1452" s="39"/>
      <c r="BX1452" s="39"/>
      <c r="BY1452" s="39"/>
      <c r="BZ1452" s="39">
        <f t="shared" si="781"/>
        <v>149</v>
      </c>
      <c r="CA1452" s="39">
        <f t="shared" si="900"/>
        <v>7</v>
      </c>
      <c r="CB1452" s="39">
        <f t="shared" si="901"/>
        <v>0</v>
      </c>
      <c r="CC1452" s="39">
        <f t="shared" si="902"/>
        <v>0</v>
      </c>
      <c r="CD1452" s="39">
        <f t="shared" si="782"/>
        <v>0</v>
      </c>
      <c r="CE1452" s="102">
        <f t="shared" si="903"/>
        <v>0</v>
      </c>
      <c r="CF1452" s="36"/>
      <c r="CG1452" s="39" t="s">
        <v>238</v>
      </c>
      <c r="CH1452" s="39"/>
      <c r="CI1452" s="25">
        <v>1</v>
      </c>
    </row>
    <row r="1453" spans="1:87" ht="24.75" customHeight="1">
      <c r="A1453" s="36" t="s">
        <v>46</v>
      </c>
      <c r="B1453" s="30">
        <v>48255</v>
      </c>
      <c r="C1453" s="36" t="s">
        <v>2720</v>
      </c>
      <c r="D1453" s="23" t="s">
        <v>334</v>
      </c>
      <c r="E1453" s="39">
        <v>300</v>
      </c>
      <c r="F1453" s="39" t="s">
        <v>65</v>
      </c>
      <c r="G1453" s="36" t="s">
        <v>43</v>
      </c>
      <c r="H1453" s="36" t="s">
        <v>111</v>
      </c>
      <c r="I1453" s="39">
        <f>4775+562+47</f>
        <v>5384</v>
      </c>
      <c r="J1453" s="39"/>
      <c r="K1453" s="39">
        <f>35+3</f>
        <v>38</v>
      </c>
      <c r="L1453" s="39">
        <f t="shared" si="935"/>
        <v>5422</v>
      </c>
      <c r="M1453" s="117">
        <v>46249</v>
      </c>
      <c r="N1453" s="117">
        <v>46265</v>
      </c>
      <c r="O1453" s="39"/>
      <c r="P1453" s="39"/>
      <c r="Q1453" s="39"/>
      <c r="R1453" s="39">
        <f t="shared" si="933"/>
        <v>0</v>
      </c>
      <c r="S1453" s="39" t="s">
        <v>130</v>
      </c>
      <c r="T1453" s="39" t="s">
        <v>3024</v>
      </c>
      <c r="U1453" s="117" t="s">
        <v>3025</v>
      </c>
      <c r="V1453" s="39"/>
      <c r="W1453" s="39"/>
      <c r="X1453" s="39"/>
      <c r="Y1453" s="39">
        <f>1140+1153+1137+1140+1169</f>
        <v>5739</v>
      </c>
      <c r="Z1453" s="39"/>
      <c r="AA1453" s="39">
        <f>10+12+10+12+7</f>
        <v>51</v>
      </c>
      <c r="AB1453" s="119">
        <f t="shared" si="934"/>
        <v>5790</v>
      </c>
      <c r="AC1453" s="39"/>
      <c r="AD1453" s="39"/>
      <c r="AE1453" s="39"/>
      <c r="AF1453" s="39"/>
      <c r="AG1453" s="39"/>
      <c r="AH1453" s="39">
        <f t="shared" si="779"/>
        <v>0</v>
      </c>
      <c r="AI1453" s="39"/>
      <c r="AJ1453" s="39"/>
      <c r="AK1453" s="39"/>
      <c r="AL1453" s="39"/>
      <c r="AM1453" s="39"/>
      <c r="AN1453" s="39">
        <f t="shared" si="778"/>
        <v>0</v>
      </c>
      <c r="AO1453" s="39"/>
      <c r="AP1453" s="39"/>
      <c r="AQ1453" s="39"/>
      <c r="AR1453" s="39"/>
      <c r="AS1453" s="39"/>
      <c r="AT1453" s="39">
        <f t="shared" si="896"/>
        <v>0</v>
      </c>
      <c r="AU1453" s="39"/>
      <c r="AV1453" s="39"/>
      <c r="AW1453" s="39"/>
      <c r="AX1453" s="39"/>
      <c r="AY1453" s="39"/>
      <c r="AZ1453" s="39">
        <f t="shared" si="897"/>
        <v>0</v>
      </c>
      <c r="BA1453" s="39"/>
      <c r="BB1453" s="39"/>
      <c r="BC1453" s="39"/>
      <c r="BD1453" s="39"/>
      <c r="BE1453" s="39"/>
      <c r="BF1453" s="39">
        <f t="shared" si="898"/>
        <v>0</v>
      </c>
      <c r="BG1453" s="39"/>
      <c r="BH1453" s="39"/>
      <c r="BI1453" s="39"/>
      <c r="BJ1453" s="39"/>
      <c r="BK1453" s="39"/>
      <c r="BL1453" s="39">
        <f t="shared" si="780"/>
        <v>0</v>
      </c>
      <c r="BM1453" s="54" t="str">
        <f t="shared" si="899"/>
        <v/>
      </c>
      <c r="BN1453" s="58">
        <v>46266</v>
      </c>
      <c r="BO1453" s="57">
        <v>46284</v>
      </c>
      <c r="BP1453" s="36"/>
      <c r="BQ1453" s="36"/>
      <c r="BR1453" s="117">
        <v>46272</v>
      </c>
      <c r="BS1453" s="39"/>
      <c r="BT1453" s="39" t="s">
        <v>3070</v>
      </c>
      <c r="BU1453" s="39">
        <f>1082+1089+1070+998+76+859</f>
        <v>5174</v>
      </c>
      <c r="BV1453" s="39"/>
      <c r="BW1453" s="39"/>
      <c r="BX1453" s="39" t="s">
        <v>3070</v>
      </c>
      <c r="BY1453" s="39">
        <f>9+10+10+8+6</f>
        <v>43</v>
      </c>
      <c r="BZ1453" s="39">
        <f t="shared" si="781"/>
        <v>5217</v>
      </c>
      <c r="CA1453" s="39">
        <f t="shared" si="900"/>
        <v>-210</v>
      </c>
      <c r="CB1453" s="39">
        <f t="shared" si="901"/>
        <v>0</v>
      </c>
      <c r="CC1453" s="39">
        <f t="shared" si="902"/>
        <v>5</v>
      </c>
      <c r="CD1453" s="39">
        <f t="shared" si="782"/>
        <v>-210</v>
      </c>
      <c r="CE1453" s="102">
        <f t="shared" si="903"/>
        <v>-3.8731095536702322E-2</v>
      </c>
      <c r="CF1453" s="36"/>
      <c r="CG1453" s="39" t="s">
        <v>238</v>
      </c>
      <c r="CH1453" s="39" t="s">
        <v>3071</v>
      </c>
      <c r="CI1453" s="25">
        <v>1</v>
      </c>
    </row>
    <row r="1454" spans="1:87" ht="24.75" customHeight="1">
      <c r="A1454" s="36" t="s">
        <v>46</v>
      </c>
      <c r="B1454" s="30">
        <v>48457</v>
      </c>
      <c r="C1454" s="227" t="s">
        <v>2234</v>
      </c>
      <c r="D1454" s="23"/>
      <c r="E1454" s="39">
        <v>200</v>
      </c>
      <c r="F1454" s="39" t="s">
        <v>64</v>
      </c>
      <c r="G1454" s="36" t="s">
        <v>372</v>
      </c>
      <c r="H1454" s="36" t="s">
        <v>1952</v>
      </c>
      <c r="I1454" s="39">
        <v>2274</v>
      </c>
      <c r="J1454" s="39"/>
      <c r="K1454" s="39"/>
      <c r="L1454" s="39">
        <f t="shared" ref="L1454:L1459" si="936">SUM(I1454:K1454)</f>
        <v>2274</v>
      </c>
      <c r="M1454" s="117">
        <v>46249</v>
      </c>
      <c r="N1454" s="117">
        <v>46272</v>
      </c>
      <c r="O1454" s="39"/>
      <c r="P1454" s="39"/>
      <c r="Q1454" s="39"/>
      <c r="R1454" s="39">
        <f t="shared" ref="R1454:R1464" si="937">SUM(O1454:Q1454)</f>
        <v>0</v>
      </c>
      <c r="S1454" s="39" t="s">
        <v>130</v>
      </c>
      <c r="T1454" s="39"/>
      <c r="U1454" s="39"/>
      <c r="V1454" s="39"/>
      <c r="W1454" s="39"/>
      <c r="X1454" s="39"/>
      <c r="Y1454" s="39"/>
      <c r="Z1454" s="39"/>
      <c r="AA1454" s="39"/>
      <c r="AB1454" s="118">
        <f t="shared" ref="AB1454:AB1464" si="938">SUM(Y1454:AA1454)</f>
        <v>0</v>
      </c>
      <c r="AC1454" s="39"/>
      <c r="AD1454" s="39"/>
      <c r="AE1454" s="39"/>
      <c r="AF1454" s="39"/>
      <c r="AG1454" s="39"/>
      <c r="AH1454" s="39">
        <f t="shared" si="779"/>
        <v>0</v>
      </c>
      <c r="AI1454" s="39"/>
      <c r="AJ1454" s="39"/>
      <c r="AK1454" s="39"/>
      <c r="AL1454" s="39"/>
      <c r="AM1454" s="39"/>
      <c r="AN1454" s="39">
        <f t="shared" si="778"/>
        <v>0</v>
      </c>
      <c r="AO1454" s="39"/>
      <c r="AP1454" s="39"/>
      <c r="AQ1454" s="39"/>
      <c r="AR1454" s="39"/>
      <c r="AS1454" s="39"/>
      <c r="AT1454" s="39">
        <f t="shared" si="896"/>
        <v>0</v>
      </c>
      <c r="AU1454" s="39"/>
      <c r="AV1454" s="39"/>
      <c r="AW1454" s="39"/>
      <c r="AX1454" s="39"/>
      <c r="AY1454" s="39"/>
      <c r="AZ1454" s="39">
        <f t="shared" si="897"/>
        <v>0</v>
      </c>
      <c r="BA1454" s="39"/>
      <c r="BB1454" s="39"/>
      <c r="BC1454" s="39"/>
      <c r="BD1454" s="39"/>
      <c r="BE1454" s="39"/>
      <c r="BF1454" s="39">
        <f t="shared" si="898"/>
        <v>0</v>
      </c>
      <c r="BG1454" s="39"/>
      <c r="BH1454" s="39"/>
      <c r="BI1454" s="39"/>
      <c r="BJ1454" s="39"/>
      <c r="BK1454" s="39"/>
      <c r="BL1454" s="39">
        <f t="shared" si="780"/>
        <v>0</v>
      </c>
      <c r="BM1454" s="54">
        <f t="shared" ca="1" si="899"/>
        <v>46283</v>
      </c>
      <c r="BN1454" s="58">
        <v>46266</v>
      </c>
      <c r="BO1454" s="57">
        <v>46294</v>
      </c>
      <c r="BP1454" s="36"/>
      <c r="BQ1454" s="36"/>
      <c r="BR1454" s="39"/>
      <c r="BS1454" s="39"/>
      <c r="BT1454" s="39"/>
      <c r="BU1454" s="39"/>
      <c r="BV1454" s="39"/>
      <c r="BW1454" s="39"/>
      <c r="BX1454" s="39"/>
      <c r="BY1454" s="39"/>
      <c r="BZ1454" s="39">
        <f t="shared" si="781"/>
        <v>0</v>
      </c>
      <c r="CA1454" s="39">
        <f t="shared" si="900"/>
        <v>-2274</v>
      </c>
      <c r="CB1454" s="39">
        <f t="shared" si="901"/>
        <v>0</v>
      </c>
      <c r="CC1454" s="39">
        <f t="shared" si="902"/>
        <v>0</v>
      </c>
      <c r="CD1454" s="39">
        <f t="shared" si="782"/>
        <v>-2274</v>
      </c>
      <c r="CE1454" s="102">
        <f t="shared" si="903"/>
        <v>-1</v>
      </c>
      <c r="CF1454" s="36"/>
      <c r="CG1454" s="39" t="s">
        <v>246</v>
      </c>
      <c r="CH1454" s="39"/>
      <c r="CI1454" s="25">
        <v>1</v>
      </c>
    </row>
    <row r="1455" spans="1:87" ht="24.75" customHeight="1">
      <c r="A1455" s="36" t="s">
        <v>46</v>
      </c>
      <c r="B1455" s="30">
        <v>48457</v>
      </c>
      <c r="C1455" s="231"/>
      <c r="D1455" s="23"/>
      <c r="E1455" s="39">
        <v>200</v>
      </c>
      <c r="F1455" s="39" t="s">
        <v>64</v>
      </c>
      <c r="G1455" s="36" t="s">
        <v>1601</v>
      </c>
      <c r="H1455" s="36" t="s">
        <v>1952</v>
      </c>
      <c r="I1455" s="39">
        <v>2280</v>
      </c>
      <c r="J1455" s="39"/>
      <c r="K1455" s="39"/>
      <c r="L1455" s="39">
        <f t="shared" si="936"/>
        <v>2280</v>
      </c>
      <c r="M1455" s="117">
        <v>46249</v>
      </c>
      <c r="N1455" s="117">
        <v>46272</v>
      </c>
      <c r="O1455" s="39"/>
      <c r="P1455" s="39"/>
      <c r="Q1455" s="39"/>
      <c r="R1455" s="39">
        <f t="shared" si="937"/>
        <v>0</v>
      </c>
      <c r="S1455" s="39" t="s">
        <v>130</v>
      </c>
      <c r="T1455" s="39"/>
      <c r="U1455" s="39"/>
      <c r="V1455" s="39"/>
      <c r="W1455" s="39"/>
      <c r="X1455" s="39"/>
      <c r="Y1455" s="39"/>
      <c r="Z1455" s="39"/>
      <c r="AA1455" s="39"/>
      <c r="AB1455" s="118">
        <f t="shared" si="938"/>
        <v>0</v>
      </c>
      <c r="AC1455" s="39"/>
      <c r="AD1455" s="39"/>
      <c r="AE1455" s="39"/>
      <c r="AF1455" s="39"/>
      <c r="AG1455" s="39"/>
      <c r="AH1455" s="39">
        <f t="shared" si="779"/>
        <v>0</v>
      </c>
      <c r="AI1455" s="39"/>
      <c r="AJ1455" s="39"/>
      <c r="AK1455" s="39"/>
      <c r="AL1455" s="39"/>
      <c r="AM1455" s="39"/>
      <c r="AN1455" s="39">
        <f t="shared" si="778"/>
        <v>0</v>
      </c>
      <c r="AO1455" s="39"/>
      <c r="AP1455" s="39"/>
      <c r="AQ1455" s="39"/>
      <c r="AR1455" s="39"/>
      <c r="AS1455" s="39"/>
      <c r="AT1455" s="39">
        <f t="shared" si="896"/>
        <v>0</v>
      </c>
      <c r="AU1455" s="39"/>
      <c r="AV1455" s="39"/>
      <c r="AW1455" s="39"/>
      <c r="AX1455" s="39"/>
      <c r="AY1455" s="39"/>
      <c r="AZ1455" s="39">
        <f t="shared" si="897"/>
        <v>0</v>
      </c>
      <c r="BA1455" s="39"/>
      <c r="BB1455" s="39"/>
      <c r="BC1455" s="39"/>
      <c r="BD1455" s="39"/>
      <c r="BE1455" s="39"/>
      <c r="BF1455" s="39">
        <f t="shared" si="898"/>
        <v>0</v>
      </c>
      <c r="BG1455" s="39"/>
      <c r="BH1455" s="39"/>
      <c r="BI1455" s="39"/>
      <c r="BJ1455" s="39"/>
      <c r="BK1455" s="39"/>
      <c r="BL1455" s="39">
        <f t="shared" si="780"/>
        <v>0</v>
      </c>
      <c r="BM1455" s="54">
        <f t="shared" ca="1" si="899"/>
        <v>46283</v>
      </c>
      <c r="BN1455" s="58">
        <v>46266</v>
      </c>
      <c r="BO1455" s="57">
        <v>46294</v>
      </c>
      <c r="BP1455" s="36"/>
      <c r="BQ1455" s="36"/>
      <c r="BR1455" s="39"/>
      <c r="BS1455" s="39"/>
      <c r="BT1455" s="39"/>
      <c r="BU1455" s="39"/>
      <c r="BV1455" s="39"/>
      <c r="BW1455" s="39"/>
      <c r="BX1455" s="39"/>
      <c r="BY1455" s="39"/>
      <c r="BZ1455" s="39">
        <f t="shared" si="781"/>
        <v>0</v>
      </c>
      <c r="CA1455" s="39">
        <f t="shared" si="900"/>
        <v>-2280</v>
      </c>
      <c r="CB1455" s="39">
        <f t="shared" si="901"/>
        <v>0</v>
      </c>
      <c r="CC1455" s="39">
        <f t="shared" si="902"/>
        <v>0</v>
      </c>
      <c r="CD1455" s="39">
        <f t="shared" si="782"/>
        <v>-2280</v>
      </c>
      <c r="CE1455" s="102">
        <f t="shared" si="903"/>
        <v>-1</v>
      </c>
      <c r="CF1455" s="36"/>
      <c r="CG1455" s="39" t="s">
        <v>246</v>
      </c>
      <c r="CH1455" s="39"/>
      <c r="CI1455" s="25">
        <v>1</v>
      </c>
    </row>
    <row r="1456" spans="1:87" ht="24.75" customHeight="1">
      <c r="A1456" s="36" t="s">
        <v>46</v>
      </c>
      <c r="B1456" s="30">
        <v>48457</v>
      </c>
      <c r="C1456" s="231"/>
      <c r="D1456" s="23"/>
      <c r="E1456" s="39">
        <v>200</v>
      </c>
      <c r="F1456" s="39" t="s">
        <v>64</v>
      </c>
      <c r="G1456" s="36" t="s">
        <v>2045</v>
      </c>
      <c r="H1456" s="36" t="s">
        <v>1952</v>
      </c>
      <c r="I1456" s="39">
        <v>2280</v>
      </c>
      <c r="J1456" s="39"/>
      <c r="K1456" s="39"/>
      <c r="L1456" s="39">
        <f t="shared" si="936"/>
        <v>2280</v>
      </c>
      <c r="M1456" s="117">
        <v>46249</v>
      </c>
      <c r="N1456" s="117">
        <v>46272</v>
      </c>
      <c r="O1456" s="39"/>
      <c r="P1456" s="39"/>
      <c r="Q1456" s="39"/>
      <c r="R1456" s="39">
        <f t="shared" si="937"/>
        <v>0</v>
      </c>
      <c r="S1456" s="39" t="s">
        <v>130</v>
      </c>
      <c r="T1456" s="39"/>
      <c r="U1456" s="39"/>
      <c r="V1456" s="39"/>
      <c r="W1456" s="39"/>
      <c r="X1456" s="39"/>
      <c r="Y1456" s="39"/>
      <c r="Z1456" s="39"/>
      <c r="AA1456" s="39"/>
      <c r="AB1456" s="118">
        <f t="shared" si="938"/>
        <v>0</v>
      </c>
      <c r="AC1456" s="39"/>
      <c r="AD1456" s="39"/>
      <c r="AE1456" s="39"/>
      <c r="AF1456" s="39"/>
      <c r="AG1456" s="39"/>
      <c r="AH1456" s="39">
        <f t="shared" si="779"/>
        <v>0</v>
      </c>
      <c r="AI1456" s="39"/>
      <c r="AJ1456" s="39"/>
      <c r="AK1456" s="39"/>
      <c r="AL1456" s="39"/>
      <c r="AM1456" s="39"/>
      <c r="AN1456" s="39">
        <f t="shared" si="778"/>
        <v>0</v>
      </c>
      <c r="AO1456" s="39"/>
      <c r="AP1456" s="39"/>
      <c r="AQ1456" s="39"/>
      <c r="AR1456" s="39"/>
      <c r="AS1456" s="39"/>
      <c r="AT1456" s="39">
        <f t="shared" si="896"/>
        <v>0</v>
      </c>
      <c r="AU1456" s="39"/>
      <c r="AV1456" s="39"/>
      <c r="AW1456" s="39"/>
      <c r="AX1456" s="39"/>
      <c r="AY1456" s="39"/>
      <c r="AZ1456" s="39">
        <f t="shared" si="897"/>
        <v>0</v>
      </c>
      <c r="BA1456" s="39"/>
      <c r="BB1456" s="39"/>
      <c r="BC1456" s="39"/>
      <c r="BD1456" s="39"/>
      <c r="BE1456" s="39"/>
      <c r="BF1456" s="39">
        <f t="shared" si="898"/>
        <v>0</v>
      </c>
      <c r="BG1456" s="39"/>
      <c r="BH1456" s="39"/>
      <c r="BI1456" s="39"/>
      <c r="BJ1456" s="39"/>
      <c r="BK1456" s="39"/>
      <c r="BL1456" s="39">
        <f t="shared" si="780"/>
        <v>0</v>
      </c>
      <c r="BM1456" s="54">
        <f t="shared" ca="1" si="899"/>
        <v>46283</v>
      </c>
      <c r="BN1456" s="58">
        <v>46266</v>
      </c>
      <c r="BO1456" s="57">
        <v>46294</v>
      </c>
      <c r="BP1456" s="36"/>
      <c r="BQ1456" s="36"/>
      <c r="BR1456" s="39"/>
      <c r="BS1456" s="39"/>
      <c r="BT1456" s="39"/>
      <c r="BU1456" s="39"/>
      <c r="BV1456" s="39"/>
      <c r="BW1456" s="39"/>
      <c r="BX1456" s="39"/>
      <c r="BY1456" s="39"/>
      <c r="BZ1456" s="39">
        <f t="shared" si="781"/>
        <v>0</v>
      </c>
      <c r="CA1456" s="39">
        <f t="shared" si="900"/>
        <v>-2280</v>
      </c>
      <c r="CB1456" s="39">
        <f t="shared" si="901"/>
        <v>0</v>
      </c>
      <c r="CC1456" s="39">
        <f t="shared" si="902"/>
        <v>0</v>
      </c>
      <c r="CD1456" s="39">
        <f t="shared" si="782"/>
        <v>-2280</v>
      </c>
      <c r="CE1456" s="102">
        <f t="shared" si="903"/>
        <v>-1</v>
      </c>
      <c r="CF1456" s="36"/>
      <c r="CG1456" s="39" t="s">
        <v>246</v>
      </c>
      <c r="CH1456" s="39"/>
      <c r="CI1456" s="25">
        <v>1</v>
      </c>
    </row>
    <row r="1457" spans="1:87" ht="24.75" customHeight="1">
      <c r="A1457" s="36" t="s">
        <v>46</v>
      </c>
      <c r="B1457" s="30">
        <v>48457</v>
      </c>
      <c r="C1457" s="228"/>
      <c r="D1457" s="23"/>
      <c r="E1457" s="39"/>
      <c r="F1457" s="39"/>
      <c r="G1457" s="36" t="s">
        <v>272</v>
      </c>
      <c r="H1457" s="36">
        <f>6300+6300+6350</f>
        <v>18950</v>
      </c>
      <c r="I1457" s="39" t="s">
        <v>90</v>
      </c>
      <c r="J1457" s="39"/>
      <c r="K1457" s="39"/>
      <c r="L1457" s="39">
        <f t="shared" si="936"/>
        <v>0</v>
      </c>
      <c r="M1457" s="117">
        <v>46249</v>
      </c>
      <c r="N1457" s="117">
        <v>46272</v>
      </c>
      <c r="O1457" s="39"/>
      <c r="P1457" s="39"/>
      <c r="Q1457" s="39"/>
      <c r="R1457" s="39">
        <f t="shared" si="937"/>
        <v>0</v>
      </c>
      <c r="S1457" s="39" t="s">
        <v>130</v>
      </c>
      <c r="T1457" s="39"/>
      <c r="U1457" s="39"/>
      <c r="V1457" s="39"/>
      <c r="W1457" s="39"/>
      <c r="X1457" s="39"/>
      <c r="Y1457" s="39"/>
      <c r="Z1457" s="39"/>
      <c r="AA1457" s="39"/>
      <c r="AB1457" s="39">
        <f t="shared" si="938"/>
        <v>0</v>
      </c>
      <c r="AC1457" s="39"/>
      <c r="AD1457" s="39"/>
      <c r="AE1457" s="39"/>
      <c r="AF1457" s="39"/>
      <c r="AG1457" s="39"/>
      <c r="AH1457" s="39">
        <f t="shared" si="779"/>
        <v>0</v>
      </c>
      <c r="AI1457" s="39"/>
      <c r="AJ1457" s="39"/>
      <c r="AK1457" s="39"/>
      <c r="AL1457" s="39"/>
      <c r="AM1457" s="39"/>
      <c r="AN1457" s="39">
        <f t="shared" si="778"/>
        <v>0</v>
      </c>
      <c r="AO1457" s="39"/>
      <c r="AP1457" s="39"/>
      <c r="AQ1457" s="39"/>
      <c r="AR1457" s="39"/>
      <c r="AS1457" s="39"/>
      <c r="AT1457" s="39">
        <f t="shared" si="896"/>
        <v>0</v>
      </c>
      <c r="AU1457" s="39"/>
      <c r="AV1457" s="39"/>
      <c r="AW1457" s="39"/>
      <c r="AX1457" s="39"/>
      <c r="AY1457" s="39"/>
      <c r="AZ1457" s="39">
        <f t="shared" si="897"/>
        <v>0</v>
      </c>
      <c r="BA1457" s="39"/>
      <c r="BB1457" s="39"/>
      <c r="BC1457" s="39"/>
      <c r="BD1457" s="39"/>
      <c r="BE1457" s="39"/>
      <c r="BF1457" s="39">
        <f t="shared" si="898"/>
        <v>0</v>
      </c>
      <c r="BG1457" s="39"/>
      <c r="BH1457" s="39"/>
      <c r="BI1457" s="39"/>
      <c r="BJ1457" s="39"/>
      <c r="BK1457" s="39"/>
      <c r="BL1457" s="39">
        <f t="shared" si="780"/>
        <v>0</v>
      </c>
      <c r="BM1457" s="54" t="e">
        <f t="shared" si="899"/>
        <v>#DIV/0!</v>
      </c>
      <c r="BN1457" s="58">
        <v>46266</v>
      </c>
      <c r="BO1457" s="57">
        <v>46294</v>
      </c>
      <c r="BP1457" s="36"/>
      <c r="BQ1457" s="36"/>
      <c r="BR1457" s="39"/>
      <c r="BS1457" s="39"/>
      <c r="BT1457" s="39"/>
      <c r="BU1457" s="39"/>
      <c r="BV1457" s="39"/>
      <c r="BW1457" s="39"/>
      <c r="BX1457" s="39"/>
      <c r="BY1457" s="39"/>
      <c r="BZ1457" s="39">
        <f t="shared" si="781"/>
        <v>0</v>
      </c>
      <c r="CA1457" s="39" t="e">
        <f t="shared" si="900"/>
        <v>#VALUE!</v>
      </c>
      <c r="CB1457" s="39">
        <f t="shared" si="901"/>
        <v>0</v>
      </c>
      <c r="CC1457" s="39">
        <f t="shared" si="902"/>
        <v>0</v>
      </c>
      <c r="CD1457" s="39">
        <f t="shared" si="782"/>
        <v>0</v>
      </c>
      <c r="CE1457" s="102" t="e">
        <f t="shared" si="903"/>
        <v>#DIV/0!</v>
      </c>
      <c r="CF1457" s="36"/>
      <c r="CG1457" s="39" t="s">
        <v>246</v>
      </c>
      <c r="CH1457" s="39"/>
      <c r="CI1457" s="25">
        <v>1</v>
      </c>
    </row>
    <row r="1458" spans="1:87" ht="24.75" customHeight="1">
      <c r="A1458" s="36" t="s">
        <v>46</v>
      </c>
      <c r="B1458" s="30">
        <v>48458</v>
      </c>
      <c r="C1458" s="227" t="s">
        <v>2235</v>
      </c>
      <c r="D1458" s="23"/>
      <c r="E1458" s="39">
        <v>200</v>
      </c>
      <c r="F1458" s="39" t="s">
        <v>61</v>
      </c>
      <c r="G1458" s="36" t="s">
        <v>372</v>
      </c>
      <c r="H1458" s="36" t="s">
        <v>1952</v>
      </c>
      <c r="I1458" s="39">
        <v>1269</v>
      </c>
      <c r="J1458" s="39"/>
      <c r="K1458" s="39"/>
      <c r="L1458" s="39">
        <f t="shared" si="936"/>
        <v>1269</v>
      </c>
      <c r="M1458" s="117">
        <v>46249</v>
      </c>
      <c r="N1458" s="117">
        <v>46272</v>
      </c>
      <c r="O1458" s="39"/>
      <c r="P1458" s="39"/>
      <c r="Q1458" s="39"/>
      <c r="R1458" s="39">
        <f t="shared" si="937"/>
        <v>0</v>
      </c>
      <c r="S1458" s="39" t="s">
        <v>130</v>
      </c>
      <c r="T1458" s="39"/>
      <c r="U1458" s="39"/>
      <c r="V1458" s="39"/>
      <c r="W1458" s="39"/>
      <c r="X1458" s="39"/>
      <c r="Y1458" s="39"/>
      <c r="Z1458" s="39"/>
      <c r="AA1458" s="39"/>
      <c r="AB1458" s="118">
        <f t="shared" si="938"/>
        <v>0</v>
      </c>
      <c r="AC1458" s="39"/>
      <c r="AD1458" s="39"/>
      <c r="AE1458" s="39"/>
      <c r="AF1458" s="39"/>
      <c r="AG1458" s="39"/>
      <c r="AH1458" s="39">
        <f t="shared" si="779"/>
        <v>0</v>
      </c>
      <c r="AI1458" s="39"/>
      <c r="AJ1458" s="39"/>
      <c r="AK1458" s="39"/>
      <c r="AL1458" s="39"/>
      <c r="AM1458" s="39"/>
      <c r="AN1458" s="39">
        <f t="shared" si="778"/>
        <v>0</v>
      </c>
      <c r="AO1458" s="39"/>
      <c r="AP1458" s="39"/>
      <c r="AQ1458" s="39"/>
      <c r="AR1458" s="39"/>
      <c r="AS1458" s="39"/>
      <c r="AT1458" s="39">
        <f t="shared" si="896"/>
        <v>0</v>
      </c>
      <c r="AU1458" s="39"/>
      <c r="AV1458" s="39"/>
      <c r="AW1458" s="39"/>
      <c r="AX1458" s="39"/>
      <c r="AY1458" s="39"/>
      <c r="AZ1458" s="39">
        <f t="shared" si="897"/>
        <v>0</v>
      </c>
      <c r="BA1458" s="39"/>
      <c r="BB1458" s="39"/>
      <c r="BC1458" s="39"/>
      <c r="BD1458" s="39"/>
      <c r="BE1458" s="39"/>
      <c r="BF1458" s="39">
        <f t="shared" si="898"/>
        <v>0</v>
      </c>
      <c r="BG1458" s="39"/>
      <c r="BH1458" s="39"/>
      <c r="BI1458" s="39"/>
      <c r="BJ1458" s="39"/>
      <c r="BK1458" s="39"/>
      <c r="BL1458" s="39">
        <f t="shared" si="780"/>
        <v>0</v>
      </c>
      <c r="BM1458" s="54">
        <f t="shared" ca="1" si="899"/>
        <v>46283</v>
      </c>
      <c r="BN1458" s="58">
        <v>46266</v>
      </c>
      <c r="BO1458" s="57">
        <v>46294</v>
      </c>
      <c r="BP1458" s="36"/>
      <c r="BQ1458" s="36"/>
      <c r="BR1458" s="39"/>
      <c r="BS1458" s="39"/>
      <c r="BT1458" s="39"/>
      <c r="BU1458" s="39"/>
      <c r="BV1458" s="39"/>
      <c r="BW1458" s="39"/>
      <c r="BX1458" s="39"/>
      <c r="BY1458" s="39"/>
      <c r="BZ1458" s="39">
        <f t="shared" si="781"/>
        <v>0</v>
      </c>
      <c r="CA1458" s="39">
        <f t="shared" si="900"/>
        <v>-1269</v>
      </c>
      <c r="CB1458" s="39">
        <f t="shared" si="901"/>
        <v>0</v>
      </c>
      <c r="CC1458" s="39">
        <f t="shared" si="902"/>
        <v>0</v>
      </c>
      <c r="CD1458" s="39">
        <f t="shared" si="782"/>
        <v>-1269</v>
      </c>
      <c r="CE1458" s="102">
        <f t="shared" si="903"/>
        <v>-1</v>
      </c>
      <c r="CF1458" s="36"/>
      <c r="CG1458" s="39" t="s">
        <v>246</v>
      </c>
      <c r="CH1458" s="39"/>
      <c r="CI1458" s="25">
        <v>1</v>
      </c>
    </row>
    <row r="1459" spans="1:87" ht="24.75" customHeight="1">
      <c r="A1459" s="36" t="s">
        <v>46</v>
      </c>
      <c r="B1459" s="30">
        <v>48458</v>
      </c>
      <c r="C1459" s="231"/>
      <c r="D1459" s="23"/>
      <c r="E1459" s="39">
        <v>200</v>
      </c>
      <c r="F1459" s="39" t="s">
        <v>61</v>
      </c>
      <c r="G1459" s="36" t="s">
        <v>1601</v>
      </c>
      <c r="H1459" s="36" t="s">
        <v>1952</v>
      </c>
      <c r="I1459" s="39">
        <v>1272</v>
      </c>
      <c r="J1459" s="39"/>
      <c r="K1459" s="39"/>
      <c r="L1459" s="39">
        <f t="shared" si="936"/>
        <v>1272</v>
      </c>
      <c r="M1459" s="117">
        <v>46249</v>
      </c>
      <c r="N1459" s="117">
        <v>46272</v>
      </c>
      <c r="O1459" s="39"/>
      <c r="P1459" s="39"/>
      <c r="Q1459" s="39"/>
      <c r="R1459" s="39">
        <f t="shared" si="937"/>
        <v>0</v>
      </c>
      <c r="S1459" s="39" t="s">
        <v>130</v>
      </c>
      <c r="T1459" s="39"/>
      <c r="U1459" s="39"/>
      <c r="V1459" s="39"/>
      <c r="W1459" s="39"/>
      <c r="X1459" s="39"/>
      <c r="Y1459" s="39"/>
      <c r="Z1459" s="39"/>
      <c r="AA1459" s="39"/>
      <c r="AB1459" s="118">
        <f t="shared" si="938"/>
        <v>0</v>
      </c>
      <c r="AC1459" s="39"/>
      <c r="AD1459" s="39"/>
      <c r="AE1459" s="39"/>
      <c r="AF1459" s="39"/>
      <c r="AG1459" s="39"/>
      <c r="AH1459" s="39">
        <f t="shared" si="779"/>
        <v>0</v>
      </c>
      <c r="AI1459" s="39"/>
      <c r="AJ1459" s="39"/>
      <c r="AK1459" s="39"/>
      <c r="AL1459" s="39"/>
      <c r="AM1459" s="39"/>
      <c r="AN1459" s="39">
        <f t="shared" si="778"/>
        <v>0</v>
      </c>
      <c r="AO1459" s="39"/>
      <c r="AP1459" s="39"/>
      <c r="AQ1459" s="39"/>
      <c r="AR1459" s="39"/>
      <c r="AS1459" s="39"/>
      <c r="AT1459" s="39">
        <f t="shared" si="896"/>
        <v>0</v>
      </c>
      <c r="AU1459" s="39"/>
      <c r="AV1459" s="39"/>
      <c r="AW1459" s="39"/>
      <c r="AX1459" s="39"/>
      <c r="AY1459" s="39"/>
      <c r="AZ1459" s="39">
        <f t="shared" si="897"/>
        <v>0</v>
      </c>
      <c r="BA1459" s="39"/>
      <c r="BB1459" s="39"/>
      <c r="BC1459" s="39"/>
      <c r="BD1459" s="39"/>
      <c r="BE1459" s="39"/>
      <c r="BF1459" s="39">
        <f t="shared" si="898"/>
        <v>0</v>
      </c>
      <c r="BG1459" s="39"/>
      <c r="BH1459" s="39"/>
      <c r="BI1459" s="39"/>
      <c r="BJ1459" s="39"/>
      <c r="BK1459" s="39"/>
      <c r="BL1459" s="39">
        <f t="shared" si="780"/>
        <v>0</v>
      </c>
      <c r="BM1459" s="54">
        <f t="shared" ca="1" si="899"/>
        <v>46283</v>
      </c>
      <c r="BN1459" s="58">
        <v>46266</v>
      </c>
      <c r="BO1459" s="57">
        <v>46294</v>
      </c>
      <c r="BP1459" s="36"/>
      <c r="BQ1459" s="36"/>
      <c r="BR1459" s="39"/>
      <c r="BS1459" s="39"/>
      <c r="BT1459" s="39"/>
      <c r="BU1459" s="39"/>
      <c r="BV1459" s="39"/>
      <c r="BW1459" s="39"/>
      <c r="BX1459" s="39"/>
      <c r="BY1459" s="39"/>
      <c r="BZ1459" s="39">
        <f t="shared" si="781"/>
        <v>0</v>
      </c>
      <c r="CA1459" s="39">
        <f t="shared" si="900"/>
        <v>-1272</v>
      </c>
      <c r="CB1459" s="39">
        <f t="shared" si="901"/>
        <v>0</v>
      </c>
      <c r="CC1459" s="39">
        <f t="shared" si="902"/>
        <v>0</v>
      </c>
      <c r="CD1459" s="39">
        <f t="shared" si="782"/>
        <v>-1272</v>
      </c>
      <c r="CE1459" s="102">
        <f t="shared" si="903"/>
        <v>-1</v>
      </c>
      <c r="CF1459" s="36"/>
      <c r="CG1459" s="39" t="s">
        <v>246</v>
      </c>
      <c r="CH1459" s="39"/>
      <c r="CI1459" s="25">
        <v>1</v>
      </c>
    </row>
    <row r="1460" spans="1:87" ht="24.75" customHeight="1">
      <c r="A1460" s="36" t="s">
        <v>46</v>
      </c>
      <c r="B1460" s="30">
        <v>48458</v>
      </c>
      <c r="C1460" s="231"/>
      <c r="D1460" s="23"/>
      <c r="E1460" s="39">
        <v>200</v>
      </c>
      <c r="F1460" s="39" t="s">
        <v>61</v>
      </c>
      <c r="G1460" s="36" t="s">
        <v>2045</v>
      </c>
      <c r="H1460" s="36" t="s">
        <v>1952</v>
      </c>
      <c r="I1460" s="39">
        <v>1272</v>
      </c>
      <c r="J1460" s="39"/>
      <c r="K1460" s="39"/>
      <c r="L1460" s="39">
        <f t="shared" ref="L1460:L1462" si="939">SUM(I1460:K1460)</f>
        <v>1272</v>
      </c>
      <c r="M1460" s="117">
        <v>46249</v>
      </c>
      <c r="N1460" s="117">
        <v>46272</v>
      </c>
      <c r="O1460" s="39"/>
      <c r="P1460" s="39"/>
      <c r="Q1460" s="39"/>
      <c r="R1460" s="39">
        <f t="shared" si="937"/>
        <v>0</v>
      </c>
      <c r="S1460" s="39" t="s">
        <v>130</v>
      </c>
      <c r="T1460" s="39"/>
      <c r="U1460" s="39"/>
      <c r="V1460" s="39"/>
      <c r="W1460" s="39"/>
      <c r="X1460" s="39"/>
      <c r="Y1460" s="39"/>
      <c r="Z1460" s="39"/>
      <c r="AA1460" s="39"/>
      <c r="AB1460" s="118">
        <f t="shared" si="938"/>
        <v>0</v>
      </c>
      <c r="AC1460" s="39"/>
      <c r="AD1460" s="39"/>
      <c r="AE1460" s="39"/>
      <c r="AF1460" s="39"/>
      <c r="AG1460" s="39"/>
      <c r="AH1460" s="39">
        <f t="shared" si="779"/>
        <v>0</v>
      </c>
      <c r="AI1460" s="39"/>
      <c r="AJ1460" s="39"/>
      <c r="AK1460" s="39"/>
      <c r="AL1460" s="39"/>
      <c r="AM1460" s="39"/>
      <c r="AN1460" s="39">
        <f t="shared" si="778"/>
        <v>0</v>
      </c>
      <c r="AO1460" s="39"/>
      <c r="AP1460" s="39"/>
      <c r="AQ1460" s="39"/>
      <c r="AR1460" s="39"/>
      <c r="AS1460" s="39"/>
      <c r="AT1460" s="39">
        <f t="shared" si="896"/>
        <v>0</v>
      </c>
      <c r="AU1460" s="39"/>
      <c r="AV1460" s="39"/>
      <c r="AW1460" s="39"/>
      <c r="AX1460" s="39"/>
      <c r="AY1460" s="39"/>
      <c r="AZ1460" s="39">
        <f t="shared" si="897"/>
        <v>0</v>
      </c>
      <c r="BA1460" s="39"/>
      <c r="BB1460" s="39"/>
      <c r="BC1460" s="39"/>
      <c r="BD1460" s="39"/>
      <c r="BE1460" s="39"/>
      <c r="BF1460" s="39">
        <f t="shared" si="898"/>
        <v>0</v>
      </c>
      <c r="BG1460" s="39"/>
      <c r="BH1460" s="39"/>
      <c r="BI1460" s="39"/>
      <c r="BJ1460" s="39"/>
      <c r="BK1460" s="39"/>
      <c r="BL1460" s="39">
        <f t="shared" si="780"/>
        <v>0</v>
      </c>
      <c r="BM1460" s="54">
        <f t="shared" ca="1" si="899"/>
        <v>46283</v>
      </c>
      <c r="BN1460" s="58">
        <v>46266</v>
      </c>
      <c r="BO1460" s="57">
        <v>46294</v>
      </c>
      <c r="BP1460" s="36"/>
      <c r="BQ1460" s="36"/>
      <c r="BR1460" s="39"/>
      <c r="BS1460" s="39"/>
      <c r="BT1460" s="39"/>
      <c r="BU1460" s="39"/>
      <c r="BV1460" s="39"/>
      <c r="BW1460" s="39"/>
      <c r="BX1460" s="39"/>
      <c r="BY1460" s="39"/>
      <c r="BZ1460" s="39">
        <f t="shared" si="781"/>
        <v>0</v>
      </c>
      <c r="CA1460" s="39">
        <f t="shared" si="900"/>
        <v>-1272</v>
      </c>
      <c r="CB1460" s="39">
        <f t="shared" si="901"/>
        <v>0</v>
      </c>
      <c r="CC1460" s="39">
        <f t="shared" si="902"/>
        <v>0</v>
      </c>
      <c r="CD1460" s="39">
        <f t="shared" si="782"/>
        <v>-1272</v>
      </c>
      <c r="CE1460" s="102">
        <f t="shared" si="903"/>
        <v>-1</v>
      </c>
      <c r="CF1460" s="36"/>
      <c r="CG1460" s="39" t="s">
        <v>246</v>
      </c>
      <c r="CH1460" s="39"/>
      <c r="CI1460" s="25">
        <v>1</v>
      </c>
    </row>
    <row r="1461" spans="1:87" ht="24.75" customHeight="1">
      <c r="A1461" s="36" t="s">
        <v>46</v>
      </c>
      <c r="B1461" s="30">
        <v>48458</v>
      </c>
      <c r="C1461" s="228"/>
      <c r="D1461" s="23"/>
      <c r="E1461" s="39"/>
      <c r="F1461" s="39"/>
      <c r="G1461" s="36" t="s">
        <v>272</v>
      </c>
      <c r="H1461" s="36">
        <f>7600+7655+7650</f>
        <v>22905</v>
      </c>
      <c r="I1461" s="39" t="s">
        <v>90</v>
      </c>
      <c r="J1461" s="39"/>
      <c r="K1461" s="39"/>
      <c r="L1461" s="39">
        <f t="shared" si="939"/>
        <v>0</v>
      </c>
      <c r="M1461" s="117">
        <v>46249</v>
      </c>
      <c r="N1461" s="117">
        <v>46272</v>
      </c>
      <c r="O1461" s="39"/>
      <c r="P1461" s="39"/>
      <c r="Q1461" s="39"/>
      <c r="R1461" s="39">
        <f t="shared" si="937"/>
        <v>0</v>
      </c>
      <c r="S1461" s="39" t="s">
        <v>130</v>
      </c>
      <c r="T1461" s="39"/>
      <c r="U1461" s="39"/>
      <c r="V1461" s="39"/>
      <c r="W1461" s="39"/>
      <c r="X1461" s="39"/>
      <c r="Y1461" s="39"/>
      <c r="Z1461" s="39"/>
      <c r="AA1461" s="39"/>
      <c r="AB1461" s="39">
        <f t="shared" si="938"/>
        <v>0</v>
      </c>
      <c r="AC1461" s="39"/>
      <c r="AD1461" s="39"/>
      <c r="AE1461" s="39"/>
      <c r="AF1461" s="39"/>
      <c r="AG1461" s="39"/>
      <c r="AH1461" s="39">
        <f t="shared" si="779"/>
        <v>0</v>
      </c>
      <c r="AI1461" s="39"/>
      <c r="AJ1461" s="39"/>
      <c r="AK1461" s="39"/>
      <c r="AL1461" s="39"/>
      <c r="AM1461" s="39"/>
      <c r="AN1461" s="39">
        <f t="shared" si="778"/>
        <v>0</v>
      </c>
      <c r="AO1461" s="39"/>
      <c r="AP1461" s="39"/>
      <c r="AQ1461" s="39"/>
      <c r="AR1461" s="39"/>
      <c r="AS1461" s="39"/>
      <c r="AT1461" s="39">
        <f t="shared" si="896"/>
        <v>0</v>
      </c>
      <c r="AU1461" s="39"/>
      <c r="AV1461" s="39"/>
      <c r="AW1461" s="39"/>
      <c r="AX1461" s="39"/>
      <c r="AY1461" s="39"/>
      <c r="AZ1461" s="39">
        <f t="shared" si="897"/>
        <v>0</v>
      </c>
      <c r="BA1461" s="39"/>
      <c r="BB1461" s="39"/>
      <c r="BC1461" s="39"/>
      <c r="BD1461" s="39"/>
      <c r="BE1461" s="39"/>
      <c r="BF1461" s="39">
        <f t="shared" si="898"/>
        <v>0</v>
      </c>
      <c r="BG1461" s="39"/>
      <c r="BH1461" s="39"/>
      <c r="BI1461" s="39"/>
      <c r="BJ1461" s="39"/>
      <c r="BK1461" s="39"/>
      <c r="BL1461" s="39">
        <f t="shared" si="780"/>
        <v>0</v>
      </c>
      <c r="BM1461" s="54" t="e">
        <f t="shared" si="899"/>
        <v>#DIV/0!</v>
      </c>
      <c r="BN1461" s="58">
        <v>46266</v>
      </c>
      <c r="BO1461" s="57">
        <v>46294</v>
      </c>
      <c r="BP1461" s="36"/>
      <c r="BQ1461" s="36"/>
      <c r="BR1461" s="39"/>
      <c r="BS1461" s="39"/>
      <c r="BT1461" s="39"/>
      <c r="BU1461" s="39"/>
      <c r="BV1461" s="39"/>
      <c r="BW1461" s="39"/>
      <c r="BX1461" s="39"/>
      <c r="BY1461" s="39"/>
      <c r="BZ1461" s="39">
        <f t="shared" si="781"/>
        <v>0</v>
      </c>
      <c r="CA1461" s="39" t="e">
        <f t="shared" si="900"/>
        <v>#VALUE!</v>
      </c>
      <c r="CB1461" s="39">
        <f t="shared" si="901"/>
        <v>0</v>
      </c>
      <c r="CC1461" s="39">
        <f t="shared" si="902"/>
        <v>0</v>
      </c>
      <c r="CD1461" s="39">
        <f t="shared" si="782"/>
        <v>0</v>
      </c>
      <c r="CE1461" s="102" t="e">
        <f t="shared" si="903"/>
        <v>#DIV/0!</v>
      </c>
      <c r="CF1461" s="36"/>
      <c r="CG1461" s="39" t="s">
        <v>246</v>
      </c>
      <c r="CH1461" s="39"/>
      <c r="CI1461" s="25">
        <v>1</v>
      </c>
    </row>
    <row r="1462" spans="1:87" ht="24.75" customHeight="1">
      <c r="A1462" s="36" t="s">
        <v>46</v>
      </c>
      <c r="B1462" s="30">
        <v>48461</v>
      </c>
      <c r="C1462" s="227" t="s">
        <v>2233</v>
      </c>
      <c r="D1462" s="23"/>
      <c r="E1462" s="39">
        <v>200</v>
      </c>
      <c r="F1462" s="39" t="s">
        <v>64</v>
      </c>
      <c r="G1462" s="36" t="s">
        <v>372</v>
      </c>
      <c r="H1462" s="36" t="s">
        <v>1952</v>
      </c>
      <c r="I1462" s="39">
        <f>1606+132</f>
        <v>1738</v>
      </c>
      <c r="J1462" s="39"/>
      <c r="K1462" s="39"/>
      <c r="L1462" s="39">
        <f t="shared" si="939"/>
        <v>1738</v>
      </c>
      <c r="M1462" s="117">
        <v>46249</v>
      </c>
      <c r="N1462" s="117">
        <v>46272</v>
      </c>
      <c r="O1462" s="39"/>
      <c r="P1462" s="39"/>
      <c r="Q1462" s="39"/>
      <c r="R1462" s="39">
        <f t="shared" si="937"/>
        <v>0</v>
      </c>
      <c r="S1462" s="39" t="s">
        <v>130</v>
      </c>
      <c r="T1462" s="39"/>
      <c r="U1462" s="39"/>
      <c r="V1462" s="39"/>
      <c r="W1462" s="39"/>
      <c r="X1462" s="39"/>
      <c r="Y1462" s="39"/>
      <c r="Z1462" s="39"/>
      <c r="AA1462" s="39"/>
      <c r="AB1462" s="118">
        <f t="shared" si="938"/>
        <v>0</v>
      </c>
      <c r="AC1462" s="39"/>
      <c r="AD1462" s="39"/>
      <c r="AE1462" s="39"/>
      <c r="AF1462" s="39"/>
      <c r="AG1462" s="39"/>
      <c r="AH1462" s="39">
        <f t="shared" si="779"/>
        <v>0</v>
      </c>
      <c r="AI1462" s="39"/>
      <c r="AJ1462" s="39"/>
      <c r="AK1462" s="39"/>
      <c r="AL1462" s="39"/>
      <c r="AM1462" s="39"/>
      <c r="AN1462" s="39">
        <f t="shared" si="778"/>
        <v>0</v>
      </c>
      <c r="AO1462" s="39"/>
      <c r="AP1462" s="39"/>
      <c r="AQ1462" s="39"/>
      <c r="AR1462" s="39"/>
      <c r="AS1462" s="39"/>
      <c r="AT1462" s="39">
        <f t="shared" si="896"/>
        <v>0</v>
      </c>
      <c r="AU1462" s="39"/>
      <c r="AV1462" s="39"/>
      <c r="AW1462" s="39"/>
      <c r="AX1462" s="39"/>
      <c r="AY1462" s="39"/>
      <c r="AZ1462" s="39">
        <f t="shared" si="897"/>
        <v>0</v>
      </c>
      <c r="BA1462" s="39"/>
      <c r="BB1462" s="39"/>
      <c r="BC1462" s="39"/>
      <c r="BD1462" s="39"/>
      <c r="BE1462" s="39"/>
      <c r="BF1462" s="39">
        <f t="shared" si="898"/>
        <v>0</v>
      </c>
      <c r="BG1462" s="39"/>
      <c r="BH1462" s="39"/>
      <c r="BI1462" s="39"/>
      <c r="BJ1462" s="39"/>
      <c r="BK1462" s="39"/>
      <c r="BL1462" s="39">
        <f t="shared" si="780"/>
        <v>0</v>
      </c>
      <c r="BM1462" s="54">
        <f t="shared" ca="1" si="899"/>
        <v>46283</v>
      </c>
      <c r="BN1462" s="58">
        <v>46266</v>
      </c>
      <c r="BO1462" s="57">
        <v>46294</v>
      </c>
      <c r="BP1462" s="36"/>
      <c r="BQ1462" s="36"/>
      <c r="BR1462" s="39"/>
      <c r="BS1462" s="39"/>
      <c r="BT1462" s="39"/>
      <c r="BU1462" s="39"/>
      <c r="BV1462" s="39"/>
      <c r="BW1462" s="39"/>
      <c r="BX1462" s="39"/>
      <c r="BY1462" s="39"/>
      <c r="BZ1462" s="39">
        <f t="shared" si="781"/>
        <v>0</v>
      </c>
      <c r="CA1462" s="39">
        <f t="shared" si="900"/>
        <v>-1738</v>
      </c>
      <c r="CB1462" s="39">
        <f t="shared" si="901"/>
        <v>0</v>
      </c>
      <c r="CC1462" s="39">
        <f t="shared" si="902"/>
        <v>0</v>
      </c>
      <c r="CD1462" s="39">
        <f t="shared" si="782"/>
        <v>-1738</v>
      </c>
      <c r="CE1462" s="102">
        <f t="shared" si="903"/>
        <v>-1</v>
      </c>
      <c r="CF1462" s="36"/>
      <c r="CG1462" s="39" t="s">
        <v>246</v>
      </c>
      <c r="CH1462" s="39"/>
      <c r="CI1462" s="25">
        <v>1</v>
      </c>
    </row>
    <row r="1463" spans="1:87" ht="24.75" customHeight="1">
      <c r="A1463" s="36" t="s">
        <v>46</v>
      </c>
      <c r="B1463" s="30">
        <v>48461</v>
      </c>
      <c r="C1463" s="231"/>
      <c r="D1463" s="23"/>
      <c r="E1463" s="39">
        <v>200</v>
      </c>
      <c r="F1463" s="39" t="s">
        <v>64</v>
      </c>
      <c r="G1463" s="36" t="s">
        <v>2045</v>
      </c>
      <c r="H1463" s="36" t="s">
        <v>1952</v>
      </c>
      <c r="I1463" s="39">
        <f>1606+136</f>
        <v>1742</v>
      </c>
      <c r="J1463" s="39"/>
      <c r="K1463" s="39"/>
      <c r="L1463" s="39">
        <f t="shared" ref="L1463" si="940">SUM(I1463:K1463)</f>
        <v>1742</v>
      </c>
      <c r="M1463" s="117">
        <v>46249</v>
      </c>
      <c r="N1463" s="117">
        <v>46272</v>
      </c>
      <c r="O1463" s="39"/>
      <c r="P1463" s="39"/>
      <c r="Q1463" s="39"/>
      <c r="R1463" s="39">
        <f t="shared" si="937"/>
        <v>0</v>
      </c>
      <c r="S1463" s="39" t="s">
        <v>130</v>
      </c>
      <c r="T1463" s="39"/>
      <c r="U1463" s="39"/>
      <c r="V1463" s="39"/>
      <c r="W1463" s="39"/>
      <c r="X1463" s="39"/>
      <c r="Y1463" s="39"/>
      <c r="Z1463" s="39"/>
      <c r="AA1463" s="39"/>
      <c r="AB1463" s="118">
        <f t="shared" si="938"/>
        <v>0</v>
      </c>
      <c r="AC1463" s="39"/>
      <c r="AD1463" s="39"/>
      <c r="AE1463" s="39"/>
      <c r="AF1463" s="39"/>
      <c r="AG1463" s="39"/>
      <c r="AH1463" s="39">
        <f t="shared" si="779"/>
        <v>0</v>
      </c>
      <c r="AI1463" s="39"/>
      <c r="AJ1463" s="39"/>
      <c r="AK1463" s="39"/>
      <c r="AL1463" s="39"/>
      <c r="AM1463" s="39"/>
      <c r="AN1463" s="39">
        <f t="shared" si="778"/>
        <v>0</v>
      </c>
      <c r="AO1463" s="39"/>
      <c r="AP1463" s="39"/>
      <c r="AQ1463" s="39"/>
      <c r="AR1463" s="39"/>
      <c r="AS1463" s="39"/>
      <c r="AT1463" s="39">
        <f t="shared" si="896"/>
        <v>0</v>
      </c>
      <c r="AU1463" s="39"/>
      <c r="AV1463" s="39"/>
      <c r="AW1463" s="39"/>
      <c r="AX1463" s="39"/>
      <c r="AY1463" s="39"/>
      <c r="AZ1463" s="39">
        <f t="shared" si="897"/>
        <v>0</v>
      </c>
      <c r="BA1463" s="39"/>
      <c r="BB1463" s="39"/>
      <c r="BC1463" s="39"/>
      <c r="BD1463" s="39"/>
      <c r="BE1463" s="39"/>
      <c r="BF1463" s="39">
        <f t="shared" si="898"/>
        <v>0</v>
      </c>
      <c r="BG1463" s="39"/>
      <c r="BH1463" s="39"/>
      <c r="BI1463" s="39"/>
      <c r="BJ1463" s="39"/>
      <c r="BK1463" s="39"/>
      <c r="BL1463" s="39">
        <f t="shared" si="780"/>
        <v>0</v>
      </c>
      <c r="BM1463" s="54">
        <f t="shared" ca="1" si="899"/>
        <v>46283</v>
      </c>
      <c r="BN1463" s="58">
        <v>46266</v>
      </c>
      <c r="BO1463" s="57">
        <v>46294</v>
      </c>
      <c r="BP1463" s="36"/>
      <c r="BQ1463" s="36"/>
      <c r="BR1463" s="39"/>
      <c r="BS1463" s="39"/>
      <c r="BT1463" s="39"/>
      <c r="BU1463" s="39"/>
      <c r="BV1463" s="39"/>
      <c r="BW1463" s="39"/>
      <c r="BX1463" s="39"/>
      <c r="BY1463" s="39"/>
      <c r="BZ1463" s="39">
        <f t="shared" si="781"/>
        <v>0</v>
      </c>
      <c r="CA1463" s="39">
        <f t="shared" si="900"/>
        <v>-1742</v>
      </c>
      <c r="CB1463" s="39">
        <f t="shared" si="901"/>
        <v>0</v>
      </c>
      <c r="CC1463" s="39">
        <f t="shared" si="902"/>
        <v>0</v>
      </c>
      <c r="CD1463" s="39">
        <f t="shared" si="782"/>
        <v>-1742</v>
      </c>
      <c r="CE1463" s="102">
        <f t="shared" si="903"/>
        <v>-1</v>
      </c>
      <c r="CF1463" s="36"/>
      <c r="CG1463" s="39" t="s">
        <v>246</v>
      </c>
      <c r="CH1463" s="39"/>
      <c r="CI1463" s="25">
        <v>1</v>
      </c>
    </row>
    <row r="1464" spans="1:87" ht="24.75" customHeight="1">
      <c r="A1464" s="36" t="s">
        <v>46</v>
      </c>
      <c r="B1464" s="30">
        <v>48461</v>
      </c>
      <c r="C1464" s="228"/>
      <c r="D1464" s="23"/>
      <c r="E1464" s="39"/>
      <c r="F1464" s="39"/>
      <c r="G1464" s="36" t="s">
        <v>272</v>
      </c>
      <c r="H1464" s="36">
        <f>6300+6350</f>
        <v>12650</v>
      </c>
      <c r="I1464" s="39" t="s">
        <v>90</v>
      </c>
      <c r="J1464" s="39"/>
      <c r="K1464" s="39"/>
      <c r="L1464" s="39">
        <f t="shared" ref="L1464" si="941">SUM(I1464:K1464)</f>
        <v>0</v>
      </c>
      <c r="M1464" s="117">
        <v>46249</v>
      </c>
      <c r="N1464" s="117">
        <v>46272</v>
      </c>
      <c r="O1464" s="39"/>
      <c r="P1464" s="39"/>
      <c r="Q1464" s="39"/>
      <c r="R1464" s="39">
        <f t="shared" si="937"/>
        <v>0</v>
      </c>
      <c r="S1464" s="39" t="s">
        <v>130</v>
      </c>
      <c r="T1464" s="39"/>
      <c r="U1464" s="39"/>
      <c r="V1464" s="39"/>
      <c r="W1464" s="39"/>
      <c r="X1464" s="39"/>
      <c r="Y1464" s="39"/>
      <c r="Z1464" s="39"/>
      <c r="AA1464" s="39"/>
      <c r="AB1464" s="39">
        <f t="shared" si="938"/>
        <v>0</v>
      </c>
      <c r="AC1464" s="39"/>
      <c r="AD1464" s="39"/>
      <c r="AE1464" s="39"/>
      <c r="AF1464" s="39"/>
      <c r="AG1464" s="39"/>
      <c r="AH1464" s="39">
        <f t="shared" si="779"/>
        <v>0</v>
      </c>
      <c r="AI1464" s="39"/>
      <c r="AJ1464" s="39"/>
      <c r="AK1464" s="39"/>
      <c r="AL1464" s="39"/>
      <c r="AM1464" s="39"/>
      <c r="AN1464" s="39">
        <f t="shared" si="778"/>
        <v>0</v>
      </c>
      <c r="AO1464" s="39"/>
      <c r="AP1464" s="39"/>
      <c r="AQ1464" s="39"/>
      <c r="AR1464" s="39"/>
      <c r="AS1464" s="39"/>
      <c r="AT1464" s="39">
        <f t="shared" si="896"/>
        <v>0</v>
      </c>
      <c r="AU1464" s="39"/>
      <c r="AV1464" s="39"/>
      <c r="AW1464" s="39"/>
      <c r="AX1464" s="39"/>
      <c r="AY1464" s="39"/>
      <c r="AZ1464" s="39">
        <f t="shared" si="897"/>
        <v>0</v>
      </c>
      <c r="BA1464" s="39"/>
      <c r="BB1464" s="39"/>
      <c r="BC1464" s="39"/>
      <c r="BD1464" s="39"/>
      <c r="BE1464" s="39"/>
      <c r="BF1464" s="39">
        <f t="shared" si="898"/>
        <v>0</v>
      </c>
      <c r="BG1464" s="39"/>
      <c r="BH1464" s="39"/>
      <c r="BI1464" s="39"/>
      <c r="BJ1464" s="39"/>
      <c r="BK1464" s="39"/>
      <c r="BL1464" s="39">
        <f t="shared" si="780"/>
        <v>0</v>
      </c>
      <c r="BM1464" s="54" t="e">
        <f t="shared" si="899"/>
        <v>#DIV/0!</v>
      </c>
      <c r="BN1464" s="58">
        <v>46266</v>
      </c>
      <c r="BO1464" s="57">
        <v>46294</v>
      </c>
      <c r="BP1464" s="36"/>
      <c r="BQ1464" s="36"/>
      <c r="BR1464" s="39"/>
      <c r="BS1464" s="39"/>
      <c r="BT1464" s="39"/>
      <c r="BU1464" s="39"/>
      <c r="BV1464" s="39"/>
      <c r="BW1464" s="39"/>
      <c r="BX1464" s="39"/>
      <c r="BY1464" s="39"/>
      <c r="BZ1464" s="39">
        <f t="shared" si="781"/>
        <v>0</v>
      </c>
      <c r="CA1464" s="39" t="e">
        <f t="shared" si="900"/>
        <v>#VALUE!</v>
      </c>
      <c r="CB1464" s="39">
        <f t="shared" si="901"/>
        <v>0</v>
      </c>
      <c r="CC1464" s="39">
        <f t="shared" si="902"/>
        <v>0</v>
      </c>
      <c r="CD1464" s="39">
        <f t="shared" si="782"/>
        <v>0</v>
      </c>
      <c r="CE1464" s="102" t="e">
        <f t="shared" si="903"/>
        <v>#DIV/0!</v>
      </c>
      <c r="CF1464" s="36"/>
      <c r="CG1464" s="39" t="s">
        <v>246</v>
      </c>
      <c r="CH1464" s="39"/>
      <c r="CI1464" s="25">
        <v>1</v>
      </c>
    </row>
    <row r="1465" spans="1:87" ht="24.75" customHeight="1">
      <c r="A1465" s="36" t="s">
        <v>46</v>
      </c>
      <c r="B1465" s="30">
        <v>47850</v>
      </c>
      <c r="C1465" s="227" t="s">
        <v>2082</v>
      </c>
      <c r="D1465" s="23" t="s">
        <v>24</v>
      </c>
      <c r="E1465" s="39">
        <v>140</v>
      </c>
      <c r="F1465" s="39" t="s">
        <v>55</v>
      </c>
      <c r="G1465" s="36" t="s">
        <v>656</v>
      </c>
      <c r="H1465" s="36" t="s">
        <v>22</v>
      </c>
      <c r="I1465" s="39">
        <v>570</v>
      </c>
      <c r="J1465" s="39"/>
      <c r="K1465" s="39"/>
      <c r="L1465" s="39">
        <f t="shared" ref="L1465:L1466" si="942">SUM(I1465:K1465)</f>
        <v>570</v>
      </c>
      <c r="M1465" s="117">
        <v>46266</v>
      </c>
      <c r="N1465" s="117">
        <v>46275</v>
      </c>
      <c r="O1465" s="39"/>
      <c r="P1465" s="39"/>
      <c r="Q1465" s="39"/>
      <c r="R1465" s="39">
        <f t="shared" ref="R1465:R1466" si="943">SUM(O1465:Q1465)</f>
        <v>0</v>
      </c>
      <c r="S1465" s="39" t="s">
        <v>130</v>
      </c>
      <c r="T1465" s="39"/>
      <c r="U1465" s="39"/>
      <c r="V1465" s="39"/>
      <c r="W1465" s="39"/>
      <c r="X1465" s="39"/>
      <c r="Y1465" s="39"/>
      <c r="Z1465" s="39"/>
      <c r="AA1465" s="39"/>
      <c r="AB1465" s="118">
        <f t="shared" ref="AB1465:AB1466" si="944">SUM(Y1465:AA1465)</f>
        <v>0</v>
      </c>
      <c r="AC1465" s="39"/>
      <c r="AD1465" s="39"/>
      <c r="AE1465" s="39"/>
      <c r="AF1465" s="39"/>
      <c r="AG1465" s="39"/>
      <c r="AH1465" s="39">
        <f t="shared" si="779"/>
        <v>0</v>
      </c>
      <c r="AI1465" s="39"/>
      <c r="AJ1465" s="39"/>
      <c r="AK1465" s="39"/>
      <c r="AL1465" s="39"/>
      <c r="AM1465" s="39"/>
      <c r="AN1465" s="39">
        <f t="shared" si="778"/>
        <v>0</v>
      </c>
      <c r="AO1465" s="39"/>
      <c r="AP1465" s="39"/>
      <c r="AQ1465" s="39"/>
      <c r="AR1465" s="39"/>
      <c r="AS1465" s="39"/>
      <c r="AT1465" s="39">
        <f t="shared" si="896"/>
        <v>0</v>
      </c>
      <c r="AU1465" s="39"/>
      <c r="AV1465" s="39"/>
      <c r="AW1465" s="39"/>
      <c r="AX1465" s="39"/>
      <c r="AY1465" s="39"/>
      <c r="AZ1465" s="39">
        <f t="shared" si="897"/>
        <v>0</v>
      </c>
      <c r="BA1465" s="39"/>
      <c r="BB1465" s="39"/>
      <c r="BC1465" s="39"/>
      <c r="BD1465" s="39"/>
      <c r="BE1465" s="39"/>
      <c r="BF1465" s="39">
        <f t="shared" si="898"/>
        <v>0</v>
      </c>
      <c r="BG1465" s="39"/>
      <c r="BH1465" s="39"/>
      <c r="BI1465" s="39"/>
      <c r="BJ1465" s="39"/>
      <c r="BK1465" s="39"/>
      <c r="BL1465" s="39">
        <f t="shared" si="780"/>
        <v>0</v>
      </c>
      <c r="BM1465" s="54">
        <f t="shared" ca="1" si="899"/>
        <v>46283</v>
      </c>
      <c r="BN1465" s="58">
        <v>46275</v>
      </c>
      <c r="BO1465" s="57">
        <v>46284</v>
      </c>
      <c r="BP1465" s="36"/>
      <c r="BQ1465" s="36"/>
      <c r="BR1465" s="39"/>
      <c r="BS1465" s="39"/>
      <c r="BT1465" s="39"/>
      <c r="BU1465" s="39"/>
      <c r="BV1465" s="39"/>
      <c r="BW1465" s="39"/>
      <c r="BX1465" s="39"/>
      <c r="BY1465" s="39"/>
      <c r="BZ1465" s="39">
        <f t="shared" si="781"/>
        <v>0</v>
      </c>
      <c r="CA1465" s="39">
        <f t="shared" si="900"/>
        <v>-570</v>
      </c>
      <c r="CB1465" s="39">
        <f t="shared" si="901"/>
        <v>0</v>
      </c>
      <c r="CC1465" s="39">
        <f t="shared" si="902"/>
        <v>0</v>
      </c>
      <c r="CD1465" s="39">
        <f t="shared" si="782"/>
        <v>-570</v>
      </c>
      <c r="CE1465" s="102">
        <f t="shared" si="903"/>
        <v>-1</v>
      </c>
      <c r="CF1465" s="36"/>
      <c r="CG1465" s="39" t="s">
        <v>240</v>
      </c>
      <c r="CH1465" s="39"/>
      <c r="CI1465" s="25">
        <v>1</v>
      </c>
    </row>
    <row r="1466" spans="1:87" ht="24.75" customHeight="1">
      <c r="A1466" s="36" t="s">
        <v>46</v>
      </c>
      <c r="B1466" s="30">
        <v>47850</v>
      </c>
      <c r="C1466" s="228"/>
      <c r="D1466" s="23" t="s">
        <v>24</v>
      </c>
      <c r="E1466" s="39">
        <v>140</v>
      </c>
      <c r="F1466" s="39" t="s">
        <v>55</v>
      </c>
      <c r="G1466" s="36" t="s">
        <v>348</v>
      </c>
      <c r="H1466" s="36" t="s">
        <v>22</v>
      </c>
      <c r="I1466" s="39">
        <v>30</v>
      </c>
      <c r="J1466" s="39">
        <v>55</v>
      </c>
      <c r="K1466" s="39"/>
      <c r="L1466" s="39">
        <f t="shared" si="942"/>
        <v>85</v>
      </c>
      <c r="M1466" s="117">
        <v>46266</v>
      </c>
      <c r="N1466" s="117">
        <v>46275</v>
      </c>
      <c r="O1466" s="39"/>
      <c r="P1466" s="39"/>
      <c r="Q1466" s="39"/>
      <c r="R1466" s="39">
        <f t="shared" si="943"/>
        <v>0</v>
      </c>
      <c r="S1466" s="39" t="s">
        <v>130</v>
      </c>
      <c r="T1466" s="39"/>
      <c r="U1466" s="39"/>
      <c r="V1466" s="39"/>
      <c r="W1466" s="39"/>
      <c r="X1466" s="39"/>
      <c r="Y1466" s="39"/>
      <c r="Z1466" s="39"/>
      <c r="AA1466" s="39"/>
      <c r="AB1466" s="118">
        <f t="shared" si="944"/>
        <v>0</v>
      </c>
      <c r="AC1466" s="39"/>
      <c r="AD1466" s="39"/>
      <c r="AE1466" s="39"/>
      <c r="AF1466" s="39"/>
      <c r="AG1466" s="39"/>
      <c r="AH1466" s="39">
        <f t="shared" si="779"/>
        <v>0</v>
      </c>
      <c r="AI1466" s="39"/>
      <c r="AJ1466" s="39"/>
      <c r="AK1466" s="39"/>
      <c r="AL1466" s="39"/>
      <c r="AM1466" s="39"/>
      <c r="AN1466" s="39">
        <f t="shared" si="778"/>
        <v>0</v>
      </c>
      <c r="AO1466" s="39"/>
      <c r="AP1466" s="39"/>
      <c r="AQ1466" s="39"/>
      <c r="AR1466" s="39"/>
      <c r="AS1466" s="39"/>
      <c r="AT1466" s="39">
        <f t="shared" si="896"/>
        <v>0</v>
      </c>
      <c r="AU1466" s="39"/>
      <c r="AV1466" s="39"/>
      <c r="AW1466" s="39"/>
      <c r="AX1466" s="39"/>
      <c r="AY1466" s="39"/>
      <c r="AZ1466" s="39">
        <f t="shared" si="897"/>
        <v>0</v>
      </c>
      <c r="BA1466" s="39"/>
      <c r="BB1466" s="39"/>
      <c r="BC1466" s="39"/>
      <c r="BD1466" s="39"/>
      <c r="BE1466" s="39"/>
      <c r="BF1466" s="39">
        <f t="shared" si="898"/>
        <v>0</v>
      </c>
      <c r="BG1466" s="39"/>
      <c r="BH1466" s="39"/>
      <c r="BI1466" s="39"/>
      <c r="BJ1466" s="39"/>
      <c r="BK1466" s="39"/>
      <c r="BL1466" s="39">
        <f t="shared" si="780"/>
        <v>0</v>
      </c>
      <c r="BM1466" s="54">
        <f t="shared" ca="1" si="899"/>
        <v>46283</v>
      </c>
      <c r="BN1466" s="58">
        <v>46275</v>
      </c>
      <c r="BO1466" s="57">
        <v>46284</v>
      </c>
      <c r="BP1466" s="36"/>
      <c r="BQ1466" s="36"/>
      <c r="BR1466" s="39"/>
      <c r="BS1466" s="39"/>
      <c r="BT1466" s="39"/>
      <c r="BU1466" s="39"/>
      <c r="BV1466" s="39"/>
      <c r="BW1466" s="39"/>
      <c r="BX1466" s="39"/>
      <c r="BY1466" s="39"/>
      <c r="BZ1466" s="39">
        <f t="shared" si="781"/>
        <v>0</v>
      </c>
      <c r="CA1466" s="39">
        <f t="shared" si="900"/>
        <v>-30</v>
      </c>
      <c r="CB1466" s="39">
        <f t="shared" si="901"/>
        <v>-55</v>
      </c>
      <c r="CC1466" s="39">
        <f t="shared" si="902"/>
        <v>0</v>
      </c>
      <c r="CD1466" s="39">
        <f t="shared" si="782"/>
        <v>-85</v>
      </c>
      <c r="CE1466" s="102">
        <f t="shared" si="903"/>
        <v>-1</v>
      </c>
      <c r="CF1466" s="36"/>
      <c r="CG1466" s="39" t="s">
        <v>240</v>
      </c>
      <c r="CH1466" s="39"/>
      <c r="CI1466" s="25">
        <v>1</v>
      </c>
    </row>
    <row r="1467" spans="1:87" ht="24.75" customHeight="1">
      <c r="A1467" s="36" t="s">
        <v>46</v>
      </c>
      <c r="B1467" s="30">
        <v>48442</v>
      </c>
      <c r="C1467" s="227" t="s">
        <v>2182</v>
      </c>
      <c r="D1467" s="23" t="s">
        <v>37</v>
      </c>
      <c r="E1467" s="39">
        <v>140</v>
      </c>
      <c r="F1467" s="39" t="s">
        <v>55</v>
      </c>
      <c r="G1467" s="36" t="s">
        <v>2183</v>
      </c>
      <c r="H1467" s="36" t="s">
        <v>22</v>
      </c>
      <c r="I1467" s="39">
        <v>824</v>
      </c>
      <c r="J1467" s="39"/>
      <c r="K1467" s="39"/>
      <c r="L1467" s="39">
        <f t="shared" ref="L1467:L1470" si="945">SUM(I1467:K1467)</f>
        <v>824</v>
      </c>
      <c r="M1467" s="117">
        <v>46252</v>
      </c>
      <c r="N1467" s="117">
        <v>46265</v>
      </c>
      <c r="O1467" s="39"/>
      <c r="P1467" s="39"/>
      <c r="Q1467" s="39"/>
      <c r="R1467" s="39">
        <f t="shared" ref="R1467:R1472" si="946">SUM(O1467:Q1467)</f>
        <v>0</v>
      </c>
      <c r="S1467" s="39" t="s">
        <v>100</v>
      </c>
      <c r="T1467" s="39"/>
      <c r="U1467" s="39"/>
      <c r="V1467" s="117">
        <v>46261</v>
      </c>
      <c r="W1467" s="39">
        <v>941</v>
      </c>
      <c r="X1467" s="39"/>
      <c r="Y1467" s="39"/>
      <c r="Z1467" s="39"/>
      <c r="AA1467" s="39"/>
      <c r="AB1467" s="118">
        <f t="shared" ref="AB1467:AB1472" si="947">SUM(Y1467:AA1467)</f>
        <v>0</v>
      </c>
      <c r="AC1467" s="39"/>
      <c r="AD1467" s="39"/>
      <c r="AE1467" s="39"/>
      <c r="AF1467" s="39"/>
      <c r="AG1467" s="39"/>
      <c r="AH1467" s="39">
        <f t="shared" si="779"/>
        <v>0</v>
      </c>
      <c r="AI1467" s="39"/>
      <c r="AJ1467" s="39"/>
      <c r="AK1467" s="39"/>
      <c r="AL1467" s="39"/>
      <c r="AM1467" s="39"/>
      <c r="AN1467" s="39">
        <f t="shared" si="778"/>
        <v>0</v>
      </c>
      <c r="AO1467" s="39"/>
      <c r="AP1467" s="39"/>
      <c r="AQ1467" s="39"/>
      <c r="AR1467" s="39"/>
      <c r="AS1467" s="39"/>
      <c r="AT1467" s="39">
        <f t="shared" si="896"/>
        <v>0</v>
      </c>
      <c r="AU1467" s="39"/>
      <c r="AV1467" s="39"/>
      <c r="AW1467" s="39"/>
      <c r="AX1467" s="39"/>
      <c r="AY1467" s="39"/>
      <c r="AZ1467" s="39">
        <f t="shared" si="897"/>
        <v>0</v>
      </c>
      <c r="BA1467" s="39"/>
      <c r="BB1467" s="39"/>
      <c r="BC1467" s="39"/>
      <c r="BD1467" s="39"/>
      <c r="BE1467" s="39"/>
      <c r="BF1467" s="39">
        <f t="shared" si="898"/>
        <v>0</v>
      </c>
      <c r="BG1467" s="39"/>
      <c r="BH1467" s="39"/>
      <c r="BI1467" s="39"/>
      <c r="BJ1467" s="39"/>
      <c r="BK1467" s="39"/>
      <c r="BL1467" s="39">
        <f t="shared" si="780"/>
        <v>0</v>
      </c>
      <c r="BM1467" s="54">
        <f t="shared" ca="1" si="899"/>
        <v>46283</v>
      </c>
      <c r="BN1467" s="58">
        <v>46266</v>
      </c>
      <c r="BO1467" s="57">
        <v>46277</v>
      </c>
      <c r="BP1467" s="57">
        <v>46279</v>
      </c>
      <c r="BQ1467" s="57">
        <v>46288</v>
      </c>
      <c r="BR1467" s="39"/>
      <c r="BS1467" s="39"/>
      <c r="BT1467" s="39"/>
      <c r="BU1467" s="39"/>
      <c r="BV1467" s="39"/>
      <c r="BW1467" s="39"/>
      <c r="BX1467" s="39"/>
      <c r="BY1467" s="39"/>
      <c r="BZ1467" s="39">
        <f t="shared" si="781"/>
        <v>0</v>
      </c>
      <c r="CA1467" s="39">
        <f t="shared" si="900"/>
        <v>-824</v>
      </c>
      <c r="CB1467" s="39">
        <f t="shared" si="901"/>
        <v>0</v>
      </c>
      <c r="CC1467" s="39">
        <f t="shared" si="902"/>
        <v>0</v>
      </c>
      <c r="CD1467" s="39">
        <f t="shared" si="782"/>
        <v>-824</v>
      </c>
      <c r="CE1467" s="102">
        <f t="shared" si="903"/>
        <v>-1</v>
      </c>
      <c r="CF1467" s="36"/>
      <c r="CG1467" s="39" t="s">
        <v>242</v>
      </c>
      <c r="CH1467" s="39"/>
      <c r="CI1467" s="25">
        <v>1</v>
      </c>
    </row>
    <row r="1468" spans="1:87" ht="24.75" customHeight="1">
      <c r="A1468" s="36" t="s">
        <v>46</v>
      </c>
      <c r="B1468" s="30">
        <v>48442</v>
      </c>
      <c r="C1468" s="228"/>
      <c r="D1468" s="23" t="s">
        <v>37</v>
      </c>
      <c r="E1468" s="39">
        <v>140</v>
      </c>
      <c r="F1468" s="39" t="s">
        <v>55</v>
      </c>
      <c r="G1468" s="36" t="s">
        <v>2184</v>
      </c>
      <c r="H1468" s="36" t="s">
        <v>22</v>
      </c>
      <c r="I1468" s="39">
        <v>495</v>
      </c>
      <c r="J1468" s="39"/>
      <c r="K1468" s="39"/>
      <c r="L1468" s="39">
        <f t="shared" si="945"/>
        <v>495</v>
      </c>
      <c r="M1468" s="117">
        <v>46252</v>
      </c>
      <c r="N1468" s="117">
        <v>46265</v>
      </c>
      <c r="O1468" s="39"/>
      <c r="P1468" s="39"/>
      <c r="Q1468" s="39"/>
      <c r="R1468" s="39">
        <f t="shared" si="946"/>
        <v>0</v>
      </c>
      <c r="S1468" s="39" t="s">
        <v>31</v>
      </c>
      <c r="T1468" s="39"/>
      <c r="U1468" s="39"/>
      <c r="V1468" s="117">
        <v>46255</v>
      </c>
      <c r="W1468" s="39">
        <v>564</v>
      </c>
      <c r="X1468" s="39"/>
      <c r="Y1468" s="39"/>
      <c r="Z1468" s="39"/>
      <c r="AA1468" s="39"/>
      <c r="AB1468" s="118">
        <f t="shared" si="947"/>
        <v>0</v>
      </c>
      <c r="AC1468" s="39"/>
      <c r="AD1468" s="39"/>
      <c r="AE1468" s="39"/>
      <c r="AF1468" s="39"/>
      <c r="AG1468" s="39"/>
      <c r="AH1468" s="39">
        <f t="shared" si="779"/>
        <v>0</v>
      </c>
      <c r="AI1468" s="39"/>
      <c r="AJ1468" s="39"/>
      <c r="AK1468" s="39"/>
      <c r="AL1468" s="39"/>
      <c r="AM1468" s="39"/>
      <c r="AN1468" s="39">
        <f t="shared" si="778"/>
        <v>0</v>
      </c>
      <c r="AO1468" s="39"/>
      <c r="AP1468" s="39"/>
      <c r="AQ1468" s="39"/>
      <c r="AR1468" s="39"/>
      <c r="AS1468" s="39"/>
      <c r="AT1468" s="39">
        <f t="shared" si="896"/>
        <v>0</v>
      </c>
      <c r="AU1468" s="39"/>
      <c r="AV1468" s="39"/>
      <c r="AW1468" s="39"/>
      <c r="AX1468" s="39"/>
      <c r="AY1468" s="39"/>
      <c r="AZ1468" s="39">
        <f t="shared" si="897"/>
        <v>0</v>
      </c>
      <c r="BA1468" s="39"/>
      <c r="BB1468" s="39"/>
      <c r="BC1468" s="39"/>
      <c r="BD1468" s="39"/>
      <c r="BE1468" s="39"/>
      <c r="BF1468" s="39">
        <f t="shared" si="898"/>
        <v>0</v>
      </c>
      <c r="BG1468" s="39"/>
      <c r="BH1468" s="39"/>
      <c r="BI1468" s="39"/>
      <c r="BJ1468" s="39"/>
      <c r="BK1468" s="39"/>
      <c r="BL1468" s="39">
        <f t="shared" si="780"/>
        <v>0</v>
      </c>
      <c r="BM1468" s="54">
        <f t="shared" ca="1" si="899"/>
        <v>46283</v>
      </c>
      <c r="BN1468" s="58">
        <v>46266</v>
      </c>
      <c r="BO1468" s="57">
        <v>46277</v>
      </c>
      <c r="BP1468" s="57">
        <v>46279</v>
      </c>
      <c r="BQ1468" s="57">
        <v>46288</v>
      </c>
      <c r="BR1468" s="39"/>
      <c r="BS1468" s="39"/>
      <c r="BT1468" s="39"/>
      <c r="BU1468" s="39"/>
      <c r="BV1468" s="39"/>
      <c r="BW1468" s="39"/>
      <c r="BX1468" s="39"/>
      <c r="BY1468" s="39"/>
      <c r="BZ1468" s="39">
        <f t="shared" si="781"/>
        <v>0</v>
      </c>
      <c r="CA1468" s="39">
        <f t="shared" si="900"/>
        <v>-495</v>
      </c>
      <c r="CB1468" s="39">
        <f t="shared" si="901"/>
        <v>0</v>
      </c>
      <c r="CC1468" s="39">
        <f t="shared" si="902"/>
        <v>0</v>
      </c>
      <c r="CD1468" s="39">
        <f t="shared" si="782"/>
        <v>-495</v>
      </c>
      <c r="CE1468" s="102">
        <f t="shared" si="903"/>
        <v>-1</v>
      </c>
      <c r="CF1468" s="36"/>
      <c r="CG1468" s="39" t="s">
        <v>242</v>
      </c>
      <c r="CH1468" s="39"/>
      <c r="CI1468" s="25">
        <v>1</v>
      </c>
    </row>
    <row r="1469" spans="1:87" ht="24.75" customHeight="1">
      <c r="A1469" s="36" t="s">
        <v>46</v>
      </c>
      <c r="B1469" s="30">
        <v>48443</v>
      </c>
      <c r="C1469" s="227" t="s">
        <v>2185</v>
      </c>
      <c r="D1469" s="23"/>
      <c r="E1469" s="39" t="s">
        <v>1925</v>
      </c>
      <c r="F1469" s="39" t="s">
        <v>60</v>
      </c>
      <c r="G1469" s="36" t="s">
        <v>2186</v>
      </c>
      <c r="H1469" s="36" t="s">
        <v>89</v>
      </c>
      <c r="I1469" s="39">
        <v>747</v>
      </c>
      <c r="J1469" s="39"/>
      <c r="K1469" s="39"/>
      <c r="L1469" s="39">
        <f t="shared" si="945"/>
        <v>747</v>
      </c>
      <c r="M1469" s="117">
        <v>46249</v>
      </c>
      <c r="N1469" s="117">
        <v>46265</v>
      </c>
      <c r="O1469" s="39"/>
      <c r="P1469" s="39"/>
      <c r="Q1469" s="39"/>
      <c r="R1469" s="39">
        <f t="shared" si="946"/>
        <v>0</v>
      </c>
      <c r="S1469" s="39" t="s">
        <v>31</v>
      </c>
      <c r="T1469" s="39"/>
      <c r="U1469" s="39"/>
      <c r="V1469" s="117">
        <v>46258</v>
      </c>
      <c r="W1469" s="39">
        <v>838</v>
      </c>
      <c r="X1469" s="39"/>
      <c r="Y1469" s="39"/>
      <c r="Z1469" s="39"/>
      <c r="AA1469" s="39"/>
      <c r="AB1469" s="118">
        <f t="shared" si="947"/>
        <v>0</v>
      </c>
      <c r="AC1469" s="39"/>
      <c r="AD1469" s="39"/>
      <c r="AE1469" s="39"/>
      <c r="AF1469" s="39"/>
      <c r="AG1469" s="39"/>
      <c r="AH1469" s="39">
        <f t="shared" si="779"/>
        <v>0</v>
      </c>
      <c r="AI1469" s="39"/>
      <c r="AJ1469" s="39"/>
      <c r="AK1469" s="39"/>
      <c r="AL1469" s="39"/>
      <c r="AM1469" s="39"/>
      <c r="AN1469" s="39">
        <f t="shared" si="778"/>
        <v>0</v>
      </c>
      <c r="AO1469" s="39"/>
      <c r="AP1469" s="39"/>
      <c r="AQ1469" s="39"/>
      <c r="AR1469" s="39"/>
      <c r="AS1469" s="39"/>
      <c r="AT1469" s="39">
        <f t="shared" si="896"/>
        <v>0</v>
      </c>
      <c r="AU1469" s="39"/>
      <c r="AV1469" s="39"/>
      <c r="AW1469" s="39"/>
      <c r="AX1469" s="39"/>
      <c r="AY1469" s="39"/>
      <c r="AZ1469" s="39">
        <f t="shared" si="897"/>
        <v>0</v>
      </c>
      <c r="BA1469" s="39"/>
      <c r="BB1469" s="39"/>
      <c r="BC1469" s="39"/>
      <c r="BD1469" s="39"/>
      <c r="BE1469" s="39"/>
      <c r="BF1469" s="39">
        <f t="shared" si="898"/>
        <v>0</v>
      </c>
      <c r="BG1469" s="39"/>
      <c r="BH1469" s="39"/>
      <c r="BI1469" s="39"/>
      <c r="BJ1469" s="39"/>
      <c r="BK1469" s="39"/>
      <c r="BL1469" s="39">
        <f t="shared" si="780"/>
        <v>0</v>
      </c>
      <c r="BM1469" s="54">
        <f t="shared" ca="1" si="899"/>
        <v>46283</v>
      </c>
      <c r="BN1469" s="58">
        <v>46266</v>
      </c>
      <c r="BO1469" s="57">
        <v>46279</v>
      </c>
      <c r="BP1469" s="57"/>
      <c r="BQ1469" s="57"/>
      <c r="BR1469" s="39"/>
      <c r="BS1469" s="39"/>
      <c r="BT1469" s="39"/>
      <c r="BU1469" s="39"/>
      <c r="BV1469" s="39"/>
      <c r="BW1469" s="39"/>
      <c r="BX1469" s="39"/>
      <c r="BY1469" s="39"/>
      <c r="BZ1469" s="39">
        <f t="shared" si="781"/>
        <v>0</v>
      </c>
      <c r="CA1469" s="39">
        <f t="shared" si="900"/>
        <v>-747</v>
      </c>
      <c r="CB1469" s="39">
        <f t="shared" si="901"/>
        <v>0</v>
      </c>
      <c r="CC1469" s="39">
        <f t="shared" si="902"/>
        <v>0</v>
      </c>
      <c r="CD1469" s="39">
        <f t="shared" si="782"/>
        <v>-747</v>
      </c>
      <c r="CE1469" s="102">
        <f t="shared" si="903"/>
        <v>-1</v>
      </c>
      <c r="CF1469" s="36"/>
      <c r="CG1469" s="39" t="s">
        <v>242</v>
      </c>
      <c r="CH1469" s="39"/>
      <c r="CI1469" s="25">
        <v>1</v>
      </c>
    </row>
    <row r="1470" spans="1:87" ht="24.75" customHeight="1">
      <c r="A1470" s="36" t="s">
        <v>46</v>
      </c>
      <c r="B1470" s="30">
        <v>48443</v>
      </c>
      <c r="C1470" s="231"/>
      <c r="D1470" s="23" t="s">
        <v>37</v>
      </c>
      <c r="E1470" s="39">
        <v>140</v>
      </c>
      <c r="F1470" s="39" t="s">
        <v>55</v>
      </c>
      <c r="G1470" s="36" t="s">
        <v>2187</v>
      </c>
      <c r="H1470" s="36" t="s">
        <v>22</v>
      </c>
      <c r="I1470" s="39">
        <v>794</v>
      </c>
      <c r="J1470" s="39"/>
      <c r="K1470" s="39"/>
      <c r="L1470" s="39">
        <f t="shared" si="945"/>
        <v>794</v>
      </c>
      <c r="M1470" s="117">
        <v>46249</v>
      </c>
      <c r="N1470" s="117">
        <v>46265</v>
      </c>
      <c r="O1470" s="39"/>
      <c r="P1470" s="39"/>
      <c r="Q1470" s="39"/>
      <c r="R1470" s="39">
        <f t="shared" si="946"/>
        <v>0</v>
      </c>
      <c r="S1470" s="39" t="s">
        <v>31</v>
      </c>
      <c r="T1470" s="39"/>
      <c r="U1470" s="39"/>
      <c r="V1470" s="117">
        <v>46255</v>
      </c>
      <c r="W1470" s="39">
        <v>906</v>
      </c>
      <c r="X1470" s="117">
        <v>46280</v>
      </c>
      <c r="Y1470" s="39">
        <f>776</f>
        <v>776</v>
      </c>
      <c r="Z1470" s="39"/>
      <c r="AA1470" s="39"/>
      <c r="AB1470" s="120">
        <f t="shared" si="947"/>
        <v>776</v>
      </c>
      <c r="AC1470" s="39"/>
      <c r="AD1470" s="39"/>
      <c r="AE1470" s="39"/>
      <c r="AF1470" s="39"/>
      <c r="AG1470" s="39"/>
      <c r="AH1470" s="39">
        <f t="shared" si="779"/>
        <v>0</v>
      </c>
      <c r="AI1470" s="39"/>
      <c r="AJ1470" s="39"/>
      <c r="AK1470" s="39"/>
      <c r="AL1470" s="39"/>
      <c r="AM1470" s="39"/>
      <c r="AN1470" s="39">
        <f t="shared" si="778"/>
        <v>0</v>
      </c>
      <c r="AO1470" s="39"/>
      <c r="AP1470" s="39"/>
      <c r="AQ1470" s="39"/>
      <c r="AR1470" s="39"/>
      <c r="AS1470" s="39"/>
      <c r="AT1470" s="39">
        <f t="shared" si="896"/>
        <v>0</v>
      </c>
      <c r="AU1470" s="39"/>
      <c r="AV1470" s="39"/>
      <c r="AW1470" s="39"/>
      <c r="AX1470" s="39"/>
      <c r="AY1470" s="39"/>
      <c r="AZ1470" s="39">
        <f t="shared" si="897"/>
        <v>0</v>
      </c>
      <c r="BA1470" s="39"/>
      <c r="BB1470" s="39"/>
      <c r="BC1470" s="39"/>
      <c r="BD1470" s="39"/>
      <c r="BE1470" s="39"/>
      <c r="BF1470" s="39">
        <f t="shared" si="898"/>
        <v>0</v>
      </c>
      <c r="BG1470" s="39"/>
      <c r="BH1470" s="39"/>
      <c r="BI1470" s="39"/>
      <c r="BJ1470" s="39"/>
      <c r="BK1470" s="39"/>
      <c r="BL1470" s="39">
        <f t="shared" si="780"/>
        <v>0</v>
      </c>
      <c r="BM1470" s="54">
        <f t="shared" ca="1" si="899"/>
        <v>46283</v>
      </c>
      <c r="BN1470" s="58">
        <v>46266</v>
      </c>
      <c r="BO1470" s="57">
        <v>46279</v>
      </c>
      <c r="BP1470" s="57">
        <v>46279</v>
      </c>
      <c r="BQ1470" s="57">
        <v>46289</v>
      </c>
      <c r="BR1470" s="39"/>
      <c r="BS1470" s="39"/>
      <c r="BT1470" s="39"/>
      <c r="BU1470" s="39"/>
      <c r="BV1470" s="39"/>
      <c r="BW1470" s="39"/>
      <c r="BX1470" s="39"/>
      <c r="BY1470" s="39"/>
      <c r="BZ1470" s="39">
        <f t="shared" si="781"/>
        <v>0</v>
      </c>
      <c r="CA1470" s="39">
        <f t="shared" si="900"/>
        <v>-794</v>
      </c>
      <c r="CB1470" s="39">
        <f t="shared" si="901"/>
        <v>0</v>
      </c>
      <c r="CC1470" s="39">
        <f t="shared" si="902"/>
        <v>0</v>
      </c>
      <c r="CD1470" s="39">
        <f t="shared" si="782"/>
        <v>-794</v>
      </c>
      <c r="CE1470" s="102">
        <f t="shared" si="903"/>
        <v>-1</v>
      </c>
      <c r="CF1470" s="36"/>
      <c r="CG1470" s="39" t="s">
        <v>242</v>
      </c>
      <c r="CH1470" s="39"/>
      <c r="CI1470" s="25">
        <v>1</v>
      </c>
    </row>
    <row r="1471" spans="1:87" ht="24.75" customHeight="1">
      <c r="A1471" s="36" t="s">
        <v>46</v>
      </c>
      <c r="B1471" s="30">
        <v>48443</v>
      </c>
      <c r="C1471" s="231"/>
      <c r="D1471" s="23"/>
      <c r="E1471" s="39" t="s">
        <v>1925</v>
      </c>
      <c r="F1471" s="39" t="s">
        <v>60</v>
      </c>
      <c r="G1471" s="36" t="s">
        <v>490</v>
      </c>
      <c r="H1471" s="36" t="s">
        <v>89</v>
      </c>
      <c r="I1471" s="39">
        <v>747</v>
      </c>
      <c r="J1471" s="39"/>
      <c r="K1471" s="39"/>
      <c r="L1471" s="39">
        <f t="shared" ref="L1471" si="948">SUM(I1471:K1471)</f>
        <v>747</v>
      </c>
      <c r="M1471" s="117">
        <v>46249</v>
      </c>
      <c r="N1471" s="117">
        <v>46265</v>
      </c>
      <c r="O1471" s="39"/>
      <c r="P1471" s="39"/>
      <c r="Q1471" s="39"/>
      <c r="R1471" s="39">
        <f t="shared" si="946"/>
        <v>0</v>
      </c>
      <c r="S1471" s="39" t="s">
        <v>130</v>
      </c>
      <c r="T1471" s="39"/>
      <c r="U1471" s="39"/>
      <c r="V1471" s="39"/>
      <c r="W1471" s="39"/>
      <c r="X1471" s="39"/>
      <c r="Y1471" s="39"/>
      <c r="Z1471" s="39"/>
      <c r="AA1471" s="39"/>
      <c r="AB1471" s="118">
        <f t="shared" si="947"/>
        <v>0</v>
      </c>
      <c r="AC1471" s="39"/>
      <c r="AD1471" s="39"/>
      <c r="AE1471" s="39"/>
      <c r="AF1471" s="39"/>
      <c r="AG1471" s="39"/>
      <c r="AH1471" s="39">
        <f t="shared" si="779"/>
        <v>0</v>
      </c>
      <c r="AI1471" s="39"/>
      <c r="AJ1471" s="39"/>
      <c r="AK1471" s="39"/>
      <c r="AL1471" s="39"/>
      <c r="AM1471" s="39"/>
      <c r="AN1471" s="39">
        <f t="shared" si="778"/>
        <v>0</v>
      </c>
      <c r="AO1471" s="39"/>
      <c r="AP1471" s="39"/>
      <c r="AQ1471" s="39"/>
      <c r="AR1471" s="39"/>
      <c r="AS1471" s="39"/>
      <c r="AT1471" s="39">
        <f t="shared" si="896"/>
        <v>0</v>
      </c>
      <c r="AU1471" s="39"/>
      <c r="AV1471" s="39"/>
      <c r="AW1471" s="39"/>
      <c r="AX1471" s="39"/>
      <c r="AY1471" s="39"/>
      <c r="AZ1471" s="39">
        <f t="shared" si="897"/>
        <v>0</v>
      </c>
      <c r="BA1471" s="39"/>
      <c r="BB1471" s="39"/>
      <c r="BC1471" s="39"/>
      <c r="BD1471" s="39"/>
      <c r="BE1471" s="39"/>
      <c r="BF1471" s="39">
        <f t="shared" si="898"/>
        <v>0</v>
      </c>
      <c r="BG1471" s="39"/>
      <c r="BH1471" s="39"/>
      <c r="BI1471" s="39"/>
      <c r="BJ1471" s="39"/>
      <c r="BK1471" s="39"/>
      <c r="BL1471" s="39">
        <f t="shared" si="780"/>
        <v>0</v>
      </c>
      <c r="BM1471" s="54">
        <f t="shared" ca="1" si="899"/>
        <v>46283</v>
      </c>
      <c r="BN1471" s="58">
        <v>46266</v>
      </c>
      <c r="BO1471" s="57">
        <v>46279</v>
      </c>
      <c r="BP1471" s="57"/>
      <c r="BQ1471" s="57"/>
      <c r="BR1471" s="39"/>
      <c r="BS1471" s="39"/>
      <c r="BT1471" s="39"/>
      <c r="BU1471" s="39"/>
      <c r="BV1471" s="39"/>
      <c r="BW1471" s="39"/>
      <c r="BX1471" s="39"/>
      <c r="BY1471" s="39"/>
      <c r="BZ1471" s="39">
        <f t="shared" si="781"/>
        <v>0</v>
      </c>
      <c r="CA1471" s="39">
        <f t="shared" si="900"/>
        <v>-747</v>
      </c>
      <c r="CB1471" s="39">
        <f t="shared" si="901"/>
        <v>0</v>
      </c>
      <c r="CC1471" s="39">
        <f t="shared" si="902"/>
        <v>0</v>
      </c>
      <c r="CD1471" s="39">
        <f t="shared" si="782"/>
        <v>-747</v>
      </c>
      <c r="CE1471" s="102">
        <f t="shared" si="903"/>
        <v>-1</v>
      </c>
      <c r="CF1471" s="36"/>
      <c r="CG1471" s="39" t="s">
        <v>242</v>
      </c>
      <c r="CH1471" s="39"/>
      <c r="CI1471" s="25">
        <v>1</v>
      </c>
    </row>
    <row r="1472" spans="1:87" ht="24.75" customHeight="1">
      <c r="A1472" s="36" t="s">
        <v>46</v>
      </c>
      <c r="B1472" s="30">
        <v>48443</v>
      </c>
      <c r="C1472" s="228"/>
      <c r="D1472" s="23" t="s">
        <v>37</v>
      </c>
      <c r="E1472" s="39">
        <v>140</v>
      </c>
      <c r="F1472" s="39" t="s">
        <v>55</v>
      </c>
      <c r="G1472" s="36" t="s">
        <v>2184</v>
      </c>
      <c r="H1472" s="36" t="s">
        <v>22</v>
      </c>
      <c r="I1472" s="39">
        <v>794</v>
      </c>
      <c r="J1472" s="39"/>
      <c r="K1472" s="39"/>
      <c r="L1472" s="39">
        <f t="shared" ref="L1472" si="949">SUM(I1472:K1472)</f>
        <v>794</v>
      </c>
      <c r="M1472" s="117">
        <v>46249</v>
      </c>
      <c r="N1472" s="117">
        <v>46265</v>
      </c>
      <c r="O1472" s="39"/>
      <c r="P1472" s="39"/>
      <c r="Q1472" s="39"/>
      <c r="R1472" s="39">
        <f t="shared" si="946"/>
        <v>0</v>
      </c>
      <c r="S1472" s="39" t="s">
        <v>31</v>
      </c>
      <c r="T1472" s="39"/>
      <c r="U1472" s="39"/>
      <c r="V1472" s="117">
        <v>46255</v>
      </c>
      <c r="W1472" s="39">
        <v>910</v>
      </c>
      <c r="X1472" s="39"/>
      <c r="Y1472" s="39"/>
      <c r="Z1472" s="39"/>
      <c r="AA1472" s="39"/>
      <c r="AB1472" s="118">
        <f t="shared" si="947"/>
        <v>0</v>
      </c>
      <c r="AC1472" s="39"/>
      <c r="AD1472" s="39"/>
      <c r="AE1472" s="39"/>
      <c r="AF1472" s="39"/>
      <c r="AG1472" s="39"/>
      <c r="AH1472" s="39">
        <f t="shared" si="779"/>
        <v>0</v>
      </c>
      <c r="AI1472" s="39"/>
      <c r="AJ1472" s="39"/>
      <c r="AK1472" s="39"/>
      <c r="AL1472" s="39"/>
      <c r="AM1472" s="39"/>
      <c r="AN1472" s="39">
        <f t="shared" si="778"/>
        <v>0</v>
      </c>
      <c r="AO1472" s="39"/>
      <c r="AP1472" s="39"/>
      <c r="AQ1472" s="39"/>
      <c r="AR1472" s="39"/>
      <c r="AS1472" s="39"/>
      <c r="AT1472" s="39">
        <f t="shared" si="896"/>
        <v>0</v>
      </c>
      <c r="AU1472" s="39"/>
      <c r="AV1472" s="39"/>
      <c r="AW1472" s="39"/>
      <c r="AX1472" s="39"/>
      <c r="AY1472" s="39"/>
      <c r="AZ1472" s="39">
        <f t="shared" si="897"/>
        <v>0</v>
      </c>
      <c r="BA1472" s="39"/>
      <c r="BB1472" s="39"/>
      <c r="BC1472" s="39"/>
      <c r="BD1472" s="39"/>
      <c r="BE1472" s="39"/>
      <c r="BF1472" s="39">
        <f t="shared" si="898"/>
        <v>0</v>
      </c>
      <c r="BG1472" s="39"/>
      <c r="BH1472" s="39"/>
      <c r="BI1472" s="39"/>
      <c r="BJ1472" s="39"/>
      <c r="BK1472" s="39"/>
      <c r="BL1472" s="39">
        <f t="shared" si="780"/>
        <v>0</v>
      </c>
      <c r="BM1472" s="54">
        <f t="shared" ca="1" si="899"/>
        <v>46283</v>
      </c>
      <c r="BN1472" s="58">
        <v>46266</v>
      </c>
      <c r="BO1472" s="57">
        <v>46279</v>
      </c>
      <c r="BP1472" s="57">
        <v>46279</v>
      </c>
      <c r="BQ1472" s="57">
        <v>46289</v>
      </c>
      <c r="BR1472" s="39"/>
      <c r="BS1472" s="39"/>
      <c r="BT1472" s="39"/>
      <c r="BU1472" s="39"/>
      <c r="BV1472" s="39"/>
      <c r="BW1472" s="39"/>
      <c r="BX1472" s="39"/>
      <c r="BY1472" s="39"/>
      <c r="BZ1472" s="39">
        <f t="shared" si="781"/>
        <v>0</v>
      </c>
      <c r="CA1472" s="39">
        <f t="shared" si="900"/>
        <v>-794</v>
      </c>
      <c r="CB1472" s="39">
        <f t="shared" si="901"/>
        <v>0</v>
      </c>
      <c r="CC1472" s="39">
        <f t="shared" si="902"/>
        <v>0</v>
      </c>
      <c r="CD1472" s="39">
        <f t="shared" si="782"/>
        <v>-794</v>
      </c>
      <c r="CE1472" s="102">
        <f t="shared" si="903"/>
        <v>-1</v>
      </c>
      <c r="CF1472" s="36"/>
      <c r="CG1472" s="39" t="s">
        <v>242</v>
      </c>
      <c r="CH1472" s="39"/>
      <c r="CI1472" s="25">
        <v>1</v>
      </c>
    </row>
    <row r="1473" spans="1:87" ht="24.75" customHeight="1">
      <c r="A1473" s="36" t="s">
        <v>46</v>
      </c>
      <c r="B1473" s="30">
        <v>48520</v>
      </c>
      <c r="C1473" s="227" t="s">
        <v>2213</v>
      </c>
      <c r="D1473" s="23" t="s">
        <v>82</v>
      </c>
      <c r="E1473" s="39">
        <v>260</v>
      </c>
      <c r="F1473" s="39" t="s">
        <v>58</v>
      </c>
      <c r="G1473" s="36" t="s">
        <v>34</v>
      </c>
      <c r="H1473" s="36" t="s">
        <v>196</v>
      </c>
      <c r="I1473" s="39">
        <v>1080</v>
      </c>
      <c r="J1473" s="39"/>
      <c r="K1473" s="39">
        <v>110</v>
      </c>
      <c r="L1473" s="39">
        <f t="shared" ref="L1473:L1474" si="950">SUM(I1473:K1473)</f>
        <v>1190</v>
      </c>
      <c r="M1473" s="117">
        <v>46258</v>
      </c>
      <c r="N1473" s="117">
        <v>46270</v>
      </c>
      <c r="O1473" s="39"/>
      <c r="P1473" s="39"/>
      <c r="Q1473" s="39"/>
      <c r="R1473" s="39">
        <f t="shared" ref="R1473:R1478" si="951">SUM(O1473:Q1473)</f>
        <v>0</v>
      </c>
      <c r="S1473" s="39" t="s">
        <v>130</v>
      </c>
      <c r="T1473" s="39"/>
      <c r="U1473" s="39"/>
      <c r="V1473" s="39"/>
      <c r="W1473" s="39"/>
      <c r="X1473" s="39"/>
      <c r="Y1473" s="39"/>
      <c r="Z1473" s="39"/>
      <c r="AA1473" s="39"/>
      <c r="AB1473" s="118">
        <f t="shared" ref="AB1473:AB1478" si="952">SUM(Y1473:AA1473)</f>
        <v>0</v>
      </c>
      <c r="AC1473" s="39"/>
      <c r="AD1473" s="39"/>
      <c r="AE1473" s="39"/>
      <c r="AF1473" s="39"/>
      <c r="AG1473" s="39"/>
      <c r="AH1473" s="39">
        <f t="shared" si="779"/>
        <v>0</v>
      </c>
      <c r="AI1473" s="39"/>
      <c r="AJ1473" s="39"/>
      <c r="AK1473" s="39"/>
      <c r="AL1473" s="39"/>
      <c r="AM1473" s="39"/>
      <c r="AN1473" s="39">
        <f t="shared" si="778"/>
        <v>0</v>
      </c>
      <c r="AO1473" s="39"/>
      <c r="AP1473" s="39"/>
      <c r="AQ1473" s="39"/>
      <c r="AR1473" s="39"/>
      <c r="AS1473" s="39"/>
      <c r="AT1473" s="39">
        <f t="shared" si="896"/>
        <v>0</v>
      </c>
      <c r="AU1473" s="39"/>
      <c r="AV1473" s="39"/>
      <c r="AW1473" s="39"/>
      <c r="AX1473" s="39"/>
      <c r="AY1473" s="39"/>
      <c r="AZ1473" s="39">
        <f t="shared" si="897"/>
        <v>0</v>
      </c>
      <c r="BA1473" s="39"/>
      <c r="BB1473" s="39"/>
      <c r="BC1473" s="39"/>
      <c r="BD1473" s="39"/>
      <c r="BE1473" s="39"/>
      <c r="BF1473" s="39">
        <f t="shared" si="898"/>
        <v>0</v>
      </c>
      <c r="BG1473" s="39"/>
      <c r="BH1473" s="39"/>
      <c r="BI1473" s="39"/>
      <c r="BJ1473" s="39"/>
      <c r="BK1473" s="39"/>
      <c r="BL1473" s="39">
        <f t="shared" si="780"/>
        <v>0</v>
      </c>
      <c r="BM1473" s="54">
        <f t="shared" ca="1" si="899"/>
        <v>46283</v>
      </c>
      <c r="BN1473" s="58">
        <v>46266</v>
      </c>
      <c r="BO1473" s="57">
        <v>46282</v>
      </c>
      <c r="BP1473" s="36"/>
      <c r="BQ1473" s="36"/>
      <c r="BR1473" s="39"/>
      <c r="BS1473" s="39"/>
      <c r="BT1473" s="39"/>
      <c r="BU1473" s="39"/>
      <c r="BV1473" s="39"/>
      <c r="BW1473" s="39"/>
      <c r="BX1473" s="39"/>
      <c r="BY1473" s="39"/>
      <c r="BZ1473" s="39">
        <f t="shared" si="781"/>
        <v>0</v>
      </c>
      <c r="CA1473" s="39">
        <f t="shared" si="900"/>
        <v>-1080</v>
      </c>
      <c r="CB1473" s="39">
        <f t="shared" si="901"/>
        <v>0</v>
      </c>
      <c r="CC1473" s="39">
        <f t="shared" si="902"/>
        <v>-110</v>
      </c>
      <c r="CD1473" s="39">
        <f t="shared" si="782"/>
        <v>-1190</v>
      </c>
      <c r="CE1473" s="102">
        <f t="shared" si="903"/>
        <v>-1</v>
      </c>
      <c r="CF1473" s="36"/>
      <c r="CG1473" s="39" t="s">
        <v>240</v>
      </c>
      <c r="CH1473" s="39"/>
      <c r="CI1473" s="25">
        <v>1</v>
      </c>
    </row>
    <row r="1474" spans="1:87" ht="24.75" customHeight="1">
      <c r="A1474" s="36" t="s">
        <v>46</v>
      </c>
      <c r="B1474" s="30">
        <v>48520</v>
      </c>
      <c r="C1474" s="231"/>
      <c r="D1474" s="23" t="s">
        <v>82</v>
      </c>
      <c r="E1474" s="39">
        <v>260</v>
      </c>
      <c r="F1474" s="39" t="s">
        <v>58</v>
      </c>
      <c r="G1474" s="36" t="s">
        <v>2214</v>
      </c>
      <c r="H1474" s="36" t="s">
        <v>196</v>
      </c>
      <c r="I1474" s="39">
        <v>480</v>
      </c>
      <c r="J1474" s="39"/>
      <c r="K1474" s="39"/>
      <c r="L1474" s="39">
        <f t="shared" si="950"/>
        <v>480</v>
      </c>
      <c r="M1474" s="117">
        <v>46258</v>
      </c>
      <c r="N1474" s="117">
        <v>46270</v>
      </c>
      <c r="O1474" s="39"/>
      <c r="P1474" s="39"/>
      <c r="Q1474" s="39"/>
      <c r="R1474" s="39">
        <f t="shared" si="951"/>
        <v>0</v>
      </c>
      <c r="S1474" s="39" t="s">
        <v>270</v>
      </c>
      <c r="T1474" s="39"/>
      <c r="U1474" s="39"/>
      <c r="V1474" s="117" t="s">
        <v>2948</v>
      </c>
      <c r="W1474" s="39">
        <f>550+10</f>
        <v>560</v>
      </c>
      <c r="X1474" s="39"/>
      <c r="Y1474" s="39"/>
      <c r="Z1474" s="39"/>
      <c r="AA1474" s="39"/>
      <c r="AB1474" s="118">
        <f t="shared" si="952"/>
        <v>0</v>
      </c>
      <c r="AC1474" s="39"/>
      <c r="AD1474" s="39"/>
      <c r="AE1474" s="39"/>
      <c r="AF1474" s="39"/>
      <c r="AG1474" s="39"/>
      <c r="AH1474" s="39">
        <f t="shared" si="779"/>
        <v>0</v>
      </c>
      <c r="AI1474" s="39"/>
      <c r="AJ1474" s="39"/>
      <c r="AK1474" s="39"/>
      <c r="AL1474" s="39"/>
      <c r="AM1474" s="39"/>
      <c r="AN1474" s="39">
        <f t="shared" si="778"/>
        <v>0</v>
      </c>
      <c r="AO1474" s="39"/>
      <c r="AP1474" s="39"/>
      <c r="AQ1474" s="39"/>
      <c r="AR1474" s="39"/>
      <c r="AS1474" s="39"/>
      <c r="AT1474" s="39">
        <f t="shared" si="896"/>
        <v>0</v>
      </c>
      <c r="AU1474" s="39"/>
      <c r="AV1474" s="39"/>
      <c r="AW1474" s="39"/>
      <c r="AX1474" s="39"/>
      <c r="AY1474" s="39"/>
      <c r="AZ1474" s="39">
        <f t="shared" si="897"/>
        <v>0</v>
      </c>
      <c r="BA1474" s="39"/>
      <c r="BB1474" s="39"/>
      <c r="BC1474" s="39"/>
      <c r="BD1474" s="39"/>
      <c r="BE1474" s="39"/>
      <c r="BF1474" s="39">
        <f t="shared" si="898"/>
        <v>0</v>
      </c>
      <c r="BG1474" s="39"/>
      <c r="BH1474" s="39"/>
      <c r="BI1474" s="39"/>
      <c r="BJ1474" s="39"/>
      <c r="BK1474" s="39"/>
      <c r="BL1474" s="39">
        <f t="shared" si="780"/>
        <v>0</v>
      </c>
      <c r="BM1474" s="54">
        <f t="shared" ca="1" si="899"/>
        <v>46283</v>
      </c>
      <c r="BN1474" s="58">
        <v>46266</v>
      </c>
      <c r="BO1474" s="57">
        <v>46282</v>
      </c>
      <c r="BP1474" s="36"/>
      <c r="BQ1474" s="36"/>
      <c r="BR1474" s="39"/>
      <c r="BS1474" s="39"/>
      <c r="BT1474" s="39"/>
      <c r="BU1474" s="39"/>
      <c r="BV1474" s="39"/>
      <c r="BW1474" s="39"/>
      <c r="BX1474" s="39"/>
      <c r="BY1474" s="39"/>
      <c r="BZ1474" s="39">
        <f t="shared" si="781"/>
        <v>0</v>
      </c>
      <c r="CA1474" s="39">
        <f t="shared" si="900"/>
        <v>-480</v>
      </c>
      <c r="CB1474" s="39">
        <f t="shared" si="901"/>
        <v>0</v>
      </c>
      <c r="CC1474" s="39">
        <f t="shared" si="902"/>
        <v>0</v>
      </c>
      <c r="CD1474" s="39">
        <f t="shared" si="782"/>
        <v>-480</v>
      </c>
      <c r="CE1474" s="102">
        <f t="shared" si="903"/>
        <v>-1</v>
      </c>
      <c r="CF1474" s="36"/>
      <c r="CG1474" s="39" t="s">
        <v>240</v>
      </c>
      <c r="CH1474" s="39"/>
      <c r="CI1474" s="25">
        <v>1</v>
      </c>
    </row>
    <row r="1475" spans="1:87" ht="24.75" customHeight="1">
      <c r="A1475" s="36" t="s">
        <v>46</v>
      </c>
      <c r="B1475" s="30">
        <v>48520</v>
      </c>
      <c r="C1475" s="231"/>
      <c r="D1475" s="23" t="s">
        <v>82</v>
      </c>
      <c r="E1475" s="39">
        <v>260</v>
      </c>
      <c r="F1475" s="39" t="s">
        <v>58</v>
      </c>
      <c r="G1475" s="36" t="s">
        <v>434</v>
      </c>
      <c r="H1475" s="36" t="s">
        <v>196</v>
      </c>
      <c r="I1475" s="39">
        <f>1540+140</f>
        <v>1680</v>
      </c>
      <c r="J1475" s="39"/>
      <c r="K1475" s="39">
        <v>105</v>
      </c>
      <c r="L1475" s="39">
        <f t="shared" ref="L1475" si="953">SUM(I1475:K1475)</f>
        <v>1785</v>
      </c>
      <c r="M1475" s="117">
        <v>46258</v>
      </c>
      <c r="N1475" s="117">
        <v>46270</v>
      </c>
      <c r="O1475" s="39"/>
      <c r="P1475" s="39"/>
      <c r="Q1475" s="39"/>
      <c r="R1475" s="39">
        <f t="shared" si="951"/>
        <v>0</v>
      </c>
      <c r="S1475" s="39" t="s">
        <v>270</v>
      </c>
      <c r="T1475" s="39"/>
      <c r="U1475" s="39"/>
      <c r="V1475" s="117" t="s">
        <v>3087</v>
      </c>
      <c r="W1475" s="39">
        <f>1201+124+734</f>
        <v>2059</v>
      </c>
      <c r="X1475" s="39"/>
      <c r="Y1475" s="39"/>
      <c r="Z1475" s="39"/>
      <c r="AA1475" s="39"/>
      <c r="AB1475" s="118">
        <f t="shared" si="952"/>
        <v>0</v>
      </c>
      <c r="AC1475" s="39"/>
      <c r="AD1475" s="39"/>
      <c r="AE1475" s="39"/>
      <c r="AF1475" s="39"/>
      <c r="AG1475" s="39"/>
      <c r="AH1475" s="39">
        <f t="shared" si="779"/>
        <v>0</v>
      </c>
      <c r="AI1475" s="39"/>
      <c r="AJ1475" s="39"/>
      <c r="AK1475" s="39"/>
      <c r="AL1475" s="39"/>
      <c r="AM1475" s="39"/>
      <c r="AN1475" s="39">
        <f t="shared" si="778"/>
        <v>0</v>
      </c>
      <c r="AO1475" s="39"/>
      <c r="AP1475" s="39"/>
      <c r="AQ1475" s="39"/>
      <c r="AR1475" s="39"/>
      <c r="AS1475" s="39"/>
      <c r="AT1475" s="39">
        <f t="shared" si="896"/>
        <v>0</v>
      </c>
      <c r="AU1475" s="39"/>
      <c r="AV1475" s="39"/>
      <c r="AW1475" s="39"/>
      <c r="AX1475" s="39"/>
      <c r="AY1475" s="39"/>
      <c r="AZ1475" s="39">
        <f t="shared" si="897"/>
        <v>0</v>
      </c>
      <c r="BA1475" s="39"/>
      <c r="BB1475" s="39"/>
      <c r="BC1475" s="39"/>
      <c r="BD1475" s="39"/>
      <c r="BE1475" s="39"/>
      <c r="BF1475" s="39">
        <f t="shared" si="898"/>
        <v>0</v>
      </c>
      <c r="BG1475" s="39"/>
      <c r="BH1475" s="39"/>
      <c r="BI1475" s="39"/>
      <c r="BJ1475" s="39"/>
      <c r="BK1475" s="39"/>
      <c r="BL1475" s="39">
        <f t="shared" si="780"/>
        <v>0</v>
      </c>
      <c r="BM1475" s="54">
        <f t="shared" ca="1" si="899"/>
        <v>46283</v>
      </c>
      <c r="BN1475" s="58">
        <v>46266</v>
      </c>
      <c r="BO1475" s="57">
        <v>46282</v>
      </c>
      <c r="BP1475" s="36"/>
      <c r="BQ1475" s="36"/>
      <c r="BR1475" s="39"/>
      <c r="BS1475" s="39"/>
      <c r="BT1475" s="39"/>
      <c r="BU1475" s="39"/>
      <c r="BV1475" s="39"/>
      <c r="BW1475" s="39"/>
      <c r="BX1475" s="39"/>
      <c r="BY1475" s="39"/>
      <c r="BZ1475" s="39">
        <f t="shared" si="781"/>
        <v>0</v>
      </c>
      <c r="CA1475" s="39">
        <f t="shared" si="900"/>
        <v>-1680</v>
      </c>
      <c r="CB1475" s="39">
        <f t="shared" si="901"/>
        <v>0</v>
      </c>
      <c r="CC1475" s="39">
        <f t="shared" si="902"/>
        <v>-105</v>
      </c>
      <c r="CD1475" s="39">
        <f t="shared" si="782"/>
        <v>-1785</v>
      </c>
      <c r="CE1475" s="102">
        <f t="shared" si="903"/>
        <v>-1</v>
      </c>
      <c r="CF1475" s="36"/>
      <c r="CG1475" s="39" t="s">
        <v>240</v>
      </c>
      <c r="CH1475" s="39"/>
      <c r="CI1475" s="25">
        <v>1</v>
      </c>
    </row>
    <row r="1476" spans="1:87" ht="24.75" customHeight="1">
      <c r="A1476" s="36" t="s">
        <v>46</v>
      </c>
      <c r="B1476" s="30">
        <v>48520</v>
      </c>
      <c r="C1476" s="231"/>
      <c r="D1476" s="23" t="s">
        <v>82</v>
      </c>
      <c r="E1476" s="39">
        <v>260</v>
      </c>
      <c r="F1476" s="39" t="s">
        <v>58</v>
      </c>
      <c r="G1476" s="36" t="s">
        <v>438</v>
      </c>
      <c r="H1476" s="36" t="s">
        <v>196</v>
      </c>
      <c r="I1476" s="39">
        <v>1820</v>
      </c>
      <c r="J1476" s="39"/>
      <c r="K1476" s="39">
        <v>125</v>
      </c>
      <c r="L1476" s="39">
        <f t="shared" ref="L1476:L1478" si="954">SUM(I1476:K1476)</f>
        <v>1945</v>
      </c>
      <c r="M1476" s="117">
        <v>46258</v>
      </c>
      <c r="N1476" s="117">
        <v>46270</v>
      </c>
      <c r="O1476" s="39"/>
      <c r="P1476" s="39"/>
      <c r="Q1476" s="39"/>
      <c r="R1476" s="39">
        <f t="shared" si="951"/>
        <v>0</v>
      </c>
      <c r="S1476" s="39" t="s">
        <v>31</v>
      </c>
      <c r="T1476" s="39"/>
      <c r="U1476" s="39"/>
      <c r="V1476" s="117" t="s">
        <v>2813</v>
      </c>
      <c r="W1476" s="39">
        <f>1611+148+477</f>
        <v>2236</v>
      </c>
      <c r="X1476" s="39"/>
      <c r="Y1476" s="39"/>
      <c r="Z1476" s="39"/>
      <c r="AA1476" s="39"/>
      <c r="AB1476" s="118">
        <f t="shared" si="952"/>
        <v>0</v>
      </c>
      <c r="AC1476" s="39"/>
      <c r="AD1476" s="39"/>
      <c r="AE1476" s="39"/>
      <c r="AF1476" s="39"/>
      <c r="AG1476" s="39"/>
      <c r="AH1476" s="39">
        <f t="shared" si="779"/>
        <v>0</v>
      </c>
      <c r="AI1476" s="39"/>
      <c r="AJ1476" s="39"/>
      <c r="AK1476" s="39"/>
      <c r="AL1476" s="39"/>
      <c r="AM1476" s="39"/>
      <c r="AN1476" s="39">
        <f t="shared" si="778"/>
        <v>0</v>
      </c>
      <c r="AO1476" s="39"/>
      <c r="AP1476" s="39"/>
      <c r="AQ1476" s="39"/>
      <c r="AR1476" s="39"/>
      <c r="AS1476" s="39"/>
      <c r="AT1476" s="39">
        <f t="shared" si="896"/>
        <v>0</v>
      </c>
      <c r="AU1476" s="39"/>
      <c r="AV1476" s="39"/>
      <c r="AW1476" s="39"/>
      <c r="AX1476" s="39"/>
      <c r="AY1476" s="39"/>
      <c r="AZ1476" s="39">
        <f t="shared" si="897"/>
        <v>0</v>
      </c>
      <c r="BA1476" s="39"/>
      <c r="BB1476" s="39"/>
      <c r="BC1476" s="39"/>
      <c r="BD1476" s="39"/>
      <c r="BE1476" s="39"/>
      <c r="BF1476" s="39">
        <f t="shared" si="898"/>
        <v>0</v>
      </c>
      <c r="BG1476" s="39"/>
      <c r="BH1476" s="39"/>
      <c r="BI1476" s="39"/>
      <c r="BJ1476" s="39"/>
      <c r="BK1476" s="39"/>
      <c r="BL1476" s="39">
        <f t="shared" si="780"/>
        <v>0</v>
      </c>
      <c r="BM1476" s="54">
        <f t="shared" ca="1" si="899"/>
        <v>46283</v>
      </c>
      <c r="BN1476" s="58">
        <v>46266</v>
      </c>
      <c r="BO1476" s="57">
        <v>46282</v>
      </c>
      <c r="BP1476" s="36"/>
      <c r="BQ1476" s="36"/>
      <c r="BR1476" s="39"/>
      <c r="BS1476" s="39"/>
      <c r="BT1476" s="39"/>
      <c r="BU1476" s="39"/>
      <c r="BV1476" s="39"/>
      <c r="BW1476" s="39"/>
      <c r="BX1476" s="39"/>
      <c r="BY1476" s="39"/>
      <c r="BZ1476" s="39">
        <f t="shared" si="781"/>
        <v>0</v>
      </c>
      <c r="CA1476" s="39">
        <f t="shared" si="900"/>
        <v>-1820</v>
      </c>
      <c r="CB1476" s="39">
        <f t="shared" si="901"/>
        <v>0</v>
      </c>
      <c r="CC1476" s="39">
        <f t="shared" si="902"/>
        <v>-125</v>
      </c>
      <c r="CD1476" s="39">
        <f t="shared" si="782"/>
        <v>-1945</v>
      </c>
      <c r="CE1476" s="102">
        <f t="shared" si="903"/>
        <v>-1</v>
      </c>
      <c r="CF1476" s="36"/>
      <c r="CG1476" s="39" t="s">
        <v>240</v>
      </c>
      <c r="CH1476" s="39"/>
      <c r="CI1476" s="25">
        <v>1</v>
      </c>
    </row>
    <row r="1477" spans="1:87" ht="24.75" customHeight="1">
      <c r="A1477" s="36" t="s">
        <v>46</v>
      </c>
      <c r="B1477" s="30">
        <v>48520</v>
      </c>
      <c r="C1477" s="231"/>
      <c r="D1477" s="23"/>
      <c r="E1477" s="39"/>
      <c r="F1477" s="39"/>
      <c r="G1477" s="36" t="s">
        <v>2215</v>
      </c>
      <c r="H1477" s="36">
        <f>7255+7255+7255+4300+4300</f>
        <v>30365</v>
      </c>
      <c r="I1477" s="39" t="s">
        <v>328</v>
      </c>
      <c r="J1477" s="39"/>
      <c r="K1477" s="39"/>
      <c r="L1477" s="39">
        <f t="shared" si="954"/>
        <v>0</v>
      </c>
      <c r="M1477" s="117">
        <v>46258</v>
      </c>
      <c r="N1477" s="117">
        <v>46270</v>
      </c>
      <c r="O1477" s="39"/>
      <c r="P1477" s="39"/>
      <c r="Q1477" s="39"/>
      <c r="R1477" s="39">
        <f t="shared" si="951"/>
        <v>0</v>
      </c>
      <c r="S1477" s="39" t="s">
        <v>130</v>
      </c>
      <c r="T1477" s="39"/>
      <c r="U1477" s="39"/>
      <c r="V1477" s="39"/>
      <c r="W1477" s="39"/>
      <c r="X1477" s="39"/>
      <c r="Y1477" s="39"/>
      <c r="Z1477" s="39"/>
      <c r="AA1477" s="39"/>
      <c r="AB1477" s="39">
        <f t="shared" si="952"/>
        <v>0</v>
      </c>
      <c r="AC1477" s="39"/>
      <c r="AD1477" s="39"/>
      <c r="AE1477" s="39"/>
      <c r="AF1477" s="39"/>
      <c r="AG1477" s="39"/>
      <c r="AH1477" s="39">
        <f t="shared" si="779"/>
        <v>0</v>
      </c>
      <c r="AI1477" s="39"/>
      <c r="AJ1477" s="39"/>
      <c r="AK1477" s="39"/>
      <c r="AL1477" s="39"/>
      <c r="AM1477" s="39"/>
      <c r="AN1477" s="39">
        <f t="shared" si="778"/>
        <v>0</v>
      </c>
      <c r="AO1477" s="39"/>
      <c r="AP1477" s="39"/>
      <c r="AQ1477" s="39"/>
      <c r="AR1477" s="39"/>
      <c r="AS1477" s="39"/>
      <c r="AT1477" s="39">
        <f t="shared" si="896"/>
        <v>0</v>
      </c>
      <c r="AU1477" s="39"/>
      <c r="AV1477" s="39"/>
      <c r="AW1477" s="39"/>
      <c r="AX1477" s="39"/>
      <c r="AY1477" s="39"/>
      <c r="AZ1477" s="39">
        <f t="shared" si="897"/>
        <v>0</v>
      </c>
      <c r="BA1477" s="39"/>
      <c r="BB1477" s="39"/>
      <c r="BC1477" s="39"/>
      <c r="BD1477" s="39"/>
      <c r="BE1477" s="39"/>
      <c r="BF1477" s="39">
        <f t="shared" si="898"/>
        <v>0</v>
      </c>
      <c r="BG1477" s="39"/>
      <c r="BH1477" s="39"/>
      <c r="BI1477" s="39"/>
      <c r="BJ1477" s="39"/>
      <c r="BK1477" s="39"/>
      <c r="BL1477" s="39">
        <f t="shared" si="780"/>
        <v>0</v>
      </c>
      <c r="BM1477" s="54" t="e">
        <f t="shared" si="899"/>
        <v>#DIV/0!</v>
      </c>
      <c r="BN1477" s="58">
        <v>46266</v>
      </c>
      <c r="BO1477" s="57">
        <v>46282</v>
      </c>
      <c r="BP1477" s="36"/>
      <c r="BQ1477" s="36"/>
      <c r="BR1477" s="39"/>
      <c r="BS1477" s="39"/>
      <c r="BT1477" s="39"/>
      <c r="BU1477" s="39"/>
      <c r="BV1477" s="39"/>
      <c r="BW1477" s="39"/>
      <c r="BX1477" s="39"/>
      <c r="BY1477" s="39"/>
      <c r="BZ1477" s="39">
        <f t="shared" si="781"/>
        <v>0</v>
      </c>
      <c r="CA1477" s="39" t="e">
        <f t="shared" si="900"/>
        <v>#VALUE!</v>
      </c>
      <c r="CB1477" s="39">
        <f t="shared" si="901"/>
        <v>0</v>
      </c>
      <c r="CC1477" s="39">
        <f t="shared" si="902"/>
        <v>0</v>
      </c>
      <c r="CD1477" s="39">
        <f t="shared" si="782"/>
        <v>0</v>
      </c>
      <c r="CE1477" s="102" t="e">
        <f t="shared" si="903"/>
        <v>#DIV/0!</v>
      </c>
      <c r="CF1477" s="36"/>
      <c r="CG1477" s="39" t="s">
        <v>240</v>
      </c>
      <c r="CH1477" s="39"/>
      <c r="CI1477" s="25">
        <v>1</v>
      </c>
    </row>
    <row r="1478" spans="1:87" ht="24.75" customHeight="1">
      <c r="A1478" s="36" t="s">
        <v>46</v>
      </c>
      <c r="B1478" s="30">
        <v>48520</v>
      </c>
      <c r="C1478" s="228"/>
      <c r="D1478" s="23"/>
      <c r="E1478" s="39"/>
      <c r="F1478" s="39"/>
      <c r="G1478" s="36" t="s">
        <v>2215</v>
      </c>
      <c r="H1478" s="36">
        <v>4300</v>
      </c>
      <c r="I1478" s="39" t="s">
        <v>199</v>
      </c>
      <c r="J1478" s="39"/>
      <c r="K1478" s="39"/>
      <c r="L1478" s="39">
        <f t="shared" si="954"/>
        <v>0</v>
      </c>
      <c r="M1478" s="117">
        <v>46258</v>
      </c>
      <c r="N1478" s="117">
        <v>46270</v>
      </c>
      <c r="O1478" s="39"/>
      <c r="P1478" s="39"/>
      <c r="Q1478" s="39"/>
      <c r="R1478" s="39">
        <f t="shared" si="951"/>
        <v>0</v>
      </c>
      <c r="S1478" s="39" t="s">
        <v>130</v>
      </c>
      <c r="T1478" s="39"/>
      <c r="U1478" s="117"/>
      <c r="V1478" s="39"/>
      <c r="W1478" s="39"/>
      <c r="X1478" s="39"/>
      <c r="Y1478" s="39"/>
      <c r="Z1478" s="39"/>
      <c r="AA1478" s="39"/>
      <c r="AB1478" s="39">
        <f t="shared" si="952"/>
        <v>0</v>
      </c>
      <c r="AC1478" s="39"/>
      <c r="AD1478" s="39"/>
      <c r="AE1478" s="39"/>
      <c r="AF1478" s="39"/>
      <c r="AG1478" s="39"/>
      <c r="AH1478" s="39">
        <f t="shared" si="779"/>
        <v>0</v>
      </c>
      <c r="AI1478" s="39"/>
      <c r="AJ1478" s="39"/>
      <c r="AK1478" s="39"/>
      <c r="AL1478" s="39"/>
      <c r="AM1478" s="39"/>
      <c r="AN1478" s="39">
        <f t="shared" si="778"/>
        <v>0</v>
      </c>
      <c r="AO1478" s="39"/>
      <c r="AP1478" s="39"/>
      <c r="AQ1478" s="39"/>
      <c r="AR1478" s="39"/>
      <c r="AS1478" s="39"/>
      <c r="AT1478" s="39">
        <f t="shared" si="896"/>
        <v>0</v>
      </c>
      <c r="AU1478" s="39"/>
      <c r="AV1478" s="39"/>
      <c r="AW1478" s="39"/>
      <c r="AX1478" s="39"/>
      <c r="AY1478" s="39"/>
      <c r="AZ1478" s="39">
        <f t="shared" si="897"/>
        <v>0</v>
      </c>
      <c r="BA1478" s="39"/>
      <c r="BB1478" s="39"/>
      <c r="BC1478" s="39"/>
      <c r="BD1478" s="39"/>
      <c r="BE1478" s="39"/>
      <c r="BF1478" s="39">
        <f t="shared" si="898"/>
        <v>0</v>
      </c>
      <c r="BG1478" s="39"/>
      <c r="BH1478" s="39"/>
      <c r="BI1478" s="39"/>
      <c r="BJ1478" s="39"/>
      <c r="BK1478" s="39"/>
      <c r="BL1478" s="39">
        <f t="shared" si="780"/>
        <v>0</v>
      </c>
      <c r="BM1478" s="54" t="e">
        <f t="shared" si="899"/>
        <v>#DIV/0!</v>
      </c>
      <c r="BN1478" s="58">
        <v>46266</v>
      </c>
      <c r="BO1478" s="57">
        <v>46282</v>
      </c>
      <c r="BP1478" s="36"/>
      <c r="BQ1478" s="36"/>
      <c r="BR1478" s="39"/>
      <c r="BS1478" s="39"/>
      <c r="BT1478" s="39"/>
      <c r="BU1478" s="39"/>
      <c r="BV1478" s="39"/>
      <c r="BW1478" s="39"/>
      <c r="BX1478" s="39"/>
      <c r="BY1478" s="39"/>
      <c r="BZ1478" s="39">
        <f t="shared" si="781"/>
        <v>0</v>
      </c>
      <c r="CA1478" s="39" t="e">
        <f t="shared" si="900"/>
        <v>#VALUE!</v>
      </c>
      <c r="CB1478" s="39">
        <f t="shared" si="901"/>
        <v>0</v>
      </c>
      <c r="CC1478" s="39">
        <f t="shared" si="902"/>
        <v>0</v>
      </c>
      <c r="CD1478" s="39">
        <f t="shared" si="782"/>
        <v>0</v>
      </c>
      <c r="CE1478" s="102" t="e">
        <f t="shared" si="903"/>
        <v>#DIV/0!</v>
      </c>
      <c r="CF1478" s="36"/>
      <c r="CG1478" s="39" t="s">
        <v>240</v>
      </c>
      <c r="CH1478" s="39"/>
      <c r="CI1478" s="25">
        <v>1</v>
      </c>
    </row>
    <row r="1479" spans="1:87" ht="24.75" customHeight="1">
      <c r="A1479" s="36" t="s">
        <v>46</v>
      </c>
      <c r="B1479" s="30">
        <v>48336</v>
      </c>
      <c r="C1479" s="227" t="s">
        <v>2238</v>
      </c>
      <c r="D1479" s="23"/>
      <c r="E1479" s="39">
        <v>140</v>
      </c>
      <c r="F1479" s="39" t="s">
        <v>57</v>
      </c>
      <c r="G1479" s="36" t="s">
        <v>2239</v>
      </c>
      <c r="H1479" s="36" t="s">
        <v>22</v>
      </c>
      <c r="I1479" s="39">
        <f>1318+116</f>
        <v>1434</v>
      </c>
      <c r="J1479" s="39">
        <v>116</v>
      </c>
      <c r="K1479" s="39"/>
      <c r="L1479" s="39">
        <f t="shared" ref="L1479:L1483" si="955">SUM(I1479:K1479)</f>
        <v>1550</v>
      </c>
      <c r="M1479" s="117">
        <v>46252</v>
      </c>
      <c r="N1479" s="117">
        <v>46275</v>
      </c>
      <c r="O1479" s="39"/>
      <c r="P1479" s="39"/>
      <c r="Q1479" s="39"/>
      <c r="R1479" s="39">
        <f t="shared" ref="R1479:R1491" si="956">SUM(O1479:Q1479)</f>
        <v>0</v>
      </c>
      <c r="S1479" s="39" t="s">
        <v>31</v>
      </c>
      <c r="T1479" s="39"/>
      <c r="U1479" s="39"/>
      <c r="V1479" s="117">
        <v>46256</v>
      </c>
      <c r="W1479" s="39">
        <f>1634+137</f>
        <v>1771</v>
      </c>
      <c r="X1479" s="117" t="s">
        <v>2850</v>
      </c>
      <c r="Y1479" s="39">
        <f>395+913+120</f>
        <v>1428</v>
      </c>
      <c r="Z1479" s="39">
        <f>39+83</f>
        <v>122</v>
      </c>
      <c r="AA1479" s="39"/>
      <c r="AB1479" s="119">
        <f t="shared" ref="AB1479:AB1491" si="957">SUM(Y1479:AA1479)</f>
        <v>1550</v>
      </c>
      <c r="AC1479" s="39"/>
      <c r="AD1479" s="39"/>
      <c r="AE1479" s="39"/>
      <c r="AF1479" s="39"/>
      <c r="AG1479" s="39"/>
      <c r="AH1479" s="39">
        <f t="shared" si="779"/>
        <v>0</v>
      </c>
      <c r="AI1479" s="39"/>
      <c r="AJ1479" s="39"/>
      <c r="AK1479" s="39"/>
      <c r="AL1479" s="39"/>
      <c r="AM1479" s="39"/>
      <c r="AN1479" s="39">
        <f t="shared" si="778"/>
        <v>0</v>
      </c>
      <c r="AO1479" s="39"/>
      <c r="AP1479" s="39"/>
      <c r="AQ1479" s="39"/>
      <c r="AR1479" s="39"/>
      <c r="AS1479" s="39"/>
      <c r="AT1479" s="39">
        <f t="shared" si="896"/>
        <v>0</v>
      </c>
      <c r="AU1479" s="39"/>
      <c r="AV1479" s="39"/>
      <c r="AW1479" s="39"/>
      <c r="AX1479" s="39"/>
      <c r="AY1479" s="39"/>
      <c r="AZ1479" s="39">
        <f t="shared" si="897"/>
        <v>0</v>
      </c>
      <c r="BA1479" s="39"/>
      <c r="BB1479" s="39"/>
      <c r="BC1479" s="39"/>
      <c r="BD1479" s="39"/>
      <c r="BE1479" s="39"/>
      <c r="BF1479" s="39">
        <f t="shared" si="898"/>
        <v>0</v>
      </c>
      <c r="BG1479" s="39"/>
      <c r="BH1479" s="39"/>
      <c r="BI1479" s="39"/>
      <c r="BJ1479" s="39"/>
      <c r="BK1479" s="39"/>
      <c r="BL1479" s="39">
        <f t="shared" si="780"/>
        <v>0</v>
      </c>
      <c r="BM1479" s="54" t="str">
        <f t="shared" si="899"/>
        <v/>
      </c>
      <c r="BN1479" s="58">
        <v>46270</v>
      </c>
      <c r="BO1479" s="57">
        <v>46295</v>
      </c>
      <c r="BP1479" s="57"/>
      <c r="BQ1479" s="57"/>
      <c r="BR1479" s="117">
        <v>46267</v>
      </c>
      <c r="BS1479" s="117">
        <v>46272</v>
      </c>
      <c r="BT1479" s="39" t="s">
        <v>2863</v>
      </c>
      <c r="BU1479" s="39">
        <f>395+913+120</f>
        <v>1428</v>
      </c>
      <c r="BV1479" s="39" t="s">
        <v>2862</v>
      </c>
      <c r="BW1479" s="39">
        <f>39+83</f>
        <v>122</v>
      </c>
      <c r="BX1479" s="39"/>
      <c r="BY1479" s="39"/>
      <c r="BZ1479" s="39">
        <f t="shared" si="781"/>
        <v>1550</v>
      </c>
      <c r="CA1479" s="39">
        <f t="shared" si="900"/>
        <v>-6</v>
      </c>
      <c r="CB1479" s="39">
        <f t="shared" si="901"/>
        <v>6</v>
      </c>
      <c r="CC1479" s="39">
        <f t="shared" si="902"/>
        <v>0</v>
      </c>
      <c r="CD1479" s="39">
        <v>0</v>
      </c>
      <c r="CE1479" s="102">
        <f t="shared" si="903"/>
        <v>0</v>
      </c>
      <c r="CF1479" s="36"/>
      <c r="CG1479" s="39" t="s">
        <v>245</v>
      </c>
      <c r="CH1479" s="39"/>
      <c r="CI1479" s="25">
        <v>1</v>
      </c>
    </row>
    <row r="1480" spans="1:87" ht="24.75" customHeight="1">
      <c r="A1480" s="36" t="s">
        <v>46</v>
      </c>
      <c r="B1480" s="30">
        <v>48336</v>
      </c>
      <c r="C1480" s="231"/>
      <c r="D1480" s="23" t="s">
        <v>37</v>
      </c>
      <c r="E1480" s="39">
        <v>140</v>
      </c>
      <c r="F1480" s="39" t="s">
        <v>57</v>
      </c>
      <c r="G1480" s="36" t="s">
        <v>2908</v>
      </c>
      <c r="H1480" s="36" t="s">
        <v>22</v>
      </c>
      <c r="I1480" s="39">
        <v>1163</v>
      </c>
      <c r="J1480" s="39"/>
      <c r="K1480" s="39"/>
      <c r="L1480" s="39">
        <f t="shared" si="955"/>
        <v>1163</v>
      </c>
      <c r="M1480" s="117">
        <v>46252</v>
      </c>
      <c r="N1480" s="117">
        <v>46275</v>
      </c>
      <c r="O1480" s="39"/>
      <c r="P1480" s="39"/>
      <c r="Q1480" s="39"/>
      <c r="R1480" s="39">
        <f t="shared" si="956"/>
        <v>0</v>
      </c>
      <c r="S1480" s="39" t="s">
        <v>130</v>
      </c>
      <c r="T1480" s="39" t="s">
        <v>2773</v>
      </c>
      <c r="U1480" s="117">
        <v>46268</v>
      </c>
      <c r="V1480" s="39"/>
      <c r="W1480" s="39"/>
      <c r="X1480" s="39"/>
      <c r="Y1480" s="39">
        <f>850+853-370</f>
        <v>1333</v>
      </c>
      <c r="Z1480" s="39"/>
      <c r="AA1480" s="39"/>
      <c r="AB1480" s="119">
        <f t="shared" si="957"/>
        <v>1333</v>
      </c>
      <c r="AC1480" s="39" t="s">
        <v>139</v>
      </c>
      <c r="AD1480" s="117" t="s">
        <v>2816</v>
      </c>
      <c r="AE1480" s="39">
        <f>679+480</f>
        <v>1159</v>
      </c>
      <c r="AF1480" s="117"/>
      <c r="AG1480" s="39"/>
      <c r="AH1480" s="39">
        <f t="shared" si="779"/>
        <v>-1159</v>
      </c>
      <c r="AI1480" s="39"/>
      <c r="AJ1480" s="39"/>
      <c r="AK1480" s="39"/>
      <c r="AL1480" s="39"/>
      <c r="AM1480" s="39"/>
      <c r="AN1480" s="39">
        <f t="shared" si="778"/>
        <v>0</v>
      </c>
      <c r="AO1480" s="39"/>
      <c r="AP1480" s="39"/>
      <c r="AQ1480" s="39"/>
      <c r="AR1480" s="39"/>
      <c r="AS1480" s="39"/>
      <c r="AT1480" s="39">
        <f t="shared" si="896"/>
        <v>0</v>
      </c>
      <c r="AU1480" s="39"/>
      <c r="AV1480" s="39"/>
      <c r="AW1480" s="39"/>
      <c r="AX1480" s="39"/>
      <c r="AY1480" s="39"/>
      <c r="AZ1480" s="39">
        <f t="shared" si="897"/>
        <v>0</v>
      </c>
      <c r="BA1480" s="39"/>
      <c r="BB1480" s="39"/>
      <c r="BC1480" s="39"/>
      <c r="BD1480" s="39"/>
      <c r="BE1480" s="39"/>
      <c r="BF1480" s="39">
        <f t="shared" si="898"/>
        <v>0</v>
      </c>
      <c r="BG1480" s="39"/>
      <c r="BH1480" s="39"/>
      <c r="BI1480" s="39"/>
      <c r="BJ1480" s="39"/>
      <c r="BK1480" s="39"/>
      <c r="BL1480" s="39">
        <f t="shared" si="780"/>
        <v>0</v>
      </c>
      <c r="BM1480" s="54">
        <f t="shared" ca="1" si="899"/>
        <v>15</v>
      </c>
      <c r="BN1480" s="58">
        <v>46270</v>
      </c>
      <c r="BO1480" s="57">
        <v>46295</v>
      </c>
      <c r="BP1480" s="57">
        <v>46286</v>
      </c>
      <c r="BQ1480" s="57">
        <v>46303</v>
      </c>
      <c r="BR1480" s="39"/>
      <c r="BS1480" s="39"/>
      <c r="BT1480" s="39"/>
      <c r="BU1480" s="39"/>
      <c r="BV1480" s="39"/>
      <c r="BW1480" s="39"/>
      <c r="BX1480" s="39"/>
      <c r="BY1480" s="39"/>
      <c r="BZ1480" s="39">
        <f t="shared" si="781"/>
        <v>0</v>
      </c>
      <c r="CA1480" s="39">
        <f t="shared" si="900"/>
        <v>-1163</v>
      </c>
      <c r="CB1480" s="39">
        <f t="shared" si="901"/>
        <v>0</v>
      </c>
      <c r="CC1480" s="39">
        <f t="shared" si="902"/>
        <v>0</v>
      </c>
      <c r="CD1480" s="39">
        <f t="shared" si="782"/>
        <v>-1163</v>
      </c>
      <c r="CE1480" s="102">
        <f t="shared" si="903"/>
        <v>-1</v>
      </c>
      <c r="CF1480" s="36"/>
      <c r="CG1480" s="39" t="s">
        <v>245</v>
      </c>
      <c r="CH1480" s="39"/>
      <c r="CI1480" s="25">
        <v>1</v>
      </c>
    </row>
    <row r="1481" spans="1:87" ht="24.75" customHeight="1">
      <c r="A1481" s="36" t="s">
        <v>46</v>
      </c>
      <c r="B1481" s="30">
        <v>48336</v>
      </c>
      <c r="C1481" s="231"/>
      <c r="D1481" s="23"/>
      <c r="E1481" s="39">
        <v>140</v>
      </c>
      <c r="F1481" s="39" t="s">
        <v>57</v>
      </c>
      <c r="G1481" s="36" t="s">
        <v>490</v>
      </c>
      <c r="H1481" s="36" t="s">
        <v>22</v>
      </c>
      <c r="I1481" s="39">
        <f>1339+118</f>
        <v>1457</v>
      </c>
      <c r="J1481" s="39">
        <v>118</v>
      </c>
      <c r="K1481" s="39"/>
      <c r="L1481" s="39">
        <f t="shared" si="955"/>
        <v>1575</v>
      </c>
      <c r="M1481" s="117">
        <v>46252</v>
      </c>
      <c r="N1481" s="117">
        <v>46275</v>
      </c>
      <c r="O1481" s="39"/>
      <c r="P1481" s="39"/>
      <c r="Q1481" s="39"/>
      <c r="R1481" s="39">
        <f t="shared" si="956"/>
        <v>0</v>
      </c>
      <c r="S1481" s="39" t="s">
        <v>130</v>
      </c>
      <c r="T1481" s="39" t="s">
        <v>2589</v>
      </c>
      <c r="U1481" s="117" t="s">
        <v>2584</v>
      </c>
      <c r="V1481" s="39"/>
      <c r="W1481" s="39"/>
      <c r="X1481" s="39"/>
      <c r="Y1481" s="39">
        <f>1060+601</f>
        <v>1661</v>
      </c>
      <c r="Z1481" s="39">
        <f>86+56</f>
        <v>142</v>
      </c>
      <c r="AA1481" s="39"/>
      <c r="AB1481" s="119">
        <f t="shared" si="957"/>
        <v>1803</v>
      </c>
      <c r="AC1481" s="39"/>
      <c r="AD1481" s="39"/>
      <c r="AE1481" s="39"/>
      <c r="AF1481" s="39"/>
      <c r="AG1481" s="39"/>
      <c r="AH1481" s="39">
        <f t="shared" si="779"/>
        <v>0</v>
      </c>
      <c r="AI1481" s="39"/>
      <c r="AJ1481" s="39"/>
      <c r="AK1481" s="39"/>
      <c r="AL1481" s="39"/>
      <c r="AM1481" s="39"/>
      <c r="AN1481" s="39">
        <f t="shared" si="778"/>
        <v>0</v>
      </c>
      <c r="AO1481" s="39"/>
      <c r="AP1481" s="39"/>
      <c r="AQ1481" s="39"/>
      <c r="AR1481" s="39"/>
      <c r="AS1481" s="39"/>
      <c r="AT1481" s="39">
        <f t="shared" si="896"/>
        <v>0</v>
      </c>
      <c r="AU1481" s="39"/>
      <c r="AV1481" s="39"/>
      <c r="AW1481" s="39"/>
      <c r="AX1481" s="39"/>
      <c r="AY1481" s="39"/>
      <c r="AZ1481" s="39">
        <f t="shared" si="897"/>
        <v>0</v>
      </c>
      <c r="BA1481" s="39"/>
      <c r="BB1481" s="39"/>
      <c r="BC1481" s="39"/>
      <c r="BD1481" s="39"/>
      <c r="BE1481" s="39"/>
      <c r="BF1481" s="39">
        <f t="shared" si="898"/>
        <v>0</v>
      </c>
      <c r="BG1481" s="39"/>
      <c r="BH1481" s="39"/>
      <c r="BI1481" s="39"/>
      <c r="BJ1481" s="39"/>
      <c r="BK1481" s="39"/>
      <c r="BL1481" s="39">
        <f t="shared" si="780"/>
        <v>0</v>
      </c>
      <c r="BM1481" s="54" t="str">
        <f t="shared" si="899"/>
        <v/>
      </c>
      <c r="BN1481" s="58">
        <v>46270</v>
      </c>
      <c r="BO1481" s="57">
        <v>46295</v>
      </c>
      <c r="BP1481" s="57"/>
      <c r="BQ1481" s="57"/>
      <c r="BR1481" s="117">
        <v>46262</v>
      </c>
      <c r="BS1481" s="117">
        <v>46262</v>
      </c>
      <c r="BT1481" s="39" t="s">
        <v>2641</v>
      </c>
      <c r="BU1481" s="39">
        <f>548+962</f>
        <v>1510</v>
      </c>
      <c r="BV1481" s="39" t="s">
        <v>2641</v>
      </c>
      <c r="BW1481" s="39">
        <f>54+77</f>
        <v>131</v>
      </c>
      <c r="BX1481" s="39"/>
      <c r="BY1481" s="39"/>
      <c r="BZ1481" s="39">
        <f t="shared" si="781"/>
        <v>1641</v>
      </c>
      <c r="CA1481" s="39">
        <f t="shared" si="900"/>
        <v>53</v>
      </c>
      <c r="CB1481" s="39">
        <f t="shared" si="901"/>
        <v>13</v>
      </c>
      <c r="CC1481" s="39">
        <f t="shared" si="902"/>
        <v>0</v>
      </c>
      <c r="CD1481" s="39">
        <f t="shared" si="782"/>
        <v>0</v>
      </c>
      <c r="CE1481" s="102">
        <f t="shared" si="903"/>
        <v>0</v>
      </c>
      <c r="CF1481" s="36"/>
      <c r="CG1481" s="39" t="s">
        <v>245</v>
      </c>
      <c r="CH1481" s="39"/>
      <c r="CI1481" s="25">
        <v>1</v>
      </c>
    </row>
    <row r="1482" spans="1:87" ht="24.75" customHeight="1">
      <c r="A1482" s="36" t="s">
        <v>46</v>
      </c>
      <c r="B1482" s="30">
        <v>48336</v>
      </c>
      <c r="C1482" s="231"/>
      <c r="D1482" s="23" t="s">
        <v>37</v>
      </c>
      <c r="E1482" s="39">
        <v>140</v>
      </c>
      <c r="F1482" s="39" t="s">
        <v>57</v>
      </c>
      <c r="G1482" s="36" t="s">
        <v>2909</v>
      </c>
      <c r="H1482" s="36" t="s">
        <v>22</v>
      </c>
      <c r="I1482" s="39">
        <v>1182</v>
      </c>
      <c r="J1482" s="39"/>
      <c r="K1482" s="39"/>
      <c r="L1482" s="39">
        <f t="shared" si="955"/>
        <v>1182</v>
      </c>
      <c r="M1482" s="117">
        <v>46252</v>
      </c>
      <c r="N1482" s="117">
        <v>46275</v>
      </c>
      <c r="O1482" s="39"/>
      <c r="P1482" s="39"/>
      <c r="Q1482" s="39"/>
      <c r="R1482" s="39">
        <f t="shared" si="956"/>
        <v>0</v>
      </c>
      <c r="S1482" s="39" t="s">
        <v>130</v>
      </c>
      <c r="T1482" s="39">
        <v>109183</v>
      </c>
      <c r="U1482" s="117">
        <v>46268</v>
      </c>
      <c r="V1482" s="39"/>
      <c r="W1482" s="39"/>
      <c r="X1482" s="39"/>
      <c r="Y1482" s="39">
        <f>370+792+200</f>
        <v>1362</v>
      </c>
      <c r="Z1482" s="39"/>
      <c r="AA1482" s="39"/>
      <c r="AB1482" s="119">
        <f t="shared" si="957"/>
        <v>1362</v>
      </c>
      <c r="AC1482" s="39" t="s">
        <v>139</v>
      </c>
      <c r="AD1482" s="117" t="s">
        <v>3015</v>
      </c>
      <c r="AE1482" s="39">
        <f>701+236+245</f>
        <v>1182</v>
      </c>
      <c r="AF1482" s="117">
        <v>46277</v>
      </c>
      <c r="AG1482" s="39">
        <f>178+255+722</f>
        <v>1155</v>
      </c>
      <c r="AH1482" s="39">
        <f t="shared" si="779"/>
        <v>-27</v>
      </c>
      <c r="AI1482" s="39"/>
      <c r="AJ1482" s="39"/>
      <c r="AK1482" s="39"/>
      <c r="AL1482" s="39"/>
      <c r="AM1482" s="39"/>
      <c r="AN1482" s="39">
        <f t="shared" si="778"/>
        <v>0</v>
      </c>
      <c r="AO1482" s="39"/>
      <c r="AP1482" s="39"/>
      <c r="AQ1482" s="39"/>
      <c r="AR1482" s="39"/>
      <c r="AS1482" s="39"/>
      <c r="AT1482" s="39">
        <f t="shared" si="896"/>
        <v>0</v>
      </c>
      <c r="AU1482" s="39"/>
      <c r="AV1482" s="39"/>
      <c r="AW1482" s="39"/>
      <c r="AX1482" s="39"/>
      <c r="AY1482" s="39"/>
      <c r="AZ1482" s="39">
        <f t="shared" si="897"/>
        <v>0</v>
      </c>
      <c r="BA1482" s="39"/>
      <c r="BB1482" s="39"/>
      <c r="BC1482" s="39"/>
      <c r="BD1482" s="39"/>
      <c r="BE1482" s="39"/>
      <c r="BF1482" s="39">
        <f t="shared" si="898"/>
        <v>0</v>
      </c>
      <c r="BG1482" s="39"/>
      <c r="BH1482" s="39"/>
      <c r="BI1482" s="39"/>
      <c r="BJ1482" s="39"/>
      <c r="BK1482" s="39"/>
      <c r="BL1482" s="39">
        <f t="shared" si="780"/>
        <v>0</v>
      </c>
      <c r="BM1482" s="54" t="str">
        <f t="shared" si="899"/>
        <v/>
      </c>
      <c r="BN1482" s="58">
        <v>46270</v>
      </c>
      <c r="BO1482" s="57">
        <v>46295</v>
      </c>
      <c r="BP1482" s="57">
        <v>46286</v>
      </c>
      <c r="BQ1482" s="57">
        <v>46303</v>
      </c>
      <c r="BR1482" s="117">
        <v>46279</v>
      </c>
      <c r="BS1482" s="117">
        <v>46279</v>
      </c>
      <c r="BT1482" s="39" t="s">
        <v>3013</v>
      </c>
      <c r="BU1482" s="39">
        <f>41+137+59+656+59+188</f>
        <v>1140</v>
      </c>
      <c r="BV1482" s="39"/>
      <c r="BW1482" s="39"/>
      <c r="BX1482" s="39"/>
      <c r="BY1482" s="39"/>
      <c r="BZ1482" s="39">
        <f t="shared" si="781"/>
        <v>1140</v>
      </c>
      <c r="CA1482" s="39">
        <f t="shared" si="900"/>
        <v>-42</v>
      </c>
      <c r="CB1482" s="39">
        <f t="shared" si="901"/>
        <v>0</v>
      </c>
      <c r="CC1482" s="39">
        <f t="shared" si="902"/>
        <v>0</v>
      </c>
      <c r="CD1482" s="39">
        <v>0</v>
      </c>
      <c r="CE1482" s="102">
        <f t="shared" si="903"/>
        <v>0</v>
      </c>
      <c r="CF1482" s="36"/>
      <c r="CG1482" s="39" t="s">
        <v>245</v>
      </c>
      <c r="CH1482" s="39"/>
      <c r="CI1482" s="25">
        <v>1</v>
      </c>
    </row>
    <row r="1483" spans="1:87" ht="24.75" customHeight="1">
      <c r="A1483" s="36" t="s">
        <v>46</v>
      </c>
      <c r="B1483" s="30">
        <v>48336</v>
      </c>
      <c r="C1483" s="231"/>
      <c r="D1483" s="23"/>
      <c r="E1483" s="39">
        <v>140</v>
      </c>
      <c r="F1483" s="39" t="s">
        <v>57</v>
      </c>
      <c r="G1483" s="36" t="s">
        <v>93</v>
      </c>
      <c r="H1483" s="36" t="s">
        <v>22</v>
      </c>
      <c r="I1483" s="39">
        <v>1335</v>
      </c>
      <c r="J1483" s="39">
        <v>118</v>
      </c>
      <c r="K1483" s="39"/>
      <c r="L1483" s="39">
        <f t="shared" si="955"/>
        <v>1453</v>
      </c>
      <c r="M1483" s="117">
        <v>46252</v>
      </c>
      <c r="N1483" s="117">
        <v>46275</v>
      </c>
      <c r="O1483" s="39"/>
      <c r="P1483" s="39"/>
      <c r="Q1483" s="39"/>
      <c r="R1483" s="39">
        <f t="shared" si="956"/>
        <v>0</v>
      </c>
      <c r="S1483" s="39" t="s">
        <v>130</v>
      </c>
      <c r="T1483" s="39" t="s">
        <v>2967</v>
      </c>
      <c r="U1483" s="117" t="s">
        <v>2968</v>
      </c>
      <c r="V1483" s="39"/>
      <c r="W1483" s="39"/>
      <c r="X1483" s="39"/>
      <c r="Y1483" s="39">
        <f>794+792</f>
        <v>1586</v>
      </c>
      <c r="Z1483" s="39">
        <f>67+64</f>
        <v>131</v>
      </c>
      <c r="AA1483" s="39"/>
      <c r="AB1483" s="119">
        <f t="shared" si="957"/>
        <v>1717</v>
      </c>
      <c r="AC1483" s="39"/>
      <c r="AD1483" s="39"/>
      <c r="AE1483" s="39"/>
      <c r="AF1483" s="39"/>
      <c r="AG1483" s="39"/>
      <c r="AH1483" s="39">
        <f t="shared" si="779"/>
        <v>0</v>
      </c>
      <c r="AI1483" s="39"/>
      <c r="AJ1483" s="39"/>
      <c r="AK1483" s="39"/>
      <c r="AL1483" s="39"/>
      <c r="AM1483" s="39"/>
      <c r="AN1483" s="39">
        <f t="shared" si="778"/>
        <v>0</v>
      </c>
      <c r="AO1483" s="39"/>
      <c r="AP1483" s="39"/>
      <c r="AQ1483" s="39"/>
      <c r="AR1483" s="39"/>
      <c r="AS1483" s="39"/>
      <c r="AT1483" s="39">
        <f t="shared" si="896"/>
        <v>0</v>
      </c>
      <c r="AU1483" s="39"/>
      <c r="AV1483" s="39"/>
      <c r="AW1483" s="39"/>
      <c r="AX1483" s="39"/>
      <c r="AY1483" s="39"/>
      <c r="AZ1483" s="39">
        <f t="shared" si="897"/>
        <v>0</v>
      </c>
      <c r="BA1483" s="39"/>
      <c r="BB1483" s="39"/>
      <c r="BC1483" s="39"/>
      <c r="BD1483" s="39"/>
      <c r="BE1483" s="39"/>
      <c r="BF1483" s="39">
        <f t="shared" si="898"/>
        <v>0</v>
      </c>
      <c r="BG1483" s="39"/>
      <c r="BH1483" s="39"/>
      <c r="BI1483" s="39"/>
      <c r="BJ1483" s="39"/>
      <c r="BK1483" s="39"/>
      <c r="BL1483" s="39">
        <f t="shared" si="780"/>
        <v>0</v>
      </c>
      <c r="BM1483" s="54" t="str">
        <f t="shared" si="899"/>
        <v/>
      </c>
      <c r="BN1483" s="58">
        <v>46270</v>
      </c>
      <c r="BO1483" s="57">
        <v>46295</v>
      </c>
      <c r="BP1483" s="57"/>
      <c r="BQ1483" s="57"/>
      <c r="BR1483" s="117">
        <v>46272</v>
      </c>
      <c r="BS1483" s="39"/>
      <c r="BT1483" s="39" t="s">
        <v>2979</v>
      </c>
      <c r="BU1483" s="39">
        <f>663+721-49</f>
        <v>1335</v>
      </c>
      <c r="BV1483" s="39">
        <v>912</v>
      </c>
      <c r="BW1483" s="39">
        <f>36+39+60</f>
        <v>135</v>
      </c>
      <c r="BX1483" s="39"/>
      <c r="BY1483" s="39"/>
      <c r="BZ1483" s="39">
        <f t="shared" si="781"/>
        <v>1470</v>
      </c>
      <c r="CA1483" s="39">
        <f t="shared" si="900"/>
        <v>0</v>
      </c>
      <c r="CB1483" s="39">
        <f t="shared" si="901"/>
        <v>17</v>
      </c>
      <c r="CC1483" s="39">
        <f t="shared" si="902"/>
        <v>0</v>
      </c>
      <c r="CD1483" s="39">
        <f t="shared" si="782"/>
        <v>0</v>
      </c>
      <c r="CE1483" s="102">
        <f t="shared" si="903"/>
        <v>0</v>
      </c>
      <c r="CF1483" s="36"/>
      <c r="CG1483" s="39" t="s">
        <v>245</v>
      </c>
      <c r="CH1483" s="39" t="s">
        <v>114</v>
      </c>
      <c r="CI1483" s="25">
        <v>1</v>
      </c>
    </row>
    <row r="1484" spans="1:87" ht="24.75" customHeight="1">
      <c r="A1484" s="36" t="s">
        <v>46</v>
      </c>
      <c r="B1484" s="30">
        <v>48336</v>
      </c>
      <c r="C1484" s="231"/>
      <c r="D1484" s="23" t="s">
        <v>37</v>
      </c>
      <c r="E1484" s="39">
        <v>140</v>
      </c>
      <c r="F1484" s="39" t="s">
        <v>57</v>
      </c>
      <c r="G1484" s="36" t="s">
        <v>2910</v>
      </c>
      <c r="H1484" s="36" t="s">
        <v>22</v>
      </c>
      <c r="I1484" s="39">
        <v>1178</v>
      </c>
      <c r="J1484" s="39"/>
      <c r="K1484" s="39"/>
      <c r="L1484" s="39">
        <f t="shared" ref="L1484:L1491" si="958">SUM(I1484:K1484)</f>
        <v>1178</v>
      </c>
      <c r="M1484" s="117">
        <v>46252</v>
      </c>
      <c r="N1484" s="117">
        <v>46275</v>
      </c>
      <c r="O1484" s="39"/>
      <c r="P1484" s="39"/>
      <c r="Q1484" s="39"/>
      <c r="R1484" s="39">
        <f t="shared" si="956"/>
        <v>0</v>
      </c>
      <c r="S1484" s="39" t="s">
        <v>130</v>
      </c>
      <c r="T1484" s="39" t="s">
        <v>2775</v>
      </c>
      <c r="U1484" s="117" t="s">
        <v>2774</v>
      </c>
      <c r="V1484" s="39"/>
      <c r="W1484" s="39"/>
      <c r="X1484" s="39"/>
      <c r="Y1484" s="39">
        <f>789+582</f>
        <v>1371</v>
      </c>
      <c r="Z1484" s="39"/>
      <c r="AA1484" s="39"/>
      <c r="AB1484" s="119">
        <f t="shared" si="957"/>
        <v>1371</v>
      </c>
      <c r="AC1484" s="39" t="s">
        <v>139</v>
      </c>
      <c r="AD1484" s="117" t="s">
        <v>2952</v>
      </c>
      <c r="AE1484" s="39">
        <f>753+425</f>
        <v>1178</v>
      </c>
      <c r="AF1484" s="117" t="s">
        <v>3000</v>
      </c>
      <c r="AG1484" s="39">
        <f>296+175+426+252+7+19</f>
        <v>1175</v>
      </c>
      <c r="AH1484" s="39">
        <f t="shared" si="779"/>
        <v>-3</v>
      </c>
      <c r="AI1484" s="39"/>
      <c r="AJ1484" s="39"/>
      <c r="AK1484" s="39"/>
      <c r="AL1484" s="39"/>
      <c r="AM1484" s="39"/>
      <c r="AN1484" s="39">
        <f t="shared" si="778"/>
        <v>0</v>
      </c>
      <c r="AO1484" s="39"/>
      <c r="AP1484" s="39"/>
      <c r="AQ1484" s="39"/>
      <c r="AR1484" s="39"/>
      <c r="AS1484" s="39"/>
      <c r="AT1484" s="39">
        <f t="shared" si="896"/>
        <v>0</v>
      </c>
      <c r="AU1484" s="39"/>
      <c r="AV1484" s="39"/>
      <c r="AW1484" s="39"/>
      <c r="AX1484" s="39"/>
      <c r="AY1484" s="39"/>
      <c r="AZ1484" s="39">
        <f t="shared" si="897"/>
        <v>0</v>
      </c>
      <c r="BA1484" s="39"/>
      <c r="BB1484" s="39"/>
      <c r="BC1484" s="39"/>
      <c r="BD1484" s="39"/>
      <c r="BE1484" s="39"/>
      <c r="BF1484" s="39">
        <f t="shared" si="898"/>
        <v>0</v>
      </c>
      <c r="BG1484" s="39"/>
      <c r="BH1484" s="39"/>
      <c r="BI1484" s="39"/>
      <c r="BJ1484" s="39"/>
      <c r="BK1484" s="39"/>
      <c r="BL1484" s="39">
        <f t="shared" si="780"/>
        <v>0</v>
      </c>
      <c r="BM1484" s="54" t="e">
        <f t="shared" ca="1" si="899"/>
        <v>#VALUE!</v>
      </c>
      <c r="BN1484" s="58">
        <v>46270</v>
      </c>
      <c r="BO1484" s="57">
        <v>46295</v>
      </c>
      <c r="BP1484" s="57">
        <v>46286</v>
      </c>
      <c r="BQ1484" s="57">
        <v>46303</v>
      </c>
      <c r="BR1484" s="117">
        <v>46276</v>
      </c>
      <c r="BS1484" s="39"/>
      <c r="BT1484" s="39" t="s">
        <v>3095</v>
      </c>
      <c r="BU1484" s="39">
        <f>25+150+33+263+26+226+19</f>
        <v>742</v>
      </c>
      <c r="BV1484" s="39"/>
      <c r="BW1484" s="39"/>
      <c r="BX1484" s="39"/>
      <c r="BY1484" s="39"/>
      <c r="BZ1484" s="39">
        <f t="shared" si="781"/>
        <v>742</v>
      </c>
      <c r="CA1484" s="39">
        <f t="shared" si="900"/>
        <v>-436</v>
      </c>
      <c r="CB1484" s="39">
        <f t="shared" si="901"/>
        <v>0</v>
      </c>
      <c r="CC1484" s="39">
        <f t="shared" si="902"/>
        <v>0</v>
      </c>
      <c r="CD1484" s="39">
        <f t="shared" si="782"/>
        <v>-436</v>
      </c>
      <c r="CE1484" s="102">
        <f t="shared" si="903"/>
        <v>-0.37011884550084889</v>
      </c>
      <c r="CF1484" s="36"/>
      <c r="CG1484" s="39" t="s">
        <v>245</v>
      </c>
      <c r="CH1484" s="39"/>
      <c r="CI1484" s="25">
        <v>1</v>
      </c>
    </row>
    <row r="1485" spans="1:87" ht="24.75" customHeight="1">
      <c r="A1485" s="36" t="s">
        <v>46</v>
      </c>
      <c r="B1485" s="30">
        <v>48336</v>
      </c>
      <c r="C1485" s="231"/>
      <c r="D1485" s="23"/>
      <c r="E1485" s="39">
        <v>140</v>
      </c>
      <c r="F1485" s="39" t="s">
        <v>57</v>
      </c>
      <c r="G1485" s="36" t="s">
        <v>757</v>
      </c>
      <c r="H1485" s="36" t="s">
        <v>22</v>
      </c>
      <c r="I1485" s="39">
        <v>118</v>
      </c>
      <c r="J1485" s="39"/>
      <c r="K1485" s="39"/>
      <c r="L1485" s="39">
        <f t="shared" si="958"/>
        <v>118</v>
      </c>
      <c r="M1485" s="117">
        <v>46252</v>
      </c>
      <c r="N1485" s="117">
        <v>46275</v>
      </c>
      <c r="O1485" s="39"/>
      <c r="P1485" s="39"/>
      <c r="Q1485" s="39"/>
      <c r="R1485" s="39">
        <f t="shared" si="956"/>
        <v>0</v>
      </c>
      <c r="S1485" s="39" t="s">
        <v>130</v>
      </c>
      <c r="T1485" s="39"/>
      <c r="U1485" s="39"/>
      <c r="V1485" s="39"/>
      <c r="W1485" s="39"/>
      <c r="X1485" s="39"/>
      <c r="Y1485" s="39"/>
      <c r="Z1485" s="39"/>
      <c r="AA1485" s="39"/>
      <c r="AB1485" s="118">
        <f t="shared" si="957"/>
        <v>0</v>
      </c>
      <c r="AC1485" s="39"/>
      <c r="AD1485" s="39"/>
      <c r="AE1485" s="39"/>
      <c r="AF1485" s="39"/>
      <c r="AG1485" s="39"/>
      <c r="AH1485" s="39">
        <f t="shared" si="779"/>
        <v>0</v>
      </c>
      <c r="AI1485" s="39"/>
      <c r="AJ1485" s="39"/>
      <c r="AK1485" s="39"/>
      <c r="AL1485" s="39"/>
      <c r="AM1485" s="39"/>
      <c r="AN1485" s="39">
        <f t="shared" si="778"/>
        <v>0</v>
      </c>
      <c r="AO1485" s="39"/>
      <c r="AP1485" s="39"/>
      <c r="AQ1485" s="39"/>
      <c r="AR1485" s="39"/>
      <c r="AS1485" s="39"/>
      <c r="AT1485" s="39">
        <f t="shared" si="896"/>
        <v>0</v>
      </c>
      <c r="AU1485" s="39"/>
      <c r="AV1485" s="39"/>
      <c r="AW1485" s="39"/>
      <c r="AX1485" s="39"/>
      <c r="AY1485" s="39"/>
      <c r="AZ1485" s="39">
        <f t="shared" si="897"/>
        <v>0</v>
      </c>
      <c r="BA1485" s="39"/>
      <c r="BB1485" s="39"/>
      <c r="BC1485" s="39"/>
      <c r="BD1485" s="39"/>
      <c r="BE1485" s="39"/>
      <c r="BF1485" s="39">
        <f t="shared" si="898"/>
        <v>0</v>
      </c>
      <c r="BG1485" s="39"/>
      <c r="BH1485" s="39"/>
      <c r="BI1485" s="39"/>
      <c r="BJ1485" s="39"/>
      <c r="BK1485" s="39"/>
      <c r="BL1485" s="39">
        <f t="shared" si="780"/>
        <v>0</v>
      </c>
      <c r="BM1485" s="54">
        <f t="shared" ca="1" si="899"/>
        <v>46283</v>
      </c>
      <c r="BN1485" s="58">
        <v>46270</v>
      </c>
      <c r="BO1485" s="57">
        <v>46295</v>
      </c>
      <c r="BP1485" s="57"/>
      <c r="BQ1485" s="57"/>
      <c r="BR1485" s="39"/>
      <c r="BS1485" s="39"/>
      <c r="BT1485" s="39"/>
      <c r="BU1485" s="39"/>
      <c r="BV1485" s="39"/>
      <c r="BW1485" s="39"/>
      <c r="BX1485" s="39"/>
      <c r="BY1485" s="39"/>
      <c r="BZ1485" s="39">
        <f t="shared" si="781"/>
        <v>0</v>
      </c>
      <c r="CA1485" s="39">
        <f t="shared" si="900"/>
        <v>-118</v>
      </c>
      <c r="CB1485" s="39">
        <f t="shared" si="901"/>
        <v>0</v>
      </c>
      <c r="CC1485" s="39">
        <f t="shared" si="902"/>
        <v>0</v>
      </c>
      <c r="CD1485" s="39">
        <f t="shared" si="782"/>
        <v>-118</v>
      </c>
      <c r="CE1485" s="102">
        <f t="shared" si="903"/>
        <v>-1</v>
      </c>
      <c r="CF1485" s="36"/>
      <c r="CG1485" s="39" t="s">
        <v>245</v>
      </c>
      <c r="CH1485" s="39"/>
      <c r="CI1485" s="25">
        <v>1</v>
      </c>
    </row>
    <row r="1486" spans="1:87" ht="24.75" customHeight="1">
      <c r="A1486" s="36" t="s">
        <v>46</v>
      </c>
      <c r="B1486" s="30">
        <v>48336</v>
      </c>
      <c r="C1486" s="231"/>
      <c r="D1486" s="23"/>
      <c r="E1486" s="39">
        <v>140</v>
      </c>
      <c r="F1486" s="39" t="s">
        <v>57</v>
      </c>
      <c r="G1486" s="36" t="s">
        <v>2045</v>
      </c>
      <c r="H1486" s="36" t="s">
        <v>22</v>
      </c>
      <c r="I1486" s="39">
        <v>1161</v>
      </c>
      <c r="J1486" s="39">
        <v>102</v>
      </c>
      <c r="K1486" s="39"/>
      <c r="L1486" s="39">
        <f t="shared" si="958"/>
        <v>1263</v>
      </c>
      <c r="M1486" s="117">
        <v>46252</v>
      </c>
      <c r="N1486" s="117">
        <v>46275</v>
      </c>
      <c r="O1486" s="39"/>
      <c r="P1486" s="39"/>
      <c r="Q1486" s="39"/>
      <c r="R1486" s="39">
        <f t="shared" si="956"/>
        <v>0</v>
      </c>
      <c r="S1486" s="39" t="s">
        <v>28</v>
      </c>
      <c r="T1486" s="39"/>
      <c r="U1486" s="39"/>
      <c r="V1486" s="117" t="s">
        <v>2916</v>
      </c>
      <c r="W1486" s="39">
        <f>785+120+544</f>
        <v>1449</v>
      </c>
      <c r="X1486" s="39"/>
      <c r="Y1486" s="39"/>
      <c r="Z1486" s="39"/>
      <c r="AA1486" s="39"/>
      <c r="AB1486" s="118">
        <f t="shared" si="957"/>
        <v>0</v>
      </c>
      <c r="AC1486" s="39"/>
      <c r="AD1486" s="39"/>
      <c r="AE1486" s="39"/>
      <c r="AF1486" s="39"/>
      <c r="AG1486" s="39"/>
      <c r="AH1486" s="39">
        <f t="shared" si="779"/>
        <v>0</v>
      </c>
      <c r="AI1486" s="39"/>
      <c r="AJ1486" s="39"/>
      <c r="AK1486" s="39"/>
      <c r="AL1486" s="39"/>
      <c r="AM1486" s="39"/>
      <c r="AN1486" s="39">
        <f t="shared" si="778"/>
        <v>0</v>
      </c>
      <c r="AO1486" s="39"/>
      <c r="AP1486" s="39"/>
      <c r="AQ1486" s="39"/>
      <c r="AR1486" s="39"/>
      <c r="AS1486" s="39"/>
      <c r="AT1486" s="39">
        <f t="shared" si="896"/>
        <v>0</v>
      </c>
      <c r="AU1486" s="39"/>
      <c r="AV1486" s="39"/>
      <c r="AW1486" s="39"/>
      <c r="AX1486" s="39"/>
      <c r="AY1486" s="39"/>
      <c r="AZ1486" s="39">
        <f t="shared" si="897"/>
        <v>0</v>
      </c>
      <c r="BA1486" s="39"/>
      <c r="BB1486" s="39"/>
      <c r="BC1486" s="39"/>
      <c r="BD1486" s="39"/>
      <c r="BE1486" s="39"/>
      <c r="BF1486" s="39">
        <f t="shared" si="898"/>
        <v>0</v>
      </c>
      <c r="BG1486" s="39"/>
      <c r="BH1486" s="39"/>
      <c r="BI1486" s="39"/>
      <c r="BJ1486" s="39"/>
      <c r="BK1486" s="39"/>
      <c r="BL1486" s="39">
        <f t="shared" si="780"/>
        <v>0</v>
      </c>
      <c r="BM1486" s="54">
        <f t="shared" ca="1" si="899"/>
        <v>46283</v>
      </c>
      <c r="BN1486" s="58">
        <v>46270</v>
      </c>
      <c r="BO1486" s="57">
        <v>46295</v>
      </c>
      <c r="BP1486" s="57"/>
      <c r="BQ1486" s="57"/>
      <c r="BR1486" s="39"/>
      <c r="BS1486" s="39"/>
      <c r="BT1486" s="39"/>
      <c r="BU1486" s="39"/>
      <c r="BV1486" s="39"/>
      <c r="BW1486" s="39"/>
      <c r="BX1486" s="39"/>
      <c r="BY1486" s="39"/>
      <c r="BZ1486" s="39">
        <f t="shared" si="781"/>
        <v>0</v>
      </c>
      <c r="CA1486" s="39">
        <f t="shared" si="900"/>
        <v>-1161</v>
      </c>
      <c r="CB1486" s="39">
        <f t="shared" si="901"/>
        <v>-102</v>
      </c>
      <c r="CC1486" s="39">
        <f t="shared" si="902"/>
        <v>0</v>
      </c>
      <c r="CD1486" s="39">
        <f t="shared" si="782"/>
        <v>-1263</v>
      </c>
      <c r="CE1486" s="102">
        <f t="shared" si="903"/>
        <v>-1</v>
      </c>
      <c r="CF1486" s="36"/>
      <c r="CG1486" s="39" t="s">
        <v>245</v>
      </c>
      <c r="CH1486" s="39"/>
      <c r="CI1486" s="25">
        <v>1</v>
      </c>
    </row>
    <row r="1487" spans="1:87" ht="24.75" customHeight="1">
      <c r="A1487" s="36" t="s">
        <v>46</v>
      </c>
      <c r="B1487" s="30">
        <v>48336</v>
      </c>
      <c r="C1487" s="231"/>
      <c r="D1487" s="23" t="s">
        <v>37</v>
      </c>
      <c r="E1487" s="39">
        <v>140</v>
      </c>
      <c r="F1487" s="39" t="s">
        <v>57</v>
      </c>
      <c r="G1487" s="36" t="s">
        <v>2911</v>
      </c>
      <c r="H1487" s="36" t="s">
        <v>22</v>
      </c>
      <c r="I1487" s="39">
        <v>1024</v>
      </c>
      <c r="J1487" s="39"/>
      <c r="K1487" s="39"/>
      <c r="L1487" s="39">
        <f t="shared" si="958"/>
        <v>1024</v>
      </c>
      <c r="M1487" s="117">
        <v>46252</v>
      </c>
      <c r="N1487" s="117">
        <v>46275</v>
      </c>
      <c r="O1487" s="39"/>
      <c r="P1487" s="39"/>
      <c r="Q1487" s="39"/>
      <c r="R1487" s="39">
        <f t="shared" si="956"/>
        <v>0</v>
      </c>
      <c r="S1487" s="39" t="s">
        <v>130</v>
      </c>
      <c r="T1487" s="39" t="s">
        <v>3026</v>
      </c>
      <c r="U1487" s="117" t="s">
        <v>2985</v>
      </c>
      <c r="V1487" s="39"/>
      <c r="W1487" s="39"/>
      <c r="X1487" s="39"/>
      <c r="Y1487" s="39">
        <f>853+859-550</f>
        <v>1162</v>
      </c>
      <c r="Z1487" s="39"/>
      <c r="AA1487" s="39"/>
      <c r="AB1487" s="119">
        <f t="shared" si="957"/>
        <v>1162</v>
      </c>
      <c r="AC1487" s="39" t="s">
        <v>139</v>
      </c>
      <c r="AD1487" s="117" t="s">
        <v>3059</v>
      </c>
      <c r="AE1487" s="39">
        <f>103+735</f>
        <v>838</v>
      </c>
      <c r="AF1487" s="117"/>
      <c r="AG1487" s="39"/>
      <c r="AH1487" s="39">
        <f t="shared" si="779"/>
        <v>-838</v>
      </c>
      <c r="AI1487" s="39"/>
      <c r="AJ1487" s="39"/>
      <c r="AK1487" s="39"/>
      <c r="AL1487" s="39"/>
      <c r="AM1487" s="39"/>
      <c r="AN1487" s="39">
        <f t="shared" si="778"/>
        <v>0</v>
      </c>
      <c r="AO1487" s="39"/>
      <c r="AP1487" s="39"/>
      <c r="AQ1487" s="39"/>
      <c r="AR1487" s="39"/>
      <c r="AS1487" s="39"/>
      <c r="AT1487" s="39">
        <f t="shared" si="896"/>
        <v>0</v>
      </c>
      <c r="AU1487" s="39"/>
      <c r="AV1487" s="39"/>
      <c r="AW1487" s="39"/>
      <c r="AX1487" s="39"/>
      <c r="AY1487" s="39"/>
      <c r="AZ1487" s="39">
        <f t="shared" si="897"/>
        <v>0</v>
      </c>
      <c r="BA1487" s="39"/>
      <c r="BB1487" s="39"/>
      <c r="BC1487" s="39"/>
      <c r="BD1487" s="39"/>
      <c r="BE1487" s="39"/>
      <c r="BF1487" s="39">
        <f t="shared" si="898"/>
        <v>0</v>
      </c>
      <c r="BG1487" s="39"/>
      <c r="BH1487" s="39"/>
      <c r="BI1487" s="39"/>
      <c r="BJ1487" s="39"/>
      <c r="BK1487" s="39"/>
      <c r="BL1487" s="39">
        <f t="shared" si="780"/>
        <v>0</v>
      </c>
      <c r="BM1487" s="54" t="e">
        <f t="shared" ca="1" si="899"/>
        <v>#VALUE!</v>
      </c>
      <c r="BN1487" s="58">
        <v>46270</v>
      </c>
      <c r="BO1487" s="57">
        <v>46295</v>
      </c>
      <c r="BP1487" s="57">
        <v>46286</v>
      </c>
      <c r="BQ1487" s="57">
        <v>46303</v>
      </c>
      <c r="BR1487" s="39"/>
      <c r="BS1487" s="39"/>
      <c r="BT1487" s="39"/>
      <c r="BU1487" s="39"/>
      <c r="BV1487" s="39"/>
      <c r="BW1487" s="39"/>
      <c r="BX1487" s="39"/>
      <c r="BY1487" s="39"/>
      <c r="BZ1487" s="39">
        <f t="shared" si="781"/>
        <v>0</v>
      </c>
      <c r="CA1487" s="39">
        <f t="shared" si="900"/>
        <v>-1024</v>
      </c>
      <c r="CB1487" s="39">
        <f t="shared" si="901"/>
        <v>0</v>
      </c>
      <c r="CC1487" s="39">
        <f t="shared" si="902"/>
        <v>0</v>
      </c>
      <c r="CD1487" s="39">
        <f t="shared" si="782"/>
        <v>-1024</v>
      </c>
      <c r="CE1487" s="102">
        <f t="shared" si="903"/>
        <v>-1</v>
      </c>
      <c r="CF1487" s="36"/>
      <c r="CG1487" s="39" t="s">
        <v>245</v>
      </c>
      <c r="CH1487" s="39"/>
      <c r="CI1487" s="25">
        <v>1</v>
      </c>
    </row>
    <row r="1488" spans="1:87" ht="24.75" customHeight="1">
      <c r="A1488" s="36" t="s">
        <v>46</v>
      </c>
      <c r="B1488" s="30">
        <v>48336</v>
      </c>
      <c r="C1488" s="231"/>
      <c r="D1488" s="23"/>
      <c r="E1488" s="39">
        <v>140</v>
      </c>
      <c r="F1488" s="39" t="s">
        <v>57</v>
      </c>
      <c r="G1488" s="36" t="s">
        <v>920</v>
      </c>
      <c r="H1488" s="36" t="s">
        <v>22</v>
      </c>
      <c r="I1488" s="39">
        <v>102</v>
      </c>
      <c r="J1488" s="39"/>
      <c r="K1488" s="39"/>
      <c r="L1488" s="39">
        <f t="shared" si="958"/>
        <v>102</v>
      </c>
      <c r="M1488" s="117">
        <v>46252</v>
      </c>
      <c r="N1488" s="117">
        <v>46275</v>
      </c>
      <c r="O1488" s="39"/>
      <c r="P1488" s="39"/>
      <c r="Q1488" s="39"/>
      <c r="R1488" s="39">
        <f t="shared" si="956"/>
        <v>0</v>
      </c>
      <c r="S1488" s="39" t="s">
        <v>130</v>
      </c>
      <c r="T1488" s="39"/>
      <c r="U1488" s="39"/>
      <c r="V1488" s="39"/>
      <c r="W1488" s="39"/>
      <c r="X1488" s="39"/>
      <c r="Y1488" s="39"/>
      <c r="Z1488" s="39"/>
      <c r="AA1488" s="39"/>
      <c r="AB1488" s="118">
        <f t="shared" si="957"/>
        <v>0</v>
      </c>
      <c r="AC1488" s="39"/>
      <c r="AD1488" s="39"/>
      <c r="AE1488" s="39"/>
      <c r="AF1488" s="39"/>
      <c r="AG1488" s="39"/>
      <c r="AH1488" s="39">
        <f t="shared" si="779"/>
        <v>0</v>
      </c>
      <c r="AI1488" s="39"/>
      <c r="AJ1488" s="39"/>
      <c r="AK1488" s="39"/>
      <c r="AL1488" s="39"/>
      <c r="AM1488" s="39"/>
      <c r="AN1488" s="39">
        <f t="shared" si="778"/>
        <v>0</v>
      </c>
      <c r="AO1488" s="39"/>
      <c r="AP1488" s="39"/>
      <c r="AQ1488" s="39"/>
      <c r="AR1488" s="39"/>
      <c r="AS1488" s="39"/>
      <c r="AT1488" s="39">
        <f t="shared" si="896"/>
        <v>0</v>
      </c>
      <c r="AU1488" s="39"/>
      <c r="AV1488" s="39"/>
      <c r="AW1488" s="39"/>
      <c r="AX1488" s="39"/>
      <c r="AY1488" s="39"/>
      <c r="AZ1488" s="39">
        <f t="shared" si="897"/>
        <v>0</v>
      </c>
      <c r="BA1488" s="39"/>
      <c r="BB1488" s="39"/>
      <c r="BC1488" s="39"/>
      <c r="BD1488" s="39"/>
      <c r="BE1488" s="39"/>
      <c r="BF1488" s="39">
        <f t="shared" si="898"/>
        <v>0</v>
      </c>
      <c r="BG1488" s="39"/>
      <c r="BH1488" s="39"/>
      <c r="BI1488" s="39"/>
      <c r="BJ1488" s="39"/>
      <c r="BK1488" s="39"/>
      <c r="BL1488" s="39">
        <f t="shared" si="780"/>
        <v>0</v>
      </c>
      <c r="BM1488" s="54">
        <f t="shared" ca="1" si="899"/>
        <v>46283</v>
      </c>
      <c r="BN1488" s="58">
        <v>46270</v>
      </c>
      <c r="BO1488" s="57">
        <v>46295</v>
      </c>
      <c r="BP1488" s="57"/>
      <c r="BQ1488" s="57"/>
      <c r="BR1488" s="39"/>
      <c r="BS1488" s="39"/>
      <c r="BT1488" s="39"/>
      <c r="BU1488" s="39"/>
      <c r="BV1488" s="39"/>
      <c r="BW1488" s="39"/>
      <c r="BX1488" s="39"/>
      <c r="BY1488" s="39"/>
      <c r="BZ1488" s="39">
        <f t="shared" si="781"/>
        <v>0</v>
      </c>
      <c r="CA1488" s="39">
        <f t="shared" si="900"/>
        <v>-102</v>
      </c>
      <c r="CB1488" s="39">
        <f t="shared" si="901"/>
        <v>0</v>
      </c>
      <c r="CC1488" s="39">
        <f t="shared" si="902"/>
        <v>0</v>
      </c>
      <c r="CD1488" s="39">
        <f t="shared" si="782"/>
        <v>-102</v>
      </c>
      <c r="CE1488" s="102">
        <f t="shared" si="903"/>
        <v>-1</v>
      </c>
      <c r="CF1488" s="36"/>
      <c r="CG1488" s="39" t="s">
        <v>245</v>
      </c>
      <c r="CH1488" s="39"/>
      <c r="CI1488" s="25">
        <v>1</v>
      </c>
    </row>
    <row r="1489" spans="1:87" ht="24.75" customHeight="1">
      <c r="A1489" s="36" t="s">
        <v>46</v>
      </c>
      <c r="B1489" s="30">
        <v>48336</v>
      </c>
      <c r="C1489" s="231"/>
      <c r="D1489" s="23"/>
      <c r="E1489" s="39">
        <v>140</v>
      </c>
      <c r="F1489" s="39" t="s">
        <v>57</v>
      </c>
      <c r="G1489" s="36" t="s">
        <v>93</v>
      </c>
      <c r="H1489" s="36" t="s">
        <v>22</v>
      </c>
      <c r="I1489" s="39">
        <v>990</v>
      </c>
      <c r="J1489" s="39">
        <v>87</v>
      </c>
      <c r="K1489" s="39"/>
      <c r="L1489" s="39">
        <f t="shared" si="958"/>
        <v>1077</v>
      </c>
      <c r="M1489" s="117">
        <v>46252</v>
      </c>
      <c r="N1489" s="117">
        <v>46275</v>
      </c>
      <c r="O1489" s="39"/>
      <c r="P1489" s="39"/>
      <c r="Q1489" s="39"/>
      <c r="R1489" s="39">
        <f t="shared" si="956"/>
        <v>0</v>
      </c>
      <c r="S1489" s="39" t="s">
        <v>130</v>
      </c>
      <c r="T1489" s="39" t="s">
        <v>3027</v>
      </c>
      <c r="U1489" s="117" t="s">
        <v>2999</v>
      </c>
      <c r="V1489" s="39"/>
      <c r="W1489" s="39"/>
      <c r="X1489" s="39"/>
      <c r="Y1489" s="39">
        <f>400+322+240</f>
        <v>962</v>
      </c>
      <c r="Z1489" s="39">
        <f>16</f>
        <v>16</v>
      </c>
      <c r="AA1489" s="39"/>
      <c r="AB1489" s="118">
        <f t="shared" si="957"/>
        <v>978</v>
      </c>
      <c r="AC1489" s="39"/>
      <c r="AD1489" s="39"/>
      <c r="AE1489" s="39"/>
      <c r="AF1489" s="39"/>
      <c r="AG1489" s="39"/>
      <c r="AH1489" s="39">
        <f t="shared" si="779"/>
        <v>0</v>
      </c>
      <c r="AI1489" s="39"/>
      <c r="AJ1489" s="39"/>
      <c r="AK1489" s="39"/>
      <c r="AL1489" s="39"/>
      <c r="AM1489" s="39"/>
      <c r="AN1489" s="39">
        <f t="shared" si="778"/>
        <v>0</v>
      </c>
      <c r="AO1489" s="39"/>
      <c r="AP1489" s="39"/>
      <c r="AQ1489" s="39"/>
      <c r="AR1489" s="39"/>
      <c r="AS1489" s="39"/>
      <c r="AT1489" s="39">
        <f t="shared" si="896"/>
        <v>0</v>
      </c>
      <c r="AU1489" s="39"/>
      <c r="AV1489" s="39"/>
      <c r="AW1489" s="39"/>
      <c r="AX1489" s="39"/>
      <c r="AY1489" s="39"/>
      <c r="AZ1489" s="39">
        <f t="shared" si="897"/>
        <v>0</v>
      </c>
      <c r="BA1489" s="39"/>
      <c r="BB1489" s="39"/>
      <c r="BC1489" s="39"/>
      <c r="BD1489" s="39"/>
      <c r="BE1489" s="39"/>
      <c r="BF1489" s="39">
        <f t="shared" si="898"/>
        <v>0</v>
      </c>
      <c r="BG1489" s="39"/>
      <c r="BH1489" s="39"/>
      <c r="BI1489" s="39"/>
      <c r="BJ1489" s="39"/>
      <c r="BK1489" s="39"/>
      <c r="BL1489" s="39">
        <f t="shared" si="780"/>
        <v>0</v>
      </c>
      <c r="BM1489" s="54" t="e">
        <f t="shared" ca="1" si="899"/>
        <v>#VALUE!</v>
      </c>
      <c r="BN1489" s="58">
        <v>46270</v>
      </c>
      <c r="BO1489" s="57">
        <v>46295</v>
      </c>
      <c r="BP1489" s="57"/>
      <c r="BQ1489" s="57"/>
      <c r="BR1489" s="117">
        <v>46279</v>
      </c>
      <c r="BS1489" s="39"/>
      <c r="BT1489" s="39" t="s">
        <v>3073</v>
      </c>
      <c r="BU1489" s="39">
        <f>49+715+181</f>
        <v>945</v>
      </c>
      <c r="BV1489" s="39"/>
      <c r="BW1489" s="39"/>
      <c r="BX1489" s="39"/>
      <c r="BY1489" s="39"/>
      <c r="BZ1489" s="39">
        <f t="shared" si="781"/>
        <v>945</v>
      </c>
      <c r="CA1489" s="39">
        <f t="shared" si="900"/>
        <v>-45</v>
      </c>
      <c r="CB1489" s="39">
        <f t="shared" si="901"/>
        <v>-87</v>
      </c>
      <c r="CC1489" s="39">
        <f t="shared" si="902"/>
        <v>0</v>
      </c>
      <c r="CD1489" s="39">
        <f t="shared" si="782"/>
        <v>-132</v>
      </c>
      <c r="CE1489" s="102">
        <f t="shared" si="903"/>
        <v>-0.12256267409470752</v>
      </c>
      <c r="CF1489" s="36"/>
      <c r="CG1489" s="39" t="s">
        <v>245</v>
      </c>
      <c r="CH1489" s="39" t="s">
        <v>114</v>
      </c>
      <c r="CI1489" s="25">
        <v>1</v>
      </c>
    </row>
    <row r="1490" spans="1:87" ht="24.75" customHeight="1">
      <c r="A1490" s="36" t="s">
        <v>46</v>
      </c>
      <c r="B1490" s="30">
        <v>48336</v>
      </c>
      <c r="C1490" s="231"/>
      <c r="D1490" s="23" t="s">
        <v>37</v>
      </c>
      <c r="E1490" s="39">
        <v>140</v>
      </c>
      <c r="F1490" s="39" t="s">
        <v>57</v>
      </c>
      <c r="G1490" s="36" t="s">
        <v>2912</v>
      </c>
      <c r="H1490" s="36" t="s">
        <v>22</v>
      </c>
      <c r="I1490" s="39">
        <v>874</v>
      </c>
      <c r="J1490" s="39"/>
      <c r="K1490" s="39"/>
      <c r="L1490" s="39">
        <f t="shared" si="958"/>
        <v>874</v>
      </c>
      <c r="M1490" s="117">
        <v>46252</v>
      </c>
      <c r="N1490" s="117">
        <v>46275</v>
      </c>
      <c r="O1490" s="39"/>
      <c r="P1490" s="39"/>
      <c r="Q1490" s="39"/>
      <c r="R1490" s="39">
        <f t="shared" si="956"/>
        <v>0</v>
      </c>
      <c r="S1490" s="39" t="s">
        <v>130</v>
      </c>
      <c r="T1490" s="39">
        <v>109378</v>
      </c>
      <c r="U1490" s="117">
        <v>46278</v>
      </c>
      <c r="V1490" s="39"/>
      <c r="W1490" s="39"/>
      <c r="X1490" s="39"/>
      <c r="Y1490" s="39">
        <f>852+550-400</f>
        <v>1002</v>
      </c>
      <c r="Z1490" s="39"/>
      <c r="AA1490" s="39"/>
      <c r="AB1490" s="119">
        <f t="shared" si="957"/>
        <v>1002</v>
      </c>
      <c r="AC1490" s="39" t="s">
        <v>139</v>
      </c>
      <c r="AD1490" s="117">
        <v>46280</v>
      </c>
      <c r="AE1490" s="39">
        <f>783+281</f>
        <v>1064</v>
      </c>
      <c r="AF1490" s="117"/>
      <c r="AG1490" s="39"/>
      <c r="AH1490" s="39">
        <f t="shared" si="779"/>
        <v>-1064</v>
      </c>
      <c r="AI1490" s="39"/>
      <c r="AJ1490" s="39"/>
      <c r="AK1490" s="39"/>
      <c r="AL1490" s="39"/>
      <c r="AM1490" s="39"/>
      <c r="AN1490" s="39">
        <f t="shared" si="778"/>
        <v>0</v>
      </c>
      <c r="AO1490" s="39"/>
      <c r="AP1490" s="39"/>
      <c r="AQ1490" s="39"/>
      <c r="AR1490" s="39"/>
      <c r="AS1490" s="39"/>
      <c r="AT1490" s="39">
        <f t="shared" si="896"/>
        <v>0</v>
      </c>
      <c r="AU1490" s="39"/>
      <c r="AV1490" s="39"/>
      <c r="AW1490" s="39"/>
      <c r="AX1490" s="39"/>
      <c r="AY1490" s="39"/>
      <c r="AZ1490" s="39">
        <f t="shared" si="897"/>
        <v>0</v>
      </c>
      <c r="BA1490" s="39"/>
      <c r="BB1490" s="39"/>
      <c r="BC1490" s="39"/>
      <c r="BD1490" s="39"/>
      <c r="BE1490" s="39"/>
      <c r="BF1490" s="39">
        <f t="shared" si="898"/>
        <v>0</v>
      </c>
      <c r="BG1490" s="39"/>
      <c r="BH1490" s="39"/>
      <c r="BI1490" s="39"/>
      <c r="BJ1490" s="39"/>
      <c r="BK1490" s="39"/>
      <c r="BL1490" s="39">
        <f t="shared" si="780"/>
        <v>0</v>
      </c>
      <c r="BM1490" s="54">
        <f t="shared" ca="1" si="899"/>
        <v>5</v>
      </c>
      <c r="BN1490" s="58">
        <v>46270</v>
      </c>
      <c r="BO1490" s="57">
        <v>46295</v>
      </c>
      <c r="BP1490" s="57">
        <v>46286</v>
      </c>
      <c r="BQ1490" s="57">
        <v>46303</v>
      </c>
      <c r="BR1490" s="39"/>
      <c r="BS1490" s="39"/>
      <c r="BT1490" s="39"/>
      <c r="BU1490" s="39"/>
      <c r="BV1490" s="39"/>
      <c r="BW1490" s="39"/>
      <c r="BX1490" s="39"/>
      <c r="BY1490" s="39"/>
      <c r="BZ1490" s="39">
        <f t="shared" si="781"/>
        <v>0</v>
      </c>
      <c r="CA1490" s="39">
        <f t="shared" si="900"/>
        <v>-874</v>
      </c>
      <c r="CB1490" s="39">
        <f t="shared" si="901"/>
        <v>0</v>
      </c>
      <c r="CC1490" s="39">
        <f t="shared" si="902"/>
        <v>0</v>
      </c>
      <c r="CD1490" s="39">
        <f t="shared" si="782"/>
        <v>-874</v>
      </c>
      <c r="CE1490" s="102">
        <f t="shared" si="903"/>
        <v>-1</v>
      </c>
      <c r="CF1490" s="36"/>
      <c r="CG1490" s="39" t="s">
        <v>245</v>
      </c>
      <c r="CH1490" s="39"/>
      <c r="CI1490" s="25">
        <v>1</v>
      </c>
    </row>
    <row r="1491" spans="1:87" ht="24.75" customHeight="1">
      <c r="A1491" s="36" t="s">
        <v>46</v>
      </c>
      <c r="B1491" s="30">
        <v>48336</v>
      </c>
      <c r="C1491" s="228"/>
      <c r="D1491" s="23"/>
      <c r="E1491" s="39">
        <v>140</v>
      </c>
      <c r="F1491" s="39" t="s">
        <v>57</v>
      </c>
      <c r="G1491" s="36" t="s">
        <v>2240</v>
      </c>
      <c r="H1491" s="36" t="s">
        <v>22</v>
      </c>
      <c r="I1491" s="39">
        <v>87</v>
      </c>
      <c r="J1491" s="39"/>
      <c r="K1491" s="39"/>
      <c r="L1491" s="39">
        <f t="shared" si="958"/>
        <v>87</v>
      </c>
      <c r="M1491" s="117">
        <v>46252</v>
      </c>
      <c r="N1491" s="117">
        <v>46275</v>
      </c>
      <c r="O1491" s="39"/>
      <c r="P1491" s="39"/>
      <c r="Q1491" s="39"/>
      <c r="R1491" s="39">
        <f t="shared" si="956"/>
        <v>0</v>
      </c>
      <c r="S1491" s="39" t="s">
        <v>130</v>
      </c>
      <c r="T1491" s="39"/>
      <c r="U1491" s="39"/>
      <c r="V1491" s="39"/>
      <c r="W1491" s="39"/>
      <c r="X1491" s="39"/>
      <c r="Y1491" s="39"/>
      <c r="Z1491" s="39"/>
      <c r="AA1491" s="39"/>
      <c r="AB1491" s="118">
        <f t="shared" si="957"/>
        <v>0</v>
      </c>
      <c r="AC1491" s="39"/>
      <c r="AD1491" s="39"/>
      <c r="AE1491" s="39"/>
      <c r="AF1491" s="39"/>
      <c r="AG1491" s="39"/>
      <c r="AH1491" s="39">
        <f t="shared" si="779"/>
        <v>0</v>
      </c>
      <c r="AI1491" s="39"/>
      <c r="AJ1491" s="39"/>
      <c r="AK1491" s="39"/>
      <c r="AL1491" s="39"/>
      <c r="AM1491" s="39"/>
      <c r="AN1491" s="39">
        <f t="shared" si="778"/>
        <v>0</v>
      </c>
      <c r="AO1491" s="39"/>
      <c r="AP1491" s="39"/>
      <c r="AQ1491" s="39"/>
      <c r="AR1491" s="39"/>
      <c r="AS1491" s="39"/>
      <c r="AT1491" s="39">
        <f t="shared" si="896"/>
        <v>0</v>
      </c>
      <c r="AU1491" s="39"/>
      <c r="AV1491" s="39"/>
      <c r="AW1491" s="39"/>
      <c r="AX1491" s="39"/>
      <c r="AY1491" s="39"/>
      <c r="AZ1491" s="39">
        <f t="shared" si="897"/>
        <v>0</v>
      </c>
      <c r="BA1491" s="39"/>
      <c r="BB1491" s="39"/>
      <c r="BC1491" s="39"/>
      <c r="BD1491" s="39"/>
      <c r="BE1491" s="39"/>
      <c r="BF1491" s="39">
        <f t="shared" si="898"/>
        <v>0</v>
      </c>
      <c r="BG1491" s="39"/>
      <c r="BH1491" s="39"/>
      <c r="BI1491" s="39"/>
      <c r="BJ1491" s="39"/>
      <c r="BK1491" s="39"/>
      <c r="BL1491" s="39">
        <f t="shared" si="780"/>
        <v>0</v>
      </c>
      <c r="BM1491" s="54">
        <f t="shared" ca="1" si="899"/>
        <v>46283</v>
      </c>
      <c r="BN1491" s="58">
        <v>46270</v>
      </c>
      <c r="BO1491" s="57">
        <v>46295</v>
      </c>
      <c r="BP1491" s="57"/>
      <c r="BQ1491" s="57"/>
      <c r="BR1491" s="39"/>
      <c r="BS1491" s="39"/>
      <c r="BT1491" s="39"/>
      <c r="BU1491" s="39"/>
      <c r="BV1491" s="39"/>
      <c r="BW1491" s="39"/>
      <c r="BX1491" s="39"/>
      <c r="BY1491" s="39"/>
      <c r="BZ1491" s="39">
        <f t="shared" si="781"/>
        <v>0</v>
      </c>
      <c r="CA1491" s="39">
        <f t="shared" si="900"/>
        <v>-87</v>
      </c>
      <c r="CB1491" s="39">
        <f t="shared" si="901"/>
        <v>0</v>
      </c>
      <c r="CC1491" s="39">
        <f t="shared" si="902"/>
        <v>0</v>
      </c>
      <c r="CD1491" s="39">
        <f t="shared" si="782"/>
        <v>-87</v>
      </c>
      <c r="CE1491" s="102">
        <f t="shared" si="903"/>
        <v>-1</v>
      </c>
      <c r="CF1491" s="36"/>
      <c r="CG1491" s="39" t="s">
        <v>245</v>
      </c>
      <c r="CH1491" s="39"/>
      <c r="CI1491" s="25">
        <v>1</v>
      </c>
    </row>
    <row r="1492" spans="1:87" ht="24.75" customHeight="1">
      <c r="A1492" s="36" t="s">
        <v>46</v>
      </c>
      <c r="B1492" s="30">
        <v>48448</v>
      </c>
      <c r="C1492" s="227" t="s">
        <v>2310</v>
      </c>
      <c r="D1492" s="36"/>
      <c r="E1492" s="39">
        <v>280</v>
      </c>
      <c r="F1492" s="39" t="s">
        <v>58</v>
      </c>
      <c r="G1492" s="36" t="s">
        <v>2256</v>
      </c>
      <c r="H1492" s="36" t="s">
        <v>2253</v>
      </c>
      <c r="I1492" s="39">
        <v>737</v>
      </c>
      <c r="J1492" s="39"/>
      <c r="K1492" s="39">
        <v>79</v>
      </c>
      <c r="L1492" s="39">
        <f t="shared" ref="L1492:L1496" si="959">SUM(I1492:K1492)</f>
        <v>816</v>
      </c>
      <c r="M1492" s="117">
        <v>46252</v>
      </c>
      <c r="N1492" s="117">
        <v>46270</v>
      </c>
      <c r="O1492" s="39"/>
      <c r="P1492" s="39"/>
      <c r="Q1492" s="39"/>
      <c r="R1492" s="39">
        <f t="shared" ref="R1492:R1496" si="960">SUM(O1492:Q1492)</f>
        <v>0</v>
      </c>
      <c r="S1492" s="39" t="s">
        <v>130</v>
      </c>
      <c r="T1492" s="39">
        <v>109434</v>
      </c>
      <c r="U1492" s="117">
        <v>46280</v>
      </c>
      <c r="V1492" s="39"/>
      <c r="W1492" s="39"/>
      <c r="X1492" s="39"/>
      <c r="Y1492" s="39">
        <v>840</v>
      </c>
      <c r="Z1492" s="39"/>
      <c r="AA1492" s="39">
        <v>93</v>
      </c>
      <c r="AB1492" s="119">
        <f t="shared" ref="AB1492:AB1496" si="961">SUM(Y1492:AA1492)</f>
        <v>933</v>
      </c>
      <c r="AC1492" s="39"/>
      <c r="AD1492" s="39"/>
      <c r="AE1492" s="39"/>
      <c r="AF1492" s="39"/>
      <c r="AG1492" s="39"/>
      <c r="AH1492" s="39">
        <f t="shared" si="779"/>
        <v>0</v>
      </c>
      <c r="AI1492" s="39"/>
      <c r="AJ1492" s="39"/>
      <c r="AK1492" s="39"/>
      <c r="AL1492" s="39"/>
      <c r="AM1492" s="39"/>
      <c r="AN1492" s="39">
        <f t="shared" si="778"/>
        <v>0</v>
      </c>
      <c r="AO1492" s="39"/>
      <c r="AP1492" s="39"/>
      <c r="AQ1492" s="39"/>
      <c r="AR1492" s="39"/>
      <c r="AS1492" s="39"/>
      <c r="AT1492" s="39">
        <f t="shared" si="896"/>
        <v>0</v>
      </c>
      <c r="AU1492" s="39"/>
      <c r="AV1492" s="39"/>
      <c r="AW1492" s="39"/>
      <c r="AX1492" s="39"/>
      <c r="AY1492" s="39"/>
      <c r="AZ1492" s="39">
        <f t="shared" si="897"/>
        <v>0</v>
      </c>
      <c r="BA1492" s="39"/>
      <c r="BB1492" s="39"/>
      <c r="BC1492" s="39"/>
      <c r="BD1492" s="39"/>
      <c r="BE1492" s="39"/>
      <c r="BF1492" s="39">
        <f t="shared" si="898"/>
        <v>0</v>
      </c>
      <c r="BG1492" s="39"/>
      <c r="BH1492" s="39"/>
      <c r="BI1492" s="39"/>
      <c r="BJ1492" s="39"/>
      <c r="BK1492" s="39"/>
      <c r="BL1492" s="39">
        <f t="shared" si="780"/>
        <v>0</v>
      </c>
      <c r="BM1492" s="54" t="str">
        <f t="shared" si="899"/>
        <v/>
      </c>
      <c r="BN1492" s="58">
        <v>46266</v>
      </c>
      <c r="BO1492" s="57">
        <v>46286</v>
      </c>
      <c r="BP1492" s="36"/>
      <c r="BQ1492" s="36"/>
      <c r="BR1492" s="117">
        <v>46282</v>
      </c>
      <c r="BS1492" s="117">
        <v>46282</v>
      </c>
      <c r="BT1492" s="39">
        <v>911</v>
      </c>
      <c r="BU1492" s="39">
        <f>733+10</f>
        <v>743</v>
      </c>
      <c r="BV1492" s="39"/>
      <c r="BW1492" s="39"/>
      <c r="BX1492" s="39">
        <v>911</v>
      </c>
      <c r="BY1492" s="39">
        <v>80</v>
      </c>
      <c r="BZ1492" s="39">
        <f t="shared" si="781"/>
        <v>823</v>
      </c>
      <c r="CA1492" s="39">
        <f t="shared" si="900"/>
        <v>6</v>
      </c>
      <c r="CB1492" s="39">
        <f t="shared" si="901"/>
        <v>0</v>
      </c>
      <c r="CC1492" s="39">
        <f t="shared" si="902"/>
        <v>1</v>
      </c>
      <c r="CD1492" s="39">
        <v>0</v>
      </c>
      <c r="CE1492" s="102">
        <f t="shared" si="903"/>
        <v>0</v>
      </c>
      <c r="CF1492" s="36"/>
      <c r="CG1492" s="39" t="s">
        <v>238</v>
      </c>
      <c r="CH1492" s="39"/>
      <c r="CI1492" s="25">
        <v>1</v>
      </c>
    </row>
    <row r="1493" spans="1:87" ht="24.75" customHeight="1">
      <c r="A1493" s="36" t="s">
        <v>46</v>
      </c>
      <c r="B1493" s="30">
        <v>48448</v>
      </c>
      <c r="C1493" s="231"/>
      <c r="D1493" s="36"/>
      <c r="E1493" s="39">
        <v>160</v>
      </c>
      <c r="F1493" s="39" t="s">
        <v>55</v>
      </c>
      <c r="G1493" s="36" t="s">
        <v>1440</v>
      </c>
      <c r="H1493" s="39" t="s">
        <v>22</v>
      </c>
      <c r="I1493" s="39">
        <v>36</v>
      </c>
      <c r="J1493" s="39"/>
      <c r="K1493" s="39"/>
      <c r="L1493" s="39">
        <f t="shared" si="959"/>
        <v>36</v>
      </c>
      <c r="M1493" s="117">
        <v>46252</v>
      </c>
      <c r="N1493" s="117">
        <v>46270</v>
      </c>
      <c r="O1493" s="39"/>
      <c r="P1493" s="39"/>
      <c r="Q1493" s="39"/>
      <c r="R1493" s="39">
        <f t="shared" si="960"/>
        <v>0</v>
      </c>
      <c r="S1493" s="39" t="s">
        <v>130</v>
      </c>
      <c r="T1493" s="39"/>
      <c r="U1493" s="39"/>
      <c r="V1493" s="39"/>
      <c r="W1493" s="39"/>
      <c r="X1493" s="39"/>
      <c r="Y1493" s="39"/>
      <c r="Z1493" s="39"/>
      <c r="AA1493" s="39"/>
      <c r="AB1493" s="118">
        <f t="shared" si="961"/>
        <v>0</v>
      </c>
      <c r="AC1493" s="39"/>
      <c r="AD1493" s="39"/>
      <c r="AE1493" s="39"/>
      <c r="AF1493" s="39"/>
      <c r="AG1493" s="39"/>
      <c r="AH1493" s="39">
        <f t="shared" si="779"/>
        <v>0</v>
      </c>
      <c r="AI1493" s="39"/>
      <c r="AJ1493" s="39"/>
      <c r="AK1493" s="39"/>
      <c r="AL1493" s="39"/>
      <c r="AM1493" s="39"/>
      <c r="AN1493" s="39">
        <f t="shared" si="778"/>
        <v>0</v>
      </c>
      <c r="AO1493" s="39"/>
      <c r="AP1493" s="39"/>
      <c r="AQ1493" s="39"/>
      <c r="AR1493" s="39"/>
      <c r="AS1493" s="39"/>
      <c r="AT1493" s="39">
        <f t="shared" si="896"/>
        <v>0</v>
      </c>
      <c r="AU1493" s="39"/>
      <c r="AV1493" s="39"/>
      <c r="AW1493" s="39"/>
      <c r="AX1493" s="39"/>
      <c r="AY1493" s="39"/>
      <c r="AZ1493" s="39">
        <f t="shared" si="897"/>
        <v>0</v>
      </c>
      <c r="BA1493" s="39"/>
      <c r="BB1493" s="39"/>
      <c r="BC1493" s="39"/>
      <c r="BD1493" s="39"/>
      <c r="BE1493" s="39"/>
      <c r="BF1493" s="39">
        <f t="shared" si="898"/>
        <v>0</v>
      </c>
      <c r="BG1493" s="39"/>
      <c r="BH1493" s="39"/>
      <c r="BI1493" s="39"/>
      <c r="BJ1493" s="39"/>
      <c r="BK1493" s="39"/>
      <c r="BL1493" s="39">
        <f t="shared" si="780"/>
        <v>0</v>
      </c>
      <c r="BM1493" s="54">
        <f t="shared" ca="1" si="899"/>
        <v>46283</v>
      </c>
      <c r="BN1493" s="58">
        <v>46266</v>
      </c>
      <c r="BO1493" s="57">
        <v>46286</v>
      </c>
      <c r="BP1493" s="36"/>
      <c r="BQ1493" s="36"/>
      <c r="BR1493" s="39"/>
      <c r="BS1493" s="39"/>
      <c r="BT1493" s="39"/>
      <c r="BU1493" s="39"/>
      <c r="BV1493" s="39"/>
      <c r="BW1493" s="39"/>
      <c r="BX1493" s="39"/>
      <c r="BY1493" s="39"/>
      <c r="BZ1493" s="39">
        <f t="shared" si="781"/>
        <v>0</v>
      </c>
      <c r="CA1493" s="39">
        <f t="shared" si="900"/>
        <v>-36</v>
      </c>
      <c r="CB1493" s="39">
        <f t="shared" si="901"/>
        <v>0</v>
      </c>
      <c r="CC1493" s="39">
        <f t="shared" si="902"/>
        <v>0</v>
      </c>
      <c r="CD1493" s="39">
        <f t="shared" si="782"/>
        <v>-36</v>
      </c>
      <c r="CE1493" s="102">
        <f t="shared" si="903"/>
        <v>-1</v>
      </c>
      <c r="CF1493" s="36"/>
      <c r="CG1493" s="39" t="s">
        <v>238</v>
      </c>
      <c r="CH1493" s="39"/>
      <c r="CI1493" s="25">
        <v>1</v>
      </c>
    </row>
    <row r="1494" spans="1:87" ht="24.75" customHeight="1">
      <c r="A1494" s="36" t="s">
        <v>46</v>
      </c>
      <c r="B1494" s="30">
        <v>48448</v>
      </c>
      <c r="C1494" s="231"/>
      <c r="D1494" s="36"/>
      <c r="E1494" s="39">
        <v>280</v>
      </c>
      <c r="F1494" s="39" t="s">
        <v>58</v>
      </c>
      <c r="G1494" s="36" t="s">
        <v>1916</v>
      </c>
      <c r="H1494" s="39" t="s">
        <v>200</v>
      </c>
      <c r="I1494" s="39">
        <v>2080</v>
      </c>
      <c r="J1494" s="39"/>
      <c r="K1494" s="39">
        <v>233</v>
      </c>
      <c r="L1494" s="39">
        <f t="shared" si="959"/>
        <v>2313</v>
      </c>
      <c r="M1494" s="117">
        <v>46252</v>
      </c>
      <c r="N1494" s="117">
        <v>46270</v>
      </c>
      <c r="O1494" s="39"/>
      <c r="P1494" s="39"/>
      <c r="Q1494" s="39"/>
      <c r="R1494" s="39">
        <f t="shared" si="960"/>
        <v>0</v>
      </c>
      <c r="S1494" s="39" t="s">
        <v>130</v>
      </c>
      <c r="T1494" s="39" t="s">
        <v>2736</v>
      </c>
      <c r="U1494" s="117" t="s">
        <v>2737</v>
      </c>
      <c r="V1494" s="39"/>
      <c r="W1494" s="39"/>
      <c r="X1494" s="39"/>
      <c r="Y1494" s="39">
        <f>794+794+794</f>
        <v>2382</v>
      </c>
      <c r="Z1494" s="39"/>
      <c r="AA1494" s="39">
        <f>86+82+85</f>
        <v>253</v>
      </c>
      <c r="AB1494" s="119">
        <f t="shared" si="961"/>
        <v>2635</v>
      </c>
      <c r="AC1494" s="39"/>
      <c r="AD1494" s="39"/>
      <c r="AE1494" s="39"/>
      <c r="AF1494" s="39"/>
      <c r="AG1494" s="39"/>
      <c r="AH1494" s="39">
        <f t="shared" si="779"/>
        <v>0</v>
      </c>
      <c r="AI1494" s="39"/>
      <c r="AJ1494" s="39"/>
      <c r="AK1494" s="39"/>
      <c r="AL1494" s="39"/>
      <c r="AM1494" s="39"/>
      <c r="AN1494" s="39">
        <f t="shared" si="778"/>
        <v>0</v>
      </c>
      <c r="AO1494" s="39"/>
      <c r="AP1494" s="39"/>
      <c r="AQ1494" s="39"/>
      <c r="AR1494" s="39"/>
      <c r="AS1494" s="39"/>
      <c r="AT1494" s="39">
        <f t="shared" si="896"/>
        <v>0</v>
      </c>
      <c r="AU1494" s="39"/>
      <c r="AV1494" s="39"/>
      <c r="AW1494" s="39"/>
      <c r="AX1494" s="39"/>
      <c r="AY1494" s="39"/>
      <c r="AZ1494" s="39">
        <f t="shared" si="897"/>
        <v>0</v>
      </c>
      <c r="BA1494" s="39"/>
      <c r="BB1494" s="39"/>
      <c r="BC1494" s="39"/>
      <c r="BD1494" s="39"/>
      <c r="BE1494" s="39"/>
      <c r="BF1494" s="39">
        <f t="shared" si="898"/>
        <v>0</v>
      </c>
      <c r="BG1494" s="39"/>
      <c r="BH1494" s="39"/>
      <c r="BI1494" s="39"/>
      <c r="BJ1494" s="39"/>
      <c r="BK1494" s="39"/>
      <c r="BL1494" s="39">
        <f t="shared" si="780"/>
        <v>0</v>
      </c>
      <c r="BM1494" s="54" t="str">
        <f t="shared" si="899"/>
        <v/>
      </c>
      <c r="BN1494" s="58">
        <v>46266</v>
      </c>
      <c r="BO1494" s="57">
        <v>46286</v>
      </c>
      <c r="BP1494" s="36"/>
      <c r="BQ1494" s="36"/>
      <c r="BR1494" s="117">
        <v>46268</v>
      </c>
      <c r="BS1494" s="117">
        <v>46272</v>
      </c>
      <c r="BT1494" s="39" t="s">
        <v>2902</v>
      </c>
      <c r="BU1494" s="39">
        <f>647+643+714+66+64</f>
        <v>2134</v>
      </c>
      <c r="BV1494" s="39"/>
      <c r="BW1494" s="39"/>
      <c r="BX1494" s="39" t="s">
        <v>2765</v>
      </c>
      <c r="BY1494" s="39">
        <f>72+75+75</f>
        <v>222</v>
      </c>
      <c r="BZ1494" s="39">
        <f t="shared" si="781"/>
        <v>2356</v>
      </c>
      <c r="CA1494" s="39">
        <f t="shared" si="900"/>
        <v>54</v>
      </c>
      <c r="CB1494" s="39">
        <f t="shared" si="901"/>
        <v>0</v>
      </c>
      <c r="CC1494" s="39">
        <v>0</v>
      </c>
      <c r="CD1494" s="39">
        <v>0</v>
      </c>
      <c r="CE1494" s="102">
        <f t="shared" si="903"/>
        <v>0</v>
      </c>
      <c r="CF1494" s="36"/>
      <c r="CG1494" s="39" t="s">
        <v>238</v>
      </c>
      <c r="CH1494" s="39"/>
      <c r="CI1494" s="25">
        <v>1</v>
      </c>
    </row>
    <row r="1495" spans="1:87" ht="24.75" customHeight="1">
      <c r="A1495" s="36" t="s">
        <v>46</v>
      </c>
      <c r="B1495" s="30">
        <v>48448</v>
      </c>
      <c r="C1495" s="228"/>
      <c r="D1495" s="36"/>
      <c r="E1495" s="39">
        <v>160</v>
      </c>
      <c r="F1495" s="39" t="s">
        <v>55</v>
      </c>
      <c r="G1495" s="36" t="s">
        <v>338</v>
      </c>
      <c r="H1495" s="39" t="s">
        <v>22</v>
      </c>
      <c r="I1495" s="39">
        <v>100</v>
      </c>
      <c r="J1495" s="39"/>
      <c r="K1495" s="39"/>
      <c r="L1495" s="39">
        <f t="shared" si="959"/>
        <v>100</v>
      </c>
      <c r="M1495" s="117">
        <v>46252</v>
      </c>
      <c r="N1495" s="117">
        <v>46270</v>
      </c>
      <c r="O1495" s="39"/>
      <c r="P1495" s="39"/>
      <c r="Q1495" s="39"/>
      <c r="R1495" s="39">
        <f t="shared" si="960"/>
        <v>0</v>
      </c>
      <c r="S1495" s="39" t="s">
        <v>130</v>
      </c>
      <c r="T1495" s="39"/>
      <c r="U1495" s="39"/>
      <c r="V1495" s="39"/>
      <c r="W1495" s="39"/>
      <c r="X1495" s="39"/>
      <c r="Y1495" s="39"/>
      <c r="Z1495" s="39"/>
      <c r="AA1495" s="39"/>
      <c r="AB1495" s="118">
        <f t="shared" si="961"/>
        <v>0</v>
      </c>
      <c r="AC1495" s="39"/>
      <c r="AD1495" s="39"/>
      <c r="AE1495" s="39"/>
      <c r="AF1495" s="39"/>
      <c r="AG1495" s="39"/>
      <c r="AH1495" s="39">
        <f t="shared" si="779"/>
        <v>0</v>
      </c>
      <c r="AI1495" s="39"/>
      <c r="AJ1495" s="39"/>
      <c r="AK1495" s="39"/>
      <c r="AL1495" s="39"/>
      <c r="AM1495" s="39"/>
      <c r="AN1495" s="39">
        <f t="shared" si="778"/>
        <v>0</v>
      </c>
      <c r="AO1495" s="39"/>
      <c r="AP1495" s="39"/>
      <c r="AQ1495" s="39"/>
      <c r="AR1495" s="39"/>
      <c r="AS1495" s="39"/>
      <c r="AT1495" s="39">
        <f t="shared" si="896"/>
        <v>0</v>
      </c>
      <c r="AU1495" s="39"/>
      <c r="AV1495" s="39"/>
      <c r="AW1495" s="39"/>
      <c r="AX1495" s="39"/>
      <c r="AY1495" s="39"/>
      <c r="AZ1495" s="39">
        <f t="shared" si="897"/>
        <v>0</v>
      </c>
      <c r="BA1495" s="39"/>
      <c r="BB1495" s="39"/>
      <c r="BC1495" s="39"/>
      <c r="BD1495" s="39"/>
      <c r="BE1495" s="39"/>
      <c r="BF1495" s="39">
        <f t="shared" si="898"/>
        <v>0</v>
      </c>
      <c r="BG1495" s="39"/>
      <c r="BH1495" s="39"/>
      <c r="BI1495" s="39"/>
      <c r="BJ1495" s="39"/>
      <c r="BK1495" s="39"/>
      <c r="BL1495" s="39">
        <f t="shared" si="780"/>
        <v>0</v>
      </c>
      <c r="BM1495" s="54">
        <f t="shared" ca="1" si="899"/>
        <v>46283</v>
      </c>
      <c r="BN1495" s="58">
        <v>46266</v>
      </c>
      <c r="BO1495" s="57">
        <v>46286</v>
      </c>
      <c r="BP1495" s="36"/>
      <c r="BQ1495" s="36"/>
      <c r="BR1495" s="39"/>
      <c r="BS1495" s="39"/>
      <c r="BT1495" s="39"/>
      <c r="BU1495" s="39"/>
      <c r="BV1495" s="39"/>
      <c r="BW1495" s="39"/>
      <c r="BX1495" s="39"/>
      <c r="BY1495" s="39"/>
      <c r="BZ1495" s="39">
        <f t="shared" si="781"/>
        <v>0</v>
      </c>
      <c r="CA1495" s="39">
        <f t="shared" si="900"/>
        <v>-100</v>
      </c>
      <c r="CB1495" s="39">
        <f t="shared" si="901"/>
        <v>0</v>
      </c>
      <c r="CC1495" s="39">
        <f t="shared" si="902"/>
        <v>0</v>
      </c>
      <c r="CD1495" s="39">
        <f t="shared" si="782"/>
        <v>-100</v>
      </c>
      <c r="CE1495" s="102">
        <f t="shared" si="903"/>
        <v>-1</v>
      </c>
      <c r="CF1495" s="36"/>
      <c r="CG1495" s="39" t="s">
        <v>238</v>
      </c>
      <c r="CH1495" s="39"/>
      <c r="CI1495" s="25">
        <v>1</v>
      </c>
    </row>
    <row r="1496" spans="1:87" ht="30.75" customHeight="1">
      <c r="A1496" s="36" t="s">
        <v>46</v>
      </c>
      <c r="B1496" s="164">
        <v>48456</v>
      </c>
      <c r="C1496" s="36" t="s">
        <v>3004</v>
      </c>
      <c r="D1496" s="36"/>
      <c r="E1496" s="39">
        <v>260</v>
      </c>
      <c r="F1496" s="39" t="s">
        <v>55</v>
      </c>
      <c r="G1496" s="163" t="s">
        <v>2254</v>
      </c>
      <c r="H1496" s="39" t="s">
        <v>111</v>
      </c>
      <c r="I1496" s="162">
        <f>1422-20</f>
        <v>1402</v>
      </c>
      <c r="J1496" s="39"/>
      <c r="K1496" s="162">
        <f>59+7</f>
        <v>66</v>
      </c>
      <c r="L1496" s="39">
        <f t="shared" si="959"/>
        <v>1468</v>
      </c>
      <c r="M1496" s="117">
        <v>46254</v>
      </c>
      <c r="N1496" s="117">
        <v>46280</v>
      </c>
      <c r="O1496" s="39"/>
      <c r="P1496" s="39"/>
      <c r="Q1496" s="39"/>
      <c r="R1496" s="39">
        <f t="shared" si="960"/>
        <v>0</v>
      </c>
      <c r="S1496" s="39" t="s">
        <v>130</v>
      </c>
      <c r="T1496" s="39"/>
      <c r="U1496" s="39"/>
      <c r="V1496" s="39"/>
      <c r="W1496" s="39"/>
      <c r="X1496" s="39"/>
      <c r="Y1496" s="39"/>
      <c r="Z1496" s="39"/>
      <c r="AA1496" s="39"/>
      <c r="AB1496" s="118">
        <f t="shared" si="961"/>
        <v>0</v>
      </c>
      <c r="AC1496" s="39"/>
      <c r="AD1496" s="39"/>
      <c r="AE1496" s="39"/>
      <c r="AF1496" s="39"/>
      <c r="AG1496" s="39"/>
      <c r="AH1496" s="39">
        <f t="shared" si="779"/>
        <v>0</v>
      </c>
      <c r="AI1496" s="39"/>
      <c r="AJ1496" s="39"/>
      <c r="AK1496" s="39"/>
      <c r="AL1496" s="39"/>
      <c r="AM1496" s="39"/>
      <c r="AN1496" s="39">
        <f t="shared" si="778"/>
        <v>0</v>
      </c>
      <c r="AO1496" s="39"/>
      <c r="AP1496" s="39"/>
      <c r="AQ1496" s="39"/>
      <c r="AR1496" s="39"/>
      <c r="AS1496" s="39"/>
      <c r="AT1496" s="39">
        <f t="shared" si="896"/>
        <v>0</v>
      </c>
      <c r="AU1496" s="39"/>
      <c r="AV1496" s="39"/>
      <c r="AW1496" s="39"/>
      <c r="AX1496" s="39"/>
      <c r="AY1496" s="39"/>
      <c r="AZ1496" s="39">
        <f t="shared" si="897"/>
        <v>0</v>
      </c>
      <c r="BA1496" s="39"/>
      <c r="BB1496" s="39"/>
      <c r="BC1496" s="39"/>
      <c r="BD1496" s="39"/>
      <c r="BE1496" s="39"/>
      <c r="BF1496" s="39">
        <f t="shared" si="898"/>
        <v>0</v>
      </c>
      <c r="BG1496" s="39"/>
      <c r="BH1496" s="39"/>
      <c r="BI1496" s="39"/>
      <c r="BJ1496" s="39"/>
      <c r="BK1496" s="39"/>
      <c r="BL1496" s="39">
        <f t="shared" si="780"/>
        <v>0</v>
      </c>
      <c r="BM1496" s="54">
        <f t="shared" ca="1" si="899"/>
        <v>46283</v>
      </c>
      <c r="BN1496" s="58">
        <v>46270</v>
      </c>
      <c r="BO1496" s="57">
        <v>46290</v>
      </c>
      <c r="BP1496" s="36"/>
      <c r="BQ1496" s="36"/>
      <c r="BR1496" s="39"/>
      <c r="BS1496" s="39"/>
      <c r="BT1496" s="39"/>
      <c r="BU1496" s="39"/>
      <c r="BV1496" s="39"/>
      <c r="BW1496" s="39"/>
      <c r="BX1496" s="39"/>
      <c r="BY1496" s="39"/>
      <c r="BZ1496" s="39">
        <f t="shared" si="781"/>
        <v>0</v>
      </c>
      <c r="CA1496" s="39">
        <f t="shared" si="900"/>
        <v>-1402</v>
      </c>
      <c r="CB1496" s="39">
        <f t="shared" si="901"/>
        <v>0</v>
      </c>
      <c r="CC1496" s="39">
        <f t="shared" si="902"/>
        <v>-66</v>
      </c>
      <c r="CD1496" s="39">
        <f t="shared" si="782"/>
        <v>-1468</v>
      </c>
      <c r="CE1496" s="102">
        <f t="shared" si="903"/>
        <v>-1</v>
      </c>
      <c r="CF1496" s="36"/>
      <c r="CG1496" s="39" t="s">
        <v>238</v>
      </c>
      <c r="CH1496" s="39"/>
      <c r="CI1496" s="25">
        <v>1</v>
      </c>
    </row>
    <row r="1497" spans="1:87" ht="24.75" customHeight="1">
      <c r="A1497" s="36" t="s">
        <v>46</v>
      </c>
      <c r="B1497" s="30">
        <v>48451</v>
      </c>
      <c r="C1497" s="227" t="s">
        <v>2269</v>
      </c>
      <c r="D1497" s="23"/>
      <c r="E1497" s="39">
        <v>260</v>
      </c>
      <c r="F1497" s="39" t="s">
        <v>58</v>
      </c>
      <c r="G1497" s="36" t="s">
        <v>2254</v>
      </c>
      <c r="H1497" s="36" t="s">
        <v>111</v>
      </c>
      <c r="I1497" s="39">
        <v>1119</v>
      </c>
      <c r="J1497" s="39"/>
      <c r="K1497" s="39">
        <v>80</v>
      </c>
      <c r="L1497" s="39">
        <f t="shared" ref="L1497:L1501" si="962">SUM(I1497:K1497)</f>
        <v>1199</v>
      </c>
      <c r="M1497" s="117">
        <v>46259</v>
      </c>
      <c r="N1497" s="117">
        <v>46273</v>
      </c>
      <c r="O1497" s="39"/>
      <c r="P1497" s="39"/>
      <c r="Q1497" s="39"/>
      <c r="R1497" s="39">
        <f t="shared" ref="R1497:R1501" si="963">SUM(O1497:Q1497)</f>
        <v>0</v>
      </c>
      <c r="S1497" s="39" t="s">
        <v>130</v>
      </c>
      <c r="T1497" s="39">
        <v>109370</v>
      </c>
      <c r="U1497" s="117">
        <v>46278</v>
      </c>
      <c r="V1497" s="39"/>
      <c r="W1497" s="39"/>
      <c r="X1497" s="39"/>
      <c r="Y1497" s="39">
        <f>934</f>
        <v>934</v>
      </c>
      <c r="Z1497" s="39"/>
      <c r="AA1497" s="39">
        <f>70</f>
        <v>70</v>
      </c>
      <c r="AB1497" s="118">
        <f t="shared" ref="AB1497:AB1501" si="964">SUM(Y1497:AA1497)</f>
        <v>1004</v>
      </c>
      <c r="AC1497" s="39"/>
      <c r="AD1497" s="39"/>
      <c r="AE1497" s="39"/>
      <c r="AF1497" s="39"/>
      <c r="AG1497" s="39"/>
      <c r="AH1497" s="39">
        <f t="shared" si="779"/>
        <v>0</v>
      </c>
      <c r="AI1497" s="39"/>
      <c r="AJ1497" s="39"/>
      <c r="AK1497" s="39"/>
      <c r="AL1497" s="39"/>
      <c r="AM1497" s="39"/>
      <c r="AN1497" s="39">
        <f t="shared" si="778"/>
        <v>0</v>
      </c>
      <c r="AO1497" s="39"/>
      <c r="AP1497" s="39"/>
      <c r="AQ1497" s="39"/>
      <c r="AR1497" s="39"/>
      <c r="AS1497" s="39"/>
      <c r="AT1497" s="39">
        <f t="shared" si="896"/>
        <v>0</v>
      </c>
      <c r="AU1497" s="39"/>
      <c r="AV1497" s="39"/>
      <c r="AW1497" s="39"/>
      <c r="AX1497" s="39"/>
      <c r="AY1497" s="39"/>
      <c r="AZ1497" s="39">
        <f t="shared" si="897"/>
        <v>0</v>
      </c>
      <c r="BA1497" s="39"/>
      <c r="BB1497" s="39"/>
      <c r="BC1497" s="39"/>
      <c r="BD1497" s="39"/>
      <c r="BE1497" s="39"/>
      <c r="BF1497" s="39">
        <f t="shared" si="898"/>
        <v>0</v>
      </c>
      <c r="BG1497" s="39"/>
      <c r="BH1497" s="39"/>
      <c r="BI1497" s="39"/>
      <c r="BJ1497" s="39"/>
      <c r="BK1497" s="39"/>
      <c r="BL1497" s="39">
        <f t="shared" si="780"/>
        <v>0</v>
      </c>
      <c r="BM1497" s="54">
        <f t="shared" ca="1" si="899"/>
        <v>5</v>
      </c>
      <c r="BN1497" s="58">
        <v>46275</v>
      </c>
      <c r="BO1497" s="57">
        <v>46289</v>
      </c>
      <c r="BP1497" s="36"/>
      <c r="BQ1497" s="36"/>
      <c r="BR1497" s="117">
        <v>46281</v>
      </c>
      <c r="BS1497" s="39"/>
      <c r="BT1497" s="39">
        <v>905</v>
      </c>
      <c r="BU1497" s="39">
        <f>848</f>
        <v>848</v>
      </c>
      <c r="BV1497" s="39"/>
      <c r="BW1497" s="39"/>
      <c r="BX1497" s="39">
        <v>905</v>
      </c>
      <c r="BY1497" s="39">
        <f>63</f>
        <v>63</v>
      </c>
      <c r="BZ1497" s="39">
        <f t="shared" si="781"/>
        <v>911</v>
      </c>
      <c r="CA1497" s="39">
        <f t="shared" si="900"/>
        <v>-271</v>
      </c>
      <c r="CB1497" s="39">
        <f t="shared" si="901"/>
        <v>0</v>
      </c>
      <c r="CC1497" s="39">
        <f t="shared" si="902"/>
        <v>-17</v>
      </c>
      <c r="CD1497" s="39">
        <f t="shared" si="782"/>
        <v>-288</v>
      </c>
      <c r="CE1497" s="102">
        <f t="shared" si="903"/>
        <v>-0.24020016680567138</v>
      </c>
      <c r="CF1497" s="36"/>
      <c r="CG1497" s="39" t="s">
        <v>238</v>
      </c>
      <c r="CH1497" s="39"/>
      <c r="CI1497" s="25">
        <v>1</v>
      </c>
    </row>
    <row r="1498" spans="1:87" ht="24.75" customHeight="1">
      <c r="A1498" s="36" t="s">
        <v>46</v>
      </c>
      <c r="B1498" s="30">
        <v>48451</v>
      </c>
      <c r="C1498" s="231"/>
      <c r="D1498" s="23"/>
      <c r="E1498" s="39">
        <v>260</v>
      </c>
      <c r="F1498" s="39" t="s">
        <v>58</v>
      </c>
      <c r="G1498" s="36" t="s">
        <v>348</v>
      </c>
      <c r="H1498" s="36" t="s">
        <v>111</v>
      </c>
      <c r="I1498" s="39">
        <v>141</v>
      </c>
      <c r="J1498" s="39"/>
      <c r="K1498" s="39"/>
      <c r="L1498" s="39">
        <f t="shared" si="962"/>
        <v>141</v>
      </c>
      <c r="M1498" s="117">
        <v>46259</v>
      </c>
      <c r="N1498" s="117">
        <v>46273</v>
      </c>
      <c r="O1498" s="39"/>
      <c r="P1498" s="39"/>
      <c r="Q1498" s="39"/>
      <c r="R1498" s="39">
        <f t="shared" si="963"/>
        <v>0</v>
      </c>
      <c r="S1498" s="39" t="s">
        <v>130</v>
      </c>
      <c r="T1498" s="39"/>
      <c r="U1498" s="39"/>
      <c r="V1498" s="39"/>
      <c r="W1498" s="39"/>
      <c r="X1498" s="39"/>
      <c r="Y1498" s="39"/>
      <c r="Z1498" s="39"/>
      <c r="AA1498" s="39"/>
      <c r="AB1498" s="118">
        <f t="shared" si="964"/>
        <v>0</v>
      </c>
      <c r="AC1498" s="39"/>
      <c r="AD1498" s="39"/>
      <c r="AE1498" s="39"/>
      <c r="AF1498" s="39"/>
      <c r="AG1498" s="39"/>
      <c r="AH1498" s="39">
        <f t="shared" si="779"/>
        <v>0</v>
      </c>
      <c r="AI1498" s="39"/>
      <c r="AJ1498" s="39"/>
      <c r="AK1498" s="39"/>
      <c r="AL1498" s="39"/>
      <c r="AM1498" s="39"/>
      <c r="AN1498" s="39">
        <f t="shared" si="778"/>
        <v>0</v>
      </c>
      <c r="AO1498" s="39"/>
      <c r="AP1498" s="39"/>
      <c r="AQ1498" s="39"/>
      <c r="AR1498" s="39"/>
      <c r="AS1498" s="39"/>
      <c r="AT1498" s="39">
        <f t="shared" si="896"/>
        <v>0</v>
      </c>
      <c r="AU1498" s="39"/>
      <c r="AV1498" s="39"/>
      <c r="AW1498" s="39"/>
      <c r="AX1498" s="39"/>
      <c r="AY1498" s="39"/>
      <c r="AZ1498" s="39">
        <f t="shared" si="897"/>
        <v>0</v>
      </c>
      <c r="BA1498" s="39"/>
      <c r="BB1498" s="39"/>
      <c r="BC1498" s="39"/>
      <c r="BD1498" s="39"/>
      <c r="BE1498" s="39"/>
      <c r="BF1498" s="39">
        <f t="shared" si="898"/>
        <v>0</v>
      </c>
      <c r="BG1498" s="39"/>
      <c r="BH1498" s="39"/>
      <c r="BI1498" s="39"/>
      <c r="BJ1498" s="39"/>
      <c r="BK1498" s="39"/>
      <c r="BL1498" s="39">
        <f t="shared" si="780"/>
        <v>0</v>
      </c>
      <c r="BM1498" s="54">
        <f t="shared" ca="1" si="899"/>
        <v>46283</v>
      </c>
      <c r="BN1498" s="58">
        <v>46275</v>
      </c>
      <c r="BO1498" s="57">
        <v>46289</v>
      </c>
      <c r="BP1498" s="36"/>
      <c r="BQ1498" s="36"/>
      <c r="BR1498" s="39"/>
      <c r="BS1498" s="39"/>
      <c r="BT1498" s="39"/>
      <c r="BU1498" s="39"/>
      <c r="BV1498" s="39"/>
      <c r="BW1498" s="39"/>
      <c r="BX1498" s="39"/>
      <c r="BY1498" s="39"/>
      <c r="BZ1498" s="39">
        <f t="shared" si="781"/>
        <v>0</v>
      </c>
      <c r="CA1498" s="39">
        <f t="shared" si="900"/>
        <v>-141</v>
      </c>
      <c r="CB1498" s="39">
        <f t="shared" si="901"/>
        <v>0</v>
      </c>
      <c r="CC1498" s="39">
        <f t="shared" si="902"/>
        <v>0</v>
      </c>
      <c r="CD1498" s="39">
        <f t="shared" si="782"/>
        <v>-141</v>
      </c>
      <c r="CE1498" s="102">
        <f t="shared" si="903"/>
        <v>-1</v>
      </c>
      <c r="CF1498" s="36"/>
      <c r="CG1498" s="39" t="s">
        <v>238</v>
      </c>
      <c r="CH1498" s="39"/>
      <c r="CI1498" s="25">
        <v>1</v>
      </c>
    </row>
    <row r="1499" spans="1:87" ht="24.75" customHeight="1">
      <c r="A1499" s="36" t="s">
        <v>46</v>
      </c>
      <c r="B1499" s="30">
        <v>48451</v>
      </c>
      <c r="C1499" s="228"/>
      <c r="D1499" s="23"/>
      <c r="E1499" s="39">
        <v>160</v>
      </c>
      <c r="F1499" s="39" t="s">
        <v>55</v>
      </c>
      <c r="G1499" s="36" t="s">
        <v>2263</v>
      </c>
      <c r="H1499" s="36" t="s">
        <v>22</v>
      </c>
      <c r="I1499" s="39">
        <v>95</v>
      </c>
      <c r="J1499" s="39"/>
      <c r="K1499" s="39"/>
      <c r="L1499" s="39">
        <f t="shared" si="962"/>
        <v>95</v>
      </c>
      <c r="M1499" s="117">
        <v>46259</v>
      </c>
      <c r="N1499" s="117">
        <v>46273</v>
      </c>
      <c r="O1499" s="39"/>
      <c r="P1499" s="39"/>
      <c r="Q1499" s="39"/>
      <c r="R1499" s="39">
        <f t="shared" si="963"/>
        <v>0</v>
      </c>
      <c r="S1499" s="39" t="s">
        <v>130</v>
      </c>
      <c r="T1499" s="39"/>
      <c r="U1499" s="39"/>
      <c r="V1499" s="39"/>
      <c r="W1499" s="39"/>
      <c r="X1499" s="39"/>
      <c r="Y1499" s="39"/>
      <c r="Z1499" s="39"/>
      <c r="AA1499" s="39"/>
      <c r="AB1499" s="118">
        <f t="shared" si="964"/>
        <v>0</v>
      </c>
      <c r="AC1499" s="39"/>
      <c r="AD1499" s="39"/>
      <c r="AE1499" s="39"/>
      <c r="AF1499" s="39"/>
      <c r="AG1499" s="39"/>
      <c r="AH1499" s="39">
        <f t="shared" si="779"/>
        <v>0</v>
      </c>
      <c r="AI1499" s="39"/>
      <c r="AJ1499" s="39"/>
      <c r="AK1499" s="39"/>
      <c r="AL1499" s="39"/>
      <c r="AM1499" s="39"/>
      <c r="AN1499" s="39">
        <f t="shared" si="778"/>
        <v>0</v>
      </c>
      <c r="AO1499" s="39"/>
      <c r="AP1499" s="39"/>
      <c r="AQ1499" s="39"/>
      <c r="AR1499" s="39"/>
      <c r="AS1499" s="39"/>
      <c r="AT1499" s="39">
        <f t="shared" si="896"/>
        <v>0</v>
      </c>
      <c r="AU1499" s="39"/>
      <c r="AV1499" s="39"/>
      <c r="AW1499" s="39"/>
      <c r="AX1499" s="39"/>
      <c r="AY1499" s="39"/>
      <c r="AZ1499" s="39">
        <f t="shared" si="897"/>
        <v>0</v>
      </c>
      <c r="BA1499" s="39"/>
      <c r="BB1499" s="39"/>
      <c r="BC1499" s="39"/>
      <c r="BD1499" s="39"/>
      <c r="BE1499" s="39"/>
      <c r="BF1499" s="39">
        <f t="shared" si="898"/>
        <v>0</v>
      </c>
      <c r="BG1499" s="39"/>
      <c r="BH1499" s="39"/>
      <c r="BI1499" s="39"/>
      <c r="BJ1499" s="39"/>
      <c r="BK1499" s="39"/>
      <c r="BL1499" s="39">
        <f t="shared" si="780"/>
        <v>0</v>
      </c>
      <c r="BM1499" s="54">
        <f t="shared" ca="1" si="899"/>
        <v>46283</v>
      </c>
      <c r="BN1499" s="58">
        <v>46275</v>
      </c>
      <c r="BO1499" s="57">
        <v>46289</v>
      </c>
      <c r="BP1499" s="36"/>
      <c r="BQ1499" s="36"/>
      <c r="BR1499" s="39"/>
      <c r="BS1499" s="39"/>
      <c r="BT1499" s="39"/>
      <c r="BU1499" s="39"/>
      <c r="BV1499" s="39"/>
      <c r="BW1499" s="39"/>
      <c r="BX1499" s="39"/>
      <c r="BY1499" s="39"/>
      <c r="BZ1499" s="39">
        <f t="shared" si="781"/>
        <v>0</v>
      </c>
      <c r="CA1499" s="39">
        <f t="shared" si="900"/>
        <v>-95</v>
      </c>
      <c r="CB1499" s="39">
        <f t="shared" si="901"/>
        <v>0</v>
      </c>
      <c r="CC1499" s="39">
        <f t="shared" si="902"/>
        <v>0</v>
      </c>
      <c r="CD1499" s="39">
        <f t="shared" si="782"/>
        <v>-95</v>
      </c>
      <c r="CE1499" s="102">
        <f t="shared" si="903"/>
        <v>-1</v>
      </c>
      <c r="CF1499" s="36"/>
      <c r="CG1499" s="39" t="s">
        <v>238</v>
      </c>
      <c r="CH1499" s="39"/>
      <c r="CI1499" s="25">
        <v>1</v>
      </c>
    </row>
    <row r="1500" spans="1:87" ht="24.75" customHeight="1">
      <c r="A1500" s="36" t="s">
        <v>46</v>
      </c>
      <c r="B1500" s="30">
        <v>48454</v>
      </c>
      <c r="C1500" s="227" t="s">
        <v>3002</v>
      </c>
      <c r="D1500" s="23"/>
      <c r="E1500" s="39">
        <v>180</v>
      </c>
      <c r="F1500" s="39" t="s">
        <v>55</v>
      </c>
      <c r="G1500" s="36" t="s">
        <v>2254</v>
      </c>
      <c r="H1500" s="36" t="s">
        <v>22</v>
      </c>
      <c r="I1500" s="39">
        <f>842-27</f>
        <v>815</v>
      </c>
      <c r="J1500" s="39"/>
      <c r="K1500" s="39"/>
      <c r="L1500" s="39">
        <f t="shared" si="962"/>
        <v>815</v>
      </c>
      <c r="M1500" s="117">
        <v>46259</v>
      </c>
      <c r="N1500" s="117">
        <v>46281</v>
      </c>
      <c r="O1500" s="39"/>
      <c r="P1500" s="39"/>
      <c r="Q1500" s="39"/>
      <c r="R1500" s="39">
        <f t="shared" si="963"/>
        <v>0</v>
      </c>
      <c r="S1500" s="39" t="s">
        <v>130</v>
      </c>
      <c r="T1500" s="39">
        <v>109296</v>
      </c>
      <c r="U1500" s="117">
        <v>46275</v>
      </c>
      <c r="V1500" s="39"/>
      <c r="W1500" s="39"/>
      <c r="X1500" s="39"/>
      <c r="Y1500" s="39">
        <v>946</v>
      </c>
      <c r="Z1500" s="39"/>
      <c r="AA1500" s="39"/>
      <c r="AB1500" s="119">
        <f t="shared" si="964"/>
        <v>946</v>
      </c>
      <c r="AC1500" s="39"/>
      <c r="AD1500" s="39"/>
      <c r="AE1500" s="39"/>
      <c r="AF1500" s="39"/>
      <c r="AG1500" s="39"/>
      <c r="AH1500" s="39">
        <f t="shared" si="779"/>
        <v>0</v>
      </c>
      <c r="AI1500" s="39"/>
      <c r="AJ1500" s="39"/>
      <c r="AK1500" s="39"/>
      <c r="AL1500" s="39"/>
      <c r="AM1500" s="39"/>
      <c r="AN1500" s="39">
        <f t="shared" si="778"/>
        <v>0</v>
      </c>
      <c r="AO1500" s="39"/>
      <c r="AP1500" s="39"/>
      <c r="AQ1500" s="39"/>
      <c r="AR1500" s="39"/>
      <c r="AS1500" s="39"/>
      <c r="AT1500" s="39">
        <f t="shared" si="896"/>
        <v>0</v>
      </c>
      <c r="AU1500" s="39"/>
      <c r="AV1500" s="39"/>
      <c r="AW1500" s="39"/>
      <c r="AX1500" s="39"/>
      <c r="AY1500" s="39"/>
      <c r="AZ1500" s="39">
        <f t="shared" si="897"/>
        <v>0</v>
      </c>
      <c r="BA1500" s="39"/>
      <c r="BB1500" s="39"/>
      <c r="BC1500" s="39"/>
      <c r="BD1500" s="39"/>
      <c r="BE1500" s="39"/>
      <c r="BF1500" s="39">
        <f t="shared" si="898"/>
        <v>0</v>
      </c>
      <c r="BG1500" s="39"/>
      <c r="BH1500" s="39"/>
      <c r="BI1500" s="39"/>
      <c r="BJ1500" s="39"/>
      <c r="BK1500" s="39"/>
      <c r="BL1500" s="39">
        <f t="shared" si="780"/>
        <v>0</v>
      </c>
      <c r="BM1500" s="54">
        <f t="shared" ca="1" si="899"/>
        <v>8</v>
      </c>
      <c r="BN1500" s="58">
        <v>46275</v>
      </c>
      <c r="BO1500" s="57">
        <v>46293</v>
      </c>
      <c r="BP1500" s="36"/>
      <c r="BQ1500" s="36"/>
      <c r="BR1500" s="39"/>
      <c r="BS1500" s="39"/>
      <c r="BT1500" s="39"/>
      <c r="BU1500" s="39"/>
      <c r="BV1500" s="39"/>
      <c r="BW1500" s="39"/>
      <c r="BX1500" s="39"/>
      <c r="BY1500" s="39"/>
      <c r="BZ1500" s="39">
        <f t="shared" si="781"/>
        <v>0</v>
      </c>
      <c r="CA1500" s="39">
        <f t="shared" si="900"/>
        <v>-815</v>
      </c>
      <c r="CB1500" s="39">
        <f t="shared" si="901"/>
        <v>0</v>
      </c>
      <c r="CC1500" s="39">
        <f t="shared" si="902"/>
        <v>0</v>
      </c>
      <c r="CD1500" s="39">
        <f t="shared" si="782"/>
        <v>-815</v>
      </c>
      <c r="CE1500" s="102">
        <f t="shared" si="903"/>
        <v>-1</v>
      </c>
      <c r="CF1500" s="36"/>
      <c r="CG1500" s="39" t="s">
        <v>238</v>
      </c>
      <c r="CH1500" s="39"/>
      <c r="CI1500" s="25">
        <v>1</v>
      </c>
    </row>
    <row r="1501" spans="1:87" ht="24.75" customHeight="1">
      <c r="A1501" s="36" t="s">
        <v>46</v>
      </c>
      <c r="B1501" s="164">
        <v>48454</v>
      </c>
      <c r="C1501" s="228"/>
      <c r="D1501" s="23"/>
      <c r="E1501" s="39">
        <v>260</v>
      </c>
      <c r="F1501" s="39" t="s">
        <v>60</v>
      </c>
      <c r="G1501" s="163" t="s">
        <v>348</v>
      </c>
      <c r="H1501" s="36" t="s">
        <v>89</v>
      </c>
      <c r="I1501" s="162">
        <f>53+28</f>
        <v>81</v>
      </c>
      <c r="J1501" s="39"/>
      <c r="K1501" s="39"/>
      <c r="L1501" s="39">
        <f t="shared" si="962"/>
        <v>81</v>
      </c>
      <c r="M1501" s="117">
        <v>46259</v>
      </c>
      <c r="N1501" s="117">
        <v>46281</v>
      </c>
      <c r="O1501" s="39"/>
      <c r="P1501" s="39"/>
      <c r="Q1501" s="39"/>
      <c r="R1501" s="39">
        <f t="shared" si="963"/>
        <v>0</v>
      </c>
      <c r="S1501" s="39" t="s">
        <v>130</v>
      </c>
      <c r="T1501" s="39">
        <v>109439</v>
      </c>
      <c r="U1501" s="117">
        <v>46280</v>
      </c>
      <c r="V1501" s="39"/>
      <c r="W1501" s="39"/>
      <c r="X1501" s="39"/>
      <c r="Y1501" s="39">
        <f>63</f>
        <v>63</v>
      </c>
      <c r="Z1501" s="39"/>
      <c r="AA1501" s="39"/>
      <c r="AB1501" s="118">
        <f t="shared" si="964"/>
        <v>63</v>
      </c>
      <c r="AC1501" s="39"/>
      <c r="AD1501" s="39"/>
      <c r="AE1501" s="39"/>
      <c r="AF1501" s="39"/>
      <c r="AG1501" s="39"/>
      <c r="AH1501" s="39">
        <f t="shared" si="779"/>
        <v>0</v>
      </c>
      <c r="AI1501" s="39"/>
      <c r="AJ1501" s="39"/>
      <c r="AK1501" s="39"/>
      <c r="AL1501" s="39"/>
      <c r="AM1501" s="39"/>
      <c r="AN1501" s="39">
        <f t="shared" si="778"/>
        <v>0</v>
      </c>
      <c r="AO1501" s="39"/>
      <c r="AP1501" s="39"/>
      <c r="AQ1501" s="39"/>
      <c r="AR1501" s="39"/>
      <c r="AS1501" s="39"/>
      <c r="AT1501" s="39">
        <f t="shared" si="896"/>
        <v>0</v>
      </c>
      <c r="AU1501" s="39"/>
      <c r="AV1501" s="39"/>
      <c r="AW1501" s="39"/>
      <c r="AX1501" s="39"/>
      <c r="AY1501" s="39"/>
      <c r="AZ1501" s="39">
        <f t="shared" si="897"/>
        <v>0</v>
      </c>
      <c r="BA1501" s="39"/>
      <c r="BB1501" s="39"/>
      <c r="BC1501" s="39"/>
      <c r="BD1501" s="39"/>
      <c r="BE1501" s="39"/>
      <c r="BF1501" s="39">
        <f t="shared" si="898"/>
        <v>0</v>
      </c>
      <c r="BG1501" s="39"/>
      <c r="BH1501" s="39"/>
      <c r="BI1501" s="39"/>
      <c r="BJ1501" s="39"/>
      <c r="BK1501" s="39"/>
      <c r="BL1501" s="39">
        <f t="shared" si="780"/>
        <v>0</v>
      </c>
      <c r="BM1501" s="54">
        <f t="shared" ca="1" si="899"/>
        <v>3</v>
      </c>
      <c r="BN1501" s="58">
        <v>46275</v>
      </c>
      <c r="BO1501" s="57">
        <v>46293</v>
      </c>
      <c r="BP1501" s="36"/>
      <c r="BQ1501" s="36"/>
      <c r="BR1501" s="39"/>
      <c r="BS1501" s="39"/>
      <c r="BT1501" s="39"/>
      <c r="BU1501" s="39"/>
      <c r="BV1501" s="39"/>
      <c r="BW1501" s="39"/>
      <c r="BX1501" s="39"/>
      <c r="BY1501" s="39"/>
      <c r="BZ1501" s="39">
        <f t="shared" si="781"/>
        <v>0</v>
      </c>
      <c r="CA1501" s="39">
        <f t="shared" si="900"/>
        <v>-81</v>
      </c>
      <c r="CB1501" s="39">
        <f t="shared" si="901"/>
        <v>0</v>
      </c>
      <c r="CC1501" s="39">
        <f t="shared" si="902"/>
        <v>0</v>
      </c>
      <c r="CD1501" s="39">
        <f t="shared" si="782"/>
        <v>-81</v>
      </c>
      <c r="CE1501" s="102">
        <f t="shared" si="903"/>
        <v>-1</v>
      </c>
      <c r="CF1501" s="36"/>
      <c r="CG1501" s="39" t="s">
        <v>238</v>
      </c>
      <c r="CH1501" s="39"/>
      <c r="CI1501" s="25">
        <v>1</v>
      </c>
    </row>
    <row r="1502" spans="1:87" ht="39.75" customHeight="1">
      <c r="A1502" s="36" t="s">
        <v>46</v>
      </c>
      <c r="B1502" s="30">
        <v>47822</v>
      </c>
      <c r="C1502" s="116" t="s">
        <v>2703</v>
      </c>
      <c r="D1502" s="23"/>
      <c r="E1502" s="39">
        <v>240</v>
      </c>
      <c r="F1502" s="39" t="s">
        <v>59</v>
      </c>
      <c r="G1502" s="36" t="s">
        <v>490</v>
      </c>
      <c r="H1502" s="36" t="s">
        <v>96</v>
      </c>
      <c r="I1502" s="39">
        <v>95</v>
      </c>
      <c r="J1502" s="39"/>
      <c r="K1502" s="39"/>
      <c r="L1502" s="39">
        <f t="shared" ref="L1502:L1503" si="965">SUM(I1502:K1502)</f>
        <v>95</v>
      </c>
      <c r="M1502" s="39"/>
      <c r="N1502" s="117">
        <v>46268</v>
      </c>
      <c r="O1502" s="39"/>
      <c r="P1502" s="39"/>
      <c r="Q1502" s="39"/>
      <c r="R1502" s="39">
        <f t="shared" ref="R1502:R1503" si="966">SUM(O1502:Q1502)</f>
        <v>0</v>
      </c>
      <c r="S1502" s="39" t="s">
        <v>130</v>
      </c>
      <c r="T1502" s="39">
        <v>109259</v>
      </c>
      <c r="U1502" s="117">
        <v>46280</v>
      </c>
      <c r="V1502" s="39"/>
      <c r="W1502" s="39"/>
      <c r="X1502" s="39"/>
      <c r="Y1502" s="39">
        <v>111</v>
      </c>
      <c r="Z1502" s="39"/>
      <c r="AA1502" s="39"/>
      <c r="AB1502" s="119">
        <f t="shared" ref="AB1502:AB1503" si="967">SUM(Y1502:AA1502)</f>
        <v>111</v>
      </c>
      <c r="AC1502" s="39"/>
      <c r="AD1502" s="39"/>
      <c r="AE1502" s="39"/>
      <c r="AF1502" s="39"/>
      <c r="AG1502" s="39"/>
      <c r="AH1502" s="39">
        <f t="shared" ref="AH1502:AH1513" si="968">AG1502-AE1502</f>
        <v>0</v>
      </c>
      <c r="AI1502" s="39"/>
      <c r="AJ1502" s="39"/>
      <c r="AK1502" s="39"/>
      <c r="AL1502" s="39"/>
      <c r="AM1502" s="39"/>
      <c r="AN1502" s="39">
        <f t="shared" ref="AN1502:AN1513" si="969">AM1502-AK1502</f>
        <v>0</v>
      </c>
      <c r="AO1502" s="39"/>
      <c r="AP1502" s="39"/>
      <c r="AQ1502" s="39"/>
      <c r="AR1502" s="39"/>
      <c r="AS1502" s="39"/>
      <c r="AT1502" s="39">
        <f t="shared" si="896"/>
        <v>0</v>
      </c>
      <c r="AU1502" s="39"/>
      <c r="AV1502" s="39"/>
      <c r="AW1502" s="39"/>
      <c r="AX1502" s="39"/>
      <c r="AY1502" s="39"/>
      <c r="AZ1502" s="39">
        <f t="shared" si="897"/>
        <v>0</v>
      </c>
      <c r="BA1502" s="39"/>
      <c r="BB1502" s="39"/>
      <c r="BC1502" s="39"/>
      <c r="BD1502" s="39"/>
      <c r="BE1502" s="39"/>
      <c r="BF1502" s="39">
        <f t="shared" si="898"/>
        <v>0</v>
      </c>
      <c r="BG1502" s="39"/>
      <c r="BH1502" s="39"/>
      <c r="BI1502" s="39"/>
      <c r="BJ1502" s="39"/>
      <c r="BK1502" s="39"/>
      <c r="BL1502" s="39">
        <f t="shared" ref="BL1502:BL1513" si="970">BK1502-BI1502</f>
        <v>0</v>
      </c>
      <c r="BM1502" s="54" t="str">
        <f t="shared" si="899"/>
        <v/>
      </c>
      <c r="BN1502" s="64"/>
      <c r="BO1502" s="57">
        <v>46276</v>
      </c>
      <c r="BP1502" s="36"/>
      <c r="BQ1502" s="36"/>
      <c r="BR1502" s="117">
        <v>46282</v>
      </c>
      <c r="BS1502" s="117">
        <v>46282</v>
      </c>
      <c r="BT1502" s="39">
        <v>911</v>
      </c>
      <c r="BU1502" s="39">
        <v>99</v>
      </c>
      <c r="BV1502" s="39"/>
      <c r="BW1502" s="39"/>
      <c r="BX1502" s="39"/>
      <c r="BY1502" s="39"/>
      <c r="BZ1502" s="39">
        <f t="shared" ref="BZ1502:BZ1513" si="971">BU1502+BW1502+BY1502</f>
        <v>99</v>
      </c>
      <c r="CA1502" s="39">
        <f t="shared" si="900"/>
        <v>4</v>
      </c>
      <c r="CB1502" s="39">
        <f t="shared" si="901"/>
        <v>0</v>
      </c>
      <c r="CC1502" s="39">
        <f t="shared" si="902"/>
        <v>0</v>
      </c>
      <c r="CD1502" s="39">
        <f t="shared" ref="CD1502:CD1513" si="972">SUMIF(CA1502:CC1502,"&lt;0")</f>
        <v>0</v>
      </c>
      <c r="CE1502" s="102">
        <f t="shared" si="903"/>
        <v>0</v>
      </c>
      <c r="CF1502" s="36"/>
      <c r="CG1502" s="39" t="s">
        <v>240</v>
      </c>
      <c r="CH1502" s="39"/>
      <c r="CI1502" s="25">
        <v>1</v>
      </c>
    </row>
    <row r="1503" spans="1:87" ht="33.75" customHeight="1">
      <c r="A1503" s="36" t="s">
        <v>46</v>
      </c>
      <c r="B1503" s="30">
        <v>47820</v>
      </c>
      <c r="C1503" s="116" t="s">
        <v>2702</v>
      </c>
      <c r="D1503" s="23"/>
      <c r="E1503" s="39">
        <v>240</v>
      </c>
      <c r="F1503" s="39" t="s">
        <v>59</v>
      </c>
      <c r="G1503" s="36" t="s">
        <v>1305</v>
      </c>
      <c r="H1503" s="36" t="s">
        <v>96</v>
      </c>
      <c r="I1503" s="39">
        <v>115</v>
      </c>
      <c r="J1503" s="39"/>
      <c r="K1503" s="39"/>
      <c r="L1503" s="39">
        <f t="shared" si="965"/>
        <v>115</v>
      </c>
      <c r="M1503" s="39"/>
      <c r="N1503" s="117">
        <v>46268</v>
      </c>
      <c r="O1503" s="39"/>
      <c r="P1503" s="39"/>
      <c r="Q1503" s="39"/>
      <c r="R1503" s="39">
        <f t="shared" si="966"/>
        <v>0</v>
      </c>
      <c r="S1503" s="39" t="s">
        <v>28</v>
      </c>
      <c r="T1503" s="39"/>
      <c r="U1503" s="39"/>
      <c r="V1503" s="117">
        <v>46266</v>
      </c>
      <c r="W1503" s="39">
        <v>135</v>
      </c>
      <c r="X1503" s="117">
        <v>46274</v>
      </c>
      <c r="Y1503" s="39">
        <v>118</v>
      </c>
      <c r="Z1503" s="39"/>
      <c r="AA1503" s="39"/>
      <c r="AB1503" s="119">
        <f t="shared" si="967"/>
        <v>118</v>
      </c>
      <c r="AC1503" s="39"/>
      <c r="AD1503" s="39"/>
      <c r="AE1503" s="39"/>
      <c r="AF1503" s="39"/>
      <c r="AG1503" s="39"/>
      <c r="AH1503" s="39">
        <f t="shared" si="968"/>
        <v>0</v>
      </c>
      <c r="AI1503" s="39"/>
      <c r="AJ1503" s="39"/>
      <c r="AK1503" s="39"/>
      <c r="AL1503" s="39"/>
      <c r="AM1503" s="39"/>
      <c r="AN1503" s="39">
        <f t="shared" si="969"/>
        <v>0</v>
      </c>
      <c r="AO1503" s="39"/>
      <c r="AP1503" s="39"/>
      <c r="AQ1503" s="39"/>
      <c r="AR1503" s="39"/>
      <c r="AS1503" s="39"/>
      <c r="AT1503" s="39">
        <f t="shared" si="896"/>
        <v>0</v>
      </c>
      <c r="AU1503" s="39"/>
      <c r="AV1503" s="39"/>
      <c r="AW1503" s="39"/>
      <c r="AX1503" s="39"/>
      <c r="AY1503" s="39"/>
      <c r="AZ1503" s="39">
        <f t="shared" si="897"/>
        <v>0</v>
      </c>
      <c r="BA1503" s="39"/>
      <c r="BB1503" s="39"/>
      <c r="BC1503" s="39"/>
      <c r="BD1503" s="39"/>
      <c r="BE1503" s="39"/>
      <c r="BF1503" s="39">
        <f t="shared" si="898"/>
        <v>0</v>
      </c>
      <c r="BG1503" s="39"/>
      <c r="BH1503" s="39"/>
      <c r="BI1503" s="39"/>
      <c r="BJ1503" s="39"/>
      <c r="BK1503" s="39"/>
      <c r="BL1503" s="39">
        <f t="shared" si="970"/>
        <v>0</v>
      </c>
      <c r="BM1503" s="54" t="str">
        <f t="shared" si="899"/>
        <v/>
      </c>
      <c r="BN1503" s="64"/>
      <c r="BO1503" s="57">
        <v>46276</v>
      </c>
      <c r="BP1503" s="36"/>
      <c r="BQ1503" s="36"/>
      <c r="BR1503" s="117">
        <v>46272</v>
      </c>
      <c r="BS1503" s="117">
        <v>46272</v>
      </c>
      <c r="BT1503" s="39">
        <v>965</v>
      </c>
      <c r="BU1503" s="39">
        <v>118</v>
      </c>
      <c r="BV1503" s="39"/>
      <c r="BW1503" s="39"/>
      <c r="BX1503" s="39"/>
      <c r="BY1503" s="39"/>
      <c r="BZ1503" s="39">
        <f t="shared" si="971"/>
        <v>118</v>
      </c>
      <c r="CA1503" s="39">
        <f t="shared" si="900"/>
        <v>3</v>
      </c>
      <c r="CB1503" s="39">
        <f t="shared" si="901"/>
        <v>0</v>
      </c>
      <c r="CC1503" s="39">
        <f t="shared" si="902"/>
        <v>0</v>
      </c>
      <c r="CD1503" s="39">
        <f t="shared" si="972"/>
        <v>0</v>
      </c>
      <c r="CE1503" s="102">
        <f t="shared" si="903"/>
        <v>0</v>
      </c>
      <c r="CF1503" s="36"/>
      <c r="CG1503" s="39" t="s">
        <v>240</v>
      </c>
      <c r="CH1503" s="39"/>
      <c r="CI1503" s="25">
        <v>1</v>
      </c>
    </row>
    <row r="1504" spans="1:87" ht="24.75" customHeight="1">
      <c r="A1504" s="36" t="s">
        <v>46</v>
      </c>
      <c r="B1504" s="30">
        <v>47865</v>
      </c>
      <c r="C1504" s="36" t="s">
        <v>2711</v>
      </c>
      <c r="D1504" s="23"/>
      <c r="E1504" s="39"/>
      <c r="F1504" s="39"/>
      <c r="G1504" s="36" t="s">
        <v>2709</v>
      </c>
      <c r="H1504" s="36">
        <v>44</v>
      </c>
      <c r="I1504" s="39" t="s">
        <v>2710</v>
      </c>
      <c r="J1504" s="39"/>
      <c r="K1504" s="39"/>
      <c r="L1504" s="39">
        <f t="shared" ref="L1504" si="973">SUM(I1504:K1504)</f>
        <v>0</v>
      </c>
      <c r="M1504" s="39"/>
      <c r="N1504" s="117">
        <v>46269</v>
      </c>
      <c r="O1504" s="39"/>
      <c r="P1504" s="39"/>
      <c r="Q1504" s="39"/>
      <c r="R1504" s="39">
        <f t="shared" ref="R1504:R1506" si="974">SUM(O1504:Q1504)</f>
        <v>0</v>
      </c>
      <c r="S1504" s="39" t="s">
        <v>130</v>
      </c>
      <c r="T1504" s="39"/>
      <c r="U1504" s="39"/>
      <c r="V1504" s="39"/>
      <c r="W1504" s="39"/>
      <c r="X1504" s="39"/>
      <c r="Y1504" s="39"/>
      <c r="Z1504" s="39"/>
      <c r="AA1504" s="39"/>
      <c r="AB1504" s="39">
        <f t="shared" ref="AB1504:AB1513" si="975">SUM(Y1504:AA1504)</f>
        <v>0</v>
      </c>
      <c r="AC1504" s="39"/>
      <c r="AD1504" s="39"/>
      <c r="AE1504" s="39"/>
      <c r="AF1504" s="39"/>
      <c r="AG1504" s="39"/>
      <c r="AH1504" s="39">
        <f t="shared" si="968"/>
        <v>0</v>
      </c>
      <c r="AI1504" s="39"/>
      <c r="AJ1504" s="39"/>
      <c r="AK1504" s="39"/>
      <c r="AL1504" s="39"/>
      <c r="AM1504" s="39"/>
      <c r="AN1504" s="39">
        <f t="shared" si="969"/>
        <v>0</v>
      </c>
      <c r="AO1504" s="39"/>
      <c r="AP1504" s="39"/>
      <c r="AQ1504" s="39"/>
      <c r="AR1504" s="39"/>
      <c r="AS1504" s="39"/>
      <c r="AT1504" s="39">
        <f t="shared" si="896"/>
        <v>0</v>
      </c>
      <c r="AU1504" s="39"/>
      <c r="AV1504" s="39"/>
      <c r="AW1504" s="39"/>
      <c r="AX1504" s="39"/>
      <c r="AY1504" s="39"/>
      <c r="AZ1504" s="39">
        <f t="shared" si="897"/>
        <v>0</v>
      </c>
      <c r="BA1504" s="39"/>
      <c r="BB1504" s="39"/>
      <c r="BC1504" s="39"/>
      <c r="BD1504" s="39"/>
      <c r="BE1504" s="39"/>
      <c r="BF1504" s="39">
        <f t="shared" si="898"/>
        <v>0</v>
      </c>
      <c r="BG1504" s="39"/>
      <c r="BH1504" s="39"/>
      <c r="BI1504" s="39"/>
      <c r="BJ1504" s="39"/>
      <c r="BK1504" s="39"/>
      <c r="BL1504" s="39">
        <f t="shared" si="970"/>
        <v>0</v>
      </c>
      <c r="BM1504" s="54" t="e">
        <f t="shared" si="899"/>
        <v>#DIV/0!</v>
      </c>
      <c r="BN1504" s="64"/>
      <c r="BO1504" s="57">
        <v>46275</v>
      </c>
      <c r="BP1504" s="36"/>
      <c r="BQ1504" s="36"/>
      <c r="BR1504" s="39"/>
      <c r="BS1504" s="39"/>
      <c r="BT1504" s="39"/>
      <c r="BU1504" s="39"/>
      <c r="BV1504" s="39"/>
      <c r="BW1504" s="39"/>
      <c r="BX1504" s="39"/>
      <c r="BY1504" s="39"/>
      <c r="BZ1504" s="39">
        <f t="shared" si="971"/>
        <v>0</v>
      </c>
      <c r="CA1504" s="39" t="e">
        <f t="shared" si="900"/>
        <v>#VALUE!</v>
      </c>
      <c r="CB1504" s="39">
        <f t="shared" si="901"/>
        <v>0</v>
      </c>
      <c r="CC1504" s="39">
        <f t="shared" si="902"/>
        <v>0</v>
      </c>
      <c r="CD1504" s="39">
        <f t="shared" si="972"/>
        <v>0</v>
      </c>
      <c r="CE1504" s="102" t="e">
        <f t="shared" si="903"/>
        <v>#DIV/0!</v>
      </c>
      <c r="CF1504" s="36"/>
      <c r="CG1504" s="39" t="s">
        <v>246</v>
      </c>
      <c r="CH1504" s="39"/>
      <c r="CI1504" s="25">
        <v>1</v>
      </c>
    </row>
    <row r="1505" spans="1:87" ht="24.75" customHeight="1">
      <c r="A1505" s="36" t="s">
        <v>46</v>
      </c>
      <c r="B1505" s="30">
        <v>48254</v>
      </c>
      <c r="C1505" s="227" t="s">
        <v>2721</v>
      </c>
      <c r="D1505" s="23"/>
      <c r="E1505" s="39">
        <v>300</v>
      </c>
      <c r="F1505" s="39" t="s">
        <v>65</v>
      </c>
      <c r="G1505" s="36" t="s">
        <v>43</v>
      </c>
      <c r="H1505" s="36" t="s">
        <v>111</v>
      </c>
      <c r="I1505" s="39">
        <f>2442+61</f>
        <v>2503</v>
      </c>
      <c r="J1505" s="39">
        <f>493-27</f>
        <v>466</v>
      </c>
      <c r="K1505" s="39">
        <f>318-7</f>
        <v>311</v>
      </c>
      <c r="L1505" s="39">
        <f t="shared" ref="L1505:L1506" si="976">SUM(I1505:K1505)</f>
        <v>3280</v>
      </c>
      <c r="M1505" s="117">
        <v>46235</v>
      </c>
      <c r="N1505" s="117">
        <v>46268</v>
      </c>
      <c r="O1505" s="39"/>
      <c r="P1505" s="39"/>
      <c r="Q1505" s="39"/>
      <c r="R1505" s="39">
        <f t="shared" si="974"/>
        <v>0</v>
      </c>
      <c r="S1505" s="39" t="s">
        <v>28</v>
      </c>
      <c r="T1505" s="39"/>
      <c r="U1505" s="39"/>
      <c r="V1505" s="117" t="s">
        <v>2868</v>
      </c>
      <c r="W1505" s="39">
        <f>1615+319+218+998+344+66</f>
        <v>3560</v>
      </c>
      <c r="X1505" s="117" t="s">
        <v>3040</v>
      </c>
      <c r="Y1505" s="39">
        <f>593+532+548+541+27</f>
        <v>2241</v>
      </c>
      <c r="Z1505" s="39">
        <f>129+126+116+116</f>
        <v>487</v>
      </c>
      <c r="AA1505" s="39">
        <f>78+77+77+76</f>
        <v>308</v>
      </c>
      <c r="AB1505" s="120">
        <f t="shared" si="975"/>
        <v>3036</v>
      </c>
      <c r="AC1505" s="39"/>
      <c r="AD1505" s="39"/>
      <c r="AE1505" s="39"/>
      <c r="AF1505" s="39"/>
      <c r="AG1505" s="39"/>
      <c r="AH1505" s="39">
        <f t="shared" si="968"/>
        <v>0</v>
      </c>
      <c r="AI1505" s="39"/>
      <c r="AJ1505" s="39"/>
      <c r="AK1505" s="39"/>
      <c r="AL1505" s="39"/>
      <c r="AM1505" s="39"/>
      <c r="AN1505" s="39">
        <f t="shared" si="969"/>
        <v>0</v>
      </c>
      <c r="AO1505" s="39"/>
      <c r="AP1505" s="39"/>
      <c r="AQ1505" s="39"/>
      <c r="AR1505" s="39"/>
      <c r="AS1505" s="39"/>
      <c r="AT1505" s="39">
        <f t="shared" ref="AT1505:AT1513" si="977">AS1505-AQ1505</f>
        <v>0</v>
      </c>
      <c r="AU1505" s="39"/>
      <c r="AV1505" s="39"/>
      <c r="AW1505" s="39"/>
      <c r="AX1505" s="39"/>
      <c r="AY1505" s="39"/>
      <c r="AZ1505" s="39">
        <f t="shared" ref="AZ1505:AZ1513" si="978">AY1505-AW1505</f>
        <v>0</v>
      </c>
      <c r="BA1505" s="39"/>
      <c r="BB1505" s="39"/>
      <c r="BC1505" s="39"/>
      <c r="BD1505" s="39"/>
      <c r="BE1505" s="39"/>
      <c r="BF1505" s="39">
        <f t="shared" ref="BF1505:BF1513" si="979">BE1505-BC1505</f>
        <v>0</v>
      </c>
      <c r="BG1505" s="39"/>
      <c r="BH1505" s="39"/>
      <c r="BI1505" s="39"/>
      <c r="BJ1505" s="39"/>
      <c r="BK1505" s="39"/>
      <c r="BL1505" s="39">
        <f t="shared" si="970"/>
        <v>0</v>
      </c>
      <c r="BM1505" s="54" t="str">
        <f t="shared" ref="BM1505:BM1513" si="980">IF((BZ1505/L1505)&lt;0.9,$CO$1-U1505,"")</f>
        <v/>
      </c>
      <c r="BN1505" s="58">
        <v>46269</v>
      </c>
      <c r="BO1505" s="57">
        <v>46274</v>
      </c>
      <c r="BP1505" s="36"/>
      <c r="BQ1505" s="36"/>
      <c r="BR1505" s="117">
        <v>46265</v>
      </c>
      <c r="BS1505" s="39"/>
      <c r="BT1505" s="39" t="s">
        <v>3049</v>
      </c>
      <c r="BU1505" s="39">
        <f>593+532+548+541+27</f>
        <v>2241</v>
      </c>
      <c r="BV1505" s="39" t="s">
        <v>2929</v>
      </c>
      <c r="BW1505" s="39">
        <f>126+129+116+116</f>
        <v>487</v>
      </c>
      <c r="BX1505" s="39" t="s">
        <v>2861</v>
      </c>
      <c r="BY1505" s="39">
        <f>78+77+77+76</f>
        <v>308</v>
      </c>
      <c r="BZ1505" s="39">
        <f t="shared" si="971"/>
        <v>3036</v>
      </c>
      <c r="CA1505" s="39">
        <f t="shared" ref="CA1505:CA1513" si="981">BU1505-I1505</f>
        <v>-262</v>
      </c>
      <c r="CB1505" s="39">
        <f t="shared" ref="CB1505:CB1513" si="982">BW1505-J1505</f>
        <v>21</v>
      </c>
      <c r="CC1505" s="39">
        <f t="shared" ref="CC1505:CC1513" si="983">BY1505-K1505</f>
        <v>-3</v>
      </c>
      <c r="CD1505" s="39">
        <f t="shared" si="972"/>
        <v>-265</v>
      </c>
      <c r="CE1505" s="102">
        <f t="shared" ref="CE1505:CE1513" si="984">CD1505/L1505</f>
        <v>-8.0792682926829271E-2</v>
      </c>
      <c r="CF1505" s="36"/>
      <c r="CG1505" s="39" t="s">
        <v>238</v>
      </c>
      <c r="CH1505" s="39"/>
      <c r="CI1505" s="25">
        <v>1</v>
      </c>
    </row>
    <row r="1506" spans="1:87" ht="24.75" customHeight="1">
      <c r="A1506" s="36" t="s">
        <v>46</v>
      </c>
      <c r="B1506" s="30">
        <v>48254</v>
      </c>
      <c r="C1506" s="228"/>
      <c r="D1506" s="23"/>
      <c r="E1506" s="39">
        <v>300</v>
      </c>
      <c r="F1506" s="39" t="s">
        <v>65</v>
      </c>
      <c r="G1506" s="36" t="s">
        <v>2013</v>
      </c>
      <c r="H1506" s="36" t="s">
        <v>111</v>
      </c>
      <c r="I1506" s="39">
        <f>257+24</f>
        <v>281</v>
      </c>
      <c r="J1506" s="39"/>
      <c r="K1506" s="39"/>
      <c r="L1506" s="39">
        <f t="shared" si="976"/>
        <v>281</v>
      </c>
      <c r="M1506" s="117">
        <v>46235</v>
      </c>
      <c r="N1506" s="117">
        <v>46268</v>
      </c>
      <c r="O1506" s="39"/>
      <c r="P1506" s="39"/>
      <c r="Q1506" s="39"/>
      <c r="R1506" s="39">
        <f t="shared" si="974"/>
        <v>0</v>
      </c>
      <c r="S1506" s="39" t="s">
        <v>130</v>
      </c>
      <c r="T1506" s="39">
        <v>109297</v>
      </c>
      <c r="U1506" s="117">
        <v>46275</v>
      </c>
      <c r="V1506" s="39"/>
      <c r="W1506" s="39"/>
      <c r="X1506" s="39"/>
      <c r="Y1506" s="39">
        <v>315</v>
      </c>
      <c r="Z1506" s="39"/>
      <c r="AA1506" s="39"/>
      <c r="AB1506" s="119">
        <f t="shared" si="975"/>
        <v>315</v>
      </c>
      <c r="AC1506" s="39"/>
      <c r="AD1506" s="39"/>
      <c r="AE1506" s="39"/>
      <c r="AF1506" s="39"/>
      <c r="AG1506" s="39"/>
      <c r="AH1506" s="39">
        <f t="shared" si="968"/>
        <v>0</v>
      </c>
      <c r="AI1506" s="39"/>
      <c r="AJ1506" s="39"/>
      <c r="AK1506" s="39"/>
      <c r="AL1506" s="39"/>
      <c r="AM1506" s="39"/>
      <c r="AN1506" s="39">
        <f t="shared" si="969"/>
        <v>0</v>
      </c>
      <c r="AO1506" s="39"/>
      <c r="AP1506" s="39"/>
      <c r="AQ1506" s="39"/>
      <c r="AR1506" s="39"/>
      <c r="AS1506" s="39"/>
      <c r="AT1506" s="39">
        <f t="shared" si="977"/>
        <v>0</v>
      </c>
      <c r="AU1506" s="39"/>
      <c r="AV1506" s="39"/>
      <c r="AW1506" s="39"/>
      <c r="AX1506" s="39"/>
      <c r="AY1506" s="39"/>
      <c r="AZ1506" s="39">
        <f t="shared" si="978"/>
        <v>0</v>
      </c>
      <c r="BA1506" s="39"/>
      <c r="BB1506" s="39"/>
      <c r="BC1506" s="39"/>
      <c r="BD1506" s="39"/>
      <c r="BE1506" s="39"/>
      <c r="BF1506" s="39">
        <f t="shared" si="979"/>
        <v>0</v>
      </c>
      <c r="BG1506" s="39"/>
      <c r="BH1506" s="39"/>
      <c r="BI1506" s="39"/>
      <c r="BJ1506" s="39"/>
      <c r="BK1506" s="39"/>
      <c r="BL1506" s="39">
        <f t="shared" si="970"/>
        <v>0</v>
      </c>
      <c r="BM1506" s="54" t="str">
        <f t="shared" si="980"/>
        <v/>
      </c>
      <c r="BN1506" s="58">
        <v>46269</v>
      </c>
      <c r="BO1506" s="57">
        <v>46274</v>
      </c>
      <c r="BP1506" s="36"/>
      <c r="BQ1506" s="36"/>
      <c r="BR1506" s="117">
        <v>46277</v>
      </c>
      <c r="BS1506" s="117">
        <v>46277</v>
      </c>
      <c r="BT1506" s="39">
        <v>787</v>
      </c>
      <c r="BU1506" s="39">
        <v>283</v>
      </c>
      <c r="BV1506" s="39"/>
      <c r="BW1506" s="39"/>
      <c r="BX1506" s="39"/>
      <c r="BY1506" s="39"/>
      <c r="BZ1506" s="39">
        <f t="shared" si="971"/>
        <v>283</v>
      </c>
      <c r="CA1506" s="39">
        <f t="shared" si="981"/>
        <v>2</v>
      </c>
      <c r="CB1506" s="39">
        <f t="shared" si="982"/>
        <v>0</v>
      </c>
      <c r="CC1506" s="39">
        <f t="shared" si="983"/>
        <v>0</v>
      </c>
      <c r="CD1506" s="39">
        <f t="shared" si="972"/>
        <v>0</v>
      </c>
      <c r="CE1506" s="102">
        <f t="shared" si="984"/>
        <v>0</v>
      </c>
      <c r="CF1506" s="36"/>
      <c r="CG1506" s="39" t="s">
        <v>238</v>
      </c>
      <c r="CH1506" s="39"/>
      <c r="CI1506" s="25">
        <v>1</v>
      </c>
    </row>
    <row r="1507" spans="1:87" ht="24.75" customHeight="1">
      <c r="A1507" s="36" t="s">
        <v>46</v>
      </c>
      <c r="B1507" s="30">
        <v>48253</v>
      </c>
      <c r="C1507" s="253" t="s">
        <v>2723</v>
      </c>
      <c r="D1507" s="23"/>
      <c r="E1507" s="39">
        <v>300</v>
      </c>
      <c r="F1507" s="39" t="s">
        <v>54</v>
      </c>
      <c r="G1507" s="36" t="s">
        <v>2013</v>
      </c>
      <c r="H1507" s="36" t="s">
        <v>111</v>
      </c>
      <c r="I1507" s="39">
        <v>56</v>
      </c>
      <c r="J1507" s="39"/>
      <c r="K1507" s="39"/>
      <c r="L1507" s="39">
        <f t="shared" ref="L1507:L1510" si="985">SUM(I1507:K1507)</f>
        <v>56</v>
      </c>
      <c r="M1507" s="39" t="s">
        <v>477</v>
      </c>
      <c r="N1507" s="117">
        <v>46269</v>
      </c>
      <c r="O1507" s="39"/>
      <c r="P1507" s="39"/>
      <c r="Q1507" s="39"/>
      <c r="R1507" s="39">
        <f t="shared" ref="R1507:R1510" si="986">SUM(O1507:Q1507)</f>
        <v>0</v>
      </c>
      <c r="S1507" s="39" t="s">
        <v>130</v>
      </c>
      <c r="T1507" s="39">
        <v>109269</v>
      </c>
      <c r="U1507" s="117">
        <v>46274</v>
      </c>
      <c r="V1507" s="39"/>
      <c r="W1507" s="39"/>
      <c r="X1507" s="39"/>
      <c r="Y1507" s="39">
        <f>63+1</f>
        <v>64</v>
      </c>
      <c r="Z1507" s="39"/>
      <c r="AA1507" s="39"/>
      <c r="AB1507" s="119">
        <f t="shared" si="975"/>
        <v>64</v>
      </c>
      <c r="AC1507" s="39"/>
      <c r="AD1507" s="39"/>
      <c r="AE1507" s="39"/>
      <c r="AF1507" s="39"/>
      <c r="AG1507" s="39"/>
      <c r="AH1507" s="39">
        <f t="shared" si="968"/>
        <v>0</v>
      </c>
      <c r="AI1507" s="39"/>
      <c r="AJ1507" s="39"/>
      <c r="AK1507" s="39"/>
      <c r="AL1507" s="39"/>
      <c r="AM1507" s="39"/>
      <c r="AN1507" s="39">
        <f t="shared" si="969"/>
        <v>0</v>
      </c>
      <c r="AO1507" s="39"/>
      <c r="AP1507" s="39"/>
      <c r="AQ1507" s="39"/>
      <c r="AR1507" s="39"/>
      <c r="AS1507" s="39"/>
      <c r="AT1507" s="39">
        <f t="shared" si="977"/>
        <v>0</v>
      </c>
      <c r="AU1507" s="39"/>
      <c r="AV1507" s="39"/>
      <c r="AW1507" s="39"/>
      <c r="AX1507" s="39"/>
      <c r="AY1507" s="39"/>
      <c r="AZ1507" s="39">
        <f t="shared" si="978"/>
        <v>0</v>
      </c>
      <c r="BA1507" s="39"/>
      <c r="BB1507" s="39"/>
      <c r="BC1507" s="39"/>
      <c r="BD1507" s="39"/>
      <c r="BE1507" s="39"/>
      <c r="BF1507" s="39">
        <f t="shared" si="979"/>
        <v>0</v>
      </c>
      <c r="BG1507" s="39"/>
      <c r="BH1507" s="39"/>
      <c r="BI1507" s="39"/>
      <c r="BJ1507" s="39"/>
      <c r="BK1507" s="39"/>
      <c r="BL1507" s="39">
        <f t="shared" si="970"/>
        <v>0</v>
      </c>
      <c r="BM1507" s="54" t="str">
        <f t="shared" si="980"/>
        <v/>
      </c>
      <c r="BN1507" s="58">
        <v>46270</v>
      </c>
      <c r="BO1507" s="57">
        <v>46276</v>
      </c>
      <c r="BP1507" s="36"/>
      <c r="BQ1507" s="36"/>
      <c r="BR1507" s="117">
        <v>46277</v>
      </c>
      <c r="BS1507" s="117">
        <v>46277</v>
      </c>
      <c r="BT1507" s="39">
        <v>789</v>
      </c>
      <c r="BU1507" s="39">
        <v>56</v>
      </c>
      <c r="BV1507" s="39"/>
      <c r="BW1507" s="39"/>
      <c r="BX1507" s="39"/>
      <c r="BY1507" s="39"/>
      <c r="BZ1507" s="39">
        <f t="shared" si="971"/>
        <v>56</v>
      </c>
      <c r="CA1507" s="39">
        <f t="shared" si="981"/>
        <v>0</v>
      </c>
      <c r="CB1507" s="39">
        <f t="shared" si="982"/>
        <v>0</v>
      </c>
      <c r="CC1507" s="39">
        <f t="shared" si="983"/>
        <v>0</v>
      </c>
      <c r="CD1507" s="39">
        <f t="shared" si="972"/>
        <v>0</v>
      </c>
      <c r="CE1507" s="102">
        <f t="shared" si="984"/>
        <v>0</v>
      </c>
      <c r="CF1507" s="36"/>
      <c r="CG1507" s="39" t="s">
        <v>238</v>
      </c>
      <c r="CH1507" s="39"/>
      <c r="CI1507" s="25">
        <v>1</v>
      </c>
    </row>
    <row r="1508" spans="1:87" ht="24.75" customHeight="1">
      <c r="A1508" s="36" t="s">
        <v>46</v>
      </c>
      <c r="B1508" s="30">
        <v>48253</v>
      </c>
      <c r="C1508" s="254"/>
      <c r="D1508" s="23"/>
      <c r="E1508" s="39">
        <v>160</v>
      </c>
      <c r="F1508" s="39" t="s">
        <v>55</v>
      </c>
      <c r="G1508" s="36" t="s">
        <v>43</v>
      </c>
      <c r="H1508" s="36" t="s">
        <v>22</v>
      </c>
      <c r="I1508" s="39">
        <v>11</v>
      </c>
      <c r="J1508" s="39"/>
      <c r="K1508" s="39"/>
      <c r="L1508" s="39">
        <f t="shared" si="985"/>
        <v>11</v>
      </c>
      <c r="M1508" s="39" t="s">
        <v>477</v>
      </c>
      <c r="N1508" s="117">
        <v>46269</v>
      </c>
      <c r="O1508" s="39"/>
      <c r="P1508" s="39"/>
      <c r="Q1508" s="39"/>
      <c r="R1508" s="39">
        <f t="shared" si="986"/>
        <v>0</v>
      </c>
      <c r="S1508" s="39" t="s">
        <v>28</v>
      </c>
      <c r="T1508" s="39"/>
      <c r="U1508" s="39"/>
      <c r="V1508" s="117">
        <v>46272</v>
      </c>
      <c r="W1508" s="39">
        <v>14</v>
      </c>
      <c r="X1508" s="39"/>
      <c r="Y1508" s="39"/>
      <c r="Z1508" s="39"/>
      <c r="AA1508" s="39"/>
      <c r="AB1508" s="118">
        <f t="shared" si="975"/>
        <v>0</v>
      </c>
      <c r="AC1508" s="39"/>
      <c r="AD1508" s="39"/>
      <c r="AE1508" s="39"/>
      <c r="AF1508" s="39"/>
      <c r="AG1508" s="39"/>
      <c r="AH1508" s="39">
        <f t="shared" si="968"/>
        <v>0</v>
      </c>
      <c r="AI1508" s="39"/>
      <c r="AJ1508" s="39"/>
      <c r="AK1508" s="39"/>
      <c r="AL1508" s="39"/>
      <c r="AM1508" s="39"/>
      <c r="AN1508" s="39">
        <f t="shared" si="969"/>
        <v>0</v>
      </c>
      <c r="AO1508" s="39"/>
      <c r="AP1508" s="39"/>
      <c r="AQ1508" s="39"/>
      <c r="AR1508" s="39"/>
      <c r="AS1508" s="39"/>
      <c r="AT1508" s="39">
        <f t="shared" si="977"/>
        <v>0</v>
      </c>
      <c r="AU1508" s="39"/>
      <c r="AV1508" s="39"/>
      <c r="AW1508" s="39"/>
      <c r="AX1508" s="39"/>
      <c r="AY1508" s="39"/>
      <c r="AZ1508" s="39">
        <f t="shared" si="978"/>
        <v>0</v>
      </c>
      <c r="BA1508" s="39"/>
      <c r="BB1508" s="39"/>
      <c r="BC1508" s="39"/>
      <c r="BD1508" s="39"/>
      <c r="BE1508" s="39"/>
      <c r="BF1508" s="39">
        <f t="shared" si="979"/>
        <v>0</v>
      </c>
      <c r="BG1508" s="39"/>
      <c r="BH1508" s="39"/>
      <c r="BI1508" s="39"/>
      <c r="BJ1508" s="39"/>
      <c r="BK1508" s="39"/>
      <c r="BL1508" s="39">
        <f t="shared" si="970"/>
        <v>0</v>
      </c>
      <c r="BM1508" s="54">
        <f t="shared" ca="1" si="980"/>
        <v>46283</v>
      </c>
      <c r="BN1508" s="58">
        <v>46270</v>
      </c>
      <c r="BO1508" s="57">
        <v>46276</v>
      </c>
      <c r="BP1508" s="36"/>
      <c r="BQ1508" s="36"/>
      <c r="BR1508" s="39"/>
      <c r="BS1508" s="39"/>
      <c r="BT1508" s="39"/>
      <c r="BU1508" s="39"/>
      <c r="BV1508" s="39"/>
      <c r="BW1508" s="39"/>
      <c r="BX1508" s="39"/>
      <c r="BY1508" s="39"/>
      <c r="BZ1508" s="39">
        <f t="shared" si="971"/>
        <v>0</v>
      </c>
      <c r="CA1508" s="39">
        <f t="shared" si="981"/>
        <v>-11</v>
      </c>
      <c r="CB1508" s="39">
        <f t="shared" si="982"/>
        <v>0</v>
      </c>
      <c r="CC1508" s="39">
        <f t="shared" si="983"/>
        <v>0</v>
      </c>
      <c r="CD1508" s="39">
        <f t="shared" si="972"/>
        <v>-11</v>
      </c>
      <c r="CE1508" s="102">
        <f t="shared" si="984"/>
        <v>-1</v>
      </c>
      <c r="CF1508" s="36"/>
      <c r="CG1508" s="39" t="s">
        <v>238</v>
      </c>
      <c r="CH1508" s="39"/>
      <c r="CI1508" s="25">
        <v>1</v>
      </c>
    </row>
    <row r="1509" spans="1:87" ht="24.75" customHeight="1">
      <c r="A1509" s="36" t="s">
        <v>46</v>
      </c>
      <c r="B1509" s="30">
        <v>48256</v>
      </c>
      <c r="C1509" s="253" t="s">
        <v>2724</v>
      </c>
      <c r="D1509" s="23"/>
      <c r="E1509" s="39">
        <v>160</v>
      </c>
      <c r="F1509" s="39" t="s">
        <v>56</v>
      </c>
      <c r="G1509" s="36" t="s">
        <v>43</v>
      </c>
      <c r="H1509" s="36" t="s">
        <v>22</v>
      </c>
      <c r="I1509" s="39">
        <v>28</v>
      </c>
      <c r="J1509" s="39"/>
      <c r="K1509" s="39"/>
      <c r="L1509" s="39">
        <f t="shared" si="985"/>
        <v>28</v>
      </c>
      <c r="M1509" s="39" t="s">
        <v>477</v>
      </c>
      <c r="N1509" s="39" t="s">
        <v>477</v>
      </c>
      <c r="O1509" s="39"/>
      <c r="P1509" s="39"/>
      <c r="Q1509" s="39"/>
      <c r="R1509" s="39">
        <f t="shared" si="986"/>
        <v>0</v>
      </c>
      <c r="S1509" s="39" t="s">
        <v>28</v>
      </c>
      <c r="T1509" s="39"/>
      <c r="U1509" s="39"/>
      <c r="V1509" s="117">
        <v>46270</v>
      </c>
      <c r="W1509" s="39">
        <v>30</v>
      </c>
      <c r="X1509" s="39"/>
      <c r="Y1509" s="39"/>
      <c r="Z1509" s="39"/>
      <c r="AA1509" s="39"/>
      <c r="AB1509" s="118">
        <f t="shared" si="975"/>
        <v>0</v>
      </c>
      <c r="AC1509" s="39"/>
      <c r="AD1509" s="39"/>
      <c r="AE1509" s="39"/>
      <c r="AF1509" s="39"/>
      <c r="AG1509" s="39"/>
      <c r="AH1509" s="39">
        <f t="shared" si="968"/>
        <v>0</v>
      </c>
      <c r="AI1509" s="39"/>
      <c r="AJ1509" s="39"/>
      <c r="AK1509" s="39"/>
      <c r="AL1509" s="39"/>
      <c r="AM1509" s="39"/>
      <c r="AN1509" s="39">
        <f t="shared" si="969"/>
        <v>0</v>
      </c>
      <c r="AO1509" s="39"/>
      <c r="AP1509" s="39"/>
      <c r="AQ1509" s="39"/>
      <c r="AR1509" s="39"/>
      <c r="AS1509" s="39"/>
      <c r="AT1509" s="39">
        <f t="shared" si="977"/>
        <v>0</v>
      </c>
      <c r="AU1509" s="39"/>
      <c r="AV1509" s="39"/>
      <c r="AW1509" s="39"/>
      <c r="AX1509" s="39"/>
      <c r="AY1509" s="39"/>
      <c r="AZ1509" s="39">
        <f t="shared" si="978"/>
        <v>0</v>
      </c>
      <c r="BA1509" s="39"/>
      <c r="BB1509" s="39"/>
      <c r="BC1509" s="39"/>
      <c r="BD1509" s="39"/>
      <c r="BE1509" s="39"/>
      <c r="BF1509" s="39">
        <f t="shared" si="979"/>
        <v>0</v>
      </c>
      <c r="BG1509" s="39"/>
      <c r="BH1509" s="39"/>
      <c r="BI1509" s="39"/>
      <c r="BJ1509" s="39"/>
      <c r="BK1509" s="39"/>
      <c r="BL1509" s="39">
        <f t="shared" si="970"/>
        <v>0</v>
      </c>
      <c r="BM1509" s="54">
        <f t="shared" ca="1" si="980"/>
        <v>46283</v>
      </c>
      <c r="BN1509" s="64" t="s">
        <v>477</v>
      </c>
      <c r="BO1509" s="57" t="s">
        <v>477</v>
      </c>
      <c r="BP1509" s="36"/>
      <c r="BQ1509" s="36"/>
      <c r="BR1509" s="39"/>
      <c r="BS1509" s="39"/>
      <c r="BT1509" s="39"/>
      <c r="BU1509" s="39"/>
      <c r="BV1509" s="39"/>
      <c r="BW1509" s="39"/>
      <c r="BX1509" s="39"/>
      <c r="BY1509" s="39"/>
      <c r="BZ1509" s="39">
        <f t="shared" si="971"/>
        <v>0</v>
      </c>
      <c r="CA1509" s="39">
        <f t="shared" si="981"/>
        <v>-28</v>
      </c>
      <c r="CB1509" s="39">
        <f t="shared" si="982"/>
        <v>0</v>
      </c>
      <c r="CC1509" s="39">
        <f t="shared" si="983"/>
        <v>0</v>
      </c>
      <c r="CD1509" s="39">
        <f t="shared" si="972"/>
        <v>-28</v>
      </c>
      <c r="CE1509" s="102">
        <f t="shared" si="984"/>
        <v>-1</v>
      </c>
      <c r="CF1509" s="36"/>
      <c r="CG1509" s="39" t="s">
        <v>238</v>
      </c>
      <c r="CH1509" s="39"/>
      <c r="CI1509" s="25">
        <v>1</v>
      </c>
    </row>
    <row r="1510" spans="1:87" ht="24.75" customHeight="1">
      <c r="A1510" s="36" t="s">
        <v>46</v>
      </c>
      <c r="B1510" s="30">
        <v>48256</v>
      </c>
      <c r="C1510" s="254"/>
      <c r="D1510" s="23"/>
      <c r="E1510" s="39">
        <v>160</v>
      </c>
      <c r="F1510" s="39" t="s">
        <v>56</v>
      </c>
      <c r="G1510" s="36" t="s">
        <v>2013</v>
      </c>
      <c r="H1510" s="36" t="s">
        <v>22</v>
      </c>
      <c r="I1510" s="39">
        <v>1</v>
      </c>
      <c r="J1510" s="39"/>
      <c r="K1510" s="39"/>
      <c r="L1510" s="39">
        <f t="shared" si="985"/>
        <v>1</v>
      </c>
      <c r="M1510" s="39" t="s">
        <v>477</v>
      </c>
      <c r="N1510" s="39" t="s">
        <v>477</v>
      </c>
      <c r="O1510" s="39"/>
      <c r="P1510" s="39"/>
      <c r="Q1510" s="39"/>
      <c r="R1510" s="39">
        <f t="shared" si="986"/>
        <v>0</v>
      </c>
      <c r="S1510" s="39" t="s">
        <v>130</v>
      </c>
      <c r="T1510" s="39">
        <v>109268</v>
      </c>
      <c r="U1510" s="117">
        <v>46274</v>
      </c>
      <c r="V1510" s="39"/>
      <c r="W1510" s="39"/>
      <c r="X1510" s="39"/>
      <c r="Y1510" s="39">
        <v>4</v>
      </c>
      <c r="Z1510" s="39"/>
      <c r="AA1510" s="39"/>
      <c r="AB1510" s="119">
        <f t="shared" si="975"/>
        <v>4</v>
      </c>
      <c r="AC1510" s="39"/>
      <c r="AD1510" s="39"/>
      <c r="AE1510" s="39"/>
      <c r="AF1510" s="39"/>
      <c r="AG1510" s="39"/>
      <c r="AH1510" s="39">
        <f t="shared" si="968"/>
        <v>0</v>
      </c>
      <c r="AI1510" s="39"/>
      <c r="AJ1510" s="39"/>
      <c r="AK1510" s="39"/>
      <c r="AL1510" s="39"/>
      <c r="AM1510" s="39"/>
      <c r="AN1510" s="39">
        <f t="shared" si="969"/>
        <v>0</v>
      </c>
      <c r="AO1510" s="39"/>
      <c r="AP1510" s="39"/>
      <c r="AQ1510" s="39"/>
      <c r="AR1510" s="39"/>
      <c r="AS1510" s="39"/>
      <c r="AT1510" s="39">
        <f t="shared" si="977"/>
        <v>0</v>
      </c>
      <c r="AU1510" s="39"/>
      <c r="AV1510" s="39"/>
      <c r="AW1510" s="39"/>
      <c r="AX1510" s="39"/>
      <c r="AY1510" s="39"/>
      <c r="AZ1510" s="39">
        <f t="shared" si="978"/>
        <v>0</v>
      </c>
      <c r="BA1510" s="39"/>
      <c r="BB1510" s="39"/>
      <c r="BC1510" s="39"/>
      <c r="BD1510" s="39"/>
      <c r="BE1510" s="39"/>
      <c r="BF1510" s="39">
        <f t="shared" si="979"/>
        <v>0</v>
      </c>
      <c r="BG1510" s="39"/>
      <c r="BH1510" s="39"/>
      <c r="BI1510" s="39"/>
      <c r="BJ1510" s="39"/>
      <c r="BK1510" s="39"/>
      <c r="BL1510" s="39">
        <f t="shared" si="970"/>
        <v>0</v>
      </c>
      <c r="BM1510" s="54" t="str">
        <f t="shared" si="980"/>
        <v/>
      </c>
      <c r="BN1510" s="64" t="s">
        <v>477</v>
      </c>
      <c r="BO1510" s="57" t="s">
        <v>477</v>
      </c>
      <c r="BP1510" s="36"/>
      <c r="BQ1510" s="36"/>
      <c r="BR1510" s="117">
        <v>46277</v>
      </c>
      <c r="BS1510" s="117">
        <v>46277</v>
      </c>
      <c r="BT1510" s="39">
        <v>787</v>
      </c>
      <c r="BU1510" s="39">
        <v>3</v>
      </c>
      <c r="BV1510" s="39"/>
      <c r="BW1510" s="39"/>
      <c r="BX1510" s="39"/>
      <c r="BY1510" s="39"/>
      <c r="BZ1510" s="39">
        <f t="shared" si="971"/>
        <v>3</v>
      </c>
      <c r="CA1510" s="39">
        <f t="shared" si="981"/>
        <v>2</v>
      </c>
      <c r="CB1510" s="39">
        <f t="shared" si="982"/>
        <v>0</v>
      </c>
      <c r="CC1510" s="39">
        <f t="shared" si="983"/>
        <v>0</v>
      </c>
      <c r="CD1510" s="39">
        <f t="shared" si="972"/>
        <v>0</v>
      </c>
      <c r="CE1510" s="102">
        <f t="shared" si="984"/>
        <v>0</v>
      </c>
      <c r="CF1510" s="36"/>
      <c r="CG1510" s="39" t="s">
        <v>238</v>
      </c>
      <c r="CH1510" s="39"/>
      <c r="CI1510" s="25">
        <v>1</v>
      </c>
    </row>
    <row r="1511" spans="1:87" ht="24.75" customHeight="1">
      <c r="A1511" s="36" t="s">
        <v>46</v>
      </c>
      <c r="B1511" s="30">
        <v>48263</v>
      </c>
      <c r="C1511" s="36" t="s">
        <v>2776</v>
      </c>
      <c r="D1511" s="23" t="s">
        <v>126</v>
      </c>
      <c r="E1511" s="39">
        <v>280</v>
      </c>
      <c r="F1511" s="39" t="s">
        <v>58</v>
      </c>
      <c r="G1511" s="36" t="s">
        <v>1839</v>
      </c>
      <c r="H1511" s="36" t="s">
        <v>1840</v>
      </c>
      <c r="I1511" s="39">
        <v>35</v>
      </c>
      <c r="J1511" s="39"/>
      <c r="K1511" s="39"/>
      <c r="L1511" s="39">
        <f t="shared" ref="L1511" si="987">SUM(I1511:K1511)</f>
        <v>35</v>
      </c>
      <c r="M1511" s="36" t="s">
        <v>2251</v>
      </c>
      <c r="N1511" s="117">
        <v>46272</v>
      </c>
      <c r="O1511" s="39"/>
      <c r="P1511" s="39"/>
      <c r="Q1511" s="39"/>
      <c r="R1511" s="39">
        <f t="shared" ref="R1511" si="988">SUM(O1511:Q1511)</f>
        <v>0</v>
      </c>
      <c r="S1511" s="39" t="s">
        <v>130</v>
      </c>
      <c r="T1511" s="39">
        <v>109390</v>
      </c>
      <c r="U1511" s="39"/>
      <c r="V1511" s="39"/>
      <c r="W1511" s="39"/>
      <c r="X1511" s="39"/>
      <c r="Y1511" s="39"/>
      <c r="Z1511" s="39"/>
      <c r="AA1511" s="39"/>
      <c r="AB1511" s="118">
        <f t="shared" si="975"/>
        <v>0</v>
      </c>
      <c r="AC1511" s="39"/>
      <c r="AD1511" s="39"/>
      <c r="AE1511" s="39"/>
      <c r="AF1511" s="39"/>
      <c r="AG1511" s="39"/>
      <c r="AH1511" s="39">
        <f t="shared" si="968"/>
        <v>0</v>
      </c>
      <c r="AI1511" s="39"/>
      <c r="AJ1511" s="39"/>
      <c r="AK1511" s="39"/>
      <c r="AL1511" s="39"/>
      <c r="AM1511" s="39"/>
      <c r="AN1511" s="39">
        <f t="shared" si="969"/>
        <v>0</v>
      </c>
      <c r="AO1511" s="39" t="s">
        <v>280</v>
      </c>
      <c r="AP1511" s="117">
        <v>46280</v>
      </c>
      <c r="AQ1511" s="39">
        <v>35</v>
      </c>
      <c r="AR1511" s="117">
        <v>46281</v>
      </c>
      <c r="AS1511" s="39">
        <v>35</v>
      </c>
      <c r="AT1511" s="39">
        <f t="shared" si="977"/>
        <v>0</v>
      </c>
      <c r="AU1511" s="39" t="s">
        <v>257</v>
      </c>
      <c r="AV1511" s="117">
        <v>46281</v>
      </c>
      <c r="AW1511" s="39">
        <v>35</v>
      </c>
      <c r="AX1511" s="117">
        <v>46281</v>
      </c>
      <c r="AY1511" s="39">
        <v>34</v>
      </c>
      <c r="AZ1511" s="39">
        <f t="shared" si="978"/>
        <v>-1</v>
      </c>
      <c r="BA1511" s="39"/>
      <c r="BB1511" s="39"/>
      <c r="BC1511" s="39"/>
      <c r="BD1511" s="39"/>
      <c r="BE1511" s="39"/>
      <c r="BF1511" s="39">
        <f t="shared" si="979"/>
        <v>0</v>
      </c>
      <c r="BG1511" s="39"/>
      <c r="BH1511" s="39"/>
      <c r="BI1511" s="39"/>
      <c r="BJ1511" s="39"/>
      <c r="BK1511" s="39"/>
      <c r="BL1511" s="39">
        <f t="shared" si="970"/>
        <v>0</v>
      </c>
      <c r="BM1511" s="54">
        <f t="shared" ca="1" si="980"/>
        <v>46283</v>
      </c>
      <c r="BN1511" s="64" t="s">
        <v>2251</v>
      </c>
      <c r="BO1511" s="57">
        <v>46277</v>
      </c>
      <c r="BP1511" s="36"/>
      <c r="BQ1511" s="36"/>
      <c r="BR1511" s="39"/>
      <c r="BS1511" s="39"/>
      <c r="BT1511" s="39"/>
      <c r="BU1511" s="39"/>
      <c r="BV1511" s="39"/>
      <c r="BW1511" s="39"/>
      <c r="BX1511" s="39"/>
      <c r="BY1511" s="39"/>
      <c r="BZ1511" s="39">
        <f t="shared" si="971"/>
        <v>0</v>
      </c>
      <c r="CA1511" s="39">
        <f t="shared" si="981"/>
        <v>-35</v>
      </c>
      <c r="CB1511" s="39">
        <f t="shared" si="982"/>
        <v>0</v>
      </c>
      <c r="CC1511" s="39">
        <f t="shared" si="983"/>
        <v>0</v>
      </c>
      <c r="CD1511" s="39">
        <f t="shared" si="972"/>
        <v>-35</v>
      </c>
      <c r="CE1511" s="102">
        <f t="shared" si="984"/>
        <v>-1</v>
      </c>
      <c r="CF1511" s="36"/>
      <c r="CG1511" s="39" t="s">
        <v>238</v>
      </c>
      <c r="CH1511" s="39"/>
      <c r="CI1511" s="25">
        <v>1</v>
      </c>
    </row>
    <row r="1512" spans="1:87" ht="24.75" customHeight="1">
      <c r="A1512" s="36" t="s">
        <v>46</v>
      </c>
      <c r="B1512" s="30">
        <v>48131</v>
      </c>
      <c r="C1512" s="227" t="s">
        <v>2795</v>
      </c>
      <c r="D1512" s="23"/>
      <c r="E1512" s="39">
        <v>180</v>
      </c>
      <c r="F1512" s="39" t="s">
        <v>55</v>
      </c>
      <c r="G1512" s="36" t="s">
        <v>1228</v>
      </c>
      <c r="H1512" s="36" t="s">
        <v>87</v>
      </c>
      <c r="I1512" s="39">
        <v>38</v>
      </c>
      <c r="J1512" s="39"/>
      <c r="K1512" s="39"/>
      <c r="L1512" s="39">
        <f t="shared" ref="L1512:L1513" si="989">SUM(I1512:K1512)</f>
        <v>38</v>
      </c>
      <c r="M1512" s="36" t="s">
        <v>477</v>
      </c>
      <c r="N1512" s="117">
        <v>46272</v>
      </c>
      <c r="O1512" s="39"/>
      <c r="P1512" s="39"/>
      <c r="Q1512" s="39"/>
      <c r="R1512" s="39">
        <f t="shared" ref="R1512:R1513" si="990">SUM(O1512:Q1512)</f>
        <v>0</v>
      </c>
      <c r="S1512" s="39" t="s">
        <v>130</v>
      </c>
      <c r="T1512" s="39"/>
      <c r="U1512" s="39"/>
      <c r="V1512" s="39"/>
      <c r="W1512" s="39"/>
      <c r="X1512" s="39"/>
      <c r="Y1512" s="39"/>
      <c r="Z1512" s="39"/>
      <c r="AA1512" s="39"/>
      <c r="AB1512" s="118">
        <f t="shared" si="975"/>
        <v>0</v>
      </c>
      <c r="AC1512" s="39"/>
      <c r="AD1512" s="39"/>
      <c r="AE1512" s="39"/>
      <c r="AF1512" s="39"/>
      <c r="AG1512" s="39"/>
      <c r="AH1512" s="39">
        <f t="shared" si="968"/>
        <v>0</v>
      </c>
      <c r="AI1512" s="39"/>
      <c r="AJ1512" s="39"/>
      <c r="AK1512" s="39"/>
      <c r="AL1512" s="39"/>
      <c r="AM1512" s="39"/>
      <c r="AN1512" s="39">
        <f t="shared" si="969"/>
        <v>0</v>
      </c>
      <c r="AO1512" s="39"/>
      <c r="AP1512" s="39"/>
      <c r="AQ1512" s="39"/>
      <c r="AR1512" s="39"/>
      <c r="AS1512" s="39"/>
      <c r="AT1512" s="39">
        <f t="shared" si="977"/>
        <v>0</v>
      </c>
      <c r="AU1512" s="39"/>
      <c r="AV1512" s="39"/>
      <c r="AW1512" s="39"/>
      <c r="AX1512" s="39"/>
      <c r="AY1512" s="39"/>
      <c r="AZ1512" s="39">
        <f t="shared" si="978"/>
        <v>0</v>
      </c>
      <c r="BA1512" s="39"/>
      <c r="BB1512" s="39"/>
      <c r="BC1512" s="39"/>
      <c r="BD1512" s="39"/>
      <c r="BE1512" s="39"/>
      <c r="BF1512" s="39">
        <f t="shared" si="979"/>
        <v>0</v>
      </c>
      <c r="BG1512" s="39"/>
      <c r="BH1512" s="39"/>
      <c r="BI1512" s="39"/>
      <c r="BJ1512" s="39"/>
      <c r="BK1512" s="39"/>
      <c r="BL1512" s="39">
        <f t="shared" si="970"/>
        <v>0</v>
      </c>
      <c r="BM1512" s="54">
        <f t="shared" ca="1" si="980"/>
        <v>46283</v>
      </c>
      <c r="BN1512" s="64" t="s">
        <v>477</v>
      </c>
      <c r="BO1512" s="57">
        <v>46277</v>
      </c>
      <c r="BP1512" s="36"/>
      <c r="BQ1512" s="57"/>
      <c r="BR1512" s="39"/>
      <c r="BS1512" s="39"/>
      <c r="BT1512" s="39"/>
      <c r="BU1512" s="39"/>
      <c r="BV1512" s="39"/>
      <c r="BW1512" s="39"/>
      <c r="BX1512" s="39"/>
      <c r="BY1512" s="39"/>
      <c r="BZ1512" s="39">
        <f t="shared" si="971"/>
        <v>0</v>
      </c>
      <c r="CA1512" s="39">
        <f t="shared" si="981"/>
        <v>-38</v>
      </c>
      <c r="CB1512" s="39">
        <f t="shared" si="982"/>
        <v>0</v>
      </c>
      <c r="CC1512" s="39">
        <f t="shared" si="983"/>
        <v>0</v>
      </c>
      <c r="CD1512" s="39">
        <f t="shared" si="972"/>
        <v>-38</v>
      </c>
      <c r="CE1512" s="102">
        <f t="shared" si="984"/>
        <v>-1</v>
      </c>
      <c r="CF1512" s="36"/>
      <c r="CG1512" s="39" t="s">
        <v>245</v>
      </c>
      <c r="CH1512" s="39"/>
      <c r="CI1512" s="25">
        <v>1</v>
      </c>
    </row>
    <row r="1513" spans="1:87" ht="24.75" customHeight="1">
      <c r="A1513" s="36" t="s">
        <v>46</v>
      </c>
      <c r="B1513" s="30">
        <v>48131</v>
      </c>
      <c r="C1513" s="228"/>
      <c r="D1513" s="23"/>
      <c r="E1513" s="39">
        <v>160</v>
      </c>
      <c r="F1513" s="39" t="s">
        <v>55</v>
      </c>
      <c r="G1513" s="36" t="s">
        <v>283</v>
      </c>
      <c r="H1513" s="36" t="s">
        <v>22</v>
      </c>
      <c r="I1513" s="39">
        <v>19</v>
      </c>
      <c r="J1513" s="39"/>
      <c r="K1513" s="39"/>
      <c r="L1513" s="39">
        <f t="shared" si="989"/>
        <v>19</v>
      </c>
      <c r="M1513" s="36" t="s">
        <v>477</v>
      </c>
      <c r="N1513" s="117">
        <v>46272</v>
      </c>
      <c r="O1513" s="39"/>
      <c r="P1513" s="39"/>
      <c r="Q1513" s="39"/>
      <c r="R1513" s="39">
        <f t="shared" si="990"/>
        <v>0</v>
      </c>
      <c r="S1513" s="39" t="s">
        <v>130</v>
      </c>
      <c r="T1513" s="39">
        <v>109466</v>
      </c>
      <c r="U1513" s="117">
        <v>46281</v>
      </c>
      <c r="V1513" s="39"/>
      <c r="W1513" s="39"/>
      <c r="X1513" s="39"/>
      <c r="Y1513" s="39">
        <v>26</v>
      </c>
      <c r="Z1513" s="39"/>
      <c r="AA1513" s="39"/>
      <c r="AB1513" s="119">
        <f t="shared" si="975"/>
        <v>26</v>
      </c>
      <c r="AC1513" s="39"/>
      <c r="AD1513" s="39"/>
      <c r="AE1513" s="39"/>
      <c r="AF1513" s="39"/>
      <c r="AG1513" s="39"/>
      <c r="AH1513" s="39">
        <f t="shared" si="968"/>
        <v>0</v>
      </c>
      <c r="AI1513" s="39"/>
      <c r="AJ1513" s="39"/>
      <c r="AK1513" s="39"/>
      <c r="AL1513" s="39"/>
      <c r="AM1513" s="39"/>
      <c r="AN1513" s="39">
        <f t="shared" si="969"/>
        <v>0</v>
      </c>
      <c r="AO1513" s="39"/>
      <c r="AP1513" s="39"/>
      <c r="AQ1513" s="39"/>
      <c r="AR1513" s="39"/>
      <c r="AS1513" s="39"/>
      <c r="AT1513" s="39">
        <f t="shared" si="977"/>
        <v>0</v>
      </c>
      <c r="AU1513" s="39"/>
      <c r="AV1513" s="39"/>
      <c r="AW1513" s="39"/>
      <c r="AX1513" s="39"/>
      <c r="AY1513" s="39"/>
      <c r="AZ1513" s="39">
        <f t="shared" si="978"/>
        <v>0</v>
      </c>
      <c r="BA1513" s="39"/>
      <c r="BB1513" s="39"/>
      <c r="BC1513" s="39"/>
      <c r="BD1513" s="39"/>
      <c r="BE1513" s="39"/>
      <c r="BF1513" s="39">
        <f t="shared" si="979"/>
        <v>0</v>
      </c>
      <c r="BG1513" s="39"/>
      <c r="BH1513" s="39"/>
      <c r="BI1513" s="39"/>
      <c r="BJ1513" s="39"/>
      <c r="BK1513" s="39"/>
      <c r="BL1513" s="39">
        <f t="shared" si="970"/>
        <v>0</v>
      </c>
      <c r="BM1513" s="54">
        <f t="shared" ca="1" si="980"/>
        <v>2</v>
      </c>
      <c r="BN1513" s="64" t="s">
        <v>477</v>
      </c>
      <c r="BO1513" s="57">
        <v>46277</v>
      </c>
      <c r="BP1513" s="36"/>
      <c r="BQ1513" s="36"/>
      <c r="BR1513" s="39"/>
      <c r="BS1513" s="39"/>
      <c r="BT1513" s="39"/>
      <c r="BU1513" s="39"/>
      <c r="BV1513" s="39"/>
      <c r="BW1513" s="39"/>
      <c r="BX1513" s="39"/>
      <c r="BY1513" s="39"/>
      <c r="BZ1513" s="39">
        <f t="shared" si="971"/>
        <v>0</v>
      </c>
      <c r="CA1513" s="39">
        <f t="shared" si="981"/>
        <v>-19</v>
      </c>
      <c r="CB1513" s="39">
        <f t="shared" si="982"/>
        <v>0</v>
      </c>
      <c r="CC1513" s="39">
        <f t="shared" si="983"/>
        <v>0</v>
      </c>
      <c r="CD1513" s="39">
        <f t="shared" si="972"/>
        <v>-19</v>
      </c>
      <c r="CE1513" s="102">
        <f t="shared" si="984"/>
        <v>-1</v>
      </c>
      <c r="CF1513" s="36"/>
      <c r="CG1513" s="39" t="s">
        <v>245</v>
      </c>
      <c r="CH1513" s="39"/>
      <c r="CI1513" s="25">
        <v>1</v>
      </c>
    </row>
    <row r="1514" spans="1:87" ht="24.75" customHeight="1">
      <c r="A1514" s="36" t="s">
        <v>46</v>
      </c>
      <c r="B1514" s="30"/>
      <c r="C1514" s="36"/>
      <c r="D1514" s="23"/>
      <c r="E1514" s="39"/>
      <c r="F1514" s="39"/>
      <c r="G1514" s="36"/>
      <c r="H1514" s="39"/>
      <c r="I1514" s="39"/>
      <c r="J1514" s="39"/>
      <c r="K1514" s="39"/>
      <c r="L1514" s="39">
        <f t="shared" si="895"/>
        <v>0</v>
      </c>
      <c r="M1514" s="39"/>
      <c r="N1514" s="39"/>
      <c r="O1514" s="39"/>
      <c r="P1514" s="39"/>
      <c r="Q1514" s="39"/>
      <c r="R1514" s="39">
        <f t="shared" si="893"/>
        <v>0</v>
      </c>
      <c r="S1514" s="39"/>
      <c r="T1514" s="39"/>
      <c r="U1514" s="39"/>
      <c r="V1514" s="39"/>
      <c r="W1514" s="39"/>
      <c r="X1514" s="39"/>
      <c r="Y1514" s="39"/>
      <c r="Z1514" s="39"/>
      <c r="AA1514" s="39"/>
      <c r="AB1514" s="39">
        <f t="shared" si="894"/>
        <v>0</v>
      </c>
      <c r="AC1514" s="39"/>
      <c r="AD1514" s="39"/>
      <c r="AE1514" s="39"/>
      <c r="AF1514" s="39"/>
      <c r="AG1514" s="39"/>
      <c r="AH1514" s="39">
        <f t="shared" si="779"/>
        <v>0</v>
      </c>
      <c r="AI1514" s="39"/>
      <c r="AJ1514" s="39"/>
      <c r="AK1514" s="39"/>
      <c r="AL1514" s="39"/>
      <c r="AM1514" s="39"/>
      <c r="AN1514" s="39">
        <f t="shared" si="778"/>
        <v>0</v>
      </c>
      <c r="AO1514" s="39"/>
      <c r="AP1514" s="39"/>
      <c r="AQ1514" s="39"/>
      <c r="AR1514" s="39"/>
      <c r="AS1514" s="39"/>
      <c r="AT1514" s="39">
        <f t="shared" si="896"/>
        <v>0</v>
      </c>
      <c r="AU1514" s="39"/>
      <c r="AV1514" s="39"/>
      <c r="AW1514" s="39"/>
      <c r="AX1514" s="39"/>
      <c r="AY1514" s="39"/>
      <c r="AZ1514" s="39">
        <f t="shared" si="897"/>
        <v>0</v>
      </c>
      <c r="BA1514" s="39"/>
      <c r="BB1514" s="39"/>
      <c r="BC1514" s="39"/>
      <c r="BD1514" s="39"/>
      <c r="BE1514" s="39"/>
      <c r="BF1514" s="39">
        <f t="shared" si="898"/>
        <v>0</v>
      </c>
      <c r="BG1514" s="39"/>
      <c r="BH1514" s="39"/>
      <c r="BI1514" s="39"/>
      <c r="BJ1514" s="39"/>
      <c r="BK1514" s="39"/>
      <c r="BL1514" s="39">
        <f t="shared" si="780"/>
        <v>0</v>
      </c>
      <c r="BM1514" s="54" t="e">
        <f t="shared" si="899"/>
        <v>#DIV/0!</v>
      </c>
      <c r="BN1514" s="64"/>
      <c r="BO1514" s="36"/>
      <c r="BP1514" s="36"/>
      <c r="BQ1514" s="36"/>
      <c r="BR1514" s="39"/>
      <c r="BS1514" s="39"/>
      <c r="BT1514" s="39"/>
      <c r="BU1514" s="39"/>
      <c r="BV1514" s="39"/>
      <c r="BW1514" s="39"/>
      <c r="BX1514" s="39"/>
      <c r="BY1514" s="39"/>
      <c r="BZ1514" s="39">
        <f t="shared" si="781"/>
        <v>0</v>
      </c>
      <c r="CA1514" s="39">
        <f t="shared" si="900"/>
        <v>0</v>
      </c>
      <c r="CB1514" s="39">
        <f t="shared" si="901"/>
        <v>0</v>
      </c>
      <c r="CC1514" s="39">
        <f t="shared" si="902"/>
        <v>0</v>
      </c>
      <c r="CD1514" s="39">
        <f t="shared" si="782"/>
        <v>0</v>
      </c>
      <c r="CE1514" s="47" t="e">
        <f t="shared" si="903"/>
        <v>#DIV/0!</v>
      </c>
      <c r="CF1514" s="36"/>
      <c r="CG1514" s="39"/>
      <c r="CH1514" s="39"/>
      <c r="CI1514" s="25">
        <v>1</v>
      </c>
    </row>
    <row r="1515" spans="1:87" ht="24.75" customHeight="1">
      <c r="A1515" s="36" t="s">
        <v>46</v>
      </c>
      <c r="B1515" s="30"/>
      <c r="C1515" s="36"/>
      <c r="D1515" s="23"/>
      <c r="E1515" s="39"/>
      <c r="F1515" s="39"/>
      <c r="G1515" s="36"/>
      <c r="H1515" s="39"/>
      <c r="I1515" s="39"/>
      <c r="J1515" s="39"/>
      <c r="K1515" s="39"/>
      <c r="L1515" s="39">
        <f t="shared" si="895"/>
        <v>0</v>
      </c>
      <c r="M1515" s="39"/>
      <c r="N1515" s="39"/>
      <c r="O1515" s="39"/>
      <c r="P1515" s="39"/>
      <c r="Q1515" s="39"/>
      <c r="R1515" s="39">
        <f t="shared" si="893"/>
        <v>0</v>
      </c>
      <c r="S1515" s="39"/>
      <c r="T1515" s="39"/>
      <c r="U1515" s="39"/>
      <c r="V1515" s="39"/>
      <c r="W1515" s="39"/>
      <c r="X1515" s="39"/>
      <c r="Y1515" s="39"/>
      <c r="Z1515" s="39"/>
      <c r="AA1515" s="39"/>
      <c r="AB1515" s="39">
        <f t="shared" si="894"/>
        <v>0</v>
      </c>
      <c r="AC1515" s="39"/>
      <c r="AD1515" s="39"/>
      <c r="AE1515" s="39"/>
      <c r="AF1515" s="39"/>
      <c r="AG1515" s="39"/>
      <c r="AH1515" s="39">
        <f t="shared" si="779"/>
        <v>0</v>
      </c>
      <c r="AI1515" s="39"/>
      <c r="AJ1515" s="39"/>
      <c r="AK1515" s="39"/>
      <c r="AL1515" s="39"/>
      <c r="AM1515" s="39"/>
      <c r="AN1515" s="39">
        <f t="shared" si="778"/>
        <v>0</v>
      </c>
      <c r="AO1515" s="39"/>
      <c r="AP1515" s="39"/>
      <c r="AQ1515" s="39"/>
      <c r="AR1515" s="39"/>
      <c r="AS1515" s="39"/>
      <c r="AT1515" s="39">
        <f t="shared" si="896"/>
        <v>0</v>
      </c>
      <c r="AU1515" s="39"/>
      <c r="AV1515" s="39"/>
      <c r="AW1515" s="39"/>
      <c r="AX1515" s="39"/>
      <c r="AY1515" s="39"/>
      <c r="AZ1515" s="39">
        <f t="shared" si="897"/>
        <v>0</v>
      </c>
      <c r="BA1515" s="39"/>
      <c r="BB1515" s="39"/>
      <c r="BC1515" s="39"/>
      <c r="BD1515" s="39"/>
      <c r="BE1515" s="39"/>
      <c r="BF1515" s="39">
        <f t="shared" si="898"/>
        <v>0</v>
      </c>
      <c r="BG1515" s="39"/>
      <c r="BH1515" s="39"/>
      <c r="BI1515" s="39"/>
      <c r="BJ1515" s="39"/>
      <c r="BK1515" s="39"/>
      <c r="BL1515" s="39">
        <f t="shared" si="780"/>
        <v>0</v>
      </c>
      <c r="BM1515" s="54" t="e">
        <f t="shared" si="899"/>
        <v>#DIV/0!</v>
      </c>
      <c r="BN1515" s="64"/>
      <c r="BO1515" s="36"/>
      <c r="BP1515" s="36"/>
      <c r="BQ1515" s="36"/>
      <c r="BR1515" s="39"/>
      <c r="BS1515" s="39"/>
      <c r="BT1515" s="39"/>
      <c r="BU1515" s="39"/>
      <c r="BV1515" s="39"/>
      <c r="BW1515" s="39"/>
      <c r="BX1515" s="39"/>
      <c r="BY1515" s="39"/>
      <c r="BZ1515" s="39">
        <f t="shared" si="781"/>
        <v>0</v>
      </c>
      <c r="CA1515" s="39">
        <f t="shared" si="900"/>
        <v>0</v>
      </c>
      <c r="CB1515" s="39">
        <f t="shared" si="901"/>
        <v>0</v>
      </c>
      <c r="CC1515" s="39">
        <f t="shared" si="902"/>
        <v>0</v>
      </c>
      <c r="CD1515" s="39">
        <f t="shared" si="782"/>
        <v>0</v>
      </c>
      <c r="CE1515" s="47" t="e">
        <f t="shared" si="903"/>
        <v>#DIV/0!</v>
      </c>
      <c r="CF1515" s="36"/>
      <c r="CG1515" s="39"/>
      <c r="CH1515" s="39"/>
      <c r="CI1515" s="25">
        <v>1</v>
      </c>
    </row>
    <row r="1516" spans="1:87" ht="24.75" customHeight="1">
      <c r="A1516" s="36" t="s">
        <v>46</v>
      </c>
      <c r="B1516" s="30"/>
      <c r="C1516" s="36"/>
      <c r="D1516" s="23"/>
      <c r="E1516" s="39"/>
      <c r="F1516" s="39"/>
      <c r="G1516" s="36"/>
      <c r="H1516" s="39"/>
      <c r="I1516" s="39"/>
      <c r="J1516" s="39"/>
      <c r="K1516" s="39"/>
      <c r="L1516" s="39">
        <f t="shared" si="895"/>
        <v>0</v>
      </c>
      <c r="M1516" s="39"/>
      <c r="N1516" s="39"/>
      <c r="O1516" s="39"/>
      <c r="P1516" s="39"/>
      <c r="Q1516" s="39"/>
      <c r="R1516" s="39">
        <f t="shared" si="893"/>
        <v>0</v>
      </c>
      <c r="S1516" s="39"/>
      <c r="T1516" s="39"/>
      <c r="U1516" s="39"/>
      <c r="V1516" s="39"/>
      <c r="W1516" s="39"/>
      <c r="X1516" s="39"/>
      <c r="Y1516" s="39"/>
      <c r="Z1516" s="39"/>
      <c r="AA1516" s="39"/>
      <c r="AB1516" s="39">
        <f t="shared" si="894"/>
        <v>0</v>
      </c>
      <c r="AC1516" s="39"/>
      <c r="AD1516" s="39"/>
      <c r="AE1516" s="39"/>
      <c r="AF1516" s="39"/>
      <c r="AG1516" s="39"/>
      <c r="AH1516" s="39">
        <f t="shared" si="779"/>
        <v>0</v>
      </c>
      <c r="AI1516" s="39"/>
      <c r="AJ1516" s="39"/>
      <c r="AK1516" s="39"/>
      <c r="AL1516" s="39"/>
      <c r="AM1516" s="39"/>
      <c r="AN1516" s="39">
        <f t="shared" si="778"/>
        <v>0</v>
      </c>
      <c r="AO1516" s="39"/>
      <c r="AP1516" s="39"/>
      <c r="AQ1516" s="39"/>
      <c r="AR1516" s="39"/>
      <c r="AS1516" s="39"/>
      <c r="AT1516" s="39">
        <f t="shared" si="896"/>
        <v>0</v>
      </c>
      <c r="AU1516" s="39"/>
      <c r="AV1516" s="39"/>
      <c r="AW1516" s="39"/>
      <c r="AX1516" s="39"/>
      <c r="AY1516" s="39"/>
      <c r="AZ1516" s="39">
        <f t="shared" si="897"/>
        <v>0</v>
      </c>
      <c r="BA1516" s="39"/>
      <c r="BB1516" s="39"/>
      <c r="BC1516" s="39"/>
      <c r="BD1516" s="39"/>
      <c r="BE1516" s="39"/>
      <c r="BF1516" s="39">
        <f t="shared" si="898"/>
        <v>0</v>
      </c>
      <c r="BG1516" s="39"/>
      <c r="BH1516" s="39"/>
      <c r="BI1516" s="39"/>
      <c r="BJ1516" s="39"/>
      <c r="BK1516" s="39"/>
      <c r="BL1516" s="39">
        <f t="shared" si="780"/>
        <v>0</v>
      </c>
      <c r="BM1516" s="54" t="e">
        <f t="shared" si="899"/>
        <v>#DIV/0!</v>
      </c>
      <c r="BN1516" s="64"/>
      <c r="BO1516" s="36"/>
      <c r="BP1516" s="36"/>
      <c r="BQ1516" s="36"/>
      <c r="BR1516" s="39"/>
      <c r="BS1516" s="39"/>
      <c r="BT1516" s="39"/>
      <c r="BU1516" s="39"/>
      <c r="BV1516" s="39"/>
      <c r="BW1516" s="39"/>
      <c r="BX1516" s="39"/>
      <c r="BY1516" s="39"/>
      <c r="BZ1516" s="39">
        <f t="shared" si="781"/>
        <v>0</v>
      </c>
      <c r="CA1516" s="39">
        <f t="shared" si="900"/>
        <v>0</v>
      </c>
      <c r="CB1516" s="39">
        <f t="shared" si="901"/>
        <v>0</v>
      </c>
      <c r="CC1516" s="39">
        <f t="shared" si="902"/>
        <v>0</v>
      </c>
      <c r="CD1516" s="39">
        <f t="shared" si="782"/>
        <v>0</v>
      </c>
      <c r="CE1516" s="47" t="e">
        <f t="shared" si="903"/>
        <v>#DIV/0!</v>
      </c>
      <c r="CF1516" s="36"/>
      <c r="CG1516" s="39"/>
      <c r="CH1516" s="39"/>
      <c r="CI1516" s="25">
        <v>1</v>
      </c>
    </row>
    <row r="1517" spans="1:87" ht="24.75" customHeight="1">
      <c r="A1517" s="36" t="s">
        <v>46</v>
      </c>
      <c r="B1517" s="30"/>
      <c r="C1517" s="36"/>
      <c r="D1517" s="23"/>
      <c r="E1517" s="39"/>
      <c r="F1517" s="39"/>
      <c r="G1517" s="36"/>
      <c r="H1517" s="39"/>
      <c r="I1517" s="39"/>
      <c r="J1517" s="39"/>
      <c r="K1517" s="39"/>
      <c r="L1517" s="39">
        <f t="shared" si="895"/>
        <v>0</v>
      </c>
      <c r="M1517" s="39"/>
      <c r="N1517" s="39"/>
      <c r="O1517" s="39"/>
      <c r="P1517" s="39"/>
      <c r="Q1517" s="39"/>
      <c r="R1517" s="39">
        <f t="shared" si="893"/>
        <v>0</v>
      </c>
      <c r="S1517" s="39"/>
      <c r="T1517" s="39"/>
      <c r="U1517" s="39"/>
      <c r="V1517" s="39"/>
      <c r="W1517" s="39"/>
      <c r="X1517" s="39"/>
      <c r="Y1517" s="39"/>
      <c r="Z1517" s="39"/>
      <c r="AA1517" s="39"/>
      <c r="AB1517" s="39">
        <f t="shared" si="894"/>
        <v>0</v>
      </c>
      <c r="AC1517" s="39"/>
      <c r="AD1517" s="39"/>
      <c r="AE1517" s="39"/>
      <c r="AF1517" s="39"/>
      <c r="AG1517" s="39"/>
      <c r="AH1517" s="39">
        <f t="shared" si="779"/>
        <v>0</v>
      </c>
      <c r="AI1517" s="39"/>
      <c r="AJ1517" s="39"/>
      <c r="AK1517" s="39"/>
      <c r="AL1517" s="39"/>
      <c r="AM1517" s="39"/>
      <c r="AN1517" s="39">
        <f t="shared" si="778"/>
        <v>0</v>
      </c>
      <c r="AO1517" s="39"/>
      <c r="AP1517" s="39"/>
      <c r="AQ1517" s="39"/>
      <c r="AR1517" s="39"/>
      <c r="AS1517" s="39"/>
      <c r="AT1517" s="39">
        <f t="shared" si="896"/>
        <v>0</v>
      </c>
      <c r="AU1517" s="39"/>
      <c r="AV1517" s="39"/>
      <c r="AW1517" s="39"/>
      <c r="AX1517" s="39"/>
      <c r="AY1517" s="39"/>
      <c r="AZ1517" s="39">
        <f t="shared" si="897"/>
        <v>0</v>
      </c>
      <c r="BA1517" s="39"/>
      <c r="BB1517" s="39"/>
      <c r="BC1517" s="39"/>
      <c r="BD1517" s="39"/>
      <c r="BE1517" s="39"/>
      <c r="BF1517" s="39">
        <f t="shared" si="898"/>
        <v>0</v>
      </c>
      <c r="BG1517" s="39"/>
      <c r="BH1517" s="39"/>
      <c r="BI1517" s="39"/>
      <c r="BJ1517" s="39"/>
      <c r="BK1517" s="39"/>
      <c r="BL1517" s="39">
        <f t="shared" si="780"/>
        <v>0</v>
      </c>
      <c r="BM1517" s="54" t="e">
        <f t="shared" si="899"/>
        <v>#DIV/0!</v>
      </c>
      <c r="BN1517" s="64"/>
      <c r="BO1517" s="36"/>
      <c r="BP1517" s="36"/>
      <c r="BQ1517" s="36"/>
      <c r="BR1517" s="39"/>
      <c r="BS1517" s="39"/>
      <c r="BT1517" s="39"/>
      <c r="BU1517" s="39"/>
      <c r="BV1517" s="39"/>
      <c r="BW1517" s="39"/>
      <c r="BX1517" s="39"/>
      <c r="BY1517" s="39"/>
      <c r="BZ1517" s="39">
        <f t="shared" si="781"/>
        <v>0</v>
      </c>
      <c r="CA1517" s="39">
        <f t="shared" si="900"/>
        <v>0</v>
      </c>
      <c r="CB1517" s="39">
        <f t="shared" si="901"/>
        <v>0</v>
      </c>
      <c r="CC1517" s="39">
        <f t="shared" si="902"/>
        <v>0</v>
      </c>
      <c r="CD1517" s="39">
        <f t="shared" si="782"/>
        <v>0</v>
      </c>
      <c r="CE1517" s="47" t="e">
        <f t="shared" si="903"/>
        <v>#DIV/0!</v>
      </c>
      <c r="CF1517" s="36"/>
      <c r="CG1517" s="39"/>
      <c r="CH1517" s="39"/>
      <c r="CI1517" s="25">
        <v>1</v>
      </c>
    </row>
    <row r="1518" spans="1:87" ht="24.75" customHeight="1">
      <c r="A1518" s="36" t="s">
        <v>46</v>
      </c>
      <c r="B1518" s="30"/>
      <c r="C1518" s="36"/>
      <c r="D1518" s="23"/>
      <c r="E1518" s="39"/>
      <c r="F1518" s="39"/>
      <c r="G1518" s="36"/>
      <c r="H1518" s="39"/>
      <c r="I1518" s="39"/>
      <c r="J1518" s="39"/>
      <c r="K1518" s="39"/>
      <c r="L1518" s="39">
        <f t="shared" si="895"/>
        <v>0</v>
      </c>
      <c r="M1518" s="39"/>
      <c r="N1518" s="39"/>
      <c r="O1518" s="39"/>
      <c r="P1518" s="39"/>
      <c r="Q1518" s="39"/>
      <c r="R1518" s="39">
        <f t="shared" si="893"/>
        <v>0</v>
      </c>
      <c r="S1518" s="39"/>
      <c r="T1518" s="39"/>
      <c r="U1518" s="39"/>
      <c r="V1518" s="39"/>
      <c r="W1518" s="39"/>
      <c r="X1518" s="39"/>
      <c r="Y1518" s="39"/>
      <c r="Z1518" s="39"/>
      <c r="AA1518" s="39"/>
      <c r="AB1518" s="39">
        <f t="shared" si="894"/>
        <v>0</v>
      </c>
      <c r="AC1518" s="39"/>
      <c r="AD1518" s="39"/>
      <c r="AE1518" s="39"/>
      <c r="AF1518" s="39"/>
      <c r="AG1518" s="39"/>
      <c r="AH1518" s="39">
        <f t="shared" si="779"/>
        <v>0</v>
      </c>
      <c r="AI1518" s="39"/>
      <c r="AJ1518" s="39"/>
      <c r="AK1518" s="39"/>
      <c r="AL1518" s="39"/>
      <c r="AM1518" s="39"/>
      <c r="AN1518" s="39">
        <f t="shared" si="778"/>
        <v>0</v>
      </c>
      <c r="AO1518" s="39"/>
      <c r="AP1518" s="39"/>
      <c r="AQ1518" s="39"/>
      <c r="AR1518" s="39"/>
      <c r="AS1518" s="39"/>
      <c r="AT1518" s="39">
        <f t="shared" si="896"/>
        <v>0</v>
      </c>
      <c r="AU1518" s="39"/>
      <c r="AV1518" s="39"/>
      <c r="AW1518" s="39"/>
      <c r="AX1518" s="39"/>
      <c r="AY1518" s="39"/>
      <c r="AZ1518" s="39">
        <f t="shared" si="897"/>
        <v>0</v>
      </c>
      <c r="BA1518" s="39"/>
      <c r="BB1518" s="39"/>
      <c r="BC1518" s="39"/>
      <c r="BD1518" s="39"/>
      <c r="BE1518" s="39"/>
      <c r="BF1518" s="39">
        <f t="shared" si="898"/>
        <v>0</v>
      </c>
      <c r="BG1518" s="39"/>
      <c r="BH1518" s="39"/>
      <c r="BI1518" s="39"/>
      <c r="BJ1518" s="39"/>
      <c r="BK1518" s="39"/>
      <c r="BL1518" s="39">
        <f t="shared" si="780"/>
        <v>0</v>
      </c>
      <c r="BM1518" s="54" t="e">
        <f t="shared" si="899"/>
        <v>#DIV/0!</v>
      </c>
      <c r="BN1518" s="64"/>
      <c r="BO1518" s="36"/>
      <c r="BP1518" s="36"/>
      <c r="BQ1518" s="36"/>
      <c r="BR1518" s="39"/>
      <c r="BS1518" s="39"/>
      <c r="BT1518" s="39"/>
      <c r="BU1518" s="39"/>
      <c r="BV1518" s="39"/>
      <c r="BW1518" s="39"/>
      <c r="BX1518" s="39"/>
      <c r="BY1518" s="39"/>
      <c r="BZ1518" s="39">
        <f t="shared" si="781"/>
        <v>0</v>
      </c>
      <c r="CA1518" s="39">
        <f t="shared" si="900"/>
        <v>0</v>
      </c>
      <c r="CB1518" s="39">
        <f t="shared" si="901"/>
        <v>0</v>
      </c>
      <c r="CC1518" s="39">
        <f t="shared" si="902"/>
        <v>0</v>
      </c>
      <c r="CD1518" s="39">
        <f t="shared" si="782"/>
        <v>0</v>
      </c>
      <c r="CE1518" s="47" t="e">
        <f t="shared" si="903"/>
        <v>#DIV/0!</v>
      </c>
      <c r="CF1518" s="36"/>
      <c r="CG1518" s="39"/>
      <c r="CH1518" s="39"/>
      <c r="CI1518" s="25">
        <v>1</v>
      </c>
    </row>
    <row r="1519" spans="1:87" ht="24.75" customHeight="1">
      <c r="A1519" s="36" t="s">
        <v>46</v>
      </c>
      <c r="B1519" s="30"/>
      <c r="C1519" s="36"/>
      <c r="D1519" s="23"/>
      <c r="E1519" s="39"/>
      <c r="F1519" s="39"/>
      <c r="G1519" s="36"/>
      <c r="H1519" s="39"/>
      <c r="I1519" s="39"/>
      <c r="J1519" s="39"/>
      <c r="K1519" s="39"/>
      <c r="L1519" s="39">
        <f t="shared" si="895"/>
        <v>0</v>
      </c>
      <c r="M1519" s="39"/>
      <c r="N1519" s="39"/>
      <c r="O1519" s="39"/>
      <c r="P1519" s="39"/>
      <c r="Q1519" s="39"/>
      <c r="R1519" s="39">
        <f t="shared" si="893"/>
        <v>0</v>
      </c>
      <c r="S1519" s="39"/>
      <c r="T1519" s="39"/>
      <c r="U1519" s="39"/>
      <c r="V1519" s="39"/>
      <c r="W1519" s="39"/>
      <c r="X1519" s="39"/>
      <c r="Y1519" s="39"/>
      <c r="Z1519" s="39"/>
      <c r="AA1519" s="39"/>
      <c r="AB1519" s="39">
        <f t="shared" si="894"/>
        <v>0</v>
      </c>
      <c r="AC1519" s="39"/>
      <c r="AD1519" s="39"/>
      <c r="AE1519" s="39"/>
      <c r="AF1519" s="39"/>
      <c r="AG1519" s="39"/>
      <c r="AH1519" s="39">
        <f t="shared" si="779"/>
        <v>0</v>
      </c>
      <c r="AI1519" s="39"/>
      <c r="AJ1519" s="39"/>
      <c r="AK1519" s="39"/>
      <c r="AL1519" s="39"/>
      <c r="AM1519" s="39"/>
      <c r="AN1519" s="39">
        <f t="shared" si="778"/>
        <v>0</v>
      </c>
      <c r="AO1519" s="39"/>
      <c r="AP1519" s="39"/>
      <c r="AQ1519" s="39"/>
      <c r="AR1519" s="39"/>
      <c r="AS1519" s="39"/>
      <c r="AT1519" s="39">
        <f t="shared" si="896"/>
        <v>0</v>
      </c>
      <c r="AU1519" s="39"/>
      <c r="AV1519" s="39"/>
      <c r="AW1519" s="39"/>
      <c r="AX1519" s="39"/>
      <c r="AY1519" s="39"/>
      <c r="AZ1519" s="39">
        <f t="shared" si="897"/>
        <v>0</v>
      </c>
      <c r="BA1519" s="39"/>
      <c r="BB1519" s="39"/>
      <c r="BC1519" s="39"/>
      <c r="BD1519" s="39"/>
      <c r="BE1519" s="39"/>
      <c r="BF1519" s="39">
        <f t="shared" si="898"/>
        <v>0</v>
      </c>
      <c r="BG1519" s="39"/>
      <c r="BH1519" s="39"/>
      <c r="BI1519" s="39"/>
      <c r="BJ1519" s="39"/>
      <c r="BK1519" s="39"/>
      <c r="BL1519" s="39">
        <f t="shared" si="780"/>
        <v>0</v>
      </c>
      <c r="BM1519" s="54" t="e">
        <f t="shared" si="899"/>
        <v>#DIV/0!</v>
      </c>
      <c r="BN1519" s="64"/>
      <c r="BO1519" s="36"/>
      <c r="BP1519" s="36"/>
      <c r="BQ1519" s="36"/>
      <c r="BR1519" s="39"/>
      <c r="BS1519" s="39"/>
      <c r="BT1519" s="39"/>
      <c r="BU1519" s="39"/>
      <c r="BV1519" s="39"/>
      <c r="BW1519" s="39"/>
      <c r="BX1519" s="39"/>
      <c r="BY1519" s="39"/>
      <c r="BZ1519" s="39">
        <f t="shared" si="781"/>
        <v>0</v>
      </c>
      <c r="CA1519" s="39">
        <f t="shared" si="900"/>
        <v>0</v>
      </c>
      <c r="CB1519" s="39">
        <f t="shared" si="901"/>
        <v>0</v>
      </c>
      <c r="CC1519" s="39">
        <f t="shared" si="902"/>
        <v>0</v>
      </c>
      <c r="CD1519" s="39">
        <f t="shared" si="782"/>
        <v>0</v>
      </c>
      <c r="CE1519" s="47" t="e">
        <f t="shared" si="903"/>
        <v>#DIV/0!</v>
      </c>
      <c r="CF1519" s="36"/>
      <c r="CG1519" s="39"/>
      <c r="CH1519" s="39"/>
      <c r="CI1519" s="25">
        <v>1</v>
      </c>
    </row>
    <row r="1520" spans="1:87" ht="24.75" customHeight="1">
      <c r="A1520" s="36" t="s">
        <v>46</v>
      </c>
      <c r="B1520" s="30"/>
      <c r="C1520" s="36"/>
      <c r="D1520" s="23"/>
      <c r="E1520" s="39"/>
      <c r="F1520" s="39"/>
      <c r="G1520" s="36"/>
      <c r="H1520" s="39"/>
      <c r="I1520" s="39"/>
      <c r="J1520" s="39"/>
      <c r="K1520" s="39"/>
      <c r="L1520" s="39">
        <f t="shared" si="895"/>
        <v>0</v>
      </c>
      <c r="M1520" s="39"/>
      <c r="N1520" s="39"/>
      <c r="O1520" s="39"/>
      <c r="P1520" s="39"/>
      <c r="Q1520" s="39"/>
      <c r="R1520" s="39">
        <f t="shared" si="893"/>
        <v>0</v>
      </c>
      <c r="S1520" s="39"/>
      <c r="T1520" s="39"/>
      <c r="U1520" s="39"/>
      <c r="V1520" s="39"/>
      <c r="W1520" s="39"/>
      <c r="X1520" s="39"/>
      <c r="Y1520" s="39"/>
      <c r="Z1520" s="39"/>
      <c r="AA1520" s="39"/>
      <c r="AB1520" s="39">
        <f t="shared" si="894"/>
        <v>0</v>
      </c>
      <c r="AC1520" s="39"/>
      <c r="AD1520" s="39"/>
      <c r="AE1520" s="39"/>
      <c r="AF1520" s="39"/>
      <c r="AG1520" s="39"/>
      <c r="AH1520" s="39">
        <f t="shared" si="779"/>
        <v>0</v>
      </c>
      <c r="AI1520" s="39"/>
      <c r="AJ1520" s="39"/>
      <c r="AK1520" s="39"/>
      <c r="AL1520" s="39"/>
      <c r="AM1520" s="39"/>
      <c r="AN1520" s="39">
        <f t="shared" si="778"/>
        <v>0</v>
      </c>
      <c r="AO1520" s="39"/>
      <c r="AP1520" s="39"/>
      <c r="AQ1520" s="39"/>
      <c r="AR1520" s="39"/>
      <c r="AS1520" s="39"/>
      <c r="AT1520" s="39">
        <f t="shared" si="896"/>
        <v>0</v>
      </c>
      <c r="AU1520" s="39"/>
      <c r="AV1520" s="39"/>
      <c r="AW1520" s="39"/>
      <c r="AX1520" s="39"/>
      <c r="AY1520" s="39"/>
      <c r="AZ1520" s="39">
        <f t="shared" si="897"/>
        <v>0</v>
      </c>
      <c r="BA1520" s="39"/>
      <c r="BB1520" s="39"/>
      <c r="BC1520" s="39"/>
      <c r="BD1520" s="39"/>
      <c r="BE1520" s="39"/>
      <c r="BF1520" s="39">
        <f t="shared" si="898"/>
        <v>0</v>
      </c>
      <c r="BG1520" s="39"/>
      <c r="BH1520" s="39"/>
      <c r="BI1520" s="39"/>
      <c r="BJ1520" s="39"/>
      <c r="BK1520" s="39"/>
      <c r="BL1520" s="39">
        <f t="shared" si="780"/>
        <v>0</v>
      </c>
      <c r="BM1520" s="54" t="e">
        <f t="shared" si="899"/>
        <v>#DIV/0!</v>
      </c>
      <c r="BN1520" s="64"/>
      <c r="BO1520" s="36"/>
      <c r="BP1520" s="36"/>
      <c r="BQ1520" s="36"/>
      <c r="BR1520" s="39"/>
      <c r="BS1520" s="39"/>
      <c r="BT1520" s="39"/>
      <c r="BU1520" s="39"/>
      <c r="BV1520" s="39"/>
      <c r="BW1520" s="39"/>
      <c r="BX1520" s="39"/>
      <c r="BY1520" s="39"/>
      <c r="BZ1520" s="39">
        <f t="shared" si="781"/>
        <v>0</v>
      </c>
      <c r="CA1520" s="39">
        <f t="shared" si="900"/>
        <v>0</v>
      </c>
      <c r="CB1520" s="39">
        <f t="shared" si="901"/>
        <v>0</v>
      </c>
      <c r="CC1520" s="39">
        <f t="shared" si="902"/>
        <v>0</v>
      </c>
      <c r="CD1520" s="39">
        <f t="shared" si="782"/>
        <v>0</v>
      </c>
      <c r="CE1520" s="47" t="e">
        <f t="shared" si="903"/>
        <v>#DIV/0!</v>
      </c>
      <c r="CF1520" s="36"/>
      <c r="CG1520" s="39"/>
      <c r="CH1520" s="39"/>
      <c r="CI1520" s="25">
        <v>1</v>
      </c>
    </row>
    <row r="1521" spans="1:87" ht="24.75" customHeight="1">
      <c r="A1521" s="36" t="s">
        <v>46</v>
      </c>
      <c r="B1521" s="30"/>
      <c r="C1521" s="36"/>
      <c r="D1521" s="23"/>
      <c r="E1521" s="39"/>
      <c r="F1521" s="39"/>
      <c r="G1521" s="36"/>
      <c r="H1521" s="39"/>
      <c r="I1521" s="39"/>
      <c r="J1521" s="39"/>
      <c r="K1521" s="39"/>
      <c r="L1521" s="39">
        <f t="shared" si="895"/>
        <v>0</v>
      </c>
      <c r="M1521" s="39"/>
      <c r="N1521" s="39"/>
      <c r="O1521" s="39"/>
      <c r="P1521" s="39"/>
      <c r="Q1521" s="39"/>
      <c r="R1521" s="39">
        <f t="shared" si="893"/>
        <v>0</v>
      </c>
      <c r="S1521" s="39"/>
      <c r="T1521" s="39"/>
      <c r="U1521" s="39"/>
      <c r="V1521" s="39"/>
      <c r="W1521" s="39"/>
      <c r="X1521" s="39"/>
      <c r="Y1521" s="39"/>
      <c r="Z1521" s="39"/>
      <c r="AA1521" s="39"/>
      <c r="AB1521" s="39">
        <f t="shared" si="894"/>
        <v>0</v>
      </c>
      <c r="AC1521" s="39"/>
      <c r="AD1521" s="39"/>
      <c r="AE1521" s="39"/>
      <c r="AF1521" s="39"/>
      <c r="AG1521" s="39"/>
      <c r="AH1521" s="39">
        <f t="shared" si="779"/>
        <v>0</v>
      </c>
      <c r="AI1521" s="39"/>
      <c r="AJ1521" s="39"/>
      <c r="AK1521" s="39"/>
      <c r="AL1521" s="39"/>
      <c r="AM1521" s="39"/>
      <c r="AN1521" s="39">
        <f t="shared" ref="AN1521:AN1675" si="991">AM1521-AK1521</f>
        <v>0</v>
      </c>
      <c r="AO1521" s="39"/>
      <c r="AP1521" s="39"/>
      <c r="AQ1521" s="39"/>
      <c r="AR1521" s="39"/>
      <c r="AS1521" s="39"/>
      <c r="AT1521" s="39">
        <f t="shared" si="896"/>
        <v>0</v>
      </c>
      <c r="AU1521" s="39"/>
      <c r="AV1521" s="39"/>
      <c r="AW1521" s="39"/>
      <c r="AX1521" s="39"/>
      <c r="AY1521" s="39"/>
      <c r="AZ1521" s="39">
        <f t="shared" si="897"/>
        <v>0</v>
      </c>
      <c r="BA1521" s="39"/>
      <c r="BB1521" s="39"/>
      <c r="BC1521" s="39"/>
      <c r="BD1521" s="39"/>
      <c r="BE1521" s="39"/>
      <c r="BF1521" s="39">
        <f t="shared" si="898"/>
        <v>0</v>
      </c>
      <c r="BG1521" s="39"/>
      <c r="BH1521" s="39"/>
      <c r="BI1521" s="39"/>
      <c r="BJ1521" s="39"/>
      <c r="BK1521" s="39"/>
      <c r="BL1521" s="39">
        <f t="shared" si="780"/>
        <v>0</v>
      </c>
      <c r="BM1521" s="54" t="e">
        <f t="shared" si="899"/>
        <v>#DIV/0!</v>
      </c>
      <c r="BN1521" s="64"/>
      <c r="BO1521" s="36"/>
      <c r="BP1521" s="36"/>
      <c r="BQ1521" s="36"/>
      <c r="BR1521" s="39"/>
      <c r="BS1521" s="39"/>
      <c r="BT1521" s="39"/>
      <c r="BU1521" s="39"/>
      <c r="BV1521" s="39"/>
      <c r="BW1521" s="39"/>
      <c r="BX1521" s="39"/>
      <c r="BY1521" s="39"/>
      <c r="BZ1521" s="39">
        <f t="shared" si="781"/>
        <v>0</v>
      </c>
      <c r="CA1521" s="39">
        <f t="shared" si="900"/>
        <v>0</v>
      </c>
      <c r="CB1521" s="39">
        <f t="shared" si="901"/>
        <v>0</v>
      </c>
      <c r="CC1521" s="39">
        <f t="shared" si="902"/>
        <v>0</v>
      </c>
      <c r="CD1521" s="39">
        <f t="shared" si="782"/>
        <v>0</v>
      </c>
      <c r="CE1521" s="47" t="e">
        <f t="shared" si="903"/>
        <v>#DIV/0!</v>
      </c>
      <c r="CF1521" s="36"/>
      <c r="CG1521" s="39"/>
      <c r="CH1521" s="39"/>
      <c r="CI1521" s="25">
        <v>1</v>
      </c>
    </row>
    <row r="1522" spans="1:87" ht="24.75" customHeight="1">
      <c r="A1522" s="36" t="s">
        <v>46</v>
      </c>
      <c r="B1522" s="30"/>
      <c r="C1522" s="36"/>
      <c r="D1522" s="23"/>
      <c r="E1522" s="39"/>
      <c r="F1522" s="39"/>
      <c r="G1522" s="36"/>
      <c r="H1522" s="39"/>
      <c r="I1522" s="39"/>
      <c r="J1522" s="39"/>
      <c r="K1522" s="39"/>
      <c r="L1522" s="39">
        <f t="shared" si="895"/>
        <v>0</v>
      </c>
      <c r="M1522" s="39"/>
      <c r="N1522" s="39"/>
      <c r="O1522" s="39"/>
      <c r="P1522" s="39"/>
      <c r="Q1522" s="39"/>
      <c r="R1522" s="39">
        <f t="shared" si="893"/>
        <v>0</v>
      </c>
      <c r="S1522" s="39"/>
      <c r="T1522" s="39"/>
      <c r="U1522" s="39"/>
      <c r="V1522" s="39"/>
      <c r="W1522" s="39"/>
      <c r="X1522" s="39"/>
      <c r="Y1522" s="39"/>
      <c r="Z1522" s="39"/>
      <c r="AA1522" s="39"/>
      <c r="AB1522" s="39">
        <f t="shared" si="894"/>
        <v>0</v>
      </c>
      <c r="AC1522" s="39"/>
      <c r="AD1522" s="39"/>
      <c r="AE1522" s="39"/>
      <c r="AF1522" s="39"/>
      <c r="AG1522" s="39"/>
      <c r="AH1522" s="39">
        <f t="shared" si="779"/>
        <v>0</v>
      </c>
      <c r="AI1522" s="39"/>
      <c r="AJ1522" s="39"/>
      <c r="AK1522" s="39"/>
      <c r="AL1522" s="39"/>
      <c r="AM1522" s="39"/>
      <c r="AN1522" s="39">
        <f t="shared" si="991"/>
        <v>0</v>
      </c>
      <c r="AO1522" s="39"/>
      <c r="AP1522" s="39"/>
      <c r="AQ1522" s="39"/>
      <c r="AR1522" s="39"/>
      <c r="AS1522" s="39"/>
      <c r="AT1522" s="39">
        <f t="shared" si="896"/>
        <v>0</v>
      </c>
      <c r="AU1522" s="39"/>
      <c r="AV1522" s="39"/>
      <c r="AW1522" s="39"/>
      <c r="AX1522" s="39"/>
      <c r="AY1522" s="39"/>
      <c r="AZ1522" s="39">
        <f t="shared" si="897"/>
        <v>0</v>
      </c>
      <c r="BA1522" s="39"/>
      <c r="BB1522" s="39"/>
      <c r="BC1522" s="39"/>
      <c r="BD1522" s="39"/>
      <c r="BE1522" s="39"/>
      <c r="BF1522" s="39">
        <f t="shared" si="898"/>
        <v>0</v>
      </c>
      <c r="BG1522" s="39"/>
      <c r="BH1522" s="39"/>
      <c r="BI1522" s="39"/>
      <c r="BJ1522" s="39"/>
      <c r="BK1522" s="39"/>
      <c r="BL1522" s="39">
        <f t="shared" si="780"/>
        <v>0</v>
      </c>
      <c r="BM1522" s="54" t="e">
        <f t="shared" si="899"/>
        <v>#DIV/0!</v>
      </c>
      <c r="BN1522" s="64"/>
      <c r="BO1522" s="36"/>
      <c r="BP1522" s="36"/>
      <c r="BQ1522" s="36"/>
      <c r="BR1522" s="39"/>
      <c r="BS1522" s="39"/>
      <c r="BT1522" s="39"/>
      <c r="BU1522" s="39"/>
      <c r="BV1522" s="39"/>
      <c r="BW1522" s="39"/>
      <c r="BX1522" s="39"/>
      <c r="BY1522" s="39"/>
      <c r="BZ1522" s="39">
        <f t="shared" si="781"/>
        <v>0</v>
      </c>
      <c r="CA1522" s="39">
        <f t="shared" si="900"/>
        <v>0</v>
      </c>
      <c r="CB1522" s="39">
        <f t="shared" si="901"/>
        <v>0</v>
      </c>
      <c r="CC1522" s="39">
        <f t="shared" si="902"/>
        <v>0</v>
      </c>
      <c r="CD1522" s="39">
        <f t="shared" si="782"/>
        <v>0</v>
      </c>
      <c r="CE1522" s="47" t="e">
        <f t="shared" si="903"/>
        <v>#DIV/0!</v>
      </c>
      <c r="CF1522" s="36"/>
      <c r="CG1522" s="39"/>
      <c r="CH1522" s="39"/>
      <c r="CI1522" s="25">
        <v>1</v>
      </c>
    </row>
    <row r="1523" spans="1:87" ht="24.75" customHeight="1">
      <c r="A1523" s="36" t="s">
        <v>46</v>
      </c>
      <c r="B1523" s="30">
        <v>47742</v>
      </c>
      <c r="C1523" s="227" t="s">
        <v>1902</v>
      </c>
      <c r="D1523" s="23"/>
      <c r="E1523" s="39">
        <v>200</v>
      </c>
      <c r="F1523" s="39" t="s">
        <v>676</v>
      </c>
      <c r="G1523" s="36" t="s">
        <v>1903</v>
      </c>
      <c r="H1523" s="36" t="s">
        <v>1904</v>
      </c>
      <c r="I1523" s="39">
        <v>745</v>
      </c>
      <c r="J1523" s="39"/>
      <c r="K1523" s="39"/>
      <c r="L1523" s="39">
        <f t="shared" ref="L1523:L1532" si="992">SUM(I1523:K1523)</f>
        <v>745</v>
      </c>
      <c r="M1523" s="117">
        <v>46266</v>
      </c>
      <c r="N1523" s="117">
        <v>46276</v>
      </c>
      <c r="O1523" s="39"/>
      <c r="P1523" s="39"/>
      <c r="Q1523" s="39"/>
      <c r="R1523" s="39">
        <f t="shared" ref="R1523:R1525" si="993">SUM(O1523:Q1523)</f>
        <v>0</v>
      </c>
      <c r="S1523" s="39" t="s">
        <v>130</v>
      </c>
      <c r="T1523" s="39"/>
      <c r="U1523" s="39"/>
      <c r="V1523" s="39"/>
      <c r="W1523" s="39"/>
      <c r="X1523" s="39"/>
      <c r="Y1523" s="39"/>
      <c r="Z1523" s="39"/>
      <c r="AA1523" s="39"/>
      <c r="AB1523" s="118">
        <f t="shared" ref="AB1523:AB1532" si="994">SUM(Y1523:AA1523)</f>
        <v>0</v>
      </c>
      <c r="AC1523" s="39"/>
      <c r="AD1523" s="39"/>
      <c r="AE1523" s="39"/>
      <c r="AF1523" s="39"/>
      <c r="AG1523" s="39"/>
      <c r="AH1523" s="39">
        <f t="shared" ref="AH1523:AH1586" si="995">AG1523-AE1523</f>
        <v>0</v>
      </c>
      <c r="AI1523" s="39"/>
      <c r="AJ1523" s="39"/>
      <c r="AK1523" s="39"/>
      <c r="AL1523" s="39"/>
      <c r="AM1523" s="39"/>
      <c r="AN1523" s="39">
        <f t="shared" si="991"/>
        <v>0</v>
      </c>
      <c r="AO1523" s="39"/>
      <c r="AP1523" s="39"/>
      <c r="AQ1523" s="39"/>
      <c r="AR1523" s="39"/>
      <c r="AS1523" s="39"/>
      <c r="AT1523" s="39">
        <f t="shared" si="896"/>
        <v>0</v>
      </c>
      <c r="AU1523" s="39"/>
      <c r="AV1523" s="39"/>
      <c r="AW1523" s="39"/>
      <c r="AX1523" s="39"/>
      <c r="AY1523" s="39"/>
      <c r="AZ1523" s="39">
        <f t="shared" si="897"/>
        <v>0</v>
      </c>
      <c r="BA1523" s="39"/>
      <c r="BB1523" s="39"/>
      <c r="BC1523" s="39"/>
      <c r="BD1523" s="39"/>
      <c r="BE1523" s="39"/>
      <c r="BF1523" s="39">
        <f t="shared" si="898"/>
        <v>0</v>
      </c>
      <c r="BG1523" s="39"/>
      <c r="BH1523" s="39"/>
      <c r="BI1523" s="39"/>
      <c r="BJ1523" s="39"/>
      <c r="BK1523" s="39"/>
      <c r="BL1523" s="39">
        <f t="shared" ref="BL1523:BL1586" si="996">BK1523-BI1523</f>
        <v>0</v>
      </c>
      <c r="BM1523" s="54">
        <f t="shared" ca="1" si="899"/>
        <v>46283</v>
      </c>
      <c r="BN1523" s="59">
        <v>46277</v>
      </c>
      <c r="BO1523" s="57">
        <v>46289</v>
      </c>
      <c r="BP1523" s="36"/>
      <c r="BQ1523" s="36"/>
      <c r="BR1523" s="36"/>
      <c r="BS1523" s="36"/>
      <c r="BT1523" s="39"/>
      <c r="BU1523" s="39"/>
      <c r="BV1523" s="39"/>
      <c r="BW1523" s="39"/>
      <c r="BX1523" s="39"/>
      <c r="BY1523" s="39"/>
      <c r="BZ1523" s="39">
        <f t="shared" ref="BZ1523:BZ1586" si="997">BU1523+BW1523+BY1523</f>
        <v>0</v>
      </c>
      <c r="CA1523" s="39">
        <f t="shared" si="900"/>
        <v>-745</v>
      </c>
      <c r="CB1523" s="39">
        <f t="shared" si="901"/>
        <v>0</v>
      </c>
      <c r="CC1523" s="39">
        <f t="shared" si="902"/>
        <v>0</v>
      </c>
      <c r="CD1523" s="39">
        <f t="shared" ref="CD1523:CD1586" si="998">SUMIF(CA1523:CC1523,"&lt;0")</f>
        <v>-745</v>
      </c>
      <c r="CE1523" s="102">
        <f t="shared" si="903"/>
        <v>-1</v>
      </c>
      <c r="CF1523" s="36"/>
      <c r="CG1523" s="39" t="s">
        <v>242</v>
      </c>
      <c r="CH1523" s="39"/>
      <c r="CI1523" s="25">
        <v>2</v>
      </c>
    </row>
    <row r="1524" spans="1:87" ht="24.75" customHeight="1">
      <c r="A1524" s="36" t="s">
        <v>46</v>
      </c>
      <c r="B1524" s="30">
        <v>47742</v>
      </c>
      <c r="C1524" s="228"/>
      <c r="D1524" s="23"/>
      <c r="E1524" s="39">
        <v>200</v>
      </c>
      <c r="F1524" s="39" t="s">
        <v>676</v>
      </c>
      <c r="G1524" s="36" t="s">
        <v>1905</v>
      </c>
      <c r="H1524" s="36" t="s">
        <v>1904</v>
      </c>
      <c r="I1524" s="39">
        <v>745</v>
      </c>
      <c r="J1524" s="39"/>
      <c r="K1524" s="39"/>
      <c r="L1524" s="39">
        <f t="shared" si="992"/>
        <v>745</v>
      </c>
      <c r="M1524" s="117">
        <v>46266</v>
      </c>
      <c r="N1524" s="117">
        <v>46276</v>
      </c>
      <c r="O1524" s="39"/>
      <c r="P1524" s="39"/>
      <c r="Q1524" s="39"/>
      <c r="R1524" s="39">
        <f t="shared" si="993"/>
        <v>0</v>
      </c>
      <c r="S1524" s="39" t="s">
        <v>130</v>
      </c>
      <c r="T1524" s="39"/>
      <c r="U1524" s="39"/>
      <c r="V1524" s="39"/>
      <c r="W1524" s="39"/>
      <c r="X1524" s="39"/>
      <c r="Y1524" s="39"/>
      <c r="Z1524" s="39"/>
      <c r="AA1524" s="39"/>
      <c r="AB1524" s="118">
        <f t="shared" si="994"/>
        <v>0</v>
      </c>
      <c r="AC1524" s="39"/>
      <c r="AD1524" s="39"/>
      <c r="AE1524" s="39"/>
      <c r="AF1524" s="39"/>
      <c r="AG1524" s="39"/>
      <c r="AH1524" s="39">
        <f t="shared" si="995"/>
        <v>0</v>
      </c>
      <c r="AI1524" s="39"/>
      <c r="AJ1524" s="39"/>
      <c r="AK1524" s="39"/>
      <c r="AL1524" s="39"/>
      <c r="AM1524" s="39"/>
      <c r="AN1524" s="39">
        <f t="shared" si="991"/>
        <v>0</v>
      </c>
      <c r="AO1524" s="39"/>
      <c r="AP1524" s="39"/>
      <c r="AQ1524" s="39"/>
      <c r="AR1524" s="39"/>
      <c r="AS1524" s="39"/>
      <c r="AT1524" s="39">
        <f t="shared" si="896"/>
        <v>0</v>
      </c>
      <c r="AU1524" s="39"/>
      <c r="AV1524" s="39"/>
      <c r="AW1524" s="39"/>
      <c r="AX1524" s="39"/>
      <c r="AY1524" s="39"/>
      <c r="AZ1524" s="39">
        <f t="shared" si="897"/>
        <v>0</v>
      </c>
      <c r="BA1524" s="39"/>
      <c r="BB1524" s="39"/>
      <c r="BC1524" s="39"/>
      <c r="BD1524" s="39"/>
      <c r="BE1524" s="39"/>
      <c r="BF1524" s="39">
        <f t="shared" si="898"/>
        <v>0</v>
      </c>
      <c r="BG1524" s="39"/>
      <c r="BH1524" s="39"/>
      <c r="BI1524" s="39"/>
      <c r="BJ1524" s="39"/>
      <c r="BK1524" s="39"/>
      <c r="BL1524" s="39">
        <f t="shared" si="996"/>
        <v>0</v>
      </c>
      <c r="BM1524" s="54">
        <f t="shared" ca="1" si="899"/>
        <v>46283</v>
      </c>
      <c r="BN1524" s="59">
        <v>46277</v>
      </c>
      <c r="BO1524" s="57">
        <v>46289</v>
      </c>
      <c r="BP1524" s="36"/>
      <c r="BQ1524" s="36"/>
      <c r="BR1524" s="36"/>
      <c r="BS1524" s="36"/>
      <c r="BT1524" s="39"/>
      <c r="BU1524" s="39"/>
      <c r="BV1524" s="39"/>
      <c r="BW1524" s="39"/>
      <c r="BX1524" s="39"/>
      <c r="BY1524" s="39"/>
      <c r="BZ1524" s="39">
        <f t="shared" si="997"/>
        <v>0</v>
      </c>
      <c r="CA1524" s="39">
        <f t="shared" si="900"/>
        <v>-745</v>
      </c>
      <c r="CB1524" s="39">
        <f t="shared" si="901"/>
        <v>0</v>
      </c>
      <c r="CC1524" s="39">
        <f t="shared" si="902"/>
        <v>0</v>
      </c>
      <c r="CD1524" s="39">
        <f t="shared" si="998"/>
        <v>-745</v>
      </c>
      <c r="CE1524" s="102">
        <f t="shared" si="903"/>
        <v>-1</v>
      </c>
      <c r="CF1524" s="36"/>
      <c r="CG1524" s="39" t="s">
        <v>242</v>
      </c>
      <c r="CH1524" s="39"/>
      <c r="CI1524" s="25">
        <v>2</v>
      </c>
    </row>
    <row r="1525" spans="1:87" ht="24.75" customHeight="1">
      <c r="A1525" s="36" t="s">
        <v>46</v>
      </c>
      <c r="B1525" s="30">
        <v>47743</v>
      </c>
      <c r="C1525" s="227" t="s">
        <v>1910</v>
      </c>
      <c r="D1525" s="23"/>
      <c r="E1525" s="39">
        <v>200</v>
      </c>
      <c r="F1525" s="39" t="s">
        <v>68</v>
      </c>
      <c r="G1525" s="36" t="s">
        <v>449</v>
      </c>
      <c r="H1525" s="36" t="s">
        <v>1904</v>
      </c>
      <c r="I1525" s="39">
        <v>510</v>
      </c>
      <c r="J1525" s="39"/>
      <c r="K1525" s="39"/>
      <c r="L1525" s="39">
        <f t="shared" si="992"/>
        <v>510</v>
      </c>
      <c r="M1525" s="117">
        <v>46266</v>
      </c>
      <c r="N1525" s="117">
        <v>46276</v>
      </c>
      <c r="O1525" s="39"/>
      <c r="P1525" s="39"/>
      <c r="Q1525" s="39"/>
      <c r="R1525" s="39">
        <f t="shared" si="993"/>
        <v>0</v>
      </c>
      <c r="S1525" s="39" t="s">
        <v>130</v>
      </c>
      <c r="T1525" s="39"/>
      <c r="U1525" s="39"/>
      <c r="V1525" s="39"/>
      <c r="W1525" s="39"/>
      <c r="X1525" s="39"/>
      <c r="Y1525" s="39"/>
      <c r="Z1525" s="39"/>
      <c r="AA1525" s="39"/>
      <c r="AB1525" s="118">
        <f t="shared" si="994"/>
        <v>0</v>
      </c>
      <c r="AC1525" s="39"/>
      <c r="AD1525" s="39"/>
      <c r="AE1525" s="39"/>
      <c r="AF1525" s="39"/>
      <c r="AG1525" s="39"/>
      <c r="AH1525" s="39">
        <f t="shared" si="995"/>
        <v>0</v>
      </c>
      <c r="AI1525" s="39"/>
      <c r="AJ1525" s="39"/>
      <c r="AK1525" s="39"/>
      <c r="AL1525" s="39"/>
      <c r="AM1525" s="39"/>
      <c r="AN1525" s="39">
        <f t="shared" si="991"/>
        <v>0</v>
      </c>
      <c r="AO1525" s="39"/>
      <c r="AP1525" s="39"/>
      <c r="AQ1525" s="39"/>
      <c r="AR1525" s="39"/>
      <c r="AS1525" s="39"/>
      <c r="AT1525" s="39">
        <f t="shared" si="896"/>
        <v>0</v>
      </c>
      <c r="AU1525" s="39"/>
      <c r="AV1525" s="39"/>
      <c r="AW1525" s="39"/>
      <c r="AX1525" s="39"/>
      <c r="AY1525" s="39"/>
      <c r="AZ1525" s="39">
        <f t="shared" si="897"/>
        <v>0</v>
      </c>
      <c r="BA1525" s="39"/>
      <c r="BB1525" s="39"/>
      <c r="BC1525" s="39"/>
      <c r="BD1525" s="39"/>
      <c r="BE1525" s="39"/>
      <c r="BF1525" s="39">
        <f t="shared" si="898"/>
        <v>0</v>
      </c>
      <c r="BG1525" s="39"/>
      <c r="BH1525" s="39"/>
      <c r="BI1525" s="39"/>
      <c r="BJ1525" s="39"/>
      <c r="BK1525" s="39"/>
      <c r="BL1525" s="39">
        <f t="shared" si="996"/>
        <v>0</v>
      </c>
      <c r="BM1525" s="54">
        <f t="shared" ca="1" si="899"/>
        <v>46283</v>
      </c>
      <c r="BN1525" s="59">
        <v>46277</v>
      </c>
      <c r="BO1525" s="57">
        <v>46289</v>
      </c>
      <c r="BP1525" s="36"/>
      <c r="BQ1525" s="36"/>
      <c r="BR1525" s="36"/>
      <c r="BS1525" s="36"/>
      <c r="BT1525" s="39"/>
      <c r="BU1525" s="39"/>
      <c r="BV1525" s="39"/>
      <c r="BW1525" s="39"/>
      <c r="BX1525" s="39"/>
      <c r="BY1525" s="39"/>
      <c r="BZ1525" s="39">
        <f t="shared" si="997"/>
        <v>0</v>
      </c>
      <c r="CA1525" s="39">
        <f t="shared" si="900"/>
        <v>-510</v>
      </c>
      <c r="CB1525" s="39">
        <f t="shared" si="901"/>
        <v>0</v>
      </c>
      <c r="CC1525" s="39">
        <f t="shared" si="902"/>
        <v>0</v>
      </c>
      <c r="CD1525" s="39">
        <f t="shared" si="998"/>
        <v>-510</v>
      </c>
      <c r="CE1525" s="102">
        <f t="shared" si="903"/>
        <v>-1</v>
      </c>
      <c r="CF1525" s="36"/>
      <c r="CG1525" s="39" t="s">
        <v>242</v>
      </c>
      <c r="CH1525" s="39"/>
      <c r="CI1525" s="25">
        <v>2</v>
      </c>
    </row>
    <row r="1526" spans="1:87" ht="24.75" customHeight="1">
      <c r="A1526" s="36" t="s">
        <v>46</v>
      </c>
      <c r="B1526" s="30">
        <v>47743</v>
      </c>
      <c r="C1526" s="228"/>
      <c r="D1526" s="23"/>
      <c r="E1526" s="39">
        <v>200</v>
      </c>
      <c r="F1526" s="39" t="s">
        <v>68</v>
      </c>
      <c r="G1526" s="36" t="s">
        <v>1905</v>
      </c>
      <c r="H1526" s="36" t="s">
        <v>1904</v>
      </c>
      <c r="I1526" s="39">
        <v>510</v>
      </c>
      <c r="J1526" s="39"/>
      <c r="K1526" s="39"/>
      <c r="L1526" s="39">
        <f t="shared" si="992"/>
        <v>510</v>
      </c>
      <c r="M1526" s="117">
        <v>46266</v>
      </c>
      <c r="N1526" s="117">
        <v>46276</v>
      </c>
      <c r="O1526" s="39"/>
      <c r="P1526" s="39"/>
      <c r="Q1526" s="39"/>
      <c r="R1526" s="39">
        <f t="shared" ref="R1526:R1532" si="999">SUM(O1526:Q1526)</f>
        <v>0</v>
      </c>
      <c r="S1526" s="39" t="s">
        <v>130</v>
      </c>
      <c r="T1526" s="39"/>
      <c r="U1526" s="39"/>
      <c r="V1526" s="39"/>
      <c r="W1526" s="39"/>
      <c r="X1526" s="39"/>
      <c r="Y1526" s="39"/>
      <c r="Z1526" s="39"/>
      <c r="AA1526" s="39"/>
      <c r="AB1526" s="118">
        <f t="shared" si="994"/>
        <v>0</v>
      </c>
      <c r="AC1526" s="39"/>
      <c r="AD1526" s="39"/>
      <c r="AE1526" s="39"/>
      <c r="AF1526" s="39"/>
      <c r="AG1526" s="39"/>
      <c r="AH1526" s="39">
        <f t="shared" si="995"/>
        <v>0</v>
      </c>
      <c r="AI1526" s="39"/>
      <c r="AJ1526" s="39"/>
      <c r="AK1526" s="39"/>
      <c r="AL1526" s="39"/>
      <c r="AM1526" s="39"/>
      <c r="AN1526" s="39">
        <f t="shared" si="991"/>
        <v>0</v>
      </c>
      <c r="AO1526" s="39"/>
      <c r="AP1526" s="39"/>
      <c r="AQ1526" s="39"/>
      <c r="AR1526" s="39"/>
      <c r="AS1526" s="39"/>
      <c r="AT1526" s="39">
        <f t="shared" si="896"/>
        <v>0</v>
      </c>
      <c r="AU1526" s="39"/>
      <c r="AV1526" s="39"/>
      <c r="AW1526" s="39"/>
      <c r="AX1526" s="39"/>
      <c r="AY1526" s="39"/>
      <c r="AZ1526" s="39">
        <f t="shared" si="897"/>
        <v>0</v>
      </c>
      <c r="BA1526" s="39"/>
      <c r="BB1526" s="39"/>
      <c r="BC1526" s="39"/>
      <c r="BD1526" s="39"/>
      <c r="BE1526" s="39"/>
      <c r="BF1526" s="39">
        <f t="shared" si="898"/>
        <v>0</v>
      </c>
      <c r="BG1526" s="39"/>
      <c r="BH1526" s="39"/>
      <c r="BI1526" s="39"/>
      <c r="BJ1526" s="39"/>
      <c r="BK1526" s="39"/>
      <c r="BL1526" s="39">
        <f t="shared" si="996"/>
        <v>0</v>
      </c>
      <c r="BM1526" s="54">
        <f t="shared" ca="1" si="899"/>
        <v>46283</v>
      </c>
      <c r="BN1526" s="59">
        <v>46277</v>
      </c>
      <c r="BO1526" s="57">
        <v>46289</v>
      </c>
      <c r="BP1526" s="36"/>
      <c r="BQ1526" s="36"/>
      <c r="BR1526" s="36"/>
      <c r="BS1526" s="36"/>
      <c r="BT1526" s="39"/>
      <c r="BU1526" s="39"/>
      <c r="BV1526" s="39"/>
      <c r="BW1526" s="39"/>
      <c r="BX1526" s="39"/>
      <c r="BY1526" s="39"/>
      <c r="BZ1526" s="39">
        <f t="shared" si="997"/>
        <v>0</v>
      </c>
      <c r="CA1526" s="39">
        <f t="shared" si="900"/>
        <v>-510</v>
      </c>
      <c r="CB1526" s="39">
        <f t="shared" si="901"/>
        <v>0</v>
      </c>
      <c r="CC1526" s="39">
        <f t="shared" si="902"/>
        <v>0</v>
      </c>
      <c r="CD1526" s="39">
        <f t="shared" si="998"/>
        <v>-510</v>
      </c>
      <c r="CE1526" s="102">
        <f t="shared" si="903"/>
        <v>-1</v>
      </c>
      <c r="CF1526" s="36"/>
      <c r="CG1526" s="39" t="s">
        <v>242</v>
      </c>
      <c r="CH1526" s="39"/>
      <c r="CI1526" s="25">
        <v>2</v>
      </c>
    </row>
    <row r="1527" spans="1:87" ht="24.75" customHeight="1">
      <c r="A1527" s="36" t="s">
        <v>46</v>
      </c>
      <c r="B1527" s="30">
        <v>47744</v>
      </c>
      <c r="C1527" s="36" t="s">
        <v>1906</v>
      </c>
      <c r="D1527" s="23"/>
      <c r="E1527" s="39">
        <v>200</v>
      </c>
      <c r="F1527" s="39" t="s">
        <v>68</v>
      </c>
      <c r="G1527" s="36" t="s">
        <v>1903</v>
      </c>
      <c r="H1527" s="36" t="s">
        <v>1904</v>
      </c>
      <c r="I1527" s="39">
        <v>724</v>
      </c>
      <c r="J1527" s="39"/>
      <c r="K1527" s="39"/>
      <c r="L1527" s="39">
        <f t="shared" si="992"/>
        <v>724</v>
      </c>
      <c r="M1527" s="117">
        <v>46266</v>
      </c>
      <c r="N1527" s="117">
        <v>46276</v>
      </c>
      <c r="O1527" s="39"/>
      <c r="P1527" s="39"/>
      <c r="Q1527" s="39"/>
      <c r="R1527" s="39">
        <f t="shared" si="999"/>
        <v>0</v>
      </c>
      <c r="S1527" s="39" t="s">
        <v>130</v>
      </c>
      <c r="T1527" s="39"/>
      <c r="U1527" s="39"/>
      <c r="V1527" s="39"/>
      <c r="W1527" s="39"/>
      <c r="X1527" s="39"/>
      <c r="Y1527" s="39"/>
      <c r="Z1527" s="39"/>
      <c r="AA1527" s="39"/>
      <c r="AB1527" s="118">
        <f t="shared" si="994"/>
        <v>0</v>
      </c>
      <c r="AC1527" s="39"/>
      <c r="AD1527" s="39"/>
      <c r="AE1527" s="39"/>
      <c r="AF1527" s="39"/>
      <c r="AG1527" s="39"/>
      <c r="AH1527" s="39">
        <f t="shared" si="995"/>
        <v>0</v>
      </c>
      <c r="AI1527" s="39"/>
      <c r="AJ1527" s="39"/>
      <c r="AK1527" s="39"/>
      <c r="AL1527" s="39"/>
      <c r="AM1527" s="39"/>
      <c r="AN1527" s="39">
        <f t="shared" si="991"/>
        <v>0</v>
      </c>
      <c r="AO1527" s="39"/>
      <c r="AP1527" s="39"/>
      <c r="AQ1527" s="39"/>
      <c r="AR1527" s="39"/>
      <c r="AS1527" s="39"/>
      <c r="AT1527" s="39">
        <f t="shared" si="896"/>
        <v>0</v>
      </c>
      <c r="AU1527" s="39"/>
      <c r="AV1527" s="39"/>
      <c r="AW1527" s="39"/>
      <c r="AX1527" s="39"/>
      <c r="AY1527" s="39"/>
      <c r="AZ1527" s="39">
        <f t="shared" si="897"/>
        <v>0</v>
      </c>
      <c r="BA1527" s="39"/>
      <c r="BB1527" s="39"/>
      <c r="BC1527" s="39"/>
      <c r="BD1527" s="39"/>
      <c r="BE1527" s="39"/>
      <c r="BF1527" s="39">
        <f t="shared" si="898"/>
        <v>0</v>
      </c>
      <c r="BG1527" s="39"/>
      <c r="BH1527" s="39"/>
      <c r="BI1527" s="39"/>
      <c r="BJ1527" s="39"/>
      <c r="BK1527" s="39"/>
      <c r="BL1527" s="39">
        <f t="shared" si="996"/>
        <v>0</v>
      </c>
      <c r="BM1527" s="54">
        <f t="shared" ca="1" si="899"/>
        <v>46283</v>
      </c>
      <c r="BN1527" s="59">
        <v>46277</v>
      </c>
      <c r="BO1527" s="57">
        <v>46289</v>
      </c>
      <c r="BP1527" s="36"/>
      <c r="BQ1527" s="36"/>
      <c r="BR1527" s="39"/>
      <c r="BS1527" s="39"/>
      <c r="BT1527" s="39"/>
      <c r="BU1527" s="39"/>
      <c r="BV1527" s="39"/>
      <c r="BW1527" s="39"/>
      <c r="BX1527" s="39"/>
      <c r="BY1527" s="39"/>
      <c r="BZ1527" s="39">
        <f t="shared" si="997"/>
        <v>0</v>
      </c>
      <c r="CA1527" s="39">
        <f t="shared" si="900"/>
        <v>-724</v>
      </c>
      <c r="CB1527" s="39">
        <f t="shared" si="901"/>
        <v>0</v>
      </c>
      <c r="CC1527" s="39">
        <f t="shared" si="902"/>
        <v>0</v>
      </c>
      <c r="CD1527" s="39">
        <f t="shared" si="998"/>
        <v>-724</v>
      </c>
      <c r="CE1527" s="102">
        <f t="shared" si="903"/>
        <v>-1</v>
      </c>
      <c r="CF1527" s="36"/>
      <c r="CG1527" s="39" t="s">
        <v>242</v>
      </c>
      <c r="CH1527" s="39"/>
      <c r="CI1527" s="25">
        <v>2</v>
      </c>
    </row>
    <row r="1528" spans="1:87" ht="24.75" customHeight="1">
      <c r="A1528" s="36" t="s">
        <v>46</v>
      </c>
      <c r="B1528" s="30">
        <v>47894</v>
      </c>
      <c r="C1528" s="227" t="s">
        <v>1907</v>
      </c>
      <c r="D1528" s="23"/>
      <c r="E1528" s="39">
        <v>200</v>
      </c>
      <c r="F1528" s="39" t="s">
        <v>66</v>
      </c>
      <c r="G1528" s="36" t="s">
        <v>1903</v>
      </c>
      <c r="H1528" s="36" t="s">
        <v>1904</v>
      </c>
      <c r="I1528" s="39">
        <v>574</v>
      </c>
      <c r="J1528" s="39"/>
      <c r="K1528" s="39"/>
      <c r="L1528" s="39">
        <f t="shared" si="992"/>
        <v>574</v>
      </c>
      <c r="M1528" s="117">
        <v>46266</v>
      </c>
      <c r="N1528" s="117">
        <v>46277</v>
      </c>
      <c r="O1528" s="39"/>
      <c r="P1528" s="39"/>
      <c r="Q1528" s="39"/>
      <c r="R1528" s="39">
        <f t="shared" si="999"/>
        <v>0</v>
      </c>
      <c r="S1528" s="39" t="s">
        <v>130</v>
      </c>
      <c r="T1528" s="39"/>
      <c r="U1528" s="39"/>
      <c r="V1528" s="39"/>
      <c r="W1528" s="39"/>
      <c r="X1528" s="39"/>
      <c r="Y1528" s="39"/>
      <c r="Z1528" s="39"/>
      <c r="AA1528" s="39"/>
      <c r="AB1528" s="118">
        <f t="shared" si="994"/>
        <v>0</v>
      </c>
      <c r="AC1528" s="39"/>
      <c r="AD1528" s="39"/>
      <c r="AE1528" s="39"/>
      <c r="AF1528" s="39"/>
      <c r="AG1528" s="39"/>
      <c r="AH1528" s="39">
        <f t="shared" si="995"/>
        <v>0</v>
      </c>
      <c r="AI1528" s="39"/>
      <c r="AJ1528" s="39"/>
      <c r="AK1528" s="39"/>
      <c r="AL1528" s="39"/>
      <c r="AM1528" s="39"/>
      <c r="AN1528" s="39">
        <f t="shared" si="991"/>
        <v>0</v>
      </c>
      <c r="AO1528" s="39"/>
      <c r="AP1528" s="39"/>
      <c r="AQ1528" s="39"/>
      <c r="AR1528" s="39"/>
      <c r="AS1528" s="39"/>
      <c r="AT1528" s="39">
        <f t="shared" si="896"/>
        <v>0</v>
      </c>
      <c r="AU1528" s="39"/>
      <c r="AV1528" s="39"/>
      <c r="AW1528" s="39"/>
      <c r="AX1528" s="39"/>
      <c r="AY1528" s="39"/>
      <c r="AZ1528" s="39">
        <f t="shared" si="897"/>
        <v>0</v>
      </c>
      <c r="BA1528" s="39"/>
      <c r="BB1528" s="39"/>
      <c r="BC1528" s="39"/>
      <c r="BD1528" s="39"/>
      <c r="BE1528" s="39"/>
      <c r="BF1528" s="39">
        <f t="shared" si="898"/>
        <v>0</v>
      </c>
      <c r="BG1528" s="39"/>
      <c r="BH1528" s="39"/>
      <c r="BI1528" s="39"/>
      <c r="BJ1528" s="39"/>
      <c r="BK1528" s="39"/>
      <c r="BL1528" s="39">
        <f t="shared" si="996"/>
        <v>0</v>
      </c>
      <c r="BM1528" s="54">
        <f t="shared" ca="1" si="899"/>
        <v>46283</v>
      </c>
      <c r="BN1528" s="59">
        <v>46280</v>
      </c>
      <c r="BO1528" s="57">
        <v>46295</v>
      </c>
      <c r="BP1528" s="36"/>
      <c r="BQ1528" s="36"/>
      <c r="BR1528" s="57"/>
      <c r="BS1528" s="36"/>
      <c r="BT1528" s="39"/>
      <c r="BU1528" s="39"/>
      <c r="BV1528" s="39"/>
      <c r="BW1528" s="39"/>
      <c r="BX1528" s="39"/>
      <c r="BY1528" s="39"/>
      <c r="BZ1528" s="39">
        <f t="shared" si="997"/>
        <v>0</v>
      </c>
      <c r="CA1528" s="39">
        <f t="shared" si="900"/>
        <v>-574</v>
      </c>
      <c r="CB1528" s="39">
        <f t="shared" si="901"/>
        <v>0</v>
      </c>
      <c r="CC1528" s="39">
        <f t="shared" si="902"/>
        <v>0</v>
      </c>
      <c r="CD1528" s="39">
        <f t="shared" si="998"/>
        <v>-574</v>
      </c>
      <c r="CE1528" s="102">
        <f t="shared" si="903"/>
        <v>-1</v>
      </c>
      <c r="CF1528" s="36"/>
      <c r="CG1528" s="39" t="s">
        <v>242</v>
      </c>
      <c r="CH1528" s="39"/>
      <c r="CI1528" s="25">
        <v>2</v>
      </c>
    </row>
    <row r="1529" spans="1:87" ht="24.75" customHeight="1">
      <c r="A1529" s="36" t="s">
        <v>46</v>
      </c>
      <c r="B1529" s="30">
        <v>47894</v>
      </c>
      <c r="C1529" s="228"/>
      <c r="D1529" s="23"/>
      <c r="E1529" s="39">
        <v>200</v>
      </c>
      <c r="F1529" s="39" t="s">
        <v>66</v>
      </c>
      <c r="G1529" s="36" t="s">
        <v>1905</v>
      </c>
      <c r="H1529" s="36" t="s">
        <v>1904</v>
      </c>
      <c r="I1529" s="39">
        <v>574</v>
      </c>
      <c r="J1529" s="39"/>
      <c r="K1529" s="39"/>
      <c r="L1529" s="39">
        <f t="shared" si="992"/>
        <v>574</v>
      </c>
      <c r="M1529" s="117">
        <v>46266</v>
      </c>
      <c r="N1529" s="117">
        <v>46277</v>
      </c>
      <c r="O1529" s="39"/>
      <c r="P1529" s="39"/>
      <c r="Q1529" s="39"/>
      <c r="R1529" s="39">
        <f t="shared" si="999"/>
        <v>0</v>
      </c>
      <c r="S1529" s="39" t="s">
        <v>130</v>
      </c>
      <c r="T1529" s="39"/>
      <c r="U1529" s="39"/>
      <c r="V1529" s="39"/>
      <c r="W1529" s="39"/>
      <c r="X1529" s="39"/>
      <c r="Y1529" s="39"/>
      <c r="Z1529" s="39"/>
      <c r="AA1529" s="39"/>
      <c r="AB1529" s="118">
        <f t="shared" si="994"/>
        <v>0</v>
      </c>
      <c r="AC1529" s="39"/>
      <c r="AD1529" s="39"/>
      <c r="AE1529" s="39"/>
      <c r="AF1529" s="39"/>
      <c r="AG1529" s="39"/>
      <c r="AH1529" s="39">
        <f t="shared" si="995"/>
        <v>0</v>
      </c>
      <c r="AI1529" s="39"/>
      <c r="AJ1529" s="39"/>
      <c r="AK1529" s="39"/>
      <c r="AL1529" s="39"/>
      <c r="AM1529" s="39"/>
      <c r="AN1529" s="39">
        <f t="shared" si="991"/>
        <v>0</v>
      </c>
      <c r="AO1529" s="39"/>
      <c r="AP1529" s="39"/>
      <c r="AQ1529" s="39"/>
      <c r="AR1529" s="39"/>
      <c r="AS1529" s="39"/>
      <c r="AT1529" s="39">
        <f t="shared" si="896"/>
        <v>0</v>
      </c>
      <c r="AU1529" s="39"/>
      <c r="AV1529" s="39"/>
      <c r="AW1529" s="39"/>
      <c r="AX1529" s="39"/>
      <c r="AY1529" s="39"/>
      <c r="AZ1529" s="39">
        <f t="shared" si="897"/>
        <v>0</v>
      </c>
      <c r="BA1529" s="39"/>
      <c r="BB1529" s="39"/>
      <c r="BC1529" s="39"/>
      <c r="BD1529" s="39"/>
      <c r="BE1529" s="39"/>
      <c r="BF1529" s="39">
        <f t="shared" si="898"/>
        <v>0</v>
      </c>
      <c r="BG1529" s="39"/>
      <c r="BH1529" s="39"/>
      <c r="BI1529" s="39"/>
      <c r="BJ1529" s="39"/>
      <c r="BK1529" s="39"/>
      <c r="BL1529" s="39">
        <f t="shared" si="996"/>
        <v>0</v>
      </c>
      <c r="BM1529" s="54">
        <f t="shared" ca="1" si="899"/>
        <v>46283</v>
      </c>
      <c r="BN1529" s="59">
        <v>46280</v>
      </c>
      <c r="BO1529" s="57">
        <v>46295</v>
      </c>
      <c r="BP1529" s="36"/>
      <c r="BQ1529" s="36"/>
      <c r="BR1529" s="36"/>
      <c r="BS1529" s="36"/>
      <c r="BT1529" s="39"/>
      <c r="BU1529" s="39"/>
      <c r="BV1529" s="39"/>
      <c r="BW1529" s="39"/>
      <c r="BX1529" s="39"/>
      <c r="BY1529" s="39"/>
      <c r="BZ1529" s="39">
        <f t="shared" si="997"/>
        <v>0</v>
      </c>
      <c r="CA1529" s="39">
        <f t="shared" si="900"/>
        <v>-574</v>
      </c>
      <c r="CB1529" s="39">
        <f t="shared" si="901"/>
        <v>0</v>
      </c>
      <c r="CC1529" s="39">
        <f t="shared" si="902"/>
        <v>0</v>
      </c>
      <c r="CD1529" s="39">
        <f t="shared" si="998"/>
        <v>-574</v>
      </c>
      <c r="CE1529" s="102">
        <f t="shared" si="903"/>
        <v>-1</v>
      </c>
      <c r="CF1529" s="36"/>
      <c r="CG1529" s="39" t="s">
        <v>242</v>
      </c>
      <c r="CH1529" s="39"/>
      <c r="CI1529" s="25">
        <v>2</v>
      </c>
    </row>
    <row r="1530" spans="1:87" ht="24.75" customHeight="1">
      <c r="A1530" s="36" t="s">
        <v>46</v>
      </c>
      <c r="B1530" s="30">
        <v>47815</v>
      </c>
      <c r="C1530" s="227" t="s">
        <v>1908</v>
      </c>
      <c r="D1530" s="23"/>
      <c r="E1530" s="39">
        <v>200</v>
      </c>
      <c r="F1530" s="39" t="s">
        <v>68</v>
      </c>
      <c r="G1530" s="36" t="s">
        <v>449</v>
      </c>
      <c r="H1530" s="36" t="s">
        <v>1904</v>
      </c>
      <c r="I1530" s="39">
        <v>787</v>
      </c>
      <c r="J1530" s="39"/>
      <c r="K1530" s="39"/>
      <c r="L1530" s="39">
        <f t="shared" si="992"/>
        <v>787</v>
      </c>
      <c r="M1530" s="117">
        <v>46266</v>
      </c>
      <c r="N1530" s="117">
        <v>46276</v>
      </c>
      <c r="O1530" s="39"/>
      <c r="P1530" s="39"/>
      <c r="Q1530" s="39"/>
      <c r="R1530" s="39">
        <f t="shared" si="999"/>
        <v>0</v>
      </c>
      <c r="S1530" s="39" t="s">
        <v>130</v>
      </c>
      <c r="T1530" s="39"/>
      <c r="U1530" s="39"/>
      <c r="V1530" s="39"/>
      <c r="W1530" s="39"/>
      <c r="X1530" s="39"/>
      <c r="Y1530" s="39"/>
      <c r="Z1530" s="39"/>
      <c r="AA1530" s="39"/>
      <c r="AB1530" s="118">
        <f t="shared" si="994"/>
        <v>0</v>
      </c>
      <c r="AC1530" s="39"/>
      <c r="AD1530" s="39"/>
      <c r="AE1530" s="39"/>
      <c r="AF1530" s="39"/>
      <c r="AG1530" s="39"/>
      <c r="AH1530" s="39">
        <f t="shared" si="995"/>
        <v>0</v>
      </c>
      <c r="AI1530" s="39"/>
      <c r="AJ1530" s="39"/>
      <c r="AK1530" s="39"/>
      <c r="AL1530" s="39"/>
      <c r="AM1530" s="39"/>
      <c r="AN1530" s="39">
        <f t="shared" si="991"/>
        <v>0</v>
      </c>
      <c r="AO1530" s="39"/>
      <c r="AP1530" s="39"/>
      <c r="AQ1530" s="39"/>
      <c r="AR1530" s="39"/>
      <c r="AS1530" s="39"/>
      <c r="AT1530" s="39">
        <f t="shared" si="896"/>
        <v>0</v>
      </c>
      <c r="AU1530" s="39"/>
      <c r="AV1530" s="39"/>
      <c r="AW1530" s="39"/>
      <c r="AX1530" s="39"/>
      <c r="AY1530" s="39"/>
      <c r="AZ1530" s="39">
        <f t="shared" si="897"/>
        <v>0</v>
      </c>
      <c r="BA1530" s="39"/>
      <c r="BB1530" s="39"/>
      <c r="BC1530" s="39"/>
      <c r="BD1530" s="39"/>
      <c r="BE1530" s="39"/>
      <c r="BF1530" s="39">
        <f t="shared" si="898"/>
        <v>0</v>
      </c>
      <c r="BG1530" s="39"/>
      <c r="BH1530" s="39"/>
      <c r="BI1530" s="39"/>
      <c r="BJ1530" s="39"/>
      <c r="BK1530" s="39"/>
      <c r="BL1530" s="39">
        <f t="shared" si="996"/>
        <v>0</v>
      </c>
      <c r="BM1530" s="54">
        <f t="shared" ca="1" si="899"/>
        <v>46283</v>
      </c>
      <c r="BN1530" s="59">
        <v>46277</v>
      </c>
      <c r="BO1530" s="57">
        <v>46289</v>
      </c>
      <c r="BP1530" s="36"/>
      <c r="BQ1530" s="36"/>
      <c r="BR1530" s="36"/>
      <c r="BS1530" s="36"/>
      <c r="BT1530" s="39"/>
      <c r="BU1530" s="39"/>
      <c r="BV1530" s="39"/>
      <c r="BW1530" s="39"/>
      <c r="BX1530" s="39"/>
      <c r="BY1530" s="39"/>
      <c r="BZ1530" s="39">
        <f t="shared" si="997"/>
        <v>0</v>
      </c>
      <c r="CA1530" s="39">
        <f t="shared" si="900"/>
        <v>-787</v>
      </c>
      <c r="CB1530" s="39">
        <f t="shared" si="901"/>
        <v>0</v>
      </c>
      <c r="CC1530" s="39">
        <f t="shared" si="902"/>
        <v>0</v>
      </c>
      <c r="CD1530" s="39">
        <f t="shared" si="998"/>
        <v>-787</v>
      </c>
      <c r="CE1530" s="102">
        <f t="shared" si="903"/>
        <v>-1</v>
      </c>
      <c r="CF1530" s="36"/>
      <c r="CG1530" s="39" t="s">
        <v>242</v>
      </c>
      <c r="CH1530" s="39"/>
      <c r="CI1530" s="25">
        <v>2</v>
      </c>
    </row>
    <row r="1531" spans="1:87" ht="24.75" customHeight="1">
      <c r="A1531" s="36" t="s">
        <v>46</v>
      </c>
      <c r="B1531" s="30">
        <v>47815</v>
      </c>
      <c r="C1531" s="228"/>
      <c r="D1531" s="23"/>
      <c r="E1531" s="39">
        <v>200</v>
      </c>
      <c r="F1531" s="39" t="s">
        <v>68</v>
      </c>
      <c r="G1531" s="36" t="s">
        <v>1903</v>
      </c>
      <c r="H1531" s="36" t="s">
        <v>1904</v>
      </c>
      <c r="I1531" s="39">
        <v>787</v>
      </c>
      <c r="J1531" s="39"/>
      <c r="K1531" s="39"/>
      <c r="L1531" s="39">
        <f t="shared" si="992"/>
        <v>787</v>
      </c>
      <c r="M1531" s="117">
        <v>46266</v>
      </c>
      <c r="N1531" s="117">
        <v>46276</v>
      </c>
      <c r="O1531" s="39"/>
      <c r="P1531" s="39"/>
      <c r="Q1531" s="39"/>
      <c r="R1531" s="39">
        <f t="shared" si="999"/>
        <v>0</v>
      </c>
      <c r="S1531" s="39" t="s">
        <v>130</v>
      </c>
      <c r="T1531" s="39"/>
      <c r="U1531" s="39"/>
      <c r="V1531" s="39"/>
      <c r="W1531" s="39"/>
      <c r="X1531" s="39"/>
      <c r="Y1531" s="39"/>
      <c r="Z1531" s="39"/>
      <c r="AA1531" s="39"/>
      <c r="AB1531" s="118">
        <f t="shared" si="994"/>
        <v>0</v>
      </c>
      <c r="AC1531" s="39"/>
      <c r="AD1531" s="39"/>
      <c r="AE1531" s="39"/>
      <c r="AF1531" s="39"/>
      <c r="AG1531" s="39"/>
      <c r="AH1531" s="39">
        <f t="shared" si="995"/>
        <v>0</v>
      </c>
      <c r="AI1531" s="39"/>
      <c r="AJ1531" s="39"/>
      <c r="AK1531" s="39"/>
      <c r="AL1531" s="39"/>
      <c r="AM1531" s="39"/>
      <c r="AN1531" s="39">
        <f t="shared" si="991"/>
        <v>0</v>
      </c>
      <c r="AO1531" s="39"/>
      <c r="AP1531" s="39"/>
      <c r="AQ1531" s="39"/>
      <c r="AR1531" s="39"/>
      <c r="AS1531" s="39"/>
      <c r="AT1531" s="39">
        <f t="shared" si="896"/>
        <v>0</v>
      </c>
      <c r="AU1531" s="39"/>
      <c r="AV1531" s="39"/>
      <c r="AW1531" s="39"/>
      <c r="AX1531" s="39"/>
      <c r="AY1531" s="39"/>
      <c r="AZ1531" s="39">
        <f t="shared" si="897"/>
        <v>0</v>
      </c>
      <c r="BA1531" s="39"/>
      <c r="BB1531" s="39"/>
      <c r="BC1531" s="39"/>
      <c r="BD1531" s="39"/>
      <c r="BE1531" s="39"/>
      <c r="BF1531" s="39">
        <f t="shared" si="898"/>
        <v>0</v>
      </c>
      <c r="BG1531" s="39"/>
      <c r="BH1531" s="39"/>
      <c r="BI1531" s="39"/>
      <c r="BJ1531" s="39"/>
      <c r="BK1531" s="39"/>
      <c r="BL1531" s="39">
        <f t="shared" si="996"/>
        <v>0</v>
      </c>
      <c r="BM1531" s="54">
        <f t="shared" ca="1" si="899"/>
        <v>46283</v>
      </c>
      <c r="BN1531" s="59">
        <v>46277</v>
      </c>
      <c r="BO1531" s="57">
        <v>46289</v>
      </c>
      <c r="BP1531" s="36"/>
      <c r="BQ1531" s="36"/>
      <c r="BR1531" s="36"/>
      <c r="BS1531" s="36"/>
      <c r="BT1531" s="39"/>
      <c r="BU1531" s="39"/>
      <c r="BV1531" s="39"/>
      <c r="BW1531" s="39"/>
      <c r="BX1531" s="39"/>
      <c r="BY1531" s="39"/>
      <c r="BZ1531" s="39">
        <f t="shared" si="997"/>
        <v>0</v>
      </c>
      <c r="CA1531" s="39">
        <f t="shared" si="900"/>
        <v>-787</v>
      </c>
      <c r="CB1531" s="39">
        <f t="shared" si="901"/>
        <v>0</v>
      </c>
      <c r="CC1531" s="39">
        <f t="shared" si="902"/>
        <v>0</v>
      </c>
      <c r="CD1531" s="39">
        <f t="shared" si="998"/>
        <v>-787</v>
      </c>
      <c r="CE1531" s="102">
        <f t="shared" si="903"/>
        <v>-1</v>
      </c>
      <c r="CF1531" s="36"/>
      <c r="CG1531" s="39" t="s">
        <v>242</v>
      </c>
      <c r="CH1531" s="39"/>
      <c r="CI1531" s="25">
        <v>2</v>
      </c>
    </row>
    <row r="1532" spans="1:87" ht="24.75" customHeight="1">
      <c r="A1532" s="36" t="s">
        <v>46</v>
      </c>
      <c r="B1532" s="30">
        <v>47835</v>
      </c>
      <c r="C1532" s="36" t="s">
        <v>2340</v>
      </c>
      <c r="D1532" s="23"/>
      <c r="E1532" s="39">
        <v>280</v>
      </c>
      <c r="F1532" s="39" t="s">
        <v>55</v>
      </c>
      <c r="G1532" s="36" t="s">
        <v>1909</v>
      </c>
      <c r="H1532" s="36" t="s">
        <v>111</v>
      </c>
      <c r="I1532" s="39">
        <f>448+11</f>
        <v>459</v>
      </c>
      <c r="J1532" s="39">
        <f>143+4</f>
        <v>147</v>
      </c>
      <c r="K1532" s="39">
        <f>10+1</f>
        <v>11</v>
      </c>
      <c r="L1532" s="39">
        <f t="shared" si="992"/>
        <v>617</v>
      </c>
      <c r="M1532" s="117">
        <v>46266</v>
      </c>
      <c r="N1532" s="117">
        <v>46277</v>
      </c>
      <c r="O1532" s="39"/>
      <c r="P1532" s="39"/>
      <c r="Q1532" s="39"/>
      <c r="R1532" s="39">
        <f t="shared" si="999"/>
        <v>0</v>
      </c>
      <c r="S1532" s="39" t="s">
        <v>130</v>
      </c>
      <c r="T1532" s="39">
        <v>108389</v>
      </c>
      <c r="U1532" s="117">
        <v>46240</v>
      </c>
      <c r="V1532" s="39"/>
      <c r="W1532" s="39"/>
      <c r="X1532" s="39"/>
      <c r="Y1532" s="39">
        <v>503</v>
      </c>
      <c r="Z1532" s="39">
        <v>168</v>
      </c>
      <c r="AA1532" s="39">
        <v>13</v>
      </c>
      <c r="AB1532" s="118">
        <f t="shared" si="994"/>
        <v>684</v>
      </c>
      <c r="AC1532" s="39"/>
      <c r="AD1532" s="39"/>
      <c r="AE1532" s="39"/>
      <c r="AF1532" s="39"/>
      <c r="AG1532" s="39"/>
      <c r="AH1532" s="39">
        <f t="shared" si="995"/>
        <v>0</v>
      </c>
      <c r="AI1532" s="39"/>
      <c r="AJ1532" s="39"/>
      <c r="AK1532" s="39"/>
      <c r="AL1532" s="39"/>
      <c r="AM1532" s="39"/>
      <c r="AN1532" s="39">
        <f t="shared" si="991"/>
        <v>0</v>
      </c>
      <c r="AO1532" s="39"/>
      <c r="AP1532" s="39"/>
      <c r="AQ1532" s="39"/>
      <c r="AR1532" s="39"/>
      <c r="AS1532" s="39"/>
      <c r="AT1532" s="39">
        <f t="shared" si="896"/>
        <v>0</v>
      </c>
      <c r="AU1532" s="39"/>
      <c r="AV1532" s="39"/>
      <c r="AW1532" s="39"/>
      <c r="AX1532" s="39"/>
      <c r="AY1532" s="39"/>
      <c r="AZ1532" s="39">
        <f t="shared" si="897"/>
        <v>0</v>
      </c>
      <c r="BA1532" s="39"/>
      <c r="BB1532" s="39"/>
      <c r="BC1532" s="39"/>
      <c r="BD1532" s="39"/>
      <c r="BE1532" s="39"/>
      <c r="BF1532" s="39">
        <f t="shared" si="898"/>
        <v>0</v>
      </c>
      <c r="BG1532" s="39"/>
      <c r="BH1532" s="39"/>
      <c r="BI1532" s="39"/>
      <c r="BJ1532" s="39"/>
      <c r="BK1532" s="39"/>
      <c r="BL1532" s="39">
        <f t="shared" si="996"/>
        <v>0</v>
      </c>
      <c r="BM1532" s="54" t="str">
        <f t="shared" si="899"/>
        <v/>
      </c>
      <c r="BN1532" s="59">
        <v>46280</v>
      </c>
      <c r="BO1532" s="57">
        <v>46295</v>
      </c>
      <c r="BP1532" s="36"/>
      <c r="BQ1532" s="36"/>
      <c r="BR1532" s="117">
        <v>46246</v>
      </c>
      <c r="BS1532" s="117">
        <v>46246</v>
      </c>
      <c r="BT1532" s="39">
        <v>623</v>
      </c>
      <c r="BU1532" s="39">
        <v>450</v>
      </c>
      <c r="BV1532" s="39">
        <v>623</v>
      </c>
      <c r="BW1532" s="39">
        <v>153</v>
      </c>
      <c r="BX1532" s="39">
        <v>623</v>
      </c>
      <c r="BY1532" s="39">
        <v>11</v>
      </c>
      <c r="BZ1532" s="39">
        <f t="shared" si="997"/>
        <v>614</v>
      </c>
      <c r="CA1532" s="39">
        <f t="shared" si="900"/>
        <v>-9</v>
      </c>
      <c r="CB1532" s="39">
        <f t="shared" si="901"/>
        <v>6</v>
      </c>
      <c r="CC1532" s="39">
        <f t="shared" si="902"/>
        <v>0</v>
      </c>
      <c r="CD1532" s="39">
        <v>0</v>
      </c>
      <c r="CE1532" s="102">
        <f t="shared" si="903"/>
        <v>0</v>
      </c>
      <c r="CF1532" s="36"/>
      <c r="CG1532" s="39" t="s">
        <v>245</v>
      </c>
      <c r="CH1532" s="39"/>
      <c r="CI1532" s="25">
        <v>2</v>
      </c>
    </row>
    <row r="1533" spans="1:87" ht="24.75" customHeight="1">
      <c r="A1533" s="36" t="s">
        <v>46</v>
      </c>
      <c r="B1533" s="30">
        <v>47799</v>
      </c>
      <c r="C1533" s="227" t="s">
        <v>2971</v>
      </c>
      <c r="D1533" s="23"/>
      <c r="E1533" s="39">
        <v>320</v>
      </c>
      <c r="F1533" s="39" t="s">
        <v>54</v>
      </c>
      <c r="G1533" s="36" t="s">
        <v>443</v>
      </c>
      <c r="H1533" s="36" t="s">
        <v>111</v>
      </c>
      <c r="I1533" s="39">
        <v>620</v>
      </c>
      <c r="J1533" s="39"/>
      <c r="K1533" s="39"/>
      <c r="L1533" s="39">
        <f t="shared" ref="L1533:L1534" si="1000">SUM(I1533:K1533)</f>
        <v>620</v>
      </c>
      <c r="M1533" s="117">
        <v>46266</v>
      </c>
      <c r="N1533" s="117">
        <v>46277</v>
      </c>
      <c r="O1533" s="39"/>
      <c r="P1533" s="39"/>
      <c r="Q1533" s="39"/>
      <c r="R1533" s="39">
        <f t="shared" ref="R1533:R1538" si="1001">SUM(O1533:Q1533)</f>
        <v>0</v>
      </c>
      <c r="S1533" s="39" t="s">
        <v>130</v>
      </c>
      <c r="T1533" s="39"/>
      <c r="U1533" s="39"/>
      <c r="V1533" s="39"/>
      <c r="W1533" s="39"/>
      <c r="X1533" s="39"/>
      <c r="Y1533" s="39"/>
      <c r="Z1533" s="39"/>
      <c r="AA1533" s="39"/>
      <c r="AB1533" s="118">
        <f t="shared" ref="AB1533:AB1538" si="1002">SUM(Y1533:AA1533)</f>
        <v>0</v>
      </c>
      <c r="AC1533" s="39"/>
      <c r="AD1533" s="39"/>
      <c r="AE1533" s="39"/>
      <c r="AF1533" s="39"/>
      <c r="AG1533" s="39"/>
      <c r="AH1533" s="39">
        <f t="shared" si="995"/>
        <v>0</v>
      </c>
      <c r="AI1533" s="39"/>
      <c r="AJ1533" s="39"/>
      <c r="AK1533" s="39"/>
      <c r="AL1533" s="39"/>
      <c r="AM1533" s="39"/>
      <c r="AN1533" s="39">
        <f t="shared" si="991"/>
        <v>0</v>
      </c>
      <c r="AO1533" s="39"/>
      <c r="AP1533" s="39"/>
      <c r="AQ1533" s="39"/>
      <c r="AR1533" s="39"/>
      <c r="AS1533" s="39"/>
      <c r="AT1533" s="39">
        <f t="shared" si="896"/>
        <v>0</v>
      </c>
      <c r="AU1533" s="39"/>
      <c r="AV1533" s="39"/>
      <c r="AW1533" s="39"/>
      <c r="AX1533" s="39"/>
      <c r="AY1533" s="39"/>
      <c r="AZ1533" s="39">
        <f t="shared" si="897"/>
        <v>0</v>
      </c>
      <c r="BA1533" s="39"/>
      <c r="BB1533" s="39"/>
      <c r="BC1533" s="39"/>
      <c r="BD1533" s="39"/>
      <c r="BE1533" s="39"/>
      <c r="BF1533" s="39">
        <f t="shared" si="898"/>
        <v>0</v>
      </c>
      <c r="BG1533" s="39"/>
      <c r="BH1533" s="39"/>
      <c r="BI1533" s="39"/>
      <c r="BJ1533" s="39"/>
      <c r="BK1533" s="39"/>
      <c r="BL1533" s="39">
        <f t="shared" si="996"/>
        <v>0</v>
      </c>
      <c r="BM1533" s="54">
        <f t="shared" ca="1" si="899"/>
        <v>46283</v>
      </c>
      <c r="BN1533" s="59">
        <v>46279</v>
      </c>
      <c r="BO1533" s="57">
        <v>46288</v>
      </c>
      <c r="BP1533" s="36"/>
      <c r="BQ1533" s="36"/>
      <c r="BR1533" s="39"/>
      <c r="BS1533" s="39"/>
      <c r="BT1533" s="39"/>
      <c r="BU1533" s="39"/>
      <c r="BV1533" s="39"/>
      <c r="BW1533" s="39"/>
      <c r="BX1533" s="39"/>
      <c r="BY1533" s="39"/>
      <c r="BZ1533" s="39">
        <f t="shared" si="997"/>
        <v>0</v>
      </c>
      <c r="CA1533" s="39">
        <f t="shared" si="900"/>
        <v>-620</v>
      </c>
      <c r="CB1533" s="39">
        <f t="shared" si="901"/>
        <v>0</v>
      </c>
      <c r="CC1533" s="39">
        <f t="shared" si="902"/>
        <v>0</v>
      </c>
      <c r="CD1533" s="39">
        <f t="shared" si="998"/>
        <v>-620</v>
      </c>
      <c r="CE1533" s="102">
        <f t="shared" si="903"/>
        <v>-1</v>
      </c>
      <c r="CF1533" s="36"/>
      <c r="CG1533" s="39" t="s">
        <v>240</v>
      </c>
      <c r="CH1533" s="39"/>
      <c r="CI1533" s="25">
        <v>2</v>
      </c>
    </row>
    <row r="1534" spans="1:87" ht="24.75" customHeight="1">
      <c r="A1534" s="36" t="s">
        <v>46</v>
      </c>
      <c r="B1534" s="164">
        <v>47799</v>
      </c>
      <c r="C1534" s="231"/>
      <c r="D1534" s="23"/>
      <c r="E1534" s="162">
        <v>180</v>
      </c>
      <c r="F1534" s="162" t="s">
        <v>57</v>
      </c>
      <c r="G1534" s="163" t="s">
        <v>1911</v>
      </c>
      <c r="H1534" s="163" t="s">
        <v>22</v>
      </c>
      <c r="I1534" s="162">
        <v>35</v>
      </c>
      <c r="J1534" s="39"/>
      <c r="K1534" s="39"/>
      <c r="L1534" s="39">
        <f t="shared" si="1000"/>
        <v>35</v>
      </c>
      <c r="M1534" s="117">
        <v>46266</v>
      </c>
      <c r="N1534" s="117">
        <v>46277</v>
      </c>
      <c r="O1534" s="39"/>
      <c r="P1534" s="39"/>
      <c r="Q1534" s="39"/>
      <c r="R1534" s="39">
        <f t="shared" si="1001"/>
        <v>0</v>
      </c>
      <c r="S1534" s="39" t="s">
        <v>130</v>
      </c>
      <c r="T1534" s="39"/>
      <c r="U1534" s="39"/>
      <c r="V1534" s="39"/>
      <c r="W1534" s="39"/>
      <c r="X1534" s="39"/>
      <c r="Y1534" s="39"/>
      <c r="Z1534" s="39"/>
      <c r="AA1534" s="39"/>
      <c r="AB1534" s="118">
        <f t="shared" si="1002"/>
        <v>0</v>
      </c>
      <c r="AC1534" s="39"/>
      <c r="AD1534" s="39"/>
      <c r="AE1534" s="39"/>
      <c r="AF1534" s="39"/>
      <c r="AG1534" s="39"/>
      <c r="AH1534" s="39">
        <f t="shared" si="995"/>
        <v>0</v>
      </c>
      <c r="AI1534" s="39"/>
      <c r="AJ1534" s="39"/>
      <c r="AK1534" s="39"/>
      <c r="AL1534" s="39"/>
      <c r="AM1534" s="39"/>
      <c r="AN1534" s="39">
        <f t="shared" si="991"/>
        <v>0</v>
      </c>
      <c r="AO1534" s="39"/>
      <c r="AP1534" s="39"/>
      <c r="AQ1534" s="39"/>
      <c r="AR1534" s="39"/>
      <c r="AS1534" s="39"/>
      <c r="AT1534" s="39">
        <f t="shared" si="896"/>
        <v>0</v>
      </c>
      <c r="AU1534" s="39"/>
      <c r="AV1534" s="39"/>
      <c r="AW1534" s="39"/>
      <c r="AX1534" s="39"/>
      <c r="AY1534" s="39"/>
      <c r="AZ1534" s="39">
        <f t="shared" si="897"/>
        <v>0</v>
      </c>
      <c r="BA1534" s="39"/>
      <c r="BB1534" s="39"/>
      <c r="BC1534" s="39"/>
      <c r="BD1534" s="39"/>
      <c r="BE1534" s="39"/>
      <c r="BF1534" s="39">
        <f t="shared" si="898"/>
        <v>0</v>
      </c>
      <c r="BG1534" s="39"/>
      <c r="BH1534" s="39"/>
      <c r="BI1534" s="39"/>
      <c r="BJ1534" s="39"/>
      <c r="BK1534" s="39"/>
      <c r="BL1534" s="39">
        <f t="shared" si="996"/>
        <v>0</v>
      </c>
      <c r="BM1534" s="54">
        <f t="shared" ca="1" si="899"/>
        <v>46283</v>
      </c>
      <c r="BN1534" s="59">
        <v>46279</v>
      </c>
      <c r="BO1534" s="57">
        <v>46288</v>
      </c>
      <c r="BP1534" s="36"/>
      <c r="BQ1534" s="36"/>
      <c r="BR1534" s="39"/>
      <c r="BS1534" s="39"/>
      <c r="BT1534" s="39"/>
      <c r="BU1534" s="39"/>
      <c r="BV1534" s="39"/>
      <c r="BW1534" s="39"/>
      <c r="BX1534" s="39"/>
      <c r="BY1534" s="39"/>
      <c r="BZ1534" s="39">
        <f t="shared" si="997"/>
        <v>0</v>
      </c>
      <c r="CA1534" s="39">
        <f t="shared" si="900"/>
        <v>-35</v>
      </c>
      <c r="CB1534" s="39">
        <f t="shared" si="901"/>
        <v>0</v>
      </c>
      <c r="CC1534" s="39">
        <f t="shared" si="902"/>
        <v>0</v>
      </c>
      <c r="CD1534" s="39">
        <f t="shared" si="998"/>
        <v>-35</v>
      </c>
      <c r="CE1534" s="102">
        <f t="shared" si="903"/>
        <v>-1</v>
      </c>
      <c r="CF1534" s="36"/>
      <c r="CG1534" s="39" t="s">
        <v>240</v>
      </c>
      <c r="CH1534" s="39"/>
      <c r="CI1534" s="25">
        <v>2</v>
      </c>
    </row>
    <row r="1535" spans="1:87" ht="24.75" customHeight="1">
      <c r="A1535" s="36" t="s">
        <v>46</v>
      </c>
      <c r="B1535" s="164">
        <v>47799</v>
      </c>
      <c r="C1535" s="231"/>
      <c r="D1535" s="23"/>
      <c r="E1535" s="162">
        <v>180</v>
      </c>
      <c r="F1535" s="162" t="s">
        <v>57</v>
      </c>
      <c r="G1535" s="163" t="s">
        <v>1912</v>
      </c>
      <c r="H1535" s="163" t="s">
        <v>22</v>
      </c>
      <c r="I1535" s="162">
        <v>45</v>
      </c>
      <c r="J1535" s="39"/>
      <c r="K1535" s="39"/>
      <c r="L1535" s="39">
        <f t="shared" ref="L1535:L1542" si="1003">SUM(I1535:K1535)</f>
        <v>45</v>
      </c>
      <c r="M1535" s="117">
        <v>46266</v>
      </c>
      <c r="N1535" s="117">
        <v>46277</v>
      </c>
      <c r="O1535" s="39"/>
      <c r="P1535" s="39"/>
      <c r="Q1535" s="39"/>
      <c r="R1535" s="39">
        <f t="shared" si="1001"/>
        <v>0</v>
      </c>
      <c r="S1535" s="39" t="s">
        <v>130</v>
      </c>
      <c r="T1535" s="39"/>
      <c r="U1535" s="39"/>
      <c r="V1535" s="39"/>
      <c r="W1535" s="39"/>
      <c r="X1535" s="39"/>
      <c r="Y1535" s="39"/>
      <c r="Z1535" s="39"/>
      <c r="AA1535" s="39"/>
      <c r="AB1535" s="118">
        <f t="shared" si="1002"/>
        <v>0</v>
      </c>
      <c r="AC1535" s="39"/>
      <c r="AD1535" s="39"/>
      <c r="AE1535" s="39"/>
      <c r="AF1535" s="39"/>
      <c r="AG1535" s="39"/>
      <c r="AH1535" s="39">
        <f t="shared" si="995"/>
        <v>0</v>
      </c>
      <c r="AI1535" s="39"/>
      <c r="AJ1535" s="39"/>
      <c r="AK1535" s="39"/>
      <c r="AL1535" s="39"/>
      <c r="AM1535" s="39"/>
      <c r="AN1535" s="39">
        <f t="shared" si="991"/>
        <v>0</v>
      </c>
      <c r="AO1535" s="39"/>
      <c r="AP1535" s="39"/>
      <c r="AQ1535" s="39"/>
      <c r="AR1535" s="39"/>
      <c r="AS1535" s="39"/>
      <c r="AT1535" s="39">
        <f t="shared" si="896"/>
        <v>0</v>
      </c>
      <c r="AU1535" s="39"/>
      <c r="AV1535" s="39"/>
      <c r="AW1535" s="39"/>
      <c r="AX1535" s="39"/>
      <c r="AY1535" s="39"/>
      <c r="AZ1535" s="39">
        <f t="shared" si="897"/>
        <v>0</v>
      </c>
      <c r="BA1535" s="39"/>
      <c r="BB1535" s="39"/>
      <c r="BC1535" s="39"/>
      <c r="BD1535" s="39"/>
      <c r="BE1535" s="39"/>
      <c r="BF1535" s="39">
        <f t="shared" si="898"/>
        <v>0</v>
      </c>
      <c r="BG1535" s="39"/>
      <c r="BH1535" s="39"/>
      <c r="BI1535" s="39"/>
      <c r="BJ1535" s="39"/>
      <c r="BK1535" s="39"/>
      <c r="BL1535" s="39">
        <f t="shared" si="996"/>
        <v>0</v>
      </c>
      <c r="BM1535" s="54">
        <f t="shared" ca="1" si="899"/>
        <v>46283</v>
      </c>
      <c r="BN1535" s="59">
        <v>46279</v>
      </c>
      <c r="BO1535" s="57">
        <v>46288</v>
      </c>
      <c r="BP1535" s="36"/>
      <c r="BQ1535" s="36"/>
      <c r="BR1535" s="39"/>
      <c r="BS1535" s="39"/>
      <c r="BT1535" s="39"/>
      <c r="BU1535" s="39"/>
      <c r="BV1535" s="39"/>
      <c r="BW1535" s="39"/>
      <c r="BX1535" s="39"/>
      <c r="BY1535" s="39"/>
      <c r="BZ1535" s="39">
        <f t="shared" si="997"/>
        <v>0</v>
      </c>
      <c r="CA1535" s="39">
        <f t="shared" si="900"/>
        <v>-45</v>
      </c>
      <c r="CB1535" s="39">
        <f t="shared" si="901"/>
        <v>0</v>
      </c>
      <c r="CC1535" s="39">
        <f t="shared" si="902"/>
        <v>0</v>
      </c>
      <c r="CD1535" s="39">
        <f t="shared" si="998"/>
        <v>-45</v>
      </c>
      <c r="CE1535" s="102">
        <f t="shared" si="903"/>
        <v>-1</v>
      </c>
      <c r="CF1535" s="36"/>
      <c r="CG1535" s="39" t="s">
        <v>240</v>
      </c>
      <c r="CH1535" s="39"/>
      <c r="CI1535" s="25">
        <v>2</v>
      </c>
    </row>
    <row r="1536" spans="1:87" ht="24.75" customHeight="1">
      <c r="A1536" s="36" t="s">
        <v>46</v>
      </c>
      <c r="B1536" s="30">
        <v>47799</v>
      </c>
      <c r="C1536" s="231"/>
      <c r="D1536" s="23"/>
      <c r="E1536" s="39">
        <v>320</v>
      </c>
      <c r="F1536" s="39" t="s">
        <v>54</v>
      </c>
      <c r="G1536" s="36" t="s">
        <v>1912</v>
      </c>
      <c r="H1536" s="36" t="s">
        <v>111</v>
      </c>
      <c r="I1536" s="39">
        <v>180</v>
      </c>
      <c r="J1536" s="39"/>
      <c r="K1536" s="39"/>
      <c r="L1536" s="39">
        <f t="shared" si="1003"/>
        <v>180</v>
      </c>
      <c r="M1536" s="117">
        <v>46266</v>
      </c>
      <c r="N1536" s="117">
        <v>46277</v>
      </c>
      <c r="O1536" s="39"/>
      <c r="P1536" s="39"/>
      <c r="Q1536" s="39"/>
      <c r="R1536" s="39">
        <f t="shared" si="1001"/>
        <v>0</v>
      </c>
      <c r="S1536" s="39" t="s">
        <v>130</v>
      </c>
      <c r="T1536" s="39"/>
      <c r="U1536" s="39"/>
      <c r="V1536" s="39"/>
      <c r="W1536" s="39"/>
      <c r="X1536" s="39"/>
      <c r="Y1536" s="39"/>
      <c r="Z1536" s="39"/>
      <c r="AA1536" s="39"/>
      <c r="AB1536" s="118">
        <f t="shared" si="1002"/>
        <v>0</v>
      </c>
      <c r="AC1536" s="39"/>
      <c r="AD1536" s="39"/>
      <c r="AE1536" s="39"/>
      <c r="AF1536" s="39"/>
      <c r="AG1536" s="39"/>
      <c r="AH1536" s="39">
        <f t="shared" si="995"/>
        <v>0</v>
      </c>
      <c r="AI1536" s="39"/>
      <c r="AJ1536" s="39"/>
      <c r="AK1536" s="39"/>
      <c r="AL1536" s="39"/>
      <c r="AM1536" s="39"/>
      <c r="AN1536" s="39">
        <f t="shared" si="991"/>
        <v>0</v>
      </c>
      <c r="AO1536" s="39"/>
      <c r="AP1536" s="39"/>
      <c r="AQ1536" s="39"/>
      <c r="AR1536" s="39"/>
      <c r="AS1536" s="39"/>
      <c r="AT1536" s="39">
        <f t="shared" si="896"/>
        <v>0</v>
      </c>
      <c r="AU1536" s="39"/>
      <c r="AV1536" s="39"/>
      <c r="AW1536" s="39"/>
      <c r="AX1536" s="39"/>
      <c r="AY1536" s="39"/>
      <c r="AZ1536" s="39">
        <f t="shared" si="897"/>
        <v>0</v>
      </c>
      <c r="BA1536" s="39"/>
      <c r="BB1536" s="39"/>
      <c r="BC1536" s="39"/>
      <c r="BD1536" s="39"/>
      <c r="BE1536" s="39"/>
      <c r="BF1536" s="39">
        <f t="shared" si="898"/>
        <v>0</v>
      </c>
      <c r="BG1536" s="39"/>
      <c r="BH1536" s="39"/>
      <c r="BI1536" s="39"/>
      <c r="BJ1536" s="39"/>
      <c r="BK1536" s="39"/>
      <c r="BL1536" s="39">
        <f t="shared" si="996"/>
        <v>0</v>
      </c>
      <c r="BM1536" s="54">
        <f t="shared" ca="1" si="899"/>
        <v>46283</v>
      </c>
      <c r="BN1536" s="59">
        <v>46279</v>
      </c>
      <c r="BO1536" s="57">
        <v>46288</v>
      </c>
      <c r="BP1536" s="36"/>
      <c r="BQ1536" s="36"/>
      <c r="BR1536" s="39"/>
      <c r="BS1536" s="39"/>
      <c r="BT1536" s="39"/>
      <c r="BU1536" s="39"/>
      <c r="BV1536" s="39"/>
      <c r="BW1536" s="39"/>
      <c r="BX1536" s="39"/>
      <c r="BY1536" s="39"/>
      <c r="BZ1536" s="39">
        <f t="shared" si="997"/>
        <v>0</v>
      </c>
      <c r="CA1536" s="39">
        <f t="shared" si="900"/>
        <v>-180</v>
      </c>
      <c r="CB1536" s="39">
        <f t="shared" si="901"/>
        <v>0</v>
      </c>
      <c r="CC1536" s="39">
        <f t="shared" si="902"/>
        <v>0</v>
      </c>
      <c r="CD1536" s="39">
        <f t="shared" si="998"/>
        <v>-180</v>
      </c>
      <c r="CE1536" s="102">
        <f t="shared" si="903"/>
        <v>-1</v>
      </c>
      <c r="CF1536" s="36"/>
      <c r="CG1536" s="39" t="s">
        <v>240</v>
      </c>
      <c r="CH1536" s="39"/>
      <c r="CI1536" s="25">
        <v>2</v>
      </c>
    </row>
    <row r="1537" spans="1:87" ht="24.75" customHeight="1">
      <c r="A1537" s="36" t="s">
        <v>46</v>
      </c>
      <c r="B1537" s="30">
        <v>47799</v>
      </c>
      <c r="C1537" s="231"/>
      <c r="D1537" s="23"/>
      <c r="E1537" s="39">
        <v>180</v>
      </c>
      <c r="F1537" s="39" t="s">
        <v>57</v>
      </c>
      <c r="G1537" s="36" t="s">
        <v>985</v>
      </c>
      <c r="H1537" s="36" t="s">
        <v>22</v>
      </c>
      <c r="I1537" s="39">
        <v>110</v>
      </c>
      <c r="J1537" s="39"/>
      <c r="K1537" s="39"/>
      <c r="L1537" s="39">
        <f t="shared" si="1003"/>
        <v>110</v>
      </c>
      <c r="M1537" s="117">
        <v>46266</v>
      </c>
      <c r="N1537" s="117">
        <v>46277</v>
      </c>
      <c r="O1537" s="39"/>
      <c r="P1537" s="39"/>
      <c r="Q1537" s="39"/>
      <c r="R1537" s="39">
        <f t="shared" si="1001"/>
        <v>0</v>
      </c>
      <c r="S1537" s="39" t="s">
        <v>130</v>
      </c>
      <c r="T1537" s="39"/>
      <c r="U1537" s="39"/>
      <c r="V1537" s="39"/>
      <c r="W1537" s="39"/>
      <c r="X1537" s="39"/>
      <c r="Y1537" s="39"/>
      <c r="Z1537" s="39"/>
      <c r="AA1537" s="39"/>
      <c r="AB1537" s="118">
        <f t="shared" si="1002"/>
        <v>0</v>
      </c>
      <c r="AC1537" s="39"/>
      <c r="AD1537" s="39"/>
      <c r="AE1537" s="39"/>
      <c r="AF1537" s="39"/>
      <c r="AG1537" s="39"/>
      <c r="AH1537" s="39">
        <f t="shared" si="995"/>
        <v>0</v>
      </c>
      <c r="AI1537" s="39"/>
      <c r="AJ1537" s="39"/>
      <c r="AK1537" s="39"/>
      <c r="AL1537" s="39"/>
      <c r="AM1537" s="39"/>
      <c r="AN1537" s="39">
        <f t="shared" si="991"/>
        <v>0</v>
      </c>
      <c r="AO1537" s="39"/>
      <c r="AP1537" s="39"/>
      <c r="AQ1537" s="39"/>
      <c r="AR1537" s="39"/>
      <c r="AS1537" s="39"/>
      <c r="AT1537" s="39">
        <f t="shared" si="896"/>
        <v>0</v>
      </c>
      <c r="AU1537" s="39"/>
      <c r="AV1537" s="39"/>
      <c r="AW1537" s="39"/>
      <c r="AX1537" s="39"/>
      <c r="AY1537" s="39"/>
      <c r="AZ1537" s="39">
        <f t="shared" si="897"/>
        <v>0</v>
      </c>
      <c r="BA1537" s="39"/>
      <c r="BB1537" s="39"/>
      <c r="BC1537" s="39"/>
      <c r="BD1537" s="39"/>
      <c r="BE1537" s="39"/>
      <c r="BF1537" s="39">
        <f t="shared" si="898"/>
        <v>0</v>
      </c>
      <c r="BG1537" s="39"/>
      <c r="BH1537" s="39"/>
      <c r="BI1537" s="39"/>
      <c r="BJ1537" s="39"/>
      <c r="BK1537" s="39"/>
      <c r="BL1537" s="39">
        <f t="shared" si="996"/>
        <v>0</v>
      </c>
      <c r="BM1537" s="54">
        <f t="shared" ca="1" si="899"/>
        <v>46283</v>
      </c>
      <c r="BN1537" s="59">
        <v>46279</v>
      </c>
      <c r="BO1537" s="57">
        <v>46288</v>
      </c>
      <c r="BP1537" s="36"/>
      <c r="BQ1537" s="36"/>
      <c r="BR1537" s="39"/>
      <c r="BS1537" s="39"/>
      <c r="BT1537" s="39"/>
      <c r="BU1537" s="39"/>
      <c r="BV1537" s="39"/>
      <c r="BW1537" s="39"/>
      <c r="BX1537" s="39"/>
      <c r="BY1537" s="39"/>
      <c r="BZ1537" s="39">
        <f t="shared" si="997"/>
        <v>0</v>
      </c>
      <c r="CA1537" s="39">
        <f t="shared" si="900"/>
        <v>-110</v>
      </c>
      <c r="CB1537" s="39">
        <f t="shared" si="901"/>
        <v>0</v>
      </c>
      <c r="CC1537" s="39">
        <f t="shared" si="902"/>
        <v>0</v>
      </c>
      <c r="CD1537" s="39">
        <f t="shared" si="998"/>
        <v>-110</v>
      </c>
      <c r="CE1537" s="102">
        <f t="shared" si="903"/>
        <v>-1</v>
      </c>
      <c r="CF1537" s="36"/>
      <c r="CG1537" s="39" t="s">
        <v>240</v>
      </c>
      <c r="CH1537" s="39"/>
      <c r="CI1537" s="25">
        <v>2</v>
      </c>
    </row>
    <row r="1538" spans="1:87" ht="24.75" customHeight="1">
      <c r="A1538" s="36" t="s">
        <v>46</v>
      </c>
      <c r="B1538" s="30">
        <v>47799</v>
      </c>
      <c r="C1538" s="228"/>
      <c r="D1538" s="23"/>
      <c r="E1538" s="39"/>
      <c r="F1538" s="39"/>
      <c r="G1538" s="36" t="s">
        <v>1724</v>
      </c>
      <c r="H1538" s="36">
        <v>2810</v>
      </c>
      <c r="I1538" s="39" t="s">
        <v>328</v>
      </c>
      <c r="J1538" s="39"/>
      <c r="K1538" s="39"/>
      <c r="L1538" s="39">
        <f t="shared" si="1003"/>
        <v>0</v>
      </c>
      <c r="M1538" s="117">
        <v>46266</v>
      </c>
      <c r="N1538" s="117">
        <v>46277</v>
      </c>
      <c r="O1538" s="39"/>
      <c r="P1538" s="39"/>
      <c r="Q1538" s="39"/>
      <c r="R1538" s="39">
        <f t="shared" si="1001"/>
        <v>0</v>
      </c>
      <c r="S1538" s="39" t="s">
        <v>130</v>
      </c>
      <c r="T1538" s="39"/>
      <c r="U1538" s="39"/>
      <c r="V1538" s="39"/>
      <c r="W1538" s="39"/>
      <c r="X1538" s="39"/>
      <c r="Y1538" s="39"/>
      <c r="Z1538" s="39"/>
      <c r="AA1538" s="39"/>
      <c r="AB1538" s="39">
        <f t="shared" si="1002"/>
        <v>0</v>
      </c>
      <c r="AC1538" s="39"/>
      <c r="AD1538" s="39"/>
      <c r="AE1538" s="39"/>
      <c r="AF1538" s="39"/>
      <c r="AG1538" s="39"/>
      <c r="AH1538" s="39">
        <f t="shared" si="995"/>
        <v>0</v>
      </c>
      <c r="AI1538" s="39"/>
      <c r="AJ1538" s="39"/>
      <c r="AK1538" s="39"/>
      <c r="AL1538" s="39"/>
      <c r="AM1538" s="39"/>
      <c r="AN1538" s="39">
        <f t="shared" si="991"/>
        <v>0</v>
      </c>
      <c r="AO1538" s="39"/>
      <c r="AP1538" s="39"/>
      <c r="AQ1538" s="39"/>
      <c r="AR1538" s="39"/>
      <c r="AS1538" s="39"/>
      <c r="AT1538" s="39">
        <f t="shared" si="896"/>
        <v>0</v>
      </c>
      <c r="AU1538" s="39"/>
      <c r="AV1538" s="39"/>
      <c r="AW1538" s="39"/>
      <c r="AX1538" s="39"/>
      <c r="AY1538" s="39"/>
      <c r="AZ1538" s="39">
        <f t="shared" si="897"/>
        <v>0</v>
      </c>
      <c r="BA1538" s="39"/>
      <c r="BB1538" s="39"/>
      <c r="BC1538" s="39"/>
      <c r="BD1538" s="39"/>
      <c r="BE1538" s="39"/>
      <c r="BF1538" s="39">
        <f t="shared" si="898"/>
        <v>0</v>
      </c>
      <c r="BG1538" s="39"/>
      <c r="BH1538" s="39"/>
      <c r="BI1538" s="39"/>
      <c r="BJ1538" s="39"/>
      <c r="BK1538" s="39"/>
      <c r="BL1538" s="39">
        <f t="shared" si="996"/>
        <v>0</v>
      </c>
      <c r="BM1538" s="54" t="e">
        <f t="shared" si="899"/>
        <v>#DIV/0!</v>
      </c>
      <c r="BN1538" s="59">
        <v>46279</v>
      </c>
      <c r="BO1538" s="57">
        <v>46288</v>
      </c>
      <c r="BP1538" s="36"/>
      <c r="BQ1538" s="36"/>
      <c r="BR1538" s="39"/>
      <c r="BS1538" s="39"/>
      <c r="BT1538" s="39"/>
      <c r="BU1538" s="39"/>
      <c r="BV1538" s="39"/>
      <c r="BW1538" s="39"/>
      <c r="BX1538" s="39"/>
      <c r="BY1538" s="39"/>
      <c r="BZ1538" s="39">
        <f t="shared" si="997"/>
        <v>0</v>
      </c>
      <c r="CA1538" s="39" t="e">
        <f t="shared" si="900"/>
        <v>#VALUE!</v>
      </c>
      <c r="CB1538" s="39">
        <f t="shared" si="901"/>
        <v>0</v>
      </c>
      <c r="CC1538" s="39">
        <f t="shared" si="902"/>
        <v>0</v>
      </c>
      <c r="CD1538" s="39">
        <f t="shared" si="998"/>
        <v>0</v>
      </c>
      <c r="CE1538" s="102" t="e">
        <f t="shared" si="903"/>
        <v>#DIV/0!</v>
      </c>
      <c r="CF1538" s="36"/>
      <c r="CG1538" s="39" t="s">
        <v>240</v>
      </c>
      <c r="CH1538" s="39"/>
      <c r="CI1538" s="25">
        <v>2</v>
      </c>
    </row>
    <row r="1539" spans="1:87" ht="24.75" customHeight="1">
      <c r="A1539" s="36" t="s">
        <v>46</v>
      </c>
      <c r="B1539" s="30">
        <v>47800</v>
      </c>
      <c r="C1539" s="227" t="s">
        <v>1913</v>
      </c>
      <c r="D1539" s="23" t="s">
        <v>24</v>
      </c>
      <c r="E1539" s="39">
        <v>200</v>
      </c>
      <c r="F1539" s="39" t="s">
        <v>58</v>
      </c>
      <c r="G1539" s="36" t="s">
        <v>656</v>
      </c>
      <c r="H1539" s="36" t="s">
        <v>212</v>
      </c>
      <c r="I1539" s="39">
        <v>550</v>
      </c>
      <c r="J1539" s="39"/>
      <c r="K1539" s="39"/>
      <c r="L1539" s="39">
        <f t="shared" si="1003"/>
        <v>550</v>
      </c>
      <c r="M1539" s="117">
        <v>46266</v>
      </c>
      <c r="N1539" s="117">
        <v>46277</v>
      </c>
      <c r="O1539" s="39"/>
      <c r="P1539" s="39"/>
      <c r="Q1539" s="39"/>
      <c r="R1539" s="39">
        <f t="shared" ref="R1539:R1544" si="1004">SUM(O1539:Q1539)</f>
        <v>0</v>
      </c>
      <c r="S1539" s="39" t="s">
        <v>130</v>
      </c>
      <c r="T1539" s="39"/>
      <c r="U1539" s="39"/>
      <c r="V1539" s="39"/>
      <c r="W1539" s="39"/>
      <c r="X1539" s="39"/>
      <c r="Y1539" s="39"/>
      <c r="Z1539" s="39"/>
      <c r="AA1539" s="39"/>
      <c r="AB1539" s="118">
        <f t="shared" ref="AB1539:AB1544" si="1005">SUM(Y1539:AA1539)</f>
        <v>0</v>
      </c>
      <c r="AC1539" s="39"/>
      <c r="AD1539" s="39"/>
      <c r="AE1539" s="39"/>
      <c r="AF1539" s="39"/>
      <c r="AG1539" s="39"/>
      <c r="AH1539" s="39">
        <f t="shared" si="995"/>
        <v>0</v>
      </c>
      <c r="AI1539" s="39"/>
      <c r="AJ1539" s="39"/>
      <c r="AK1539" s="39"/>
      <c r="AL1539" s="39"/>
      <c r="AM1539" s="39"/>
      <c r="AN1539" s="39">
        <f t="shared" si="991"/>
        <v>0</v>
      </c>
      <c r="AO1539" s="39"/>
      <c r="AP1539" s="39"/>
      <c r="AQ1539" s="39"/>
      <c r="AR1539" s="39"/>
      <c r="AS1539" s="39"/>
      <c r="AT1539" s="39">
        <f t="shared" si="896"/>
        <v>0</v>
      </c>
      <c r="AU1539" s="39"/>
      <c r="AV1539" s="39"/>
      <c r="AW1539" s="39"/>
      <c r="AX1539" s="39"/>
      <c r="AY1539" s="39"/>
      <c r="AZ1539" s="39">
        <f t="shared" si="897"/>
        <v>0</v>
      </c>
      <c r="BA1539" s="39"/>
      <c r="BB1539" s="39"/>
      <c r="BC1539" s="39"/>
      <c r="BD1539" s="39"/>
      <c r="BE1539" s="39"/>
      <c r="BF1539" s="39">
        <f t="shared" si="898"/>
        <v>0</v>
      </c>
      <c r="BG1539" s="39"/>
      <c r="BH1539" s="39"/>
      <c r="BI1539" s="39"/>
      <c r="BJ1539" s="39"/>
      <c r="BK1539" s="39"/>
      <c r="BL1539" s="39">
        <f t="shared" si="996"/>
        <v>0</v>
      </c>
      <c r="BM1539" s="54">
        <f t="shared" ca="1" si="899"/>
        <v>46283</v>
      </c>
      <c r="BN1539" s="59">
        <v>46279</v>
      </c>
      <c r="BO1539" s="57">
        <v>46287</v>
      </c>
      <c r="BP1539" s="36"/>
      <c r="BQ1539" s="36"/>
      <c r="BR1539" s="39"/>
      <c r="BS1539" s="39"/>
      <c r="BT1539" s="39"/>
      <c r="BU1539" s="39"/>
      <c r="BV1539" s="39"/>
      <c r="BW1539" s="39"/>
      <c r="BX1539" s="39"/>
      <c r="BY1539" s="39"/>
      <c r="BZ1539" s="39">
        <f t="shared" si="997"/>
        <v>0</v>
      </c>
      <c r="CA1539" s="39">
        <f t="shared" si="900"/>
        <v>-550</v>
      </c>
      <c r="CB1539" s="39">
        <f t="shared" si="901"/>
        <v>0</v>
      </c>
      <c r="CC1539" s="39">
        <f t="shared" si="902"/>
        <v>0</v>
      </c>
      <c r="CD1539" s="39">
        <f t="shared" si="998"/>
        <v>-550</v>
      </c>
      <c r="CE1539" s="102">
        <f t="shared" si="903"/>
        <v>-1</v>
      </c>
      <c r="CF1539" s="36"/>
      <c r="CG1539" s="39" t="s">
        <v>240</v>
      </c>
      <c r="CH1539" s="39"/>
      <c r="CI1539" s="25">
        <v>2</v>
      </c>
    </row>
    <row r="1540" spans="1:87" ht="24.75" customHeight="1">
      <c r="A1540" s="36" t="s">
        <v>46</v>
      </c>
      <c r="B1540" s="30">
        <v>47800</v>
      </c>
      <c r="C1540" s="231"/>
      <c r="D1540" s="23" t="s">
        <v>24</v>
      </c>
      <c r="E1540" s="39">
        <v>200</v>
      </c>
      <c r="F1540" s="39" t="s">
        <v>58</v>
      </c>
      <c r="G1540" s="36" t="s">
        <v>1912</v>
      </c>
      <c r="H1540" s="36" t="s">
        <v>212</v>
      </c>
      <c r="I1540" s="39">
        <v>25</v>
      </c>
      <c r="J1540" s="39"/>
      <c r="K1540" s="39">
        <v>15</v>
      </c>
      <c r="L1540" s="39">
        <f t="shared" si="1003"/>
        <v>40</v>
      </c>
      <c r="M1540" s="117">
        <v>46266</v>
      </c>
      <c r="N1540" s="117">
        <v>46277</v>
      </c>
      <c r="O1540" s="39"/>
      <c r="P1540" s="39"/>
      <c r="Q1540" s="39"/>
      <c r="R1540" s="39">
        <f t="shared" si="1004"/>
        <v>0</v>
      </c>
      <c r="S1540" s="39" t="s">
        <v>130</v>
      </c>
      <c r="T1540" s="39"/>
      <c r="U1540" s="39"/>
      <c r="V1540" s="39"/>
      <c r="W1540" s="39"/>
      <c r="X1540" s="39"/>
      <c r="Y1540" s="39"/>
      <c r="Z1540" s="39"/>
      <c r="AA1540" s="39"/>
      <c r="AB1540" s="118">
        <f t="shared" si="1005"/>
        <v>0</v>
      </c>
      <c r="AC1540" s="39"/>
      <c r="AD1540" s="39"/>
      <c r="AE1540" s="39"/>
      <c r="AF1540" s="39"/>
      <c r="AG1540" s="39"/>
      <c r="AH1540" s="39">
        <f t="shared" si="995"/>
        <v>0</v>
      </c>
      <c r="AI1540" s="39"/>
      <c r="AJ1540" s="39"/>
      <c r="AK1540" s="39"/>
      <c r="AL1540" s="39"/>
      <c r="AM1540" s="39"/>
      <c r="AN1540" s="39">
        <f t="shared" si="991"/>
        <v>0</v>
      </c>
      <c r="AO1540" s="39"/>
      <c r="AP1540" s="39"/>
      <c r="AQ1540" s="39"/>
      <c r="AR1540" s="39"/>
      <c r="AS1540" s="39"/>
      <c r="AT1540" s="39">
        <f t="shared" si="896"/>
        <v>0</v>
      </c>
      <c r="AU1540" s="39"/>
      <c r="AV1540" s="39"/>
      <c r="AW1540" s="39"/>
      <c r="AX1540" s="39"/>
      <c r="AY1540" s="39"/>
      <c r="AZ1540" s="39">
        <f t="shared" si="897"/>
        <v>0</v>
      </c>
      <c r="BA1540" s="39"/>
      <c r="BB1540" s="39"/>
      <c r="BC1540" s="39"/>
      <c r="BD1540" s="39"/>
      <c r="BE1540" s="39"/>
      <c r="BF1540" s="39">
        <f t="shared" si="898"/>
        <v>0</v>
      </c>
      <c r="BG1540" s="39"/>
      <c r="BH1540" s="39"/>
      <c r="BI1540" s="39"/>
      <c r="BJ1540" s="39"/>
      <c r="BK1540" s="39"/>
      <c r="BL1540" s="39">
        <f t="shared" si="996"/>
        <v>0</v>
      </c>
      <c r="BM1540" s="54">
        <f t="shared" ca="1" si="899"/>
        <v>46283</v>
      </c>
      <c r="BN1540" s="59">
        <v>46279</v>
      </c>
      <c r="BO1540" s="57">
        <v>46287</v>
      </c>
      <c r="BP1540" s="36"/>
      <c r="BQ1540" s="36"/>
      <c r="BR1540" s="39"/>
      <c r="BS1540" s="39"/>
      <c r="BT1540" s="39"/>
      <c r="BU1540" s="39"/>
      <c r="BV1540" s="39"/>
      <c r="BW1540" s="39"/>
      <c r="BX1540" s="39"/>
      <c r="BY1540" s="39"/>
      <c r="BZ1540" s="39">
        <f t="shared" si="997"/>
        <v>0</v>
      </c>
      <c r="CA1540" s="39">
        <f t="shared" si="900"/>
        <v>-25</v>
      </c>
      <c r="CB1540" s="39">
        <f t="shared" si="901"/>
        <v>0</v>
      </c>
      <c r="CC1540" s="39">
        <f t="shared" si="902"/>
        <v>-15</v>
      </c>
      <c r="CD1540" s="39">
        <f t="shared" si="998"/>
        <v>-40</v>
      </c>
      <c r="CE1540" s="102">
        <f t="shared" si="903"/>
        <v>-1</v>
      </c>
      <c r="CF1540" s="36"/>
      <c r="CG1540" s="39" t="s">
        <v>240</v>
      </c>
      <c r="CH1540" s="39"/>
      <c r="CI1540" s="25">
        <v>2</v>
      </c>
    </row>
    <row r="1541" spans="1:87" ht="24.75" customHeight="1">
      <c r="A1541" s="36" t="s">
        <v>46</v>
      </c>
      <c r="B1541" s="30">
        <v>47800</v>
      </c>
      <c r="C1541" s="228"/>
      <c r="D1541" s="23"/>
      <c r="E1541" s="39"/>
      <c r="F1541" s="39"/>
      <c r="G1541" s="36" t="s">
        <v>1724</v>
      </c>
      <c r="H1541" s="36">
        <v>2810</v>
      </c>
      <c r="I1541" s="39" t="s">
        <v>199</v>
      </c>
      <c r="J1541" s="39"/>
      <c r="K1541" s="39"/>
      <c r="L1541" s="39">
        <f t="shared" si="1003"/>
        <v>0</v>
      </c>
      <c r="M1541" s="117">
        <v>46266</v>
      </c>
      <c r="N1541" s="117">
        <v>46277</v>
      </c>
      <c r="O1541" s="39"/>
      <c r="P1541" s="39"/>
      <c r="Q1541" s="39"/>
      <c r="R1541" s="39">
        <f t="shared" si="1004"/>
        <v>0</v>
      </c>
      <c r="S1541" s="39" t="s">
        <v>130</v>
      </c>
      <c r="T1541" s="39"/>
      <c r="U1541" s="39"/>
      <c r="V1541" s="39"/>
      <c r="W1541" s="39"/>
      <c r="X1541" s="39"/>
      <c r="Y1541" s="39"/>
      <c r="Z1541" s="39"/>
      <c r="AA1541" s="39"/>
      <c r="AB1541" s="39">
        <f t="shared" si="1005"/>
        <v>0</v>
      </c>
      <c r="AC1541" s="39"/>
      <c r="AD1541" s="39"/>
      <c r="AE1541" s="39"/>
      <c r="AF1541" s="39"/>
      <c r="AG1541" s="39"/>
      <c r="AH1541" s="39">
        <f t="shared" si="995"/>
        <v>0</v>
      </c>
      <c r="AI1541" s="39"/>
      <c r="AJ1541" s="39"/>
      <c r="AK1541" s="39"/>
      <c r="AL1541" s="39"/>
      <c r="AM1541" s="39"/>
      <c r="AN1541" s="39">
        <f t="shared" si="991"/>
        <v>0</v>
      </c>
      <c r="AO1541" s="39"/>
      <c r="AP1541" s="39"/>
      <c r="AQ1541" s="39"/>
      <c r="AR1541" s="39"/>
      <c r="AS1541" s="39"/>
      <c r="AT1541" s="39">
        <f t="shared" si="896"/>
        <v>0</v>
      </c>
      <c r="AU1541" s="39"/>
      <c r="AV1541" s="39"/>
      <c r="AW1541" s="39"/>
      <c r="AX1541" s="39"/>
      <c r="AY1541" s="39"/>
      <c r="AZ1541" s="39">
        <f t="shared" si="897"/>
        <v>0</v>
      </c>
      <c r="BA1541" s="39"/>
      <c r="BB1541" s="39"/>
      <c r="BC1541" s="39"/>
      <c r="BD1541" s="39"/>
      <c r="BE1541" s="39"/>
      <c r="BF1541" s="39">
        <f t="shared" si="898"/>
        <v>0</v>
      </c>
      <c r="BG1541" s="39"/>
      <c r="BH1541" s="39"/>
      <c r="BI1541" s="39"/>
      <c r="BJ1541" s="39"/>
      <c r="BK1541" s="39"/>
      <c r="BL1541" s="39">
        <f t="shared" si="996"/>
        <v>0</v>
      </c>
      <c r="BM1541" s="54" t="e">
        <f t="shared" si="899"/>
        <v>#DIV/0!</v>
      </c>
      <c r="BN1541" s="59">
        <v>46279</v>
      </c>
      <c r="BO1541" s="57">
        <v>46287</v>
      </c>
      <c r="BP1541" s="36"/>
      <c r="BQ1541" s="36"/>
      <c r="BR1541" s="39"/>
      <c r="BS1541" s="39"/>
      <c r="BT1541" s="39"/>
      <c r="BU1541" s="39"/>
      <c r="BV1541" s="39"/>
      <c r="BW1541" s="39"/>
      <c r="BX1541" s="39"/>
      <c r="BY1541" s="39"/>
      <c r="BZ1541" s="39">
        <f t="shared" si="997"/>
        <v>0</v>
      </c>
      <c r="CA1541" s="39" t="e">
        <f t="shared" si="900"/>
        <v>#VALUE!</v>
      </c>
      <c r="CB1541" s="39">
        <f t="shared" si="901"/>
        <v>0</v>
      </c>
      <c r="CC1541" s="39">
        <f t="shared" si="902"/>
        <v>0</v>
      </c>
      <c r="CD1541" s="39">
        <f t="shared" si="998"/>
        <v>0</v>
      </c>
      <c r="CE1541" s="102" t="e">
        <f t="shared" si="903"/>
        <v>#DIV/0!</v>
      </c>
      <c r="CF1541" s="36"/>
      <c r="CG1541" s="39" t="s">
        <v>240</v>
      </c>
      <c r="CH1541" s="39"/>
      <c r="CI1541" s="25">
        <v>2</v>
      </c>
    </row>
    <row r="1542" spans="1:87" ht="24.75" customHeight="1">
      <c r="A1542" s="36" t="s">
        <v>46</v>
      </c>
      <c r="B1542" s="164">
        <v>48320</v>
      </c>
      <c r="C1542" s="227" t="s">
        <v>3058</v>
      </c>
      <c r="D1542" s="23"/>
      <c r="E1542" s="39">
        <v>200</v>
      </c>
      <c r="F1542" s="39" t="s">
        <v>60</v>
      </c>
      <c r="G1542" s="163" t="s">
        <v>1914</v>
      </c>
      <c r="H1542" s="36" t="s">
        <v>89</v>
      </c>
      <c r="I1542" s="162">
        <f>140+67+4</f>
        <v>211</v>
      </c>
      <c r="J1542" s="39"/>
      <c r="K1542" s="39"/>
      <c r="L1542" s="39">
        <f t="shared" si="1003"/>
        <v>211</v>
      </c>
      <c r="M1542" s="117">
        <v>46266</v>
      </c>
      <c r="N1542" s="117">
        <v>46282</v>
      </c>
      <c r="O1542" s="39"/>
      <c r="P1542" s="39"/>
      <c r="Q1542" s="39"/>
      <c r="R1542" s="39">
        <f t="shared" si="1004"/>
        <v>0</v>
      </c>
      <c r="S1542" s="39" t="s">
        <v>130</v>
      </c>
      <c r="T1542" s="39"/>
      <c r="U1542" s="39"/>
      <c r="V1542" s="39"/>
      <c r="W1542" s="39"/>
      <c r="X1542" s="117"/>
      <c r="Y1542" s="39"/>
      <c r="Z1542" s="39"/>
      <c r="AA1542" s="39"/>
      <c r="AB1542" s="118">
        <f t="shared" si="1005"/>
        <v>0</v>
      </c>
      <c r="AC1542" s="39"/>
      <c r="AD1542" s="39"/>
      <c r="AE1542" s="39"/>
      <c r="AF1542" s="39"/>
      <c r="AG1542" s="39"/>
      <c r="AH1542" s="39">
        <f t="shared" si="995"/>
        <v>0</v>
      </c>
      <c r="AI1542" s="39"/>
      <c r="AJ1542" s="39"/>
      <c r="AK1542" s="39"/>
      <c r="AL1542" s="39"/>
      <c r="AM1542" s="39"/>
      <c r="AN1542" s="39">
        <f t="shared" si="991"/>
        <v>0</v>
      </c>
      <c r="AO1542" s="39"/>
      <c r="AP1542" s="39"/>
      <c r="AQ1542" s="39"/>
      <c r="AR1542" s="39"/>
      <c r="AS1542" s="39"/>
      <c r="AT1542" s="39">
        <f t="shared" si="896"/>
        <v>0</v>
      </c>
      <c r="AU1542" s="39"/>
      <c r="AV1542" s="39"/>
      <c r="AW1542" s="39"/>
      <c r="AX1542" s="39"/>
      <c r="AY1542" s="39"/>
      <c r="AZ1542" s="39">
        <f t="shared" si="897"/>
        <v>0</v>
      </c>
      <c r="BA1542" s="39"/>
      <c r="BB1542" s="39"/>
      <c r="BC1542" s="39"/>
      <c r="BD1542" s="39"/>
      <c r="BE1542" s="39"/>
      <c r="BF1542" s="39">
        <f t="shared" si="898"/>
        <v>0</v>
      </c>
      <c r="BG1542" s="39"/>
      <c r="BH1542" s="39"/>
      <c r="BI1542" s="39"/>
      <c r="BJ1542" s="39"/>
      <c r="BK1542" s="39"/>
      <c r="BL1542" s="39">
        <f t="shared" si="996"/>
        <v>0</v>
      </c>
      <c r="BM1542" s="54">
        <f t="shared" ca="1" si="899"/>
        <v>46283</v>
      </c>
      <c r="BN1542" s="59">
        <v>46279</v>
      </c>
      <c r="BO1542" s="57">
        <v>46294</v>
      </c>
      <c r="BP1542" s="36"/>
      <c r="BQ1542" s="36"/>
      <c r="BR1542" s="39"/>
      <c r="BS1542" s="39"/>
      <c r="BT1542" s="39"/>
      <c r="BU1542" s="39"/>
      <c r="BV1542" s="39"/>
      <c r="BW1542" s="39"/>
      <c r="BX1542" s="39"/>
      <c r="BY1542" s="39"/>
      <c r="BZ1542" s="39">
        <f t="shared" si="997"/>
        <v>0</v>
      </c>
      <c r="CA1542" s="39">
        <f t="shared" si="900"/>
        <v>-211</v>
      </c>
      <c r="CB1542" s="39">
        <f t="shared" si="901"/>
        <v>0</v>
      </c>
      <c r="CC1542" s="39">
        <f t="shared" si="902"/>
        <v>0</v>
      </c>
      <c r="CD1542" s="39">
        <f t="shared" si="998"/>
        <v>-211</v>
      </c>
      <c r="CE1542" s="102">
        <f t="shared" si="903"/>
        <v>-1</v>
      </c>
      <c r="CF1542" s="36"/>
      <c r="CG1542" s="39" t="s">
        <v>246</v>
      </c>
      <c r="CH1542" s="39"/>
      <c r="CI1542" s="25">
        <v>2</v>
      </c>
    </row>
    <row r="1543" spans="1:87" ht="24.75" customHeight="1">
      <c r="A1543" s="36" t="s">
        <v>46</v>
      </c>
      <c r="B1543" s="30">
        <v>48320</v>
      </c>
      <c r="C1543" s="231"/>
      <c r="D1543" s="23"/>
      <c r="E1543" s="39">
        <v>200</v>
      </c>
      <c r="F1543" s="39" t="s">
        <v>60</v>
      </c>
      <c r="G1543" s="36" t="s">
        <v>1915</v>
      </c>
      <c r="H1543" s="36" t="s">
        <v>89</v>
      </c>
      <c r="I1543" s="39">
        <f>409+227+4</f>
        <v>640</v>
      </c>
      <c r="J1543" s="39"/>
      <c r="K1543" s="39"/>
      <c r="L1543" s="39">
        <f t="shared" ref="L1543:L1550" si="1006">SUM(I1543:K1543)</f>
        <v>640</v>
      </c>
      <c r="M1543" s="117">
        <v>46266</v>
      </c>
      <c r="N1543" s="117">
        <v>46282</v>
      </c>
      <c r="O1543" s="39"/>
      <c r="P1543" s="39"/>
      <c r="Q1543" s="39"/>
      <c r="R1543" s="39">
        <f t="shared" si="1004"/>
        <v>0</v>
      </c>
      <c r="S1543" s="39" t="s">
        <v>28</v>
      </c>
      <c r="T1543" s="39"/>
      <c r="U1543" s="39"/>
      <c r="V1543" s="117" t="s">
        <v>2951</v>
      </c>
      <c r="W1543" s="39">
        <f>458+255</f>
        <v>713</v>
      </c>
      <c r="X1543" s="39"/>
      <c r="Y1543" s="39"/>
      <c r="Z1543" s="39"/>
      <c r="AA1543" s="39"/>
      <c r="AB1543" s="118">
        <f t="shared" si="1005"/>
        <v>0</v>
      </c>
      <c r="AC1543" s="39"/>
      <c r="AD1543" s="39"/>
      <c r="AE1543" s="39"/>
      <c r="AF1543" s="39"/>
      <c r="AG1543" s="39"/>
      <c r="AH1543" s="39">
        <f t="shared" si="995"/>
        <v>0</v>
      </c>
      <c r="AI1543" s="39"/>
      <c r="AJ1543" s="39"/>
      <c r="AK1543" s="39"/>
      <c r="AL1543" s="39"/>
      <c r="AM1543" s="39"/>
      <c r="AN1543" s="39">
        <f t="shared" si="991"/>
        <v>0</v>
      </c>
      <c r="AO1543" s="39"/>
      <c r="AP1543" s="39"/>
      <c r="AQ1543" s="39"/>
      <c r="AR1543" s="39"/>
      <c r="AS1543" s="39"/>
      <c r="AT1543" s="39">
        <f t="shared" si="896"/>
        <v>0</v>
      </c>
      <c r="AU1543" s="39"/>
      <c r="AV1543" s="39"/>
      <c r="AW1543" s="39"/>
      <c r="AX1543" s="39"/>
      <c r="AY1543" s="39"/>
      <c r="AZ1543" s="39">
        <f t="shared" si="897"/>
        <v>0</v>
      </c>
      <c r="BA1543" s="39"/>
      <c r="BB1543" s="39"/>
      <c r="BC1543" s="39"/>
      <c r="BD1543" s="39"/>
      <c r="BE1543" s="39"/>
      <c r="BF1543" s="39">
        <f t="shared" si="898"/>
        <v>0</v>
      </c>
      <c r="BG1543" s="39"/>
      <c r="BH1543" s="39"/>
      <c r="BI1543" s="39"/>
      <c r="BJ1543" s="39"/>
      <c r="BK1543" s="39"/>
      <c r="BL1543" s="39">
        <f t="shared" si="996"/>
        <v>0</v>
      </c>
      <c r="BM1543" s="54">
        <f t="shared" ca="1" si="899"/>
        <v>46283</v>
      </c>
      <c r="BN1543" s="59">
        <v>46279</v>
      </c>
      <c r="BO1543" s="57">
        <v>46294</v>
      </c>
      <c r="BP1543" s="36"/>
      <c r="BQ1543" s="36"/>
      <c r="BR1543" s="39"/>
      <c r="BS1543" s="39"/>
      <c r="BT1543" s="39"/>
      <c r="BU1543" s="39"/>
      <c r="BV1543" s="39"/>
      <c r="BW1543" s="39"/>
      <c r="BX1543" s="39"/>
      <c r="BY1543" s="39"/>
      <c r="BZ1543" s="39">
        <f t="shared" si="997"/>
        <v>0</v>
      </c>
      <c r="CA1543" s="39">
        <f t="shared" si="900"/>
        <v>-640</v>
      </c>
      <c r="CB1543" s="39">
        <f t="shared" si="901"/>
        <v>0</v>
      </c>
      <c r="CC1543" s="39">
        <f t="shared" si="902"/>
        <v>0</v>
      </c>
      <c r="CD1543" s="39">
        <f t="shared" si="998"/>
        <v>-640</v>
      </c>
      <c r="CE1543" s="102">
        <f t="shared" si="903"/>
        <v>-1</v>
      </c>
      <c r="CF1543" s="36"/>
      <c r="CG1543" s="39" t="s">
        <v>246</v>
      </c>
      <c r="CH1543" s="39"/>
      <c r="CI1543" s="25">
        <v>2</v>
      </c>
    </row>
    <row r="1544" spans="1:87" ht="24.75" customHeight="1">
      <c r="A1544" s="36" t="s">
        <v>46</v>
      </c>
      <c r="B1544" s="164">
        <v>48320</v>
      </c>
      <c r="C1544" s="228"/>
      <c r="D1544" s="23"/>
      <c r="E1544" s="39">
        <v>200</v>
      </c>
      <c r="F1544" s="39" t="s">
        <v>60</v>
      </c>
      <c r="G1544" s="163" t="s">
        <v>1916</v>
      </c>
      <c r="H1544" s="36" t="s">
        <v>89</v>
      </c>
      <c r="I1544" s="162">
        <f>146+71+4</f>
        <v>221</v>
      </c>
      <c r="J1544" s="39"/>
      <c r="K1544" s="39"/>
      <c r="L1544" s="39">
        <f t="shared" si="1006"/>
        <v>221</v>
      </c>
      <c r="M1544" s="117">
        <v>46266</v>
      </c>
      <c r="N1544" s="117">
        <v>46282</v>
      </c>
      <c r="O1544" s="39"/>
      <c r="P1544" s="39"/>
      <c r="Q1544" s="39"/>
      <c r="R1544" s="39">
        <f t="shared" si="1004"/>
        <v>0</v>
      </c>
      <c r="S1544" s="39" t="s">
        <v>130</v>
      </c>
      <c r="T1544" s="39"/>
      <c r="U1544" s="39"/>
      <c r="V1544" s="39"/>
      <c r="W1544" s="39"/>
      <c r="X1544" s="39"/>
      <c r="Y1544" s="39"/>
      <c r="Z1544" s="39"/>
      <c r="AA1544" s="39"/>
      <c r="AB1544" s="118">
        <f t="shared" si="1005"/>
        <v>0</v>
      </c>
      <c r="AC1544" s="39"/>
      <c r="AD1544" s="39"/>
      <c r="AE1544" s="39"/>
      <c r="AF1544" s="39"/>
      <c r="AG1544" s="39"/>
      <c r="AH1544" s="39">
        <f t="shared" si="995"/>
        <v>0</v>
      </c>
      <c r="AI1544" s="39"/>
      <c r="AJ1544" s="39"/>
      <c r="AK1544" s="39"/>
      <c r="AL1544" s="39"/>
      <c r="AM1544" s="39"/>
      <c r="AN1544" s="39">
        <f t="shared" si="991"/>
        <v>0</v>
      </c>
      <c r="AO1544" s="39"/>
      <c r="AP1544" s="39"/>
      <c r="AQ1544" s="39"/>
      <c r="AR1544" s="39"/>
      <c r="AS1544" s="39"/>
      <c r="AT1544" s="39">
        <f t="shared" si="896"/>
        <v>0</v>
      </c>
      <c r="AU1544" s="39"/>
      <c r="AV1544" s="39"/>
      <c r="AW1544" s="39"/>
      <c r="AX1544" s="39"/>
      <c r="AY1544" s="39"/>
      <c r="AZ1544" s="39">
        <f t="shared" si="897"/>
        <v>0</v>
      </c>
      <c r="BA1544" s="39"/>
      <c r="BB1544" s="39"/>
      <c r="BC1544" s="39"/>
      <c r="BD1544" s="39"/>
      <c r="BE1544" s="39"/>
      <c r="BF1544" s="39">
        <f t="shared" si="898"/>
        <v>0</v>
      </c>
      <c r="BG1544" s="39"/>
      <c r="BH1544" s="39"/>
      <c r="BI1544" s="39"/>
      <c r="BJ1544" s="39"/>
      <c r="BK1544" s="39"/>
      <c r="BL1544" s="39">
        <f t="shared" si="996"/>
        <v>0</v>
      </c>
      <c r="BM1544" s="54">
        <f t="shared" ca="1" si="899"/>
        <v>46283</v>
      </c>
      <c r="BN1544" s="59">
        <v>46279</v>
      </c>
      <c r="BO1544" s="57">
        <v>46294</v>
      </c>
      <c r="BP1544" s="36"/>
      <c r="BQ1544" s="36"/>
      <c r="BR1544" s="39"/>
      <c r="BS1544" s="39"/>
      <c r="BT1544" s="39"/>
      <c r="BU1544" s="39"/>
      <c r="BV1544" s="39"/>
      <c r="BW1544" s="39"/>
      <c r="BX1544" s="39"/>
      <c r="BY1544" s="39"/>
      <c r="BZ1544" s="39">
        <f t="shared" si="997"/>
        <v>0</v>
      </c>
      <c r="CA1544" s="39">
        <f t="shared" si="900"/>
        <v>-221</v>
      </c>
      <c r="CB1544" s="39">
        <f t="shared" si="901"/>
        <v>0</v>
      </c>
      <c r="CC1544" s="39">
        <f t="shared" si="902"/>
        <v>0</v>
      </c>
      <c r="CD1544" s="39">
        <f t="shared" si="998"/>
        <v>-221</v>
      </c>
      <c r="CE1544" s="102">
        <f t="shared" si="903"/>
        <v>-1</v>
      </c>
      <c r="CF1544" s="36"/>
      <c r="CG1544" s="39" t="s">
        <v>246</v>
      </c>
      <c r="CH1544" s="39"/>
      <c r="CI1544" s="25">
        <v>2</v>
      </c>
    </row>
    <row r="1545" spans="1:87" ht="24.75" customHeight="1">
      <c r="A1545" s="36" t="s">
        <v>46</v>
      </c>
      <c r="B1545" s="30">
        <v>47810</v>
      </c>
      <c r="C1545" s="227" t="s">
        <v>1917</v>
      </c>
      <c r="D1545" s="23" t="s">
        <v>24</v>
      </c>
      <c r="E1545" s="39">
        <v>240</v>
      </c>
      <c r="F1545" s="39" t="s">
        <v>65</v>
      </c>
      <c r="G1545" s="36" t="s">
        <v>656</v>
      </c>
      <c r="H1545" s="36" t="s">
        <v>212</v>
      </c>
      <c r="I1545" s="39">
        <v>725</v>
      </c>
      <c r="J1545" s="39"/>
      <c r="K1545" s="39"/>
      <c r="L1545" s="39">
        <f t="shared" si="1006"/>
        <v>725</v>
      </c>
      <c r="M1545" s="117">
        <v>46266</v>
      </c>
      <c r="N1545" s="117">
        <v>46277</v>
      </c>
      <c r="O1545" s="39"/>
      <c r="P1545" s="39"/>
      <c r="Q1545" s="39"/>
      <c r="R1545" s="39">
        <f t="shared" ref="R1545:R1561" si="1007">SUM(O1545:Q1545)</f>
        <v>0</v>
      </c>
      <c r="S1545" s="39" t="s">
        <v>130</v>
      </c>
      <c r="T1545" s="39"/>
      <c r="U1545" s="39"/>
      <c r="V1545" s="39"/>
      <c r="W1545" s="39"/>
      <c r="X1545" s="39"/>
      <c r="Y1545" s="39"/>
      <c r="Z1545" s="39"/>
      <c r="AA1545" s="39"/>
      <c r="AB1545" s="118">
        <f t="shared" ref="AB1545:AB1596" si="1008">SUM(Y1545:AA1545)</f>
        <v>0</v>
      </c>
      <c r="AC1545" s="39"/>
      <c r="AD1545" s="39"/>
      <c r="AE1545" s="39"/>
      <c r="AF1545" s="39"/>
      <c r="AG1545" s="39"/>
      <c r="AH1545" s="39">
        <f t="shared" si="995"/>
        <v>0</v>
      </c>
      <c r="AI1545" s="39"/>
      <c r="AJ1545" s="39"/>
      <c r="AK1545" s="39"/>
      <c r="AL1545" s="39"/>
      <c r="AM1545" s="39"/>
      <c r="AN1545" s="39">
        <f t="shared" si="991"/>
        <v>0</v>
      </c>
      <c r="AO1545" s="39"/>
      <c r="AP1545" s="39"/>
      <c r="AQ1545" s="39"/>
      <c r="AR1545" s="39"/>
      <c r="AS1545" s="39"/>
      <c r="AT1545" s="39">
        <f t="shared" si="896"/>
        <v>0</v>
      </c>
      <c r="AU1545" s="39"/>
      <c r="AV1545" s="39"/>
      <c r="AW1545" s="39"/>
      <c r="AX1545" s="39"/>
      <c r="AY1545" s="39"/>
      <c r="AZ1545" s="39">
        <f t="shared" si="897"/>
        <v>0</v>
      </c>
      <c r="BA1545" s="39"/>
      <c r="BB1545" s="39"/>
      <c r="BC1545" s="39"/>
      <c r="BD1545" s="39"/>
      <c r="BE1545" s="39"/>
      <c r="BF1545" s="39">
        <f t="shared" si="898"/>
        <v>0</v>
      </c>
      <c r="BG1545" s="39"/>
      <c r="BH1545" s="39"/>
      <c r="BI1545" s="39"/>
      <c r="BJ1545" s="39"/>
      <c r="BK1545" s="39"/>
      <c r="BL1545" s="39">
        <f t="shared" si="996"/>
        <v>0</v>
      </c>
      <c r="BM1545" s="54">
        <f t="shared" ca="1" si="899"/>
        <v>46283</v>
      </c>
      <c r="BN1545" s="59">
        <v>46279</v>
      </c>
      <c r="BO1545" s="57">
        <v>46287</v>
      </c>
      <c r="BP1545" s="36"/>
      <c r="BQ1545" s="36"/>
      <c r="BR1545" s="39"/>
      <c r="BS1545" s="39"/>
      <c r="BT1545" s="39"/>
      <c r="BU1545" s="39"/>
      <c r="BV1545" s="39"/>
      <c r="BW1545" s="39"/>
      <c r="BX1545" s="39"/>
      <c r="BY1545" s="39"/>
      <c r="BZ1545" s="39">
        <f t="shared" si="997"/>
        <v>0</v>
      </c>
      <c r="CA1545" s="39">
        <f t="shared" si="900"/>
        <v>-725</v>
      </c>
      <c r="CB1545" s="39">
        <f t="shared" si="901"/>
        <v>0</v>
      </c>
      <c r="CC1545" s="39">
        <f t="shared" si="902"/>
        <v>0</v>
      </c>
      <c r="CD1545" s="39">
        <f t="shared" si="998"/>
        <v>-725</v>
      </c>
      <c r="CE1545" s="102">
        <f t="shared" si="903"/>
        <v>-1</v>
      </c>
      <c r="CF1545" s="36"/>
      <c r="CG1545" s="39" t="s">
        <v>240</v>
      </c>
      <c r="CH1545" s="39"/>
      <c r="CI1545" s="25">
        <v>2</v>
      </c>
    </row>
    <row r="1546" spans="1:87" ht="24.75" customHeight="1">
      <c r="A1546" s="36" t="s">
        <v>46</v>
      </c>
      <c r="B1546" s="30">
        <v>47810</v>
      </c>
      <c r="C1546" s="231"/>
      <c r="D1546" s="23" t="s">
        <v>24</v>
      </c>
      <c r="E1546" s="39">
        <v>160</v>
      </c>
      <c r="F1546" s="39" t="s">
        <v>65</v>
      </c>
      <c r="G1546" s="36" t="s">
        <v>1918</v>
      </c>
      <c r="H1546" s="36" t="s">
        <v>212</v>
      </c>
      <c r="I1546" s="39">
        <v>10</v>
      </c>
      <c r="J1546" s="39"/>
      <c r="K1546" s="39"/>
      <c r="L1546" s="39">
        <f t="shared" si="1006"/>
        <v>10</v>
      </c>
      <c r="M1546" s="117">
        <v>46266</v>
      </c>
      <c r="N1546" s="117">
        <v>46277</v>
      </c>
      <c r="O1546" s="39"/>
      <c r="P1546" s="39"/>
      <c r="Q1546" s="39"/>
      <c r="R1546" s="39">
        <f t="shared" si="1007"/>
        <v>0</v>
      </c>
      <c r="S1546" s="39" t="s">
        <v>130</v>
      </c>
      <c r="T1546" s="39"/>
      <c r="U1546" s="39"/>
      <c r="V1546" s="39"/>
      <c r="W1546" s="39"/>
      <c r="X1546" s="39"/>
      <c r="Y1546" s="39"/>
      <c r="Z1546" s="39"/>
      <c r="AA1546" s="39"/>
      <c r="AB1546" s="118">
        <f t="shared" si="1008"/>
        <v>0</v>
      </c>
      <c r="AC1546" s="39"/>
      <c r="AD1546" s="39"/>
      <c r="AE1546" s="39"/>
      <c r="AF1546" s="39"/>
      <c r="AG1546" s="39"/>
      <c r="AH1546" s="39">
        <f t="shared" si="995"/>
        <v>0</v>
      </c>
      <c r="AI1546" s="39"/>
      <c r="AJ1546" s="39"/>
      <c r="AK1546" s="39"/>
      <c r="AL1546" s="39"/>
      <c r="AM1546" s="39"/>
      <c r="AN1546" s="39">
        <f t="shared" si="991"/>
        <v>0</v>
      </c>
      <c r="AO1546" s="39"/>
      <c r="AP1546" s="39"/>
      <c r="AQ1546" s="39"/>
      <c r="AR1546" s="39"/>
      <c r="AS1546" s="39"/>
      <c r="AT1546" s="39">
        <f t="shared" si="896"/>
        <v>0</v>
      </c>
      <c r="AU1546" s="39"/>
      <c r="AV1546" s="39"/>
      <c r="AW1546" s="39"/>
      <c r="AX1546" s="39"/>
      <c r="AY1546" s="39"/>
      <c r="AZ1546" s="39">
        <f t="shared" si="897"/>
        <v>0</v>
      </c>
      <c r="BA1546" s="39"/>
      <c r="BB1546" s="39"/>
      <c r="BC1546" s="39"/>
      <c r="BD1546" s="39"/>
      <c r="BE1546" s="39"/>
      <c r="BF1546" s="39">
        <f t="shared" si="898"/>
        <v>0</v>
      </c>
      <c r="BG1546" s="39"/>
      <c r="BH1546" s="39"/>
      <c r="BI1546" s="39"/>
      <c r="BJ1546" s="39"/>
      <c r="BK1546" s="39"/>
      <c r="BL1546" s="39">
        <f t="shared" si="996"/>
        <v>0</v>
      </c>
      <c r="BM1546" s="54">
        <f t="shared" ca="1" si="899"/>
        <v>46283</v>
      </c>
      <c r="BN1546" s="59">
        <v>46279</v>
      </c>
      <c r="BO1546" s="57">
        <v>46287</v>
      </c>
      <c r="BP1546" s="36"/>
      <c r="BQ1546" s="36"/>
      <c r="BR1546" s="39"/>
      <c r="BS1546" s="39"/>
      <c r="BT1546" s="39"/>
      <c r="BU1546" s="39"/>
      <c r="BV1546" s="39"/>
      <c r="BW1546" s="39"/>
      <c r="BX1546" s="39"/>
      <c r="BY1546" s="39"/>
      <c r="BZ1546" s="39">
        <f t="shared" si="997"/>
        <v>0</v>
      </c>
      <c r="CA1546" s="39">
        <f t="shared" si="900"/>
        <v>-10</v>
      </c>
      <c r="CB1546" s="39">
        <f t="shared" si="901"/>
        <v>0</v>
      </c>
      <c r="CC1546" s="39">
        <f t="shared" si="902"/>
        <v>0</v>
      </c>
      <c r="CD1546" s="39">
        <f t="shared" si="998"/>
        <v>-10</v>
      </c>
      <c r="CE1546" s="102">
        <f t="shared" si="903"/>
        <v>-1</v>
      </c>
      <c r="CF1546" s="36"/>
      <c r="CG1546" s="39" t="s">
        <v>240</v>
      </c>
      <c r="CH1546" s="39"/>
      <c r="CI1546" s="25">
        <v>2</v>
      </c>
    </row>
    <row r="1547" spans="1:87" ht="24.75" customHeight="1">
      <c r="A1547" s="36" t="s">
        <v>46</v>
      </c>
      <c r="B1547" s="30">
        <v>47810</v>
      </c>
      <c r="C1547" s="228"/>
      <c r="D1547" s="23"/>
      <c r="E1547" s="39"/>
      <c r="F1547" s="39"/>
      <c r="G1547" s="36" t="s">
        <v>1724</v>
      </c>
      <c r="H1547" s="36">
        <v>2375</v>
      </c>
      <c r="I1547" s="39" t="s">
        <v>199</v>
      </c>
      <c r="J1547" s="39"/>
      <c r="K1547" s="39"/>
      <c r="L1547" s="39">
        <f t="shared" si="1006"/>
        <v>0</v>
      </c>
      <c r="M1547" s="117">
        <v>46266</v>
      </c>
      <c r="N1547" s="117">
        <v>46277</v>
      </c>
      <c r="O1547" s="39"/>
      <c r="P1547" s="39"/>
      <c r="Q1547" s="39"/>
      <c r="R1547" s="39">
        <f t="shared" si="1007"/>
        <v>0</v>
      </c>
      <c r="S1547" s="39" t="s">
        <v>130</v>
      </c>
      <c r="T1547" s="39"/>
      <c r="U1547" s="39"/>
      <c r="V1547" s="39"/>
      <c r="W1547" s="39"/>
      <c r="X1547" s="39"/>
      <c r="Y1547" s="39"/>
      <c r="Z1547" s="39"/>
      <c r="AA1547" s="39"/>
      <c r="AB1547" s="39">
        <f t="shared" si="1008"/>
        <v>0</v>
      </c>
      <c r="AC1547" s="39"/>
      <c r="AD1547" s="39"/>
      <c r="AE1547" s="39"/>
      <c r="AF1547" s="39"/>
      <c r="AG1547" s="39"/>
      <c r="AH1547" s="39">
        <f t="shared" si="995"/>
        <v>0</v>
      </c>
      <c r="AI1547" s="39"/>
      <c r="AJ1547" s="39"/>
      <c r="AK1547" s="39"/>
      <c r="AL1547" s="39"/>
      <c r="AM1547" s="39"/>
      <c r="AN1547" s="39">
        <f t="shared" si="991"/>
        <v>0</v>
      </c>
      <c r="AO1547" s="39"/>
      <c r="AP1547" s="39"/>
      <c r="AQ1547" s="39"/>
      <c r="AR1547" s="39"/>
      <c r="AS1547" s="39"/>
      <c r="AT1547" s="39">
        <f t="shared" si="896"/>
        <v>0</v>
      </c>
      <c r="AU1547" s="39"/>
      <c r="AV1547" s="39"/>
      <c r="AW1547" s="39"/>
      <c r="AX1547" s="39"/>
      <c r="AY1547" s="39"/>
      <c r="AZ1547" s="39">
        <f t="shared" si="897"/>
        <v>0</v>
      </c>
      <c r="BA1547" s="39"/>
      <c r="BB1547" s="39"/>
      <c r="BC1547" s="39"/>
      <c r="BD1547" s="39"/>
      <c r="BE1547" s="39"/>
      <c r="BF1547" s="39">
        <f t="shared" si="898"/>
        <v>0</v>
      </c>
      <c r="BG1547" s="39"/>
      <c r="BH1547" s="39"/>
      <c r="BI1547" s="39"/>
      <c r="BJ1547" s="39"/>
      <c r="BK1547" s="39"/>
      <c r="BL1547" s="39">
        <f t="shared" si="996"/>
        <v>0</v>
      </c>
      <c r="BM1547" s="54" t="e">
        <f t="shared" si="899"/>
        <v>#DIV/0!</v>
      </c>
      <c r="BN1547" s="59">
        <v>46279</v>
      </c>
      <c r="BO1547" s="57">
        <v>46287</v>
      </c>
      <c r="BP1547" s="36"/>
      <c r="BQ1547" s="36"/>
      <c r="BR1547" s="39"/>
      <c r="BS1547" s="39"/>
      <c r="BT1547" s="39"/>
      <c r="BU1547" s="39"/>
      <c r="BV1547" s="39"/>
      <c r="BW1547" s="39"/>
      <c r="BX1547" s="39"/>
      <c r="BY1547" s="39"/>
      <c r="BZ1547" s="39">
        <f t="shared" si="997"/>
        <v>0</v>
      </c>
      <c r="CA1547" s="39" t="e">
        <f t="shared" si="900"/>
        <v>#VALUE!</v>
      </c>
      <c r="CB1547" s="39">
        <f t="shared" si="901"/>
        <v>0</v>
      </c>
      <c r="CC1547" s="39">
        <f t="shared" si="902"/>
        <v>0</v>
      </c>
      <c r="CD1547" s="39">
        <f t="shared" si="998"/>
        <v>0</v>
      </c>
      <c r="CE1547" s="102" t="e">
        <f t="shared" si="903"/>
        <v>#DIV/0!</v>
      </c>
      <c r="CF1547" s="36"/>
      <c r="CG1547" s="39" t="s">
        <v>240</v>
      </c>
      <c r="CH1547" s="39"/>
      <c r="CI1547" s="25">
        <v>2</v>
      </c>
    </row>
    <row r="1548" spans="1:87" ht="24.75" customHeight="1">
      <c r="A1548" s="36" t="s">
        <v>46</v>
      </c>
      <c r="B1548" s="30">
        <v>47826</v>
      </c>
      <c r="C1548" s="36" t="s">
        <v>2090</v>
      </c>
      <c r="D1548" s="23"/>
      <c r="E1548" s="39">
        <v>180</v>
      </c>
      <c r="F1548" s="39" t="s">
        <v>68</v>
      </c>
      <c r="G1548" s="36" t="s">
        <v>2089</v>
      </c>
      <c r="H1548" s="36" t="s">
        <v>300</v>
      </c>
      <c r="I1548" s="39">
        <v>1397</v>
      </c>
      <c r="J1548" s="39"/>
      <c r="K1548" s="39"/>
      <c r="L1548" s="39">
        <f t="shared" si="1006"/>
        <v>1397</v>
      </c>
      <c r="M1548" s="117">
        <v>46266</v>
      </c>
      <c r="N1548" s="117">
        <v>46279</v>
      </c>
      <c r="O1548" s="39"/>
      <c r="P1548" s="39"/>
      <c r="Q1548" s="39"/>
      <c r="R1548" s="39">
        <f t="shared" si="1007"/>
        <v>0</v>
      </c>
      <c r="S1548" s="39" t="s">
        <v>130</v>
      </c>
      <c r="T1548" s="39"/>
      <c r="U1548" s="39"/>
      <c r="V1548" s="39"/>
      <c r="W1548" s="39"/>
      <c r="X1548" s="39"/>
      <c r="Y1548" s="39"/>
      <c r="Z1548" s="39"/>
      <c r="AA1548" s="39"/>
      <c r="AB1548" s="118">
        <f t="shared" si="1008"/>
        <v>0</v>
      </c>
      <c r="AC1548" s="39"/>
      <c r="AD1548" s="39"/>
      <c r="AE1548" s="39"/>
      <c r="AF1548" s="39"/>
      <c r="AG1548" s="39"/>
      <c r="AH1548" s="39">
        <f t="shared" si="995"/>
        <v>0</v>
      </c>
      <c r="AI1548" s="39"/>
      <c r="AJ1548" s="39"/>
      <c r="AK1548" s="39"/>
      <c r="AL1548" s="39"/>
      <c r="AM1548" s="39"/>
      <c r="AN1548" s="39">
        <f t="shared" si="991"/>
        <v>0</v>
      </c>
      <c r="AO1548" s="39"/>
      <c r="AP1548" s="39"/>
      <c r="AQ1548" s="39"/>
      <c r="AR1548" s="39"/>
      <c r="AS1548" s="39"/>
      <c r="AT1548" s="39">
        <f t="shared" si="896"/>
        <v>0</v>
      </c>
      <c r="AU1548" s="39"/>
      <c r="AV1548" s="39"/>
      <c r="AW1548" s="39"/>
      <c r="AX1548" s="39"/>
      <c r="AY1548" s="39"/>
      <c r="AZ1548" s="39">
        <f t="shared" si="897"/>
        <v>0</v>
      </c>
      <c r="BA1548" s="39"/>
      <c r="BB1548" s="39"/>
      <c r="BC1548" s="39"/>
      <c r="BD1548" s="39"/>
      <c r="BE1548" s="39"/>
      <c r="BF1548" s="39">
        <f t="shared" si="898"/>
        <v>0</v>
      </c>
      <c r="BG1548" s="39"/>
      <c r="BH1548" s="39"/>
      <c r="BI1548" s="39"/>
      <c r="BJ1548" s="39"/>
      <c r="BK1548" s="39"/>
      <c r="BL1548" s="39">
        <f t="shared" si="996"/>
        <v>0</v>
      </c>
      <c r="BM1548" s="54">
        <f t="shared" ca="1" si="899"/>
        <v>46283</v>
      </c>
      <c r="BN1548" s="59">
        <v>46280</v>
      </c>
      <c r="BO1548" s="57">
        <v>46295</v>
      </c>
      <c r="BP1548" s="36"/>
      <c r="BQ1548" s="36"/>
      <c r="BR1548" s="39"/>
      <c r="BS1548" s="39"/>
      <c r="BT1548" s="39"/>
      <c r="BU1548" s="39"/>
      <c r="BV1548" s="39"/>
      <c r="BW1548" s="39"/>
      <c r="BX1548" s="39"/>
      <c r="BY1548" s="39"/>
      <c r="BZ1548" s="39">
        <f t="shared" si="997"/>
        <v>0</v>
      </c>
      <c r="CA1548" s="39">
        <f t="shared" si="900"/>
        <v>-1397</v>
      </c>
      <c r="CB1548" s="39">
        <f t="shared" si="901"/>
        <v>0</v>
      </c>
      <c r="CC1548" s="39">
        <f t="shared" si="902"/>
        <v>0</v>
      </c>
      <c r="CD1548" s="39">
        <f t="shared" si="998"/>
        <v>-1397</v>
      </c>
      <c r="CE1548" s="102">
        <f t="shared" si="903"/>
        <v>-1</v>
      </c>
      <c r="CF1548" s="36"/>
      <c r="CG1548" s="39" t="s">
        <v>242</v>
      </c>
      <c r="CH1548" s="39"/>
      <c r="CI1548" s="25">
        <v>2</v>
      </c>
    </row>
    <row r="1549" spans="1:87" ht="24.75" customHeight="1">
      <c r="A1549" s="36" t="s">
        <v>46</v>
      </c>
      <c r="B1549" s="30">
        <v>47506</v>
      </c>
      <c r="C1549" s="227" t="s">
        <v>2759</v>
      </c>
      <c r="D1549" s="23"/>
      <c r="E1549" s="39">
        <v>180</v>
      </c>
      <c r="F1549" s="39" t="s">
        <v>55</v>
      </c>
      <c r="G1549" s="36" t="s">
        <v>23</v>
      </c>
      <c r="H1549" s="36" t="s">
        <v>87</v>
      </c>
      <c r="I1549" s="39">
        <f>1071+61</f>
        <v>1132</v>
      </c>
      <c r="J1549" s="39"/>
      <c r="K1549" s="39"/>
      <c r="L1549" s="39">
        <f t="shared" si="1006"/>
        <v>1132</v>
      </c>
      <c r="M1549" s="117">
        <v>46266</v>
      </c>
      <c r="N1549" s="117">
        <v>46277</v>
      </c>
      <c r="O1549" s="39"/>
      <c r="P1549" s="39"/>
      <c r="Q1549" s="39"/>
      <c r="R1549" s="39">
        <f t="shared" si="1007"/>
        <v>0</v>
      </c>
      <c r="S1549" s="39" t="s">
        <v>28</v>
      </c>
      <c r="T1549" s="39"/>
      <c r="U1549" s="39"/>
      <c r="V1549" s="117" t="s">
        <v>2870</v>
      </c>
      <c r="W1549" s="39">
        <f>1193+72</f>
        <v>1265</v>
      </c>
      <c r="X1549" s="117" t="s">
        <v>2983</v>
      </c>
      <c r="Y1549" s="39">
        <f>562+556</f>
        <v>1118</v>
      </c>
      <c r="Z1549" s="39"/>
      <c r="AA1549" s="39"/>
      <c r="AB1549" s="120">
        <f t="shared" si="1008"/>
        <v>1118</v>
      </c>
      <c r="AC1549" s="39"/>
      <c r="AD1549" s="39"/>
      <c r="AE1549" s="39"/>
      <c r="AF1549" s="39"/>
      <c r="AG1549" s="39"/>
      <c r="AH1549" s="39">
        <f t="shared" si="995"/>
        <v>0</v>
      </c>
      <c r="AI1549" s="39"/>
      <c r="AJ1549" s="39"/>
      <c r="AK1549" s="39"/>
      <c r="AL1549" s="39"/>
      <c r="AM1549" s="39"/>
      <c r="AN1549" s="39">
        <f t="shared" si="991"/>
        <v>0</v>
      </c>
      <c r="AO1549" s="39"/>
      <c r="AP1549" s="39"/>
      <c r="AQ1549" s="39"/>
      <c r="AR1549" s="39"/>
      <c r="AS1549" s="39"/>
      <c r="AT1549" s="39">
        <f t="shared" si="896"/>
        <v>0</v>
      </c>
      <c r="AU1549" s="39"/>
      <c r="AV1549" s="39"/>
      <c r="AW1549" s="39"/>
      <c r="AX1549" s="39"/>
      <c r="AY1549" s="39"/>
      <c r="AZ1549" s="39">
        <f t="shared" si="897"/>
        <v>0</v>
      </c>
      <c r="BA1549" s="39"/>
      <c r="BB1549" s="39"/>
      <c r="BC1549" s="39"/>
      <c r="BD1549" s="39"/>
      <c r="BE1549" s="39"/>
      <c r="BF1549" s="39">
        <f t="shared" si="898"/>
        <v>0</v>
      </c>
      <c r="BG1549" s="39"/>
      <c r="BH1549" s="39"/>
      <c r="BI1549" s="39"/>
      <c r="BJ1549" s="39"/>
      <c r="BK1549" s="39"/>
      <c r="BL1549" s="39">
        <f t="shared" si="996"/>
        <v>0</v>
      </c>
      <c r="BM1549" s="54" t="str">
        <f t="shared" si="899"/>
        <v/>
      </c>
      <c r="BN1549" s="59">
        <v>46279</v>
      </c>
      <c r="BO1549" s="57">
        <v>46293</v>
      </c>
      <c r="BP1549" s="36"/>
      <c r="BQ1549" s="36"/>
      <c r="BR1549" s="117">
        <v>46272</v>
      </c>
      <c r="BS1549" s="117">
        <v>46279</v>
      </c>
      <c r="BT1549" s="39" t="s">
        <v>3010</v>
      </c>
      <c r="BU1549" s="39">
        <f>562+556</f>
        <v>1118</v>
      </c>
      <c r="BV1549" s="39"/>
      <c r="BW1549" s="39"/>
      <c r="BX1549" s="39"/>
      <c r="BY1549" s="39"/>
      <c r="BZ1549" s="39">
        <f t="shared" si="997"/>
        <v>1118</v>
      </c>
      <c r="CA1549" s="39">
        <f t="shared" si="900"/>
        <v>-14</v>
      </c>
      <c r="CB1549" s="39">
        <f t="shared" si="901"/>
        <v>0</v>
      </c>
      <c r="CC1549" s="39">
        <f t="shared" si="902"/>
        <v>0</v>
      </c>
      <c r="CD1549" s="39">
        <v>0</v>
      </c>
      <c r="CE1549" s="102">
        <f t="shared" si="903"/>
        <v>0</v>
      </c>
      <c r="CF1549" s="36"/>
      <c r="CG1549" s="39" t="s">
        <v>244</v>
      </c>
      <c r="CH1549" s="39"/>
      <c r="CI1549" s="25">
        <v>2</v>
      </c>
    </row>
    <row r="1550" spans="1:87" ht="24.75" customHeight="1">
      <c r="A1550" s="36" t="s">
        <v>46</v>
      </c>
      <c r="B1550" s="30">
        <v>47506</v>
      </c>
      <c r="C1550" s="231"/>
      <c r="D1550" s="23"/>
      <c r="E1550" s="39">
        <v>180</v>
      </c>
      <c r="F1550" s="39" t="s">
        <v>55</v>
      </c>
      <c r="G1550" s="36" t="s">
        <v>35</v>
      </c>
      <c r="H1550" s="36" t="s">
        <v>87</v>
      </c>
      <c r="I1550" s="39">
        <f>1041+91</f>
        <v>1132</v>
      </c>
      <c r="J1550" s="39"/>
      <c r="K1550" s="39"/>
      <c r="L1550" s="39">
        <f t="shared" si="1006"/>
        <v>1132</v>
      </c>
      <c r="M1550" s="117">
        <v>46266</v>
      </c>
      <c r="N1550" s="117">
        <v>46277</v>
      </c>
      <c r="O1550" s="39"/>
      <c r="P1550" s="39"/>
      <c r="Q1550" s="39"/>
      <c r="R1550" s="39">
        <f t="shared" si="1007"/>
        <v>0</v>
      </c>
      <c r="S1550" s="39" t="s">
        <v>28</v>
      </c>
      <c r="T1550" s="39"/>
      <c r="U1550" s="39"/>
      <c r="V1550" s="117" t="s">
        <v>2869</v>
      </c>
      <c r="W1550" s="39">
        <f>1160+146</f>
        <v>1306</v>
      </c>
      <c r="X1550" s="39"/>
      <c r="Y1550" s="39"/>
      <c r="Z1550" s="39"/>
      <c r="AA1550" s="39"/>
      <c r="AB1550" s="118">
        <f t="shared" si="1008"/>
        <v>0</v>
      </c>
      <c r="AC1550" s="39"/>
      <c r="AD1550" s="39"/>
      <c r="AE1550" s="39"/>
      <c r="AF1550" s="39"/>
      <c r="AG1550" s="39"/>
      <c r="AH1550" s="39">
        <f t="shared" si="995"/>
        <v>0</v>
      </c>
      <c r="AI1550" s="39"/>
      <c r="AJ1550" s="39"/>
      <c r="AK1550" s="39"/>
      <c r="AL1550" s="39"/>
      <c r="AM1550" s="39"/>
      <c r="AN1550" s="39">
        <f t="shared" si="991"/>
        <v>0</v>
      </c>
      <c r="AO1550" s="39"/>
      <c r="AP1550" s="39"/>
      <c r="AQ1550" s="39"/>
      <c r="AR1550" s="39"/>
      <c r="AS1550" s="39"/>
      <c r="AT1550" s="39">
        <f t="shared" si="896"/>
        <v>0</v>
      </c>
      <c r="AU1550" s="39"/>
      <c r="AV1550" s="39"/>
      <c r="AW1550" s="39"/>
      <c r="AX1550" s="39"/>
      <c r="AY1550" s="39"/>
      <c r="AZ1550" s="39">
        <f t="shared" si="897"/>
        <v>0</v>
      </c>
      <c r="BA1550" s="39"/>
      <c r="BB1550" s="39"/>
      <c r="BC1550" s="39"/>
      <c r="BD1550" s="39"/>
      <c r="BE1550" s="39"/>
      <c r="BF1550" s="39">
        <f t="shared" si="898"/>
        <v>0</v>
      </c>
      <c r="BG1550" s="39"/>
      <c r="BH1550" s="39"/>
      <c r="BI1550" s="39"/>
      <c r="BJ1550" s="39"/>
      <c r="BK1550" s="39"/>
      <c r="BL1550" s="39">
        <f t="shared" si="996"/>
        <v>0</v>
      </c>
      <c r="BM1550" s="54">
        <f t="shared" ca="1" si="899"/>
        <v>46283</v>
      </c>
      <c r="BN1550" s="59">
        <v>46279</v>
      </c>
      <c r="BO1550" s="57">
        <v>46293</v>
      </c>
      <c r="BP1550" s="36"/>
      <c r="BQ1550" s="36"/>
      <c r="BR1550" s="39"/>
      <c r="BS1550" s="39"/>
      <c r="BT1550" s="39"/>
      <c r="BU1550" s="39"/>
      <c r="BV1550" s="39"/>
      <c r="BW1550" s="39"/>
      <c r="BX1550" s="39"/>
      <c r="BY1550" s="39"/>
      <c r="BZ1550" s="39">
        <f t="shared" si="997"/>
        <v>0</v>
      </c>
      <c r="CA1550" s="39">
        <f t="shared" si="900"/>
        <v>-1132</v>
      </c>
      <c r="CB1550" s="39">
        <f t="shared" si="901"/>
        <v>0</v>
      </c>
      <c r="CC1550" s="39">
        <f t="shared" si="902"/>
        <v>0</v>
      </c>
      <c r="CD1550" s="39">
        <f t="shared" si="998"/>
        <v>-1132</v>
      </c>
      <c r="CE1550" s="102">
        <f t="shared" si="903"/>
        <v>-1</v>
      </c>
      <c r="CF1550" s="36"/>
      <c r="CG1550" s="39" t="s">
        <v>244</v>
      </c>
      <c r="CH1550" s="39"/>
      <c r="CI1550" s="25">
        <v>2</v>
      </c>
    </row>
    <row r="1551" spans="1:87" ht="24.75" customHeight="1">
      <c r="A1551" s="36" t="s">
        <v>46</v>
      </c>
      <c r="B1551" s="30">
        <v>47506</v>
      </c>
      <c r="C1551" s="231"/>
      <c r="D1551" s="23"/>
      <c r="E1551" s="39">
        <v>180</v>
      </c>
      <c r="F1551" s="39" t="s">
        <v>55</v>
      </c>
      <c r="G1551" s="36" t="s">
        <v>187</v>
      </c>
      <c r="H1551" s="36" t="s">
        <v>87</v>
      </c>
      <c r="I1551" s="39">
        <f>522+31</f>
        <v>553</v>
      </c>
      <c r="J1551" s="39"/>
      <c r="K1551" s="39"/>
      <c r="L1551" s="39">
        <f t="shared" ref="L1551" si="1009">SUM(I1551:K1551)</f>
        <v>553</v>
      </c>
      <c r="M1551" s="117">
        <v>46266</v>
      </c>
      <c r="N1551" s="117">
        <v>46277</v>
      </c>
      <c r="O1551" s="39"/>
      <c r="P1551" s="39"/>
      <c r="Q1551" s="39"/>
      <c r="R1551" s="39">
        <f t="shared" si="1007"/>
        <v>0</v>
      </c>
      <c r="S1551" s="39" t="s">
        <v>130</v>
      </c>
      <c r="T1551" s="39"/>
      <c r="U1551" s="39"/>
      <c r="V1551" s="39"/>
      <c r="W1551" s="39"/>
      <c r="X1551" s="39"/>
      <c r="Y1551" s="39"/>
      <c r="Z1551" s="39"/>
      <c r="AA1551" s="39"/>
      <c r="AB1551" s="118">
        <f t="shared" si="1008"/>
        <v>0</v>
      </c>
      <c r="AC1551" s="39"/>
      <c r="AD1551" s="39"/>
      <c r="AE1551" s="39"/>
      <c r="AF1551" s="39"/>
      <c r="AG1551" s="39"/>
      <c r="AH1551" s="39">
        <f t="shared" si="995"/>
        <v>0</v>
      </c>
      <c r="AI1551" s="39"/>
      <c r="AJ1551" s="39"/>
      <c r="AK1551" s="39"/>
      <c r="AL1551" s="39"/>
      <c r="AM1551" s="39"/>
      <c r="AN1551" s="39">
        <f t="shared" si="991"/>
        <v>0</v>
      </c>
      <c r="AO1551" s="39"/>
      <c r="AP1551" s="39"/>
      <c r="AQ1551" s="39"/>
      <c r="AR1551" s="39"/>
      <c r="AS1551" s="39"/>
      <c r="AT1551" s="39">
        <f t="shared" si="896"/>
        <v>0</v>
      </c>
      <c r="AU1551" s="39"/>
      <c r="AV1551" s="39"/>
      <c r="AW1551" s="39"/>
      <c r="AX1551" s="39"/>
      <c r="AY1551" s="39"/>
      <c r="AZ1551" s="39">
        <f t="shared" si="897"/>
        <v>0</v>
      </c>
      <c r="BA1551" s="39"/>
      <c r="BB1551" s="39"/>
      <c r="BC1551" s="39"/>
      <c r="BD1551" s="39"/>
      <c r="BE1551" s="39"/>
      <c r="BF1551" s="39">
        <f t="shared" si="898"/>
        <v>0</v>
      </c>
      <c r="BG1551" s="39"/>
      <c r="BH1551" s="39"/>
      <c r="BI1551" s="39"/>
      <c r="BJ1551" s="39"/>
      <c r="BK1551" s="39"/>
      <c r="BL1551" s="39">
        <f t="shared" si="996"/>
        <v>0</v>
      </c>
      <c r="BM1551" s="54">
        <f t="shared" ca="1" si="899"/>
        <v>46283</v>
      </c>
      <c r="BN1551" s="59">
        <v>46279</v>
      </c>
      <c r="BO1551" s="57">
        <v>46293</v>
      </c>
      <c r="BP1551" s="36"/>
      <c r="BQ1551" s="36"/>
      <c r="BR1551" s="39"/>
      <c r="BS1551" s="39"/>
      <c r="BT1551" s="39"/>
      <c r="BU1551" s="39"/>
      <c r="BV1551" s="39"/>
      <c r="BW1551" s="39"/>
      <c r="BX1551" s="39"/>
      <c r="BY1551" s="39"/>
      <c r="BZ1551" s="39">
        <f t="shared" si="997"/>
        <v>0</v>
      </c>
      <c r="CA1551" s="39">
        <f t="shared" si="900"/>
        <v>-553</v>
      </c>
      <c r="CB1551" s="39">
        <f t="shared" si="901"/>
        <v>0</v>
      </c>
      <c r="CC1551" s="39">
        <f t="shared" si="902"/>
        <v>0</v>
      </c>
      <c r="CD1551" s="39">
        <f t="shared" si="998"/>
        <v>-553</v>
      </c>
      <c r="CE1551" s="102">
        <f t="shared" si="903"/>
        <v>-1</v>
      </c>
      <c r="CF1551" s="36"/>
      <c r="CG1551" s="39" t="s">
        <v>244</v>
      </c>
      <c r="CH1551" s="39"/>
      <c r="CI1551" s="25">
        <v>2</v>
      </c>
    </row>
    <row r="1552" spans="1:87" ht="24.75" customHeight="1">
      <c r="A1552" s="36" t="s">
        <v>46</v>
      </c>
      <c r="B1552" s="30">
        <v>47506</v>
      </c>
      <c r="C1552" s="231"/>
      <c r="D1552" s="23"/>
      <c r="E1552" s="39">
        <v>180</v>
      </c>
      <c r="F1552" s="39" t="s">
        <v>55</v>
      </c>
      <c r="G1552" s="36" t="s">
        <v>602</v>
      </c>
      <c r="H1552" s="36" t="s">
        <v>87</v>
      </c>
      <c r="I1552" s="39">
        <f>675+30</f>
        <v>705</v>
      </c>
      <c r="J1552" s="39"/>
      <c r="K1552" s="39"/>
      <c r="L1552" s="39">
        <f t="shared" ref="L1552:L1559" si="1010">SUM(I1552:K1552)</f>
        <v>705</v>
      </c>
      <c r="M1552" s="117">
        <v>46266</v>
      </c>
      <c r="N1552" s="117">
        <v>46277</v>
      </c>
      <c r="O1552" s="39"/>
      <c r="P1552" s="39"/>
      <c r="Q1552" s="39"/>
      <c r="R1552" s="39">
        <f t="shared" si="1007"/>
        <v>0</v>
      </c>
      <c r="S1552" s="39" t="s">
        <v>31</v>
      </c>
      <c r="T1552" s="39"/>
      <c r="U1552" s="39"/>
      <c r="V1552" s="117">
        <v>46270</v>
      </c>
      <c r="W1552" s="39">
        <v>810</v>
      </c>
      <c r="X1552" s="39"/>
      <c r="Y1552" s="39"/>
      <c r="Z1552" s="39"/>
      <c r="AA1552" s="39"/>
      <c r="AB1552" s="118">
        <f t="shared" si="1008"/>
        <v>0</v>
      </c>
      <c r="AC1552" s="39"/>
      <c r="AD1552" s="39"/>
      <c r="AE1552" s="39"/>
      <c r="AF1552" s="39"/>
      <c r="AG1552" s="39"/>
      <c r="AH1552" s="39">
        <f t="shared" si="995"/>
        <v>0</v>
      </c>
      <c r="AI1552" s="39"/>
      <c r="AJ1552" s="39"/>
      <c r="AK1552" s="39"/>
      <c r="AL1552" s="39"/>
      <c r="AM1552" s="39"/>
      <c r="AN1552" s="39">
        <f t="shared" si="991"/>
        <v>0</v>
      </c>
      <c r="AO1552" s="39"/>
      <c r="AP1552" s="39"/>
      <c r="AQ1552" s="39"/>
      <c r="AR1552" s="39"/>
      <c r="AS1552" s="39"/>
      <c r="AT1552" s="39">
        <f t="shared" si="896"/>
        <v>0</v>
      </c>
      <c r="AU1552" s="39"/>
      <c r="AV1552" s="39"/>
      <c r="AW1552" s="39"/>
      <c r="AX1552" s="39"/>
      <c r="AY1552" s="39"/>
      <c r="AZ1552" s="39">
        <f t="shared" si="897"/>
        <v>0</v>
      </c>
      <c r="BA1552" s="39"/>
      <c r="BB1552" s="39"/>
      <c r="BC1552" s="39"/>
      <c r="BD1552" s="39"/>
      <c r="BE1552" s="39"/>
      <c r="BF1552" s="39">
        <f t="shared" si="898"/>
        <v>0</v>
      </c>
      <c r="BG1552" s="39"/>
      <c r="BH1552" s="39"/>
      <c r="BI1552" s="39"/>
      <c r="BJ1552" s="39"/>
      <c r="BK1552" s="39"/>
      <c r="BL1552" s="39">
        <f t="shared" si="996"/>
        <v>0</v>
      </c>
      <c r="BM1552" s="54">
        <f t="shared" ca="1" si="899"/>
        <v>46283</v>
      </c>
      <c r="BN1552" s="59">
        <v>46279</v>
      </c>
      <c r="BO1552" s="57">
        <v>46293</v>
      </c>
      <c r="BP1552" s="36"/>
      <c r="BQ1552" s="36"/>
      <c r="BR1552" s="39"/>
      <c r="BS1552" s="39"/>
      <c r="BT1552" s="39"/>
      <c r="BU1552" s="39"/>
      <c r="BV1552" s="39"/>
      <c r="BW1552" s="39"/>
      <c r="BX1552" s="39"/>
      <c r="BY1552" s="39"/>
      <c r="BZ1552" s="39">
        <f t="shared" si="997"/>
        <v>0</v>
      </c>
      <c r="CA1552" s="39">
        <f t="shared" si="900"/>
        <v>-705</v>
      </c>
      <c r="CB1552" s="39">
        <f t="shared" si="901"/>
        <v>0</v>
      </c>
      <c r="CC1552" s="39">
        <f t="shared" si="902"/>
        <v>0</v>
      </c>
      <c r="CD1552" s="39">
        <f t="shared" si="998"/>
        <v>-705</v>
      </c>
      <c r="CE1552" s="102">
        <f t="shared" si="903"/>
        <v>-1</v>
      </c>
      <c r="CF1552" s="36"/>
      <c r="CG1552" s="39" t="s">
        <v>244</v>
      </c>
      <c r="CH1552" s="39"/>
      <c r="CI1552" s="25">
        <v>2</v>
      </c>
    </row>
    <row r="1553" spans="1:87" ht="24.75" customHeight="1">
      <c r="A1553" s="36" t="s">
        <v>46</v>
      </c>
      <c r="B1553" s="30">
        <v>47506</v>
      </c>
      <c r="C1553" s="228"/>
      <c r="D1553" s="23"/>
      <c r="E1553" s="39"/>
      <c r="F1553" s="39"/>
      <c r="G1553" s="36" t="s">
        <v>1919</v>
      </c>
      <c r="H1553" s="36"/>
      <c r="I1553" s="39"/>
      <c r="J1553" s="39"/>
      <c r="K1553" s="39"/>
      <c r="L1553" s="39">
        <f t="shared" si="1010"/>
        <v>0</v>
      </c>
      <c r="M1553" s="117">
        <v>46266</v>
      </c>
      <c r="N1553" s="117">
        <v>46277</v>
      </c>
      <c r="O1553" s="39"/>
      <c r="P1553" s="39"/>
      <c r="Q1553" s="39"/>
      <c r="R1553" s="39">
        <f t="shared" si="1007"/>
        <v>0</v>
      </c>
      <c r="S1553" s="39" t="s">
        <v>130</v>
      </c>
      <c r="T1553" s="39"/>
      <c r="U1553" s="39"/>
      <c r="V1553" s="39"/>
      <c r="W1553" s="39"/>
      <c r="X1553" s="39"/>
      <c r="Y1553" s="39"/>
      <c r="Z1553" s="39"/>
      <c r="AA1553" s="39"/>
      <c r="AB1553" s="39">
        <f t="shared" si="1008"/>
        <v>0</v>
      </c>
      <c r="AC1553" s="39"/>
      <c r="AD1553" s="39"/>
      <c r="AE1553" s="39"/>
      <c r="AF1553" s="39"/>
      <c r="AG1553" s="39"/>
      <c r="AH1553" s="39">
        <f t="shared" si="995"/>
        <v>0</v>
      </c>
      <c r="AI1553" s="39"/>
      <c r="AJ1553" s="39"/>
      <c r="AK1553" s="39"/>
      <c r="AL1553" s="39"/>
      <c r="AM1553" s="39"/>
      <c r="AN1553" s="39">
        <f t="shared" si="991"/>
        <v>0</v>
      </c>
      <c r="AO1553" s="39"/>
      <c r="AP1553" s="39"/>
      <c r="AQ1553" s="39"/>
      <c r="AR1553" s="39"/>
      <c r="AS1553" s="39"/>
      <c r="AT1553" s="39">
        <f t="shared" si="896"/>
        <v>0</v>
      </c>
      <c r="AU1553" s="39"/>
      <c r="AV1553" s="39"/>
      <c r="AW1553" s="39"/>
      <c r="AX1553" s="39"/>
      <c r="AY1553" s="39"/>
      <c r="AZ1553" s="39">
        <f t="shared" si="897"/>
        <v>0</v>
      </c>
      <c r="BA1553" s="39"/>
      <c r="BB1553" s="39"/>
      <c r="BC1553" s="39"/>
      <c r="BD1553" s="39"/>
      <c r="BE1553" s="39"/>
      <c r="BF1553" s="39">
        <f t="shared" si="898"/>
        <v>0</v>
      </c>
      <c r="BG1553" s="39"/>
      <c r="BH1553" s="39"/>
      <c r="BI1553" s="39"/>
      <c r="BJ1553" s="39"/>
      <c r="BK1553" s="39"/>
      <c r="BL1553" s="39">
        <f t="shared" si="996"/>
        <v>0</v>
      </c>
      <c r="BM1553" s="54" t="e">
        <f t="shared" si="899"/>
        <v>#DIV/0!</v>
      </c>
      <c r="BN1553" s="59">
        <v>46279</v>
      </c>
      <c r="BO1553" s="57">
        <v>46293</v>
      </c>
      <c r="BP1553" s="36"/>
      <c r="BQ1553" s="36"/>
      <c r="BR1553" s="39"/>
      <c r="BS1553" s="39"/>
      <c r="BT1553" s="39"/>
      <c r="BU1553" s="39"/>
      <c r="BV1553" s="39"/>
      <c r="BW1553" s="39"/>
      <c r="BX1553" s="39"/>
      <c r="BY1553" s="39"/>
      <c r="BZ1553" s="39">
        <f t="shared" si="997"/>
        <v>0</v>
      </c>
      <c r="CA1553" s="39">
        <f t="shared" si="900"/>
        <v>0</v>
      </c>
      <c r="CB1553" s="39">
        <f t="shared" si="901"/>
        <v>0</v>
      </c>
      <c r="CC1553" s="39">
        <f t="shared" si="902"/>
        <v>0</v>
      </c>
      <c r="CD1553" s="39">
        <f t="shared" si="998"/>
        <v>0</v>
      </c>
      <c r="CE1553" s="102" t="e">
        <f t="shared" si="903"/>
        <v>#DIV/0!</v>
      </c>
      <c r="CF1553" s="36"/>
      <c r="CG1553" s="39" t="s">
        <v>244</v>
      </c>
      <c r="CH1553" s="39"/>
      <c r="CI1553" s="25">
        <v>2</v>
      </c>
    </row>
    <row r="1554" spans="1:87" ht="24.75" customHeight="1">
      <c r="A1554" s="36" t="s">
        <v>46</v>
      </c>
      <c r="B1554" s="30">
        <v>48300</v>
      </c>
      <c r="C1554" s="227" t="s">
        <v>1936</v>
      </c>
      <c r="D1554" s="23"/>
      <c r="E1554" s="39">
        <v>180</v>
      </c>
      <c r="F1554" s="39" t="s">
        <v>60</v>
      </c>
      <c r="G1554" s="36" t="s">
        <v>47</v>
      </c>
      <c r="H1554" s="36" t="s">
        <v>1892</v>
      </c>
      <c r="I1554" s="39">
        <v>1689</v>
      </c>
      <c r="J1554" s="39"/>
      <c r="K1554" s="39"/>
      <c r="L1554" s="39">
        <f t="shared" si="1010"/>
        <v>1689</v>
      </c>
      <c r="M1554" s="117">
        <v>46266</v>
      </c>
      <c r="N1554" s="117">
        <v>46279</v>
      </c>
      <c r="O1554" s="39"/>
      <c r="P1554" s="39"/>
      <c r="Q1554" s="39"/>
      <c r="R1554" s="39">
        <f t="shared" si="1007"/>
        <v>0</v>
      </c>
      <c r="S1554" s="39" t="s">
        <v>130</v>
      </c>
      <c r="T1554" s="39" t="s">
        <v>3086</v>
      </c>
      <c r="U1554" s="117" t="s">
        <v>3084</v>
      </c>
      <c r="V1554" s="39"/>
      <c r="W1554" s="39"/>
      <c r="X1554" s="39"/>
      <c r="Y1554" s="39">
        <f>852+1003</f>
        <v>1855</v>
      </c>
      <c r="Z1554" s="39"/>
      <c r="AA1554" s="39"/>
      <c r="AB1554" s="119">
        <f t="shared" si="1008"/>
        <v>1855</v>
      </c>
      <c r="AC1554" s="39"/>
      <c r="AD1554" s="39"/>
      <c r="AE1554" s="39"/>
      <c r="AF1554" s="39"/>
      <c r="AG1554" s="39"/>
      <c r="AH1554" s="39">
        <f t="shared" si="995"/>
        <v>0</v>
      </c>
      <c r="AI1554" s="39"/>
      <c r="AJ1554" s="39"/>
      <c r="AK1554" s="39"/>
      <c r="AL1554" s="39"/>
      <c r="AM1554" s="39"/>
      <c r="AN1554" s="39">
        <f t="shared" si="991"/>
        <v>0</v>
      </c>
      <c r="AO1554" s="39"/>
      <c r="AP1554" s="39"/>
      <c r="AQ1554" s="39"/>
      <c r="AR1554" s="39"/>
      <c r="AS1554" s="39"/>
      <c r="AT1554" s="39">
        <f t="shared" si="896"/>
        <v>0</v>
      </c>
      <c r="AU1554" s="39"/>
      <c r="AV1554" s="39"/>
      <c r="AW1554" s="39"/>
      <c r="AX1554" s="39"/>
      <c r="AY1554" s="39"/>
      <c r="AZ1554" s="39">
        <f t="shared" si="897"/>
        <v>0</v>
      </c>
      <c r="BA1554" s="39"/>
      <c r="BB1554" s="39"/>
      <c r="BC1554" s="39"/>
      <c r="BD1554" s="39"/>
      <c r="BE1554" s="39"/>
      <c r="BF1554" s="39">
        <f t="shared" si="898"/>
        <v>0</v>
      </c>
      <c r="BG1554" s="39"/>
      <c r="BH1554" s="39"/>
      <c r="BI1554" s="39"/>
      <c r="BJ1554" s="39"/>
      <c r="BK1554" s="39"/>
      <c r="BL1554" s="39">
        <f t="shared" si="996"/>
        <v>0</v>
      </c>
      <c r="BM1554" s="54" t="e">
        <f t="shared" ca="1" si="899"/>
        <v>#VALUE!</v>
      </c>
      <c r="BN1554" s="59">
        <v>46279</v>
      </c>
      <c r="BO1554" s="57">
        <v>46295</v>
      </c>
      <c r="BP1554" s="57"/>
      <c r="BQ1554" s="57"/>
      <c r="BR1554" s="57">
        <v>46272</v>
      </c>
      <c r="BS1554" s="39"/>
      <c r="BT1554" s="39">
        <v>765</v>
      </c>
      <c r="BU1554" s="39">
        <f>767</f>
        <v>767</v>
      </c>
      <c r="BV1554" s="39"/>
      <c r="BW1554" s="39"/>
      <c r="BX1554" s="39"/>
      <c r="BY1554" s="39"/>
      <c r="BZ1554" s="39">
        <f t="shared" si="997"/>
        <v>767</v>
      </c>
      <c r="CA1554" s="39">
        <f t="shared" si="900"/>
        <v>-922</v>
      </c>
      <c r="CB1554" s="39">
        <f t="shared" si="901"/>
        <v>0</v>
      </c>
      <c r="CC1554" s="39">
        <f t="shared" si="902"/>
        <v>0</v>
      </c>
      <c r="CD1554" s="39">
        <f t="shared" si="998"/>
        <v>-922</v>
      </c>
      <c r="CE1554" s="102">
        <f t="shared" si="903"/>
        <v>-0.54588513913558323</v>
      </c>
      <c r="CF1554" s="36"/>
      <c r="CG1554" s="39" t="s">
        <v>245</v>
      </c>
      <c r="CH1554" s="39"/>
      <c r="CI1554" s="25">
        <v>2</v>
      </c>
    </row>
    <row r="1555" spans="1:87" ht="24.75" customHeight="1">
      <c r="A1555" s="36" t="s">
        <v>46</v>
      </c>
      <c r="B1555" s="30">
        <v>48300</v>
      </c>
      <c r="C1555" s="231"/>
      <c r="D1555" s="23" t="s">
        <v>37</v>
      </c>
      <c r="E1555" s="39">
        <v>140</v>
      </c>
      <c r="F1555" s="39" t="s">
        <v>55</v>
      </c>
      <c r="G1555" s="36" t="s">
        <v>105</v>
      </c>
      <c r="H1555" s="36" t="s">
        <v>22</v>
      </c>
      <c r="I1555" s="39">
        <v>1781</v>
      </c>
      <c r="J1555" s="39"/>
      <c r="K1555" s="39"/>
      <c r="L1555" s="39">
        <f t="shared" si="1010"/>
        <v>1781</v>
      </c>
      <c r="M1555" s="117">
        <v>46266</v>
      </c>
      <c r="N1555" s="117">
        <v>46279</v>
      </c>
      <c r="O1555" s="39"/>
      <c r="P1555" s="39"/>
      <c r="Q1555" s="39"/>
      <c r="R1555" s="39">
        <f t="shared" si="1007"/>
        <v>0</v>
      </c>
      <c r="S1555" s="39" t="s">
        <v>130</v>
      </c>
      <c r="T1555" s="39" t="s">
        <v>2918</v>
      </c>
      <c r="U1555" s="117" t="s">
        <v>2919</v>
      </c>
      <c r="V1555" s="39"/>
      <c r="W1555" s="39"/>
      <c r="X1555" s="39"/>
      <c r="Y1555" s="39">
        <f>859+871+250</f>
        <v>1980</v>
      </c>
      <c r="Z1555" s="39"/>
      <c r="AA1555" s="39"/>
      <c r="AB1555" s="119">
        <f t="shared" si="1008"/>
        <v>1980</v>
      </c>
      <c r="AC1555" s="39" t="s">
        <v>139</v>
      </c>
      <c r="AD1555" s="117" t="s">
        <v>2816</v>
      </c>
      <c r="AE1555" s="39">
        <f>782+438+338+225</f>
        <v>1783</v>
      </c>
      <c r="AF1555" s="117">
        <v>46279</v>
      </c>
      <c r="AG1555" s="39">
        <f>620+337+750</f>
        <v>1707</v>
      </c>
      <c r="AH1555" s="39">
        <f t="shared" si="995"/>
        <v>-76</v>
      </c>
      <c r="AI1555" s="39"/>
      <c r="AJ1555" s="39"/>
      <c r="AK1555" s="39"/>
      <c r="AL1555" s="39"/>
      <c r="AM1555" s="39"/>
      <c r="AN1555" s="39">
        <f t="shared" si="991"/>
        <v>0</v>
      </c>
      <c r="AO1555" s="39"/>
      <c r="AP1555" s="39"/>
      <c r="AQ1555" s="39"/>
      <c r="AR1555" s="39"/>
      <c r="AS1555" s="39"/>
      <c r="AT1555" s="39">
        <f t="shared" si="896"/>
        <v>0</v>
      </c>
      <c r="AU1555" s="39"/>
      <c r="AV1555" s="39"/>
      <c r="AW1555" s="39"/>
      <c r="AX1555" s="39"/>
      <c r="AY1555" s="39"/>
      <c r="AZ1555" s="39">
        <f t="shared" si="897"/>
        <v>0</v>
      </c>
      <c r="BA1555" s="39"/>
      <c r="BB1555" s="39"/>
      <c r="BC1555" s="39"/>
      <c r="BD1555" s="39"/>
      <c r="BE1555" s="39"/>
      <c r="BF1555" s="39">
        <f t="shared" si="898"/>
        <v>0</v>
      </c>
      <c r="BG1555" s="39"/>
      <c r="BH1555" s="39"/>
      <c r="BI1555" s="39"/>
      <c r="BJ1555" s="39"/>
      <c r="BK1555" s="39"/>
      <c r="BL1555" s="39">
        <f t="shared" si="996"/>
        <v>0</v>
      </c>
      <c r="BM1555" s="54" t="str">
        <f t="shared" si="899"/>
        <v/>
      </c>
      <c r="BN1555" s="59">
        <v>46279</v>
      </c>
      <c r="BO1555" s="57">
        <v>46295</v>
      </c>
      <c r="BP1555" s="57">
        <v>46296</v>
      </c>
      <c r="BQ1555" s="57">
        <v>46307</v>
      </c>
      <c r="BR1555" s="117">
        <v>46280</v>
      </c>
      <c r="BS1555" s="117">
        <v>46280</v>
      </c>
      <c r="BT1555" s="39">
        <v>812</v>
      </c>
      <c r="BU1555" s="39">
        <f>74+676+84+536+45+292</f>
        <v>1707</v>
      </c>
      <c r="BV1555" s="39"/>
      <c r="BW1555" s="39"/>
      <c r="BX1555" s="39"/>
      <c r="BY1555" s="39"/>
      <c r="BZ1555" s="39">
        <f t="shared" si="997"/>
        <v>1707</v>
      </c>
      <c r="CA1555" s="39">
        <f t="shared" si="900"/>
        <v>-74</v>
      </c>
      <c r="CB1555" s="39">
        <f t="shared" si="901"/>
        <v>0</v>
      </c>
      <c r="CC1555" s="39">
        <f t="shared" si="902"/>
        <v>0</v>
      </c>
      <c r="CD1555" s="39">
        <v>0</v>
      </c>
      <c r="CE1555" s="102">
        <f t="shared" si="903"/>
        <v>0</v>
      </c>
      <c r="CF1555" s="36"/>
      <c r="CG1555" s="39" t="s">
        <v>245</v>
      </c>
      <c r="CH1555" s="39"/>
      <c r="CI1555" s="25">
        <v>2</v>
      </c>
    </row>
    <row r="1556" spans="1:87" ht="24.75" customHeight="1">
      <c r="A1556" s="36" t="s">
        <v>46</v>
      </c>
      <c r="B1556" s="30">
        <v>48300</v>
      </c>
      <c r="C1556" s="231"/>
      <c r="D1556" s="23"/>
      <c r="E1556" s="39">
        <v>180</v>
      </c>
      <c r="F1556" s="39" t="s">
        <v>60</v>
      </c>
      <c r="G1556" s="36" t="s">
        <v>1601</v>
      </c>
      <c r="H1556" s="36" t="s">
        <v>1892</v>
      </c>
      <c r="I1556" s="39">
        <v>1221</v>
      </c>
      <c r="J1556" s="39"/>
      <c r="K1556" s="39"/>
      <c r="L1556" s="39">
        <f t="shared" si="1010"/>
        <v>1221</v>
      </c>
      <c r="M1556" s="117">
        <v>46266</v>
      </c>
      <c r="N1556" s="117">
        <v>46279</v>
      </c>
      <c r="O1556" s="39"/>
      <c r="P1556" s="39"/>
      <c r="Q1556" s="39"/>
      <c r="R1556" s="39">
        <f t="shared" si="1007"/>
        <v>0</v>
      </c>
      <c r="S1556" s="39" t="s">
        <v>28</v>
      </c>
      <c r="T1556" s="39"/>
      <c r="U1556" s="39"/>
      <c r="V1556" s="117" t="s">
        <v>2950</v>
      </c>
      <c r="W1556" s="39">
        <f>941+401</f>
        <v>1342</v>
      </c>
      <c r="X1556" s="39"/>
      <c r="Y1556" s="39"/>
      <c r="Z1556" s="39"/>
      <c r="AA1556" s="39"/>
      <c r="AB1556" s="118">
        <f t="shared" si="1008"/>
        <v>0</v>
      </c>
      <c r="AC1556" s="39"/>
      <c r="AD1556" s="39"/>
      <c r="AE1556" s="39"/>
      <c r="AF1556" s="39"/>
      <c r="AG1556" s="39"/>
      <c r="AH1556" s="39">
        <f t="shared" si="995"/>
        <v>0</v>
      </c>
      <c r="AI1556" s="39"/>
      <c r="AJ1556" s="39"/>
      <c r="AK1556" s="39"/>
      <c r="AL1556" s="39"/>
      <c r="AM1556" s="39"/>
      <c r="AN1556" s="39">
        <f t="shared" si="991"/>
        <v>0</v>
      </c>
      <c r="AO1556" s="39"/>
      <c r="AP1556" s="39"/>
      <c r="AQ1556" s="39"/>
      <c r="AR1556" s="39"/>
      <c r="AS1556" s="39"/>
      <c r="AT1556" s="39">
        <f t="shared" si="896"/>
        <v>0</v>
      </c>
      <c r="AU1556" s="39"/>
      <c r="AV1556" s="39"/>
      <c r="AW1556" s="39"/>
      <c r="AX1556" s="39"/>
      <c r="AY1556" s="39"/>
      <c r="AZ1556" s="39">
        <f t="shared" si="897"/>
        <v>0</v>
      </c>
      <c r="BA1556" s="39"/>
      <c r="BB1556" s="39"/>
      <c r="BC1556" s="39"/>
      <c r="BD1556" s="39"/>
      <c r="BE1556" s="39"/>
      <c r="BF1556" s="39">
        <f t="shared" si="898"/>
        <v>0</v>
      </c>
      <c r="BG1556" s="39"/>
      <c r="BH1556" s="39"/>
      <c r="BI1556" s="39"/>
      <c r="BJ1556" s="39"/>
      <c r="BK1556" s="39"/>
      <c r="BL1556" s="39">
        <f t="shared" si="996"/>
        <v>0</v>
      </c>
      <c r="BM1556" s="54">
        <f t="shared" ca="1" si="899"/>
        <v>46283</v>
      </c>
      <c r="BN1556" s="59">
        <v>46279</v>
      </c>
      <c r="BO1556" s="57">
        <v>46295</v>
      </c>
      <c r="BP1556" s="57"/>
      <c r="BQ1556" s="57"/>
      <c r="BR1556" s="39"/>
      <c r="BS1556" s="39"/>
      <c r="BT1556" s="39"/>
      <c r="BU1556" s="39"/>
      <c r="BV1556" s="39"/>
      <c r="BW1556" s="39"/>
      <c r="BX1556" s="39"/>
      <c r="BY1556" s="39"/>
      <c r="BZ1556" s="39">
        <f t="shared" si="997"/>
        <v>0</v>
      </c>
      <c r="CA1556" s="39">
        <f t="shared" si="900"/>
        <v>-1221</v>
      </c>
      <c r="CB1556" s="39">
        <f t="shared" si="901"/>
        <v>0</v>
      </c>
      <c r="CC1556" s="39">
        <f t="shared" si="902"/>
        <v>0</v>
      </c>
      <c r="CD1556" s="39">
        <f t="shared" si="998"/>
        <v>-1221</v>
      </c>
      <c r="CE1556" s="102">
        <f t="shared" si="903"/>
        <v>-1</v>
      </c>
      <c r="CF1556" s="36"/>
      <c r="CG1556" s="39" t="s">
        <v>245</v>
      </c>
      <c r="CH1556" s="39"/>
      <c r="CI1556" s="25">
        <v>2</v>
      </c>
    </row>
    <row r="1557" spans="1:87" ht="24.75" customHeight="1">
      <c r="A1557" s="36" t="s">
        <v>46</v>
      </c>
      <c r="B1557" s="30">
        <v>48300</v>
      </c>
      <c r="C1557" s="228"/>
      <c r="D1557" s="23" t="s">
        <v>37</v>
      </c>
      <c r="E1557" s="39">
        <v>140</v>
      </c>
      <c r="F1557" s="39" t="s">
        <v>55</v>
      </c>
      <c r="G1557" s="36" t="s">
        <v>105</v>
      </c>
      <c r="H1557" s="36" t="s">
        <v>22</v>
      </c>
      <c r="I1557" s="39">
        <v>1288</v>
      </c>
      <c r="J1557" s="39"/>
      <c r="K1557" s="39"/>
      <c r="L1557" s="39">
        <f t="shared" si="1010"/>
        <v>1288</v>
      </c>
      <c r="M1557" s="117">
        <v>46266</v>
      </c>
      <c r="N1557" s="117">
        <v>46279</v>
      </c>
      <c r="O1557" s="39"/>
      <c r="P1557" s="39"/>
      <c r="Q1557" s="39"/>
      <c r="R1557" s="39">
        <f t="shared" si="1007"/>
        <v>0</v>
      </c>
      <c r="S1557" s="39" t="s">
        <v>130</v>
      </c>
      <c r="T1557" s="39" t="s">
        <v>2917</v>
      </c>
      <c r="U1557" s="117" t="s">
        <v>2866</v>
      </c>
      <c r="V1557" s="39"/>
      <c r="W1557" s="39"/>
      <c r="X1557" s="39"/>
      <c r="Y1557" s="39">
        <f>859+870-250</f>
        <v>1479</v>
      </c>
      <c r="Z1557" s="39"/>
      <c r="AA1557" s="39"/>
      <c r="AB1557" s="119">
        <f t="shared" si="1008"/>
        <v>1479</v>
      </c>
      <c r="AC1557" s="39" t="s">
        <v>139</v>
      </c>
      <c r="AD1557" s="117">
        <v>46272</v>
      </c>
      <c r="AE1557" s="39">
        <f>793+498</f>
        <v>1291</v>
      </c>
      <c r="AF1557" s="39"/>
      <c r="AG1557" s="39"/>
      <c r="AH1557" s="39">
        <f t="shared" si="995"/>
        <v>-1291</v>
      </c>
      <c r="AI1557" s="39"/>
      <c r="AJ1557" s="39"/>
      <c r="AK1557" s="39"/>
      <c r="AL1557" s="39"/>
      <c r="AM1557" s="39"/>
      <c r="AN1557" s="39">
        <f t="shared" si="991"/>
        <v>0</v>
      </c>
      <c r="AO1557" s="39"/>
      <c r="AP1557" s="39"/>
      <c r="AQ1557" s="39"/>
      <c r="AR1557" s="39"/>
      <c r="AS1557" s="39"/>
      <c r="AT1557" s="39">
        <f t="shared" si="896"/>
        <v>0</v>
      </c>
      <c r="AU1557" s="39"/>
      <c r="AV1557" s="39"/>
      <c r="AW1557" s="39"/>
      <c r="AX1557" s="39"/>
      <c r="AY1557" s="39"/>
      <c r="AZ1557" s="39">
        <f t="shared" si="897"/>
        <v>0</v>
      </c>
      <c r="BA1557" s="39"/>
      <c r="BB1557" s="39"/>
      <c r="BC1557" s="39"/>
      <c r="BD1557" s="39"/>
      <c r="BE1557" s="39"/>
      <c r="BF1557" s="39">
        <f t="shared" si="898"/>
        <v>0</v>
      </c>
      <c r="BG1557" s="39"/>
      <c r="BH1557" s="39"/>
      <c r="BI1557" s="39"/>
      <c r="BJ1557" s="39"/>
      <c r="BK1557" s="39"/>
      <c r="BL1557" s="39">
        <f t="shared" si="996"/>
        <v>0</v>
      </c>
      <c r="BM1557" s="54" t="e">
        <f t="shared" ca="1" si="899"/>
        <v>#VALUE!</v>
      </c>
      <c r="BN1557" s="59">
        <v>46279</v>
      </c>
      <c r="BO1557" s="57">
        <v>46295</v>
      </c>
      <c r="BP1557" s="57">
        <v>46296</v>
      </c>
      <c r="BQ1557" s="57">
        <v>46307</v>
      </c>
      <c r="BR1557" s="39"/>
      <c r="BS1557" s="39"/>
      <c r="BT1557" s="39"/>
      <c r="BU1557" s="39"/>
      <c r="BV1557" s="39"/>
      <c r="BW1557" s="39"/>
      <c r="BX1557" s="39"/>
      <c r="BY1557" s="39"/>
      <c r="BZ1557" s="39">
        <f t="shared" si="997"/>
        <v>0</v>
      </c>
      <c r="CA1557" s="39">
        <f t="shared" si="900"/>
        <v>-1288</v>
      </c>
      <c r="CB1557" s="39">
        <f t="shared" si="901"/>
        <v>0</v>
      </c>
      <c r="CC1557" s="39">
        <f t="shared" si="902"/>
        <v>0</v>
      </c>
      <c r="CD1557" s="39">
        <f t="shared" si="998"/>
        <v>-1288</v>
      </c>
      <c r="CE1557" s="102">
        <f t="shared" si="903"/>
        <v>-1</v>
      </c>
      <c r="CF1557" s="36"/>
      <c r="CG1557" s="39" t="s">
        <v>245</v>
      </c>
      <c r="CH1557" s="39"/>
      <c r="CI1557" s="25">
        <v>2</v>
      </c>
    </row>
    <row r="1558" spans="1:87" ht="24.75" customHeight="1">
      <c r="A1558" s="36" t="s">
        <v>46</v>
      </c>
      <c r="B1558" s="30">
        <v>48282</v>
      </c>
      <c r="C1558" s="227" t="s">
        <v>1937</v>
      </c>
      <c r="D1558" s="23"/>
      <c r="E1558" s="39">
        <v>280</v>
      </c>
      <c r="F1558" s="39" t="s">
        <v>55</v>
      </c>
      <c r="G1558" s="36" t="s">
        <v>1214</v>
      </c>
      <c r="H1558" s="36" t="s">
        <v>111</v>
      </c>
      <c r="I1558" s="39">
        <v>638</v>
      </c>
      <c r="J1558" s="39">
        <v>210</v>
      </c>
      <c r="K1558" s="39">
        <v>14</v>
      </c>
      <c r="L1558" s="39">
        <f t="shared" si="1010"/>
        <v>862</v>
      </c>
      <c r="M1558" s="117">
        <v>46266</v>
      </c>
      <c r="N1558" s="117">
        <v>46276</v>
      </c>
      <c r="O1558" s="39"/>
      <c r="P1558" s="39"/>
      <c r="Q1558" s="39"/>
      <c r="R1558" s="39">
        <f t="shared" si="1007"/>
        <v>0</v>
      </c>
      <c r="S1558" s="39" t="s">
        <v>130</v>
      </c>
      <c r="T1558" s="39">
        <v>109471</v>
      </c>
      <c r="U1558" s="117">
        <v>46281</v>
      </c>
      <c r="V1558" s="39"/>
      <c r="W1558" s="39"/>
      <c r="X1558" s="39"/>
      <c r="Y1558" s="39">
        <v>716</v>
      </c>
      <c r="Z1558" s="39">
        <v>237</v>
      </c>
      <c r="AA1558" s="39">
        <v>18</v>
      </c>
      <c r="AB1558" s="119">
        <f t="shared" si="1008"/>
        <v>971</v>
      </c>
      <c r="AC1558" s="39"/>
      <c r="AD1558" s="39"/>
      <c r="AE1558" s="39"/>
      <c r="AF1558" s="39"/>
      <c r="AG1558" s="39"/>
      <c r="AH1558" s="39">
        <f t="shared" si="995"/>
        <v>0</v>
      </c>
      <c r="AI1558" s="39"/>
      <c r="AJ1558" s="39"/>
      <c r="AK1558" s="39"/>
      <c r="AL1558" s="39"/>
      <c r="AM1558" s="39"/>
      <c r="AN1558" s="39">
        <f t="shared" si="991"/>
        <v>0</v>
      </c>
      <c r="AO1558" s="39"/>
      <c r="AP1558" s="39"/>
      <c r="AQ1558" s="39"/>
      <c r="AR1558" s="39"/>
      <c r="AS1558" s="39"/>
      <c r="AT1558" s="39">
        <f t="shared" si="896"/>
        <v>0</v>
      </c>
      <c r="AU1558" s="39"/>
      <c r="AV1558" s="39"/>
      <c r="AW1558" s="39"/>
      <c r="AX1558" s="39"/>
      <c r="AY1558" s="39"/>
      <c r="AZ1558" s="39">
        <f t="shared" si="897"/>
        <v>0</v>
      </c>
      <c r="BA1558" s="39"/>
      <c r="BB1558" s="39"/>
      <c r="BC1558" s="39"/>
      <c r="BD1558" s="39"/>
      <c r="BE1558" s="39"/>
      <c r="BF1558" s="39">
        <f t="shared" si="898"/>
        <v>0</v>
      </c>
      <c r="BG1558" s="39"/>
      <c r="BH1558" s="39"/>
      <c r="BI1558" s="39"/>
      <c r="BJ1558" s="39"/>
      <c r="BK1558" s="39"/>
      <c r="BL1558" s="39">
        <f t="shared" si="996"/>
        <v>0</v>
      </c>
      <c r="BM1558" s="54">
        <f t="shared" ca="1" si="899"/>
        <v>2</v>
      </c>
      <c r="BN1558" s="59">
        <v>46279</v>
      </c>
      <c r="BO1558" s="57">
        <v>46293</v>
      </c>
      <c r="BP1558" s="36"/>
      <c r="BQ1558" s="36"/>
      <c r="BR1558" s="39"/>
      <c r="BS1558" s="39"/>
      <c r="BT1558" s="39"/>
      <c r="BU1558" s="39"/>
      <c r="BV1558" s="39"/>
      <c r="BW1558" s="39"/>
      <c r="BX1558" s="39"/>
      <c r="BY1558" s="39"/>
      <c r="BZ1558" s="39">
        <f t="shared" si="997"/>
        <v>0</v>
      </c>
      <c r="CA1558" s="39">
        <f t="shared" si="900"/>
        <v>-638</v>
      </c>
      <c r="CB1558" s="39">
        <f t="shared" si="901"/>
        <v>-210</v>
      </c>
      <c r="CC1558" s="39">
        <f t="shared" si="902"/>
        <v>-14</v>
      </c>
      <c r="CD1558" s="39">
        <f t="shared" si="998"/>
        <v>-862</v>
      </c>
      <c r="CE1558" s="102">
        <f t="shared" si="903"/>
        <v>-1</v>
      </c>
      <c r="CF1558" s="36"/>
      <c r="CG1558" s="39" t="s">
        <v>245</v>
      </c>
      <c r="CH1558" s="39"/>
      <c r="CI1558" s="25">
        <v>2</v>
      </c>
    </row>
    <row r="1559" spans="1:87" ht="24.75" customHeight="1">
      <c r="A1559" s="36" t="s">
        <v>46</v>
      </c>
      <c r="B1559" s="30">
        <v>48282</v>
      </c>
      <c r="C1559" s="231"/>
      <c r="D1559" s="23"/>
      <c r="E1559" s="39">
        <v>160</v>
      </c>
      <c r="F1559" s="39" t="s">
        <v>55</v>
      </c>
      <c r="G1559" s="36" t="s">
        <v>1213</v>
      </c>
      <c r="H1559" s="36" t="s">
        <v>22</v>
      </c>
      <c r="I1559" s="39">
        <v>75</v>
      </c>
      <c r="J1559" s="39"/>
      <c r="K1559" s="39"/>
      <c r="L1559" s="39">
        <f t="shared" si="1010"/>
        <v>75</v>
      </c>
      <c r="M1559" s="117">
        <v>46266</v>
      </c>
      <c r="N1559" s="117">
        <v>46276</v>
      </c>
      <c r="O1559" s="39"/>
      <c r="P1559" s="39"/>
      <c r="Q1559" s="39"/>
      <c r="R1559" s="39">
        <f t="shared" si="1007"/>
        <v>0</v>
      </c>
      <c r="S1559" s="39" t="s">
        <v>130</v>
      </c>
      <c r="T1559" s="39"/>
      <c r="U1559" s="39"/>
      <c r="V1559" s="39"/>
      <c r="W1559" s="39"/>
      <c r="X1559" s="39"/>
      <c r="Y1559" s="39"/>
      <c r="Z1559" s="39"/>
      <c r="AA1559" s="39"/>
      <c r="AB1559" s="118">
        <f t="shared" si="1008"/>
        <v>0</v>
      </c>
      <c r="AC1559" s="39"/>
      <c r="AD1559" s="39"/>
      <c r="AE1559" s="39"/>
      <c r="AF1559" s="39"/>
      <c r="AG1559" s="39"/>
      <c r="AH1559" s="39">
        <f t="shared" si="995"/>
        <v>0</v>
      </c>
      <c r="AI1559" s="39"/>
      <c r="AJ1559" s="39"/>
      <c r="AK1559" s="39"/>
      <c r="AL1559" s="39"/>
      <c r="AM1559" s="39"/>
      <c r="AN1559" s="39">
        <f t="shared" si="991"/>
        <v>0</v>
      </c>
      <c r="AO1559" s="39"/>
      <c r="AP1559" s="39"/>
      <c r="AQ1559" s="39"/>
      <c r="AR1559" s="39"/>
      <c r="AS1559" s="39"/>
      <c r="AT1559" s="39">
        <f t="shared" si="896"/>
        <v>0</v>
      </c>
      <c r="AU1559" s="39"/>
      <c r="AV1559" s="39"/>
      <c r="AW1559" s="39"/>
      <c r="AX1559" s="39"/>
      <c r="AY1559" s="39"/>
      <c r="AZ1559" s="39">
        <f t="shared" si="897"/>
        <v>0</v>
      </c>
      <c r="BA1559" s="39"/>
      <c r="BB1559" s="39"/>
      <c r="BC1559" s="39"/>
      <c r="BD1559" s="39"/>
      <c r="BE1559" s="39"/>
      <c r="BF1559" s="39">
        <f t="shared" si="898"/>
        <v>0</v>
      </c>
      <c r="BG1559" s="39"/>
      <c r="BH1559" s="39"/>
      <c r="BI1559" s="39"/>
      <c r="BJ1559" s="39"/>
      <c r="BK1559" s="39"/>
      <c r="BL1559" s="39">
        <f t="shared" si="996"/>
        <v>0</v>
      </c>
      <c r="BM1559" s="54">
        <f t="shared" ca="1" si="899"/>
        <v>46283</v>
      </c>
      <c r="BN1559" s="59">
        <v>46279</v>
      </c>
      <c r="BO1559" s="57">
        <v>46293</v>
      </c>
      <c r="BP1559" s="36"/>
      <c r="BQ1559" s="36"/>
      <c r="BR1559" s="39"/>
      <c r="BS1559" s="39"/>
      <c r="BT1559" s="39"/>
      <c r="BU1559" s="39"/>
      <c r="BV1559" s="39"/>
      <c r="BW1559" s="39"/>
      <c r="BX1559" s="39"/>
      <c r="BY1559" s="39"/>
      <c r="BZ1559" s="39">
        <f t="shared" si="997"/>
        <v>0</v>
      </c>
      <c r="CA1559" s="39">
        <f t="shared" si="900"/>
        <v>-75</v>
      </c>
      <c r="CB1559" s="39">
        <f t="shared" si="901"/>
        <v>0</v>
      </c>
      <c r="CC1559" s="39">
        <f t="shared" si="902"/>
        <v>0</v>
      </c>
      <c r="CD1559" s="39">
        <f t="shared" si="998"/>
        <v>-75</v>
      </c>
      <c r="CE1559" s="102">
        <f t="shared" si="903"/>
        <v>-1</v>
      </c>
      <c r="CF1559" s="36"/>
      <c r="CG1559" s="39" t="s">
        <v>245</v>
      </c>
      <c r="CH1559" s="39"/>
      <c r="CI1559" s="25">
        <v>2</v>
      </c>
    </row>
    <row r="1560" spans="1:87" ht="24.75" customHeight="1">
      <c r="A1560" s="36" t="s">
        <v>46</v>
      </c>
      <c r="B1560" s="30">
        <v>48282</v>
      </c>
      <c r="C1560" s="231"/>
      <c r="D1560" s="23"/>
      <c r="E1560" s="39">
        <v>280</v>
      </c>
      <c r="F1560" s="39" t="s">
        <v>55</v>
      </c>
      <c r="G1560" s="36" t="s">
        <v>1091</v>
      </c>
      <c r="H1560" s="36" t="s">
        <v>111</v>
      </c>
      <c r="I1560" s="39">
        <v>686</v>
      </c>
      <c r="J1560" s="39"/>
      <c r="K1560" s="39">
        <v>30</v>
      </c>
      <c r="L1560" s="39">
        <f t="shared" ref="L1560:L1561" si="1011">SUM(I1560:K1560)</f>
        <v>716</v>
      </c>
      <c r="M1560" s="117">
        <v>46266</v>
      </c>
      <c r="N1560" s="117">
        <v>46276</v>
      </c>
      <c r="O1560" s="39"/>
      <c r="P1560" s="39"/>
      <c r="Q1560" s="39"/>
      <c r="R1560" s="39">
        <f t="shared" si="1007"/>
        <v>0</v>
      </c>
      <c r="S1560" s="39" t="s">
        <v>31</v>
      </c>
      <c r="T1560" s="39"/>
      <c r="U1560" s="39"/>
      <c r="V1560" s="117">
        <v>46280</v>
      </c>
      <c r="W1560" s="39">
        <f>770+37</f>
        <v>807</v>
      </c>
      <c r="X1560" s="39"/>
      <c r="Y1560" s="39"/>
      <c r="Z1560" s="39"/>
      <c r="AA1560" s="39"/>
      <c r="AB1560" s="118">
        <f t="shared" si="1008"/>
        <v>0</v>
      </c>
      <c r="AC1560" s="39"/>
      <c r="AD1560" s="39"/>
      <c r="AE1560" s="39"/>
      <c r="AF1560" s="39"/>
      <c r="AG1560" s="39"/>
      <c r="AH1560" s="39">
        <f t="shared" si="995"/>
        <v>0</v>
      </c>
      <c r="AI1560" s="39"/>
      <c r="AJ1560" s="39"/>
      <c r="AK1560" s="39"/>
      <c r="AL1560" s="39"/>
      <c r="AM1560" s="39"/>
      <c r="AN1560" s="39">
        <f t="shared" si="991"/>
        <v>0</v>
      </c>
      <c r="AO1560" s="39"/>
      <c r="AP1560" s="39"/>
      <c r="AQ1560" s="39"/>
      <c r="AR1560" s="39"/>
      <c r="AS1560" s="39"/>
      <c r="AT1560" s="39">
        <f t="shared" si="896"/>
        <v>0</v>
      </c>
      <c r="AU1560" s="39"/>
      <c r="AV1560" s="39"/>
      <c r="AW1560" s="39"/>
      <c r="AX1560" s="39"/>
      <c r="AY1560" s="39"/>
      <c r="AZ1560" s="39">
        <f t="shared" si="897"/>
        <v>0</v>
      </c>
      <c r="BA1560" s="39"/>
      <c r="BB1560" s="39"/>
      <c r="BC1560" s="39"/>
      <c r="BD1560" s="39"/>
      <c r="BE1560" s="39"/>
      <c r="BF1560" s="39">
        <f t="shared" si="898"/>
        <v>0</v>
      </c>
      <c r="BG1560" s="39"/>
      <c r="BH1560" s="39"/>
      <c r="BI1560" s="39"/>
      <c r="BJ1560" s="39"/>
      <c r="BK1560" s="39"/>
      <c r="BL1560" s="39">
        <f t="shared" si="996"/>
        <v>0</v>
      </c>
      <c r="BM1560" s="54">
        <f t="shared" ca="1" si="899"/>
        <v>46283</v>
      </c>
      <c r="BN1560" s="59">
        <v>46279</v>
      </c>
      <c r="BO1560" s="57">
        <v>46293</v>
      </c>
      <c r="BP1560" s="36"/>
      <c r="BQ1560" s="36"/>
      <c r="BR1560" s="39"/>
      <c r="BS1560" s="39"/>
      <c r="BT1560" s="39"/>
      <c r="BU1560" s="39"/>
      <c r="BV1560" s="39"/>
      <c r="BW1560" s="39"/>
      <c r="BX1560" s="39"/>
      <c r="BY1560" s="39"/>
      <c r="BZ1560" s="39">
        <f t="shared" si="997"/>
        <v>0</v>
      </c>
      <c r="CA1560" s="39">
        <f t="shared" si="900"/>
        <v>-686</v>
      </c>
      <c r="CB1560" s="39">
        <f t="shared" si="901"/>
        <v>0</v>
      </c>
      <c r="CC1560" s="39">
        <f t="shared" si="902"/>
        <v>-30</v>
      </c>
      <c r="CD1560" s="39">
        <f t="shared" si="998"/>
        <v>-716</v>
      </c>
      <c r="CE1560" s="102">
        <f t="shared" si="903"/>
        <v>-1</v>
      </c>
      <c r="CF1560" s="36"/>
      <c r="CG1560" s="39" t="s">
        <v>245</v>
      </c>
      <c r="CH1560" s="39"/>
      <c r="CI1560" s="25">
        <v>2</v>
      </c>
    </row>
    <row r="1561" spans="1:87" ht="24.75" customHeight="1">
      <c r="A1561" s="36" t="s">
        <v>46</v>
      </c>
      <c r="B1561" s="30">
        <v>48282</v>
      </c>
      <c r="C1561" s="228"/>
      <c r="D1561" s="23"/>
      <c r="E1561" s="39"/>
      <c r="F1561" s="39"/>
      <c r="G1561" s="36" t="s">
        <v>318</v>
      </c>
      <c r="H1561" s="36">
        <v>4500</v>
      </c>
      <c r="I1561" s="39" t="s">
        <v>90</v>
      </c>
      <c r="J1561" s="39"/>
      <c r="K1561" s="39"/>
      <c r="L1561" s="39">
        <f t="shared" si="1011"/>
        <v>0</v>
      </c>
      <c r="M1561" s="117">
        <v>46266</v>
      </c>
      <c r="N1561" s="117">
        <v>46276</v>
      </c>
      <c r="O1561" s="39"/>
      <c r="P1561" s="39"/>
      <c r="Q1561" s="39"/>
      <c r="R1561" s="39">
        <f t="shared" si="1007"/>
        <v>0</v>
      </c>
      <c r="S1561" s="39" t="s">
        <v>130</v>
      </c>
      <c r="T1561" s="39"/>
      <c r="U1561" s="39"/>
      <c r="V1561" s="39"/>
      <c r="W1561" s="39"/>
      <c r="X1561" s="39"/>
      <c r="Y1561" s="39"/>
      <c r="Z1561" s="39"/>
      <c r="AA1561" s="39"/>
      <c r="AB1561" s="39">
        <f t="shared" si="1008"/>
        <v>0</v>
      </c>
      <c r="AC1561" s="39"/>
      <c r="AD1561" s="39"/>
      <c r="AE1561" s="39"/>
      <c r="AF1561" s="39"/>
      <c r="AG1561" s="39"/>
      <c r="AH1561" s="39">
        <f t="shared" si="995"/>
        <v>0</v>
      </c>
      <c r="AI1561" s="39"/>
      <c r="AJ1561" s="39"/>
      <c r="AK1561" s="39"/>
      <c r="AL1561" s="39"/>
      <c r="AM1561" s="39"/>
      <c r="AN1561" s="39">
        <f t="shared" si="991"/>
        <v>0</v>
      </c>
      <c r="AO1561" s="39"/>
      <c r="AP1561" s="39"/>
      <c r="AQ1561" s="39"/>
      <c r="AR1561" s="39"/>
      <c r="AS1561" s="39"/>
      <c r="AT1561" s="39">
        <f t="shared" si="896"/>
        <v>0</v>
      </c>
      <c r="AU1561" s="39"/>
      <c r="AV1561" s="39"/>
      <c r="AW1561" s="39"/>
      <c r="AX1561" s="39"/>
      <c r="AY1561" s="39"/>
      <c r="AZ1561" s="39">
        <f t="shared" si="897"/>
        <v>0</v>
      </c>
      <c r="BA1561" s="39"/>
      <c r="BB1561" s="39"/>
      <c r="BC1561" s="39"/>
      <c r="BD1561" s="39"/>
      <c r="BE1561" s="39"/>
      <c r="BF1561" s="39">
        <f t="shared" si="898"/>
        <v>0</v>
      </c>
      <c r="BG1561" s="39"/>
      <c r="BH1561" s="39"/>
      <c r="BI1561" s="39"/>
      <c r="BJ1561" s="39"/>
      <c r="BK1561" s="39"/>
      <c r="BL1561" s="39">
        <f t="shared" si="996"/>
        <v>0</v>
      </c>
      <c r="BM1561" s="54" t="e">
        <f t="shared" si="899"/>
        <v>#DIV/0!</v>
      </c>
      <c r="BN1561" s="59">
        <v>46279</v>
      </c>
      <c r="BO1561" s="57">
        <v>46293</v>
      </c>
      <c r="BP1561" s="36"/>
      <c r="BQ1561" s="36"/>
      <c r="BR1561" s="39"/>
      <c r="BS1561" s="39"/>
      <c r="BT1561" s="39"/>
      <c r="BU1561" s="39"/>
      <c r="BV1561" s="39"/>
      <c r="BW1561" s="39"/>
      <c r="BX1561" s="39"/>
      <c r="BY1561" s="39"/>
      <c r="BZ1561" s="39">
        <f t="shared" si="997"/>
        <v>0</v>
      </c>
      <c r="CA1561" s="39" t="e">
        <f t="shared" si="900"/>
        <v>#VALUE!</v>
      </c>
      <c r="CB1561" s="39">
        <f t="shared" si="901"/>
        <v>0</v>
      </c>
      <c r="CC1561" s="39">
        <f t="shared" si="902"/>
        <v>0</v>
      </c>
      <c r="CD1561" s="39">
        <f t="shared" si="998"/>
        <v>0</v>
      </c>
      <c r="CE1561" s="102" t="e">
        <f t="shared" si="903"/>
        <v>#DIV/0!</v>
      </c>
      <c r="CF1561" s="36"/>
      <c r="CG1561" s="39" t="s">
        <v>245</v>
      </c>
      <c r="CH1561" s="39"/>
      <c r="CI1561" s="25">
        <v>2</v>
      </c>
    </row>
    <row r="1562" spans="1:87" ht="24.75" customHeight="1">
      <c r="A1562" s="36" t="s">
        <v>46</v>
      </c>
      <c r="B1562" s="30">
        <v>47825</v>
      </c>
      <c r="C1562" s="36" t="s">
        <v>2088</v>
      </c>
      <c r="D1562" s="23"/>
      <c r="E1562" s="39">
        <v>180</v>
      </c>
      <c r="F1562" s="39" t="s">
        <v>68</v>
      </c>
      <c r="G1562" s="36" t="s">
        <v>2089</v>
      </c>
      <c r="H1562" s="36" t="s">
        <v>300</v>
      </c>
      <c r="I1562" s="39">
        <v>787</v>
      </c>
      <c r="J1562" s="39"/>
      <c r="K1562" s="39"/>
      <c r="L1562" s="39">
        <f t="shared" ref="L1562:L1576" si="1012">SUM(I1562:K1562)</f>
        <v>787</v>
      </c>
      <c r="M1562" s="117">
        <v>46266</v>
      </c>
      <c r="N1562" s="117">
        <v>46277</v>
      </c>
      <c r="O1562" s="39"/>
      <c r="P1562" s="39"/>
      <c r="Q1562" s="39"/>
      <c r="R1562" s="39">
        <f t="shared" ref="R1562:R1588" si="1013">SUM(O1562:Q1562)</f>
        <v>0</v>
      </c>
      <c r="S1562" s="39" t="s">
        <v>130</v>
      </c>
      <c r="T1562" s="39"/>
      <c r="U1562" s="39"/>
      <c r="V1562" s="39"/>
      <c r="W1562" s="39"/>
      <c r="X1562" s="39"/>
      <c r="Y1562" s="39"/>
      <c r="Z1562" s="39"/>
      <c r="AA1562" s="39"/>
      <c r="AB1562" s="118">
        <f t="shared" si="1008"/>
        <v>0</v>
      </c>
      <c r="AC1562" s="39"/>
      <c r="AD1562" s="39"/>
      <c r="AE1562" s="39"/>
      <c r="AF1562" s="39"/>
      <c r="AG1562" s="39"/>
      <c r="AH1562" s="39">
        <f t="shared" si="995"/>
        <v>0</v>
      </c>
      <c r="AI1562" s="39"/>
      <c r="AJ1562" s="39"/>
      <c r="AK1562" s="39"/>
      <c r="AL1562" s="39"/>
      <c r="AM1562" s="39"/>
      <c r="AN1562" s="39">
        <f t="shared" si="991"/>
        <v>0</v>
      </c>
      <c r="AO1562" s="39"/>
      <c r="AP1562" s="39"/>
      <c r="AQ1562" s="39"/>
      <c r="AR1562" s="39"/>
      <c r="AS1562" s="39"/>
      <c r="AT1562" s="39">
        <f t="shared" si="896"/>
        <v>0</v>
      </c>
      <c r="AU1562" s="39"/>
      <c r="AV1562" s="39"/>
      <c r="AW1562" s="39"/>
      <c r="AX1562" s="39"/>
      <c r="AY1562" s="39"/>
      <c r="AZ1562" s="39">
        <f t="shared" si="897"/>
        <v>0</v>
      </c>
      <c r="BA1562" s="39"/>
      <c r="BB1562" s="39"/>
      <c r="BC1562" s="39"/>
      <c r="BD1562" s="39"/>
      <c r="BE1562" s="39"/>
      <c r="BF1562" s="39">
        <f t="shared" si="898"/>
        <v>0</v>
      </c>
      <c r="BG1562" s="39"/>
      <c r="BH1562" s="39"/>
      <c r="BI1562" s="39"/>
      <c r="BJ1562" s="39"/>
      <c r="BK1562" s="39"/>
      <c r="BL1562" s="39">
        <f t="shared" si="996"/>
        <v>0</v>
      </c>
      <c r="BM1562" s="54">
        <f t="shared" ca="1" si="899"/>
        <v>46283</v>
      </c>
      <c r="BN1562" s="59">
        <v>46279</v>
      </c>
      <c r="BO1562" s="57">
        <v>46293</v>
      </c>
      <c r="BP1562" s="36"/>
      <c r="BQ1562" s="36"/>
      <c r="BR1562" s="39"/>
      <c r="BS1562" s="39"/>
      <c r="BT1562" s="39"/>
      <c r="BU1562" s="39"/>
      <c r="BV1562" s="39"/>
      <c r="BW1562" s="39"/>
      <c r="BX1562" s="39"/>
      <c r="BY1562" s="39"/>
      <c r="BZ1562" s="39">
        <f t="shared" si="997"/>
        <v>0</v>
      </c>
      <c r="CA1562" s="39">
        <f t="shared" si="900"/>
        <v>-787</v>
      </c>
      <c r="CB1562" s="39">
        <f t="shared" si="901"/>
        <v>0</v>
      </c>
      <c r="CC1562" s="39">
        <f t="shared" si="902"/>
        <v>0</v>
      </c>
      <c r="CD1562" s="39">
        <f t="shared" si="998"/>
        <v>-787</v>
      </c>
      <c r="CE1562" s="102">
        <f t="shared" si="903"/>
        <v>-1</v>
      </c>
      <c r="CF1562" s="36"/>
      <c r="CG1562" s="39" t="s">
        <v>242</v>
      </c>
      <c r="CH1562" s="39"/>
      <c r="CI1562" s="25">
        <v>2</v>
      </c>
    </row>
    <row r="1563" spans="1:87" ht="24.75" customHeight="1">
      <c r="A1563" s="36" t="s">
        <v>46</v>
      </c>
      <c r="B1563" s="30">
        <v>48035</v>
      </c>
      <c r="C1563" s="227" t="s">
        <v>1938</v>
      </c>
      <c r="D1563" s="23"/>
      <c r="E1563" s="39">
        <v>180</v>
      </c>
      <c r="F1563" s="39" t="s">
        <v>55</v>
      </c>
      <c r="G1563" s="36" t="s">
        <v>1939</v>
      </c>
      <c r="H1563" s="36" t="s">
        <v>207</v>
      </c>
      <c r="I1563" s="39">
        <f>966+8</f>
        <v>974</v>
      </c>
      <c r="J1563" s="39"/>
      <c r="K1563" s="39"/>
      <c r="L1563" s="39">
        <f t="shared" si="1012"/>
        <v>974</v>
      </c>
      <c r="M1563" s="117">
        <v>46266</v>
      </c>
      <c r="N1563" s="117">
        <v>46277</v>
      </c>
      <c r="O1563" s="39"/>
      <c r="P1563" s="39"/>
      <c r="Q1563" s="39"/>
      <c r="R1563" s="39">
        <f t="shared" si="1013"/>
        <v>0</v>
      </c>
      <c r="S1563" s="39" t="s">
        <v>130</v>
      </c>
      <c r="T1563" s="39">
        <v>109485</v>
      </c>
      <c r="U1563" s="117">
        <v>46281</v>
      </c>
      <c r="V1563" s="39"/>
      <c r="W1563" s="39"/>
      <c r="X1563" s="39"/>
      <c r="Y1563" s="39">
        <v>1082</v>
      </c>
      <c r="Z1563" s="39"/>
      <c r="AA1563" s="39"/>
      <c r="AB1563" s="119">
        <f t="shared" si="1008"/>
        <v>1082</v>
      </c>
      <c r="AC1563" s="39"/>
      <c r="AD1563" s="39"/>
      <c r="AE1563" s="39"/>
      <c r="AF1563" s="39"/>
      <c r="AG1563" s="39"/>
      <c r="AH1563" s="39">
        <f t="shared" si="995"/>
        <v>0</v>
      </c>
      <c r="AI1563" s="39"/>
      <c r="AJ1563" s="39"/>
      <c r="AK1563" s="39"/>
      <c r="AL1563" s="39"/>
      <c r="AM1563" s="39"/>
      <c r="AN1563" s="39">
        <f t="shared" si="991"/>
        <v>0</v>
      </c>
      <c r="AO1563" s="39"/>
      <c r="AP1563" s="39"/>
      <c r="AQ1563" s="39"/>
      <c r="AR1563" s="39"/>
      <c r="AS1563" s="39"/>
      <c r="AT1563" s="39">
        <f t="shared" si="896"/>
        <v>0</v>
      </c>
      <c r="AU1563" s="39"/>
      <c r="AV1563" s="39"/>
      <c r="AW1563" s="39"/>
      <c r="AX1563" s="39"/>
      <c r="AY1563" s="39"/>
      <c r="AZ1563" s="39">
        <f t="shared" si="897"/>
        <v>0</v>
      </c>
      <c r="BA1563" s="39"/>
      <c r="BB1563" s="39"/>
      <c r="BC1563" s="39"/>
      <c r="BD1563" s="39"/>
      <c r="BE1563" s="39"/>
      <c r="BF1563" s="39">
        <f t="shared" si="898"/>
        <v>0</v>
      </c>
      <c r="BG1563" s="39"/>
      <c r="BH1563" s="39"/>
      <c r="BI1563" s="39"/>
      <c r="BJ1563" s="39"/>
      <c r="BK1563" s="39"/>
      <c r="BL1563" s="39">
        <f t="shared" si="996"/>
        <v>0</v>
      </c>
      <c r="BM1563" s="54">
        <f t="shared" ca="1" si="899"/>
        <v>2</v>
      </c>
      <c r="BN1563" s="59">
        <v>46279</v>
      </c>
      <c r="BO1563" s="57">
        <v>46293</v>
      </c>
      <c r="BP1563" s="36"/>
      <c r="BQ1563" s="36"/>
      <c r="BR1563" s="39"/>
      <c r="BS1563" s="39"/>
      <c r="BT1563" s="39"/>
      <c r="BU1563" s="39"/>
      <c r="BV1563" s="39"/>
      <c r="BW1563" s="39"/>
      <c r="BX1563" s="39"/>
      <c r="BY1563" s="39"/>
      <c r="BZ1563" s="39">
        <f t="shared" si="997"/>
        <v>0</v>
      </c>
      <c r="CA1563" s="39">
        <f t="shared" si="900"/>
        <v>-974</v>
      </c>
      <c r="CB1563" s="39">
        <f t="shared" si="901"/>
        <v>0</v>
      </c>
      <c r="CC1563" s="39">
        <f t="shared" si="902"/>
        <v>0</v>
      </c>
      <c r="CD1563" s="39">
        <f t="shared" si="998"/>
        <v>-974</v>
      </c>
      <c r="CE1563" s="102">
        <f t="shared" si="903"/>
        <v>-1</v>
      </c>
      <c r="CF1563" s="36"/>
      <c r="CG1563" s="39" t="s">
        <v>242</v>
      </c>
      <c r="CH1563" s="39"/>
      <c r="CI1563" s="25">
        <v>2</v>
      </c>
    </row>
    <row r="1564" spans="1:87" ht="24.75" customHeight="1">
      <c r="A1564" s="36" t="s">
        <v>46</v>
      </c>
      <c r="B1564" s="30">
        <v>48035</v>
      </c>
      <c r="C1564" s="231"/>
      <c r="D1564" s="23"/>
      <c r="E1564" s="39">
        <v>180</v>
      </c>
      <c r="F1564" s="39" t="s">
        <v>55</v>
      </c>
      <c r="G1564" s="36" t="s">
        <v>449</v>
      </c>
      <c r="H1564" s="36" t="s">
        <v>207</v>
      </c>
      <c r="I1564" s="39">
        <f>557+5</f>
        <v>562</v>
      </c>
      <c r="J1564" s="39"/>
      <c r="K1564" s="39"/>
      <c r="L1564" s="39">
        <f t="shared" si="1012"/>
        <v>562</v>
      </c>
      <c r="M1564" s="117">
        <v>46266</v>
      </c>
      <c r="N1564" s="117">
        <v>46277</v>
      </c>
      <c r="O1564" s="39"/>
      <c r="P1564" s="39"/>
      <c r="Q1564" s="39"/>
      <c r="R1564" s="39">
        <f t="shared" si="1013"/>
        <v>0</v>
      </c>
      <c r="S1564" s="39" t="s">
        <v>130</v>
      </c>
      <c r="T1564" s="39"/>
      <c r="U1564" s="39"/>
      <c r="V1564" s="39"/>
      <c r="W1564" s="39"/>
      <c r="X1564" s="39"/>
      <c r="Y1564" s="39"/>
      <c r="Z1564" s="39"/>
      <c r="AA1564" s="39"/>
      <c r="AB1564" s="118">
        <f t="shared" si="1008"/>
        <v>0</v>
      </c>
      <c r="AC1564" s="39"/>
      <c r="AD1564" s="39"/>
      <c r="AE1564" s="39"/>
      <c r="AF1564" s="39"/>
      <c r="AG1564" s="39"/>
      <c r="AH1564" s="39">
        <f t="shared" si="995"/>
        <v>0</v>
      </c>
      <c r="AI1564" s="39"/>
      <c r="AJ1564" s="39"/>
      <c r="AK1564" s="39"/>
      <c r="AL1564" s="39"/>
      <c r="AM1564" s="39"/>
      <c r="AN1564" s="39">
        <f t="shared" si="991"/>
        <v>0</v>
      </c>
      <c r="AO1564" s="39"/>
      <c r="AP1564" s="39"/>
      <c r="AQ1564" s="39"/>
      <c r="AR1564" s="39"/>
      <c r="AS1564" s="39"/>
      <c r="AT1564" s="39">
        <f t="shared" si="896"/>
        <v>0</v>
      </c>
      <c r="AU1564" s="39"/>
      <c r="AV1564" s="39"/>
      <c r="AW1564" s="39"/>
      <c r="AX1564" s="39"/>
      <c r="AY1564" s="39"/>
      <c r="AZ1564" s="39">
        <f t="shared" si="897"/>
        <v>0</v>
      </c>
      <c r="BA1564" s="39"/>
      <c r="BB1564" s="39"/>
      <c r="BC1564" s="39"/>
      <c r="BD1564" s="39"/>
      <c r="BE1564" s="39"/>
      <c r="BF1564" s="39">
        <f t="shared" si="898"/>
        <v>0</v>
      </c>
      <c r="BG1564" s="39"/>
      <c r="BH1564" s="39"/>
      <c r="BI1564" s="39"/>
      <c r="BJ1564" s="39"/>
      <c r="BK1564" s="39"/>
      <c r="BL1564" s="39">
        <f t="shared" si="996"/>
        <v>0</v>
      </c>
      <c r="BM1564" s="54">
        <f t="shared" ca="1" si="899"/>
        <v>46283</v>
      </c>
      <c r="BN1564" s="59">
        <v>46279</v>
      </c>
      <c r="BO1564" s="57">
        <v>46293</v>
      </c>
      <c r="BP1564" s="36"/>
      <c r="BQ1564" s="36"/>
      <c r="BR1564" s="39"/>
      <c r="BS1564" s="39"/>
      <c r="BT1564" s="39"/>
      <c r="BU1564" s="39"/>
      <c r="BV1564" s="39"/>
      <c r="BW1564" s="39"/>
      <c r="BX1564" s="39"/>
      <c r="BY1564" s="39"/>
      <c r="BZ1564" s="39">
        <f t="shared" si="997"/>
        <v>0</v>
      </c>
      <c r="CA1564" s="39">
        <f t="shared" si="900"/>
        <v>-562</v>
      </c>
      <c r="CB1564" s="39">
        <f t="shared" si="901"/>
        <v>0</v>
      </c>
      <c r="CC1564" s="39">
        <f t="shared" si="902"/>
        <v>0</v>
      </c>
      <c r="CD1564" s="39">
        <f t="shared" si="998"/>
        <v>-562</v>
      </c>
      <c r="CE1564" s="102">
        <f t="shared" si="903"/>
        <v>-1</v>
      </c>
      <c r="CF1564" s="36"/>
      <c r="CG1564" s="39" t="s">
        <v>242</v>
      </c>
      <c r="CH1564" s="39"/>
      <c r="CI1564" s="25">
        <v>2</v>
      </c>
    </row>
    <row r="1565" spans="1:87" ht="24.75" customHeight="1">
      <c r="A1565" s="36" t="s">
        <v>46</v>
      </c>
      <c r="B1565" s="30">
        <v>48035</v>
      </c>
      <c r="C1565" s="228"/>
      <c r="D1565" s="23"/>
      <c r="E1565" s="39"/>
      <c r="F1565" s="39"/>
      <c r="G1565" s="36" t="s">
        <v>208</v>
      </c>
      <c r="H1565" s="36">
        <f>246+142</f>
        <v>388</v>
      </c>
      <c r="I1565" s="39" t="s">
        <v>90</v>
      </c>
      <c r="J1565" s="39"/>
      <c r="K1565" s="39"/>
      <c r="L1565" s="39">
        <f t="shared" si="1012"/>
        <v>0</v>
      </c>
      <c r="M1565" s="117">
        <v>46266</v>
      </c>
      <c r="N1565" s="117">
        <v>46277</v>
      </c>
      <c r="O1565" s="39"/>
      <c r="P1565" s="39"/>
      <c r="Q1565" s="39"/>
      <c r="R1565" s="39">
        <f t="shared" si="1013"/>
        <v>0</v>
      </c>
      <c r="S1565" s="39" t="s">
        <v>130</v>
      </c>
      <c r="T1565" s="39"/>
      <c r="U1565" s="39"/>
      <c r="V1565" s="39"/>
      <c r="W1565" s="39"/>
      <c r="X1565" s="39"/>
      <c r="Y1565" s="39"/>
      <c r="Z1565" s="39"/>
      <c r="AA1565" s="39"/>
      <c r="AB1565" s="39">
        <f t="shared" si="1008"/>
        <v>0</v>
      </c>
      <c r="AC1565" s="39"/>
      <c r="AD1565" s="39"/>
      <c r="AE1565" s="39"/>
      <c r="AF1565" s="39"/>
      <c r="AG1565" s="39"/>
      <c r="AH1565" s="39">
        <f t="shared" si="995"/>
        <v>0</v>
      </c>
      <c r="AI1565" s="39"/>
      <c r="AJ1565" s="39"/>
      <c r="AK1565" s="39"/>
      <c r="AL1565" s="39"/>
      <c r="AM1565" s="39"/>
      <c r="AN1565" s="39">
        <f t="shared" si="991"/>
        <v>0</v>
      </c>
      <c r="AO1565" s="39"/>
      <c r="AP1565" s="39"/>
      <c r="AQ1565" s="39"/>
      <c r="AR1565" s="39"/>
      <c r="AS1565" s="39"/>
      <c r="AT1565" s="39">
        <f t="shared" si="896"/>
        <v>0</v>
      </c>
      <c r="AU1565" s="39"/>
      <c r="AV1565" s="39"/>
      <c r="AW1565" s="39"/>
      <c r="AX1565" s="39"/>
      <c r="AY1565" s="39"/>
      <c r="AZ1565" s="39">
        <f t="shared" si="897"/>
        <v>0</v>
      </c>
      <c r="BA1565" s="39"/>
      <c r="BB1565" s="39"/>
      <c r="BC1565" s="39"/>
      <c r="BD1565" s="39"/>
      <c r="BE1565" s="39"/>
      <c r="BF1565" s="39">
        <f t="shared" si="898"/>
        <v>0</v>
      </c>
      <c r="BG1565" s="39"/>
      <c r="BH1565" s="39"/>
      <c r="BI1565" s="39"/>
      <c r="BJ1565" s="39"/>
      <c r="BK1565" s="39"/>
      <c r="BL1565" s="39">
        <f t="shared" si="996"/>
        <v>0</v>
      </c>
      <c r="BM1565" s="54" t="e">
        <f t="shared" si="899"/>
        <v>#DIV/0!</v>
      </c>
      <c r="BN1565" s="59">
        <v>46279</v>
      </c>
      <c r="BO1565" s="57">
        <v>46293</v>
      </c>
      <c r="BP1565" s="36"/>
      <c r="BQ1565" s="36"/>
      <c r="BR1565" s="39"/>
      <c r="BS1565" s="39"/>
      <c r="BT1565" s="39"/>
      <c r="BU1565" s="39"/>
      <c r="BV1565" s="39"/>
      <c r="BW1565" s="39"/>
      <c r="BX1565" s="39"/>
      <c r="BY1565" s="39"/>
      <c r="BZ1565" s="39">
        <f t="shared" si="997"/>
        <v>0</v>
      </c>
      <c r="CA1565" s="39" t="e">
        <f t="shared" si="900"/>
        <v>#VALUE!</v>
      </c>
      <c r="CB1565" s="39">
        <f t="shared" si="901"/>
        <v>0</v>
      </c>
      <c r="CC1565" s="39">
        <f t="shared" si="902"/>
        <v>0</v>
      </c>
      <c r="CD1565" s="39">
        <f t="shared" si="998"/>
        <v>0</v>
      </c>
      <c r="CE1565" s="102" t="e">
        <f t="shared" si="903"/>
        <v>#DIV/0!</v>
      </c>
      <c r="CF1565" s="36"/>
      <c r="CG1565" s="39" t="s">
        <v>242</v>
      </c>
      <c r="CH1565" s="39"/>
      <c r="CI1565" s="25">
        <v>2</v>
      </c>
    </row>
    <row r="1566" spans="1:87" ht="24.75" customHeight="1">
      <c r="A1566" s="36" t="s">
        <v>46</v>
      </c>
      <c r="B1566" s="30">
        <v>48036</v>
      </c>
      <c r="C1566" s="227" t="s">
        <v>1940</v>
      </c>
      <c r="D1566" s="23"/>
      <c r="E1566" s="39">
        <v>180</v>
      </c>
      <c r="F1566" s="39" t="s">
        <v>55</v>
      </c>
      <c r="G1566" s="36" t="s">
        <v>1939</v>
      </c>
      <c r="H1566" s="36" t="s">
        <v>207</v>
      </c>
      <c r="I1566" s="39">
        <v>914</v>
      </c>
      <c r="J1566" s="39"/>
      <c r="K1566" s="39"/>
      <c r="L1566" s="39">
        <f t="shared" si="1012"/>
        <v>914</v>
      </c>
      <c r="M1566" s="117">
        <v>46266</v>
      </c>
      <c r="N1566" s="117">
        <v>46277</v>
      </c>
      <c r="O1566" s="39"/>
      <c r="P1566" s="39"/>
      <c r="Q1566" s="39"/>
      <c r="R1566" s="39">
        <f t="shared" si="1013"/>
        <v>0</v>
      </c>
      <c r="S1566" s="39" t="s">
        <v>130</v>
      </c>
      <c r="T1566" s="39">
        <v>109382</v>
      </c>
      <c r="U1566" s="117">
        <v>46277</v>
      </c>
      <c r="V1566" s="39"/>
      <c r="W1566" s="39"/>
      <c r="X1566" s="39"/>
      <c r="Y1566" s="39">
        <v>1026</v>
      </c>
      <c r="Z1566" s="39"/>
      <c r="AA1566" s="39"/>
      <c r="AB1566" s="119">
        <f t="shared" si="1008"/>
        <v>1026</v>
      </c>
      <c r="AC1566" s="39"/>
      <c r="AD1566" s="39"/>
      <c r="AE1566" s="39"/>
      <c r="AF1566" s="39"/>
      <c r="AG1566" s="39"/>
      <c r="AH1566" s="39">
        <f t="shared" si="995"/>
        <v>0</v>
      </c>
      <c r="AI1566" s="39"/>
      <c r="AJ1566" s="39"/>
      <c r="AK1566" s="39"/>
      <c r="AL1566" s="39"/>
      <c r="AM1566" s="39"/>
      <c r="AN1566" s="39">
        <f t="shared" si="991"/>
        <v>0</v>
      </c>
      <c r="AO1566" s="39"/>
      <c r="AP1566" s="39"/>
      <c r="AQ1566" s="39"/>
      <c r="AR1566" s="39"/>
      <c r="AS1566" s="39"/>
      <c r="AT1566" s="39">
        <f t="shared" si="896"/>
        <v>0</v>
      </c>
      <c r="AU1566" s="39"/>
      <c r="AV1566" s="39"/>
      <c r="AW1566" s="39"/>
      <c r="AX1566" s="39"/>
      <c r="AY1566" s="39"/>
      <c r="AZ1566" s="39">
        <f t="shared" si="897"/>
        <v>0</v>
      </c>
      <c r="BA1566" s="39"/>
      <c r="BB1566" s="39"/>
      <c r="BC1566" s="39"/>
      <c r="BD1566" s="39"/>
      <c r="BE1566" s="39"/>
      <c r="BF1566" s="39">
        <f t="shared" si="898"/>
        <v>0</v>
      </c>
      <c r="BG1566" s="39"/>
      <c r="BH1566" s="39"/>
      <c r="BI1566" s="39"/>
      <c r="BJ1566" s="39"/>
      <c r="BK1566" s="39"/>
      <c r="BL1566" s="39">
        <f t="shared" si="996"/>
        <v>0</v>
      </c>
      <c r="BM1566" s="54" t="str">
        <f t="shared" si="899"/>
        <v/>
      </c>
      <c r="BN1566" s="59">
        <v>46279</v>
      </c>
      <c r="BO1566" s="57">
        <v>46291</v>
      </c>
      <c r="BP1566" s="36"/>
      <c r="BQ1566" s="36"/>
      <c r="BR1566" s="117">
        <v>46279</v>
      </c>
      <c r="BS1566" s="117">
        <v>46279</v>
      </c>
      <c r="BT1566" s="39">
        <v>796</v>
      </c>
      <c r="BU1566" s="39">
        <v>919</v>
      </c>
      <c r="BV1566" s="39"/>
      <c r="BW1566" s="39"/>
      <c r="BX1566" s="39"/>
      <c r="BY1566" s="39"/>
      <c r="BZ1566" s="39">
        <f t="shared" si="997"/>
        <v>919</v>
      </c>
      <c r="CA1566" s="39">
        <f t="shared" si="900"/>
        <v>5</v>
      </c>
      <c r="CB1566" s="39">
        <f t="shared" si="901"/>
        <v>0</v>
      </c>
      <c r="CC1566" s="39">
        <f t="shared" si="902"/>
        <v>0</v>
      </c>
      <c r="CD1566" s="39">
        <f t="shared" si="998"/>
        <v>0</v>
      </c>
      <c r="CE1566" s="102">
        <f t="shared" si="903"/>
        <v>0</v>
      </c>
      <c r="CF1566" s="36"/>
      <c r="CG1566" s="39" t="s">
        <v>242</v>
      </c>
      <c r="CH1566" s="39"/>
      <c r="CI1566" s="25">
        <v>2</v>
      </c>
    </row>
    <row r="1567" spans="1:87" ht="24.75" customHeight="1">
      <c r="A1567" s="36" t="s">
        <v>46</v>
      </c>
      <c r="B1567" s="30">
        <v>48036</v>
      </c>
      <c r="C1567" s="231"/>
      <c r="D1567" s="23"/>
      <c r="E1567" s="39">
        <v>180</v>
      </c>
      <c r="F1567" s="39" t="s">
        <v>55</v>
      </c>
      <c r="G1567" s="36" t="s">
        <v>449</v>
      </c>
      <c r="H1567" s="36" t="s">
        <v>207</v>
      </c>
      <c r="I1567" s="39">
        <v>527</v>
      </c>
      <c r="J1567" s="39"/>
      <c r="K1567" s="39"/>
      <c r="L1567" s="39">
        <f t="shared" si="1012"/>
        <v>527</v>
      </c>
      <c r="M1567" s="117">
        <v>46266</v>
      </c>
      <c r="N1567" s="117">
        <v>46277</v>
      </c>
      <c r="O1567" s="39"/>
      <c r="P1567" s="39"/>
      <c r="Q1567" s="39"/>
      <c r="R1567" s="39">
        <f t="shared" si="1013"/>
        <v>0</v>
      </c>
      <c r="S1567" s="39" t="s">
        <v>130</v>
      </c>
      <c r="T1567" s="39"/>
      <c r="U1567" s="39"/>
      <c r="V1567" s="39"/>
      <c r="W1567" s="39"/>
      <c r="X1567" s="39"/>
      <c r="Y1567" s="39"/>
      <c r="Z1567" s="39"/>
      <c r="AA1567" s="39"/>
      <c r="AB1567" s="118">
        <f t="shared" si="1008"/>
        <v>0</v>
      </c>
      <c r="AC1567" s="39"/>
      <c r="AD1567" s="39"/>
      <c r="AE1567" s="39"/>
      <c r="AF1567" s="39"/>
      <c r="AG1567" s="39"/>
      <c r="AH1567" s="39">
        <f t="shared" si="995"/>
        <v>0</v>
      </c>
      <c r="AI1567" s="39"/>
      <c r="AJ1567" s="39"/>
      <c r="AK1567" s="39"/>
      <c r="AL1567" s="39"/>
      <c r="AM1567" s="39"/>
      <c r="AN1567" s="39">
        <f t="shared" si="991"/>
        <v>0</v>
      </c>
      <c r="AO1567" s="39"/>
      <c r="AP1567" s="39"/>
      <c r="AQ1567" s="39"/>
      <c r="AR1567" s="39"/>
      <c r="AS1567" s="39"/>
      <c r="AT1567" s="39">
        <f t="shared" si="896"/>
        <v>0</v>
      </c>
      <c r="AU1567" s="39"/>
      <c r="AV1567" s="39"/>
      <c r="AW1567" s="39"/>
      <c r="AX1567" s="39"/>
      <c r="AY1567" s="39"/>
      <c r="AZ1567" s="39">
        <f t="shared" si="897"/>
        <v>0</v>
      </c>
      <c r="BA1567" s="39"/>
      <c r="BB1567" s="39"/>
      <c r="BC1567" s="39"/>
      <c r="BD1567" s="39"/>
      <c r="BE1567" s="39"/>
      <c r="BF1567" s="39">
        <f t="shared" si="898"/>
        <v>0</v>
      </c>
      <c r="BG1567" s="39"/>
      <c r="BH1567" s="39"/>
      <c r="BI1567" s="39"/>
      <c r="BJ1567" s="39"/>
      <c r="BK1567" s="39"/>
      <c r="BL1567" s="39">
        <f t="shared" si="996"/>
        <v>0</v>
      </c>
      <c r="BM1567" s="54">
        <f t="shared" ca="1" si="899"/>
        <v>46283</v>
      </c>
      <c r="BN1567" s="59">
        <v>46279</v>
      </c>
      <c r="BO1567" s="57">
        <v>46291</v>
      </c>
      <c r="BP1567" s="36"/>
      <c r="BQ1567" s="36"/>
      <c r="BR1567" s="39"/>
      <c r="BS1567" s="39"/>
      <c r="BT1567" s="39"/>
      <c r="BU1567" s="39"/>
      <c r="BV1567" s="39"/>
      <c r="BW1567" s="39"/>
      <c r="BX1567" s="39"/>
      <c r="BY1567" s="39"/>
      <c r="BZ1567" s="39">
        <f t="shared" si="997"/>
        <v>0</v>
      </c>
      <c r="CA1567" s="39">
        <f t="shared" si="900"/>
        <v>-527</v>
      </c>
      <c r="CB1567" s="39">
        <f t="shared" si="901"/>
        <v>0</v>
      </c>
      <c r="CC1567" s="39">
        <f t="shared" si="902"/>
        <v>0</v>
      </c>
      <c r="CD1567" s="39">
        <f t="shared" si="998"/>
        <v>-527</v>
      </c>
      <c r="CE1567" s="102">
        <f t="shared" si="903"/>
        <v>-1</v>
      </c>
      <c r="CF1567" s="36"/>
      <c r="CG1567" s="39" t="s">
        <v>242</v>
      </c>
      <c r="CH1567" s="39"/>
      <c r="CI1567" s="25">
        <v>2</v>
      </c>
    </row>
    <row r="1568" spans="1:87" ht="24.75" customHeight="1">
      <c r="A1568" s="36" t="s">
        <v>46</v>
      </c>
      <c r="B1568" s="30">
        <v>48036</v>
      </c>
      <c r="C1568" s="228"/>
      <c r="D1568" s="23"/>
      <c r="E1568" s="39"/>
      <c r="F1568" s="39"/>
      <c r="G1568" s="36" t="s">
        <v>208</v>
      </c>
      <c r="H1568" s="36">
        <f>129+74</f>
        <v>203</v>
      </c>
      <c r="I1568" s="39" t="s">
        <v>90</v>
      </c>
      <c r="J1568" s="39"/>
      <c r="K1568" s="39"/>
      <c r="L1568" s="39">
        <f t="shared" si="1012"/>
        <v>0</v>
      </c>
      <c r="M1568" s="117">
        <v>46266</v>
      </c>
      <c r="N1568" s="117">
        <v>46277</v>
      </c>
      <c r="O1568" s="39"/>
      <c r="P1568" s="39"/>
      <c r="Q1568" s="39"/>
      <c r="R1568" s="39">
        <f t="shared" si="1013"/>
        <v>0</v>
      </c>
      <c r="S1568" s="39" t="s">
        <v>130</v>
      </c>
      <c r="T1568" s="39"/>
      <c r="U1568" s="39"/>
      <c r="V1568" s="39"/>
      <c r="W1568" s="39"/>
      <c r="X1568" s="39"/>
      <c r="Y1568" s="39"/>
      <c r="Z1568" s="39"/>
      <c r="AA1568" s="39"/>
      <c r="AB1568" s="39">
        <f t="shared" si="1008"/>
        <v>0</v>
      </c>
      <c r="AC1568" s="39"/>
      <c r="AD1568" s="39"/>
      <c r="AE1568" s="39"/>
      <c r="AF1568" s="39"/>
      <c r="AG1568" s="39"/>
      <c r="AH1568" s="39">
        <f t="shared" si="995"/>
        <v>0</v>
      </c>
      <c r="AI1568" s="39"/>
      <c r="AJ1568" s="39"/>
      <c r="AK1568" s="39"/>
      <c r="AL1568" s="39"/>
      <c r="AM1568" s="39"/>
      <c r="AN1568" s="39">
        <f t="shared" si="991"/>
        <v>0</v>
      </c>
      <c r="AO1568" s="39"/>
      <c r="AP1568" s="39"/>
      <c r="AQ1568" s="39"/>
      <c r="AR1568" s="39"/>
      <c r="AS1568" s="39"/>
      <c r="AT1568" s="39">
        <f t="shared" si="896"/>
        <v>0</v>
      </c>
      <c r="AU1568" s="39"/>
      <c r="AV1568" s="39"/>
      <c r="AW1568" s="39"/>
      <c r="AX1568" s="39"/>
      <c r="AY1568" s="39"/>
      <c r="AZ1568" s="39">
        <f t="shared" si="897"/>
        <v>0</v>
      </c>
      <c r="BA1568" s="39"/>
      <c r="BB1568" s="39"/>
      <c r="BC1568" s="39"/>
      <c r="BD1568" s="39"/>
      <c r="BE1568" s="39"/>
      <c r="BF1568" s="39">
        <f t="shared" si="898"/>
        <v>0</v>
      </c>
      <c r="BG1568" s="39"/>
      <c r="BH1568" s="39"/>
      <c r="BI1568" s="39"/>
      <c r="BJ1568" s="39"/>
      <c r="BK1568" s="39"/>
      <c r="BL1568" s="39">
        <f t="shared" si="996"/>
        <v>0</v>
      </c>
      <c r="BM1568" s="54" t="e">
        <f t="shared" si="899"/>
        <v>#DIV/0!</v>
      </c>
      <c r="BN1568" s="59">
        <v>46279</v>
      </c>
      <c r="BO1568" s="57">
        <v>46291</v>
      </c>
      <c r="BP1568" s="36"/>
      <c r="BQ1568" s="36"/>
      <c r="BR1568" s="39"/>
      <c r="BS1568" s="39"/>
      <c r="BT1568" s="39"/>
      <c r="BU1568" s="39"/>
      <c r="BV1568" s="39"/>
      <c r="BW1568" s="39"/>
      <c r="BX1568" s="39"/>
      <c r="BY1568" s="39"/>
      <c r="BZ1568" s="39">
        <f t="shared" si="997"/>
        <v>0</v>
      </c>
      <c r="CA1568" s="39" t="e">
        <f t="shared" si="900"/>
        <v>#VALUE!</v>
      </c>
      <c r="CB1568" s="39">
        <f t="shared" si="901"/>
        <v>0</v>
      </c>
      <c r="CC1568" s="39">
        <f t="shared" si="902"/>
        <v>0</v>
      </c>
      <c r="CD1568" s="39">
        <f t="shared" si="998"/>
        <v>0</v>
      </c>
      <c r="CE1568" s="102" t="e">
        <f t="shared" si="903"/>
        <v>#DIV/0!</v>
      </c>
      <c r="CF1568" s="36"/>
      <c r="CG1568" s="39" t="s">
        <v>242</v>
      </c>
      <c r="CH1568" s="39"/>
      <c r="CI1568" s="25">
        <v>2</v>
      </c>
    </row>
    <row r="1569" spans="1:87" ht="24.75" customHeight="1">
      <c r="A1569" s="36" t="s">
        <v>46</v>
      </c>
      <c r="B1569" s="30">
        <v>48132</v>
      </c>
      <c r="C1569" s="36" t="s">
        <v>2924</v>
      </c>
      <c r="D1569" s="23" t="s">
        <v>37</v>
      </c>
      <c r="E1569" s="39">
        <v>200</v>
      </c>
      <c r="F1569" s="39" t="s">
        <v>58</v>
      </c>
      <c r="G1569" s="36" t="s">
        <v>420</v>
      </c>
      <c r="H1569" s="36" t="s">
        <v>212</v>
      </c>
      <c r="I1569" s="39">
        <f>311+127</f>
        <v>438</v>
      </c>
      <c r="J1569" s="39"/>
      <c r="K1569" s="39">
        <f>110+46</f>
        <v>156</v>
      </c>
      <c r="L1569" s="39">
        <f t="shared" si="1012"/>
        <v>594</v>
      </c>
      <c r="M1569" s="117">
        <v>46266</v>
      </c>
      <c r="N1569" s="117">
        <v>46275</v>
      </c>
      <c r="O1569" s="39"/>
      <c r="P1569" s="39"/>
      <c r="Q1569" s="39"/>
      <c r="R1569" s="39">
        <f t="shared" si="1013"/>
        <v>0</v>
      </c>
      <c r="S1569" s="39" t="s">
        <v>130</v>
      </c>
      <c r="T1569" s="39"/>
      <c r="U1569" s="39"/>
      <c r="V1569" s="39"/>
      <c r="W1569" s="39"/>
      <c r="X1569" s="39"/>
      <c r="Y1569" s="39"/>
      <c r="Z1569" s="39"/>
      <c r="AA1569" s="39"/>
      <c r="AB1569" s="118">
        <f t="shared" si="1008"/>
        <v>0</v>
      </c>
      <c r="AC1569" s="39"/>
      <c r="AD1569" s="39"/>
      <c r="AE1569" s="39"/>
      <c r="AF1569" s="39"/>
      <c r="AG1569" s="39"/>
      <c r="AH1569" s="39">
        <f t="shared" si="995"/>
        <v>0</v>
      </c>
      <c r="AI1569" s="39"/>
      <c r="AJ1569" s="39"/>
      <c r="AK1569" s="39"/>
      <c r="AL1569" s="39"/>
      <c r="AM1569" s="39"/>
      <c r="AN1569" s="39">
        <f t="shared" si="991"/>
        <v>0</v>
      </c>
      <c r="AO1569" s="39"/>
      <c r="AP1569" s="39"/>
      <c r="AQ1569" s="39"/>
      <c r="AR1569" s="39"/>
      <c r="AS1569" s="39"/>
      <c r="AT1569" s="39">
        <f t="shared" si="896"/>
        <v>0</v>
      </c>
      <c r="AU1569" s="39"/>
      <c r="AV1569" s="39"/>
      <c r="AW1569" s="39"/>
      <c r="AX1569" s="39"/>
      <c r="AY1569" s="39"/>
      <c r="AZ1569" s="39">
        <f t="shared" si="897"/>
        <v>0</v>
      </c>
      <c r="BA1569" s="39"/>
      <c r="BB1569" s="39"/>
      <c r="BC1569" s="39"/>
      <c r="BD1569" s="39"/>
      <c r="BE1569" s="39"/>
      <c r="BF1569" s="39">
        <f t="shared" si="898"/>
        <v>0</v>
      </c>
      <c r="BG1569" s="39"/>
      <c r="BH1569" s="39"/>
      <c r="BI1569" s="39"/>
      <c r="BJ1569" s="39"/>
      <c r="BK1569" s="39"/>
      <c r="BL1569" s="39">
        <f t="shared" si="996"/>
        <v>0</v>
      </c>
      <c r="BM1569" s="54">
        <f t="shared" ca="1" si="899"/>
        <v>46283</v>
      </c>
      <c r="BN1569" s="59">
        <v>46276</v>
      </c>
      <c r="BO1569" s="57">
        <v>46284</v>
      </c>
      <c r="BP1569" s="57">
        <v>46286</v>
      </c>
      <c r="BQ1569" s="57">
        <v>46295</v>
      </c>
      <c r="BR1569" s="39"/>
      <c r="BS1569" s="39"/>
      <c r="BT1569" s="39"/>
      <c r="BU1569" s="39"/>
      <c r="BV1569" s="39"/>
      <c r="BW1569" s="39"/>
      <c r="BX1569" s="39"/>
      <c r="BY1569" s="39"/>
      <c r="BZ1569" s="39">
        <f t="shared" si="997"/>
        <v>0</v>
      </c>
      <c r="CA1569" s="39">
        <f t="shared" si="900"/>
        <v>-438</v>
      </c>
      <c r="CB1569" s="39">
        <f t="shared" si="901"/>
        <v>0</v>
      </c>
      <c r="CC1569" s="39">
        <f t="shared" si="902"/>
        <v>-156</v>
      </c>
      <c r="CD1569" s="39">
        <f t="shared" si="998"/>
        <v>-594</v>
      </c>
      <c r="CE1569" s="102">
        <f t="shared" si="903"/>
        <v>-1</v>
      </c>
      <c r="CF1569" s="36"/>
      <c r="CG1569" s="39" t="s">
        <v>245</v>
      </c>
      <c r="CH1569" s="39"/>
      <c r="CI1569" s="25">
        <v>2</v>
      </c>
    </row>
    <row r="1570" spans="1:87" ht="24.75" customHeight="1">
      <c r="A1570" s="36" t="s">
        <v>46</v>
      </c>
      <c r="B1570" s="30">
        <v>47864</v>
      </c>
      <c r="C1570" s="227" t="s">
        <v>1941</v>
      </c>
      <c r="D1570" s="23"/>
      <c r="E1570" s="39">
        <v>180</v>
      </c>
      <c r="F1570" s="39" t="s">
        <v>55</v>
      </c>
      <c r="G1570" s="36" t="s">
        <v>1091</v>
      </c>
      <c r="H1570" s="36" t="s">
        <v>127</v>
      </c>
      <c r="I1570" s="39">
        <v>434</v>
      </c>
      <c r="J1570" s="39"/>
      <c r="K1570" s="39"/>
      <c r="L1570" s="39">
        <f t="shared" si="1012"/>
        <v>434</v>
      </c>
      <c r="M1570" s="117">
        <v>46266</v>
      </c>
      <c r="N1570" s="117">
        <v>46275</v>
      </c>
      <c r="O1570" s="39"/>
      <c r="P1570" s="39"/>
      <c r="Q1570" s="39"/>
      <c r="R1570" s="39">
        <f t="shared" si="1013"/>
        <v>0</v>
      </c>
      <c r="S1570" s="39" t="s">
        <v>130</v>
      </c>
      <c r="T1570" s="39"/>
      <c r="U1570" s="39"/>
      <c r="V1570" s="39"/>
      <c r="W1570" s="39"/>
      <c r="X1570" s="39"/>
      <c r="Y1570" s="39"/>
      <c r="Z1570" s="39"/>
      <c r="AA1570" s="39"/>
      <c r="AB1570" s="118">
        <f t="shared" si="1008"/>
        <v>0</v>
      </c>
      <c r="AC1570" s="39"/>
      <c r="AD1570" s="39"/>
      <c r="AE1570" s="39"/>
      <c r="AF1570" s="39"/>
      <c r="AG1570" s="39"/>
      <c r="AH1570" s="39">
        <f t="shared" si="995"/>
        <v>0</v>
      </c>
      <c r="AI1570" s="39"/>
      <c r="AJ1570" s="39"/>
      <c r="AK1570" s="39"/>
      <c r="AL1570" s="39"/>
      <c r="AM1570" s="39"/>
      <c r="AN1570" s="39">
        <f t="shared" si="991"/>
        <v>0</v>
      </c>
      <c r="AO1570" s="39"/>
      <c r="AP1570" s="39"/>
      <c r="AQ1570" s="39"/>
      <c r="AR1570" s="39"/>
      <c r="AS1570" s="39"/>
      <c r="AT1570" s="39">
        <f t="shared" si="896"/>
        <v>0</v>
      </c>
      <c r="AU1570" s="39"/>
      <c r="AV1570" s="39"/>
      <c r="AW1570" s="39"/>
      <c r="AX1570" s="39"/>
      <c r="AY1570" s="39"/>
      <c r="AZ1570" s="39">
        <f t="shared" si="897"/>
        <v>0</v>
      </c>
      <c r="BA1570" s="39"/>
      <c r="BB1570" s="39"/>
      <c r="BC1570" s="39"/>
      <c r="BD1570" s="39"/>
      <c r="BE1570" s="39"/>
      <c r="BF1570" s="39">
        <f t="shared" si="898"/>
        <v>0</v>
      </c>
      <c r="BG1570" s="39"/>
      <c r="BH1570" s="39"/>
      <c r="BI1570" s="39"/>
      <c r="BJ1570" s="39"/>
      <c r="BK1570" s="39"/>
      <c r="BL1570" s="39">
        <f t="shared" si="996"/>
        <v>0</v>
      </c>
      <c r="BM1570" s="54">
        <f t="shared" ca="1" si="899"/>
        <v>46283</v>
      </c>
      <c r="BN1570" s="59">
        <v>46276</v>
      </c>
      <c r="BO1570" s="57">
        <v>46289</v>
      </c>
      <c r="BP1570" s="36"/>
      <c r="BQ1570" s="36"/>
      <c r="BR1570" s="39"/>
      <c r="BS1570" s="39"/>
      <c r="BT1570" s="39"/>
      <c r="BU1570" s="39"/>
      <c r="BV1570" s="39"/>
      <c r="BW1570" s="39"/>
      <c r="BX1570" s="39"/>
      <c r="BY1570" s="39"/>
      <c r="BZ1570" s="39">
        <f t="shared" si="997"/>
        <v>0</v>
      </c>
      <c r="CA1570" s="39">
        <f t="shared" si="900"/>
        <v>-434</v>
      </c>
      <c r="CB1570" s="39">
        <f t="shared" si="901"/>
        <v>0</v>
      </c>
      <c r="CC1570" s="39">
        <f t="shared" si="902"/>
        <v>0</v>
      </c>
      <c r="CD1570" s="39">
        <f t="shared" si="998"/>
        <v>-434</v>
      </c>
      <c r="CE1570" s="102">
        <f t="shared" si="903"/>
        <v>-1</v>
      </c>
      <c r="CF1570" s="36"/>
      <c r="CG1570" s="39" t="s">
        <v>242</v>
      </c>
      <c r="CH1570" s="39"/>
      <c r="CI1570" s="25">
        <v>2</v>
      </c>
    </row>
    <row r="1571" spans="1:87" ht="24.75" customHeight="1">
      <c r="A1571" s="36" t="s">
        <v>46</v>
      </c>
      <c r="B1571" s="30">
        <v>47864</v>
      </c>
      <c r="C1571" s="231"/>
      <c r="D1571" s="23"/>
      <c r="E1571" s="39">
        <v>180</v>
      </c>
      <c r="F1571" s="39" t="s">
        <v>55</v>
      </c>
      <c r="G1571" s="36" t="s">
        <v>342</v>
      </c>
      <c r="H1571" s="36" t="s">
        <v>127</v>
      </c>
      <c r="I1571" s="39">
        <v>316</v>
      </c>
      <c r="J1571" s="39"/>
      <c r="K1571" s="39"/>
      <c r="L1571" s="39">
        <f t="shared" si="1012"/>
        <v>316</v>
      </c>
      <c r="M1571" s="117">
        <v>46266</v>
      </c>
      <c r="N1571" s="117">
        <v>46275</v>
      </c>
      <c r="O1571" s="39"/>
      <c r="P1571" s="39"/>
      <c r="Q1571" s="39"/>
      <c r="R1571" s="39">
        <f t="shared" si="1013"/>
        <v>0</v>
      </c>
      <c r="S1571" s="39" t="s">
        <v>130</v>
      </c>
      <c r="T1571" s="39"/>
      <c r="U1571" s="39"/>
      <c r="V1571" s="39"/>
      <c r="W1571" s="39"/>
      <c r="X1571" s="39"/>
      <c r="Y1571" s="39"/>
      <c r="Z1571" s="39"/>
      <c r="AA1571" s="39"/>
      <c r="AB1571" s="118">
        <f t="shared" si="1008"/>
        <v>0</v>
      </c>
      <c r="AC1571" s="39"/>
      <c r="AD1571" s="39"/>
      <c r="AE1571" s="39"/>
      <c r="AF1571" s="39"/>
      <c r="AG1571" s="39"/>
      <c r="AH1571" s="39">
        <f t="shared" si="995"/>
        <v>0</v>
      </c>
      <c r="AI1571" s="39"/>
      <c r="AJ1571" s="39"/>
      <c r="AK1571" s="39"/>
      <c r="AL1571" s="39"/>
      <c r="AM1571" s="39"/>
      <c r="AN1571" s="39">
        <f t="shared" si="991"/>
        <v>0</v>
      </c>
      <c r="AO1571" s="39"/>
      <c r="AP1571" s="39"/>
      <c r="AQ1571" s="39"/>
      <c r="AR1571" s="39"/>
      <c r="AS1571" s="39"/>
      <c r="AT1571" s="39">
        <f t="shared" si="896"/>
        <v>0</v>
      </c>
      <c r="AU1571" s="39"/>
      <c r="AV1571" s="39"/>
      <c r="AW1571" s="39"/>
      <c r="AX1571" s="39"/>
      <c r="AY1571" s="39"/>
      <c r="AZ1571" s="39">
        <f t="shared" si="897"/>
        <v>0</v>
      </c>
      <c r="BA1571" s="39"/>
      <c r="BB1571" s="39"/>
      <c r="BC1571" s="39"/>
      <c r="BD1571" s="39"/>
      <c r="BE1571" s="39"/>
      <c r="BF1571" s="39">
        <f t="shared" si="898"/>
        <v>0</v>
      </c>
      <c r="BG1571" s="39"/>
      <c r="BH1571" s="39"/>
      <c r="BI1571" s="39"/>
      <c r="BJ1571" s="39"/>
      <c r="BK1571" s="39"/>
      <c r="BL1571" s="39">
        <f t="shared" si="996"/>
        <v>0</v>
      </c>
      <c r="BM1571" s="54">
        <f t="shared" ca="1" si="899"/>
        <v>46283</v>
      </c>
      <c r="BN1571" s="59">
        <v>46276</v>
      </c>
      <c r="BO1571" s="57">
        <v>46289</v>
      </c>
      <c r="BP1571" s="36"/>
      <c r="BQ1571" s="36"/>
      <c r="BR1571" s="39"/>
      <c r="BS1571" s="39"/>
      <c r="BT1571" s="39"/>
      <c r="BU1571" s="39"/>
      <c r="BV1571" s="39"/>
      <c r="BW1571" s="39"/>
      <c r="BX1571" s="39"/>
      <c r="BY1571" s="39"/>
      <c r="BZ1571" s="39">
        <f t="shared" si="997"/>
        <v>0</v>
      </c>
      <c r="CA1571" s="39">
        <f t="shared" si="900"/>
        <v>-316</v>
      </c>
      <c r="CB1571" s="39">
        <f t="shared" si="901"/>
        <v>0</v>
      </c>
      <c r="CC1571" s="39">
        <f t="shared" si="902"/>
        <v>0</v>
      </c>
      <c r="CD1571" s="39">
        <f t="shared" si="998"/>
        <v>-316</v>
      </c>
      <c r="CE1571" s="102">
        <f t="shared" si="903"/>
        <v>-1</v>
      </c>
      <c r="CF1571" s="36"/>
      <c r="CG1571" s="39" t="s">
        <v>242</v>
      </c>
      <c r="CH1571" s="39"/>
      <c r="CI1571" s="25">
        <v>2</v>
      </c>
    </row>
    <row r="1572" spans="1:87" ht="24.75" customHeight="1">
      <c r="A1572" s="36" t="s">
        <v>46</v>
      </c>
      <c r="B1572" s="30">
        <v>47864</v>
      </c>
      <c r="C1572" s="228"/>
      <c r="D1572" s="23"/>
      <c r="E1572" s="39">
        <v>180</v>
      </c>
      <c r="F1572" s="39" t="s">
        <v>55</v>
      </c>
      <c r="G1572" s="36" t="s">
        <v>1942</v>
      </c>
      <c r="H1572" s="36" t="s">
        <v>127</v>
      </c>
      <c r="I1572" s="39">
        <v>238</v>
      </c>
      <c r="J1572" s="39"/>
      <c r="K1572" s="39"/>
      <c r="L1572" s="39">
        <f t="shared" si="1012"/>
        <v>238</v>
      </c>
      <c r="M1572" s="117">
        <v>46266</v>
      </c>
      <c r="N1572" s="117">
        <v>46275</v>
      </c>
      <c r="O1572" s="39"/>
      <c r="P1572" s="39"/>
      <c r="Q1572" s="39"/>
      <c r="R1572" s="39">
        <f t="shared" si="1013"/>
        <v>0</v>
      </c>
      <c r="S1572" s="39" t="s">
        <v>130</v>
      </c>
      <c r="T1572" s="39"/>
      <c r="U1572" s="39"/>
      <c r="V1572" s="39"/>
      <c r="W1572" s="39"/>
      <c r="X1572" s="39"/>
      <c r="Y1572" s="39"/>
      <c r="Z1572" s="39"/>
      <c r="AA1572" s="39"/>
      <c r="AB1572" s="118">
        <f t="shared" si="1008"/>
        <v>0</v>
      </c>
      <c r="AC1572" s="39"/>
      <c r="AD1572" s="39"/>
      <c r="AE1572" s="39"/>
      <c r="AF1572" s="39"/>
      <c r="AG1572" s="39"/>
      <c r="AH1572" s="39">
        <f t="shared" si="995"/>
        <v>0</v>
      </c>
      <c r="AI1572" s="39"/>
      <c r="AJ1572" s="39"/>
      <c r="AK1572" s="39"/>
      <c r="AL1572" s="39"/>
      <c r="AM1572" s="39"/>
      <c r="AN1572" s="39">
        <f t="shared" si="991"/>
        <v>0</v>
      </c>
      <c r="AO1572" s="39"/>
      <c r="AP1572" s="39"/>
      <c r="AQ1572" s="39"/>
      <c r="AR1572" s="39"/>
      <c r="AS1572" s="39"/>
      <c r="AT1572" s="39">
        <f t="shared" si="896"/>
        <v>0</v>
      </c>
      <c r="AU1572" s="39"/>
      <c r="AV1572" s="39"/>
      <c r="AW1572" s="39"/>
      <c r="AX1572" s="39"/>
      <c r="AY1572" s="39"/>
      <c r="AZ1572" s="39">
        <f t="shared" si="897"/>
        <v>0</v>
      </c>
      <c r="BA1572" s="39"/>
      <c r="BB1572" s="39"/>
      <c r="BC1572" s="39"/>
      <c r="BD1572" s="39"/>
      <c r="BE1572" s="39"/>
      <c r="BF1572" s="39">
        <f t="shared" si="898"/>
        <v>0</v>
      </c>
      <c r="BG1572" s="39"/>
      <c r="BH1572" s="39"/>
      <c r="BI1572" s="39"/>
      <c r="BJ1572" s="39"/>
      <c r="BK1572" s="39"/>
      <c r="BL1572" s="39">
        <f t="shared" si="996"/>
        <v>0</v>
      </c>
      <c r="BM1572" s="54">
        <f t="shared" ca="1" si="899"/>
        <v>46283</v>
      </c>
      <c r="BN1572" s="59">
        <v>46276</v>
      </c>
      <c r="BO1572" s="57">
        <v>46289</v>
      </c>
      <c r="BP1572" s="36"/>
      <c r="BQ1572" s="36"/>
      <c r="BR1572" s="39"/>
      <c r="BS1572" s="39"/>
      <c r="BT1572" s="39"/>
      <c r="BU1572" s="39"/>
      <c r="BV1572" s="39"/>
      <c r="BW1572" s="39"/>
      <c r="BX1572" s="39"/>
      <c r="BY1572" s="39"/>
      <c r="BZ1572" s="39">
        <f t="shared" si="997"/>
        <v>0</v>
      </c>
      <c r="CA1572" s="39">
        <f t="shared" si="900"/>
        <v>-238</v>
      </c>
      <c r="CB1572" s="39">
        <f t="shared" si="901"/>
        <v>0</v>
      </c>
      <c r="CC1572" s="39">
        <f t="shared" si="902"/>
        <v>0</v>
      </c>
      <c r="CD1572" s="39">
        <f t="shared" si="998"/>
        <v>-238</v>
      </c>
      <c r="CE1572" s="102">
        <f t="shared" si="903"/>
        <v>-1</v>
      </c>
      <c r="CF1572" s="36"/>
      <c r="CG1572" s="39" t="s">
        <v>242</v>
      </c>
      <c r="CH1572" s="39"/>
      <c r="CI1572" s="25">
        <v>2</v>
      </c>
    </row>
    <row r="1573" spans="1:87" ht="24.75" customHeight="1">
      <c r="A1573" s="36" t="s">
        <v>46</v>
      </c>
      <c r="B1573" s="30">
        <v>48298</v>
      </c>
      <c r="C1573" s="144" t="s">
        <v>2275</v>
      </c>
      <c r="D1573" s="23" t="s">
        <v>24</v>
      </c>
      <c r="E1573" s="39">
        <v>160</v>
      </c>
      <c r="F1573" s="39" t="s">
        <v>56</v>
      </c>
      <c r="G1573" s="36" t="s">
        <v>1943</v>
      </c>
      <c r="H1573" s="36" t="s">
        <v>22</v>
      </c>
      <c r="I1573" s="36">
        <f>142+26</f>
        <v>168</v>
      </c>
      <c r="J1573" s="39">
        <f>81+15</f>
        <v>96</v>
      </c>
      <c r="K1573" s="39"/>
      <c r="L1573" s="39">
        <f t="shared" si="1012"/>
        <v>264</v>
      </c>
      <c r="M1573" s="117">
        <v>46266</v>
      </c>
      <c r="N1573" s="117">
        <v>46275</v>
      </c>
      <c r="O1573" s="39"/>
      <c r="P1573" s="39"/>
      <c r="Q1573" s="39"/>
      <c r="R1573" s="39">
        <f t="shared" si="1013"/>
        <v>0</v>
      </c>
      <c r="S1573" s="39" t="s">
        <v>130</v>
      </c>
      <c r="T1573" s="39"/>
      <c r="U1573" s="39"/>
      <c r="V1573" s="39"/>
      <c r="W1573" s="39"/>
      <c r="X1573" s="39"/>
      <c r="Y1573" s="39"/>
      <c r="Z1573" s="39"/>
      <c r="AA1573" s="39"/>
      <c r="AB1573" s="118">
        <f t="shared" si="1008"/>
        <v>0</v>
      </c>
      <c r="AC1573" s="39"/>
      <c r="AD1573" s="39"/>
      <c r="AE1573" s="39"/>
      <c r="AF1573" s="39"/>
      <c r="AG1573" s="39"/>
      <c r="AH1573" s="39">
        <f t="shared" si="995"/>
        <v>0</v>
      </c>
      <c r="AI1573" s="39"/>
      <c r="AJ1573" s="39"/>
      <c r="AK1573" s="39"/>
      <c r="AL1573" s="39"/>
      <c r="AM1573" s="39"/>
      <c r="AN1573" s="39">
        <f t="shared" si="991"/>
        <v>0</v>
      </c>
      <c r="AO1573" s="39"/>
      <c r="AP1573" s="39"/>
      <c r="AQ1573" s="39"/>
      <c r="AR1573" s="39"/>
      <c r="AS1573" s="39"/>
      <c r="AT1573" s="39">
        <f t="shared" si="896"/>
        <v>0</v>
      </c>
      <c r="AU1573" s="39"/>
      <c r="AV1573" s="39"/>
      <c r="AW1573" s="39"/>
      <c r="AX1573" s="39"/>
      <c r="AY1573" s="39"/>
      <c r="AZ1573" s="39">
        <f t="shared" si="897"/>
        <v>0</v>
      </c>
      <c r="BA1573" s="39"/>
      <c r="BB1573" s="39"/>
      <c r="BC1573" s="39"/>
      <c r="BD1573" s="39"/>
      <c r="BE1573" s="39"/>
      <c r="BF1573" s="39">
        <f t="shared" si="898"/>
        <v>0</v>
      </c>
      <c r="BG1573" s="39"/>
      <c r="BH1573" s="39"/>
      <c r="BI1573" s="39"/>
      <c r="BJ1573" s="39"/>
      <c r="BK1573" s="39"/>
      <c r="BL1573" s="39">
        <f t="shared" si="996"/>
        <v>0</v>
      </c>
      <c r="BM1573" s="54">
        <f t="shared" ca="1" si="899"/>
        <v>46283</v>
      </c>
      <c r="BN1573" s="59">
        <v>46276</v>
      </c>
      <c r="BO1573" s="57">
        <v>46286</v>
      </c>
      <c r="BP1573" s="36"/>
      <c r="BQ1573" s="36"/>
      <c r="BR1573" s="39"/>
      <c r="BS1573" s="39"/>
      <c r="BT1573" s="39"/>
      <c r="BU1573" s="39"/>
      <c r="BV1573" s="39"/>
      <c r="BW1573" s="39"/>
      <c r="BX1573" s="39"/>
      <c r="BY1573" s="39"/>
      <c r="BZ1573" s="39">
        <f t="shared" si="997"/>
        <v>0</v>
      </c>
      <c r="CA1573" s="39">
        <f t="shared" si="900"/>
        <v>-168</v>
      </c>
      <c r="CB1573" s="39">
        <f t="shared" si="901"/>
        <v>-96</v>
      </c>
      <c r="CC1573" s="39">
        <f t="shared" si="902"/>
        <v>0</v>
      </c>
      <c r="CD1573" s="39">
        <f t="shared" si="998"/>
        <v>-264</v>
      </c>
      <c r="CE1573" s="102">
        <f t="shared" si="903"/>
        <v>-1</v>
      </c>
      <c r="CF1573" s="36"/>
      <c r="CG1573" s="39" t="s">
        <v>242</v>
      </c>
      <c r="CH1573" s="39"/>
      <c r="CI1573" s="25">
        <v>2</v>
      </c>
    </row>
    <row r="1574" spans="1:87" ht="24.75" customHeight="1">
      <c r="A1574" s="36" t="s">
        <v>46</v>
      </c>
      <c r="B1574" s="30">
        <v>48248</v>
      </c>
      <c r="C1574" s="227" t="s">
        <v>2405</v>
      </c>
      <c r="D1574" s="23"/>
      <c r="E1574" s="39">
        <v>260</v>
      </c>
      <c r="F1574" s="39" t="s">
        <v>58</v>
      </c>
      <c r="G1574" s="36" t="s">
        <v>2010</v>
      </c>
      <c r="H1574" s="36" t="s">
        <v>111</v>
      </c>
      <c r="I1574" s="39">
        <f>847+176</f>
        <v>1023</v>
      </c>
      <c r="J1574" s="39"/>
      <c r="K1574" s="39">
        <f>34+7</f>
        <v>41</v>
      </c>
      <c r="L1574" s="39">
        <f t="shared" si="1012"/>
        <v>1064</v>
      </c>
      <c r="M1574" s="117">
        <v>46270</v>
      </c>
      <c r="N1574" s="117">
        <v>46279</v>
      </c>
      <c r="O1574" s="39"/>
      <c r="P1574" s="39"/>
      <c r="Q1574" s="39"/>
      <c r="R1574" s="39">
        <f t="shared" si="1013"/>
        <v>0</v>
      </c>
      <c r="S1574" s="39" t="s">
        <v>270</v>
      </c>
      <c r="T1574" s="39"/>
      <c r="U1574" s="39"/>
      <c r="V1574" s="39"/>
      <c r="W1574" s="39"/>
      <c r="X1574" s="39"/>
      <c r="Y1574" s="39"/>
      <c r="Z1574" s="39"/>
      <c r="AA1574" s="39"/>
      <c r="AB1574" s="118">
        <f t="shared" si="1008"/>
        <v>0</v>
      </c>
      <c r="AC1574" s="39"/>
      <c r="AD1574" s="39"/>
      <c r="AE1574" s="39"/>
      <c r="AF1574" s="39"/>
      <c r="AG1574" s="39"/>
      <c r="AH1574" s="39">
        <f t="shared" si="995"/>
        <v>0</v>
      </c>
      <c r="AI1574" s="39"/>
      <c r="AJ1574" s="39"/>
      <c r="AK1574" s="39"/>
      <c r="AL1574" s="39"/>
      <c r="AM1574" s="39"/>
      <c r="AN1574" s="39">
        <f t="shared" si="991"/>
        <v>0</v>
      </c>
      <c r="AO1574" s="39"/>
      <c r="AP1574" s="39"/>
      <c r="AQ1574" s="39"/>
      <c r="AR1574" s="39"/>
      <c r="AS1574" s="39"/>
      <c r="AT1574" s="39">
        <f t="shared" si="896"/>
        <v>0</v>
      </c>
      <c r="AU1574" s="39"/>
      <c r="AV1574" s="39"/>
      <c r="AW1574" s="39"/>
      <c r="AX1574" s="39"/>
      <c r="AY1574" s="39"/>
      <c r="AZ1574" s="39">
        <f t="shared" si="897"/>
        <v>0</v>
      </c>
      <c r="BA1574" s="39"/>
      <c r="BB1574" s="39"/>
      <c r="BC1574" s="39"/>
      <c r="BD1574" s="39"/>
      <c r="BE1574" s="39"/>
      <c r="BF1574" s="39">
        <f t="shared" si="898"/>
        <v>0</v>
      </c>
      <c r="BG1574" s="39"/>
      <c r="BH1574" s="39"/>
      <c r="BI1574" s="39"/>
      <c r="BJ1574" s="39"/>
      <c r="BK1574" s="39"/>
      <c r="BL1574" s="39">
        <f t="shared" si="996"/>
        <v>0</v>
      </c>
      <c r="BM1574" s="54">
        <f t="shared" ca="1" si="899"/>
        <v>46283</v>
      </c>
      <c r="BN1574" s="59">
        <v>46283</v>
      </c>
      <c r="BO1574" s="57">
        <v>46300</v>
      </c>
      <c r="BP1574" s="36"/>
      <c r="BQ1574" s="36"/>
      <c r="BR1574" s="39"/>
      <c r="BS1574" s="39"/>
      <c r="BT1574" s="39"/>
      <c r="BU1574" s="39"/>
      <c r="BV1574" s="39"/>
      <c r="BW1574" s="39"/>
      <c r="BX1574" s="39"/>
      <c r="BY1574" s="39"/>
      <c r="BZ1574" s="39">
        <f t="shared" si="997"/>
        <v>0</v>
      </c>
      <c r="CA1574" s="39">
        <f t="shared" si="900"/>
        <v>-1023</v>
      </c>
      <c r="CB1574" s="39">
        <f t="shared" si="901"/>
        <v>0</v>
      </c>
      <c r="CC1574" s="39">
        <f t="shared" si="902"/>
        <v>-41</v>
      </c>
      <c r="CD1574" s="39">
        <f t="shared" si="998"/>
        <v>-1064</v>
      </c>
      <c r="CE1574" s="102">
        <f t="shared" si="903"/>
        <v>-1</v>
      </c>
      <c r="CF1574" s="36"/>
      <c r="CG1574" s="39" t="s">
        <v>238</v>
      </c>
      <c r="CH1574" s="39"/>
      <c r="CI1574" s="25">
        <v>2</v>
      </c>
    </row>
    <row r="1575" spans="1:87" ht="24.75" customHeight="1">
      <c r="A1575" s="36" t="s">
        <v>46</v>
      </c>
      <c r="B1575" s="30">
        <v>48248</v>
      </c>
      <c r="C1575" s="228"/>
      <c r="D1575" s="23"/>
      <c r="E1575" s="39">
        <v>260</v>
      </c>
      <c r="F1575" s="39" t="s">
        <v>58</v>
      </c>
      <c r="G1575" s="36" t="s">
        <v>1916</v>
      </c>
      <c r="H1575" s="36" t="s">
        <v>111</v>
      </c>
      <c r="I1575" s="39">
        <f>1617+270</f>
        <v>1887</v>
      </c>
      <c r="J1575" s="39"/>
      <c r="K1575" s="39">
        <f>66+10</f>
        <v>76</v>
      </c>
      <c r="L1575" s="39">
        <f t="shared" si="1012"/>
        <v>1963</v>
      </c>
      <c r="M1575" s="117">
        <v>46270</v>
      </c>
      <c r="N1575" s="117">
        <v>46279</v>
      </c>
      <c r="O1575" s="39"/>
      <c r="P1575" s="39"/>
      <c r="Q1575" s="39"/>
      <c r="R1575" s="39">
        <f t="shared" si="1013"/>
        <v>0</v>
      </c>
      <c r="S1575" s="39" t="s">
        <v>130</v>
      </c>
      <c r="T1575" s="39"/>
      <c r="U1575" s="39"/>
      <c r="V1575" s="39"/>
      <c r="W1575" s="39"/>
      <c r="X1575" s="39"/>
      <c r="Y1575" s="39"/>
      <c r="Z1575" s="39"/>
      <c r="AA1575" s="39"/>
      <c r="AB1575" s="118">
        <f t="shared" si="1008"/>
        <v>0</v>
      </c>
      <c r="AC1575" s="39"/>
      <c r="AD1575" s="39"/>
      <c r="AE1575" s="39"/>
      <c r="AF1575" s="39"/>
      <c r="AG1575" s="39"/>
      <c r="AH1575" s="39">
        <f t="shared" si="995"/>
        <v>0</v>
      </c>
      <c r="AI1575" s="39"/>
      <c r="AJ1575" s="39"/>
      <c r="AK1575" s="39"/>
      <c r="AL1575" s="39"/>
      <c r="AM1575" s="39"/>
      <c r="AN1575" s="39">
        <f t="shared" si="991"/>
        <v>0</v>
      </c>
      <c r="AO1575" s="39"/>
      <c r="AP1575" s="39"/>
      <c r="AQ1575" s="39"/>
      <c r="AR1575" s="39"/>
      <c r="AS1575" s="39"/>
      <c r="AT1575" s="39">
        <f t="shared" si="896"/>
        <v>0</v>
      </c>
      <c r="AU1575" s="39"/>
      <c r="AV1575" s="39"/>
      <c r="AW1575" s="39"/>
      <c r="AX1575" s="39"/>
      <c r="AY1575" s="39"/>
      <c r="AZ1575" s="39">
        <f t="shared" si="897"/>
        <v>0</v>
      </c>
      <c r="BA1575" s="39"/>
      <c r="BB1575" s="39"/>
      <c r="BC1575" s="39"/>
      <c r="BD1575" s="39"/>
      <c r="BE1575" s="39"/>
      <c r="BF1575" s="39">
        <f t="shared" si="898"/>
        <v>0</v>
      </c>
      <c r="BG1575" s="39"/>
      <c r="BH1575" s="39"/>
      <c r="BI1575" s="39"/>
      <c r="BJ1575" s="39"/>
      <c r="BK1575" s="39"/>
      <c r="BL1575" s="39">
        <f t="shared" si="996"/>
        <v>0</v>
      </c>
      <c r="BM1575" s="54">
        <f t="shared" ca="1" si="899"/>
        <v>46283</v>
      </c>
      <c r="BN1575" s="59">
        <v>46283</v>
      </c>
      <c r="BO1575" s="57">
        <v>46300</v>
      </c>
      <c r="BP1575" s="36"/>
      <c r="BQ1575" s="36"/>
      <c r="BR1575" s="39"/>
      <c r="BS1575" s="39"/>
      <c r="BT1575" s="39"/>
      <c r="BU1575" s="39"/>
      <c r="BV1575" s="39"/>
      <c r="BW1575" s="39"/>
      <c r="BX1575" s="39"/>
      <c r="BY1575" s="39"/>
      <c r="BZ1575" s="39">
        <f t="shared" si="997"/>
        <v>0</v>
      </c>
      <c r="CA1575" s="39">
        <f t="shared" si="900"/>
        <v>-1887</v>
      </c>
      <c r="CB1575" s="39">
        <f t="shared" si="901"/>
        <v>0</v>
      </c>
      <c r="CC1575" s="39">
        <f t="shared" si="902"/>
        <v>-76</v>
      </c>
      <c r="CD1575" s="39">
        <f t="shared" si="998"/>
        <v>-1963</v>
      </c>
      <c r="CE1575" s="102">
        <f t="shared" si="903"/>
        <v>-1</v>
      </c>
      <c r="CF1575" s="36"/>
      <c r="CG1575" s="39" t="s">
        <v>238</v>
      </c>
      <c r="CH1575" s="39"/>
      <c r="CI1575" s="25">
        <v>2</v>
      </c>
    </row>
    <row r="1576" spans="1:87" ht="24.75" customHeight="1">
      <c r="A1576" s="36" t="s">
        <v>46</v>
      </c>
      <c r="B1576" s="30">
        <v>48250</v>
      </c>
      <c r="C1576" s="36" t="s">
        <v>2252</v>
      </c>
      <c r="D1576" s="23" t="s">
        <v>24</v>
      </c>
      <c r="E1576" s="39">
        <v>180</v>
      </c>
      <c r="F1576" s="39" t="s">
        <v>59</v>
      </c>
      <c r="G1576" s="36" t="s">
        <v>2011</v>
      </c>
      <c r="H1576" s="36" t="s">
        <v>22</v>
      </c>
      <c r="I1576" s="39">
        <f>694+259</f>
        <v>953</v>
      </c>
      <c r="J1576" s="39">
        <f>32+13</f>
        <v>45</v>
      </c>
      <c r="K1576" s="39">
        <f>15+8</f>
        <v>23</v>
      </c>
      <c r="L1576" s="39">
        <f t="shared" si="1012"/>
        <v>1021</v>
      </c>
      <c r="M1576" s="117">
        <v>46266</v>
      </c>
      <c r="N1576" s="117">
        <v>46277</v>
      </c>
      <c r="O1576" s="39"/>
      <c r="P1576" s="39"/>
      <c r="Q1576" s="39"/>
      <c r="R1576" s="39">
        <f t="shared" si="1013"/>
        <v>0</v>
      </c>
      <c r="S1576" s="39" t="s">
        <v>130</v>
      </c>
      <c r="T1576" s="39"/>
      <c r="U1576" s="39"/>
      <c r="V1576" s="39"/>
      <c r="W1576" s="39"/>
      <c r="X1576" s="39"/>
      <c r="Y1576" s="39"/>
      <c r="Z1576" s="39"/>
      <c r="AA1576" s="39"/>
      <c r="AB1576" s="118">
        <f t="shared" si="1008"/>
        <v>0</v>
      </c>
      <c r="AC1576" s="39"/>
      <c r="AD1576" s="39"/>
      <c r="AE1576" s="39"/>
      <c r="AF1576" s="39"/>
      <c r="AG1576" s="39"/>
      <c r="AH1576" s="39">
        <f t="shared" si="995"/>
        <v>0</v>
      </c>
      <c r="AI1576" s="39"/>
      <c r="AJ1576" s="39"/>
      <c r="AK1576" s="39"/>
      <c r="AL1576" s="39"/>
      <c r="AM1576" s="39"/>
      <c r="AN1576" s="39">
        <f t="shared" si="991"/>
        <v>0</v>
      </c>
      <c r="AO1576" s="39"/>
      <c r="AP1576" s="39"/>
      <c r="AQ1576" s="39"/>
      <c r="AR1576" s="39"/>
      <c r="AS1576" s="39"/>
      <c r="AT1576" s="39">
        <f t="shared" si="896"/>
        <v>0</v>
      </c>
      <c r="AU1576" s="39"/>
      <c r="AV1576" s="39"/>
      <c r="AW1576" s="39"/>
      <c r="AX1576" s="39"/>
      <c r="AY1576" s="39"/>
      <c r="AZ1576" s="39">
        <f t="shared" si="897"/>
        <v>0</v>
      </c>
      <c r="BA1576" s="39"/>
      <c r="BB1576" s="39"/>
      <c r="BC1576" s="39"/>
      <c r="BD1576" s="39"/>
      <c r="BE1576" s="39"/>
      <c r="BF1576" s="39">
        <f t="shared" si="898"/>
        <v>0</v>
      </c>
      <c r="BG1576" s="39"/>
      <c r="BH1576" s="39"/>
      <c r="BI1576" s="39"/>
      <c r="BJ1576" s="39"/>
      <c r="BK1576" s="39"/>
      <c r="BL1576" s="39">
        <f t="shared" si="996"/>
        <v>0</v>
      </c>
      <c r="BM1576" s="54">
        <f t="shared" ca="1" si="899"/>
        <v>46283</v>
      </c>
      <c r="BN1576" s="59">
        <v>46279</v>
      </c>
      <c r="BO1576" s="57">
        <v>46288</v>
      </c>
      <c r="BP1576" s="36"/>
      <c r="BQ1576" s="36"/>
      <c r="BR1576" s="39"/>
      <c r="BS1576" s="39"/>
      <c r="BT1576" s="39"/>
      <c r="BU1576" s="39"/>
      <c r="BV1576" s="39"/>
      <c r="BW1576" s="39"/>
      <c r="BX1576" s="39"/>
      <c r="BY1576" s="39"/>
      <c r="BZ1576" s="39">
        <f t="shared" si="997"/>
        <v>0</v>
      </c>
      <c r="CA1576" s="39">
        <f t="shared" si="900"/>
        <v>-953</v>
      </c>
      <c r="CB1576" s="39">
        <f t="shared" si="901"/>
        <v>-45</v>
      </c>
      <c r="CC1576" s="39">
        <f t="shared" si="902"/>
        <v>-23</v>
      </c>
      <c r="CD1576" s="39">
        <f t="shared" si="998"/>
        <v>-1021</v>
      </c>
      <c r="CE1576" s="102">
        <f t="shared" si="903"/>
        <v>-1</v>
      </c>
      <c r="CF1576" s="36"/>
      <c r="CG1576" s="39" t="s">
        <v>238</v>
      </c>
      <c r="CH1576" s="39"/>
      <c r="CI1576" s="25">
        <v>2</v>
      </c>
    </row>
    <row r="1577" spans="1:87" ht="24.75" customHeight="1">
      <c r="A1577" s="36" t="s">
        <v>46</v>
      </c>
      <c r="B1577" s="30">
        <v>48251</v>
      </c>
      <c r="C1577" s="36" t="s">
        <v>2722</v>
      </c>
      <c r="D1577" s="23" t="s">
        <v>24</v>
      </c>
      <c r="E1577" s="39">
        <v>180</v>
      </c>
      <c r="F1577" s="39" t="s">
        <v>57</v>
      </c>
      <c r="G1577" s="36" t="s">
        <v>2012</v>
      </c>
      <c r="H1577" s="36" t="s">
        <v>22</v>
      </c>
      <c r="I1577" s="39">
        <f>650+189-43</f>
        <v>796</v>
      </c>
      <c r="J1577" s="39">
        <f>74+21</f>
        <v>95</v>
      </c>
      <c r="K1577" s="39">
        <f>18+5</f>
        <v>23</v>
      </c>
      <c r="L1577" s="39">
        <f t="shared" ref="L1577:L1587" si="1014">SUM(I1577:K1577)</f>
        <v>914</v>
      </c>
      <c r="M1577" s="117">
        <v>46266</v>
      </c>
      <c r="N1577" s="117">
        <v>46277</v>
      </c>
      <c r="O1577" s="39"/>
      <c r="P1577" s="39"/>
      <c r="Q1577" s="39"/>
      <c r="R1577" s="39">
        <f t="shared" si="1013"/>
        <v>0</v>
      </c>
      <c r="S1577" s="39" t="s">
        <v>130</v>
      </c>
      <c r="T1577" s="39"/>
      <c r="U1577" s="39"/>
      <c r="V1577" s="39"/>
      <c r="W1577" s="39"/>
      <c r="X1577" s="39"/>
      <c r="Y1577" s="39"/>
      <c r="Z1577" s="39"/>
      <c r="AA1577" s="39"/>
      <c r="AB1577" s="118">
        <f t="shared" si="1008"/>
        <v>0</v>
      </c>
      <c r="AC1577" s="39"/>
      <c r="AD1577" s="39"/>
      <c r="AE1577" s="39"/>
      <c r="AF1577" s="39"/>
      <c r="AG1577" s="39"/>
      <c r="AH1577" s="39">
        <f t="shared" si="995"/>
        <v>0</v>
      </c>
      <c r="AI1577" s="39"/>
      <c r="AJ1577" s="39"/>
      <c r="AK1577" s="39"/>
      <c r="AL1577" s="39"/>
      <c r="AM1577" s="39"/>
      <c r="AN1577" s="39">
        <f t="shared" si="991"/>
        <v>0</v>
      </c>
      <c r="AO1577" s="39"/>
      <c r="AP1577" s="39"/>
      <c r="AQ1577" s="39"/>
      <c r="AR1577" s="39"/>
      <c r="AS1577" s="39"/>
      <c r="AT1577" s="39">
        <f t="shared" si="896"/>
        <v>0</v>
      </c>
      <c r="AU1577" s="39"/>
      <c r="AV1577" s="39"/>
      <c r="AW1577" s="39"/>
      <c r="AX1577" s="39"/>
      <c r="AY1577" s="39"/>
      <c r="AZ1577" s="39">
        <f t="shared" si="897"/>
        <v>0</v>
      </c>
      <c r="BA1577" s="39"/>
      <c r="BB1577" s="39"/>
      <c r="BC1577" s="39"/>
      <c r="BD1577" s="39"/>
      <c r="BE1577" s="39"/>
      <c r="BF1577" s="39">
        <f t="shared" si="898"/>
        <v>0</v>
      </c>
      <c r="BG1577" s="39"/>
      <c r="BH1577" s="39"/>
      <c r="BI1577" s="39"/>
      <c r="BJ1577" s="39"/>
      <c r="BK1577" s="39"/>
      <c r="BL1577" s="39">
        <f t="shared" si="996"/>
        <v>0</v>
      </c>
      <c r="BM1577" s="54">
        <f t="shared" ca="1" si="899"/>
        <v>46283</v>
      </c>
      <c r="BN1577" s="59">
        <v>46279</v>
      </c>
      <c r="BO1577" s="57">
        <v>46288</v>
      </c>
      <c r="BP1577" s="36"/>
      <c r="BQ1577" s="36"/>
      <c r="BR1577" s="39"/>
      <c r="BS1577" s="39"/>
      <c r="BT1577" s="39"/>
      <c r="BU1577" s="39"/>
      <c r="BV1577" s="39"/>
      <c r="BW1577" s="39"/>
      <c r="BX1577" s="39"/>
      <c r="BY1577" s="39"/>
      <c r="BZ1577" s="39">
        <f t="shared" si="997"/>
        <v>0</v>
      </c>
      <c r="CA1577" s="39">
        <f t="shared" si="900"/>
        <v>-796</v>
      </c>
      <c r="CB1577" s="39">
        <f t="shared" si="901"/>
        <v>-95</v>
      </c>
      <c r="CC1577" s="39">
        <f t="shared" si="902"/>
        <v>-23</v>
      </c>
      <c r="CD1577" s="39">
        <f t="shared" si="998"/>
        <v>-914</v>
      </c>
      <c r="CE1577" s="102">
        <f t="shared" si="903"/>
        <v>-1</v>
      </c>
      <c r="CF1577" s="36"/>
      <c r="CG1577" s="39" t="s">
        <v>238</v>
      </c>
      <c r="CH1577" s="39"/>
      <c r="CI1577" s="25">
        <v>2</v>
      </c>
    </row>
    <row r="1578" spans="1:87" ht="24.75" customHeight="1">
      <c r="A1578" s="36" t="s">
        <v>46</v>
      </c>
      <c r="B1578" s="30">
        <v>47827</v>
      </c>
      <c r="C1578" s="36" t="s">
        <v>2091</v>
      </c>
      <c r="D1578" s="23"/>
      <c r="E1578" s="39">
        <v>180</v>
      </c>
      <c r="F1578" s="39" t="s">
        <v>68</v>
      </c>
      <c r="G1578" s="36" t="s">
        <v>2089</v>
      </c>
      <c r="H1578" s="36" t="s">
        <v>300</v>
      </c>
      <c r="I1578" s="39">
        <v>667</v>
      </c>
      <c r="J1578" s="39"/>
      <c r="K1578" s="39"/>
      <c r="L1578" s="39">
        <f t="shared" si="1014"/>
        <v>667</v>
      </c>
      <c r="M1578" s="117">
        <v>46266</v>
      </c>
      <c r="N1578" s="117">
        <v>46277</v>
      </c>
      <c r="O1578" s="39"/>
      <c r="P1578" s="39"/>
      <c r="Q1578" s="39"/>
      <c r="R1578" s="39">
        <f t="shared" si="1013"/>
        <v>0</v>
      </c>
      <c r="S1578" s="39" t="s">
        <v>130</v>
      </c>
      <c r="T1578" s="39"/>
      <c r="U1578" s="39"/>
      <c r="V1578" s="39"/>
      <c r="W1578" s="39"/>
      <c r="X1578" s="39"/>
      <c r="Y1578" s="39"/>
      <c r="Z1578" s="39"/>
      <c r="AA1578" s="39"/>
      <c r="AB1578" s="118">
        <f t="shared" si="1008"/>
        <v>0</v>
      </c>
      <c r="AC1578" s="39"/>
      <c r="AD1578" s="39"/>
      <c r="AE1578" s="39"/>
      <c r="AF1578" s="39"/>
      <c r="AG1578" s="39"/>
      <c r="AH1578" s="39">
        <f t="shared" si="995"/>
        <v>0</v>
      </c>
      <c r="AI1578" s="39"/>
      <c r="AJ1578" s="39"/>
      <c r="AK1578" s="39"/>
      <c r="AL1578" s="39"/>
      <c r="AM1578" s="39"/>
      <c r="AN1578" s="39">
        <f t="shared" si="991"/>
        <v>0</v>
      </c>
      <c r="AO1578" s="39"/>
      <c r="AP1578" s="39"/>
      <c r="AQ1578" s="39"/>
      <c r="AR1578" s="39"/>
      <c r="AS1578" s="39"/>
      <c r="AT1578" s="39">
        <f t="shared" si="896"/>
        <v>0</v>
      </c>
      <c r="AU1578" s="39"/>
      <c r="AV1578" s="39"/>
      <c r="AW1578" s="39"/>
      <c r="AX1578" s="39"/>
      <c r="AY1578" s="39"/>
      <c r="AZ1578" s="39">
        <f t="shared" si="897"/>
        <v>0</v>
      </c>
      <c r="BA1578" s="39"/>
      <c r="BB1578" s="39"/>
      <c r="BC1578" s="39"/>
      <c r="BD1578" s="39"/>
      <c r="BE1578" s="39"/>
      <c r="BF1578" s="39">
        <f t="shared" si="898"/>
        <v>0</v>
      </c>
      <c r="BG1578" s="39"/>
      <c r="BH1578" s="39"/>
      <c r="BI1578" s="39"/>
      <c r="BJ1578" s="39"/>
      <c r="BK1578" s="39"/>
      <c r="BL1578" s="39">
        <f t="shared" si="996"/>
        <v>0</v>
      </c>
      <c r="BM1578" s="54">
        <f t="shared" ca="1" si="899"/>
        <v>46283</v>
      </c>
      <c r="BN1578" s="59">
        <v>46280</v>
      </c>
      <c r="BO1578" s="57">
        <v>46295</v>
      </c>
      <c r="BP1578" s="36"/>
      <c r="BQ1578" s="36"/>
      <c r="BR1578" s="39"/>
      <c r="BS1578" s="39"/>
      <c r="BT1578" s="39"/>
      <c r="BU1578" s="39"/>
      <c r="BV1578" s="39"/>
      <c r="BW1578" s="39"/>
      <c r="BX1578" s="39"/>
      <c r="BY1578" s="39"/>
      <c r="BZ1578" s="39">
        <f t="shared" si="997"/>
        <v>0</v>
      </c>
      <c r="CA1578" s="39">
        <f t="shared" si="900"/>
        <v>-667</v>
      </c>
      <c r="CB1578" s="39">
        <f t="shared" si="901"/>
        <v>0</v>
      </c>
      <c r="CC1578" s="39">
        <f t="shared" si="902"/>
        <v>0</v>
      </c>
      <c r="CD1578" s="39">
        <f t="shared" si="998"/>
        <v>-667</v>
      </c>
      <c r="CE1578" s="102">
        <f t="shared" si="903"/>
        <v>-1</v>
      </c>
      <c r="CF1578" s="36"/>
      <c r="CG1578" s="39" t="s">
        <v>242</v>
      </c>
      <c r="CH1578" s="39"/>
      <c r="CI1578" s="25">
        <v>2</v>
      </c>
    </row>
    <row r="1579" spans="1:87" ht="24.75" customHeight="1">
      <c r="A1579" s="36" t="s">
        <v>46</v>
      </c>
      <c r="B1579" s="30">
        <v>47849</v>
      </c>
      <c r="C1579" s="227" t="s">
        <v>2216</v>
      </c>
      <c r="D1579" s="23"/>
      <c r="E1579" s="39">
        <v>160</v>
      </c>
      <c r="F1579" s="39" t="s">
        <v>55</v>
      </c>
      <c r="G1579" s="36" t="s">
        <v>283</v>
      </c>
      <c r="H1579" s="36" t="s">
        <v>22</v>
      </c>
      <c r="I1579" s="39">
        <v>780</v>
      </c>
      <c r="J1579" s="39"/>
      <c r="K1579" s="39"/>
      <c r="L1579" s="39">
        <f t="shared" si="1014"/>
        <v>780</v>
      </c>
      <c r="M1579" s="117">
        <v>46266</v>
      </c>
      <c r="N1579" s="117">
        <v>46279</v>
      </c>
      <c r="O1579" s="39"/>
      <c r="P1579" s="39"/>
      <c r="Q1579" s="39"/>
      <c r="R1579" s="39">
        <f t="shared" si="1013"/>
        <v>0</v>
      </c>
      <c r="S1579" s="39" t="s">
        <v>31</v>
      </c>
      <c r="T1579" s="39"/>
      <c r="U1579" s="39"/>
      <c r="V1579" s="39"/>
      <c r="W1579" s="39"/>
      <c r="X1579" s="39"/>
      <c r="Y1579" s="39"/>
      <c r="Z1579" s="39"/>
      <c r="AA1579" s="39"/>
      <c r="AB1579" s="118">
        <f t="shared" si="1008"/>
        <v>0</v>
      </c>
      <c r="AC1579" s="39"/>
      <c r="AD1579" s="39"/>
      <c r="AE1579" s="39"/>
      <c r="AF1579" s="39"/>
      <c r="AG1579" s="39"/>
      <c r="AH1579" s="39">
        <f t="shared" si="995"/>
        <v>0</v>
      </c>
      <c r="AI1579" s="39"/>
      <c r="AJ1579" s="39"/>
      <c r="AK1579" s="39"/>
      <c r="AL1579" s="39"/>
      <c r="AM1579" s="39"/>
      <c r="AN1579" s="39">
        <f t="shared" si="991"/>
        <v>0</v>
      </c>
      <c r="AO1579" s="39"/>
      <c r="AP1579" s="39"/>
      <c r="AQ1579" s="39"/>
      <c r="AR1579" s="39"/>
      <c r="AS1579" s="39"/>
      <c r="AT1579" s="39">
        <f t="shared" si="896"/>
        <v>0</v>
      </c>
      <c r="AU1579" s="39"/>
      <c r="AV1579" s="39"/>
      <c r="AW1579" s="39"/>
      <c r="AX1579" s="39"/>
      <c r="AY1579" s="39"/>
      <c r="AZ1579" s="39">
        <f t="shared" si="897"/>
        <v>0</v>
      </c>
      <c r="BA1579" s="39"/>
      <c r="BB1579" s="39"/>
      <c r="BC1579" s="39"/>
      <c r="BD1579" s="39"/>
      <c r="BE1579" s="39"/>
      <c r="BF1579" s="39">
        <f t="shared" si="898"/>
        <v>0</v>
      </c>
      <c r="BG1579" s="39"/>
      <c r="BH1579" s="39"/>
      <c r="BI1579" s="39"/>
      <c r="BJ1579" s="39"/>
      <c r="BK1579" s="39"/>
      <c r="BL1579" s="39">
        <f t="shared" si="996"/>
        <v>0</v>
      </c>
      <c r="BM1579" s="54">
        <f t="shared" ca="1" si="899"/>
        <v>46283</v>
      </c>
      <c r="BN1579" s="59">
        <v>46280</v>
      </c>
      <c r="BO1579" s="57">
        <v>46295</v>
      </c>
      <c r="BP1579" s="36"/>
      <c r="BQ1579" s="36"/>
      <c r="BR1579" s="39"/>
      <c r="BS1579" s="39"/>
      <c r="BT1579" s="39"/>
      <c r="BU1579" s="39"/>
      <c r="BV1579" s="39"/>
      <c r="BW1579" s="39"/>
      <c r="BX1579" s="39"/>
      <c r="BY1579" s="39"/>
      <c r="BZ1579" s="39">
        <f t="shared" si="997"/>
        <v>0</v>
      </c>
      <c r="CA1579" s="39">
        <f t="shared" si="900"/>
        <v>-780</v>
      </c>
      <c r="CB1579" s="39">
        <f t="shared" si="901"/>
        <v>0</v>
      </c>
      <c r="CC1579" s="39">
        <f t="shared" si="902"/>
        <v>0</v>
      </c>
      <c r="CD1579" s="39">
        <f t="shared" si="998"/>
        <v>-780</v>
      </c>
      <c r="CE1579" s="102">
        <f t="shared" si="903"/>
        <v>-1</v>
      </c>
      <c r="CF1579" s="36"/>
      <c r="CG1579" s="39" t="s">
        <v>240</v>
      </c>
      <c r="CH1579" s="39"/>
      <c r="CI1579" s="25">
        <v>2</v>
      </c>
    </row>
    <row r="1580" spans="1:87" ht="24.75" customHeight="1">
      <c r="A1580" s="36" t="s">
        <v>46</v>
      </c>
      <c r="B1580" s="30">
        <v>47849</v>
      </c>
      <c r="C1580" s="231"/>
      <c r="D1580" s="23"/>
      <c r="E1580" s="39">
        <v>160</v>
      </c>
      <c r="F1580" s="39" t="s">
        <v>55</v>
      </c>
      <c r="G1580" s="36" t="s">
        <v>2217</v>
      </c>
      <c r="H1580" s="36" t="s">
        <v>22</v>
      </c>
      <c r="I1580" s="39">
        <v>95</v>
      </c>
      <c r="J1580" s="39"/>
      <c r="K1580" s="39"/>
      <c r="L1580" s="39">
        <f t="shared" si="1014"/>
        <v>95</v>
      </c>
      <c r="M1580" s="117">
        <v>46266</v>
      </c>
      <c r="N1580" s="117">
        <v>46279</v>
      </c>
      <c r="O1580" s="39"/>
      <c r="P1580" s="39"/>
      <c r="Q1580" s="39"/>
      <c r="R1580" s="39">
        <f t="shared" si="1013"/>
        <v>0</v>
      </c>
      <c r="S1580" s="39" t="s">
        <v>130</v>
      </c>
      <c r="T1580" s="39"/>
      <c r="U1580" s="39"/>
      <c r="V1580" s="39"/>
      <c r="W1580" s="39"/>
      <c r="X1580" s="39"/>
      <c r="Y1580" s="39"/>
      <c r="Z1580" s="39"/>
      <c r="AA1580" s="39"/>
      <c r="AB1580" s="118">
        <f t="shared" si="1008"/>
        <v>0</v>
      </c>
      <c r="AC1580" s="39"/>
      <c r="AD1580" s="39"/>
      <c r="AE1580" s="39"/>
      <c r="AF1580" s="39"/>
      <c r="AG1580" s="39"/>
      <c r="AH1580" s="39">
        <f t="shared" si="995"/>
        <v>0</v>
      </c>
      <c r="AI1580" s="39"/>
      <c r="AJ1580" s="39"/>
      <c r="AK1580" s="39"/>
      <c r="AL1580" s="39"/>
      <c r="AM1580" s="39"/>
      <c r="AN1580" s="39">
        <f t="shared" si="991"/>
        <v>0</v>
      </c>
      <c r="AO1580" s="39"/>
      <c r="AP1580" s="39"/>
      <c r="AQ1580" s="39"/>
      <c r="AR1580" s="39"/>
      <c r="AS1580" s="39"/>
      <c r="AT1580" s="39">
        <f t="shared" si="896"/>
        <v>0</v>
      </c>
      <c r="AU1580" s="39"/>
      <c r="AV1580" s="39"/>
      <c r="AW1580" s="39"/>
      <c r="AX1580" s="39"/>
      <c r="AY1580" s="39"/>
      <c r="AZ1580" s="39">
        <f t="shared" si="897"/>
        <v>0</v>
      </c>
      <c r="BA1580" s="39"/>
      <c r="BB1580" s="39"/>
      <c r="BC1580" s="39"/>
      <c r="BD1580" s="39"/>
      <c r="BE1580" s="39"/>
      <c r="BF1580" s="39">
        <f t="shared" si="898"/>
        <v>0</v>
      </c>
      <c r="BG1580" s="39"/>
      <c r="BH1580" s="39"/>
      <c r="BI1580" s="39"/>
      <c r="BJ1580" s="39"/>
      <c r="BK1580" s="39"/>
      <c r="BL1580" s="39">
        <f t="shared" si="996"/>
        <v>0</v>
      </c>
      <c r="BM1580" s="54">
        <f t="shared" ca="1" si="899"/>
        <v>46283</v>
      </c>
      <c r="BN1580" s="59">
        <v>46280</v>
      </c>
      <c r="BO1580" s="57">
        <v>46295</v>
      </c>
      <c r="BP1580" s="36"/>
      <c r="BQ1580" s="36"/>
      <c r="BR1580" s="39"/>
      <c r="BS1580" s="39"/>
      <c r="BT1580" s="39"/>
      <c r="BU1580" s="39"/>
      <c r="BV1580" s="39"/>
      <c r="BW1580" s="39"/>
      <c r="BX1580" s="39"/>
      <c r="BY1580" s="39"/>
      <c r="BZ1580" s="39">
        <f t="shared" si="997"/>
        <v>0</v>
      </c>
      <c r="CA1580" s="39">
        <f t="shared" si="900"/>
        <v>-95</v>
      </c>
      <c r="CB1580" s="39">
        <f t="shared" si="901"/>
        <v>0</v>
      </c>
      <c r="CC1580" s="39">
        <f t="shared" si="902"/>
        <v>0</v>
      </c>
      <c r="CD1580" s="39">
        <f t="shared" si="998"/>
        <v>-95</v>
      </c>
      <c r="CE1580" s="102">
        <f t="shared" si="903"/>
        <v>-1</v>
      </c>
      <c r="CF1580" s="36"/>
      <c r="CG1580" s="39" t="s">
        <v>240</v>
      </c>
      <c r="CH1580" s="39"/>
      <c r="CI1580" s="25">
        <v>2</v>
      </c>
    </row>
    <row r="1581" spans="1:87" ht="24.75" customHeight="1">
      <c r="A1581" s="36" t="s">
        <v>46</v>
      </c>
      <c r="B1581" s="30">
        <v>47849</v>
      </c>
      <c r="C1581" s="231"/>
      <c r="D1581" s="23"/>
      <c r="E1581" s="39">
        <v>160</v>
      </c>
      <c r="F1581" s="39" t="s">
        <v>55</v>
      </c>
      <c r="G1581" s="36" t="s">
        <v>1912</v>
      </c>
      <c r="H1581" s="36" t="s">
        <v>22</v>
      </c>
      <c r="I1581" s="39">
        <v>795</v>
      </c>
      <c r="J1581" s="39"/>
      <c r="K1581" s="39"/>
      <c r="L1581" s="39">
        <f t="shared" si="1014"/>
        <v>795</v>
      </c>
      <c r="M1581" s="117">
        <v>46266</v>
      </c>
      <c r="N1581" s="117">
        <v>46279</v>
      </c>
      <c r="O1581" s="39"/>
      <c r="P1581" s="39"/>
      <c r="Q1581" s="39"/>
      <c r="R1581" s="39">
        <f t="shared" si="1013"/>
        <v>0</v>
      </c>
      <c r="S1581" s="39" t="s">
        <v>100</v>
      </c>
      <c r="T1581" s="39"/>
      <c r="U1581" s="39"/>
      <c r="V1581" s="39"/>
      <c r="W1581" s="39"/>
      <c r="X1581" s="39"/>
      <c r="Y1581" s="39"/>
      <c r="Z1581" s="39"/>
      <c r="AA1581" s="39"/>
      <c r="AB1581" s="118">
        <f t="shared" si="1008"/>
        <v>0</v>
      </c>
      <c r="AC1581" s="39"/>
      <c r="AD1581" s="39"/>
      <c r="AE1581" s="39"/>
      <c r="AF1581" s="39"/>
      <c r="AG1581" s="39"/>
      <c r="AH1581" s="39">
        <f t="shared" si="995"/>
        <v>0</v>
      </c>
      <c r="AI1581" s="39"/>
      <c r="AJ1581" s="39"/>
      <c r="AK1581" s="39"/>
      <c r="AL1581" s="39"/>
      <c r="AM1581" s="39"/>
      <c r="AN1581" s="39">
        <f t="shared" si="991"/>
        <v>0</v>
      </c>
      <c r="AO1581" s="39"/>
      <c r="AP1581" s="39"/>
      <c r="AQ1581" s="39"/>
      <c r="AR1581" s="39"/>
      <c r="AS1581" s="39"/>
      <c r="AT1581" s="39">
        <f t="shared" si="896"/>
        <v>0</v>
      </c>
      <c r="AU1581" s="39"/>
      <c r="AV1581" s="39"/>
      <c r="AW1581" s="39"/>
      <c r="AX1581" s="39"/>
      <c r="AY1581" s="39"/>
      <c r="AZ1581" s="39">
        <f t="shared" si="897"/>
        <v>0</v>
      </c>
      <c r="BA1581" s="39"/>
      <c r="BB1581" s="39"/>
      <c r="BC1581" s="39"/>
      <c r="BD1581" s="39"/>
      <c r="BE1581" s="39"/>
      <c r="BF1581" s="39">
        <f t="shared" si="898"/>
        <v>0</v>
      </c>
      <c r="BG1581" s="39"/>
      <c r="BH1581" s="39"/>
      <c r="BI1581" s="39"/>
      <c r="BJ1581" s="39"/>
      <c r="BK1581" s="39"/>
      <c r="BL1581" s="39">
        <f t="shared" si="996"/>
        <v>0</v>
      </c>
      <c r="BM1581" s="54">
        <f t="shared" ca="1" si="899"/>
        <v>46283</v>
      </c>
      <c r="BN1581" s="59">
        <v>46280</v>
      </c>
      <c r="BO1581" s="57">
        <v>46295</v>
      </c>
      <c r="BP1581" s="36"/>
      <c r="BQ1581" s="36"/>
      <c r="BR1581" s="39"/>
      <c r="BS1581" s="39"/>
      <c r="BT1581" s="39"/>
      <c r="BU1581" s="39"/>
      <c r="BV1581" s="39"/>
      <c r="BW1581" s="39"/>
      <c r="BX1581" s="39"/>
      <c r="BY1581" s="39"/>
      <c r="BZ1581" s="39">
        <f t="shared" si="997"/>
        <v>0</v>
      </c>
      <c r="CA1581" s="39">
        <f t="shared" si="900"/>
        <v>-795</v>
      </c>
      <c r="CB1581" s="39">
        <f t="shared" si="901"/>
        <v>0</v>
      </c>
      <c r="CC1581" s="39">
        <f t="shared" si="902"/>
        <v>0</v>
      </c>
      <c r="CD1581" s="39">
        <f t="shared" si="998"/>
        <v>-795</v>
      </c>
      <c r="CE1581" s="102">
        <f t="shared" si="903"/>
        <v>-1</v>
      </c>
      <c r="CF1581" s="36"/>
      <c r="CG1581" s="39" t="s">
        <v>240</v>
      </c>
      <c r="CH1581" s="39"/>
      <c r="CI1581" s="25">
        <v>2</v>
      </c>
    </row>
    <row r="1582" spans="1:87" ht="24.75" customHeight="1">
      <c r="A1582" s="36" t="s">
        <v>46</v>
      </c>
      <c r="B1582" s="30">
        <v>47849</v>
      </c>
      <c r="C1582" s="228"/>
      <c r="D1582" s="23"/>
      <c r="E1582" s="39">
        <v>160</v>
      </c>
      <c r="F1582" s="39" t="s">
        <v>55</v>
      </c>
      <c r="G1582" s="36" t="s">
        <v>2218</v>
      </c>
      <c r="H1582" s="36" t="s">
        <v>22</v>
      </c>
      <c r="I1582" s="39">
        <v>95</v>
      </c>
      <c r="J1582" s="39"/>
      <c r="K1582" s="39"/>
      <c r="L1582" s="39">
        <f t="shared" si="1014"/>
        <v>95</v>
      </c>
      <c r="M1582" s="117">
        <v>46266</v>
      </c>
      <c r="N1582" s="117">
        <v>46279</v>
      </c>
      <c r="O1582" s="39"/>
      <c r="P1582" s="39"/>
      <c r="Q1582" s="39"/>
      <c r="R1582" s="39">
        <f t="shared" si="1013"/>
        <v>0</v>
      </c>
      <c r="S1582" s="39" t="s">
        <v>130</v>
      </c>
      <c r="T1582" s="39"/>
      <c r="U1582" s="39"/>
      <c r="V1582" s="39"/>
      <c r="W1582" s="39"/>
      <c r="X1582" s="39"/>
      <c r="Y1582" s="39"/>
      <c r="Z1582" s="39"/>
      <c r="AA1582" s="39"/>
      <c r="AB1582" s="118">
        <f t="shared" si="1008"/>
        <v>0</v>
      </c>
      <c r="AC1582" s="39"/>
      <c r="AD1582" s="39"/>
      <c r="AE1582" s="39"/>
      <c r="AF1582" s="39"/>
      <c r="AG1582" s="39"/>
      <c r="AH1582" s="39">
        <f t="shared" si="995"/>
        <v>0</v>
      </c>
      <c r="AI1582" s="39"/>
      <c r="AJ1582" s="39"/>
      <c r="AK1582" s="39"/>
      <c r="AL1582" s="39"/>
      <c r="AM1582" s="39"/>
      <c r="AN1582" s="39">
        <f t="shared" si="991"/>
        <v>0</v>
      </c>
      <c r="AO1582" s="39"/>
      <c r="AP1582" s="39"/>
      <c r="AQ1582" s="39"/>
      <c r="AR1582" s="39"/>
      <c r="AS1582" s="39"/>
      <c r="AT1582" s="39">
        <f t="shared" si="896"/>
        <v>0</v>
      </c>
      <c r="AU1582" s="39"/>
      <c r="AV1582" s="39"/>
      <c r="AW1582" s="39"/>
      <c r="AX1582" s="39"/>
      <c r="AY1582" s="39"/>
      <c r="AZ1582" s="39">
        <f t="shared" si="897"/>
        <v>0</v>
      </c>
      <c r="BA1582" s="39"/>
      <c r="BB1582" s="39"/>
      <c r="BC1582" s="39"/>
      <c r="BD1582" s="39"/>
      <c r="BE1582" s="39"/>
      <c r="BF1582" s="39">
        <f t="shared" si="898"/>
        <v>0</v>
      </c>
      <c r="BG1582" s="39"/>
      <c r="BH1582" s="39"/>
      <c r="BI1582" s="39"/>
      <c r="BJ1582" s="39"/>
      <c r="BK1582" s="39"/>
      <c r="BL1582" s="39">
        <f t="shared" si="996"/>
        <v>0</v>
      </c>
      <c r="BM1582" s="54">
        <f t="shared" ca="1" si="899"/>
        <v>46283</v>
      </c>
      <c r="BN1582" s="59">
        <v>46280</v>
      </c>
      <c r="BO1582" s="57">
        <v>46295</v>
      </c>
      <c r="BP1582" s="36"/>
      <c r="BQ1582" s="36"/>
      <c r="BR1582" s="39"/>
      <c r="BS1582" s="39"/>
      <c r="BT1582" s="39"/>
      <c r="BU1582" s="39"/>
      <c r="BV1582" s="39"/>
      <c r="BW1582" s="39"/>
      <c r="BX1582" s="39"/>
      <c r="BY1582" s="39"/>
      <c r="BZ1582" s="39">
        <f t="shared" si="997"/>
        <v>0</v>
      </c>
      <c r="CA1582" s="39">
        <f t="shared" si="900"/>
        <v>-95</v>
      </c>
      <c r="CB1582" s="39">
        <f t="shared" si="901"/>
        <v>0</v>
      </c>
      <c r="CC1582" s="39">
        <f t="shared" si="902"/>
        <v>0</v>
      </c>
      <c r="CD1582" s="39">
        <f t="shared" si="998"/>
        <v>-95</v>
      </c>
      <c r="CE1582" s="102">
        <f t="shared" si="903"/>
        <v>-1</v>
      </c>
      <c r="CF1582" s="36"/>
      <c r="CG1582" s="39" t="s">
        <v>240</v>
      </c>
      <c r="CH1582" s="39"/>
      <c r="CI1582" s="25">
        <v>2</v>
      </c>
    </row>
    <row r="1583" spans="1:87" ht="24.75" customHeight="1">
      <c r="A1583" s="36" t="s">
        <v>46</v>
      </c>
      <c r="B1583" s="30">
        <v>48467</v>
      </c>
      <c r="C1583" s="227" t="s">
        <v>2297</v>
      </c>
      <c r="D1583" s="36" t="s">
        <v>24</v>
      </c>
      <c r="E1583" s="39">
        <v>140</v>
      </c>
      <c r="F1583" s="39" t="s">
        <v>68</v>
      </c>
      <c r="G1583" s="36" t="s">
        <v>2298</v>
      </c>
      <c r="H1583" s="39" t="s">
        <v>22</v>
      </c>
      <c r="I1583" s="39">
        <f>1210+79</f>
        <v>1289</v>
      </c>
      <c r="J1583" s="39">
        <f>50+3</f>
        <v>53</v>
      </c>
      <c r="K1583" s="39">
        <f>25+2</f>
        <v>27</v>
      </c>
      <c r="L1583" s="39">
        <f t="shared" si="1014"/>
        <v>1369</v>
      </c>
      <c r="M1583" s="117">
        <v>46266</v>
      </c>
      <c r="N1583" s="117">
        <v>46282</v>
      </c>
      <c r="O1583" s="39"/>
      <c r="P1583" s="39"/>
      <c r="Q1583" s="39"/>
      <c r="R1583" s="39">
        <f t="shared" si="1013"/>
        <v>0</v>
      </c>
      <c r="S1583" s="39" t="s">
        <v>130</v>
      </c>
      <c r="T1583" s="39"/>
      <c r="U1583" s="39"/>
      <c r="V1583" s="39"/>
      <c r="W1583" s="39"/>
      <c r="X1583" s="39"/>
      <c r="Y1583" s="39"/>
      <c r="Z1583" s="39"/>
      <c r="AA1583" s="39"/>
      <c r="AB1583" s="118">
        <f t="shared" si="1008"/>
        <v>0</v>
      </c>
      <c r="AC1583" s="39"/>
      <c r="AD1583" s="39"/>
      <c r="AE1583" s="39"/>
      <c r="AF1583" s="39"/>
      <c r="AG1583" s="39"/>
      <c r="AH1583" s="39">
        <f t="shared" si="995"/>
        <v>0</v>
      </c>
      <c r="AI1583" s="39"/>
      <c r="AJ1583" s="39"/>
      <c r="AK1583" s="39"/>
      <c r="AL1583" s="39"/>
      <c r="AM1583" s="39"/>
      <c r="AN1583" s="39">
        <f t="shared" si="991"/>
        <v>0</v>
      </c>
      <c r="AO1583" s="39"/>
      <c r="AP1583" s="39"/>
      <c r="AQ1583" s="39"/>
      <c r="AR1583" s="39"/>
      <c r="AS1583" s="39"/>
      <c r="AT1583" s="39">
        <f t="shared" si="896"/>
        <v>0</v>
      </c>
      <c r="AU1583" s="39"/>
      <c r="AV1583" s="39"/>
      <c r="AW1583" s="39"/>
      <c r="AX1583" s="39"/>
      <c r="AY1583" s="39"/>
      <c r="AZ1583" s="39">
        <f t="shared" si="897"/>
        <v>0</v>
      </c>
      <c r="BA1583" s="39"/>
      <c r="BB1583" s="39"/>
      <c r="BC1583" s="39"/>
      <c r="BD1583" s="39"/>
      <c r="BE1583" s="39"/>
      <c r="BF1583" s="39">
        <f t="shared" si="898"/>
        <v>0</v>
      </c>
      <c r="BG1583" s="39"/>
      <c r="BH1583" s="39"/>
      <c r="BI1583" s="39"/>
      <c r="BJ1583" s="39"/>
      <c r="BK1583" s="39"/>
      <c r="BL1583" s="39">
        <f t="shared" si="996"/>
        <v>0</v>
      </c>
      <c r="BM1583" s="54">
        <f t="shared" ca="1" si="899"/>
        <v>46283</v>
      </c>
      <c r="BN1583" s="59">
        <v>46279</v>
      </c>
      <c r="BO1583" s="57">
        <v>46295</v>
      </c>
      <c r="BP1583" s="36"/>
      <c r="BQ1583" s="36"/>
      <c r="BR1583" s="145"/>
      <c r="BS1583" s="145"/>
      <c r="BT1583" s="39"/>
      <c r="BU1583" s="39"/>
      <c r="BV1583" s="39"/>
      <c r="BW1583" s="39"/>
      <c r="BX1583" s="39"/>
      <c r="BY1583" s="39"/>
      <c r="BZ1583" s="39">
        <f t="shared" si="997"/>
        <v>0</v>
      </c>
      <c r="CA1583" s="39">
        <f t="shared" si="900"/>
        <v>-1289</v>
      </c>
      <c r="CB1583" s="39">
        <f t="shared" si="901"/>
        <v>-53</v>
      </c>
      <c r="CC1583" s="39">
        <f t="shared" si="902"/>
        <v>-27</v>
      </c>
      <c r="CD1583" s="39">
        <f t="shared" si="998"/>
        <v>-1369</v>
      </c>
      <c r="CE1583" s="102">
        <f t="shared" si="903"/>
        <v>-1</v>
      </c>
      <c r="CF1583" s="36"/>
      <c r="CG1583" s="39" t="s">
        <v>238</v>
      </c>
      <c r="CH1583" s="39"/>
      <c r="CI1583" s="25">
        <v>2</v>
      </c>
    </row>
    <row r="1584" spans="1:87" ht="24.75" customHeight="1">
      <c r="A1584" s="36" t="s">
        <v>46</v>
      </c>
      <c r="B1584" s="30">
        <v>48467</v>
      </c>
      <c r="C1584" s="231"/>
      <c r="D1584" s="36"/>
      <c r="E1584" s="39">
        <v>140</v>
      </c>
      <c r="F1584" s="39" t="s">
        <v>53</v>
      </c>
      <c r="G1584" s="36" t="s">
        <v>596</v>
      </c>
      <c r="H1584" s="39" t="s">
        <v>22</v>
      </c>
      <c r="I1584" s="39">
        <f>765+50</f>
        <v>815</v>
      </c>
      <c r="J1584" s="39"/>
      <c r="K1584" s="39"/>
      <c r="L1584" s="39">
        <f t="shared" si="1014"/>
        <v>815</v>
      </c>
      <c r="M1584" s="117">
        <v>46266</v>
      </c>
      <c r="N1584" s="117">
        <v>46282</v>
      </c>
      <c r="O1584" s="39"/>
      <c r="P1584" s="39"/>
      <c r="Q1584" s="39"/>
      <c r="R1584" s="39">
        <f t="shared" si="1013"/>
        <v>0</v>
      </c>
      <c r="S1584" s="39" t="s">
        <v>130</v>
      </c>
      <c r="T1584" s="39"/>
      <c r="U1584" s="39"/>
      <c r="V1584" s="39"/>
      <c r="W1584" s="39"/>
      <c r="X1584" s="39"/>
      <c r="Y1584" s="39"/>
      <c r="Z1584" s="39"/>
      <c r="AA1584" s="39"/>
      <c r="AB1584" s="118">
        <f t="shared" si="1008"/>
        <v>0</v>
      </c>
      <c r="AC1584" s="39"/>
      <c r="AD1584" s="39"/>
      <c r="AE1584" s="39"/>
      <c r="AF1584" s="39"/>
      <c r="AG1584" s="39"/>
      <c r="AH1584" s="39">
        <f t="shared" si="995"/>
        <v>0</v>
      </c>
      <c r="AI1584" s="39"/>
      <c r="AJ1584" s="39"/>
      <c r="AK1584" s="39"/>
      <c r="AL1584" s="39"/>
      <c r="AM1584" s="39"/>
      <c r="AN1584" s="39">
        <f t="shared" si="991"/>
        <v>0</v>
      </c>
      <c r="AO1584" s="39"/>
      <c r="AP1584" s="39"/>
      <c r="AQ1584" s="39"/>
      <c r="AR1584" s="39"/>
      <c r="AS1584" s="39"/>
      <c r="AT1584" s="39">
        <f t="shared" si="896"/>
        <v>0</v>
      </c>
      <c r="AU1584" s="39"/>
      <c r="AV1584" s="39"/>
      <c r="AW1584" s="39"/>
      <c r="AX1584" s="39"/>
      <c r="AY1584" s="39"/>
      <c r="AZ1584" s="39">
        <f t="shared" si="897"/>
        <v>0</v>
      </c>
      <c r="BA1584" s="39"/>
      <c r="BB1584" s="39"/>
      <c r="BC1584" s="39"/>
      <c r="BD1584" s="39"/>
      <c r="BE1584" s="39"/>
      <c r="BF1584" s="39">
        <f t="shared" si="898"/>
        <v>0</v>
      </c>
      <c r="BG1584" s="39"/>
      <c r="BH1584" s="39"/>
      <c r="BI1584" s="39"/>
      <c r="BJ1584" s="39"/>
      <c r="BK1584" s="39"/>
      <c r="BL1584" s="39">
        <f t="shared" si="996"/>
        <v>0</v>
      </c>
      <c r="BM1584" s="54">
        <f t="shared" ca="1" si="899"/>
        <v>46283</v>
      </c>
      <c r="BN1584" s="59">
        <v>46279</v>
      </c>
      <c r="BO1584" s="57">
        <v>46295</v>
      </c>
      <c r="BP1584" s="36"/>
      <c r="BQ1584" s="36"/>
      <c r="BR1584" s="145"/>
      <c r="BS1584" s="145"/>
      <c r="BT1584" s="39"/>
      <c r="BU1584" s="39"/>
      <c r="BV1584" s="39"/>
      <c r="BW1584" s="39"/>
      <c r="BX1584" s="39"/>
      <c r="BY1584" s="39"/>
      <c r="BZ1584" s="39">
        <f t="shared" si="997"/>
        <v>0</v>
      </c>
      <c r="CA1584" s="39">
        <f t="shared" si="900"/>
        <v>-815</v>
      </c>
      <c r="CB1584" s="39">
        <f t="shared" si="901"/>
        <v>0</v>
      </c>
      <c r="CC1584" s="39">
        <f t="shared" si="902"/>
        <v>0</v>
      </c>
      <c r="CD1584" s="39">
        <f t="shared" si="998"/>
        <v>-815</v>
      </c>
      <c r="CE1584" s="102">
        <f t="shared" si="903"/>
        <v>-1</v>
      </c>
      <c r="CF1584" s="36"/>
      <c r="CG1584" s="39" t="s">
        <v>238</v>
      </c>
      <c r="CH1584" s="39"/>
      <c r="CI1584" s="25">
        <v>2</v>
      </c>
    </row>
    <row r="1585" spans="1:87" ht="24.75" customHeight="1">
      <c r="A1585" s="36" t="s">
        <v>46</v>
      </c>
      <c r="B1585" s="30">
        <v>48467</v>
      </c>
      <c r="C1585" s="231"/>
      <c r="D1585" s="36" t="s">
        <v>24</v>
      </c>
      <c r="E1585" s="39">
        <v>140</v>
      </c>
      <c r="F1585" s="39" t="s">
        <v>68</v>
      </c>
      <c r="G1585" s="36" t="s">
        <v>2288</v>
      </c>
      <c r="H1585" s="39" t="s">
        <v>22</v>
      </c>
      <c r="I1585" s="39">
        <f>807+70</f>
        <v>877</v>
      </c>
      <c r="J1585" s="39">
        <f>33+3</f>
        <v>36</v>
      </c>
      <c r="K1585" s="39">
        <f>17+1</f>
        <v>18</v>
      </c>
      <c r="L1585" s="39">
        <f t="shared" si="1014"/>
        <v>931</v>
      </c>
      <c r="M1585" s="117">
        <v>46266</v>
      </c>
      <c r="N1585" s="117">
        <v>46282</v>
      </c>
      <c r="O1585" s="39"/>
      <c r="P1585" s="39"/>
      <c r="Q1585" s="39"/>
      <c r="R1585" s="39">
        <f t="shared" si="1013"/>
        <v>0</v>
      </c>
      <c r="S1585" s="39" t="s">
        <v>130</v>
      </c>
      <c r="T1585" s="39"/>
      <c r="U1585" s="39"/>
      <c r="V1585" s="39"/>
      <c r="W1585" s="39"/>
      <c r="X1585" s="39"/>
      <c r="Y1585" s="39"/>
      <c r="Z1585" s="39"/>
      <c r="AA1585" s="39"/>
      <c r="AB1585" s="118">
        <f t="shared" si="1008"/>
        <v>0</v>
      </c>
      <c r="AC1585" s="39"/>
      <c r="AD1585" s="39"/>
      <c r="AE1585" s="39"/>
      <c r="AF1585" s="39"/>
      <c r="AG1585" s="39"/>
      <c r="AH1585" s="39">
        <f t="shared" si="995"/>
        <v>0</v>
      </c>
      <c r="AI1585" s="39"/>
      <c r="AJ1585" s="39"/>
      <c r="AK1585" s="39"/>
      <c r="AL1585" s="39"/>
      <c r="AM1585" s="39"/>
      <c r="AN1585" s="39">
        <f t="shared" si="991"/>
        <v>0</v>
      </c>
      <c r="AO1585" s="39"/>
      <c r="AP1585" s="39"/>
      <c r="AQ1585" s="39"/>
      <c r="AR1585" s="39"/>
      <c r="AS1585" s="39"/>
      <c r="AT1585" s="39">
        <f t="shared" si="896"/>
        <v>0</v>
      </c>
      <c r="AU1585" s="39"/>
      <c r="AV1585" s="39"/>
      <c r="AW1585" s="39"/>
      <c r="AX1585" s="39"/>
      <c r="AY1585" s="39"/>
      <c r="AZ1585" s="39">
        <f t="shared" si="897"/>
        <v>0</v>
      </c>
      <c r="BA1585" s="39"/>
      <c r="BB1585" s="39"/>
      <c r="BC1585" s="39"/>
      <c r="BD1585" s="39"/>
      <c r="BE1585" s="39"/>
      <c r="BF1585" s="39">
        <f t="shared" si="898"/>
        <v>0</v>
      </c>
      <c r="BG1585" s="39"/>
      <c r="BH1585" s="39"/>
      <c r="BI1585" s="39"/>
      <c r="BJ1585" s="39"/>
      <c r="BK1585" s="39"/>
      <c r="BL1585" s="39">
        <f t="shared" si="996"/>
        <v>0</v>
      </c>
      <c r="BM1585" s="54">
        <f t="shared" ca="1" si="899"/>
        <v>46283</v>
      </c>
      <c r="BN1585" s="59">
        <v>46279</v>
      </c>
      <c r="BO1585" s="57">
        <v>46295</v>
      </c>
      <c r="BP1585" s="36"/>
      <c r="BQ1585" s="36"/>
      <c r="BR1585" s="145"/>
      <c r="BS1585" s="145"/>
      <c r="BT1585" s="39"/>
      <c r="BU1585" s="39"/>
      <c r="BV1585" s="39"/>
      <c r="BW1585" s="39"/>
      <c r="BX1585" s="39"/>
      <c r="BY1585" s="39"/>
      <c r="BZ1585" s="39">
        <f t="shared" si="997"/>
        <v>0</v>
      </c>
      <c r="CA1585" s="39">
        <f t="shared" si="900"/>
        <v>-877</v>
      </c>
      <c r="CB1585" s="39">
        <f t="shared" si="901"/>
        <v>-36</v>
      </c>
      <c r="CC1585" s="39">
        <f t="shared" si="902"/>
        <v>-18</v>
      </c>
      <c r="CD1585" s="39">
        <f t="shared" si="998"/>
        <v>-931</v>
      </c>
      <c r="CE1585" s="102">
        <f t="shared" si="903"/>
        <v>-1</v>
      </c>
      <c r="CF1585" s="36"/>
      <c r="CG1585" s="39" t="s">
        <v>238</v>
      </c>
      <c r="CH1585" s="39"/>
      <c r="CI1585" s="25">
        <v>2</v>
      </c>
    </row>
    <row r="1586" spans="1:87" ht="24.75" customHeight="1">
      <c r="A1586" s="36" t="s">
        <v>46</v>
      </c>
      <c r="B1586" s="30">
        <v>48467</v>
      </c>
      <c r="C1586" s="231"/>
      <c r="D1586" s="36"/>
      <c r="E1586" s="39">
        <v>140</v>
      </c>
      <c r="F1586" s="39" t="s">
        <v>53</v>
      </c>
      <c r="G1586" s="36" t="s">
        <v>1432</v>
      </c>
      <c r="H1586" s="39" t="s">
        <v>22</v>
      </c>
      <c r="I1586" s="39">
        <v>510</v>
      </c>
      <c r="J1586" s="39"/>
      <c r="K1586" s="39">
        <v>44</v>
      </c>
      <c r="L1586" s="39">
        <f t="shared" si="1014"/>
        <v>554</v>
      </c>
      <c r="M1586" s="117">
        <v>46266</v>
      </c>
      <c r="N1586" s="117">
        <v>46282</v>
      </c>
      <c r="O1586" s="39"/>
      <c r="P1586" s="39"/>
      <c r="Q1586" s="39"/>
      <c r="R1586" s="39">
        <f t="shared" si="1013"/>
        <v>0</v>
      </c>
      <c r="S1586" s="39" t="s">
        <v>28</v>
      </c>
      <c r="T1586" s="39"/>
      <c r="U1586" s="39"/>
      <c r="V1586" s="117">
        <v>46266</v>
      </c>
      <c r="W1586" s="39">
        <f>582+50</f>
        <v>632</v>
      </c>
      <c r="X1586" s="39"/>
      <c r="Y1586" s="39"/>
      <c r="Z1586" s="39"/>
      <c r="AA1586" s="39"/>
      <c r="AB1586" s="118">
        <f t="shared" si="1008"/>
        <v>0</v>
      </c>
      <c r="AC1586" s="39"/>
      <c r="AD1586" s="39"/>
      <c r="AE1586" s="39"/>
      <c r="AF1586" s="39"/>
      <c r="AG1586" s="39"/>
      <c r="AH1586" s="39">
        <f t="shared" si="995"/>
        <v>0</v>
      </c>
      <c r="AI1586" s="39"/>
      <c r="AJ1586" s="39"/>
      <c r="AK1586" s="39"/>
      <c r="AL1586" s="39"/>
      <c r="AM1586" s="39"/>
      <c r="AN1586" s="39">
        <f t="shared" si="991"/>
        <v>0</v>
      </c>
      <c r="AO1586" s="39"/>
      <c r="AP1586" s="39"/>
      <c r="AQ1586" s="39"/>
      <c r="AR1586" s="39"/>
      <c r="AS1586" s="39"/>
      <c r="AT1586" s="39">
        <f t="shared" si="896"/>
        <v>0</v>
      </c>
      <c r="AU1586" s="39"/>
      <c r="AV1586" s="39"/>
      <c r="AW1586" s="39"/>
      <c r="AX1586" s="39"/>
      <c r="AY1586" s="39"/>
      <c r="AZ1586" s="39">
        <f t="shared" si="897"/>
        <v>0</v>
      </c>
      <c r="BA1586" s="39"/>
      <c r="BB1586" s="39"/>
      <c r="BC1586" s="39"/>
      <c r="BD1586" s="39"/>
      <c r="BE1586" s="39"/>
      <c r="BF1586" s="39">
        <f t="shared" si="898"/>
        <v>0</v>
      </c>
      <c r="BG1586" s="39"/>
      <c r="BH1586" s="39"/>
      <c r="BI1586" s="39"/>
      <c r="BJ1586" s="39"/>
      <c r="BK1586" s="39"/>
      <c r="BL1586" s="39">
        <f t="shared" si="996"/>
        <v>0</v>
      </c>
      <c r="BM1586" s="54">
        <f t="shared" ca="1" si="899"/>
        <v>46283</v>
      </c>
      <c r="BN1586" s="59">
        <v>46279</v>
      </c>
      <c r="BO1586" s="57">
        <v>46295</v>
      </c>
      <c r="BP1586" s="36"/>
      <c r="BQ1586" s="36"/>
      <c r="BR1586" s="145"/>
      <c r="BS1586" s="145"/>
      <c r="BT1586" s="39"/>
      <c r="BU1586" s="39"/>
      <c r="BV1586" s="39"/>
      <c r="BW1586" s="39"/>
      <c r="BX1586" s="39"/>
      <c r="BY1586" s="39"/>
      <c r="BZ1586" s="39">
        <f t="shared" si="997"/>
        <v>0</v>
      </c>
      <c r="CA1586" s="39">
        <f t="shared" si="900"/>
        <v>-510</v>
      </c>
      <c r="CB1586" s="39">
        <f t="shared" si="901"/>
        <v>0</v>
      </c>
      <c r="CC1586" s="39">
        <f t="shared" si="902"/>
        <v>-44</v>
      </c>
      <c r="CD1586" s="39">
        <f t="shared" si="998"/>
        <v>-554</v>
      </c>
      <c r="CE1586" s="102">
        <f t="shared" si="903"/>
        <v>-1</v>
      </c>
      <c r="CF1586" s="36"/>
      <c r="CG1586" s="39" t="s">
        <v>238</v>
      </c>
      <c r="CH1586" s="39"/>
      <c r="CI1586" s="25">
        <v>2</v>
      </c>
    </row>
    <row r="1587" spans="1:87" ht="24.75" customHeight="1">
      <c r="A1587" s="36" t="s">
        <v>46</v>
      </c>
      <c r="B1587" s="30">
        <v>48467</v>
      </c>
      <c r="C1587" s="231"/>
      <c r="D1587" s="36" t="s">
        <v>24</v>
      </c>
      <c r="E1587" s="39">
        <v>140</v>
      </c>
      <c r="F1587" s="39" t="s">
        <v>68</v>
      </c>
      <c r="G1587" s="36" t="s">
        <v>2255</v>
      </c>
      <c r="H1587" s="39" t="s">
        <v>22</v>
      </c>
      <c r="I1587" s="39">
        <f>1008+78</f>
        <v>1086</v>
      </c>
      <c r="J1587" s="39">
        <f>42+3</f>
        <v>45</v>
      </c>
      <c r="K1587" s="39">
        <f>21+1</f>
        <v>22</v>
      </c>
      <c r="L1587" s="39">
        <f t="shared" si="1014"/>
        <v>1153</v>
      </c>
      <c r="M1587" s="117">
        <v>46266</v>
      </c>
      <c r="N1587" s="117">
        <v>46282</v>
      </c>
      <c r="O1587" s="39"/>
      <c r="P1587" s="39"/>
      <c r="Q1587" s="39"/>
      <c r="R1587" s="39">
        <f t="shared" si="1013"/>
        <v>0</v>
      </c>
      <c r="S1587" s="39" t="s">
        <v>130</v>
      </c>
      <c r="T1587" s="39"/>
      <c r="U1587" s="39"/>
      <c r="V1587" s="39"/>
      <c r="W1587" s="39"/>
      <c r="X1587" s="39"/>
      <c r="Y1587" s="39"/>
      <c r="Z1587" s="39"/>
      <c r="AA1587" s="39"/>
      <c r="AB1587" s="118">
        <f t="shared" si="1008"/>
        <v>0</v>
      </c>
      <c r="AC1587" s="39"/>
      <c r="AD1587" s="39"/>
      <c r="AE1587" s="39"/>
      <c r="AF1587" s="39"/>
      <c r="AG1587" s="39"/>
      <c r="AH1587" s="39">
        <f t="shared" ref="AH1587:AH1613" si="1015">AG1587-AE1587</f>
        <v>0</v>
      </c>
      <c r="AI1587" s="39"/>
      <c r="AJ1587" s="39"/>
      <c r="AK1587" s="39"/>
      <c r="AL1587" s="39"/>
      <c r="AM1587" s="39"/>
      <c r="AN1587" s="39">
        <f t="shared" si="991"/>
        <v>0</v>
      </c>
      <c r="AO1587" s="39"/>
      <c r="AP1587" s="39"/>
      <c r="AQ1587" s="39"/>
      <c r="AR1587" s="39"/>
      <c r="AS1587" s="39"/>
      <c r="AT1587" s="39">
        <f t="shared" si="896"/>
        <v>0</v>
      </c>
      <c r="AU1587" s="39"/>
      <c r="AV1587" s="39"/>
      <c r="AW1587" s="39"/>
      <c r="AX1587" s="39"/>
      <c r="AY1587" s="39"/>
      <c r="AZ1587" s="39">
        <f t="shared" si="897"/>
        <v>0</v>
      </c>
      <c r="BA1587" s="39"/>
      <c r="BB1587" s="39"/>
      <c r="BC1587" s="39"/>
      <c r="BD1587" s="39"/>
      <c r="BE1587" s="39"/>
      <c r="BF1587" s="39">
        <f t="shared" si="898"/>
        <v>0</v>
      </c>
      <c r="BG1587" s="39"/>
      <c r="BH1587" s="39"/>
      <c r="BI1587" s="39"/>
      <c r="BJ1587" s="39"/>
      <c r="BK1587" s="39"/>
      <c r="BL1587" s="39">
        <f t="shared" ref="BL1587:BL1613" si="1016">BK1587-BI1587</f>
        <v>0</v>
      </c>
      <c r="BM1587" s="54">
        <f t="shared" ca="1" si="899"/>
        <v>46283</v>
      </c>
      <c r="BN1587" s="59">
        <v>46279</v>
      </c>
      <c r="BO1587" s="57">
        <v>46295</v>
      </c>
      <c r="BP1587" s="36"/>
      <c r="BQ1587" s="36"/>
      <c r="BR1587" s="145"/>
      <c r="BS1587" s="145"/>
      <c r="BT1587" s="39"/>
      <c r="BU1587" s="39"/>
      <c r="BV1587" s="39"/>
      <c r="BW1587" s="39"/>
      <c r="BX1587" s="39"/>
      <c r="BY1587" s="39"/>
      <c r="BZ1587" s="39">
        <f t="shared" ref="BZ1587:BZ1613" si="1017">BU1587+BW1587+BY1587</f>
        <v>0</v>
      </c>
      <c r="CA1587" s="39">
        <f t="shared" si="900"/>
        <v>-1086</v>
      </c>
      <c r="CB1587" s="39">
        <f t="shared" si="901"/>
        <v>-45</v>
      </c>
      <c r="CC1587" s="39">
        <f t="shared" si="902"/>
        <v>-22</v>
      </c>
      <c r="CD1587" s="39">
        <f t="shared" ref="CD1587:CD1613" si="1018">SUMIF(CA1587:CC1587,"&lt;0")</f>
        <v>-1153</v>
      </c>
      <c r="CE1587" s="102">
        <f t="shared" si="903"/>
        <v>-1</v>
      </c>
      <c r="CF1587" s="36"/>
      <c r="CG1587" s="39" t="s">
        <v>238</v>
      </c>
      <c r="CH1587" s="39"/>
      <c r="CI1587" s="25">
        <v>2</v>
      </c>
    </row>
    <row r="1588" spans="1:87" ht="24.75" customHeight="1">
      <c r="A1588" s="36" t="s">
        <v>46</v>
      </c>
      <c r="B1588" s="30">
        <v>48467</v>
      </c>
      <c r="C1588" s="228"/>
      <c r="D1588" s="36"/>
      <c r="E1588" s="39">
        <v>140</v>
      </c>
      <c r="F1588" s="39" t="s">
        <v>53</v>
      </c>
      <c r="G1588" s="36" t="s">
        <v>2289</v>
      </c>
      <c r="H1588" s="39" t="s">
        <v>22</v>
      </c>
      <c r="I1588" s="39">
        <v>638</v>
      </c>
      <c r="J1588" s="39"/>
      <c r="K1588" s="39">
        <v>49</v>
      </c>
      <c r="L1588" s="39">
        <f t="shared" ref="L1588:L1607" si="1019">SUM(I1588:K1588)</f>
        <v>687</v>
      </c>
      <c r="M1588" s="117">
        <v>46266</v>
      </c>
      <c r="N1588" s="117">
        <v>46282</v>
      </c>
      <c r="O1588" s="39"/>
      <c r="P1588" s="39"/>
      <c r="Q1588" s="39"/>
      <c r="R1588" s="39">
        <f t="shared" si="1013"/>
        <v>0</v>
      </c>
      <c r="S1588" s="39" t="s">
        <v>28</v>
      </c>
      <c r="T1588" s="39"/>
      <c r="U1588" s="39"/>
      <c r="V1588" s="117">
        <v>46266</v>
      </c>
      <c r="W1588" s="39">
        <f>727+56</f>
        <v>783</v>
      </c>
      <c r="X1588" s="39"/>
      <c r="Y1588" s="39"/>
      <c r="Z1588" s="39"/>
      <c r="AA1588" s="39"/>
      <c r="AB1588" s="118">
        <f t="shared" si="1008"/>
        <v>0</v>
      </c>
      <c r="AC1588" s="39"/>
      <c r="AD1588" s="39"/>
      <c r="AE1588" s="39"/>
      <c r="AF1588" s="39"/>
      <c r="AG1588" s="39"/>
      <c r="AH1588" s="39">
        <f t="shared" si="1015"/>
        <v>0</v>
      </c>
      <c r="AI1588" s="39"/>
      <c r="AJ1588" s="39"/>
      <c r="AK1588" s="39"/>
      <c r="AL1588" s="39"/>
      <c r="AM1588" s="39"/>
      <c r="AN1588" s="39">
        <f t="shared" si="991"/>
        <v>0</v>
      </c>
      <c r="AO1588" s="39"/>
      <c r="AP1588" s="39"/>
      <c r="AQ1588" s="39"/>
      <c r="AR1588" s="39"/>
      <c r="AS1588" s="39"/>
      <c r="AT1588" s="39">
        <f t="shared" si="896"/>
        <v>0</v>
      </c>
      <c r="AU1588" s="39"/>
      <c r="AV1588" s="39"/>
      <c r="AW1588" s="39"/>
      <c r="AX1588" s="39"/>
      <c r="AY1588" s="39"/>
      <c r="AZ1588" s="39">
        <f t="shared" si="897"/>
        <v>0</v>
      </c>
      <c r="BA1588" s="39"/>
      <c r="BB1588" s="39"/>
      <c r="BC1588" s="39"/>
      <c r="BD1588" s="39"/>
      <c r="BE1588" s="39"/>
      <c r="BF1588" s="39">
        <f t="shared" si="898"/>
        <v>0</v>
      </c>
      <c r="BG1588" s="39"/>
      <c r="BH1588" s="39"/>
      <c r="BI1588" s="39"/>
      <c r="BJ1588" s="39"/>
      <c r="BK1588" s="39"/>
      <c r="BL1588" s="39">
        <f t="shared" si="1016"/>
        <v>0</v>
      </c>
      <c r="BM1588" s="54">
        <f t="shared" ca="1" si="899"/>
        <v>46283</v>
      </c>
      <c r="BN1588" s="59">
        <v>46279</v>
      </c>
      <c r="BO1588" s="57">
        <v>46295</v>
      </c>
      <c r="BP1588" s="36"/>
      <c r="BQ1588" s="36"/>
      <c r="BR1588" s="145"/>
      <c r="BS1588" s="145"/>
      <c r="BT1588" s="39"/>
      <c r="BU1588" s="39"/>
      <c r="BV1588" s="39"/>
      <c r="BW1588" s="39"/>
      <c r="BX1588" s="39"/>
      <c r="BY1588" s="39"/>
      <c r="BZ1588" s="39">
        <f t="shared" si="1017"/>
        <v>0</v>
      </c>
      <c r="CA1588" s="39">
        <f t="shared" si="900"/>
        <v>-638</v>
      </c>
      <c r="CB1588" s="39">
        <f t="shared" si="901"/>
        <v>0</v>
      </c>
      <c r="CC1588" s="39">
        <f t="shared" si="902"/>
        <v>-49</v>
      </c>
      <c r="CD1588" s="39">
        <f t="shared" si="1018"/>
        <v>-687</v>
      </c>
      <c r="CE1588" s="102">
        <f t="shared" si="903"/>
        <v>-1</v>
      </c>
      <c r="CF1588" s="36"/>
      <c r="CG1588" s="39" t="s">
        <v>238</v>
      </c>
      <c r="CH1588" s="39"/>
      <c r="CI1588" s="25">
        <v>2</v>
      </c>
    </row>
    <row r="1589" spans="1:87" ht="24.75" customHeight="1">
      <c r="A1589" s="36" t="s">
        <v>46</v>
      </c>
      <c r="B1589" s="30">
        <v>48465</v>
      </c>
      <c r="C1589" s="227" t="s">
        <v>2299</v>
      </c>
      <c r="D1589" s="36"/>
      <c r="E1589" s="39">
        <v>140</v>
      </c>
      <c r="F1589" s="39" t="s">
        <v>55</v>
      </c>
      <c r="G1589" s="36" t="s">
        <v>596</v>
      </c>
      <c r="H1589" s="39" t="s">
        <v>22</v>
      </c>
      <c r="I1589" s="39">
        <f>1083+87</f>
        <v>1170</v>
      </c>
      <c r="J1589" s="39">
        <f>51+5</f>
        <v>56</v>
      </c>
      <c r="K1589" s="39">
        <f>22+1</f>
        <v>23</v>
      </c>
      <c r="L1589" s="39">
        <f t="shared" si="1019"/>
        <v>1249</v>
      </c>
      <c r="M1589" s="117">
        <v>46266</v>
      </c>
      <c r="N1589" s="117">
        <v>46282</v>
      </c>
      <c r="O1589" s="39"/>
      <c r="P1589" s="39"/>
      <c r="Q1589" s="39"/>
      <c r="R1589" s="39">
        <f t="shared" ref="R1589:R1596" si="1020">SUM(O1589:Q1589)</f>
        <v>0</v>
      </c>
      <c r="S1589" s="39" t="s">
        <v>130</v>
      </c>
      <c r="T1589" s="39" t="s">
        <v>2961</v>
      </c>
      <c r="U1589" s="117" t="s">
        <v>2962</v>
      </c>
      <c r="V1589" s="39"/>
      <c r="W1589" s="39"/>
      <c r="X1589" s="39"/>
      <c r="Y1589" s="39">
        <f>1119+129+70</f>
        <v>1318</v>
      </c>
      <c r="Z1589" s="39">
        <f>27+35</f>
        <v>62</v>
      </c>
      <c r="AA1589" s="39">
        <v>30</v>
      </c>
      <c r="AB1589" s="119">
        <f t="shared" si="1008"/>
        <v>1410</v>
      </c>
      <c r="AC1589" s="39"/>
      <c r="AD1589" s="39"/>
      <c r="AE1589" s="39"/>
      <c r="AF1589" s="39"/>
      <c r="AG1589" s="39"/>
      <c r="AH1589" s="39">
        <f t="shared" si="1015"/>
        <v>0</v>
      </c>
      <c r="AI1589" s="39"/>
      <c r="AJ1589" s="39"/>
      <c r="AK1589" s="39"/>
      <c r="AL1589" s="39"/>
      <c r="AM1589" s="39"/>
      <c r="AN1589" s="39">
        <f t="shared" si="991"/>
        <v>0</v>
      </c>
      <c r="AO1589" s="39"/>
      <c r="AP1589" s="39"/>
      <c r="AQ1589" s="39"/>
      <c r="AR1589" s="39"/>
      <c r="AS1589" s="39"/>
      <c r="AT1589" s="39">
        <f t="shared" si="896"/>
        <v>0</v>
      </c>
      <c r="AU1589" s="39"/>
      <c r="AV1589" s="39"/>
      <c r="AW1589" s="39"/>
      <c r="AX1589" s="39"/>
      <c r="AY1589" s="39"/>
      <c r="AZ1589" s="39">
        <f t="shared" si="897"/>
        <v>0</v>
      </c>
      <c r="BA1589" s="39"/>
      <c r="BB1589" s="39"/>
      <c r="BC1589" s="39"/>
      <c r="BD1589" s="39"/>
      <c r="BE1589" s="39"/>
      <c r="BF1589" s="39">
        <f t="shared" si="898"/>
        <v>0</v>
      </c>
      <c r="BG1589" s="39"/>
      <c r="BH1589" s="39"/>
      <c r="BI1589" s="39"/>
      <c r="BJ1589" s="39"/>
      <c r="BK1589" s="39"/>
      <c r="BL1589" s="39">
        <f t="shared" si="1016"/>
        <v>0</v>
      </c>
      <c r="BM1589" s="54" t="str">
        <f t="shared" si="899"/>
        <v/>
      </c>
      <c r="BN1589" s="59">
        <v>46280</v>
      </c>
      <c r="BO1589" s="57">
        <v>46300</v>
      </c>
      <c r="BP1589" s="36"/>
      <c r="BQ1589" s="36"/>
      <c r="BR1589" s="159">
        <v>46269</v>
      </c>
      <c r="BS1589" s="159">
        <v>46270</v>
      </c>
      <c r="BT1589" s="39" t="s">
        <v>2980</v>
      </c>
      <c r="BU1589" s="39">
        <f>1028+145-24+13+87</f>
        <v>1249</v>
      </c>
      <c r="BV1589" s="39" t="s">
        <v>3008</v>
      </c>
      <c r="BW1589" s="39">
        <f>24+32+5</f>
        <v>61</v>
      </c>
      <c r="BX1589" s="39">
        <v>754</v>
      </c>
      <c r="BY1589" s="39">
        <v>24</v>
      </c>
      <c r="BZ1589" s="39">
        <f t="shared" si="1017"/>
        <v>1334</v>
      </c>
      <c r="CA1589" s="39">
        <f t="shared" si="900"/>
        <v>79</v>
      </c>
      <c r="CB1589" s="39">
        <f t="shared" si="901"/>
        <v>5</v>
      </c>
      <c r="CC1589" s="39">
        <f t="shared" si="902"/>
        <v>1</v>
      </c>
      <c r="CD1589" s="39">
        <v>0</v>
      </c>
      <c r="CE1589" s="102">
        <f t="shared" si="903"/>
        <v>0</v>
      </c>
      <c r="CF1589" s="36"/>
      <c r="CG1589" s="39" t="s">
        <v>238</v>
      </c>
      <c r="CH1589" s="39" t="s">
        <v>114</v>
      </c>
      <c r="CI1589" s="25">
        <v>2</v>
      </c>
    </row>
    <row r="1590" spans="1:87" ht="24.75" customHeight="1">
      <c r="A1590" s="36" t="s">
        <v>46</v>
      </c>
      <c r="B1590" s="30">
        <v>48465</v>
      </c>
      <c r="C1590" s="231"/>
      <c r="D1590" s="36"/>
      <c r="E1590" s="39">
        <v>140</v>
      </c>
      <c r="F1590" s="39" t="s">
        <v>55</v>
      </c>
      <c r="G1590" s="36" t="s">
        <v>596</v>
      </c>
      <c r="H1590" s="39" t="s">
        <v>22</v>
      </c>
      <c r="I1590" s="39">
        <f>807+64</f>
        <v>871</v>
      </c>
      <c r="J1590" s="39"/>
      <c r="K1590" s="39"/>
      <c r="L1590" s="39">
        <f t="shared" si="1019"/>
        <v>871</v>
      </c>
      <c r="M1590" s="117">
        <v>46266</v>
      </c>
      <c r="N1590" s="117">
        <v>46282</v>
      </c>
      <c r="O1590" s="39"/>
      <c r="P1590" s="39"/>
      <c r="Q1590" s="39"/>
      <c r="R1590" s="39">
        <f t="shared" ref="R1590:R1592" si="1021">SUM(O1590:Q1590)</f>
        <v>0</v>
      </c>
      <c r="S1590" s="39" t="s">
        <v>130</v>
      </c>
      <c r="T1590" s="39">
        <v>109112</v>
      </c>
      <c r="U1590" s="117">
        <v>46267</v>
      </c>
      <c r="V1590" s="39"/>
      <c r="W1590" s="39"/>
      <c r="X1590" s="39"/>
      <c r="Y1590" s="39">
        <f>1119-129</f>
        <v>990</v>
      </c>
      <c r="Z1590" s="39"/>
      <c r="AA1590" s="39"/>
      <c r="AB1590" s="119">
        <f t="shared" ref="AB1590:AB1592" si="1022">SUM(Y1590:AA1590)</f>
        <v>990</v>
      </c>
      <c r="AC1590" s="39"/>
      <c r="AD1590" s="39"/>
      <c r="AE1590" s="39"/>
      <c r="AF1590" s="39"/>
      <c r="AG1590" s="39"/>
      <c r="AH1590" s="39">
        <f t="shared" si="1015"/>
        <v>0</v>
      </c>
      <c r="AI1590" s="39"/>
      <c r="AJ1590" s="39"/>
      <c r="AK1590" s="39"/>
      <c r="AL1590" s="39"/>
      <c r="AM1590" s="39"/>
      <c r="AN1590" s="39">
        <f t="shared" si="991"/>
        <v>0</v>
      </c>
      <c r="AO1590" s="39"/>
      <c r="AP1590" s="39"/>
      <c r="AQ1590" s="39"/>
      <c r="AR1590" s="39"/>
      <c r="AS1590" s="39"/>
      <c r="AT1590" s="39">
        <f t="shared" si="896"/>
        <v>0</v>
      </c>
      <c r="AU1590" s="39"/>
      <c r="AV1590" s="39"/>
      <c r="AW1590" s="39"/>
      <c r="AX1590" s="39"/>
      <c r="AY1590" s="39"/>
      <c r="AZ1590" s="39">
        <f t="shared" si="897"/>
        <v>0</v>
      </c>
      <c r="BA1590" s="39"/>
      <c r="BB1590" s="39"/>
      <c r="BC1590" s="39"/>
      <c r="BD1590" s="39"/>
      <c r="BE1590" s="39"/>
      <c r="BF1590" s="39">
        <f t="shared" si="898"/>
        <v>0</v>
      </c>
      <c r="BG1590" s="39"/>
      <c r="BH1590" s="39"/>
      <c r="BI1590" s="39"/>
      <c r="BJ1590" s="39"/>
      <c r="BK1590" s="39"/>
      <c r="BL1590" s="39">
        <f t="shared" si="1016"/>
        <v>0</v>
      </c>
      <c r="BM1590" s="54" t="str">
        <f t="shared" si="899"/>
        <v/>
      </c>
      <c r="BN1590" s="59">
        <v>46280</v>
      </c>
      <c r="BO1590" s="57">
        <v>46300</v>
      </c>
      <c r="BP1590" s="36"/>
      <c r="BQ1590" s="36"/>
      <c r="BR1590" s="159">
        <v>46270</v>
      </c>
      <c r="BS1590" s="159">
        <v>46270</v>
      </c>
      <c r="BT1590" s="39">
        <v>754</v>
      </c>
      <c r="BU1590" s="39">
        <v>875</v>
      </c>
      <c r="BV1590" s="39"/>
      <c r="BW1590" s="39"/>
      <c r="BX1590" s="39"/>
      <c r="BY1590" s="39"/>
      <c r="BZ1590" s="39">
        <f t="shared" si="1017"/>
        <v>875</v>
      </c>
      <c r="CA1590" s="39">
        <f t="shared" si="900"/>
        <v>4</v>
      </c>
      <c r="CB1590" s="39">
        <f t="shared" si="901"/>
        <v>0</v>
      </c>
      <c r="CC1590" s="39">
        <f t="shared" si="902"/>
        <v>0</v>
      </c>
      <c r="CD1590" s="39">
        <f t="shared" si="1018"/>
        <v>0</v>
      </c>
      <c r="CE1590" s="102">
        <f t="shared" si="903"/>
        <v>0</v>
      </c>
      <c r="CF1590" s="36"/>
      <c r="CG1590" s="39" t="s">
        <v>238</v>
      </c>
      <c r="CH1590" s="39"/>
      <c r="CI1590" s="25">
        <v>2</v>
      </c>
    </row>
    <row r="1591" spans="1:87" ht="24.75" customHeight="1">
      <c r="A1591" s="36" t="s">
        <v>46</v>
      </c>
      <c r="B1591" s="30">
        <v>48465</v>
      </c>
      <c r="C1591" s="231"/>
      <c r="D1591" s="36"/>
      <c r="E1591" s="39">
        <v>140</v>
      </c>
      <c r="F1591" s="39" t="s">
        <v>55</v>
      </c>
      <c r="G1591" s="36" t="s">
        <v>2087</v>
      </c>
      <c r="H1591" s="39" t="s">
        <v>22</v>
      </c>
      <c r="I1591" s="39">
        <f>583+66</f>
        <v>649</v>
      </c>
      <c r="J1591" s="39">
        <f>28+3</f>
        <v>31</v>
      </c>
      <c r="K1591" s="39">
        <f>12+1</f>
        <v>13</v>
      </c>
      <c r="L1591" s="39">
        <f t="shared" si="1019"/>
        <v>693</v>
      </c>
      <c r="M1591" s="117">
        <v>46266</v>
      </c>
      <c r="N1591" s="117">
        <v>46282</v>
      </c>
      <c r="O1591" s="39"/>
      <c r="P1591" s="39"/>
      <c r="Q1591" s="39"/>
      <c r="R1591" s="39">
        <f t="shared" si="1021"/>
        <v>0</v>
      </c>
      <c r="S1591" s="39" t="s">
        <v>31</v>
      </c>
      <c r="T1591" s="39"/>
      <c r="U1591" s="39"/>
      <c r="V1591" s="117">
        <v>46270</v>
      </c>
      <c r="W1591" s="39">
        <f>737+36</f>
        <v>773</v>
      </c>
      <c r="X1591" s="117" t="s">
        <v>3033</v>
      </c>
      <c r="Y1591" s="39">
        <f>660-13</f>
        <v>647</v>
      </c>
      <c r="Z1591" s="39">
        <v>31</v>
      </c>
      <c r="AA1591" s="39">
        <v>13</v>
      </c>
      <c r="AB1591" s="119">
        <f t="shared" si="1022"/>
        <v>691</v>
      </c>
      <c r="AC1591" s="39"/>
      <c r="AD1591" s="39"/>
      <c r="AE1591" s="39"/>
      <c r="AF1591" s="39"/>
      <c r="AG1591" s="39"/>
      <c r="AH1591" s="39">
        <f t="shared" si="1015"/>
        <v>0</v>
      </c>
      <c r="AI1591" s="39"/>
      <c r="AJ1591" s="39"/>
      <c r="AK1591" s="39"/>
      <c r="AL1591" s="39"/>
      <c r="AM1591" s="39"/>
      <c r="AN1591" s="39">
        <f t="shared" si="991"/>
        <v>0</v>
      </c>
      <c r="AO1591" s="39"/>
      <c r="AP1591" s="39"/>
      <c r="AQ1591" s="39"/>
      <c r="AR1591" s="39"/>
      <c r="AS1591" s="39"/>
      <c r="AT1591" s="39">
        <f t="shared" si="896"/>
        <v>0</v>
      </c>
      <c r="AU1591" s="39"/>
      <c r="AV1591" s="39"/>
      <c r="AW1591" s="39"/>
      <c r="AX1591" s="39"/>
      <c r="AY1591" s="39"/>
      <c r="AZ1591" s="39">
        <f t="shared" si="897"/>
        <v>0</v>
      </c>
      <c r="BA1591" s="39"/>
      <c r="BB1591" s="39"/>
      <c r="BC1591" s="39"/>
      <c r="BD1591" s="39"/>
      <c r="BE1591" s="39"/>
      <c r="BF1591" s="39">
        <f t="shared" si="898"/>
        <v>0</v>
      </c>
      <c r="BG1591" s="39"/>
      <c r="BH1591" s="39"/>
      <c r="BI1591" s="39"/>
      <c r="BJ1591" s="39"/>
      <c r="BK1591" s="39"/>
      <c r="BL1591" s="39">
        <f t="shared" si="1016"/>
        <v>0</v>
      </c>
      <c r="BM1591" s="54" t="str">
        <f t="shared" si="899"/>
        <v/>
      </c>
      <c r="BN1591" s="59">
        <v>46280</v>
      </c>
      <c r="BO1591" s="57">
        <v>46300</v>
      </c>
      <c r="BP1591" s="36"/>
      <c r="BQ1591" s="36"/>
      <c r="BR1591" s="159">
        <v>46279</v>
      </c>
      <c r="BS1591" s="159">
        <v>46280</v>
      </c>
      <c r="BT1591" s="39">
        <v>861</v>
      </c>
      <c r="BU1591" s="39">
        <f>660+4-13</f>
        <v>651</v>
      </c>
      <c r="BV1591" s="39">
        <v>971</v>
      </c>
      <c r="BW1591" s="39">
        <v>31</v>
      </c>
      <c r="BX1591" s="39">
        <v>861</v>
      </c>
      <c r="BY1591" s="39">
        <v>13</v>
      </c>
      <c r="BZ1591" s="39">
        <f t="shared" si="1017"/>
        <v>695</v>
      </c>
      <c r="CA1591" s="39">
        <f t="shared" si="900"/>
        <v>2</v>
      </c>
      <c r="CB1591" s="39">
        <f t="shared" si="901"/>
        <v>0</v>
      </c>
      <c r="CC1591" s="39">
        <f t="shared" si="902"/>
        <v>0</v>
      </c>
      <c r="CD1591" s="39">
        <v>0</v>
      </c>
      <c r="CE1591" s="102">
        <f t="shared" si="903"/>
        <v>0</v>
      </c>
      <c r="CF1591" s="36"/>
      <c r="CG1591" s="39" t="s">
        <v>238</v>
      </c>
      <c r="CH1591" s="39"/>
      <c r="CI1591" s="25">
        <v>2</v>
      </c>
    </row>
    <row r="1592" spans="1:87" ht="24.75" customHeight="1">
      <c r="A1592" s="36" t="s">
        <v>46</v>
      </c>
      <c r="B1592" s="30">
        <v>48465</v>
      </c>
      <c r="C1592" s="228"/>
      <c r="D1592" s="36"/>
      <c r="E1592" s="39">
        <v>140</v>
      </c>
      <c r="F1592" s="39" t="s">
        <v>55</v>
      </c>
      <c r="G1592" s="36" t="s">
        <v>2087</v>
      </c>
      <c r="H1592" s="39" t="s">
        <v>22</v>
      </c>
      <c r="I1592" s="39">
        <f>435+48</f>
        <v>483</v>
      </c>
      <c r="J1592" s="39"/>
      <c r="K1592" s="39"/>
      <c r="L1592" s="39">
        <f t="shared" si="1019"/>
        <v>483</v>
      </c>
      <c r="M1592" s="117">
        <v>46266</v>
      </c>
      <c r="N1592" s="117">
        <v>46282</v>
      </c>
      <c r="O1592" s="39"/>
      <c r="P1592" s="39"/>
      <c r="Q1592" s="39"/>
      <c r="R1592" s="39">
        <f t="shared" si="1021"/>
        <v>0</v>
      </c>
      <c r="S1592" s="39" t="s">
        <v>31</v>
      </c>
      <c r="T1592" s="39"/>
      <c r="U1592" s="39"/>
      <c r="V1592" s="117">
        <v>46270</v>
      </c>
      <c r="W1592" s="39">
        <v>565</v>
      </c>
      <c r="X1592" s="117">
        <v>46278</v>
      </c>
      <c r="Y1592" s="39">
        <v>491</v>
      </c>
      <c r="Z1592" s="39"/>
      <c r="AA1592" s="39"/>
      <c r="AB1592" s="119">
        <f t="shared" si="1022"/>
        <v>491</v>
      </c>
      <c r="AC1592" s="39"/>
      <c r="AD1592" s="39"/>
      <c r="AE1592" s="39"/>
      <c r="AF1592" s="39"/>
      <c r="AG1592" s="39"/>
      <c r="AH1592" s="39">
        <f t="shared" si="1015"/>
        <v>0</v>
      </c>
      <c r="AI1592" s="39"/>
      <c r="AJ1592" s="39"/>
      <c r="AK1592" s="39"/>
      <c r="AL1592" s="39"/>
      <c r="AM1592" s="39"/>
      <c r="AN1592" s="39">
        <f t="shared" si="991"/>
        <v>0</v>
      </c>
      <c r="AO1592" s="39"/>
      <c r="AP1592" s="39"/>
      <c r="AQ1592" s="39"/>
      <c r="AR1592" s="39"/>
      <c r="AS1592" s="39"/>
      <c r="AT1592" s="39">
        <f t="shared" si="896"/>
        <v>0</v>
      </c>
      <c r="AU1592" s="39"/>
      <c r="AV1592" s="39"/>
      <c r="AW1592" s="39"/>
      <c r="AX1592" s="39"/>
      <c r="AY1592" s="39"/>
      <c r="AZ1592" s="39">
        <f t="shared" si="897"/>
        <v>0</v>
      </c>
      <c r="BA1592" s="39"/>
      <c r="BB1592" s="39"/>
      <c r="BC1592" s="39"/>
      <c r="BD1592" s="39"/>
      <c r="BE1592" s="39"/>
      <c r="BF1592" s="39">
        <f t="shared" si="898"/>
        <v>0</v>
      </c>
      <c r="BG1592" s="39"/>
      <c r="BH1592" s="39"/>
      <c r="BI1592" s="39"/>
      <c r="BJ1592" s="39"/>
      <c r="BK1592" s="39"/>
      <c r="BL1592" s="39">
        <f t="shared" si="1016"/>
        <v>0</v>
      </c>
      <c r="BM1592" s="54" t="str">
        <f t="shared" si="899"/>
        <v/>
      </c>
      <c r="BN1592" s="59">
        <v>46280</v>
      </c>
      <c r="BO1592" s="57">
        <v>46300</v>
      </c>
      <c r="BP1592" s="36"/>
      <c r="BQ1592" s="36"/>
      <c r="BR1592" s="159">
        <v>46279</v>
      </c>
      <c r="BS1592" s="159">
        <v>46279</v>
      </c>
      <c r="BT1592" s="39">
        <v>861</v>
      </c>
      <c r="BU1592" s="39">
        <f>491-4</f>
        <v>487</v>
      </c>
      <c r="BV1592" s="39"/>
      <c r="BW1592" s="39"/>
      <c r="BX1592" s="39"/>
      <c r="BY1592" s="39"/>
      <c r="BZ1592" s="39">
        <f t="shared" si="1017"/>
        <v>487</v>
      </c>
      <c r="CA1592" s="39">
        <f t="shared" si="900"/>
        <v>4</v>
      </c>
      <c r="CB1592" s="39">
        <f t="shared" si="901"/>
        <v>0</v>
      </c>
      <c r="CC1592" s="39">
        <f t="shared" si="902"/>
        <v>0</v>
      </c>
      <c r="CD1592" s="39">
        <f t="shared" si="1018"/>
        <v>0</v>
      </c>
      <c r="CE1592" s="102">
        <f t="shared" si="903"/>
        <v>0</v>
      </c>
      <c r="CF1592" s="36"/>
      <c r="CG1592" s="39" t="s">
        <v>238</v>
      </c>
      <c r="CH1592" s="39"/>
      <c r="CI1592" s="25">
        <v>2</v>
      </c>
    </row>
    <row r="1593" spans="1:87" ht="24.75" customHeight="1">
      <c r="A1593" s="36" t="s">
        <v>46</v>
      </c>
      <c r="B1593" s="164">
        <v>48455</v>
      </c>
      <c r="C1593" s="227" t="s">
        <v>3003</v>
      </c>
      <c r="D1593" s="36"/>
      <c r="E1593" s="39">
        <v>180</v>
      </c>
      <c r="F1593" s="39" t="s">
        <v>57</v>
      </c>
      <c r="G1593" s="163" t="s">
        <v>348</v>
      </c>
      <c r="H1593" s="39" t="s">
        <v>22</v>
      </c>
      <c r="I1593" s="162">
        <f>1020-26</f>
        <v>994</v>
      </c>
      <c r="J1593" s="39"/>
      <c r="K1593" s="39"/>
      <c r="L1593" s="39">
        <f t="shared" si="1019"/>
        <v>994</v>
      </c>
      <c r="M1593" s="117">
        <v>46266</v>
      </c>
      <c r="N1593" s="117">
        <v>46280</v>
      </c>
      <c r="O1593" s="39"/>
      <c r="P1593" s="39"/>
      <c r="Q1593" s="39"/>
      <c r="R1593" s="39">
        <f t="shared" si="1020"/>
        <v>0</v>
      </c>
      <c r="S1593" s="39" t="s">
        <v>130</v>
      </c>
      <c r="T1593" s="39"/>
      <c r="U1593" s="39"/>
      <c r="V1593" s="39"/>
      <c r="W1593" s="39"/>
      <c r="X1593" s="39"/>
      <c r="Y1593" s="39"/>
      <c r="Z1593" s="39"/>
      <c r="AA1593" s="39"/>
      <c r="AB1593" s="118">
        <f t="shared" si="1008"/>
        <v>0</v>
      </c>
      <c r="AC1593" s="39"/>
      <c r="AD1593" s="39"/>
      <c r="AE1593" s="39"/>
      <c r="AF1593" s="39"/>
      <c r="AG1593" s="39"/>
      <c r="AH1593" s="39">
        <f t="shared" si="1015"/>
        <v>0</v>
      </c>
      <c r="AI1593" s="39"/>
      <c r="AJ1593" s="39"/>
      <c r="AK1593" s="39"/>
      <c r="AL1593" s="39"/>
      <c r="AM1593" s="39"/>
      <c r="AN1593" s="39">
        <f t="shared" si="991"/>
        <v>0</v>
      </c>
      <c r="AO1593" s="39"/>
      <c r="AP1593" s="39"/>
      <c r="AQ1593" s="39"/>
      <c r="AR1593" s="39"/>
      <c r="AS1593" s="39"/>
      <c r="AT1593" s="39">
        <f t="shared" si="896"/>
        <v>0</v>
      </c>
      <c r="AU1593" s="39"/>
      <c r="AV1593" s="39"/>
      <c r="AW1593" s="39"/>
      <c r="AX1593" s="39"/>
      <c r="AY1593" s="39"/>
      <c r="AZ1593" s="39">
        <f t="shared" si="897"/>
        <v>0</v>
      </c>
      <c r="BA1593" s="39"/>
      <c r="BB1593" s="39"/>
      <c r="BC1593" s="39"/>
      <c r="BD1593" s="39"/>
      <c r="BE1593" s="39"/>
      <c r="BF1593" s="39">
        <f t="shared" si="898"/>
        <v>0</v>
      </c>
      <c r="BG1593" s="39"/>
      <c r="BH1593" s="39"/>
      <c r="BI1593" s="39"/>
      <c r="BJ1593" s="39"/>
      <c r="BK1593" s="39"/>
      <c r="BL1593" s="39">
        <f t="shared" si="1016"/>
        <v>0</v>
      </c>
      <c r="BM1593" s="54">
        <f t="shared" ca="1" si="899"/>
        <v>46283</v>
      </c>
      <c r="BN1593" s="59">
        <v>46277</v>
      </c>
      <c r="BO1593" s="57">
        <v>46294</v>
      </c>
      <c r="BP1593" s="36"/>
      <c r="BQ1593" s="36"/>
      <c r="BR1593" s="145"/>
      <c r="BS1593" s="145"/>
      <c r="BT1593" s="39"/>
      <c r="BU1593" s="39"/>
      <c r="BV1593" s="39"/>
      <c r="BW1593" s="39"/>
      <c r="BX1593" s="39"/>
      <c r="BY1593" s="39"/>
      <c r="BZ1593" s="39">
        <f t="shared" si="1017"/>
        <v>0</v>
      </c>
      <c r="CA1593" s="39">
        <f t="shared" si="900"/>
        <v>-994</v>
      </c>
      <c r="CB1593" s="39">
        <f t="shared" si="901"/>
        <v>0</v>
      </c>
      <c r="CC1593" s="39">
        <f t="shared" si="902"/>
        <v>0</v>
      </c>
      <c r="CD1593" s="39">
        <f t="shared" si="1018"/>
        <v>-994</v>
      </c>
      <c r="CE1593" s="102">
        <f t="shared" si="903"/>
        <v>-1</v>
      </c>
      <c r="CF1593" s="36"/>
      <c r="CG1593" s="39" t="s">
        <v>238</v>
      </c>
      <c r="CH1593" s="39"/>
      <c r="CI1593" s="25">
        <v>2</v>
      </c>
    </row>
    <row r="1594" spans="1:87" ht="24.75" customHeight="1">
      <c r="A1594" s="36" t="s">
        <v>46</v>
      </c>
      <c r="B1594" s="164">
        <v>48455</v>
      </c>
      <c r="C1594" s="231"/>
      <c r="D1594" s="36"/>
      <c r="E1594" s="39">
        <v>180</v>
      </c>
      <c r="F1594" s="39" t="s">
        <v>55</v>
      </c>
      <c r="G1594" s="163" t="s">
        <v>2263</v>
      </c>
      <c r="H1594" s="39" t="s">
        <v>22</v>
      </c>
      <c r="I1594" s="162">
        <f>66+5</f>
        <v>71</v>
      </c>
      <c r="J1594" s="39">
        <v>56</v>
      </c>
      <c r="K1594" s="39"/>
      <c r="L1594" s="39">
        <f t="shared" si="1019"/>
        <v>127</v>
      </c>
      <c r="M1594" s="117">
        <v>46266</v>
      </c>
      <c r="N1594" s="117">
        <v>46280</v>
      </c>
      <c r="O1594" s="39"/>
      <c r="P1594" s="39"/>
      <c r="Q1594" s="39"/>
      <c r="R1594" s="39">
        <f t="shared" ref="R1594:R1595" si="1023">SUM(O1594:Q1594)</f>
        <v>0</v>
      </c>
      <c r="S1594" s="39" t="s">
        <v>130</v>
      </c>
      <c r="T1594" s="39"/>
      <c r="U1594" s="39"/>
      <c r="V1594" s="39"/>
      <c r="W1594" s="39"/>
      <c r="X1594" s="39"/>
      <c r="Y1594" s="39"/>
      <c r="Z1594" s="39"/>
      <c r="AA1594" s="39"/>
      <c r="AB1594" s="118">
        <f t="shared" ref="AB1594:AB1595" si="1024">SUM(Y1594:AA1594)</f>
        <v>0</v>
      </c>
      <c r="AC1594" s="39"/>
      <c r="AD1594" s="39"/>
      <c r="AE1594" s="39"/>
      <c r="AF1594" s="39"/>
      <c r="AG1594" s="39"/>
      <c r="AH1594" s="39">
        <f t="shared" si="1015"/>
        <v>0</v>
      </c>
      <c r="AI1594" s="39"/>
      <c r="AJ1594" s="39"/>
      <c r="AK1594" s="39"/>
      <c r="AL1594" s="39"/>
      <c r="AM1594" s="39"/>
      <c r="AN1594" s="39">
        <f t="shared" si="991"/>
        <v>0</v>
      </c>
      <c r="AO1594" s="39"/>
      <c r="AP1594" s="39"/>
      <c r="AQ1594" s="39"/>
      <c r="AR1594" s="39"/>
      <c r="AS1594" s="39"/>
      <c r="AT1594" s="39">
        <f t="shared" si="896"/>
        <v>0</v>
      </c>
      <c r="AU1594" s="39"/>
      <c r="AV1594" s="39"/>
      <c r="AW1594" s="39"/>
      <c r="AX1594" s="39"/>
      <c r="AY1594" s="39"/>
      <c r="AZ1594" s="39">
        <f t="shared" si="897"/>
        <v>0</v>
      </c>
      <c r="BA1594" s="39"/>
      <c r="BB1594" s="39"/>
      <c r="BC1594" s="39"/>
      <c r="BD1594" s="39"/>
      <c r="BE1594" s="39"/>
      <c r="BF1594" s="39">
        <f t="shared" si="898"/>
        <v>0</v>
      </c>
      <c r="BG1594" s="39"/>
      <c r="BH1594" s="39"/>
      <c r="BI1594" s="39"/>
      <c r="BJ1594" s="39"/>
      <c r="BK1594" s="39"/>
      <c r="BL1594" s="39">
        <f t="shared" si="1016"/>
        <v>0</v>
      </c>
      <c r="BM1594" s="54">
        <f t="shared" ca="1" si="899"/>
        <v>46283</v>
      </c>
      <c r="BN1594" s="59">
        <v>46277</v>
      </c>
      <c r="BO1594" s="57">
        <v>46294</v>
      </c>
      <c r="BP1594" s="36"/>
      <c r="BQ1594" s="36"/>
      <c r="BR1594" s="145"/>
      <c r="BS1594" s="145"/>
      <c r="BT1594" s="39"/>
      <c r="BU1594" s="39"/>
      <c r="BV1594" s="39"/>
      <c r="BW1594" s="39"/>
      <c r="BX1594" s="39"/>
      <c r="BY1594" s="39"/>
      <c r="BZ1594" s="39">
        <f t="shared" si="1017"/>
        <v>0</v>
      </c>
      <c r="CA1594" s="39">
        <f t="shared" si="900"/>
        <v>-71</v>
      </c>
      <c r="CB1594" s="39">
        <f t="shared" si="901"/>
        <v>-56</v>
      </c>
      <c r="CC1594" s="39">
        <f t="shared" si="902"/>
        <v>0</v>
      </c>
      <c r="CD1594" s="39">
        <f t="shared" si="1018"/>
        <v>-127</v>
      </c>
      <c r="CE1594" s="102">
        <f t="shared" si="903"/>
        <v>-1</v>
      </c>
      <c r="CF1594" s="36"/>
      <c r="CG1594" s="39" t="s">
        <v>238</v>
      </c>
      <c r="CH1594" s="39"/>
      <c r="CI1594" s="25">
        <v>2</v>
      </c>
    </row>
    <row r="1595" spans="1:87" ht="24.75" customHeight="1">
      <c r="A1595" s="36" t="s">
        <v>46</v>
      </c>
      <c r="B1595" s="30">
        <v>48455</v>
      </c>
      <c r="C1595" s="228"/>
      <c r="D1595" s="36"/>
      <c r="E1595" s="39">
        <v>180</v>
      </c>
      <c r="F1595" s="39" t="s">
        <v>55</v>
      </c>
      <c r="G1595" s="36" t="s">
        <v>2254</v>
      </c>
      <c r="H1595" s="39" t="s">
        <v>22</v>
      </c>
      <c r="I1595" s="39">
        <v>114</v>
      </c>
      <c r="J1595" s="39"/>
      <c r="K1595" s="39"/>
      <c r="L1595" s="39">
        <f t="shared" si="1019"/>
        <v>114</v>
      </c>
      <c r="M1595" s="117">
        <v>46266</v>
      </c>
      <c r="N1595" s="117">
        <v>46280</v>
      </c>
      <c r="O1595" s="39"/>
      <c r="P1595" s="39"/>
      <c r="Q1595" s="39"/>
      <c r="R1595" s="39">
        <f t="shared" si="1023"/>
        <v>0</v>
      </c>
      <c r="S1595" s="39" t="s">
        <v>130</v>
      </c>
      <c r="T1595" s="39"/>
      <c r="U1595" s="39"/>
      <c r="V1595" s="39"/>
      <c r="W1595" s="39"/>
      <c r="X1595" s="39"/>
      <c r="Y1595" s="39"/>
      <c r="Z1595" s="39"/>
      <c r="AA1595" s="39"/>
      <c r="AB1595" s="118">
        <f t="shared" si="1024"/>
        <v>0</v>
      </c>
      <c r="AC1595" s="39"/>
      <c r="AD1595" s="39"/>
      <c r="AE1595" s="39"/>
      <c r="AF1595" s="39"/>
      <c r="AG1595" s="39"/>
      <c r="AH1595" s="39">
        <f t="shared" si="1015"/>
        <v>0</v>
      </c>
      <c r="AI1595" s="39"/>
      <c r="AJ1595" s="39"/>
      <c r="AK1595" s="39"/>
      <c r="AL1595" s="39"/>
      <c r="AM1595" s="39"/>
      <c r="AN1595" s="39">
        <f t="shared" si="991"/>
        <v>0</v>
      </c>
      <c r="AO1595" s="39"/>
      <c r="AP1595" s="39"/>
      <c r="AQ1595" s="39"/>
      <c r="AR1595" s="39"/>
      <c r="AS1595" s="39"/>
      <c r="AT1595" s="39">
        <f t="shared" si="896"/>
        <v>0</v>
      </c>
      <c r="AU1595" s="39"/>
      <c r="AV1595" s="39"/>
      <c r="AW1595" s="39"/>
      <c r="AX1595" s="39"/>
      <c r="AY1595" s="39"/>
      <c r="AZ1595" s="39">
        <f t="shared" si="897"/>
        <v>0</v>
      </c>
      <c r="BA1595" s="39"/>
      <c r="BB1595" s="39"/>
      <c r="BC1595" s="39"/>
      <c r="BD1595" s="39"/>
      <c r="BE1595" s="39"/>
      <c r="BF1595" s="39">
        <f t="shared" si="898"/>
        <v>0</v>
      </c>
      <c r="BG1595" s="39"/>
      <c r="BH1595" s="39"/>
      <c r="BI1595" s="39"/>
      <c r="BJ1595" s="39"/>
      <c r="BK1595" s="39"/>
      <c r="BL1595" s="39">
        <f t="shared" si="1016"/>
        <v>0</v>
      </c>
      <c r="BM1595" s="54">
        <f t="shared" ca="1" si="899"/>
        <v>46283</v>
      </c>
      <c r="BN1595" s="59">
        <v>46277</v>
      </c>
      <c r="BO1595" s="57">
        <v>46294</v>
      </c>
      <c r="BP1595" s="36"/>
      <c r="BQ1595" s="36"/>
      <c r="BR1595" s="145"/>
      <c r="BS1595" s="145"/>
      <c r="BT1595" s="39"/>
      <c r="BU1595" s="39"/>
      <c r="BV1595" s="39"/>
      <c r="BW1595" s="39"/>
      <c r="BX1595" s="39"/>
      <c r="BY1595" s="39"/>
      <c r="BZ1595" s="39">
        <f t="shared" si="1017"/>
        <v>0</v>
      </c>
      <c r="CA1595" s="39">
        <f t="shared" si="900"/>
        <v>-114</v>
      </c>
      <c r="CB1595" s="39">
        <f t="shared" si="901"/>
        <v>0</v>
      </c>
      <c r="CC1595" s="39">
        <f t="shared" si="902"/>
        <v>0</v>
      </c>
      <c r="CD1595" s="39">
        <f t="shared" si="1018"/>
        <v>-114</v>
      </c>
      <c r="CE1595" s="102">
        <f t="shared" si="903"/>
        <v>-1</v>
      </c>
      <c r="CF1595" s="36"/>
      <c r="CG1595" s="39" t="s">
        <v>238</v>
      </c>
      <c r="CH1595" s="39"/>
      <c r="CI1595" s="25">
        <v>2</v>
      </c>
    </row>
    <row r="1596" spans="1:87" ht="24.75" customHeight="1">
      <c r="A1596" s="36" t="s">
        <v>46</v>
      </c>
      <c r="B1596" s="164">
        <v>48453</v>
      </c>
      <c r="C1596" s="227" t="s">
        <v>3005</v>
      </c>
      <c r="D1596" s="36"/>
      <c r="E1596" s="39">
        <v>180</v>
      </c>
      <c r="F1596" s="39" t="s">
        <v>55</v>
      </c>
      <c r="G1596" s="163" t="s">
        <v>348</v>
      </c>
      <c r="H1596" s="39" t="s">
        <v>22</v>
      </c>
      <c r="I1596" s="162">
        <f>766+28-28</f>
        <v>766</v>
      </c>
      <c r="J1596" s="39"/>
      <c r="K1596" s="39"/>
      <c r="L1596" s="39">
        <f t="shared" si="1019"/>
        <v>766</v>
      </c>
      <c r="M1596" s="117">
        <v>46266</v>
      </c>
      <c r="N1596" s="117">
        <v>46280</v>
      </c>
      <c r="O1596" s="39"/>
      <c r="P1596" s="39"/>
      <c r="Q1596" s="39"/>
      <c r="R1596" s="39">
        <f t="shared" si="1020"/>
        <v>0</v>
      </c>
      <c r="S1596" s="39" t="s">
        <v>130</v>
      </c>
      <c r="T1596" s="39"/>
      <c r="U1596" s="39"/>
      <c r="V1596" s="39"/>
      <c r="W1596" s="39"/>
      <c r="X1596" s="39"/>
      <c r="Y1596" s="39"/>
      <c r="Z1596" s="39"/>
      <c r="AA1596" s="39"/>
      <c r="AB1596" s="118">
        <f t="shared" si="1008"/>
        <v>0</v>
      </c>
      <c r="AC1596" s="39"/>
      <c r="AD1596" s="39"/>
      <c r="AE1596" s="39"/>
      <c r="AF1596" s="39"/>
      <c r="AG1596" s="39"/>
      <c r="AH1596" s="39">
        <f t="shared" si="1015"/>
        <v>0</v>
      </c>
      <c r="AI1596" s="39"/>
      <c r="AJ1596" s="39"/>
      <c r="AK1596" s="39"/>
      <c r="AL1596" s="39"/>
      <c r="AM1596" s="39"/>
      <c r="AN1596" s="39">
        <f t="shared" si="991"/>
        <v>0</v>
      </c>
      <c r="AO1596" s="39"/>
      <c r="AP1596" s="39"/>
      <c r="AQ1596" s="39"/>
      <c r="AR1596" s="39"/>
      <c r="AS1596" s="39"/>
      <c r="AT1596" s="39">
        <f t="shared" si="896"/>
        <v>0</v>
      </c>
      <c r="AU1596" s="39"/>
      <c r="AV1596" s="39"/>
      <c r="AW1596" s="39"/>
      <c r="AX1596" s="39"/>
      <c r="AY1596" s="39"/>
      <c r="AZ1596" s="39">
        <f t="shared" si="897"/>
        <v>0</v>
      </c>
      <c r="BA1596" s="39"/>
      <c r="BB1596" s="39"/>
      <c r="BC1596" s="39"/>
      <c r="BD1596" s="39"/>
      <c r="BE1596" s="39"/>
      <c r="BF1596" s="39">
        <f t="shared" si="898"/>
        <v>0</v>
      </c>
      <c r="BG1596" s="39"/>
      <c r="BH1596" s="39"/>
      <c r="BI1596" s="39"/>
      <c r="BJ1596" s="39"/>
      <c r="BK1596" s="39"/>
      <c r="BL1596" s="39">
        <f t="shared" si="1016"/>
        <v>0</v>
      </c>
      <c r="BM1596" s="54">
        <f t="shared" ca="1" si="899"/>
        <v>46283</v>
      </c>
      <c r="BN1596" s="59">
        <v>46277</v>
      </c>
      <c r="BO1596" s="57">
        <v>46294</v>
      </c>
      <c r="BP1596" s="36"/>
      <c r="BQ1596" s="36"/>
      <c r="BR1596" s="39"/>
      <c r="BS1596" s="39"/>
      <c r="BT1596" s="39"/>
      <c r="BU1596" s="39"/>
      <c r="BV1596" s="39"/>
      <c r="BW1596" s="39"/>
      <c r="BX1596" s="39"/>
      <c r="BY1596" s="39"/>
      <c r="BZ1596" s="39">
        <f t="shared" si="1017"/>
        <v>0</v>
      </c>
      <c r="CA1596" s="39">
        <f t="shared" si="900"/>
        <v>-766</v>
      </c>
      <c r="CB1596" s="39">
        <f t="shared" si="901"/>
        <v>0</v>
      </c>
      <c r="CC1596" s="39">
        <f t="shared" si="902"/>
        <v>0</v>
      </c>
      <c r="CD1596" s="39">
        <f t="shared" si="1018"/>
        <v>-766</v>
      </c>
      <c r="CE1596" s="102">
        <f t="shared" si="903"/>
        <v>-1</v>
      </c>
      <c r="CF1596" s="36"/>
      <c r="CG1596" s="39" t="s">
        <v>238</v>
      </c>
      <c r="CH1596" s="39"/>
      <c r="CI1596" s="25">
        <v>2</v>
      </c>
    </row>
    <row r="1597" spans="1:87" ht="24.75" customHeight="1">
      <c r="A1597" s="36" t="s">
        <v>46</v>
      </c>
      <c r="B1597" s="30">
        <v>48453</v>
      </c>
      <c r="C1597" s="231"/>
      <c r="D1597" s="36"/>
      <c r="E1597" s="39">
        <v>180</v>
      </c>
      <c r="F1597" s="39" t="s">
        <v>55</v>
      </c>
      <c r="G1597" s="36" t="s">
        <v>2263</v>
      </c>
      <c r="H1597" s="39" t="s">
        <v>22</v>
      </c>
      <c r="I1597" s="39">
        <f>91-42</f>
        <v>49</v>
      </c>
      <c r="J1597" s="39"/>
      <c r="K1597" s="39"/>
      <c r="L1597" s="39">
        <f t="shared" si="1019"/>
        <v>49</v>
      </c>
      <c r="M1597" s="117">
        <v>46266</v>
      </c>
      <c r="N1597" s="117">
        <v>46280</v>
      </c>
      <c r="O1597" s="39"/>
      <c r="P1597" s="39"/>
      <c r="Q1597" s="39"/>
      <c r="R1597" s="39">
        <f t="shared" ref="R1597:R1598" si="1025">SUM(O1597:Q1597)</f>
        <v>0</v>
      </c>
      <c r="S1597" s="39" t="s">
        <v>130</v>
      </c>
      <c r="T1597" s="39"/>
      <c r="U1597" s="39"/>
      <c r="V1597" s="39"/>
      <c r="W1597" s="39"/>
      <c r="X1597" s="39"/>
      <c r="Y1597" s="39"/>
      <c r="Z1597" s="39"/>
      <c r="AA1597" s="39"/>
      <c r="AB1597" s="118">
        <f t="shared" ref="AB1597:AB1598" si="1026">SUM(Y1597:AA1597)</f>
        <v>0</v>
      </c>
      <c r="AC1597" s="39"/>
      <c r="AD1597" s="39"/>
      <c r="AE1597" s="39"/>
      <c r="AF1597" s="39"/>
      <c r="AG1597" s="39"/>
      <c r="AH1597" s="39">
        <f t="shared" si="1015"/>
        <v>0</v>
      </c>
      <c r="AI1597" s="39"/>
      <c r="AJ1597" s="39"/>
      <c r="AK1597" s="39"/>
      <c r="AL1597" s="39"/>
      <c r="AM1597" s="39"/>
      <c r="AN1597" s="39">
        <f t="shared" si="991"/>
        <v>0</v>
      </c>
      <c r="AO1597" s="39"/>
      <c r="AP1597" s="39"/>
      <c r="AQ1597" s="39"/>
      <c r="AR1597" s="39"/>
      <c r="AS1597" s="39"/>
      <c r="AT1597" s="39">
        <f t="shared" si="896"/>
        <v>0</v>
      </c>
      <c r="AU1597" s="39"/>
      <c r="AV1597" s="39"/>
      <c r="AW1597" s="39"/>
      <c r="AX1597" s="39"/>
      <c r="AY1597" s="39"/>
      <c r="AZ1597" s="39">
        <f t="shared" si="897"/>
        <v>0</v>
      </c>
      <c r="BA1597" s="39"/>
      <c r="BB1597" s="39"/>
      <c r="BC1597" s="39"/>
      <c r="BD1597" s="39"/>
      <c r="BE1597" s="39"/>
      <c r="BF1597" s="39">
        <f t="shared" si="898"/>
        <v>0</v>
      </c>
      <c r="BG1597" s="39"/>
      <c r="BH1597" s="39"/>
      <c r="BI1597" s="39"/>
      <c r="BJ1597" s="39"/>
      <c r="BK1597" s="39"/>
      <c r="BL1597" s="39">
        <f t="shared" si="1016"/>
        <v>0</v>
      </c>
      <c r="BM1597" s="54">
        <f t="shared" ca="1" si="899"/>
        <v>46283</v>
      </c>
      <c r="BN1597" s="59">
        <v>46277</v>
      </c>
      <c r="BO1597" s="57">
        <v>46294</v>
      </c>
      <c r="BP1597" s="36"/>
      <c r="BQ1597" s="36"/>
      <c r="BR1597" s="39"/>
      <c r="BS1597" s="39"/>
      <c r="BT1597" s="39"/>
      <c r="BU1597" s="39"/>
      <c r="BV1597" s="39"/>
      <c r="BW1597" s="39"/>
      <c r="BX1597" s="39"/>
      <c r="BY1597" s="39"/>
      <c r="BZ1597" s="39">
        <f t="shared" si="1017"/>
        <v>0</v>
      </c>
      <c r="CA1597" s="39">
        <f t="shared" si="900"/>
        <v>-49</v>
      </c>
      <c r="CB1597" s="39">
        <f t="shared" si="901"/>
        <v>0</v>
      </c>
      <c r="CC1597" s="39">
        <f t="shared" si="902"/>
        <v>0</v>
      </c>
      <c r="CD1597" s="39">
        <f t="shared" si="1018"/>
        <v>-49</v>
      </c>
      <c r="CE1597" s="102">
        <f t="shared" si="903"/>
        <v>-1</v>
      </c>
      <c r="CF1597" s="36"/>
      <c r="CG1597" s="39" t="s">
        <v>238</v>
      </c>
      <c r="CH1597" s="39"/>
      <c r="CI1597" s="25">
        <v>2</v>
      </c>
    </row>
    <row r="1598" spans="1:87" ht="24.75" customHeight="1">
      <c r="A1598" s="36" t="s">
        <v>46</v>
      </c>
      <c r="B1598" s="164">
        <v>48453</v>
      </c>
      <c r="C1598" s="228"/>
      <c r="D1598" s="36"/>
      <c r="E1598" s="39">
        <v>180</v>
      </c>
      <c r="F1598" s="39" t="s">
        <v>55</v>
      </c>
      <c r="G1598" s="163" t="s">
        <v>2254</v>
      </c>
      <c r="H1598" s="39" t="s">
        <v>22</v>
      </c>
      <c r="I1598" s="162">
        <f>102+23</f>
        <v>125</v>
      </c>
      <c r="J1598" s="39">
        <v>62</v>
      </c>
      <c r="K1598" s="39"/>
      <c r="L1598" s="39">
        <f t="shared" si="1019"/>
        <v>187</v>
      </c>
      <c r="M1598" s="117">
        <v>46266</v>
      </c>
      <c r="N1598" s="117">
        <v>46280</v>
      </c>
      <c r="O1598" s="39"/>
      <c r="P1598" s="39"/>
      <c r="Q1598" s="39"/>
      <c r="R1598" s="39">
        <f t="shared" si="1025"/>
        <v>0</v>
      </c>
      <c r="S1598" s="39" t="s">
        <v>130</v>
      </c>
      <c r="T1598" s="39"/>
      <c r="U1598" s="39"/>
      <c r="V1598" s="39"/>
      <c r="W1598" s="39"/>
      <c r="X1598" s="39"/>
      <c r="Y1598" s="39"/>
      <c r="Z1598" s="39"/>
      <c r="AA1598" s="39"/>
      <c r="AB1598" s="118">
        <f t="shared" si="1026"/>
        <v>0</v>
      </c>
      <c r="AC1598" s="39"/>
      <c r="AD1598" s="39"/>
      <c r="AE1598" s="39"/>
      <c r="AF1598" s="39"/>
      <c r="AG1598" s="39"/>
      <c r="AH1598" s="39">
        <f t="shared" si="1015"/>
        <v>0</v>
      </c>
      <c r="AI1598" s="39"/>
      <c r="AJ1598" s="39"/>
      <c r="AK1598" s="39"/>
      <c r="AL1598" s="39"/>
      <c r="AM1598" s="39"/>
      <c r="AN1598" s="39">
        <f t="shared" si="991"/>
        <v>0</v>
      </c>
      <c r="AO1598" s="39"/>
      <c r="AP1598" s="39"/>
      <c r="AQ1598" s="39"/>
      <c r="AR1598" s="39"/>
      <c r="AS1598" s="39"/>
      <c r="AT1598" s="39">
        <f t="shared" si="896"/>
        <v>0</v>
      </c>
      <c r="AU1598" s="39"/>
      <c r="AV1598" s="39"/>
      <c r="AW1598" s="39"/>
      <c r="AX1598" s="39"/>
      <c r="AY1598" s="39"/>
      <c r="AZ1598" s="39">
        <f t="shared" si="897"/>
        <v>0</v>
      </c>
      <c r="BA1598" s="39"/>
      <c r="BB1598" s="39"/>
      <c r="BC1598" s="39"/>
      <c r="BD1598" s="39"/>
      <c r="BE1598" s="39"/>
      <c r="BF1598" s="39">
        <f t="shared" si="898"/>
        <v>0</v>
      </c>
      <c r="BG1598" s="39"/>
      <c r="BH1598" s="39"/>
      <c r="BI1598" s="39"/>
      <c r="BJ1598" s="39"/>
      <c r="BK1598" s="39"/>
      <c r="BL1598" s="39">
        <f t="shared" si="1016"/>
        <v>0</v>
      </c>
      <c r="BM1598" s="54">
        <f t="shared" ca="1" si="899"/>
        <v>46283</v>
      </c>
      <c r="BN1598" s="59">
        <v>46277</v>
      </c>
      <c r="BO1598" s="57">
        <v>46294</v>
      </c>
      <c r="BP1598" s="36"/>
      <c r="BQ1598" s="36"/>
      <c r="BR1598" s="39"/>
      <c r="BS1598" s="39"/>
      <c r="BT1598" s="39"/>
      <c r="BU1598" s="39"/>
      <c r="BV1598" s="39"/>
      <c r="BW1598" s="39"/>
      <c r="BX1598" s="39"/>
      <c r="BY1598" s="39"/>
      <c r="BZ1598" s="39">
        <f t="shared" si="1017"/>
        <v>0</v>
      </c>
      <c r="CA1598" s="39">
        <f t="shared" si="900"/>
        <v>-125</v>
      </c>
      <c r="CB1598" s="39">
        <f t="shared" si="901"/>
        <v>-62</v>
      </c>
      <c r="CC1598" s="39">
        <f t="shared" si="902"/>
        <v>0</v>
      </c>
      <c r="CD1598" s="39">
        <f t="shared" si="1018"/>
        <v>-187</v>
      </c>
      <c r="CE1598" s="102">
        <f t="shared" si="903"/>
        <v>-1</v>
      </c>
      <c r="CF1598" s="36"/>
      <c r="CG1598" s="39" t="s">
        <v>238</v>
      </c>
      <c r="CH1598" s="39"/>
      <c r="CI1598" s="25">
        <v>2</v>
      </c>
    </row>
    <row r="1599" spans="1:87" ht="24.75" customHeight="1">
      <c r="A1599" s="36" t="s">
        <v>46</v>
      </c>
      <c r="B1599" s="30">
        <v>48449</v>
      </c>
      <c r="C1599" s="227" t="s">
        <v>2311</v>
      </c>
      <c r="D1599" s="36"/>
      <c r="E1599" s="39">
        <v>280</v>
      </c>
      <c r="F1599" s="39" t="s">
        <v>58</v>
      </c>
      <c r="G1599" s="36" t="s">
        <v>1916</v>
      </c>
      <c r="H1599" s="39" t="s">
        <v>200</v>
      </c>
      <c r="I1599" s="39">
        <v>1662</v>
      </c>
      <c r="J1599" s="39"/>
      <c r="K1599" s="39"/>
      <c r="L1599" s="39">
        <f t="shared" si="1019"/>
        <v>1662</v>
      </c>
      <c r="M1599" s="117">
        <v>46258</v>
      </c>
      <c r="N1599" s="117">
        <v>46277</v>
      </c>
      <c r="O1599" s="39"/>
      <c r="P1599" s="39"/>
      <c r="Q1599" s="39"/>
      <c r="R1599" s="39">
        <f t="shared" ref="R1599" si="1027">SUM(O1599:Q1599)</f>
        <v>0</v>
      </c>
      <c r="S1599" s="39" t="s">
        <v>130</v>
      </c>
      <c r="T1599" s="39">
        <v>109416</v>
      </c>
      <c r="U1599" s="117">
        <v>46278</v>
      </c>
      <c r="V1599" s="39"/>
      <c r="W1599" s="39"/>
      <c r="X1599" s="39"/>
      <c r="Y1599" s="39">
        <f>1079</f>
        <v>1079</v>
      </c>
      <c r="Z1599" s="39"/>
      <c r="AA1599" s="39"/>
      <c r="AB1599" s="118">
        <f t="shared" ref="AB1599" si="1028">SUM(Y1599:AA1599)</f>
        <v>1079</v>
      </c>
      <c r="AC1599" s="39"/>
      <c r="AD1599" s="39"/>
      <c r="AE1599" s="39"/>
      <c r="AF1599" s="39"/>
      <c r="AG1599" s="39"/>
      <c r="AH1599" s="39">
        <f t="shared" si="1015"/>
        <v>0</v>
      </c>
      <c r="AI1599" s="39"/>
      <c r="AJ1599" s="39"/>
      <c r="AK1599" s="39"/>
      <c r="AL1599" s="39"/>
      <c r="AM1599" s="39"/>
      <c r="AN1599" s="39">
        <f t="shared" si="991"/>
        <v>0</v>
      </c>
      <c r="AO1599" s="39"/>
      <c r="AP1599" s="39"/>
      <c r="AQ1599" s="39"/>
      <c r="AR1599" s="39"/>
      <c r="AS1599" s="39"/>
      <c r="AT1599" s="39">
        <f t="shared" si="896"/>
        <v>0</v>
      </c>
      <c r="AU1599" s="39"/>
      <c r="AV1599" s="39"/>
      <c r="AW1599" s="39"/>
      <c r="AX1599" s="39"/>
      <c r="AY1599" s="39"/>
      <c r="AZ1599" s="39">
        <f t="shared" si="897"/>
        <v>0</v>
      </c>
      <c r="BA1599" s="39"/>
      <c r="BB1599" s="39"/>
      <c r="BC1599" s="39"/>
      <c r="BD1599" s="39"/>
      <c r="BE1599" s="39"/>
      <c r="BF1599" s="39">
        <f t="shared" si="898"/>
        <v>0</v>
      </c>
      <c r="BG1599" s="39"/>
      <c r="BH1599" s="39"/>
      <c r="BI1599" s="39"/>
      <c r="BJ1599" s="39"/>
      <c r="BK1599" s="39"/>
      <c r="BL1599" s="39">
        <f t="shared" si="1016"/>
        <v>0</v>
      </c>
      <c r="BM1599" s="54">
        <f t="shared" ca="1" si="899"/>
        <v>5</v>
      </c>
      <c r="BN1599" s="59">
        <v>46279</v>
      </c>
      <c r="BO1599" s="57">
        <v>46293</v>
      </c>
      <c r="BP1599" s="36"/>
      <c r="BQ1599" s="36"/>
      <c r="BR1599" s="159">
        <v>46280</v>
      </c>
      <c r="BS1599" s="145"/>
      <c r="BT1599" s="39">
        <v>903</v>
      </c>
      <c r="BU1599" s="39">
        <f>981</f>
        <v>981</v>
      </c>
      <c r="BV1599" s="39"/>
      <c r="BW1599" s="39"/>
      <c r="BX1599" s="39"/>
      <c r="BY1599" s="39"/>
      <c r="BZ1599" s="39">
        <f t="shared" si="1017"/>
        <v>981</v>
      </c>
      <c r="CA1599" s="39">
        <f t="shared" si="900"/>
        <v>-681</v>
      </c>
      <c r="CB1599" s="39">
        <f t="shared" si="901"/>
        <v>0</v>
      </c>
      <c r="CC1599" s="39">
        <f t="shared" si="902"/>
        <v>0</v>
      </c>
      <c r="CD1599" s="39">
        <f t="shared" si="1018"/>
        <v>-681</v>
      </c>
      <c r="CE1599" s="102">
        <f t="shared" si="903"/>
        <v>-0.40974729241877256</v>
      </c>
      <c r="CF1599" s="36"/>
      <c r="CG1599" s="39" t="s">
        <v>238</v>
      </c>
      <c r="CH1599" s="39"/>
      <c r="CI1599" s="25">
        <v>2</v>
      </c>
    </row>
    <row r="1600" spans="1:87" ht="24.75" customHeight="1">
      <c r="A1600" s="36" t="s">
        <v>46</v>
      </c>
      <c r="B1600" s="30">
        <v>48449</v>
      </c>
      <c r="C1600" s="231"/>
      <c r="D1600" s="36"/>
      <c r="E1600" s="39">
        <v>160</v>
      </c>
      <c r="F1600" s="39" t="s">
        <v>58</v>
      </c>
      <c r="G1600" s="36" t="s">
        <v>338</v>
      </c>
      <c r="H1600" s="39" t="s">
        <v>22</v>
      </c>
      <c r="I1600" s="39">
        <v>145</v>
      </c>
      <c r="J1600" s="39"/>
      <c r="K1600" s="39"/>
      <c r="L1600" s="39">
        <f t="shared" si="1019"/>
        <v>145</v>
      </c>
      <c r="M1600" s="117">
        <v>46258</v>
      </c>
      <c r="N1600" s="117">
        <v>46277</v>
      </c>
      <c r="O1600" s="39"/>
      <c r="P1600" s="39"/>
      <c r="Q1600" s="39"/>
      <c r="R1600" s="39">
        <f t="shared" ref="R1600:R1602" si="1029">SUM(O1600:Q1600)</f>
        <v>0</v>
      </c>
      <c r="S1600" s="39" t="s">
        <v>130</v>
      </c>
      <c r="T1600" s="39"/>
      <c r="U1600" s="39"/>
      <c r="V1600" s="39"/>
      <c r="W1600" s="39"/>
      <c r="X1600" s="39"/>
      <c r="Y1600" s="39"/>
      <c r="Z1600" s="39"/>
      <c r="AA1600" s="39"/>
      <c r="AB1600" s="118">
        <f t="shared" ref="AB1600:AB1607" si="1030">SUM(Y1600:AA1600)</f>
        <v>0</v>
      </c>
      <c r="AC1600" s="39"/>
      <c r="AD1600" s="39"/>
      <c r="AE1600" s="39"/>
      <c r="AF1600" s="39"/>
      <c r="AG1600" s="39"/>
      <c r="AH1600" s="39">
        <f t="shared" si="1015"/>
        <v>0</v>
      </c>
      <c r="AI1600" s="39"/>
      <c r="AJ1600" s="39"/>
      <c r="AK1600" s="39"/>
      <c r="AL1600" s="39"/>
      <c r="AM1600" s="39"/>
      <c r="AN1600" s="39">
        <f t="shared" si="991"/>
        <v>0</v>
      </c>
      <c r="AO1600" s="39"/>
      <c r="AP1600" s="39"/>
      <c r="AQ1600" s="39"/>
      <c r="AR1600" s="39"/>
      <c r="AS1600" s="39"/>
      <c r="AT1600" s="39">
        <f t="shared" si="896"/>
        <v>0</v>
      </c>
      <c r="AU1600" s="39"/>
      <c r="AV1600" s="39"/>
      <c r="AW1600" s="39"/>
      <c r="AX1600" s="39"/>
      <c r="AY1600" s="39"/>
      <c r="AZ1600" s="39">
        <f t="shared" si="897"/>
        <v>0</v>
      </c>
      <c r="BA1600" s="39"/>
      <c r="BB1600" s="39"/>
      <c r="BC1600" s="39"/>
      <c r="BD1600" s="39"/>
      <c r="BE1600" s="39"/>
      <c r="BF1600" s="39">
        <f t="shared" si="898"/>
        <v>0</v>
      </c>
      <c r="BG1600" s="39"/>
      <c r="BH1600" s="39"/>
      <c r="BI1600" s="39"/>
      <c r="BJ1600" s="39"/>
      <c r="BK1600" s="39"/>
      <c r="BL1600" s="39">
        <f t="shared" si="1016"/>
        <v>0</v>
      </c>
      <c r="BM1600" s="54">
        <f t="shared" ca="1" si="899"/>
        <v>46283</v>
      </c>
      <c r="BN1600" s="59">
        <v>46279</v>
      </c>
      <c r="BO1600" s="57">
        <v>46293</v>
      </c>
      <c r="BP1600" s="36"/>
      <c r="BQ1600" s="36"/>
      <c r="BR1600" s="145"/>
      <c r="BS1600" s="145"/>
      <c r="BT1600" s="39"/>
      <c r="BU1600" s="39"/>
      <c r="BV1600" s="39"/>
      <c r="BW1600" s="39"/>
      <c r="BX1600" s="39"/>
      <c r="BY1600" s="39"/>
      <c r="BZ1600" s="39">
        <f t="shared" si="1017"/>
        <v>0</v>
      </c>
      <c r="CA1600" s="39">
        <f t="shared" si="900"/>
        <v>-145</v>
      </c>
      <c r="CB1600" s="39">
        <f t="shared" si="901"/>
        <v>0</v>
      </c>
      <c r="CC1600" s="39">
        <f t="shared" si="902"/>
        <v>0</v>
      </c>
      <c r="CD1600" s="39">
        <f t="shared" si="1018"/>
        <v>-145</v>
      </c>
      <c r="CE1600" s="102">
        <f t="shared" si="903"/>
        <v>-1</v>
      </c>
      <c r="CF1600" s="36"/>
      <c r="CG1600" s="39" t="s">
        <v>238</v>
      </c>
      <c r="CH1600" s="39"/>
      <c r="CI1600" s="25">
        <v>2</v>
      </c>
    </row>
    <row r="1601" spans="1:87" ht="24.75" customHeight="1">
      <c r="A1601" s="36" t="s">
        <v>46</v>
      </c>
      <c r="B1601" s="30">
        <v>48449</v>
      </c>
      <c r="C1601" s="231"/>
      <c r="D1601" s="36"/>
      <c r="E1601" s="39">
        <v>280</v>
      </c>
      <c r="F1601" s="39" t="s">
        <v>58</v>
      </c>
      <c r="G1601" s="36" t="s">
        <v>2256</v>
      </c>
      <c r="H1601" s="36" t="s">
        <v>2253</v>
      </c>
      <c r="I1601" s="39">
        <v>604</v>
      </c>
      <c r="J1601" s="39"/>
      <c r="K1601" s="39"/>
      <c r="L1601" s="39">
        <f t="shared" si="1019"/>
        <v>604</v>
      </c>
      <c r="M1601" s="117">
        <v>46258</v>
      </c>
      <c r="N1601" s="117">
        <v>46277</v>
      </c>
      <c r="O1601" s="39"/>
      <c r="P1601" s="39"/>
      <c r="Q1601" s="39"/>
      <c r="R1601" s="39">
        <f t="shared" si="1029"/>
        <v>0</v>
      </c>
      <c r="S1601" s="39" t="s">
        <v>130</v>
      </c>
      <c r="T1601" s="39">
        <v>109454</v>
      </c>
      <c r="U1601" s="117">
        <v>46279</v>
      </c>
      <c r="V1601" s="39"/>
      <c r="W1601" s="39"/>
      <c r="X1601" s="39"/>
      <c r="Y1601" s="39">
        <v>690</v>
      </c>
      <c r="Z1601" s="39"/>
      <c r="AA1601" s="39"/>
      <c r="AB1601" s="119">
        <f t="shared" si="1030"/>
        <v>690</v>
      </c>
      <c r="AC1601" s="39"/>
      <c r="AD1601" s="39"/>
      <c r="AE1601" s="39"/>
      <c r="AF1601" s="39"/>
      <c r="AG1601" s="39"/>
      <c r="AH1601" s="39">
        <f t="shared" si="1015"/>
        <v>0</v>
      </c>
      <c r="AI1601" s="39"/>
      <c r="AJ1601" s="39"/>
      <c r="AK1601" s="39"/>
      <c r="AL1601" s="39"/>
      <c r="AM1601" s="39"/>
      <c r="AN1601" s="39">
        <f t="shared" si="991"/>
        <v>0</v>
      </c>
      <c r="AO1601" s="39"/>
      <c r="AP1601" s="39"/>
      <c r="AQ1601" s="39"/>
      <c r="AR1601" s="39"/>
      <c r="AS1601" s="39"/>
      <c r="AT1601" s="39">
        <f t="shared" si="896"/>
        <v>0</v>
      </c>
      <c r="AU1601" s="39"/>
      <c r="AV1601" s="39"/>
      <c r="AW1601" s="39"/>
      <c r="AX1601" s="39"/>
      <c r="AY1601" s="39"/>
      <c r="AZ1601" s="39">
        <f t="shared" si="897"/>
        <v>0</v>
      </c>
      <c r="BA1601" s="39"/>
      <c r="BB1601" s="39"/>
      <c r="BC1601" s="39"/>
      <c r="BD1601" s="39"/>
      <c r="BE1601" s="39"/>
      <c r="BF1601" s="39">
        <f t="shared" si="898"/>
        <v>0</v>
      </c>
      <c r="BG1601" s="39"/>
      <c r="BH1601" s="39"/>
      <c r="BI1601" s="39"/>
      <c r="BJ1601" s="39"/>
      <c r="BK1601" s="39"/>
      <c r="BL1601" s="39">
        <f t="shared" si="1016"/>
        <v>0</v>
      </c>
      <c r="BM1601" s="54" t="str">
        <f t="shared" si="899"/>
        <v/>
      </c>
      <c r="BN1601" s="59">
        <v>46279</v>
      </c>
      <c r="BO1601" s="57">
        <v>46293</v>
      </c>
      <c r="BP1601" s="36"/>
      <c r="BQ1601" s="36"/>
      <c r="BR1601" s="159">
        <v>46282</v>
      </c>
      <c r="BS1601" s="159">
        <v>46282</v>
      </c>
      <c r="BT1601" s="39">
        <v>911</v>
      </c>
      <c r="BU1601" s="39">
        <v>602</v>
      </c>
      <c r="BV1601" s="39"/>
      <c r="BW1601" s="39"/>
      <c r="BX1601" s="39"/>
      <c r="BY1601" s="39"/>
      <c r="BZ1601" s="39">
        <f t="shared" si="1017"/>
        <v>602</v>
      </c>
      <c r="CA1601" s="39">
        <f t="shared" si="900"/>
        <v>-2</v>
      </c>
      <c r="CB1601" s="39">
        <f t="shared" si="901"/>
        <v>0</v>
      </c>
      <c r="CC1601" s="39">
        <f t="shared" si="902"/>
        <v>0</v>
      </c>
      <c r="CD1601" s="39">
        <v>0</v>
      </c>
      <c r="CE1601" s="102">
        <f t="shared" si="903"/>
        <v>0</v>
      </c>
      <c r="CF1601" s="36"/>
      <c r="CG1601" s="39" t="s">
        <v>238</v>
      </c>
      <c r="CH1601" s="39"/>
      <c r="CI1601" s="25">
        <v>2</v>
      </c>
    </row>
    <row r="1602" spans="1:87" ht="24.75" customHeight="1">
      <c r="A1602" s="36" t="s">
        <v>46</v>
      </c>
      <c r="B1602" s="30">
        <v>48449</v>
      </c>
      <c r="C1602" s="228"/>
      <c r="D1602" s="36"/>
      <c r="E1602" s="39">
        <v>160</v>
      </c>
      <c r="F1602" s="39" t="s">
        <v>58</v>
      </c>
      <c r="G1602" s="36" t="s">
        <v>1440</v>
      </c>
      <c r="H1602" s="39" t="s">
        <v>22</v>
      </c>
      <c r="I1602" s="39">
        <v>53</v>
      </c>
      <c r="J1602" s="39"/>
      <c r="K1602" s="39"/>
      <c r="L1602" s="39">
        <f t="shared" si="1019"/>
        <v>53</v>
      </c>
      <c r="M1602" s="117">
        <v>46258</v>
      </c>
      <c r="N1602" s="117">
        <v>46277</v>
      </c>
      <c r="O1602" s="39"/>
      <c r="P1602" s="39"/>
      <c r="Q1602" s="39"/>
      <c r="R1602" s="39">
        <f t="shared" si="1029"/>
        <v>0</v>
      </c>
      <c r="S1602" s="39" t="s">
        <v>130</v>
      </c>
      <c r="T1602" s="39"/>
      <c r="U1602" s="39"/>
      <c r="V1602" s="39"/>
      <c r="W1602" s="39"/>
      <c r="X1602" s="39"/>
      <c r="Y1602" s="39"/>
      <c r="Z1602" s="39"/>
      <c r="AA1602" s="39"/>
      <c r="AB1602" s="118">
        <f t="shared" si="1030"/>
        <v>0</v>
      </c>
      <c r="AC1602" s="39"/>
      <c r="AD1602" s="39"/>
      <c r="AE1602" s="39"/>
      <c r="AF1602" s="39"/>
      <c r="AG1602" s="39"/>
      <c r="AH1602" s="39">
        <f t="shared" si="1015"/>
        <v>0</v>
      </c>
      <c r="AI1602" s="39"/>
      <c r="AJ1602" s="39"/>
      <c r="AK1602" s="39"/>
      <c r="AL1602" s="39"/>
      <c r="AM1602" s="39"/>
      <c r="AN1602" s="39">
        <f t="shared" si="991"/>
        <v>0</v>
      </c>
      <c r="AO1602" s="39"/>
      <c r="AP1602" s="39"/>
      <c r="AQ1602" s="39"/>
      <c r="AR1602" s="39"/>
      <c r="AS1602" s="39"/>
      <c r="AT1602" s="39">
        <f t="shared" si="896"/>
        <v>0</v>
      </c>
      <c r="AU1602" s="39"/>
      <c r="AV1602" s="39"/>
      <c r="AW1602" s="39"/>
      <c r="AX1602" s="39"/>
      <c r="AY1602" s="39"/>
      <c r="AZ1602" s="39">
        <f t="shared" si="897"/>
        <v>0</v>
      </c>
      <c r="BA1602" s="39"/>
      <c r="BB1602" s="39"/>
      <c r="BC1602" s="39"/>
      <c r="BD1602" s="39"/>
      <c r="BE1602" s="39"/>
      <c r="BF1602" s="39">
        <f t="shared" si="898"/>
        <v>0</v>
      </c>
      <c r="BG1602" s="39"/>
      <c r="BH1602" s="39"/>
      <c r="BI1602" s="39"/>
      <c r="BJ1602" s="39"/>
      <c r="BK1602" s="39"/>
      <c r="BL1602" s="39">
        <f t="shared" si="1016"/>
        <v>0</v>
      </c>
      <c r="BM1602" s="54">
        <f t="shared" ca="1" si="899"/>
        <v>46283</v>
      </c>
      <c r="BN1602" s="59">
        <v>46279</v>
      </c>
      <c r="BO1602" s="57">
        <v>46293</v>
      </c>
      <c r="BP1602" s="36"/>
      <c r="BQ1602" s="36"/>
      <c r="BR1602" s="145"/>
      <c r="BS1602" s="145"/>
      <c r="BT1602" s="39"/>
      <c r="BU1602" s="39"/>
      <c r="BV1602" s="39"/>
      <c r="BW1602" s="39"/>
      <c r="BX1602" s="39"/>
      <c r="BY1602" s="39"/>
      <c r="BZ1602" s="39">
        <f t="shared" si="1017"/>
        <v>0</v>
      </c>
      <c r="CA1602" s="39">
        <f t="shared" si="900"/>
        <v>-53</v>
      </c>
      <c r="CB1602" s="39">
        <f t="shared" si="901"/>
        <v>0</v>
      </c>
      <c r="CC1602" s="39">
        <f t="shared" si="902"/>
        <v>0</v>
      </c>
      <c r="CD1602" s="39">
        <f t="shared" si="1018"/>
        <v>-53</v>
      </c>
      <c r="CE1602" s="102">
        <f t="shared" si="903"/>
        <v>-1</v>
      </c>
      <c r="CF1602" s="36"/>
      <c r="CG1602" s="39" t="s">
        <v>238</v>
      </c>
      <c r="CH1602" s="39"/>
      <c r="CI1602" s="25">
        <v>2</v>
      </c>
    </row>
    <row r="1603" spans="1:87" ht="24.75" customHeight="1">
      <c r="A1603" s="36" t="s">
        <v>46</v>
      </c>
      <c r="B1603" s="30">
        <v>48447</v>
      </c>
      <c r="C1603" s="227" t="s">
        <v>2406</v>
      </c>
      <c r="D1603" s="36"/>
      <c r="E1603" s="39">
        <v>300</v>
      </c>
      <c r="F1603" s="39" t="s">
        <v>65</v>
      </c>
      <c r="G1603" s="36" t="s">
        <v>2256</v>
      </c>
      <c r="H1603" s="36" t="s">
        <v>3065</v>
      </c>
      <c r="I1603" s="39">
        <f>1530+29</f>
        <v>1559</v>
      </c>
      <c r="J1603" s="39"/>
      <c r="K1603" s="39">
        <f>84+2</f>
        <v>86</v>
      </c>
      <c r="L1603" s="39">
        <f t="shared" si="1019"/>
        <v>1645</v>
      </c>
      <c r="M1603" s="117">
        <v>46266</v>
      </c>
      <c r="N1603" s="117">
        <v>46280</v>
      </c>
      <c r="O1603" s="39"/>
      <c r="P1603" s="39"/>
      <c r="Q1603" s="39"/>
      <c r="R1603" s="39">
        <f t="shared" ref="R1603:R1607" si="1031">SUM(O1603:Q1603)</f>
        <v>0</v>
      </c>
      <c r="S1603" s="39" t="s">
        <v>130</v>
      </c>
      <c r="T1603" s="39" t="s">
        <v>2947</v>
      </c>
      <c r="U1603" s="117">
        <v>46275</v>
      </c>
      <c r="V1603" s="39"/>
      <c r="W1603" s="39"/>
      <c r="X1603" s="39"/>
      <c r="Y1603" s="39">
        <f>856+860</f>
        <v>1716</v>
      </c>
      <c r="Z1603" s="39"/>
      <c r="AA1603" s="39">
        <f>51+51</f>
        <v>102</v>
      </c>
      <c r="AB1603" s="119">
        <f t="shared" si="1030"/>
        <v>1818</v>
      </c>
      <c r="AC1603" s="39"/>
      <c r="AD1603" s="39"/>
      <c r="AE1603" s="39"/>
      <c r="AF1603" s="39"/>
      <c r="AG1603" s="39"/>
      <c r="AH1603" s="39">
        <f t="shared" si="1015"/>
        <v>0</v>
      </c>
      <c r="AI1603" s="39"/>
      <c r="AJ1603" s="39"/>
      <c r="AK1603" s="39"/>
      <c r="AL1603" s="39"/>
      <c r="AM1603" s="39"/>
      <c r="AN1603" s="39">
        <f t="shared" si="991"/>
        <v>0</v>
      </c>
      <c r="AO1603" s="39"/>
      <c r="AP1603" s="39"/>
      <c r="AQ1603" s="39"/>
      <c r="AR1603" s="39"/>
      <c r="AS1603" s="39"/>
      <c r="AT1603" s="39">
        <f t="shared" si="896"/>
        <v>0</v>
      </c>
      <c r="AU1603" s="39"/>
      <c r="AV1603" s="39"/>
      <c r="AW1603" s="39"/>
      <c r="AX1603" s="39"/>
      <c r="AY1603" s="39"/>
      <c r="AZ1603" s="39">
        <f t="shared" si="897"/>
        <v>0</v>
      </c>
      <c r="BA1603" s="39"/>
      <c r="BB1603" s="39"/>
      <c r="BC1603" s="39"/>
      <c r="BD1603" s="39"/>
      <c r="BE1603" s="39"/>
      <c r="BF1603" s="39">
        <f t="shared" si="898"/>
        <v>0</v>
      </c>
      <c r="BG1603" s="39"/>
      <c r="BH1603" s="39"/>
      <c r="BI1603" s="39"/>
      <c r="BJ1603" s="39"/>
      <c r="BK1603" s="39"/>
      <c r="BL1603" s="39">
        <f t="shared" si="1016"/>
        <v>0</v>
      </c>
      <c r="BM1603" s="54" t="str">
        <f t="shared" si="899"/>
        <v/>
      </c>
      <c r="BN1603" s="59">
        <v>46280</v>
      </c>
      <c r="BO1603" s="57">
        <v>46301</v>
      </c>
      <c r="BP1603" s="36"/>
      <c r="BQ1603" s="36"/>
      <c r="BR1603" s="117">
        <v>46277</v>
      </c>
      <c r="BS1603" s="117">
        <v>46277</v>
      </c>
      <c r="BT1603" s="39" t="s">
        <v>2978</v>
      </c>
      <c r="BU1603" s="39">
        <f>783+774</f>
        <v>1557</v>
      </c>
      <c r="BV1603" s="39"/>
      <c r="BW1603" s="39"/>
      <c r="BX1603" s="39" t="s">
        <v>2978</v>
      </c>
      <c r="BY1603" s="39">
        <f>45+45</f>
        <v>90</v>
      </c>
      <c r="BZ1603" s="39">
        <f t="shared" si="1017"/>
        <v>1647</v>
      </c>
      <c r="CA1603" s="39">
        <f t="shared" si="900"/>
        <v>-2</v>
      </c>
      <c r="CB1603" s="39">
        <f t="shared" si="901"/>
        <v>0</v>
      </c>
      <c r="CC1603" s="39">
        <f t="shared" si="902"/>
        <v>4</v>
      </c>
      <c r="CD1603" s="39">
        <v>0</v>
      </c>
      <c r="CE1603" s="102">
        <f t="shared" si="903"/>
        <v>0</v>
      </c>
      <c r="CF1603" s="36"/>
      <c r="CG1603" s="39" t="s">
        <v>238</v>
      </c>
      <c r="CH1603" s="39"/>
      <c r="CI1603" s="25">
        <v>2</v>
      </c>
    </row>
    <row r="1604" spans="1:87" ht="24.75" customHeight="1">
      <c r="A1604" s="36" t="s">
        <v>46</v>
      </c>
      <c r="B1604" s="30">
        <v>48447</v>
      </c>
      <c r="C1604" s="228"/>
      <c r="D1604" s="36"/>
      <c r="E1604" s="39">
        <v>300</v>
      </c>
      <c r="F1604" s="39" t="s">
        <v>65</v>
      </c>
      <c r="G1604" s="36" t="s">
        <v>2257</v>
      </c>
      <c r="H1604" s="36" t="s">
        <v>3065</v>
      </c>
      <c r="I1604" s="39">
        <f>782+408</f>
        <v>1190</v>
      </c>
      <c r="J1604" s="39"/>
      <c r="K1604" s="39">
        <f>43+23</f>
        <v>66</v>
      </c>
      <c r="L1604" s="39">
        <f t="shared" si="1019"/>
        <v>1256</v>
      </c>
      <c r="M1604" s="117">
        <v>46266</v>
      </c>
      <c r="N1604" s="117">
        <v>46280</v>
      </c>
      <c r="O1604" s="39"/>
      <c r="P1604" s="39"/>
      <c r="Q1604" s="39"/>
      <c r="R1604" s="39">
        <f t="shared" ref="R1604" si="1032">SUM(O1604:Q1604)</f>
        <v>0</v>
      </c>
      <c r="S1604" s="39" t="s">
        <v>270</v>
      </c>
      <c r="T1604" s="39"/>
      <c r="U1604" s="39"/>
      <c r="V1604" s="39"/>
      <c r="W1604" s="39"/>
      <c r="X1604" s="39"/>
      <c r="Y1604" s="39"/>
      <c r="Z1604" s="39"/>
      <c r="AA1604" s="39"/>
      <c r="AB1604" s="118">
        <f t="shared" ref="AB1604" si="1033">SUM(Y1604:AA1604)</f>
        <v>0</v>
      </c>
      <c r="AC1604" s="39"/>
      <c r="AD1604" s="39"/>
      <c r="AE1604" s="39"/>
      <c r="AF1604" s="39"/>
      <c r="AG1604" s="39"/>
      <c r="AH1604" s="39">
        <f t="shared" si="1015"/>
        <v>0</v>
      </c>
      <c r="AI1604" s="39"/>
      <c r="AJ1604" s="39"/>
      <c r="AK1604" s="39"/>
      <c r="AL1604" s="39"/>
      <c r="AM1604" s="39"/>
      <c r="AN1604" s="39">
        <f t="shared" si="991"/>
        <v>0</v>
      </c>
      <c r="AO1604" s="39"/>
      <c r="AP1604" s="39"/>
      <c r="AQ1604" s="39"/>
      <c r="AR1604" s="39"/>
      <c r="AS1604" s="39"/>
      <c r="AT1604" s="39">
        <f t="shared" si="896"/>
        <v>0</v>
      </c>
      <c r="AU1604" s="39"/>
      <c r="AV1604" s="39"/>
      <c r="AW1604" s="39"/>
      <c r="AX1604" s="39"/>
      <c r="AY1604" s="39"/>
      <c r="AZ1604" s="39">
        <f t="shared" si="897"/>
        <v>0</v>
      </c>
      <c r="BA1604" s="39"/>
      <c r="BB1604" s="39"/>
      <c r="BC1604" s="39"/>
      <c r="BD1604" s="39"/>
      <c r="BE1604" s="39"/>
      <c r="BF1604" s="39">
        <f t="shared" si="898"/>
        <v>0</v>
      </c>
      <c r="BG1604" s="39"/>
      <c r="BH1604" s="39"/>
      <c r="BI1604" s="39"/>
      <c r="BJ1604" s="39"/>
      <c r="BK1604" s="39"/>
      <c r="BL1604" s="39">
        <f t="shared" si="1016"/>
        <v>0</v>
      </c>
      <c r="BM1604" s="54">
        <f t="shared" ca="1" si="899"/>
        <v>46283</v>
      </c>
      <c r="BN1604" s="59">
        <v>46280</v>
      </c>
      <c r="BO1604" s="57">
        <v>46301</v>
      </c>
      <c r="BP1604" s="36"/>
      <c r="BQ1604" s="36"/>
      <c r="BR1604" s="39"/>
      <c r="BS1604" s="39"/>
      <c r="BT1604" s="39"/>
      <c r="BU1604" s="39"/>
      <c r="BV1604" s="39"/>
      <c r="BW1604" s="39"/>
      <c r="BX1604" s="39"/>
      <c r="BY1604" s="39"/>
      <c r="BZ1604" s="39">
        <f t="shared" si="1017"/>
        <v>0</v>
      </c>
      <c r="CA1604" s="39">
        <f t="shared" si="900"/>
        <v>-1190</v>
      </c>
      <c r="CB1604" s="39">
        <f t="shared" si="901"/>
        <v>0</v>
      </c>
      <c r="CC1604" s="39">
        <f t="shared" si="902"/>
        <v>-66</v>
      </c>
      <c r="CD1604" s="39">
        <f t="shared" si="1018"/>
        <v>-1256</v>
      </c>
      <c r="CE1604" s="102">
        <f t="shared" si="903"/>
        <v>-1</v>
      </c>
      <c r="CF1604" s="36"/>
      <c r="CG1604" s="39" t="s">
        <v>238</v>
      </c>
      <c r="CH1604" s="39"/>
      <c r="CI1604" s="25">
        <v>2</v>
      </c>
    </row>
    <row r="1605" spans="1:87" ht="31.5" customHeight="1">
      <c r="A1605" s="36" t="s">
        <v>46</v>
      </c>
      <c r="B1605" s="30">
        <v>48446</v>
      </c>
      <c r="C1605" s="36" t="s">
        <v>2258</v>
      </c>
      <c r="D1605" s="36"/>
      <c r="E1605" s="39">
        <v>300</v>
      </c>
      <c r="F1605" s="39" t="s">
        <v>65</v>
      </c>
      <c r="G1605" s="36" t="s">
        <v>847</v>
      </c>
      <c r="H1605" s="36" t="s">
        <v>3065</v>
      </c>
      <c r="I1605" s="39">
        <v>1112</v>
      </c>
      <c r="J1605" s="39"/>
      <c r="K1605" s="39">
        <v>87</v>
      </c>
      <c r="L1605" s="39">
        <f t="shared" si="1019"/>
        <v>1199</v>
      </c>
      <c r="M1605" s="117">
        <v>46266</v>
      </c>
      <c r="N1605" s="117">
        <v>46277</v>
      </c>
      <c r="O1605" s="39"/>
      <c r="P1605" s="39"/>
      <c r="Q1605" s="39"/>
      <c r="R1605" s="39">
        <f t="shared" si="1031"/>
        <v>0</v>
      </c>
      <c r="S1605" s="39" t="s">
        <v>31</v>
      </c>
      <c r="T1605" s="39"/>
      <c r="U1605" s="39"/>
      <c r="V1605" s="117">
        <v>46281</v>
      </c>
      <c r="W1605" s="39">
        <f>1211+99</f>
        <v>1310</v>
      </c>
      <c r="X1605" s="39"/>
      <c r="Y1605" s="39"/>
      <c r="Z1605" s="39"/>
      <c r="AA1605" s="39"/>
      <c r="AB1605" s="118">
        <f t="shared" si="1030"/>
        <v>0</v>
      </c>
      <c r="AC1605" s="39"/>
      <c r="AD1605" s="39"/>
      <c r="AE1605" s="39"/>
      <c r="AF1605" s="39"/>
      <c r="AG1605" s="39"/>
      <c r="AH1605" s="39">
        <f t="shared" si="1015"/>
        <v>0</v>
      </c>
      <c r="AI1605" s="39"/>
      <c r="AJ1605" s="39"/>
      <c r="AK1605" s="39"/>
      <c r="AL1605" s="39"/>
      <c r="AM1605" s="39"/>
      <c r="AN1605" s="39">
        <f t="shared" si="991"/>
        <v>0</v>
      </c>
      <c r="AO1605" s="39"/>
      <c r="AP1605" s="39"/>
      <c r="AQ1605" s="39"/>
      <c r="AR1605" s="39"/>
      <c r="AS1605" s="39"/>
      <c r="AT1605" s="39">
        <f t="shared" si="896"/>
        <v>0</v>
      </c>
      <c r="AU1605" s="39"/>
      <c r="AV1605" s="39"/>
      <c r="AW1605" s="39"/>
      <c r="AX1605" s="39"/>
      <c r="AY1605" s="39"/>
      <c r="AZ1605" s="39">
        <f t="shared" si="897"/>
        <v>0</v>
      </c>
      <c r="BA1605" s="39"/>
      <c r="BB1605" s="39"/>
      <c r="BC1605" s="39"/>
      <c r="BD1605" s="39"/>
      <c r="BE1605" s="39"/>
      <c r="BF1605" s="39">
        <f t="shared" si="898"/>
        <v>0</v>
      </c>
      <c r="BG1605" s="39"/>
      <c r="BH1605" s="39"/>
      <c r="BI1605" s="39"/>
      <c r="BJ1605" s="39"/>
      <c r="BK1605" s="39"/>
      <c r="BL1605" s="39">
        <f t="shared" si="1016"/>
        <v>0</v>
      </c>
      <c r="BM1605" s="54">
        <f t="shared" ca="1" si="899"/>
        <v>46283</v>
      </c>
      <c r="BN1605" s="59">
        <v>46279</v>
      </c>
      <c r="BO1605" s="57">
        <v>46295</v>
      </c>
      <c r="BP1605" s="36"/>
      <c r="BQ1605" s="36"/>
      <c r="BR1605" s="39"/>
      <c r="BS1605" s="39"/>
      <c r="BT1605" s="39"/>
      <c r="BU1605" s="39"/>
      <c r="BV1605" s="39"/>
      <c r="BW1605" s="39"/>
      <c r="BX1605" s="39"/>
      <c r="BY1605" s="39"/>
      <c r="BZ1605" s="39">
        <f t="shared" si="1017"/>
        <v>0</v>
      </c>
      <c r="CA1605" s="39">
        <f t="shared" si="900"/>
        <v>-1112</v>
      </c>
      <c r="CB1605" s="39">
        <f t="shared" si="901"/>
        <v>0</v>
      </c>
      <c r="CC1605" s="39">
        <f t="shared" si="902"/>
        <v>-87</v>
      </c>
      <c r="CD1605" s="39">
        <f t="shared" si="1018"/>
        <v>-1199</v>
      </c>
      <c r="CE1605" s="102">
        <f t="shared" si="903"/>
        <v>-1</v>
      </c>
      <c r="CF1605" s="36"/>
      <c r="CG1605" s="39" t="s">
        <v>238</v>
      </c>
      <c r="CH1605" s="39"/>
      <c r="CI1605" s="25">
        <v>2</v>
      </c>
    </row>
    <row r="1606" spans="1:87" ht="24.75" customHeight="1">
      <c r="A1606" s="36" t="s">
        <v>46</v>
      </c>
      <c r="B1606" s="30">
        <v>47851</v>
      </c>
      <c r="C1606" s="227" t="s">
        <v>2520</v>
      </c>
      <c r="D1606" s="23"/>
      <c r="E1606" s="39">
        <v>220</v>
      </c>
      <c r="F1606" s="39" t="s">
        <v>55</v>
      </c>
      <c r="G1606" s="36" t="s">
        <v>474</v>
      </c>
      <c r="H1606" s="36" t="s">
        <v>212</v>
      </c>
      <c r="I1606" s="39">
        <v>950</v>
      </c>
      <c r="J1606" s="39"/>
      <c r="K1606" s="39"/>
      <c r="L1606" s="39">
        <f t="shared" si="1019"/>
        <v>950</v>
      </c>
      <c r="M1606" s="117">
        <v>46266</v>
      </c>
      <c r="N1606" s="117">
        <v>46276</v>
      </c>
      <c r="O1606" s="39"/>
      <c r="P1606" s="39"/>
      <c r="Q1606" s="39"/>
      <c r="R1606" s="39">
        <f t="shared" si="1031"/>
        <v>0</v>
      </c>
      <c r="S1606" s="39" t="s">
        <v>31</v>
      </c>
      <c r="T1606" s="39"/>
      <c r="U1606" s="39"/>
      <c r="V1606" s="39"/>
      <c r="W1606" s="39"/>
      <c r="X1606" s="39"/>
      <c r="Y1606" s="39"/>
      <c r="Z1606" s="39"/>
      <c r="AA1606" s="39"/>
      <c r="AB1606" s="118">
        <f t="shared" si="1030"/>
        <v>0</v>
      </c>
      <c r="AC1606" s="39"/>
      <c r="AD1606" s="39"/>
      <c r="AE1606" s="39"/>
      <c r="AF1606" s="39"/>
      <c r="AG1606" s="39"/>
      <c r="AH1606" s="39">
        <f t="shared" si="1015"/>
        <v>0</v>
      </c>
      <c r="AI1606" s="39"/>
      <c r="AJ1606" s="39"/>
      <c r="AK1606" s="39"/>
      <c r="AL1606" s="39"/>
      <c r="AM1606" s="39"/>
      <c r="AN1606" s="39">
        <f t="shared" si="991"/>
        <v>0</v>
      </c>
      <c r="AO1606" s="39"/>
      <c r="AP1606" s="39"/>
      <c r="AQ1606" s="39"/>
      <c r="AR1606" s="39"/>
      <c r="AS1606" s="39"/>
      <c r="AT1606" s="39">
        <f t="shared" si="896"/>
        <v>0</v>
      </c>
      <c r="AU1606" s="39"/>
      <c r="AV1606" s="39"/>
      <c r="AW1606" s="39"/>
      <c r="AX1606" s="39"/>
      <c r="AY1606" s="39"/>
      <c r="AZ1606" s="39">
        <f t="shared" si="897"/>
        <v>0</v>
      </c>
      <c r="BA1606" s="39"/>
      <c r="BB1606" s="39"/>
      <c r="BC1606" s="39"/>
      <c r="BD1606" s="39"/>
      <c r="BE1606" s="39"/>
      <c r="BF1606" s="39">
        <f t="shared" si="898"/>
        <v>0</v>
      </c>
      <c r="BG1606" s="39"/>
      <c r="BH1606" s="39"/>
      <c r="BI1606" s="39"/>
      <c r="BJ1606" s="39"/>
      <c r="BK1606" s="39"/>
      <c r="BL1606" s="39">
        <f t="shared" si="1016"/>
        <v>0</v>
      </c>
      <c r="BM1606" s="54">
        <f t="shared" ca="1" si="899"/>
        <v>46283</v>
      </c>
      <c r="BN1606" s="59">
        <v>46277</v>
      </c>
      <c r="BO1606" s="57">
        <v>46291</v>
      </c>
      <c r="BP1606" s="36"/>
      <c r="BQ1606" s="36"/>
      <c r="BR1606" s="39"/>
      <c r="BS1606" s="39"/>
      <c r="BT1606" s="39"/>
      <c r="BU1606" s="39"/>
      <c r="BV1606" s="39"/>
      <c r="BW1606" s="39"/>
      <c r="BX1606" s="39"/>
      <c r="BY1606" s="39"/>
      <c r="BZ1606" s="39">
        <f t="shared" si="1017"/>
        <v>0</v>
      </c>
      <c r="CA1606" s="39">
        <f t="shared" si="900"/>
        <v>-950</v>
      </c>
      <c r="CB1606" s="39">
        <f t="shared" si="901"/>
        <v>0</v>
      </c>
      <c r="CC1606" s="39">
        <f t="shared" si="902"/>
        <v>0</v>
      </c>
      <c r="CD1606" s="39">
        <f t="shared" si="1018"/>
        <v>-950</v>
      </c>
      <c r="CE1606" s="102">
        <f t="shared" si="903"/>
        <v>-1</v>
      </c>
      <c r="CF1606" s="36"/>
      <c r="CG1606" s="39" t="s">
        <v>240</v>
      </c>
      <c r="CH1606" s="39"/>
      <c r="CI1606" s="25">
        <v>2</v>
      </c>
    </row>
    <row r="1607" spans="1:87" ht="24.75" customHeight="1">
      <c r="A1607" s="36" t="s">
        <v>46</v>
      </c>
      <c r="B1607" s="30">
        <v>47851</v>
      </c>
      <c r="C1607" s="228"/>
      <c r="D1607" s="23"/>
      <c r="E1607" s="39"/>
      <c r="F1607" s="39"/>
      <c r="G1607" s="36" t="s">
        <v>208</v>
      </c>
      <c r="H1607" s="36">
        <v>1000</v>
      </c>
      <c r="I1607" s="39" t="s">
        <v>90</v>
      </c>
      <c r="J1607" s="39"/>
      <c r="K1607" s="39"/>
      <c r="L1607" s="39">
        <f t="shared" si="1019"/>
        <v>0</v>
      </c>
      <c r="M1607" s="117">
        <v>46266</v>
      </c>
      <c r="N1607" s="117">
        <v>46276</v>
      </c>
      <c r="O1607" s="39"/>
      <c r="P1607" s="39"/>
      <c r="Q1607" s="39"/>
      <c r="R1607" s="39">
        <f t="shared" si="1031"/>
        <v>0</v>
      </c>
      <c r="S1607" s="39" t="s">
        <v>130</v>
      </c>
      <c r="T1607" s="39"/>
      <c r="U1607" s="39"/>
      <c r="V1607" s="39"/>
      <c r="W1607" s="39"/>
      <c r="X1607" s="39"/>
      <c r="Y1607" s="39"/>
      <c r="Z1607" s="39"/>
      <c r="AA1607" s="39"/>
      <c r="AB1607" s="39">
        <f t="shared" si="1030"/>
        <v>0</v>
      </c>
      <c r="AC1607" s="39"/>
      <c r="AD1607" s="39"/>
      <c r="AE1607" s="39"/>
      <c r="AF1607" s="39"/>
      <c r="AG1607" s="39"/>
      <c r="AH1607" s="39">
        <f t="shared" si="1015"/>
        <v>0</v>
      </c>
      <c r="AI1607" s="39"/>
      <c r="AJ1607" s="39"/>
      <c r="AK1607" s="39"/>
      <c r="AL1607" s="39"/>
      <c r="AM1607" s="39"/>
      <c r="AN1607" s="39">
        <f t="shared" si="991"/>
        <v>0</v>
      </c>
      <c r="AO1607" s="39"/>
      <c r="AP1607" s="39"/>
      <c r="AQ1607" s="39"/>
      <c r="AR1607" s="39"/>
      <c r="AS1607" s="39"/>
      <c r="AT1607" s="39">
        <f t="shared" si="896"/>
        <v>0</v>
      </c>
      <c r="AU1607" s="39"/>
      <c r="AV1607" s="39"/>
      <c r="AW1607" s="39"/>
      <c r="AX1607" s="39"/>
      <c r="AY1607" s="39"/>
      <c r="AZ1607" s="39">
        <f t="shared" si="897"/>
        <v>0</v>
      </c>
      <c r="BA1607" s="39"/>
      <c r="BB1607" s="39"/>
      <c r="BC1607" s="39"/>
      <c r="BD1607" s="39"/>
      <c r="BE1607" s="39"/>
      <c r="BF1607" s="39">
        <f t="shared" si="898"/>
        <v>0</v>
      </c>
      <c r="BG1607" s="39"/>
      <c r="BH1607" s="39"/>
      <c r="BI1607" s="39"/>
      <c r="BJ1607" s="39"/>
      <c r="BK1607" s="39"/>
      <c r="BL1607" s="39">
        <f t="shared" si="1016"/>
        <v>0</v>
      </c>
      <c r="BM1607" s="54" t="e">
        <f t="shared" si="899"/>
        <v>#DIV/0!</v>
      </c>
      <c r="BN1607" s="59">
        <v>46277</v>
      </c>
      <c r="BO1607" s="57">
        <v>46291</v>
      </c>
      <c r="BP1607" s="36"/>
      <c r="BQ1607" s="36"/>
      <c r="BR1607" s="39"/>
      <c r="BS1607" s="39"/>
      <c r="BT1607" s="39"/>
      <c r="BU1607" s="39"/>
      <c r="BV1607" s="39"/>
      <c r="BW1607" s="39"/>
      <c r="BX1607" s="39"/>
      <c r="BY1607" s="39"/>
      <c r="BZ1607" s="39">
        <f t="shared" si="1017"/>
        <v>0</v>
      </c>
      <c r="CA1607" s="39" t="e">
        <f t="shared" si="900"/>
        <v>#VALUE!</v>
      </c>
      <c r="CB1607" s="39">
        <f t="shared" si="901"/>
        <v>0</v>
      </c>
      <c r="CC1607" s="39">
        <f t="shared" si="902"/>
        <v>0</v>
      </c>
      <c r="CD1607" s="39">
        <f t="shared" si="1018"/>
        <v>0</v>
      </c>
      <c r="CE1607" s="102" t="e">
        <f t="shared" si="903"/>
        <v>#DIV/0!</v>
      </c>
      <c r="CF1607" s="36"/>
      <c r="CG1607" s="39" t="s">
        <v>240</v>
      </c>
      <c r="CH1607" s="39"/>
      <c r="CI1607" s="25">
        <v>2</v>
      </c>
    </row>
    <row r="1608" spans="1:87" ht="24.75" customHeight="1">
      <c r="A1608" s="36" t="s">
        <v>46</v>
      </c>
      <c r="B1608" s="30">
        <v>47943</v>
      </c>
      <c r="C1608" s="267" t="s">
        <v>2763</v>
      </c>
      <c r="D1608" s="23" t="s">
        <v>37</v>
      </c>
      <c r="E1608" s="39">
        <v>180</v>
      </c>
      <c r="F1608" s="39" t="s">
        <v>53</v>
      </c>
      <c r="G1608" s="36" t="s">
        <v>2014</v>
      </c>
      <c r="H1608" s="36" t="s">
        <v>393</v>
      </c>
      <c r="I1608" s="39">
        <f>390+10</f>
        <v>400</v>
      </c>
      <c r="J1608" s="39"/>
      <c r="K1608" s="39"/>
      <c r="L1608" s="39">
        <f t="shared" ref="L1608:L1613" si="1034">SUM(I1608:K1608)</f>
        <v>400</v>
      </c>
      <c r="M1608" s="117">
        <v>46239</v>
      </c>
      <c r="N1608" s="117">
        <v>46243</v>
      </c>
      <c r="O1608" s="39"/>
      <c r="P1608" s="39"/>
      <c r="Q1608" s="39"/>
      <c r="R1608" s="39">
        <f t="shared" ref="R1608:R1611" si="1035">SUM(O1608:Q1608)</f>
        <v>0</v>
      </c>
      <c r="S1608" s="39" t="s">
        <v>130</v>
      </c>
      <c r="T1608" s="39">
        <v>109324</v>
      </c>
      <c r="U1608" s="117">
        <v>46278</v>
      </c>
      <c r="V1608" s="39"/>
      <c r="W1608" s="39"/>
      <c r="X1608" s="39"/>
      <c r="Y1608" s="39">
        <v>456</v>
      </c>
      <c r="Z1608" s="39"/>
      <c r="AA1608" s="39"/>
      <c r="AB1608" s="119">
        <f t="shared" ref="AB1608:AB1613" si="1036">SUM(Y1608:AA1608)</f>
        <v>456</v>
      </c>
      <c r="AC1608" s="39" t="s">
        <v>139</v>
      </c>
      <c r="AD1608" s="117">
        <v>46280</v>
      </c>
      <c r="AE1608" s="39">
        <v>402</v>
      </c>
      <c r="AF1608" s="39"/>
      <c r="AG1608" s="39"/>
      <c r="AH1608" s="39">
        <f t="shared" si="1015"/>
        <v>-402</v>
      </c>
      <c r="AI1608" s="39"/>
      <c r="AJ1608" s="39"/>
      <c r="AK1608" s="39"/>
      <c r="AL1608" s="39"/>
      <c r="AM1608" s="39"/>
      <c r="AN1608" s="39">
        <f t="shared" si="991"/>
        <v>0</v>
      </c>
      <c r="AO1608" s="39"/>
      <c r="AP1608" s="39"/>
      <c r="AQ1608" s="39"/>
      <c r="AR1608" s="39"/>
      <c r="AS1608" s="39"/>
      <c r="AT1608" s="39">
        <f t="shared" ref="AT1608:AT1613" si="1037">AS1608-AQ1608</f>
        <v>0</v>
      </c>
      <c r="AU1608" s="39"/>
      <c r="AV1608" s="39"/>
      <c r="AW1608" s="39"/>
      <c r="AX1608" s="39"/>
      <c r="AY1608" s="39"/>
      <c r="AZ1608" s="39">
        <f t="shared" ref="AZ1608:AZ1613" si="1038">AY1608-AW1608</f>
        <v>0</v>
      </c>
      <c r="BA1608" s="39"/>
      <c r="BB1608" s="39"/>
      <c r="BC1608" s="39"/>
      <c r="BD1608" s="39"/>
      <c r="BE1608" s="39"/>
      <c r="BF1608" s="39">
        <f t="shared" ref="BF1608:BF1613" si="1039">BE1608-BC1608</f>
        <v>0</v>
      </c>
      <c r="BG1608" s="39"/>
      <c r="BH1608" s="39"/>
      <c r="BI1608" s="39"/>
      <c r="BJ1608" s="39"/>
      <c r="BK1608" s="39"/>
      <c r="BL1608" s="39">
        <f t="shared" si="1016"/>
        <v>0</v>
      </c>
      <c r="BM1608" s="54">
        <f t="shared" ref="BM1608:BM1613" ca="1" si="1040">IF((BZ1608/L1608)&lt;0.9,$CO$1-U1608,"")</f>
        <v>5</v>
      </c>
      <c r="BN1608" s="59">
        <v>46249</v>
      </c>
      <c r="BO1608" s="57">
        <v>46279</v>
      </c>
      <c r="BP1608" s="57">
        <v>46279</v>
      </c>
      <c r="BQ1608" s="57">
        <v>46283</v>
      </c>
      <c r="BR1608" s="36"/>
      <c r="BS1608" s="36"/>
      <c r="BT1608" s="39"/>
      <c r="BU1608" s="39"/>
      <c r="BV1608" s="39"/>
      <c r="BW1608" s="39"/>
      <c r="BX1608" s="39"/>
      <c r="BY1608" s="39"/>
      <c r="BZ1608" s="39">
        <f t="shared" si="1017"/>
        <v>0</v>
      </c>
      <c r="CA1608" s="39">
        <f t="shared" ref="CA1608:CA1613" si="1041">BU1608-I1608</f>
        <v>-400</v>
      </c>
      <c r="CB1608" s="39">
        <f t="shared" ref="CB1608:CB1613" si="1042">BW1608-J1608</f>
        <v>0</v>
      </c>
      <c r="CC1608" s="39">
        <f t="shared" ref="CC1608:CC1613" si="1043">BY1608-K1608</f>
        <v>0</v>
      </c>
      <c r="CD1608" s="39">
        <f t="shared" si="1018"/>
        <v>-400</v>
      </c>
      <c r="CE1608" s="102">
        <f t="shared" ref="CE1608:CE1613" si="1044">CD1608/L1608</f>
        <v>-1</v>
      </c>
      <c r="CF1608" s="36"/>
      <c r="CG1608" s="39" t="s">
        <v>240</v>
      </c>
      <c r="CH1608" s="39"/>
      <c r="CI1608" s="25">
        <v>2</v>
      </c>
    </row>
    <row r="1609" spans="1:87" ht="24.75" customHeight="1">
      <c r="A1609" s="36" t="s">
        <v>46</v>
      </c>
      <c r="B1609" s="30">
        <v>47943</v>
      </c>
      <c r="C1609" s="268"/>
      <c r="D1609" s="23" t="s">
        <v>37</v>
      </c>
      <c r="E1609" s="39">
        <v>180</v>
      </c>
      <c r="F1609" s="39" t="s">
        <v>53</v>
      </c>
      <c r="G1609" s="36" t="s">
        <v>2015</v>
      </c>
      <c r="H1609" s="36" t="s">
        <v>393</v>
      </c>
      <c r="I1609" s="39">
        <f>220+10</f>
        <v>230</v>
      </c>
      <c r="J1609" s="39"/>
      <c r="K1609" s="39"/>
      <c r="L1609" s="39">
        <f t="shared" si="1034"/>
        <v>230</v>
      </c>
      <c r="M1609" s="117">
        <v>46239</v>
      </c>
      <c r="N1609" s="117">
        <v>46243</v>
      </c>
      <c r="O1609" s="39"/>
      <c r="P1609" s="39"/>
      <c r="Q1609" s="39"/>
      <c r="R1609" s="39">
        <f t="shared" si="1035"/>
        <v>0</v>
      </c>
      <c r="S1609" s="39" t="s">
        <v>130</v>
      </c>
      <c r="T1609" s="39">
        <v>108994</v>
      </c>
      <c r="U1609" s="117">
        <v>46263</v>
      </c>
      <c r="V1609" s="39"/>
      <c r="W1609" s="39"/>
      <c r="X1609" s="39"/>
      <c r="Y1609" s="39">
        <v>265</v>
      </c>
      <c r="Z1609" s="39"/>
      <c r="AA1609" s="39"/>
      <c r="AB1609" s="119">
        <f t="shared" si="1036"/>
        <v>265</v>
      </c>
      <c r="AC1609" s="39" t="s">
        <v>139</v>
      </c>
      <c r="AD1609" s="117">
        <v>46280</v>
      </c>
      <c r="AE1609" s="39">
        <v>227</v>
      </c>
      <c r="AF1609" s="39"/>
      <c r="AG1609" s="39"/>
      <c r="AH1609" s="39">
        <f t="shared" si="1015"/>
        <v>-227</v>
      </c>
      <c r="AI1609" s="39"/>
      <c r="AJ1609" s="39"/>
      <c r="AK1609" s="39"/>
      <c r="AL1609" s="39"/>
      <c r="AM1609" s="39"/>
      <c r="AN1609" s="39">
        <f t="shared" si="991"/>
        <v>0</v>
      </c>
      <c r="AO1609" s="39"/>
      <c r="AP1609" s="39"/>
      <c r="AQ1609" s="39"/>
      <c r="AR1609" s="39"/>
      <c r="AS1609" s="39"/>
      <c r="AT1609" s="39">
        <f t="shared" si="1037"/>
        <v>0</v>
      </c>
      <c r="AU1609" s="39"/>
      <c r="AV1609" s="39"/>
      <c r="AW1609" s="39"/>
      <c r="AX1609" s="39"/>
      <c r="AY1609" s="39"/>
      <c r="AZ1609" s="39">
        <f t="shared" si="1038"/>
        <v>0</v>
      </c>
      <c r="BA1609" s="39"/>
      <c r="BB1609" s="39"/>
      <c r="BC1609" s="39"/>
      <c r="BD1609" s="39"/>
      <c r="BE1609" s="39"/>
      <c r="BF1609" s="39">
        <f t="shared" si="1039"/>
        <v>0</v>
      </c>
      <c r="BG1609" s="39"/>
      <c r="BH1609" s="39"/>
      <c r="BI1609" s="39"/>
      <c r="BJ1609" s="39"/>
      <c r="BK1609" s="39"/>
      <c r="BL1609" s="39">
        <f t="shared" si="1016"/>
        <v>0</v>
      </c>
      <c r="BM1609" s="54">
        <f t="shared" ca="1" si="1040"/>
        <v>20</v>
      </c>
      <c r="BN1609" s="59">
        <v>46249</v>
      </c>
      <c r="BO1609" s="57">
        <v>46279</v>
      </c>
      <c r="BP1609" s="57">
        <v>46279</v>
      </c>
      <c r="BQ1609" s="57">
        <v>46283</v>
      </c>
      <c r="BR1609" s="36"/>
      <c r="BS1609" s="36"/>
      <c r="BT1609" s="39"/>
      <c r="BU1609" s="39"/>
      <c r="BV1609" s="39"/>
      <c r="BW1609" s="39"/>
      <c r="BX1609" s="39"/>
      <c r="BY1609" s="39"/>
      <c r="BZ1609" s="39">
        <f t="shared" si="1017"/>
        <v>0</v>
      </c>
      <c r="CA1609" s="39">
        <f t="shared" si="1041"/>
        <v>-230</v>
      </c>
      <c r="CB1609" s="39">
        <f t="shared" si="1042"/>
        <v>0</v>
      </c>
      <c r="CC1609" s="39">
        <f t="shared" si="1043"/>
        <v>0</v>
      </c>
      <c r="CD1609" s="39">
        <f t="shared" si="1018"/>
        <v>-230</v>
      </c>
      <c r="CE1609" s="102">
        <f t="shared" si="1044"/>
        <v>-1</v>
      </c>
      <c r="CF1609" s="36"/>
      <c r="CG1609" s="39" t="s">
        <v>240</v>
      </c>
      <c r="CH1609" s="39"/>
      <c r="CI1609" s="25">
        <v>2</v>
      </c>
    </row>
    <row r="1610" spans="1:87" ht="24.75" customHeight="1">
      <c r="A1610" s="36" t="s">
        <v>46</v>
      </c>
      <c r="B1610" s="30">
        <v>47943</v>
      </c>
      <c r="C1610" s="269"/>
      <c r="D1610" s="23" t="s">
        <v>37</v>
      </c>
      <c r="E1610" s="39">
        <v>180</v>
      </c>
      <c r="F1610" s="39" t="s">
        <v>53</v>
      </c>
      <c r="G1610" s="36" t="s">
        <v>2764</v>
      </c>
      <c r="H1610" s="36" t="s">
        <v>393</v>
      </c>
      <c r="I1610" s="39">
        <f>180+10</f>
        <v>190</v>
      </c>
      <c r="J1610" s="39"/>
      <c r="K1610" s="39"/>
      <c r="L1610" s="39">
        <f t="shared" si="1034"/>
        <v>190</v>
      </c>
      <c r="M1610" s="117">
        <v>46239</v>
      </c>
      <c r="N1610" s="117">
        <v>46243</v>
      </c>
      <c r="O1610" s="39"/>
      <c r="P1610" s="39"/>
      <c r="Q1610" s="39"/>
      <c r="R1610" s="39">
        <f t="shared" si="1035"/>
        <v>0</v>
      </c>
      <c r="S1610" s="39" t="s">
        <v>130</v>
      </c>
      <c r="T1610" s="39">
        <v>109360</v>
      </c>
      <c r="U1610" s="117">
        <v>46277</v>
      </c>
      <c r="V1610" s="39"/>
      <c r="W1610" s="39"/>
      <c r="X1610" s="39"/>
      <c r="Y1610" s="39">
        <v>228</v>
      </c>
      <c r="Z1610" s="39"/>
      <c r="AA1610" s="39"/>
      <c r="AB1610" s="119">
        <f t="shared" si="1036"/>
        <v>228</v>
      </c>
      <c r="AC1610" s="39" t="s">
        <v>139</v>
      </c>
      <c r="AD1610" s="117">
        <v>46280</v>
      </c>
      <c r="AE1610" s="39">
        <v>190</v>
      </c>
      <c r="AF1610" s="39"/>
      <c r="AG1610" s="39"/>
      <c r="AH1610" s="39">
        <f t="shared" si="1015"/>
        <v>-190</v>
      </c>
      <c r="AI1610" s="39"/>
      <c r="AJ1610" s="39"/>
      <c r="AK1610" s="39"/>
      <c r="AL1610" s="39"/>
      <c r="AM1610" s="39"/>
      <c r="AN1610" s="39">
        <f t="shared" si="991"/>
        <v>0</v>
      </c>
      <c r="AO1610" s="39"/>
      <c r="AP1610" s="39"/>
      <c r="AQ1610" s="39"/>
      <c r="AR1610" s="39"/>
      <c r="AS1610" s="39"/>
      <c r="AT1610" s="39">
        <f t="shared" si="1037"/>
        <v>0</v>
      </c>
      <c r="AU1610" s="39"/>
      <c r="AV1610" s="39"/>
      <c r="AW1610" s="39"/>
      <c r="AX1610" s="39"/>
      <c r="AY1610" s="39"/>
      <c r="AZ1610" s="39">
        <f t="shared" si="1038"/>
        <v>0</v>
      </c>
      <c r="BA1610" s="39"/>
      <c r="BB1610" s="39"/>
      <c r="BC1610" s="39"/>
      <c r="BD1610" s="39"/>
      <c r="BE1610" s="39"/>
      <c r="BF1610" s="39">
        <f t="shared" si="1039"/>
        <v>0</v>
      </c>
      <c r="BG1610" s="39"/>
      <c r="BH1610" s="39"/>
      <c r="BI1610" s="39"/>
      <c r="BJ1610" s="39"/>
      <c r="BK1610" s="39"/>
      <c r="BL1610" s="39">
        <f t="shared" si="1016"/>
        <v>0</v>
      </c>
      <c r="BM1610" s="54">
        <f t="shared" ca="1" si="1040"/>
        <v>6</v>
      </c>
      <c r="BN1610" s="59">
        <v>46249</v>
      </c>
      <c r="BO1610" s="57">
        <v>46279</v>
      </c>
      <c r="BP1610" s="57">
        <v>46279</v>
      </c>
      <c r="BQ1610" s="57">
        <v>46283</v>
      </c>
      <c r="BR1610" s="151"/>
      <c r="BS1610" s="151"/>
      <c r="BT1610" s="39"/>
      <c r="BU1610" s="39"/>
      <c r="BV1610" s="39"/>
      <c r="BW1610" s="39"/>
      <c r="BX1610" s="39"/>
      <c r="BY1610" s="39"/>
      <c r="BZ1610" s="39">
        <f t="shared" si="1017"/>
        <v>0</v>
      </c>
      <c r="CA1610" s="39">
        <f t="shared" si="1041"/>
        <v>-190</v>
      </c>
      <c r="CB1610" s="39">
        <f t="shared" si="1042"/>
        <v>0</v>
      </c>
      <c r="CC1610" s="39">
        <f t="shared" si="1043"/>
        <v>0</v>
      </c>
      <c r="CD1610" s="39">
        <f t="shared" si="1018"/>
        <v>-190</v>
      </c>
      <c r="CE1610" s="102">
        <f t="shared" si="1044"/>
        <v>-1</v>
      </c>
      <c r="CF1610" s="36"/>
      <c r="CG1610" s="39" t="s">
        <v>240</v>
      </c>
      <c r="CH1610" s="39"/>
      <c r="CI1610" s="25">
        <v>2</v>
      </c>
    </row>
    <row r="1611" spans="1:87" ht="24.75" customHeight="1">
      <c r="A1611" s="36" t="s">
        <v>46</v>
      </c>
      <c r="B1611" s="30">
        <v>48142</v>
      </c>
      <c r="C1611" s="253" t="s">
        <v>2893</v>
      </c>
      <c r="D1611" s="23"/>
      <c r="E1611" s="39">
        <v>160</v>
      </c>
      <c r="F1611" s="39" t="s">
        <v>55</v>
      </c>
      <c r="G1611" s="36" t="s">
        <v>23</v>
      </c>
      <c r="H1611" s="36" t="s">
        <v>22</v>
      </c>
      <c r="I1611" s="39">
        <v>40</v>
      </c>
      <c r="J1611" s="39"/>
      <c r="K1611" s="39"/>
      <c r="L1611" s="39">
        <f t="shared" si="1034"/>
        <v>40</v>
      </c>
      <c r="M1611" s="39"/>
      <c r="N1611" s="117">
        <v>46276</v>
      </c>
      <c r="O1611" s="39"/>
      <c r="P1611" s="39"/>
      <c r="Q1611" s="39"/>
      <c r="R1611" s="39">
        <f t="shared" si="1035"/>
        <v>0</v>
      </c>
      <c r="S1611" s="39" t="s">
        <v>130</v>
      </c>
      <c r="T1611" s="39"/>
      <c r="U1611" s="39"/>
      <c r="V1611" s="39"/>
      <c r="W1611" s="39"/>
      <c r="X1611" s="39"/>
      <c r="Y1611" s="39"/>
      <c r="Z1611" s="39"/>
      <c r="AA1611" s="39"/>
      <c r="AB1611" s="118">
        <f t="shared" si="1036"/>
        <v>0</v>
      </c>
      <c r="AC1611" s="39"/>
      <c r="AD1611" s="39"/>
      <c r="AE1611" s="39"/>
      <c r="AF1611" s="39"/>
      <c r="AG1611" s="39"/>
      <c r="AH1611" s="39">
        <f t="shared" si="1015"/>
        <v>0</v>
      </c>
      <c r="AI1611" s="39"/>
      <c r="AJ1611" s="39"/>
      <c r="AK1611" s="39"/>
      <c r="AL1611" s="39"/>
      <c r="AM1611" s="39"/>
      <c r="AN1611" s="39">
        <f t="shared" si="991"/>
        <v>0</v>
      </c>
      <c r="AO1611" s="39"/>
      <c r="AP1611" s="39"/>
      <c r="AQ1611" s="39"/>
      <c r="AR1611" s="39"/>
      <c r="AS1611" s="39"/>
      <c r="AT1611" s="39">
        <f t="shared" si="1037"/>
        <v>0</v>
      </c>
      <c r="AU1611" s="39"/>
      <c r="AV1611" s="39"/>
      <c r="AW1611" s="39"/>
      <c r="AX1611" s="39"/>
      <c r="AY1611" s="39"/>
      <c r="AZ1611" s="39">
        <f t="shared" si="1038"/>
        <v>0</v>
      </c>
      <c r="BA1611" s="39"/>
      <c r="BB1611" s="39"/>
      <c r="BC1611" s="39"/>
      <c r="BD1611" s="39"/>
      <c r="BE1611" s="39"/>
      <c r="BF1611" s="39">
        <f t="shared" si="1039"/>
        <v>0</v>
      </c>
      <c r="BG1611" s="39"/>
      <c r="BH1611" s="39"/>
      <c r="BI1611" s="39"/>
      <c r="BJ1611" s="39"/>
      <c r="BK1611" s="39"/>
      <c r="BL1611" s="39">
        <f t="shared" si="1016"/>
        <v>0</v>
      </c>
      <c r="BM1611" s="54">
        <f t="shared" ca="1" si="1040"/>
        <v>46283</v>
      </c>
      <c r="BN1611" s="65" t="s">
        <v>752</v>
      </c>
      <c r="BO1611" s="57">
        <v>46282</v>
      </c>
      <c r="BP1611" s="36"/>
      <c r="BQ1611" s="36"/>
      <c r="BR1611" s="39"/>
      <c r="BS1611" s="39"/>
      <c r="BT1611" s="39"/>
      <c r="BU1611" s="39"/>
      <c r="BV1611" s="39"/>
      <c r="BW1611" s="39"/>
      <c r="BX1611" s="39"/>
      <c r="BY1611" s="39"/>
      <c r="BZ1611" s="39">
        <f t="shared" si="1017"/>
        <v>0</v>
      </c>
      <c r="CA1611" s="39">
        <f t="shared" si="1041"/>
        <v>-40</v>
      </c>
      <c r="CB1611" s="39">
        <f t="shared" si="1042"/>
        <v>0</v>
      </c>
      <c r="CC1611" s="39">
        <f t="shared" si="1043"/>
        <v>0</v>
      </c>
      <c r="CD1611" s="39">
        <f t="shared" si="1018"/>
        <v>-40</v>
      </c>
      <c r="CE1611" s="102">
        <f t="shared" si="1044"/>
        <v>-1</v>
      </c>
      <c r="CF1611" s="36"/>
      <c r="CG1611" s="39" t="s">
        <v>244</v>
      </c>
      <c r="CH1611" s="39"/>
      <c r="CI1611" s="25">
        <v>2</v>
      </c>
    </row>
    <row r="1612" spans="1:87" ht="24.75" customHeight="1">
      <c r="A1612" s="36" t="s">
        <v>46</v>
      </c>
      <c r="B1612" s="30">
        <v>48142</v>
      </c>
      <c r="C1612" s="266"/>
      <c r="D1612" s="23"/>
      <c r="E1612" s="39">
        <v>160</v>
      </c>
      <c r="F1612" s="39" t="s">
        <v>55</v>
      </c>
      <c r="G1612" s="36" t="s">
        <v>35</v>
      </c>
      <c r="H1612" s="36" t="s">
        <v>22</v>
      </c>
      <c r="I1612" s="39">
        <v>22</v>
      </c>
      <c r="J1612" s="39"/>
      <c r="K1612" s="39"/>
      <c r="L1612" s="39">
        <f t="shared" si="1034"/>
        <v>22</v>
      </c>
      <c r="M1612" s="39"/>
      <c r="N1612" s="117">
        <v>46276</v>
      </c>
      <c r="O1612" s="39"/>
      <c r="P1612" s="39"/>
      <c r="Q1612" s="39"/>
      <c r="R1612" s="39">
        <f t="shared" ref="R1612:R1613" si="1045">SUM(O1612:Q1612)</f>
        <v>0</v>
      </c>
      <c r="S1612" s="39" t="s">
        <v>130</v>
      </c>
      <c r="T1612" s="39"/>
      <c r="U1612" s="39"/>
      <c r="V1612" s="39"/>
      <c r="W1612" s="39"/>
      <c r="X1612" s="39"/>
      <c r="Y1612" s="39"/>
      <c r="Z1612" s="39"/>
      <c r="AA1612" s="39"/>
      <c r="AB1612" s="118">
        <f t="shared" si="1036"/>
        <v>0</v>
      </c>
      <c r="AC1612" s="39"/>
      <c r="AD1612" s="39"/>
      <c r="AE1612" s="39"/>
      <c r="AF1612" s="39"/>
      <c r="AG1612" s="39"/>
      <c r="AH1612" s="39">
        <f t="shared" si="1015"/>
        <v>0</v>
      </c>
      <c r="AI1612" s="39"/>
      <c r="AJ1612" s="39"/>
      <c r="AK1612" s="39"/>
      <c r="AL1612" s="39"/>
      <c r="AM1612" s="39"/>
      <c r="AN1612" s="39">
        <f t="shared" si="991"/>
        <v>0</v>
      </c>
      <c r="AO1612" s="39"/>
      <c r="AP1612" s="39"/>
      <c r="AQ1612" s="39"/>
      <c r="AR1612" s="39"/>
      <c r="AS1612" s="39"/>
      <c r="AT1612" s="39">
        <f t="shared" si="1037"/>
        <v>0</v>
      </c>
      <c r="AU1612" s="39"/>
      <c r="AV1612" s="39"/>
      <c r="AW1612" s="39"/>
      <c r="AX1612" s="39"/>
      <c r="AY1612" s="39"/>
      <c r="AZ1612" s="39">
        <f t="shared" si="1038"/>
        <v>0</v>
      </c>
      <c r="BA1612" s="39"/>
      <c r="BB1612" s="39"/>
      <c r="BC1612" s="39"/>
      <c r="BD1612" s="39"/>
      <c r="BE1612" s="39"/>
      <c r="BF1612" s="39">
        <f t="shared" si="1039"/>
        <v>0</v>
      </c>
      <c r="BG1612" s="39"/>
      <c r="BH1612" s="39"/>
      <c r="BI1612" s="39"/>
      <c r="BJ1612" s="39"/>
      <c r="BK1612" s="39"/>
      <c r="BL1612" s="39">
        <f t="shared" si="1016"/>
        <v>0</v>
      </c>
      <c r="BM1612" s="54">
        <f t="shared" ca="1" si="1040"/>
        <v>46283</v>
      </c>
      <c r="BN1612" s="65" t="s">
        <v>752</v>
      </c>
      <c r="BO1612" s="57">
        <v>46282</v>
      </c>
      <c r="BP1612" s="36"/>
      <c r="BQ1612" s="36"/>
      <c r="BR1612" s="39"/>
      <c r="BS1612" s="39"/>
      <c r="BT1612" s="39"/>
      <c r="BU1612" s="39"/>
      <c r="BV1612" s="39"/>
      <c r="BW1612" s="39"/>
      <c r="BX1612" s="39"/>
      <c r="BY1612" s="39"/>
      <c r="BZ1612" s="39">
        <f t="shared" si="1017"/>
        <v>0</v>
      </c>
      <c r="CA1612" s="39">
        <f t="shared" si="1041"/>
        <v>-22</v>
      </c>
      <c r="CB1612" s="39">
        <f t="shared" si="1042"/>
        <v>0</v>
      </c>
      <c r="CC1612" s="39">
        <f t="shared" si="1043"/>
        <v>0</v>
      </c>
      <c r="CD1612" s="39">
        <f t="shared" si="1018"/>
        <v>-22</v>
      </c>
      <c r="CE1612" s="102">
        <f t="shared" si="1044"/>
        <v>-1</v>
      </c>
      <c r="CF1612" s="36"/>
      <c r="CG1612" s="39" t="s">
        <v>244</v>
      </c>
      <c r="CH1612" s="39"/>
      <c r="CI1612" s="25">
        <v>2</v>
      </c>
    </row>
    <row r="1613" spans="1:87" ht="24.75" customHeight="1">
      <c r="A1613" s="36" t="s">
        <v>46</v>
      </c>
      <c r="B1613" s="30">
        <v>48142</v>
      </c>
      <c r="C1613" s="254"/>
      <c r="D1613" s="23"/>
      <c r="E1613" s="39">
        <v>160</v>
      </c>
      <c r="F1613" s="39" t="s">
        <v>55</v>
      </c>
      <c r="G1613" s="36" t="s">
        <v>187</v>
      </c>
      <c r="H1613" s="36" t="s">
        <v>22</v>
      </c>
      <c r="I1613" s="39">
        <v>22</v>
      </c>
      <c r="J1613" s="39"/>
      <c r="K1613" s="39"/>
      <c r="L1613" s="39">
        <f t="shared" si="1034"/>
        <v>22</v>
      </c>
      <c r="M1613" s="39"/>
      <c r="N1613" s="117">
        <v>46276</v>
      </c>
      <c r="O1613" s="39"/>
      <c r="P1613" s="39"/>
      <c r="Q1613" s="39"/>
      <c r="R1613" s="39">
        <f t="shared" si="1045"/>
        <v>0</v>
      </c>
      <c r="S1613" s="39" t="s">
        <v>130</v>
      </c>
      <c r="T1613" s="39"/>
      <c r="U1613" s="39"/>
      <c r="V1613" s="39"/>
      <c r="W1613" s="39"/>
      <c r="X1613" s="39"/>
      <c r="Y1613" s="39"/>
      <c r="Z1613" s="39"/>
      <c r="AA1613" s="39"/>
      <c r="AB1613" s="118">
        <f t="shared" si="1036"/>
        <v>0</v>
      </c>
      <c r="AC1613" s="39"/>
      <c r="AD1613" s="39"/>
      <c r="AE1613" s="39"/>
      <c r="AF1613" s="39"/>
      <c r="AG1613" s="39"/>
      <c r="AH1613" s="39">
        <f t="shared" si="1015"/>
        <v>0</v>
      </c>
      <c r="AI1613" s="39"/>
      <c r="AJ1613" s="39"/>
      <c r="AK1613" s="39"/>
      <c r="AL1613" s="39"/>
      <c r="AM1613" s="39"/>
      <c r="AN1613" s="39">
        <f t="shared" si="991"/>
        <v>0</v>
      </c>
      <c r="AO1613" s="39"/>
      <c r="AP1613" s="39"/>
      <c r="AQ1613" s="39"/>
      <c r="AR1613" s="39"/>
      <c r="AS1613" s="39"/>
      <c r="AT1613" s="39">
        <f t="shared" si="1037"/>
        <v>0</v>
      </c>
      <c r="AU1613" s="39"/>
      <c r="AV1613" s="39"/>
      <c r="AW1613" s="39"/>
      <c r="AX1613" s="39"/>
      <c r="AY1613" s="39"/>
      <c r="AZ1613" s="39">
        <f t="shared" si="1038"/>
        <v>0</v>
      </c>
      <c r="BA1613" s="39"/>
      <c r="BB1613" s="39"/>
      <c r="BC1613" s="39"/>
      <c r="BD1613" s="39"/>
      <c r="BE1613" s="39"/>
      <c r="BF1613" s="39">
        <f t="shared" si="1039"/>
        <v>0</v>
      </c>
      <c r="BG1613" s="39"/>
      <c r="BH1613" s="39"/>
      <c r="BI1613" s="39"/>
      <c r="BJ1613" s="39"/>
      <c r="BK1613" s="39"/>
      <c r="BL1613" s="39">
        <f t="shared" si="1016"/>
        <v>0</v>
      </c>
      <c r="BM1613" s="54">
        <f t="shared" ca="1" si="1040"/>
        <v>46283</v>
      </c>
      <c r="BN1613" s="65" t="s">
        <v>752</v>
      </c>
      <c r="BO1613" s="57">
        <v>46282</v>
      </c>
      <c r="BP1613" s="36"/>
      <c r="BQ1613" s="36"/>
      <c r="BR1613" s="39"/>
      <c r="BS1613" s="39"/>
      <c r="BT1613" s="39"/>
      <c r="BU1613" s="39"/>
      <c r="BV1613" s="39"/>
      <c r="BW1613" s="39"/>
      <c r="BX1613" s="39"/>
      <c r="BY1613" s="39"/>
      <c r="BZ1613" s="39">
        <f t="shared" si="1017"/>
        <v>0</v>
      </c>
      <c r="CA1613" s="39">
        <f t="shared" si="1041"/>
        <v>-22</v>
      </c>
      <c r="CB1613" s="39">
        <f t="shared" si="1042"/>
        <v>0</v>
      </c>
      <c r="CC1613" s="39">
        <f t="shared" si="1043"/>
        <v>0</v>
      </c>
      <c r="CD1613" s="39">
        <f t="shared" si="1018"/>
        <v>-22</v>
      </c>
      <c r="CE1613" s="102">
        <f t="shared" si="1044"/>
        <v>-1</v>
      </c>
      <c r="CF1613" s="36"/>
      <c r="CG1613" s="39" t="s">
        <v>244</v>
      </c>
      <c r="CH1613" s="39"/>
      <c r="CI1613" s="25">
        <v>2</v>
      </c>
    </row>
    <row r="1614" spans="1:87" ht="24.75" customHeight="1">
      <c r="A1614" s="36" t="s">
        <v>46</v>
      </c>
      <c r="B1614" s="30"/>
      <c r="C1614" s="36"/>
      <c r="D1614" s="23"/>
      <c r="E1614" s="39"/>
      <c r="F1614" s="39"/>
      <c r="G1614" s="36"/>
      <c r="H1614" s="39"/>
      <c r="I1614" s="39"/>
      <c r="J1614" s="39"/>
      <c r="K1614" s="39"/>
      <c r="L1614" s="39">
        <f t="shared" ref="L1614:L1622" si="1046">SUM(I1614:K1614)</f>
        <v>0</v>
      </c>
      <c r="M1614" s="39"/>
      <c r="N1614" s="39"/>
      <c r="O1614" s="39"/>
      <c r="P1614" s="39"/>
      <c r="Q1614" s="39"/>
      <c r="R1614" s="39">
        <f t="shared" ref="R1614:R1622" si="1047">SUM(O1614:Q1614)</f>
        <v>0</v>
      </c>
      <c r="S1614" s="39"/>
      <c r="T1614" s="39"/>
      <c r="U1614" s="39"/>
      <c r="V1614" s="39"/>
      <c r="W1614" s="39"/>
      <c r="X1614" s="39"/>
      <c r="Y1614" s="39"/>
      <c r="Z1614" s="39"/>
      <c r="AA1614" s="39"/>
      <c r="AB1614" s="39">
        <f t="shared" ref="AB1614:AB1622" si="1048">SUM(Y1614:AA1614)</f>
        <v>0</v>
      </c>
      <c r="AC1614" s="39"/>
      <c r="AD1614" s="39"/>
      <c r="AE1614" s="39"/>
      <c r="AF1614" s="39"/>
      <c r="AG1614" s="39"/>
      <c r="AH1614" s="39">
        <f t="shared" ref="AH1614:AH1674" si="1049">AG1614-AE1614</f>
        <v>0</v>
      </c>
      <c r="AI1614" s="39"/>
      <c r="AJ1614" s="39"/>
      <c r="AK1614" s="39"/>
      <c r="AL1614" s="39"/>
      <c r="AM1614" s="39"/>
      <c r="AN1614" s="39">
        <f t="shared" si="991"/>
        <v>0</v>
      </c>
      <c r="AO1614" s="39"/>
      <c r="AP1614" s="39"/>
      <c r="AQ1614" s="39"/>
      <c r="AR1614" s="39"/>
      <c r="AS1614" s="39"/>
      <c r="AT1614" s="39">
        <f t="shared" si="896"/>
        <v>0</v>
      </c>
      <c r="AU1614" s="39"/>
      <c r="AV1614" s="39"/>
      <c r="AW1614" s="39"/>
      <c r="AX1614" s="39"/>
      <c r="AY1614" s="39"/>
      <c r="AZ1614" s="39">
        <f t="shared" si="897"/>
        <v>0</v>
      </c>
      <c r="BA1614" s="39"/>
      <c r="BB1614" s="39"/>
      <c r="BC1614" s="39"/>
      <c r="BD1614" s="39"/>
      <c r="BE1614" s="39"/>
      <c r="BF1614" s="39">
        <f t="shared" si="898"/>
        <v>0</v>
      </c>
      <c r="BG1614" s="39"/>
      <c r="BH1614" s="39"/>
      <c r="BI1614" s="39"/>
      <c r="BJ1614" s="39"/>
      <c r="BK1614" s="39"/>
      <c r="BL1614" s="39">
        <f t="shared" ref="BL1614:BL1674" si="1050">BK1614-BI1614</f>
        <v>0</v>
      </c>
      <c r="BM1614" s="54" t="e">
        <f t="shared" si="899"/>
        <v>#DIV/0!</v>
      </c>
      <c r="BN1614" s="65"/>
      <c r="BO1614" s="36"/>
      <c r="BP1614" s="36"/>
      <c r="BQ1614" s="36"/>
      <c r="BR1614" s="39"/>
      <c r="BS1614" s="39"/>
      <c r="BT1614" s="39"/>
      <c r="BU1614" s="39"/>
      <c r="BV1614" s="39"/>
      <c r="BW1614" s="39"/>
      <c r="BX1614" s="39"/>
      <c r="BY1614" s="39"/>
      <c r="BZ1614" s="39">
        <f t="shared" ref="BZ1614:BZ1674" si="1051">BU1614+BW1614+BY1614</f>
        <v>0</v>
      </c>
      <c r="CA1614" s="39">
        <f t="shared" si="900"/>
        <v>0</v>
      </c>
      <c r="CB1614" s="39">
        <f t="shared" si="901"/>
        <v>0</v>
      </c>
      <c r="CC1614" s="39">
        <f t="shared" si="902"/>
        <v>0</v>
      </c>
      <c r="CD1614" s="39">
        <f t="shared" ref="CD1614:CD1674" si="1052">SUMIF(CA1614:CC1614,"&lt;0")</f>
        <v>0</v>
      </c>
      <c r="CE1614" s="47" t="e">
        <f t="shared" si="903"/>
        <v>#DIV/0!</v>
      </c>
      <c r="CF1614" s="36"/>
      <c r="CG1614" s="39"/>
      <c r="CH1614" s="39"/>
      <c r="CI1614" s="25">
        <v>2</v>
      </c>
    </row>
    <row r="1615" spans="1:87" ht="24.75" customHeight="1">
      <c r="A1615" s="36" t="s">
        <v>46</v>
      </c>
      <c r="B1615" s="30"/>
      <c r="C1615" s="36"/>
      <c r="D1615" s="23"/>
      <c r="E1615" s="39"/>
      <c r="F1615" s="39"/>
      <c r="G1615" s="36"/>
      <c r="H1615" s="39"/>
      <c r="I1615" s="39"/>
      <c r="J1615" s="39"/>
      <c r="K1615" s="39"/>
      <c r="L1615" s="39">
        <f t="shared" si="1046"/>
        <v>0</v>
      </c>
      <c r="M1615" s="39"/>
      <c r="N1615" s="39"/>
      <c r="O1615" s="39"/>
      <c r="P1615" s="39"/>
      <c r="Q1615" s="39"/>
      <c r="R1615" s="39">
        <f t="shared" si="1047"/>
        <v>0</v>
      </c>
      <c r="S1615" s="39"/>
      <c r="T1615" s="39"/>
      <c r="U1615" s="39"/>
      <c r="V1615" s="39"/>
      <c r="W1615" s="39"/>
      <c r="X1615" s="39"/>
      <c r="Y1615" s="39"/>
      <c r="Z1615" s="39"/>
      <c r="AA1615" s="39"/>
      <c r="AB1615" s="39">
        <f t="shared" si="1048"/>
        <v>0</v>
      </c>
      <c r="AC1615" s="39"/>
      <c r="AD1615" s="39"/>
      <c r="AE1615" s="39"/>
      <c r="AF1615" s="39"/>
      <c r="AG1615" s="39"/>
      <c r="AH1615" s="39">
        <f t="shared" si="1049"/>
        <v>0</v>
      </c>
      <c r="AI1615" s="39"/>
      <c r="AJ1615" s="39"/>
      <c r="AK1615" s="39"/>
      <c r="AL1615" s="39"/>
      <c r="AM1615" s="39"/>
      <c r="AN1615" s="39">
        <f t="shared" si="991"/>
        <v>0</v>
      </c>
      <c r="AO1615" s="39"/>
      <c r="AP1615" s="39"/>
      <c r="AQ1615" s="39"/>
      <c r="AR1615" s="39"/>
      <c r="AS1615" s="39"/>
      <c r="AT1615" s="39">
        <f t="shared" si="896"/>
        <v>0</v>
      </c>
      <c r="AU1615" s="39"/>
      <c r="AV1615" s="39"/>
      <c r="AW1615" s="39"/>
      <c r="AX1615" s="39"/>
      <c r="AY1615" s="39"/>
      <c r="AZ1615" s="39">
        <f t="shared" si="897"/>
        <v>0</v>
      </c>
      <c r="BA1615" s="39"/>
      <c r="BB1615" s="39"/>
      <c r="BC1615" s="39"/>
      <c r="BD1615" s="39"/>
      <c r="BE1615" s="39"/>
      <c r="BF1615" s="39">
        <f t="shared" si="898"/>
        <v>0</v>
      </c>
      <c r="BG1615" s="39"/>
      <c r="BH1615" s="39"/>
      <c r="BI1615" s="39"/>
      <c r="BJ1615" s="39"/>
      <c r="BK1615" s="39"/>
      <c r="BL1615" s="39">
        <f t="shared" si="1050"/>
        <v>0</v>
      </c>
      <c r="BM1615" s="54" t="e">
        <f t="shared" si="899"/>
        <v>#DIV/0!</v>
      </c>
      <c r="BN1615" s="65"/>
      <c r="BO1615" s="36"/>
      <c r="BP1615" s="36"/>
      <c r="BQ1615" s="36"/>
      <c r="BR1615" s="39"/>
      <c r="BS1615" s="39"/>
      <c r="BT1615" s="39"/>
      <c r="BU1615" s="39"/>
      <c r="BV1615" s="39"/>
      <c r="BW1615" s="39"/>
      <c r="BX1615" s="39"/>
      <c r="BY1615" s="39"/>
      <c r="BZ1615" s="39">
        <f t="shared" si="1051"/>
        <v>0</v>
      </c>
      <c r="CA1615" s="39">
        <f t="shared" si="900"/>
        <v>0</v>
      </c>
      <c r="CB1615" s="39">
        <f t="shared" si="901"/>
        <v>0</v>
      </c>
      <c r="CC1615" s="39">
        <f t="shared" si="902"/>
        <v>0</v>
      </c>
      <c r="CD1615" s="39">
        <f t="shared" si="1052"/>
        <v>0</v>
      </c>
      <c r="CE1615" s="47" t="e">
        <f t="shared" si="903"/>
        <v>#DIV/0!</v>
      </c>
      <c r="CF1615" s="36"/>
      <c r="CG1615" s="39"/>
      <c r="CH1615" s="39"/>
      <c r="CI1615" s="25">
        <v>2</v>
      </c>
    </row>
    <row r="1616" spans="1:87" ht="24.75" customHeight="1">
      <c r="A1616" s="36" t="s">
        <v>46</v>
      </c>
      <c r="B1616" s="30"/>
      <c r="C1616" s="36"/>
      <c r="D1616" s="23"/>
      <c r="E1616" s="39"/>
      <c r="F1616" s="39"/>
      <c r="G1616" s="36"/>
      <c r="H1616" s="39"/>
      <c r="I1616" s="39"/>
      <c r="J1616" s="39"/>
      <c r="K1616" s="39"/>
      <c r="L1616" s="39">
        <f t="shared" si="1046"/>
        <v>0</v>
      </c>
      <c r="M1616" s="39"/>
      <c r="N1616" s="39"/>
      <c r="O1616" s="39"/>
      <c r="P1616" s="39"/>
      <c r="Q1616" s="39"/>
      <c r="R1616" s="39">
        <f t="shared" si="1047"/>
        <v>0</v>
      </c>
      <c r="S1616" s="39"/>
      <c r="T1616" s="39"/>
      <c r="U1616" s="39"/>
      <c r="V1616" s="39"/>
      <c r="W1616" s="39"/>
      <c r="X1616" s="39"/>
      <c r="Y1616" s="39"/>
      <c r="Z1616" s="39"/>
      <c r="AA1616" s="39"/>
      <c r="AB1616" s="39">
        <f t="shared" si="1048"/>
        <v>0</v>
      </c>
      <c r="AC1616" s="39"/>
      <c r="AD1616" s="39"/>
      <c r="AE1616" s="39"/>
      <c r="AF1616" s="39"/>
      <c r="AG1616" s="39"/>
      <c r="AH1616" s="39">
        <f t="shared" si="1049"/>
        <v>0</v>
      </c>
      <c r="AI1616" s="39"/>
      <c r="AJ1616" s="39"/>
      <c r="AK1616" s="39"/>
      <c r="AL1616" s="39"/>
      <c r="AM1616" s="39"/>
      <c r="AN1616" s="39">
        <f t="shared" si="991"/>
        <v>0</v>
      </c>
      <c r="AO1616" s="39"/>
      <c r="AP1616" s="39"/>
      <c r="AQ1616" s="39"/>
      <c r="AR1616" s="39"/>
      <c r="AS1616" s="39"/>
      <c r="AT1616" s="39">
        <f t="shared" si="896"/>
        <v>0</v>
      </c>
      <c r="AU1616" s="39"/>
      <c r="AV1616" s="39"/>
      <c r="AW1616" s="39"/>
      <c r="AX1616" s="39"/>
      <c r="AY1616" s="39"/>
      <c r="AZ1616" s="39">
        <f t="shared" si="897"/>
        <v>0</v>
      </c>
      <c r="BA1616" s="39"/>
      <c r="BB1616" s="39"/>
      <c r="BC1616" s="39"/>
      <c r="BD1616" s="39"/>
      <c r="BE1616" s="39"/>
      <c r="BF1616" s="39">
        <f t="shared" si="898"/>
        <v>0</v>
      </c>
      <c r="BG1616" s="39"/>
      <c r="BH1616" s="39"/>
      <c r="BI1616" s="39"/>
      <c r="BJ1616" s="39"/>
      <c r="BK1616" s="39"/>
      <c r="BL1616" s="39">
        <f t="shared" si="1050"/>
        <v>0</v>
      </c>
      <c r="BM1616" s="54" t="e">
        <f t="shared" si="899"/>
        <v>#DIV/0!</v>
      </c>
      <c r="BN1616" s="65"/>
      <c r="BO1616" s="36"/>
      <c r="BP1616" s="36"/>
      <c r="BQ1616" s="36"/>
      <c r="BR1616" s="39"/>
      <c r="BS1616" s="39"/>
      <c r="BT1616" s="39"/>
      <c r="BU1616" s="39"/>
      <c r="BV1616" s="39"/>
      <c r="BW1616" s="39"/>
      <c r="BX1616" s="39"/>
      <c r="BY1616" s="39"/>
      <c r="BZ1616" s="39">
        <f t="shared" si="1051"/>
        <v>0</v>
      </c>
      <c r="CA1616" s="39">
        <f t="shared" si="900"/>
        <v>0</v>
      </c>
      <c r="CB1616" s="39">
        <f t="shared" si="901"/>
        <v>0</v>
      </c>
      <c r="CC1616" s="39">
        <f t="shared" si="902"/>
        <v>0</v>
      </c>
      <c r="CD1616" s="39">
        <f t="shared" si="1052"/>
        <v>0</v>
      </c>
      <c r="CE1616" s="47" t="e">
        <f t="shared" si="903"/>
        <v>#DIV/0!</v>
      </c>
      <c r="CF1616" s="36"/>
      <c r="CG1616" s="39"/>
      <c r="CH1616" s="39"/>
      <c r="CI1616" s="25">
        <v>2</v>
      </c>
    </row>
    <row r="1617" spans="1:88" ht="24.75" customHeight="1">
      <c r="A1617" s="36" t="s">
        <v>46</v>
      </c>
      <c r="B1617" s="30"/>
      <c r="C1617" s="36"/>
      <c r="D1617" s="23"/>
      <c r="E1617" s="39"/>
      <c r="F1617" s="39"/>
      <c r="G1617" s="36"/>
      <c r="H1617" s="39"/>
      <c r="I1617" s="39"/>
      <c r="J1617" s="39"/>
      <c r="K1617" s="39"/>
      <c r="L1617" s="39">
        <f t="shared" si="1046"/>
        <v>0</v>
      </c>
      <c r="M1617" s="39"/>
      <c r="N1617" s="39"/>
      <c r="O1617" s="39"/>
      <c r="P1617" s="39"/>
      <c r="Q1617" s="39"/>
      <c r="R1617" s="39">
        <f t="shared" si="1047"/>
        <v>0</v>
      </c>
      <c r="S1617" s="39"/>
      <c r="T1617" s="39"/>
      <c r="U1617" s="39"/>
      <c r="V1617" s="39"/>
      <c r="W1617" s="39"/>
      <c r="X1617" s="39"/>
      <c r="Y1617" s="39"/>
      <c r="Z1617" s="39"/>
      <c r="AA1617" s="39"/>
      <c r="AB1617" s="39">
        <f t="shared" si="1048"/>
        <v>0</v>
      </c>
      <c r="AC1617" s="39"/>
      <c r="AD1617" s="39"/>
      <c r="AE1617" s="39"/>
      <c r="AF1617" s="39"/>
      <c r="AG1617" s="39"/>
      <c r="AH1617" s="39">
        <f t="shared" si="1049"/>
        <v>0</v>
      </c>
      <c r="AI1617" s="39"/>
      <c r="AJ1617" s="39"/>
      <c r="AK1617" s="39"/>
      <c r="AL1617" s="39"/>
      <c r="AM1617" s="39"/>
      <c r="AN1617" s="39">
        <f t="shared" si="991"/>
        <v>0</v>
      </c>
      <c r="AO1617" s="39"/>
      <c r="AP1617" s="39"/>
      <c r="AQ1617" s="39"/>
      <c r="AR1617" s="39"/>
      <c r="AS1617" s="39"/>
      <c r="AT1617" s="39">
        <f t="shared" si="896"/>
        <v>0</v>
      </c>
      <c r="AU1617" s="39"/>
      <c r="AV1617" s="39"/>
      <c r="AW1617" s="39"/>
      <c r="AX1617" s="39"/>
      <c r="AY1617" s="39"/>
      <c r="AZ1617" s="39">
        <f t="shared" si="897"/>
        <v>0</v>
      </c>
      <c r="BA1617" s="39"/>
      <c r="BB1617" s="39"/>
      <c r="BC1617" s="39"/>
      <c r="BD1617" s="39"/>
      <c r="BE1617" s="39"/>
      <c r="BF1617" s="39">
        <f t="shared" si="898"/>
        <v>0</v>
      </c>
      <c r="BG1617" s="39"/>
      <c r="BH1617" s="39"/>
      <c r="BI1617" s="39"/>
      <c r="BJ1617" s="39"/>
      <c r="BK1617" s="39"/>
      <c r="BL1617" s="39">
        <f t="shared" si="1050"/>
        <v>0</v>
      </c>
      <c r="BM1617" s="54" t="e">
        <f t="shared" si="899"/>
        <v>#DIV/0!</v>
      </c>
      <c r="BN1617" s="65"/>
      <c r="BO1617" s="36"/>
      <c r="BP1617" s="36"/>
      <c r="BQ1617" s="36"/>
      <c r="BR1617" s="39"/>
      <c r="BS1617" s="39"/>
      <c r="BT1617" s="39"/>
      <c r="BU1617" s="39"/>
      <c r="BV1617" s="39"/>
      <c r="BW1617" s="39"/>
      <c r="BX1617" s="39"/>
      <c r="BY1617" s="39"/>
      <c r="BZ1617" s="39">
        <f t="shared" si="1051"/>
        <v>0</v>
      </c>
      <c r="CA1617" s="39">
        <f t="shared" si="900"/>
        <v>0</v>
      </c>
      <c r="CB1617" s="39">
        <f t="shared" si="901"/>
        <v>0</v>
      </c>
      <c r="CC1617" s="39">
        <f t="shared" si="902"/>
        <v>0</v>
      </c>
      <c r="CD1617" s="39">
        <f t="shared" si="1052"/>
        <v>0</v>
      </c>
      <c r="CE1617" s="47" t="e">
        <f t="shared" si="903"/>
        <v>#DIV/0!</v>
      </c>
      <c r="CF1617" s="36"/>
      <c r="CG1617" s="39"/>
      <c r="CH1617" s="39"/>
      <c r="CI1617" s="25">
        <v>2</v>
      </c>
    </row>
    <row r="1618" spans="1:88" ht="24.75" customHeight="1">
      <c r="A1618" s="36" t="s">
        <v>46</v>
      </c>
      <c r="B1618" s="30"/>
      <c r="C1618" s="36"/>
      <c r="D1618" s="23"/>
      <c r="E1618" s="39"/>
      <c r="F1618" s="39"/>
      <c r="G1618" s="36"/>
      <c r="H1618" s="39"/>
      <c r="I1618" s="39"/>
      <c r="J1618" s="39"/>
      <c r="K1618" s="39"/>
      <c r="L1618" s="39">
        <f t="shared" si="1046"/>
        <v>0</v>
      </c>
      <c r="M1618" s="39"/>
      <c r="N1618" s="39"/>
      <c r="O1618" s="39"/>
      <c r="P1618" s="39"/>
      <c r="Q1618" s="39"/>
      <c r="R1618" s="39">
        <f t="shared" si="1047"/>
        <v>0</v>
      </c>
      <c r="S1618" s="39"/>
      <c r="T1618" s="39"/>
      <c r="U1618" s="39"/>
      <c r="V1618" s="39"/>
      <c r="W1618" s="39"/>
      <c r="X1618" s="39"/>
      <c r="Y1618" s="39"/>
      <c r="Z1618" s="39"/>
      <c r="AA1618" s="39"/>
      <c r="AB1618" s="39">
        <f t="shared" si="1048"/>
        <v>0</v>
      </c>
      <c r="AC1618" s="39"/>
      <c r="AD1618" s="39"/>
      <c r="AE1618" s="39"/>
      <c r="AF1618" s="39"/>
      <c r="AG1618" s="39"/>
      <c r="AH1618" s="39">
        <f t="shared" si="1049"/>
        <v>0</v>
      </c>
      <c r="AI1618" s="39"/>
      <c r="AJ1618" s="39"/>
      <c r="AK1618" s="39"/>
      <c r="AL1618" s="39"/>
      <c r="AM1618" s="39"/>
      <c r="AN1618" s="39">
        <f t="shared" si="991"/>
        <v>0</v>
      </c>
      <c r="AO1618" s="39"/>
      <c r="AP1618" s="39"/>
      <c r="AQ1618" s="39"/>
      <c r="AR1618" s="39"/>
      <c r="AS1618" s="39"/>
      <c r="AT1618" s="39">
        <f t="shared" si="896"/>
        <v>0</v>
      </c>
      <c r="AU1618" s="39"/>
      <c r="AV1618" s="39"/>
      <c r="AW1618" s="39"/>
      <c r="AX1618" s="39"/>
      <c r="AY1618" s="39"/>
      <c r="AZ1618" s="39">
        <f t="shared" si="897"/>
        <v>0</v>
      </c>
      <c r="BA1618" s="39"/>
      <c r="BB1618" s="39"/>
      <c r="BC1618" s="39"/>
      <c r="BD1618" s="39"/>
      <c r="BE1618" s="39"/>
      <c r="BF1618" s="39">
        <f t="shared" si="898"/>
        <v>0</v>
      </c>
      <c r="BG1618" s="39"/>
      <c r="BH1618" s="39"/>
      <c r="BI1618" s="39"/>
      <c r="BJ1618" s="39"/>
      <c r="BK1618" s="39"/>
      <c r="BL1618" s="39">
        <f t="shared" si="1050"/>
        <v>0</v>
      </c>
      <c r="BM1618" s="54" t="e">
        <f t="shared" si="899"/>
        <v>#DIV/0!</v>
      </c>
      <c r="BN1618" s="65"/>
      <c r="BO1618" s="36"/>
      <c r="BP1618" s="36"/>
      <c r="BQ1618" s="36"/>
      <c r="BR1618" s="39"/>
      <c r="BS1618" s="39"/>
      <c r="BT1618" s="39"/>
      <c r="BU1618" s="39"/>
      <c r="BV1618" s="39"/>
      <c r="BW1618" s="39"/>
      <c r="BX1618" s="39"/>
      <c r="BY1618" s="39"/>
      <c r="BZ1618" s="39">
        <f t="shared" si="1051"/>
        <v>0</v>
      </c>
      <c r="CA1618" s="39">
        <f t="shared" si="900"/>
        <v>0</v>
      </c>
      <c r="CB1618" s="39">
        <f t="shared" si="901"/>
        <v>0</v>
      </c>
      <c r="CC1618" s="39">
        <f t="shared" si="902"/>
        <v>0</v>
      </c>
      <c r="CD1618" s="39">
        <f t="shared" si="1052"/>
        <v>0</v>
      </c>
      <c r="CE1618" s="47" t="e">
        <f t="shared" si="903"/>
        <v>#DIV/0!</v>
      </c>
      <c r="CF1618" s="36"/>
      <c r="CG1618" s="39"/>
      <c r="CH1618" s="39"/>
      <c r="CI1618" s="25">
        <v>2</v>
      </c>
    </row>
    <row r="1619" spans="1:88" ht="24.75" customHeight="1">
      <c r="A1619" s="36" t="s">
        <v>46</v>
      </c>
      <c r="B1619" s="30"/>
      <c r="C1619" s="36"/>
      <c r="D1619" s="23"/>
      <c r="E1619" s="39"/>
      <c r="F1619" s="39"/>
      <c r="G1619" s="36"/>
      <c r="H1619" s="39"/>
      <c r="I1619" s="39"/>
      <c r="J1619" s="39"/>
      <c r="K1619" s="39"/>
      <c r="L1619" s="39">
        <f t="shared" si="1046"/>
        <v>0</v>
      </c>
      <c r="M1619" s="39"/>
      <c r="N1619" s="39"/>
      <c r="O1619" s="39"/>
      <c r="P1619" s="39"/>
      <c r="Q1619" s="39"/>
      <c r="R1619" s="39">
        <f t="shared" si="1047"/>
        <v>0</v>
      </c>
      <c r="S1619" s="39"/>
      <c r="T1619" s="39"/>
      <c r="U1619" s="39"/>
      <c r="V1619" s="39"/>
      <c r="W1619" s="39"/>
      <c r="X1619" s="39"/>
      <c r="Y1619" s="39"/>
      <c r="Z1619" s="39"/>
      <c r="AA1619" s="39"/>
      <c r="AB1619" s="39">
        <f t="shared" si="1048"/>
        <v>0</v>
      </c>
      <c r="AC1619" s="39"/>
      <c r="AD1619" s="39"/>
      <c r="AE1619" s="39"/>
      <c r="AF1619" s="39"/>
      <c r="AG1619" s="39"/>
      <c r="AH1619" s="39">
        <f t="shared" si="1049"/>
        <v>0</v>
      </c>
      <c r="AI1619" s="39"/>
      <c r="AJ1619" s="39"/>
      <c r="AK1619" s="39"/>
      <c r="AL1619" s="39"/>
      <c r="AM1619" s="39"/>
      <c r="AN1619" s="39">
        <f t="shared" si="991"/>
        <v>0</v>
      </c>
      <c r="AO1619" s="39"/>
      <c r="AP1619" s="39"/>
      <c r="AQ1619" s="39"/>
      <c r="AR1619" s="39"/>
      <c r="AS1619" s="39"/>
      <c r="AT1619" s="39">
        <f t="shared" si="896"/>
        <v>0</v>
      </c>
      <c r="AU1619" s="39"/>
      <c r="AV1619" s="39"/>
      <c r="AW1619" s="39"/>
      <c r="AX1619" s="39"/>
      <c r="AY1619" s="39"/>
      <c r="AZ1619" s="39">
        <f t="shared" si="897"/>
        <v>0</v>
      </c>
      <c r="BA1619" s="39"/>
      <c r="BB1619" s="39"/>
      <c r="BC1619" s="39"/>
      <c r="BD1619" s="39"/>
      <c r="BE1619" s="39"/>
      <c r="BF1619" s="39">
        <f t="shared" si="898"/>
        <v>0</v>
      </c>
      <c r="BG1619" s="39"/>
      <c r="BH1619" s="39"/>
      <c r="BI1619" s="39"/>
      <c r="BJ1619" s="39"/>
      <c r="BK1619" s="39"/>
      <c r="BL1619" s="39">
        <f t="shared" si="1050"/>
        <v>0</v>
      </c>
      <c r="BM1619" s="54" t="e">
        <f t="shared" si="899"/>
        <v>#DIV/0!</v>
      </c>
      <c r="BN1619" s="65"/>
      <c r="BO1619" s="36"/>
      <c r="BP1619" s="36"/>
      <c r="BQ1619" s="36"/>
      <c r="BR1619" s="39"/>
      <c r="BS1619" s="39"/>
      <c r="BT1619" s="39"/>
      <c r="BU1619" s="39"/>
      <c r="BV1619" s="39"/>
      <c r="BW1619" s="39"/>
      <c r="BX1619" s="39"/>
      <c r="BY1619" s="39"/>
      <c r="BZ1619" s="39">
        <f t="shared" si="1051"/>
        <v>0</v>
      </c>
      <c r="CA1619" s="39">
        <f t="shared" si="900"/>
        <v>0</v>
      </c>
      <c r="CB1619" s="39">
        <f t="shared" si="901"/>
        <v>0</v>
      </c>
      <c r="CC1619" s="39">
        <f t="shared" si="902"/>
        <v>0</v>
      </c>
      <c r="CD1619" s="39">
        <f t="shared" si="1052"/>
        <v>0</v>
      </c>
      <c r="CE1619" s="47" t="e">
        <f t="shared" si="903"/>
        <v>#DIV/0!</v>
      </c>
      <c r="CF1619" s="36"/>
      <c r="CG1619" s="39"/>
      <c r="CH1619" s="39"/>
      <c r="CI1619" s="25">
        <v>2</v>
      </c>
    </row>
    <row r="1620" spans="1:88" ht="24.75" customHeight="1">
      <c r="A1620" s="36" t="s">
        <v>46</v>
      </c>
      <c r="B1620" s="30"/>
      <c r="C1620" s="36"/>
      <c r="D1620" s="23"/>
      <c r="E1620" s="39"/>
      <c r="F1620" s="39"/>
      <c r="G1620" s="36"/>
      <c r="H1620" s="39"/>
      <c r="I1620" s="39"/>
      <c r="J1620" s="39"/>
      <c r="K1620" s="39"/>
      <c r="L1620" s="39">
        <f t="shared" si="1046"/>
        <v>0</v>
      </c>
      <c r="M1620" s="39"/>
      <c r="N1620" s="39"/>
      <c r="O1620" s="39"/>
      <c r="P1620" s="39"/>
      <c r="Q1620" s="39"/>
      <c r="R1620" s="39">
        <f t="shared" si="1047"/>
        <v>0</v>
      </c>
      <c r="S1620" s="39"/>
      <c r="T1620" s="39"/>
      <c r="U1620" s="39"/>
      <c r="V1620" s="39"/>
      <c r="W1620" s="39"/>
      <c r="X1620" s="39"/>
      <c r="Y1620" s="39"/>
      <c r="Z1620" s="39"/>
      <c r="AA1620" s="39"/>
      <c r="AB1620" s="39">
        <f t="shared" si="1048"/>
        <v>0</v>
      </c>
      <c r="AC1620" s="39"/>
      <c r="AD1620" s="39"/>
      <c r="AE1620" s="39"/>
      <c r="AF1620" s="39"/>
      <c r="AG1620" s="39"/>
      <c r="AH1620" s="39">
        <f t="shared" si="1049"/>
        <v>0</v>
      </c>
      <c r="AI1620" s="39"/>
      <c r="AJ1620" s="39"/>
      <c r="AK1620" s="39"/>
      <c r="AL1620" s="39"/>
      <c r="AM1620" s="39"/>
      <c r="AN1620" s="39">
        <f t="shared" si="991"/>
        <v>0</v>
      </c>
      <c r="AO1620" s="39"/>
      <c r="AP1620" s="39"/>
      <c r="AQ1620" s="39"/>
      <c r="AR1620" s="39"/>
      <c r="AS1620" s="39"/>
      <c r="AT1620" s="39">
        <f t="shared" si="896"/>
        <v>0</v>
      </c>
      <c r="AU1620" s="39"/>
      <c r="AV1620" s="39"/>
      <c r="AW1620" s="39"/>
      <c r="AX1620" s="39"/>
      <c r="AY1620" s="39"/>
      <c r="AZ1620" s="39">
        <f t="shared" si="897"/>
        <v>0</v>
      </c>
      <c r="BA1620" s="39"/>
      <c r="BB1620" s="39"/>
      <c r="BC1620" s="39"/>
      <c r="BD1620" s="39"/>
      <c r="BE1620" s="39"/>
      <c r="BF1620" s="39">
        <f t="shared" si="898"/>
        <v>0</v>
      </c>
      <c r="BG1620" s="39"/>
      <c r="BH1620" s="39"/>
      <c r="BI1620" s="39"/>
      <c r="BJ1620" s="39"/>
      <c r="BK1620" s="39"/>
      <c r="BL1620" s="39">
        <f t="shared" si="1050"/>
        <v>0</v>
      </c>
      <c r="BM1620" s="54" t="e">
        <f t="shared" si="899"/>
        <v>#DIV/0!</v>
      </c>
      <c r="BN1620" s="65"/>
      <c r="BO1620" s="36"/>
      <c r="BP1620" s="36"/>
      <c r="BQ1620" s="36"/>
      <c r="BR1620" s="39"/>
      <c r="BS1620" s="39"/>
      <c r="BT1620" s="39"/>
      <c r="BU1620" s="39"/>
      <c r="BV1620" s="39"/>
      <c r="BW1620" s="39"/>
      <c r="BX1620" s="39"/>
      <c r="BY1620" s="39"/>
      <c r="BZ1620" s="39">
        <f t="shared" si="1051"/>
        <v>0</v>
      </c>
      <c r="CA1620" s="39">
        <f t="shared" si="900"/>
        <v>0</v>
      </c>
      <c r="CB1620" s="39">
        <f t="shared" si="901"/>
        <v>0</v>
      </c>
      <c r="CC1620" s="39">
        <f t="shared" si="902"/>
        <v>0</v>
      </c>
      <c r="CD1620" s="39">
        <f t="shared" si="1052"/>
        <v>0</v>
      </c>
      <c r="CE1620" s="47" t="e">
        <f t="shared" si="903"/>
        <v>#DIV/0!</v>
      </c>
      <c r="CF1620" s="36"/>
      <c r="CG1620" s="39"/>
      <c r="CH1620" s="39"/>
      <c r="CI1620" s="25">
        <v>2</v>
      </c>
    </row>
    <row r="1621" spans="1:88" ht="24.75" customHeight="1">
      <c r="A1621" s="36" t="s">
        <v>46</v>
      </c>
      <c r="B1621" s="30"/>
      <c r="C1621" s="36"/>
      <c r="D1621" s="23"/>
      <c r="E1621" s="39"/>
      <c r="F1621" s="39"/>
      <c r="G1621" s="36"/>
      <c r="H1621" s="39"/>
      <c r="I1621" s="39"/>
      <c r="J1621" s="39"/>
      <c r="K1621" s="39"/>
      <c r="L1621" s="39">
        <f t="shared" si="1046"/>
        <v>0</v>
      </c>
      <c r="M1621" s="39"/>
      <c r="N1621" s="39"/>
      <c r="O1621" s="39"/>
      <c r="P1621" s="39"/>
      <c r="Q1621" s="39"/>
      <c r="R1621" s="39">
        <f t="shared" si="1047"/>
        <v>0</v>
      </c>
      <c r="S1621" s="39"/>
      <c r="T1621" s="39"/>
      <c r="U1621" s="39"/>
      <c r="V1621" s="39"/>
      <c r="W1621" s="39"/>
      <c r="X1621" s="39"/>
      <c r="Y1621" s="39"/>
      <c r="Z1621" s="39"/>
      <c r="AA1621" s="39"/>
      <c r="AB1621" s="39">
        <f t="shared" si="1048"/>
        <v>0</v>
      </c>
      <c r="AC1621" s="39"/>
      <c r="AD1621" s="39"/>
      <c r="AE1621" s="39"/>
      <c r="AF1621" s="39"/>
      <c r="AG1621" s="39"/>
      <c r="AH1621" s="39">
        <f t="shared" si="1049"/>
        <v>0</v>
      </c>
      <c r="AI1621" s="39"/>
      <c r="AJ1621" s="39"/>
      <c r="AK1621" s="39"/>
      <c r="AL1621" s="39"/>
      <c r="AM1621" s="39"/>
      <c r="AN1621" s="39">
        <f t="shared" si="991"/>
        <v>0</v>
      </c>
      <c r="AO1621" s="39"/>
      <c r="AP1621" s="39"/>
      <c r="AQ1621" s="39"/>
      <c r="AR1621" s="39"/>
      <c r="AS1621" s="39"/>
      <c r="AT1621" s="39">
        <f t="shared" si="896"/>
        <v>0</v>
      </c>
      <c r="AU1621" s="39"/>
      <c r="AV1621" s="39"/>
      <c r="AW1621" s="39"/>
      <c r="AX1621" s="39"/>
      <c r="AY1621" s="39"/>
      <c r="AZ1621" s="39">
        <f t="shared" si="897"/>
        <v>0</v>
      </c>
      <c r="BA1621" s="39"/>
      <c r="BB1621" s="39"/>
      <c r="BC1621" s="39"/>
      <c r="BD1621" s="39"/>
      <c r="BE1621" s="39"/>
      <c r="BF1621" s="39">
        <f t="shared" si="898"/>
        <v>0</v>
      </c>
      <c r="BG1621" s="39"/>
      <c r="BH1621" s="39"/>
      <c r="BI1621" s="39"/>
      <c r="BJ1621" s="39"/>
      <c r="BK1621" s="39"/>
      <c r="BL1621" s="39">
        <f t="shared" si="1050"/>
        <v>0</v>
      </c>
      <c r="BM1621" s="54" t="e">
        <f t="shared" si="899"/>
        <v>#DIV/0!</v>
      </c>
      <c r="BN1621" s="65"/>
      <c r="BO1621" s="36"/>
      <c r="BP1621" s="36"/>
      <c r="BQ1621" s="36"/>
      <c r="BR1621" s="39"/>
      <c r="BS1621" s="39"/>
      <c r="BT1621" s="39"/>
      <c r="BU1621" s="39"/>
      <c r="BV1621" s="39"/>
      <c r="BW1621" s="39"/>
      <c r="BX1621" s="39"/>
      <c r="BY1621" s="39"/>
      <c r="BZ1621" s="39">
        <f t="shared" si="1051"/>
        <v>0</v>
      </c>
      <c r="CA1621" s="39">
        <f t="shared" si="900"/>
        <v>0</v>
      </c>
      <c r="CB1621" s="39">
        <f t="shared" si="901"/>
        <v>0</v>
      </c>
      <c r="CC1621" s="39">
        <f t="shared" si="902"/>
        <v>0</v>
      </c>
      <c r="CD1621" s="39">
        <f t="shared" si="1052"/>
        <v>0</v>
      </c>
      <c r="CE1621" s="47" t="e">
        <f t="shared" si="903"/>
        <v>#DIV/0!</v>
      </c>
      <c r="CF1621" s="36"/>
      <c r="CG1621" s="39"/>
      <c r="CH1621" s="39"/>
      <c r="CI1621" s="25">
        <v>2</v>
      </c>
    </row>
    <row r="1622" spans="1:88" ht="24.75" customHeight="1">
      <c r="A1622" s="36" t="s">
        <v>46</v>
      </c>
      <c r="B1622" s="30"/>
      <c r="C1622" s="36"/>
      <c r="D1622" s="23"/>
      <c r="E1622" s="39"/>
      <c r="F1622" s="39"/>
      <c r="G1622" s="36"/>
      <c r="H1622" s="39"/>
      <c r="I1622" s="39"/>
      <c r="J1622" s="39"/>
      <c r="K1622" s="39"/>
      <c r="L1622" s="39">
        <f t="shared" si="1046"/>
        <v>0</v>
      </c>
      <c r="M1622" s="39"/>
      <c r="N1622" s="39"/>
      <c r="O1622" s="39"/>
      <c r="P1622" s="39"/>
      <c r="Q1622" s="39"/>
      <c r="R1622" s="39">
        <f t="shared" si="1047"/>
        <v>0</v>
      </c>
      <c r="S1622" s="39"/>
      <c r="T1622" s="39"/>
      <c r="U1622" s="39"/>
      <c r="V1622" s="39"/>
      <c r="W1622" s="39"/>
      <c r="X1622" s="39"/>
      <c r="Y1622" s="39"/>
      <c r="Z1622" s="39"/>
      <c r="AA1622" s="39"/>
      <c r="AB1622" s="39">
        <f t="shared" si="1048"/>
        <v>0</v>
      </c>
      <c r="AC1622" s="39"/>
      <c r="AD1622" s="39"/>
      <c r="AE1622" s="39"/>
      <c r="AF1622" s="39"/>
      <c r="AG1622" s="39"/>
      <c r="AH1622" s="39">
        <f t="shared" si="1049"/>
        <v>0</v>
      </c>
      <c r="AI1622" s="39"/>
      <c r="AJ1622" s="39"/>
      <c r="AK1622" s="39"/>
      <c r="AL1622" s="39"/>
      <c r="AM1622" s="39"/>
      <c r="AN1622" s="39">
        <f t="shared" si="991"/>
        <v>0</v>
      </c>
      <c r="AO1622" s="39"/>
      <c r="AP1622" s="39"/>
      <c r="AQ1622" s="39"/>
      <c r="AR1622" s="39"/>
      <c r="AS1622" s="39"/>
      <c r="AT1622" s="39">
        <f t="shared" si="896"/>
        <v>0</v>
      </c>
      <c r="AU1622" s="39"/>
      <c r="AV1622" s="39"/>
      <c r="AW1622" s="39"/>
      <c r="AX1622" s="39"/>
      <c r="AY1622" s="39"/>
      <c r="AZ1622" s="39">
        <f t="shared" si="897"/>
        <v>0</v>
      </c>
      <c r="BA1622" s="39"/>
      <c r="BB1622" s="39"/>
      <c r="BC1622" s="39"/>
      <c r="BD1622" s="39"/>
      <c r="BE1622" s="39"/>
      <c r="BF1622" s="39">
        <f t="shared" si="898"/>
        <v>0</v>
      </c>
      <c r="BG1622" s="39"/>
      <c r="BH1622" s="39"/>
      <c r="BI1622" s="39"/>
      <c r="BJ1622" s="39"/>
      <c r="BK1622" s="39"/>
      <c r="BL1622" s="39">
        <f t="shared" si="1050"/>
        <v>0</v>
      </c>
      <c r="BM1622" s="54" t="e">
        <f t="shared" si="899"/>
        <v>#DIV/0!</v>
      </c>
      <c r="BN1622" s="65"/>
      <c r="BO1622" s="36"/>
      <c r="BP1622" s="36"/>
      <c r="BQ1622" s="36"/>
      <c r="BR1622" s="39"/>
      <c r="BS1622" s="39"/>
      <c r="BT1622" s="39"/>
      <c r="BU1622" s="39"/>
      <c r="BV1622" s="39"/>
      <c r="BW1622" s="39"/>
      <c r="BX1622" s="39"/>
      <c r="BY1622" s="39"/>
      <c r="BZ1622" s="39">
        <f t="shared" si="1051"/>
        <v>0</v>
      </c>
      <c r="CA1622" s="39">
        <f t="shared" si="900"/>
        <v>0</v>
      </c>
      <c r="CB1622" s="39">
        <f t="shared" si="901"/>
        <v>0</v>
      </c>
      <c r="CC1622" s="39">
        <f t="shared" si="902"/>
        <v>0</v>
      </c>
      <c r="CD1622" s="39">
        <f t="shared" si="1052"/>
        <v>0</v>
      </c>
      <c r="CE1622" s="47" t="e">
        <f t="shared" si="903"/>
        <v>#DIV/0!</v>
      </c>
      <c r="CF1622" s="36"/>
      <c r="CG1622" s="39"/>
      <c r="CH1622" s="39"/>
      <c r="CI1622" s="25">
        <v>2</v>
      </c>
    </row>
    <row r="1623" spans="1:88" ht="24.75" customHeight="1">
      <c r="A1623" s="36" t="s">
        <v>46</v>
      </c>
      <c r="B1623" s="30">
        <v>48339</v>
      </c>
      <c r="C1623" s="227" t="s">
        <v>2784</v>
      </c>
      <c r="D1623" s="23" t="s">
        <v>37</v>
      </c>
      <c r="E1623" s="39">
        <v>240</v>
      </c>
      <c r="F1623" s="39" t="s">
        <v>58</v>
      </c>
      <c r="G1623" s="36" t="s">
        <v>2931</v>
      </c>
      <c r="H1623" s="36" t="s">
        <v>111</v>
      </c>
      <c r="I1623" s="39">
        <v>776</v>
      </c>
      <c r="J1623" s="39"/>
      <c r="K1623" s="39">
        <f>89+27</f>
        <v>116</v>
      </c>
      <c r="L1623" s="39">
        <f t="shared" ref="L1623:L1626" si="1053">SUM(I1623:K1623)</f>
        <v>892</v>
      </c>
      <c r="M1623" s="117">
        <v>46275</v>
      </c>
      <c r="N1623" s="117">
        <v>46284</v>
      </c>
      <c r="O1623" s="39"/>
      <c r="P1623" s="39"/>
      <c r="Q1623" s="39"/>
      <c r="R1623" s="39">
        <f t="shared" ref="R1623:R1657" si="1054">SUM(O1623:Q1623)</f>
        <v>0</v>
      </c>
      <c r="S1623" s="39" t="s">
        <v>130</v>
      </c>
      <c r="T1623" s="39" t="s">
        <v>2933</v>
      </c>
      <c r="U1623" s="117">
        <v>46264</v>
      </c>
      <c r="V1623" s="39"/>
      <c r="W1623" s="39"/>
      <c r="X1623" s="39"/>
      <c r="Y1623" s="39">
        <f>660+110</f>
        <v>770</v>
      </c>
      <c r="Z1623" s="39"/>
      <c r="AA1623" s="39">
        <f>72+15</f>
        <v>87</v>
      </c>
      <c r="AB1623" s="118">
        <f t="shared" ref="AB1623:AB1657" si="1055">SUM(Y1623:AA1623)</f>
        <v>857</v>
      </c>
      <c r="AC1623" s="39" t="s">
        <v>139</v>
      </c>
      <c r="AD1623" s="117" t="s">
        <v>2830</v>
      </c>
      <c r="AE1623" s="39">
        <f>691+25+60</f>
        <v>776</v>
      </c>
      <c r="AF1623" s="39"/>
      <c r="AG1623" s="39"/>
      <c r="AH1623" s="39">
        <f t="shared" si="1049"/>
        <v>-776</v>
      </c>
      <c r="AI1623" s="39"/>
      <c r="AJ1623" s="39"/>
      <c r="AK1623" s="39"/>
      <c r="AL1623" s="39"/>
      <c r="AM1623" s="39"/>
      <c r="AN1623" s="39">
        <f t="shared" si="991"/>
        <v>0</v>
      </c>
      <c r="AO1623" s="39"/>
      <c r="AP1623" s="39"/>
      <c r="AQ1623" s="39"/>
      <c r="AR1623" s="39"/>
      <c r="AS1623" s="39"/>
      <c r="AT1623" s="39">
        <f t="shared" si="896"/>
        <v>0</v>
      </c>
      <c r="AU1623" s="39"/>
      <c r="AV1623" s="39"/>
      <c r="AW1623" s="39"/>
      <c r="AX1623" s="39"/>
      <c r="AY1623" s="39"/>
      <c r="AZ1623" s="39">
        <f t="shared" si="897"/>
        <v>0</v>
      </c>
      <c r="BA1623" s="39"/>
      <c r="BB1623" s="39"/>
      <c r="BC1623" s="39"/>
      <c r="BD1623" s="39"/>
      <c r="BE1623" s="39"/>
      <c r="BF1623" s="39">
        <f t="shared" si="898"/>
        <v>0</v>
      </c>
      <c r="BG1623" s="39"/>
      <c r="BH1623" s="39"/>
      <c r="BI1623" s="39"/>
      <c r="BJ1623" s="39"/>
      <c r="BK1623" s="39"/>
      <c r="BL1623" s="39">
        <f t="shared" si="1050"/>
        <v>0</v>
      </c>
      <c r="BM1623" s="54">
        <f t="shared" ca="1" si="899"/>
        <v>19</v>
      </c>
      <c r="BN1623" s="60">
        <v>46286</v>
      </c>
      <c r="BO1623" s="57">
        <v>46295</v>
      </c>
      <c r="BP1623" s="57">
        <v>46296</v>
      </c>
      <c r="BQ1623" s="57">
        <v>46305</v>
      </c>
      <c r="BR1623" s="39"/>
      <c r="BS1623" s="39"/>
      <c r="BT1623" s="39"/>
      <c r="BU1623" s="39"/>
      <c r="BV1623" s="39"/>
      <c r="BW1623" s="39"/>
      <c r="BX1623" s="39"/>
      <c r="BY1623" s="39"/>
      <c r="BZ1623" s="39">
        <f t="shared" si="1051"/>
        <v>0</v>
      </c>
      <c r="CA1623" s="39">
        <f t="shared" si="900"/>
        <v>-776</v>
      </c>
      <c r="CB1623" s="39">
        <f t="shared" si="901"/>
        <v>0</v>
      </c>
      <c r="CC1623" s="39">
        <f t="shared" si="902"/>
        <v>-116</v>
      </c>
      <c r="CD1623" s="39">
        <f t="shared" si="1052"/>
        <v>-892</v>
      </c>
      <c r="CE1623" s="102">
        <f t="shared" si="903"/>
        <v>-1</v>
      </c>
      <c r="CF1623" s="36"/>
      <c r="CG1623" s="39" t="s">
        <v>245</v>
      </c>
      <c r="CH1623" s="39"/>
      <c r="CI1623" s="25">
        <v>3</v>
      </c>
    </row>
    <row r="1624" spans="1:88" ht="24.75" customHeight="1">
      <c r="A1624" s="36" t="s">
        <v>46</v>
      </c>
      <c r="B1624" s="30">
        <v>48339</v>
      </c>
      <c r="C1624" s="228"/>
      <c r="D1624" s="23" t="s">
        <v>37</v>
      </c>
      <c r="E1624" s="39">
        <v>240</v>
      </c>
      <c r="F1624" s="39" t="s">
        <v>58</v>
      </c>
      <c r="G1624" s="36" t="s">
        <v>2932</v>
      </c>
      <c r="H1624" s="36" t="s">
        <v>111</v>
      </c>
      <c r="I1624" s="39">
        <v>585</v>
      </c>
      <c r="J1624" s="39"/>
      <c r="K1624" s="39">
        <f>59+18</f>
        <v>77</v>
      </c>
      <c r="L1624" s="39">
        <f t="shared" si="1053"/>
        <v>662</v>
      </c>
      <c r="M1624" s="117">
        <v>46275</v>
      </c>
      <c r="N1624" s="117">
        <v>46284</v>
      </c>
      <c r="O1624" s="39"/>
      <c r="P1624" s="39"/>
      <c r="Q1624" s="39"/>
      <c r="R1624" s="39">
        <f t="shared" si="1054"/>
        <v>0</v>
      </c>
      <c r="S1624" s="39" t="s">
        <v>130</v>
      </c>
      <c r="T1624" s="39">
        <v>109081</v>
      </c>
      <c r="U1624" s="117">
        <v>46264</v>
      </c>
      <c r="V1624" s="39"/>
      <c r="W1624" s="39"/>
      <c r="X1624" s="39"/>
      <c r="Y1624" s="39">
        <v>757</v>
      </c>
      <c r="Z1624" s="39"/>
      <c r="AA1624" s="39">
        <v>93</v>
      </c>
      <c r="AB1624" s="119">
        <f t="shared" si="1055"/>
        <v>850</v>
      </c>
      <c r="AC1624" s="39" t="s">
        <v>139</v>
      </c>
      <c r="AD1624" s="117">
        <v>46272</v>
      </c>
      <c r="AE1624" s="39">
        <f>611-25</f>
        <v>586</v>
      </c>
      <c r="AF1624" s="117">
        <v>46273</v>
      </c>
      <c r="AG1624" s="39">
        <f>575</f>
        <v>575</v>
      </c>
      <c r="AH1624" s="39">
        <f t="shared" si="1049"/>
        <v>-11</v>
      </c>
      <c r="AI1624" s="39"/>
      <c r="AJ1624" s="39"/>
      <c r="AK1624" s="39"/>
      <c r="AL1624" s="39"/>
      <c r="AM1624" s="39"/>
      <c r="AN1624" s="39">
        <f t="shared" si="991"/>
        <v>0</v>
      </c>
      <c r="AO1624" s="39"/>
      <c r="AP1624" s="39"/>
      <c r="AQ1624" s="39"/>
      <c r="AR1624" s="39"/>
      <c r="AS1624" s="39"/>
      <c r="AT1624" s="39">
        <f t="shared" si="896"/>
        <v>0</v>
      </c>
      <c r="AU1624" s="39"/>
      <c r="AV1624" s="39"/>
      <c r="AW1624" s="39"/>
      <c r="AX1624" s="39"/>
      <c r="AY1624" s="39"/>
      <c r="AZ1624" s="39">
        <f t="shared" si="897"/>
        <v>0</v>
      </c>
      <c r="BA1624" s="39"/>
      <c r="BB1624" s="39"/>
      <c r="BC1624" s="39"/>
      <c r="BD1624" s="39"/>
      <c r="BE1624" s="39"/>
      <c r="BF1624" s="39">
        <f t="shared" si="898"/>
        <v>0</v>
      </c>
      <c r="BG1624" s="39"/>
      <c r="BH1624" s="39"/>
      <c r="BI1624" s="39"/>
      <c r="BJ1624" s="39"/>
      <c r="BK1624" s="39"/>
      <c r="BL1624" s="39">
        <f t="shared" si="1050"/>
        <v>0</v>
      </c>
      <c r="BM1624" s="54">
        <f t="shared" ca="1" si="899"/>
        <v>19</v>
      </c>
      <c r="BN1624" s="60">
        <v>46286</v>
      </c>
      <c r="BO1624" s="57">
        <v>46295</v>
      </c>
      <c r="BP1624" s="57">
        <v>46296</v>
      </c>
      <c r="BQ1624" s="57">
        <v>46305</v>
      </c>
      <c r="BR1624" s="39">
        <v>806</v>
      </c>
      <c r="BS1624" s="39"/>
      <c r="BT1624" s="39">
        <v>806</v>
      </c>
      <c r="BU1624" s="39">
        <f>68+505+5</f>
        <v>578</v>
      </c>
      <c r="BV1624" s="39"/>
      <c r="BW1624" s="39"/>
      <c r="BX1624" s="39"/>
      <c r="BY1624" s="39"/>
      <c r="BZ1624" s="39">
        <f t="shared" si="1051"/>
        <v>578</v>
      </c>
      <c r="CA1624" s="39">
        <f t="shared" si="900"/>
        <v>-7</v>
      </c>
      <c r="CB1624" s="39">
        <f t="shared" si="901"/>
        <v>0</v>
      </c>
      <c r="CC1624" s="39">
        <f t="shared" si="902"/>
        <v>-77</v>
      </c>
      <c r="CD1624" s="39">
        <f t="shared" si="1052"/>
        <v>-84</v>
      </c>
      <c r="CE1624" s="102">
        <f t="shared" si="903"/>
        <v>-0.12688821752265861</v>
      </c>
      <c r="CF1624" s="36"/>
      <c r="CG1624" s="39" t="s">
        <v>245</v>
      </c>
      <c r="CH1624" s="39"/>
      <c r="CI1624" s="25">
        <v>3</v>
      </c>
    </row>
    <row r="1625" spans="1:88" ht="24.75" customHeight="1">
      <c r="A1625" s="36" t="s">
        <v>46</v>
      </c>
      <c r="B1625" s="30">
        <v>48550</v>
      </c>
      <c r="C1625" s="227" t="s">
        <v>2236</v>
      </c>
      <c r="D1625" s="23"/>
      <c r="E1625" s="39">
        <v>160</v>
      </c>
      <c r="F1625" s="39" t="s">
        <v>54</v>
      </c>
      <c r="G1625" s="36" t="s">
        <v>2237</v>
      </c>
      <c r="H1625" s="36" t="s">
        <v>22</v>
      </c>
      <c r="I1625" s="39">
        <v>1031</v>
      </c>
      <c r="J1625" s="39"/>
      <c r="K1625" s="39"/>
      <c r="L1625" s="39">
        <f t="shared" si="1053"/>
        <v>1031</v>
      </c>
      <c r="M1625" s="117">
        <v>46266</v>
      </c>
      <c r="N1625" s="117">
        <v>46283</v>
      </c>
      <c r="O1625" s="39"/>
      <c r="P1625" s="39"/>
      <c r="Q1625" s="39"/>
      <c r="R1625" s="39">
        <f t="shared" si="1054"/>
        <v>0</v>
      </c>
      <c r="S1625" s="39" t="s">
        <v>100</v>
      </c>
      <c r="T1625" s="39"/>
      <c r="U1625" s="39"/>
      <c r="V1625" s="117" t="s">
        <v>2743</v>
      </c>
      <c r="W1625" s="39">
        <f>824+335</f>
        <v>1159</v>
      </c>
      <c r="X1625" s="117">
        <v>46281</v>
      </c>
      <c r="Y1625" s="39">
        <f>854</f>
        <v>854</v>
      </c>
      <c r="Z1625" s="39"/>
      <c r="AA1625" s="39"/>
      <c r="AB1625" s="120">
        <f t="shared" si="1055"/>
        <v>854</v>
      </c>
      <c r="AC1625" s="39"/>
      <c r="AD1625" s="39"/>
      <c r="AE1625" s="39"/>
      <c r="AF1625" s="39"/>
      <c r="AG1625" s="39"/>
      <c r="AH1625" s="39">
        <f t="shared" si="1049"/>
        <v>0</v>
      </c>
      <c r="AI1625" s="39"/>
      <c r="AJ1625" s="39"/>
      <c r="AK1625" s="39"/>
      <c r="AL1625" s="39"/>
      <c r="AM1625" s="39"/>
      <c r="AN1625" s="39">
        <f t="shared" si="991"/>
        <v>0</v>
      </c>
      <c r="AO1625" s="39"/>
      <c r="AP1625" s="39"/>
      <c r="AQ1625" s="39"/>
      <c r="AR1625" s="39"/>
      <c r="AS1625" s="39"/>
      <c r="AT1625" s="39">
        <f t="shared" si="896"/>
        <v>0</v>
      </c>
      <c r="AU1625" s="39"/>
      <c r="AV1625" s="39"/>
      <c r="AW1625" s="39"/>
      <c r="AX1625" s="39"/>
      <c r="AY1625" s="39"/>
      <c r="AZ1625" s="39">
        <f t="shared" si="897"/>
        <v>0</v>
      </c>
      <c r="BA1625" s="39"/>
      <c r="BB1625" s="39"/>
      <c r="BC1625" s="39"/>
      <c r="BD1625" s="39"/>
      <c r="BE1625" s="39"/>
      <c r="BF1625" s="39">
        <f t="shared" si="898"/>
        <v>0</v>
      </c>
      <c r="BG1625" s="39"/>
      <c r="BH1625" s="39"/>
      <c r="BI1625" s="39"/>
      <c r="BJ1625" s="39"/>
      <c r="BK1625" s="39"/>
      <c r="BL1625" s="39">
        <f t="shared" si="1050"/>
        <v>0</v>
      </c>
      <c r="BM1625" s="54">
        <f t="shared" ca="1" si="899"/>
        <v>46283</v>
      </c>
      <c r="BN1625" s="60">
        <v>46286</v>
      </c>
      <c r="BO1625" s="57">
        <v>46304</v>
      </c>
      <c r="BP1625" s="36"/>
      <c r="BQ1625" s="36"/>
      <c r="BR1625" s="117">
        <v>46282</v>
      </c>
      <c r="BS1625" s="39"/>
      <c r="BT1625" s="39">
        <v>974</v>
      </c>
      <c r="BU1625" s="39">
        <v>854</v>
      </c>
      <c r="BV1625" s="39"/>
      <c r="BW1625" s="39"/>
      <c r="BX1625" s="39"/>
      <c r="BY1625" s="39"/>
      <c r="BZ1625" s="39">
        <f t="shared" si="1051"/>
        <v>854</v>
      </c>
      <c r="CA1625" s="39">
        <f t="shared" si="900"/>
        <v>-177</v>
      </c>
      <c r="CB1625" s="39">
        <f t="shared" si="901"/>
        <v>0</v>
      </c>
      <c r="CC1625" s="39">
        <f t="shared" si="902"/>
        <v>0</v>
      </c>
      <c r="CD1625" s="39">
        <f t="shared" si="1052"/>
        <v>-177</v>
      </c>
      <c r="CE1625" s="102">
        <f t="shared" si="903"/>
        <v>-0.1716779825412221</v>
      </c>
      <c r="CF1625" s="36"/>
      <c r="CG1625" s="39" t="s">
        <v>245</v>
      </c>
      <c r="CH1625" s="39"/>
      <c r="CI1625" s="25">
        <v>3</v>
      </c>
    </row>
    <row r="1626" spans="1:88" ht="24.75" customHeight="1">
      <c r="A1626" s="36" t="s">
        <v>46</v>
      </c>
      <c r="B1626" s="30">
        <v>48550</v>
      </c>
      <c r="C1626" s="228"/>
      <c r="D1626" s="23"/>
      <c r="E1626" s="39">
        <v>160</v>
      </c>
      <c r="F1626" s="39" t="s">
        <v>54</v>
      </c>
      <c r="G1626" s="36" t="s">
        <v>352</v>
      </c>
      <c r="H1626" s="36" t="s">
        <v>22</v>
      </c>
      <c r="I1626" s="39">
        <v>1027</v>
      </c>
      <c r="J1626" s="39"/>
      <c r="K1626" s="39"/>
      <c r="L1626" s="39">
        <f t="shared" si="1053"/>
        <v>1027</v>
      </c>
      <c r="M1626" s="117">
        <v>46266</v>
      </c>
      <c r="N1626" s="117">
        <v>46283</v>
      </c>
      <c r="O1626" s="39"/>
      <c r="P1626" s="39"/>
      <c r="Q1626" s="39"/>
      <c r="R1626" s="39">
        <f t="shared" si="1054"/>
        <v>0</v>
      </c>
      <c r="S1626" s="39" t="s">
        <v>100</v>
      </c>
      <c r="T1626" s="39"/>
      <c r="U1626" s="39"/>
      <c r="V1626" s="39"/>
      <c r="W1626" s="39"/>
      <c r="X1626" s="39"/>
      <c r="Y1626" s="39"/>
      <c r="Z1626" s="39"/>
      <c r="AA1626" s="39"/>
      <c r="AB1626" s="118">
        <f t="shared" si="1055"/>
        <v>0</v>
      </c>
      <c r="AC1626" s="39"/>
      <c r="AD1626" s="39"/>
      <c r="AE1626" s="39"/>
      <c r="AF1626" s="39"/>
      <c r="AG1626" s="39"/>
      <c r="AH1626" s="39">
        <f t="shared" si="1049"/>
        <v>0</v>
      </c>
      <c r="AI1626" s="39"/>
      <c r="AJ1626" s="39"/>
      <c r="AK1626" s="39"/>
      <c r="AL1626" s="39"/>
      <c r="AM1626" s="39"/>
      <c r="AN1626" s="39">
        <f t="shared" si="991"/>
        <v>0</v>
      </c>
      <c r="AO1626" s="39"/>
      <c r="AP1626" s="39"/>
      <c r="AQ1626" s="39"/>
      <c r="AR1626" s="39"/>
      <c r="AS1626" s="39"/>
      <c r="AT1626" s="39">
        <f t="shared" si="896"/>
        <v>0</v>
      </c>
      <c r="AU1626" s="39"/>
      <c r="AV1626" s="39"/>
      <c r="AW1626" s="39"/>
      <c r="AX1626" s="39"/>
      <c r="AY1626" s="39"/>
      <c r="AZ1626" s="39">
        <f t="shared" si="897"/>
        <v>0</v>
      </c>
      <c r="BA1626" s="39"/>
      <c r="BB1626" s="39"/>
      <c r="BC1626" s="39"/>
      <c r="BD1626" s="39"/>
      <c r="BE1626" s="39"/>
      <c r="BF1626" s="39">
        <f t="shared" si="898"/>
        <v>0</v>
      </c>
      <c r="BG1626" s="39"/>
      <c r="BH1626" s="39"/>
      <c r="BI1626" s="39"/>
      <c r="BJ1626" s="39"/>
      <c r="BK1626" s="39"/>
      <c r="BL1626" s="39">
        <f t="shared" si="1050"/>
        <v>0</v>
      </c>
      <c r="BM1626" s="54">
        <f t="shared" ca="1" si="899"/>
        <v>46283</v>
      </c>
      <c r="BN1626" s="60">
        <v>46286</v>
      </c>
      <c r="BO1626" s="57">
        <v>46304</v>
      </c>
      <c r="BP1626" s="36"/>
      <c r="BQ1626" s="36"/>
      <c r="BR1626" s="39"/>
      <c r="BS1626" s="39"/>
      <c r="BT1626" s="39"/>
      <c r="BU1626" s="39"/>
      <c r="BV1626" s="39"/>
      <c r="BW1626" s="39"/>
      <c r="BX1626" s="39"/>
      <c r="BY1626" s="39"/>
      <c r="BZ1626" s="39">
        <f>BU1626+BW1626+BY1626</f>
        <v>0</v>
      </c>
      <c r="CA1626" s="39">
        <f t="shared" si="900"/>
        <v>-1027</v>
      </c>
      <c r="CB1626" s="39">
        <f t="shared" si="901"/>
        <v>0</v>
      </c>
      <c r="CC1626" s="39">
        <f t="shared" si="902"/>
        <v>0</v>
      </c>
      <c r="CD1626" s="39">
        <f>SUMIF(CA1626:CC1626,"&lt;0")</f>
        <v>-1027</v>
      </c>
      <c r="CE1626" s="102">
        <f t="shared" si="903"/>
        <v>-1</v>
      </c>
      <c r="CF1626" s="36"/>
      <c r="CG1626" s="39" t="s">
        <v>245</v>
      </c>
      <c r="CH1626" s="39"/>
      <c r="CI1626" s="25">
        <v>3</v>
      </c>
      <c r="CJ1626" s="6" t="s">
        <v>19</v>
      </c>
    </row>
    <row r="1627" spans="1:88" ht="24.75" customHeight="1">
      <c r="A1627" s="36" t="s">
        <v>46</v>
      </c>
      <c r="B1627" s="30">
        <v>48466</v>
      </c>
      <c r="C1627" s="227" t="s">
        <v>2296</v>
      </c>
      <c r="D1627" s="36"/>
      <c r="E1627" s="39">
        <v>140</v>
      </c>
      <c r="F1627" s="39" t="s">
        <v>55</v>
      </c>
      <c r="G1627" s="36" t="s">
        <v>596</v>
      </c>
      <c r="H1627" s="39" t="s">
        <v>22</v>
      </c>
      <c r="I1627" s="39">
        <f>833+79</f>
        <v>912</v>
      </c>
      <c r="J1627" s="39">
        <f>40+3</f>
        <v>43</v>
      </c>
      <c r="K1627" s="39">
        <f>17+1</f>
        <v>18</v>
      </c>
      <c r="L1627" s="39">
        <f t="shared" ref="L1627:L1657" si="1056">SUM(I1627:K1627)</f>
        <v>973</v>
      </c>
      <c r="M1627" s="117">
        <v>46266</v>
      </c>
      <c r="N1627" s="117">
        <v>46282</v>
      </c>
      <c r="O1627" s="39"/>
      <c r="P1627" s="39"/>
      <c r="Q1627" s="39"/>
      <c r="R1627" s="39">
        <f t="shared" si="1054"/>
        <v>0</v>
      </c>
      <c r="S1627" s="39" t="s">
        <v>130</v>
      </c>
      <c r="T1627" s="39" t="s">
        <v>2959</v>
      </c>
      <c r="U1627" s="117" t="s">
        <v>2960</v>
      </c>
      <c r="V1627" s="39"/>
      <c r="W1627" s="39"/>
      <c r="X1627" s="39"/>
      <c r="Y1627" s="39">
        <f>548-22+340+198</f>
        <v>1064</v>
      </c>
      <c r="Z1627" s="39">
        <f>16+29</f>
        <v>45</v>
      </c>
      <c r="AA1627" s="39">
        <v>22</v>
      </c>
      <c r="AB1627" s="119">
        <f t="shared" si="1055"/>
        <v>1131</v>
      </c>
      <c r="AC1627" s="39"/>
      <c r="AD1627" s="39"/>
      <c r="AE1627" s="39"/>
      <c r="AF1627" s="39"/>
      <c r="AG1627" s="39"/>
      <c r="AH1627" s="39">
        <f t="shared" si="1049"/>
        <v>0</v>
      </c>
      <c r="AI1627" s="39"/>
      <c r="AJ1627" s="39"/>
      <c r="AK1627" s="39"/>
      <c r="AL1627" s="39"/>
      <c r="AM1627" s="39"/>
      <c r="AN1627" s="39">
        <f t="shared" si="991"/>
        <v>0</v>
      </c>
      <c r="AO1627" s="39"/>
      <c r="AP1627" s="39"/>
      <c r="AQ1627" s="39"/>
      <c r="AR1627" s="39"/>
      <c r="AS1627" s="39"/>
      <c r="AT1627" s="39">
        <f t="shared" si="896"/>
        <v>0</v>
      </c>
      <c r="AU1627" s="39"/>
      <c r="AV1627" s="39"/>
      <c r="AW1627" s="39"/>
      <c r="AX1627" s="39"/>
      <c r="AY1627" s="39"/>
      <c r="AZ1627" s="39">
        <f t="shared" si="897"/>
        <v>0</v>
      </c>
      <c r="BA1627" s="39"/>
      <c r="BB1627" s="39"/>
      <c r="BC1627" s="39"/>
      <c r="BD1627" s="39"/>
      <c r="BE1627" s="39"/>
      <c r="BF1627" s="39">
        <f t="shared" si="898"/>
        <v>0</v>
      </c>
      <c r="BG1627" s="39"/>
      <c r="BH1627" s="39"/>
      <c r="BI1627" s="39"/>
      <c r="BJ1627" s="39"/>
      <c r="BK1627" s="39"/>
      <c r="BL1627" s="39">
        <f t="shared" si="1050"/>
        <v>0</v>
      </c>
      <c r="BM1627" s="54" t="str">
        <f t="shared" si="899"/>
        <v/>
      </c>
      <c r="BN1627" s="60">
        <v>46286</v>
      </c>
      <c r="BO1627" s="57">
        <v>46300</v>
      </c>
      <c r="BP1627" s="36"/>
      <c r="BQ1627" s="36"/>
      <c r="BR1627" s="117">
        <v>46272</v>
      </c>
      <c r="BS1627" s="117">
        <v>46281</v>
      </c>
      <c r="BT1627" s="39" t="s">
        <v>3068</v>
      </c>
      <c r="BU1627" s="39">
        <f>488+178+333-22</f>
        <v>977</v>
      </c>
      <c r="BV1627" s="39" t="s">
        <v>3069</v>
      </c>
      <c r="BW1627" s="39">
        <f>17+5+25</f>
        <v>47</v>
      </c>
      <c r="BX1627" s="39">
        <v>907</v>
      </c>
      <c r="BY1627" s="39">
        <v>22</v>
      </c>
      <c r="BZ1627" s="39">
        <f t="shared" ref="BZ1627:BZ1635" si="1057">BU1627+BW1627+BY1627</f>
        <v>1046</v>
      </c>
      <c r="CA1627" s="39">
        <f t="shared" si="900"/>
        <v>65</v>
      </c>
      <c r="CB1627" s="39">
        <f t="shared" si="901"/>
        <v>4</v>
      </c>
      <c r="CC1627" s="39">
        <f t="shared" si="902"/>
        <v>4</v>
      </c>
      <c r="CD1627" s="39">
        <f t="shared" ref="CD1627:CD1635" si="1058">SUMIF(CA1627:CC1627,"&lt;0")</f>
        <v>0</v>
      </c>
      <c r="CE1627" s="102">
        <f t="shared" si="903"/>
        <v>0</v>
      </c>
      <c r="CF1627" s="36"/>
      <c r="CG1627" s="39" t="s">
        <v>238</v>
      </c>
      <c r="CH1627" s="39" t="s">
        <v>114</v>
      </c>
      <c r="CI1627" s="25">
        <v>3</v>
      </c>
    </row>
    <row r="1628" spans="1:88" ht="24.75" customHeight="1">
      <c r="A1628" s="36" t="s">
        <v>46</v>
      </c>
      <c r="B1628" s="30">
        <v>48466</v>
      </c>
      <c r="C1628" s="231"/>
      <c r="D1628" s="36"/>
      <c r="E1628" s="39">
        <v>140</v>
      </c>
      <c r="F1628" s="39" t="s">
        <v>55</v>
      </c>
      <c r="G1628" s="36" t="s">
        <v>596</v>
      </c>
      <c r="H1628" s="39" t="s">
        <v>22</v>
      </c>
      <c r="I1628" s="39">
        <f>629+60</f>
        <v>689</v>
      </c>
      <c r="J1628" s="39"/>
      <c r="K1628" s="39"/>
      <c r="L1628" s="39">
        <f t="shared" si="1056"/>
        <v>689</v>
      </c>
      <c r="M1628" s="117">
        <v>46266</v>
      </c>
      <c r="N1628" s="117">
        <v>46282</v>
      </c>
      <c r="O1628" s="39"/>
      <c r="P1628" s="39"/>
      <c r="Q1628" s="39"/>
      <c r="R1628" s="39">
        <f t="shared" ref="R1628:R1630" si="1059">SUM(O1628:Q1628)</f>
        <v>0</v>
      </c>
      <c r="S1628" s="39" t="s">
        <v>130</v>
      </c>
      <c r="T1628" s="39">
        <v>109171</v>
      </c>
      <c r="U1628" s="117">
        <v>46268</v>
      </c>
      <c r="V1628" s="39"/>
      <c r="W1628" s="39"/>
      <c r="X1628" s="39"/>
      <c r="Y1628" s="39">
        <v>775</v>
      </c>
      <c r="Z1628" s="39"/>
      <c r="AA1628" s="39"/>
      <c r="AB1628" s="119">
        <f t="shared" si="1055"/>
        <v>775</v>
      </c>
      <c r="AC1628" s="39"/>
      <c r="AD1628" s="39"/>
      <c r="AE1628" s="39"/>
      <c r="AF1628" s="39"/>
      <c r="AG1628" s="39"/>
      <c r="AH1628" s="39">
        <f t="shared" si="1049"/>
        <v>0</v>
      </c>
      <c r="AI1628" s="39"/>
      <c r="AJ1628" s="39"/>
      <c r="AK1628" s="39"/>
      <c r="AL1628" s="39"/>
      <c r="AM1628" s="39"/>
      <c r="AN1628" s="39">
        <f t="shared" si="991"/>
        <v>0</v>
      </c>
      <c r="AO1628" s="39"/>
      <c r="AP1628" s="39"/>
      <c r="AQ1628" s="39"/>
      <c r="AR1628" s="39"/>
      <c r="AS1628" s="39"/>
      <c r="AT1628" s="39">
        <f t="shared" si="896"/>
        <v>0</v>
      </c>
      <c r="AU1628" s="39"/>
      <c r="AV1628" s="39"/>
      <c r="AW1628" s="39"/>
      <c r="AX1628" s="39"/>
      <c r="AY1628" s="39"/>
      <c r="AZ1628" s="39">
        <f t="shared" si="897"/>
        <v>0</v>
      </c>
      <c r="BA1628" s="39"/>
      <c r="BB1628" s="39"/>
      <c r="BC1628" s="39"/>
      <c r="BD1628" s="39"/>
      <c r="BE1628" s="39"/>
      <c r="BF1628" s="39">
        <f t="shared" si="898"/>
        <v>0</v>
      </c>
      <c r="BG1628" s="39"/>
      <c r="BH1628" s="39"/>
      <c r="BI1628" s="39"/>
      <c r="BJ1628" s="39"/>
      <c r="BK1628" s="39"/>
      <c r="BL1628" s="39">
        <f t="shared" si="1050"/>
        <v>0</v>
      </c>
      <c r="BM1628" s="54" t="str">
        <f t="shared" si="899"/>
        <v/>
      </c>
      <c r="BN1628" s="60">
        <v>46286</v>
      </c>
      <c r="BO1628" s="57">
        <v>46300</v>
      </c>
      <c r="BP1628" s="36"/>
      <c r="BQ1628" s="36"/>
      <c r="BR1628" s="117">
        <v>46281</v>
      </c>
      <c r="BS1628" s="117">
        <v>46281</v>
      </c>
      <c r="BT1628" s="39">
        <v>907</v>
      </c>
      <c r="BU1628" s="39">
        <v>700</v>
      </c>
      <c r="BV1628" s="39"/>
      <c r="BW1628" s="39"/>
      <c r="BX1628" s="39"/>
      <c r="BY1628" s="39"/>
      <c r="BZ1628" s="39">
        <f t="shared" si="1057"/>
        <v>700</v>
      </c>
      <c r="CA1628" s="39">
        <f t="shared" si="900"/>
        <v>11</v>
      </c>
      <c r="CB1628" s="39">
        <f t="shared" si="901"/>
        <v>0</v>
      </c>
      <c r="CC1628" s="39">
        <f t="shared" si="902"/>
        <v>0</v>
      </c>
      <c r="CD1628" s="39">
        <f t="shared" si="1058"/>
        <v>0</v>
      </c>
      <c r="CE1628" s="102">
        <f t="shared" si="903"/>
        <v>0</v>
      </c>
      <c r="CF1628" s="36"/>
      <c r="CG1628" s="39" t="s">
        <v>238</v>
      </c>
      <c r="CH1628" s="39"/>
      <c r="CI1628" s="25">
        <v>3</v>
      </c>
    </row>
    <row r="1629" spans="1:88" ht="24.75" customHeight="1">
      <c r="A1629" s="36" t="s">
        <v>46</v>
      </c>
      <c r="B1629" s="30">
        <v>48466</v>
      </c>
      <c r="C1629" s="231"/>
      <c r="D1629" s="36"/>
      <c r="E1629" s="39">
        <v>140</v>
      </c>
      <c r="F1629" s="39" t="s">
        <v>55</v>
      </c>
      <c r="G1629" s="36" t="s">
        <v>2087</v>
      </c>
      <c r="H1629" s="39" t="s">
        <v>22</v>
      </c>
      <c r="I1629" s="39">
        <f>567+72</f>
        <v>639</v>
      </c>
      <c r="J1629" s="39">
        <f>27+3</f>
        <v>30</v>
      </c>
      <c r="K1629" s="39">
        <f>11+2</f>
        <v>13</v>
      </c>
      <c r="L1629" s="39">
        <f t="shared" si="1056"/>
        <v>682</v>
      </c>
      <c r="M1629" s="117">
        <v>46266</v>
      </c>
      <c r="N1629" s="117">
        <v>46282</v>
      </c>
      <c r="O1629" s="39"/>
      <c r="P1629" s="39"/>
      <c r="Q1629" s="39"/>
      <c r="R1629" s="39">
        <f t="shared" si="1059"/>
        <v>0</v>
      </c>
      <c r="S1629" s="39" t="s">
        <v>31</v>
      </c>
      <c r="T1629" s="39"/>
      <c r="U1629" s="39"/>
      <c r="V1629" s="117">
        <v>46266</v>
      </c>
      <c r="W1629" s="39">
        <f>700+35</f>
        <v>735</v>
      </c>
      <c r="X1629" s="39"/>
      <c r="Y1629" s="39"/>
      <c r="Z1629" s="39"/>
      <c r="AA1629" s="39"/>
      <c r="AB1629" s="118">
        <f t="shared" si="1055"/>
        <v>0</v>
      </c>
      <c r="AC1629" s="39"/>
      <c r="AD1629" s="39"/>
      <c r="AE1629" s="39"/>
      <c r="AF1629" s="39"/>
      <c r="AG1629" s="39"/>
      <c r="AH1629" s="39">
        <f t="shared" si="1049"/>
        <v>0</v>
      </c>
      <c r="AI1629" s="39"/>
      <c r="AJ1629" s="39"/>
      <c r="AK1629" s="39"/>
      <c r="AL1629" s="39"/>
      <c r="AM1629" s="39"/>
      <c r="AN1629" s="39">
        <f t="shared" si="991"/>
        <v>0</v>
      </c>
      <c r="AO1629" s="39"/>
      <c r="AP1629" s="39"/>
      <c r="AQ1629" s="39"/>
      <c r="AR1629" s="39"/>
      <c r="AS1629" s="39"/>
      <c r="AT1629" s="39">
        <f t="shared" si="896"/>
        <v>0</v>
      </c>
      <c r="AU1629" s="39"/>
      <c r="AV1629" s="39"/>
      <c r="AW1629" s="39"/>
      <c r="AX1629" s="39"/>
      <c r="AY1629" s="39"/>
      <c r="AZ1629" s="39">
        <f t="shared" si="897"/>
        <v>0</v>
      </c>
      <c r="BA1629" s="39"/>
      <c r="BB1629" s="39"/>
      <c r="BC1629" s="39"/>
      <c r="BD1629" s="39"/>
      <c r="BE1629" s="39"/>
      <c r="BF1629" s="39">
        <f t="shared" si="898"/>
        <v>0</v>
      </c>
      <c r="BG1629" s="39"/>
      <c r="BH1629" s="39"/>
      <c r="BI1629" s="39"/>
      <c r="BJ1629" s="39"/>
      <c r="BK1629" s="39"/>
      <c r="BL1629" s="39">
        <f t="shared" si="1050"/>
        <v>0</v>
      </c>
      <c r="BM1629" s="54">
        <f t="shared" ca="1" si="899"/>
        <v>46283</v>
      </c>
      <c r="BN1629" s="60">
        <v>46286</v>
      </c>
      <c r="BO1629" s="57">
        <v>46300</v>
      </c>
      <c r="BP1629" s="36"/>
      <c r="BQ1629" s="36"/>
      <c r="BR1629" s="39"/>
      <c r="BS1629" s="39"/>
      <c r="BT1629" s="39"/>
      <c r="BU1629" s="39"/>
      <c r="BV1629" s="39"/>
      <c r="BW1629" s="39"/>
      <c r="BX1629" s="39"/>
      <c r="BY1629" s="39"/>
      <c r="BZ1629" s="39">
        <f t="shared" si="1057"/>
        <v>0</v>
      </c>
      <c r="CA1629" s="39">
        <f t="shared" si="900"/>
        <v>-639</v>
      </c>
      <c r="CB1629" s="39">
        <f t="shared" si="901"/>
        <v>-30</v>
      </c>
      <c r="CC1629" s="39">
        <f t="shared" si="902"/>
        <v>-13</v>
      </c>
      <c r="CD1629" s="39">
        <f t="shared" si="1058"/>
        <v>-682</v>
      </c>
      <c r="CE1629" s="102">
        <f t="shared" si="903"/>
        <v>-1</v>
      </c>
      <c r="CF1629" s="36"/>
      <c r="CG1629" s="39" t="s">
        <v>238</v>
      </c>
      <c r="CH1629" s="39"/>
      <c r="CI1629" s="25">
        <v>3</v>
      </c>
    </row>
    <row r="1630" spans="1:88" ht="24.75" customHeight="1">
      <c r="A1630" s="36" t="s">
        <v>46</v>
      </c>
      <c r="B1630" s="30">
        <v>48466</v>
      </c>
      <c r="C1630" s="228"/>
      <c r="D1630" s="36"/>
      <c r="E1630" s="39">
        <v>140</v>
      </c>
      <c r="F1630" s="39" t="s">
        <v>55</v>
      </c>
      <c r="G1630" s="36" t="s">
        <v>2087</v>
      </c>
      <c r="H1630" s="39" t="s">
        <v>22</v>
      </c>
      <c r="I1630" s="39">
        <f>428+54</f>
        <v>482</v>
      </c>
      <c r="J1630" s="39"/>
      <c r="K1630" s="39"/>
      <c r="L1630" s="39">
        <f t="shared" si="1056"/>
        <v>482</v>
      </c>
      <c r="M1630" s="117">
        <v>46266</v>
      </c>
      <c r="N1630" s="117">
        <v>46282</v>
      </c>
      <c r="O1630" s="39"/>
      <c r="P1630" s="39"/>
      <c r="Q1630" s="39"/>
      <c r="R1630" s="39">
        <f t="shared" si="1059"/>
        <v>0</v>
      </c>
      <c r="S1630" s="39" t="s">
        <v>31</v>
      </c>
      <c r="T1630" s="39"/>
      <c r="U1630" s="39"/>
      <c r="V1630" s="117" t="s">
        <v>2814</v>
      </c>
      <c r="W1630" s="39">
        <f>447+146</f>
        <v>593</v>
      </c>
      <c r="X1630" s="39"/>
      <c r="Y1630" s="39"/>
      <c r="Z1630" s="39"/>
      <c r="AA1630" s="39"/>
      <c r="AB1630" s="118">
        <f t="shared" si="1055"/>
        <v>0</v>
      </c>
      <c r="AC1630" s="39"/>
      <c r="AD1630" s="39"/>
      <c r="AE1630" s="39"/>
      <c r="AF1630" s="39"/>
      <c r="AG1630" s="39"/>
      <c r="AH1630" s="39">
        <f t="shared" si="1049"/>
        <v>0</v>
      </c>
      <c r="AI1630" s="39"/>
      <c r="AJ1630" s="39"/>
      <c r="AK1630" s="39"/>
      <c r="AL1630" s="39"/>
      <c r="AM1630" s="39"/>
      <c r="AN1630" s="39">
        <f t="shared" si="991"/>
        <v>0</v>
      </c>
      <c r="AO1630" s="39"/>
      <c r="AP1630" s="39"/>
      <c r="AQ1630" s="39"/>
      <c r="AR1630" s="39"/>
      <c r="AS1630" s="39"/>
      <c r="AT1630" s="39">
        <f t="shared" si="896"/>
        <v>0</v>
      </c>
      <c r="AU1630" s="39"/>
      <c r="AV1630" s="39"/>
      <c r="AW1630" s="39"/>
      <c r="AX1630" s="39"/>
      <c r="AY1630" s="39"/>
      <c r="AZ1630" s="39">
        <f t="shared" si="897"/>
        <v>0</v>
      </c>
      <c r="BA1630" s="39"/>
      <c r="BB1630" s="39"/>
      <c r="BC1630" s="39"/>
      <c r="BD1630" s="39"/>
      <c r="BE1630" s="39"/>
      <c r="BF1630" s="39">
        <f t="shared" si="898"/>
        <v>0</v>
      </c>
      <c r="BG1630" s="39"/>
      <c r="BH1630" s="39"/>
      <c r="BI1630" s="39"/>
      <c r="BJ1630" s="39"/>
      <c r="BK1630" s="39"/>
      <c r="BL1630" s="39">
        <f t="shared" si="1050"/>
        <v>0</v>
      </c>
      <c r="BM1630" s="54">
        <f t="shared" ca="1" si="899"/>
        <v>46283</v>
      </c>
      <c r="BN1630" s="60">
        <v>46286</v>
      </c>
      <c r="BO1630" s="57">
        <v>46300</v>
      </c>
      <c r="BP1630" s="36"/>
      <c r="BQ1630" s="36"/>
      <c r="BR1630" s="39"/>
      <c r="BS1630" s="39"/>
      <c r="BT1630" s="39"/>
      <c r="BU1630" s="39"/>
      <c r="BV1630" s="39"/>
      <c r="BW1630" s="39"/>
      <c r="BX1630" s="39"/>
      <c r="BY1630" s="39"/>
      <c r="BZ1630" s="39">
        <f t="shared" si="1057"/>
        <v>0</v>
      </c>
      <c r="CA1630" s="39">
        <f t="shared" si="900"/>
        <v>-482</v>
      </c>
      <c r="CB1630" s="39">
        <f t="shared" si="901"/>
        <v>0</v>
      </c>
      <c r="CC1630" s="39">
        <f t="shared" si="902"/>
        <v>0</v>
      </c>
      <c r="CD1630" s="39">
        <f t="shared" si="1058"/>
        <v>-482</v>
      </c>
      <c r="CE1630" s="102">
        <f t="shared" si="903"/>
        <v>-1</v>
      </c>
      <c r="CF1630" s="36"/>
      <c r="CG1630" s="39" t="s">
        <v>238</v>
      </c>
      <c r="CH1630" s="39"/>
      <c r="CI1630" s="25">
        <v>3</v>
      </c>
    </row>
    <row r="1631" spans="1:88" ht="24.75" customHeight="1">
      <c r="A1631" s="36" t="s">
        <v>46</v>
      </c>
      <c r="B1631" s="30">
        <v>48450</v>
      </c>
      <c r="C1631" s="227" t="s">
        <v>2259</v>
      </c>
      <c r="D1631" s="36"/>
      <c r="E1631" s="39">
        <v>300</v>
      </c>
      <c r="F1631" s="39" t="s">
        <v>54</v>
      </c>
      <c r="G1631" s="36" t="s">
        <v>2260</v>
      </c>
      <c r="H1631" s="36" t="s">
        <v>411</v>
      </c>
      <c r="I1631" s="39">
        <v>544</v>
      </c>
      <c r="J1631" s="39">
        <v>96</v>
      </c>
      <c r="K1631" s="39">
        <v>57</v>
      </c>
      <c r="L1631" s="39">
        <f t="shared" si="1056"/>
        <v>697</v>
      </c>
      <c r="M1631" s="117">
        <v>46280</v>
      </c>
      <c r="N1631" s="117">
        <v>46291</v>
      </c>
      <c r="O1631" s="39"/>
      <c r="P1631" s="39"/>
      <c r="Q1631" s="39"/>
      <c r="R1631" s="39">
        <f t="shared" si="1054"/>
        <v>0</v>
      </c>
      <c r="S1631" s="39" t="s">
        <v>130</v>
      </c>
      <c r="T1631" s="39"/>
      <c r="U1631" s="39"/>
      <c r="V1631" s="39"/>
      <c r="W1631" s="39"/>
      <c r="X1631" s="39"/>
      <c r="Y1631" s="39"/>
      <c r="Z1631" s="39"/>
      <c r="AA1631" s="39"/>
      <c r="AB1631" s="118">
        <f t="shared" si="1055"/>
        <v>0</v>
      </c>
      <c r="AC1631" s="39"/>
      <c r="AD1631" s="39"/>
      <c r="AE1631" s="39"/>
      <c r="AF1631" s="39"/>
      <c r="AG1631" s="39"/>
      <c r="AH1631" s="39">
        <f t="shared" si="1049"/>
        <v>0</v>
      </c>
      <c r="AI1631" s="39"/>
      <c r="AJ1631" s="39"/>
      <c r="AK1631" s="39"/>
      <c r="AL1631" s="39"/>
      <c r="AM1631" s="39"/>
      <c r="AN1631" s="39">
        <f t="shared" si="991"/>
        <v>0</v>
      </c>
      <c r="AO1631" s="39"/>
      <c r="AP1631" s="39"/>
      <c r="AQ1631" s="39"/>
      <c r="AR1631" s="39"/>
      <c r="AS1631" s="39"/>
      <c r="AT1631" s="39">
        <f t="shared" si="896"/>
        <v>0</v>
      </c>
      <c r="AU1631" s="39"/>
      <c r="AV1631" s="39"/>
      <c r="AW1631" s="39"/>
      <c r="AX1631" s="39"/>
      <c r="AY1631" s="39"/>
      <c r="AZ1631" s="39">
        <f t="shared" si="897"/>
        <v>0</v>
      </c>
      <c r="BA1631" s="39"/>
      <c r="BB1631" s="39"/>
      <c r="BC1631" s="39"/>
      <c r="BD1631" s="39"/>
      <c r="BE1631" s="39"/>
      <c r="BF1631" s="39">
        <f t="shared" si="898"/>
        <v>0</v>
      </c>
      <c r="BG1631" s="39"/>
      <c r="BH1631" s="39"/>
      <c r="BI1631" s="39"/>
      <c r="BJ1631" s="39"/>
      <c r="BK1631" s="39"/>
      <c r="BL1631" s="39">
        <f t="shared" si="1050"/>
        <v>0</v>
      </c>
      <c r="BM1631" s="54">
        <f t="shared" ca="1" si="899"/>
        <v>46283</v>
      </c>
      <c r="BN1631" s="60">
        <v>46293</v>
      </c>
      <c r="BO1631" s="57">
        <v>46305</v>
      </c>
      <c r="BP1631" s="36"/>
      <c r="BQ1631" s="36"/>
      <c r="BR1631" s="39"/>
      <c r="BS1631" s="39"/>
      <c r="BT1631" s="39"/>
      <c r="BU1631" s="39"/>
      <c r="BV1631" s="39"/>
      <c r="BW1631" s="39"/>
      <c r="BX1631" s="39"/>
      <c r="BY1631" s="39"/>
      <c r="BZ1631" s="39">
        <f t="shared" si="1057"/>
        <v>0</v>
      </c>
      <c r="CA1631" s="39">
        <f t="shared" si="900"/>
        <v>-544</v>
      </c>
      <c r="CB1631" s="39">
        <f t="shared" si="901"/>
        <v>-96</v>
      </c>
      <c r="CC1631" s="39">
        <f t="shared" si="902"/>
        <v>-57</v>
      </c>
      <c r="CD1631" s="39">
        <f t="shared" si="1058"/>
        <v>-697</v>
      </c>
      <c r="CE1631" s="102">
        <f t="shared" si="903"/>
        <v>-1</v>
      </c>
      <c r="CF1631" s="36"/>
      <c r="CG1631" s="39" t="s">
        <v>238</v>
      </c>
      <c r="CH1631" s="39"/>
      <c r="CI1631" s="25">
        <v>3</v>
      </c>
    </row>
    <row r="1632" spans="1:88" ht="24.75" customHeight="1">
      <c r="A1632" s="36" t="s">
        <v>46</v>
      </c>
      <c r="B1632" s="30">
        <v>48450</v>
      </c>
      <c r="C1632" s="228"/>
      <c r="D1632" s="36"/>
      <c r="E1632" s="39"/>
      <c r="F1632" s="39" t="s">
        <v>64</v>
      </c>
      <c r="G1632" s="36" t="s">
        <v>2261</v>
      </c>
      <c r="H1632" s="39">
        <v>99</v>
      </c>
      <c r="I1632" s="39" t="s">
        <v>2262</v>
      </c>
      <c r="J1632" s="39"/>
      <c r="K1632" s="39"/>
      <c r="L1632" s="39">
        <f t="shared" si="1056"/>
        <v>0</v>
      </c>
      <c r="M1632" s="117">
        <v>46280</v>
      </c>
      <c r="N1632" s="117">
        <v>46291</v>
      </c>
      <c r="O1632" s="39"/>
      <c r="P1632" s="39"/>
      <c r="Q1632" s="39"/>
      <c r="R1632" s="39">
        <f t="shared" si="1054"/>
        <v>0</v>
      </c>
      <c r="S1632" s="39" t="s">
        <v>130</v>
      </c>
      <c r="T1632" s="39"/>
      <c r="U1632" s="39"/>
      <c r="V1632" s="39"/>
      <c r="W1632" s="39"/>
      <c r="X1632" s="39"/>
      <c r="Y1632" s="39"/>
      <c r="Z1632" s="39"/>
      <c r="AA1632" s="39"/>
      <c r="AB1632" s="39">
        <f t="shared" si="1055"/>
        <v>0</v>
      </c>
      <c r="AC1632" s="39"/>
      <c r="AD1632" s="39"/>
      <c r="AE1632" s="39"/>
      <c r="AF1632" s="39"/>
      <c r="AG1632" s="39"/>
      <c r="AH1632" s="39">
        <f t="shared" si="1049"/>
        <v>0</v>
      </c>
      <c r="AI1632" s="39"/>
      <c r="AJ1632" s="39"/>
      <c r="AK1632" s="39"/>
      <c r="AL1632" s="39"/>
      <c r="AM1632" s="39"/>
      <c r="AN1632" s="39">
        <f t="shared" si="991"/>
        <v>0</v>
      </c>
      <c r="AO1632" s="39"/>
      <c r="AP1632" s="39"/>
      <c r="AQ1632" s="39"/>
      <c r="AR1632" s="39"/>
      <c r="AS1632" s="39"/>
      <c r="AT1632" s="39">
        <f t="shared" si="896"/>
        <v>0</v>
      </c>
      <c r="AU1632" s="39"/>
      <c r="AV1632" s="39"/>
      <c r="AW1632" s="39"/>
      <c r="AX1632" s="39"/>
      <c r="AY1632" s="39"/>
      <c r="AZ1632" s="39">
        <f t="shared" si="897"/>
        <v>0</v>
      </c>
      <c r="BA1632" s="39"/>
      <c r="BB1632" s="39"/>
      <c r="BC1632" s="39"/>
      <c r="BD1632" s="39"/>
      <c r="BE1632" s="39"/>
      <c r="BF1632" s="39">
        <f t="shared" si="898"/>
        <v>0</v>
      </c>
      <c r="BG1632" s="39"/>
      <c r="BH1632" s="39"/>
      <c r="BI1632" s="39"/>
      <c r="BJ1632" s="39"/>
      <c r="BK1632" s="39"/>
      <c r="BL1632" s="39">
        <f t="shared" si="1050"/>
        <v>0</v>
      </c>
      <c r="BM1632" s="54" t="e">
        <f t="shared" si="899"/>
        <v>#DIV/0!</v>
      </c>
      <c r="BN1632" s="60">
        <v>46293</v>
      </c>
      <c r="BO1632" s="57">
        <v>46305</v>
      </c>
      <c r="BP1632" s="36"/>
      <c r="BQ1632" s="36"/>
      <c r="BR1632" s="39"/>
      <c r="BS1632" s="39"/>
      <c r="BT1632" s="39"/>
      <c r="BU1632" s="39"/>
      <c r="BV1632" s="39"/>
      <c r="BW1632" s="39"/>
      <c r="BX1632" s="39"/>
      <c r="BY1632" s="39"/>
      <c r="BZ1632" s="39">
        <f t="shared" si="1057"/>
        <v>0</v>
      </c>
      <c r="CA1632" s="39" t="e">
        <f t="shared" si="900"/>
        <v>#VALUE!</v>
      </c>
      <c r="CB1632" s="39">
        <f t="shared" si="901"/>
        <v>0</v>
      </c>
      <c r="CC1632" s="39">
        <f t="shared" si="902"/>
        <v>0</v>
      </c>
      <c r="CD1632" s="39">
        <f t="shared" si="1058"/>
        <v>0</v>
      </c>
      <c r="CE1632" s="102" t="e">
        <f t="shared" si="903"/>
        <v>#DIV/0!</v>
      </c>
      <c r="CF1632" s="36"/>
      <c r="CG1632" s="39" t="s">
        <v>238</v>
      </c>
      <c r="CH1632" s="39"/>
      <c r="CI1632" s="25">
        <v>3</v>
      </c>
    </row>
    <row r="1633" spans="1:88" ht="24.75" customHeight="1">
      <c r="A1633" s="36" t="s">
        <v>46</v>
      </c>
      <c r="B1633" s="30">
        <v>48450</v>
      </c>
      <c r="C1633" s="227" t="s">
        <v>2270</v>
      </c>
      <c r="D1633" s="23"/>
      <c r="E1633" s="39">
        <v>300</v>
      </c>
      <c r="F1633" s="39" t="s">
        <v>54</v>
      </c>
      <c r="G1633" s="36" t="s">
        <v>2260</v>
      </c>
      <c r="H1633" s="36" t="s">
        <v>411</v>
      </c>
      <c r="I1633" s="39">
        <v>767</v>
      </c>
      <c r="J1633" s="39">
        <v>137</v>
      </c>
      <c r="K1633" s="39">
        <v>81</v>
      </c>
      <c r="L1633" s="39">
        <f t="shared" si="1056"/>
        <v>985</v>
      </c>
      <c r="M1633" s="117">
        <v>46280</v>
      </c>
      <c r="N1633" s="117">
        <v>46291</v>
      </c>
      <c r="O1633" s="39"/>
      <c r="P1633" s="39"/>
      <c r="Q1633" s="39"/>
      <c r="R1633" s="39">
        <f t="shared" si="1054"/>
        <v>0</v>
      </c>
      <c r="S1633" s="39" t="s">
        <v>130</v>
      </c>
      <c r="T1633" s="39"/>
      <c r="U1633" s="39"/>
      <c r="V1633" s="39"/>
      <c r="W1633" s="39"/>
      <c r="X1633" s="39"/>
      <c r="Y1633" s="39"/>
      <c r="Z1633" s="39"/>
      <c r="AA1633" s="39"/>
      <c r="AB1633" s="118">
        <f t="shared" si="1055"/>
        <v>0</v>
      </c>
      <c r="AC1633" s="39"/>
      <c r="AD1633" s="39"/>
      <c r="AE1633" s="39"/>
      <c r="AF1633" s="39"/>
      <c r="AG1633" s="39"/>
      <c r="AH1633" s="39">
        <f t="shared" si="1049"/>
        <v>0</v>
      </c>
      <c r="AI1633" s="39"/>
      <c r="AJ1633" s="39"/>
      <c r="AK1633" s="39"/>
      <c r="AL1633" s="39"/>
      <c r="AM1633" s="39"/>
      <c r="AN1633" s="39">
        <f t="shared" si="991"/>
        <v>0</v>
      </c>
      <c r="AO1633" s="39"/>
      <c r="AP1633" s="39"/>
      <c r="AQ1633" s="39"/>
      <c r="AR1633" s="39"/>
      <c r="AS1633" s="39"/>
      <c r="AT1633" s="39">
        <f t="shared" si="896"/>
        <v>0</v>
      </c>
      <c r="AU1633" s="39"/>
      <c r="AV1633" s="39"/>
      <c r="AW1633" s="39"/>
      <c r="AX1633" s="39"/>
      <c r="AY1633" s="39"/>
      <c r="AZ1633" s="39">
        <f t="shared" si="897"/>
        <v>0</v>
      </c>
      <c r="BA1633" s="39"/>
      <c r="BB1633" s="39"/>
      <c r="BC1633" s="39"/>
      <c r="BD1633" s="39"/>
      <c r="BE1633" s="39"/>
      <c r="BF1633" s="39">
        <f t="shared" si="898"/>
        <v>0</v>
      </c>
      <c r="BG1633" s="39"/>
      <c r="BH1633" s="39"/>
      <c r="BI1633" s="39"/>
      <c r="BJ1633" s="39"/>
      <c r="BK1633" s="39"/>
      <c r="BL1633" s="39">
        <f t="shared" si="1050"/>
        <v>0</v>
      </c>
      <c r="BM1633" s="54">
        <f t="shared" ca="1" si="899"/>
        <v>46283</v>
      </c>
      <c r="BN1633" s="60">
        <v>46293</v>
      </c>
      <c r="BO1633" s="57">
        <v>46305</v>
      </c>
      <c r="BP1633" s="36"/>
      <c r="BQ1633" s="36"/>
      <c r="BR1633" s="39"/>
      <c r="BS1633" s="39"/>
      <c r="BT1633" s="39"/>
      <c r="BU1633" s="39"/>
      <c r="BV1633" s="39"/>
      <c r="BW1633" s="39"/>
      <c r="BX1633" s="39"/>
      <c r="BY1633" s="39"/>
      <c r="BZ1633" s="39">
        <f t="shared" si="1057"/>
        <v>0</v>
      </c>
      <c r="CA1633" s="39">
        <f t="shared" si="900"/>
        <v>-767</v>
      </c>
      <c r="CB1633" s="39">
        <f t="shared" si="901"/>
        <v>-137</v>
      </c>
      <c r="CC1633" s="39">
        <f t="shared" si="902"/>
        <v>-81</v>
      </c>
      <c r="CD1633" s="39">
        <f t="shared" si="1058"/>
        <v>-985</v>
      </c>
      <c r="CE1633" s="102">
        <f t="shared" si="903"/>
        <v>-1</v>
      </c>
      <c r="CF1633" s="36"/>
      <c r="CG1633" s="39" t="s">
        <v>238</v>
      </c>
      <c r="CH1633" s="39"/>
      <c r="CI1633" s="25">
        <v>3</v>
      </c>
    </row>
    <row r="1634" spans="1:88" ht="24.75" customHeight="1">
      <c r="A1634" s="36" t="s">
        <v>46</v>
      </c>
      <c r="B1634" s="30">
        <v>48450</v>
      </c>
      <c r="C1634" s="228"/>
      <c r="D1634" s="23"/>
      <c r="E1634" s="39"/>
      <c r="F1634" s="39"/>
      <c r="G1634" s="36" t="s">
        <v>2271</v>
      </c>
      <c r="H1634" s="36">
        <v>132</v>
      </c>
      <c r="I1634" s="39" t="s">
        <v>90</v>
      </c>
      <c r="J1634" s="39"/>
      <c r="K1634" s="39"/>
      <c r="L1634" s="39">
        <f t="shared" si="1056"/>
        <v>0</v>
      </c>
      <c r="M1634" s="117">
        <v>46280</v>
      </c>
      <c r="N1634" s="117">
        <v>46291</v>
      </c>
      <c r="O1634" s="39"/>
      <c r="P1634" s="39"/>
      <c r="Q1634" s="39"/>
      <c r="R1634" s="39">
        <f t="shared" si="1054"/>
        <v>0</v>
      </c>
      <c r="S1634" s="39" t="s">
        <v>130</v>
      </c>
      <c r="T1634" s="39"/>
      <c r="U1634" s="39"/>
      <c r="V1634" s="39"/>
      <c r="W1634" s="39"/>
      <c r="X1634" s="39"/>
      <c r="Y1634" s="39"/>
      <c r="Z1634" s="39"/>
      <c r="AA1634" s="39"/>
      <c r="AB1634" s="39">
        <f t="shared" si="1055"/>
        <v>0</v>
      </c>
      <c r="AC1634" s="39"/>
      <c r="AD1634" s="39"/>
      <c r="AE1634" s="39"/>
      <c r="AF1634" s="39"/>
      <c r="AG1634" s="39"/>
      <c r="AH1634" s="39">
        <f t="shared" si="1049"/>
        <v>0</v>
      </c>
      <c r="AI1634" s="39"/>
      <c r="AJ1634" s="39"/>
      <c r="AK1634" s="39"/>
      <c r="AL1634" s="39"/>
      <c r="AM1634" s="39"/>
      <c r="AN1634" s="39">
        <f t="shared" si="991"/>
        <v>0</v>
      </c>
      <c r="AO1634" s="39"/>
      <c r="AP1634" s="39"/>
      <c r="AQ1634" s="39"/>
      <c r="AR1634" s="39"/>
      <c r="AS1634" s="39"/>
      <c r="AT1634" s="39">
        <f t="shared" si="896"/>
        <v>0</v>
      </c>
      <c r="AU1634" s="39"/>
      <c r="AV1634" s="39"/>
      <c r="AW1634" s="39"/>
      <c r="AX1634" s="39"/>
      <c r="AY1634" s="39"/>
      <c r="AZ1634" s="39">
        <f t="shared" si="897"/>
        <v>0</v>
      </c>
      <c r="BA1634" s="39"/>
      <c r="BB1634" s="39"/>
      <c r="BC1634" s="39"/>
      <c r="BD1634" s="39"/>
      <c r="BE1634" s="39"/>
      <c r="BF1634" s="39">
        <f t="shared" si="898"/>
        <v>0</v>
      </c>
      <c r="BG1634" s="39"/>
      <c r="BH1634" s="39"/>
      <c r="BI1634" s="39"/>
      <c r="BJ1634" s="39"/>
      <c r="BK1634" s="39"/>
      <c r="BL1634" s="39">
        <f t="shared" si="1050"/>
        <v>0</v>
      </c>
      <c r="BM1634" s="54" t="e">
        <f t="shared" si="899"/>
        <v>#DIV/0!</v>
      </c>
      <c r="BN1634" s="60">
        <v>46293</v>
      </c>
      <c r="BO1634" s="57">
        <v>46305</v>
      </c>
      <c r="BP1634" s="36"/>
      <c r="BQ1634" s="36"/>
      <c r="BR1634" s="39"/>
      <c r="BS1634" s="39"/>
      <c r="BT1634" s="39"/>
      <c r="BU1634" s="39"/>
      <c r="BV1634" s="39"/>
      <c r="BW1634" s="39"/>
      <c r="BX1634" s="39"/>
      <c r="BY1634" s="39"/>
      <c r="BZ1634" s="39">
        <f t="shared" si="1057"/>
        <v>0</v>
      </c>
      <c r="CA1634" s="39" t="e">
        <f t="shared" si="900"/>
        <v>#VALUE!</v>
      </c>
      <c r="CB1634" s="39">
        <f t="shared" si="901"/>
        <v>0</v>
      </c>
      <c r="CC1634" s="39">
        <f t="shared" si="902"/>
        <v>0</v>
      </c>
      <c r="CD1634" s="39">
        <f t="shared" si="1058"/>
        <v>0</v>
      </c>
      <c r="CE1634" s="102" t="e">
        <f t="shared" si="903"/>
        <v>#DIV/0!</v>
      </c>
      <c r="CF1634" s="36"/>
      <c r="CG1634" s="39" t="s">
        <v>238</v>
      </c>
      <c r="CH1634" s="39"/>
      <c r="CI1634" s="25">
        <v>3</v>
      </c>
    </row>
    <row r="1635" spans="1:88" ht="24.75" customHeight="1">
      <c r="A1635" s="36" t="s">
        <v>46</v>
      </c>
      <c r="B1635" s="30">
        <v>48313</v>
      </c>
      <c r="C1635" s="227" t="s">
        <v>2276</v>
      </c>
      <c r="D1635" s="23" t="s">
        <v>37</v>
      </c>
      <c r="E1635" s="39">
        <v>140</v>
      </c>
      <c r="F1635" s="39" t="s">
        <v>55</v>
      </c>
      <c r="G1635" s="36" t="s">
        <v>2277</v>
      </c>
      <c r="H1635" s="36" t="s">
        <v>22</v>
      </c>
      <c r="I1635" s="39">
        <v>742</v>
      </c>
      <c r="J1635" s="39"/>
      <c r="K1635" s="39"/>
      <c r="L1635" s="39">
        <f t="shared" si="1056"/>
        <v>742</v>
      </c>
      <c r="M1635" s="117">
        <v>46275</v>
      </c>
      <c r="N1635" s="117">
        <v>46287</v>
      </c>
      <c r="O1635" s="39"/>
      <c r="P1635" s="39"/>
      <c r="Q1635" s="39"/>
      <c r="R1635" s="39">
        <f t="shared" si="1054"/>
        <v>0</v>
      </c>
      <c r="S1635" s="39" t="s">
        <v>130</v>
      </c>
      <c r="T1635" s="39"/>
      <c r="U1635" s="39"/>
      <c r="V1635" s="39"/>
      <c r="W1635" s="39"/>
      <c r="X1635" s="39"/>
      <c r="Y1635" s="39"/>
      <c r="Z1635" s="39"/>
      <c r="AA1635" s="39"/>
      <c r="AB1635" s="118">
        <f t="shared" si="1055"/>
        <v>0</v>
      </c>
      <c r="AC1635" s="39"/>
      <c r="AD1635" s="39"/>
      <c r="AE1635" s="39"/>
      <c r="AF1635" s="39"/>
      <c r="AG1635" s="39"/>
      <c r="AH1635" s="39">
        <f t="shared" si="1049"/>
        <v>0</v>
      </c>
      <c r="AI1635" s="39"/>
      <c r="AJ1635" s="39"/>
      <c r="AK1635" s="39"/>
      <c r="AL1635" s="39"/>
      <c r="AM1635" s="39"/>
      <c r="AN1635" s="39">
        <f t="shared" si="991"/>
        <v>0</v>
      </c>
      <c r="AO1635" s="39"/>
      <c r="AP1635" s="39"/>
      <c r="AQ1635" s="39"/>
      <c r="AR1635" s="39"/>
      <c r="AS1635" s="39"/>
      <c r="AT1635" s="39">
        <f t="shared" si="896"/>
        <v>0</v>
      </c>
      <c r="AU1635" s="39"/>
      <c r="AV1635" s="39"/>
      <c r="AW1635" s="39"/>
      <c r="AX1635" s="39"/>
      <c r="AY1635" s="39"/>
      <c r="AZ1635" s="39">
        <f t="shared" si="897"/>
        <v>0</v>
      </c>
      <c r="BA1635" s="39"/>
      <c r="BB1635" s="39"/>
      <c r="BC1635" s="39"/>
      <c r="BD1635" s="39"/>
      <c r="BE1635" s="39"/>
      <c r="BF1635" s="39">
        <f t="shared" si="898"/>
        <v>0</v>
      </c>
      <c r="BG1635" s="39"/>
      <c r="BH1635" s="39"/>
      <c r="BI1635" s="39"/>
      <c r="BJ1635" s="39"/>
      <c r="BK1635" s="39"/>
      <c r="BL1635" s="39">
        <f t="shared" si="1050"/>
        <v>0</v>
      </c>
      <c r="BM1635" s="54">
        <f t="shared" ca="1" si="899"/>
        <v>46283</v>
      </c>
      <c r="BN1635" s="60">
        <v>46289</v>
      </c>
      <c r="BO1635" s="57">
        <v>46304</v>
      </c>
      <c r="BP1635" s="57">
        <v>46305</v>
      </c>
      <c r="BQ1635" s="57">
        <v>46316</v>
      </c>
      <c r="BR1635" s="39"/>
      <c r="BS1635" s="39"/>
      <c r="BT1635" s="39"/>
      <c r="BU1635" s="39"/>
      <c r="BV1635" s="39"/>
      <c r="BW1635" s="39"/>
      <c r="BX1635" s="39"/>
      <c r="BY1635" s="39"/>
      <c r="BZ1635" s="39">
        <f t="shared" si="1057"/>
        <v>0</v>
      </c>
      <c r="CA1635" s="39">
        <f t="shared" si="900"/>
        <v>-742</v>
      </c>
      <c r="CB1635" s="39">
        <f t="shared" si="901"/>
        <v>0</v>
      </c>
      <c r="CC1635" s="39">
        <f t="shared" si="902"/>
        <v>0</v>
      </c>
      <c r="CD1635" s="39">
        <f t="shared" si="1058"/>
        <v>-742</v>
      </c>
      <c r="CE1635" s="102">
        <f t="shared" si="903"/>
        <v>-1</v>
      </c>
      <c r="CF1635" s="36"/>
      <c r="CG1635" s="39" t="s">
        <v>242</v>
      </c>
      <c r="CH1635" s="39"/>
      <c r="CI1635" s="25">
        <v>3</v>
      </c>
    </row>
    <row r="1636" spans="1:88" ht="24.75" customHeight="1">
      <c r="A1636" s="36" t="s">
        <v>46</v>
      </c>
      <c r="B1636" s="30">
        <v>48313</v>
      </c>
      <c r="C1636" s="231"/>
      <c r="D1636" s="23" t="s">
        <v>37</v>
      </c>
      <c r="E1636" s="39">
        <v>140</v>
      </c>
      <c r="F1636" s="39" t="s">
        <v>55</v>
      </c>
      <c r="G1636" s="36" t="s">
        <v>2287</v>
      </c>
      <c r="H1636" s="36" t="s">
        <v>22</v>
      </c>
      <c r="I1636" s="39">
        <v>623</v>
      </c>
      <c r="J1636" s="39"/>
      <c r="K1636" s="39"/>
      <c r="L1636" s="39">
        <f t="shared" si="1056"/>
        <v>623</v>
      </c>
      <c r="M1636" s="117">
        <v>46275</v>
      </c>
      <c r="N1636" s="117">
        <v>46287</v>
      </c>
      <c r="O1636" s="39"/>
      <c r="P1636" s="39"/>
      <c r="Q1636" s="39"/>
      <c r="R1636" s="39">
        <f t="shared" si="1054"/>
        <v>0</v>
      </c>
      <c r="S1636" s="39" t="s">
        <v>130</v>
      </c>
      <c r="T1636" s="39"/>
      <c r="U1636" s="39"/>
      <c r="V1636" s="39"/>
      <c r="W1636" s="39"/>
      <c r="X1636" s="39"/>
      <c r="Y1636" s="39"/>
      <c r="Z1636" s="39"/>
      <c r="AA1636" s="39"/>
      <c r="AB1636" s="118">
        <f t="shared" si="1055"/>
        <v>0</v>
      </c>
      <c r="AC1636" s="39"/>
      <c r="AD1636" s="39"/>
      <c r="AE1636" s="39"/>
      <c r="AF1636" s="39"/>
      <c r="AG1636" s="39"/>
      <c r="AH1636" s="39">
        <f t="shared" si="1049"/>
        <v>0</v>
      </c>
      <c r="AI1636" s="39"/>
      <c r="AJ1636" s="39"/>
      <c r="AK1636" s="39"/>
      <c r="AL1636" s="39"/>
      <c r="AM1636" s="39"/>
      <c r="AN1636" s="39">
        <f t="shared" si="991"/>
        <v>0</v>
      </c>
      <c r="AO1636" s="39"/>
      <c r="AP1636" s="39"/>
      <c r="AQ1636" s="39"/>
      <c r="AR1636" s="39"/>
      <c r="AS1636" s="39"/>
      <c r="AT1636" s="39">
        <f t="shared" si="896"/>
        <v>0</v>
      </c>
      <c r="AU1636" s="39"/>
      <c r="AV1636" s="39"/>
      <c r="AW1636" s="39"/>
      <c r="AX1636" s="39"/>
      <c r="AY1636" s="39"/>
      <c r="AZ1636" s="39">
        <f t="shared" si="897"/>
        <v>0</v>
      </c>
      <c r="BA1636" s="39"/>
      <c r="BB1636" s="39"/>
      <c r="BC1636" s="39"/>
      <c r="BD1636" s="39"/>
      <c r="BE1636" s="39"/>
      <c r="BF1636" s="39">
        <f t="shared" si="898"/>
        <v>0</v>
      </c>
      <c r="BG1636" s="39"/>
      <c r="BH1636" s="39"/>
      <c r="BI1636" s="39"/>
      <c r="BJ1636" s="39"/>
      <c r="BK1636" s="39"/>
      <c r="BL1636" s="39">
        <f t="shared" si="1050"/>
        <v>0</v>
      </c>
      <c r="BM1636" s="54">
        <f t="shared" ca="1" si="899"/>
        <v>46283</v>
      </c>
      <c r="BN1636" s="60">
        <v>46289</v>
      </c>
      <c r="BO1636" s="57">
        <v>46304</v>
      </c>
      <c r="BP1636" s="57">
        <v>46305</v>
      </c>
      <c r="BQ1636" s="57">
        <v>46316</v>
      </c>
      <c r="BR1636" s="39"/>
      <c r="BS1636" s="39"/>
      <c r="BT1636" s="39"/>
      <c r="BU1636" s="39"/>
      <c r="BV1636" s="39"/>
      <c r="BW1636" s="39"/>
      <c r="BX1636" s="39"/>
      <c r="BY1636" s="39"/>
      <c r="BZ1636" s="39">
        <f>BU1636+BW1636+BY1636</f>
        <v>0</v>
      </c>
      <c r="CA1636" s="39">
        <f t="shared" si="900"/>
        <v>-623</v>
      </c>
      <c r="CB1636" s="39">
        <f t="shared" si="901"/>
        <v>0</v>
      </c>
      <c r="CC1636" s="39">
        <f t="shared" si="902"/>
        <v>0</v>
      </c>
      <c r="CD1636" s="39">
        <f>SUMIF(CA1636:CC1636,"&lt;0")</f>
        <v>-623</v>
      </c>
      <c r="CE1636" s="102">
        <f t="shared" si="903"/>
        <v>-1</v>
      </c>
      <c r="CF1636" s="36"/>
      <c r="CG1636" s="39" t="s">
        <v>242</v>
      </c>
      <c r="CH1636" s="39"/>
      <c r="CI1636" s="25">
        <v>3</v>
      </c>
      <c r="CJ1636" s="6" t="s">
        <v>19</v>
      </c>
    </row>
    <row r="1637" spans="1:88" ht="24.75" customHeight="1">
      <c r="A1637" s="36" t="s">
        <v>46</v>
      </c>
      <c r="B1637" s="30">
        <v>48313</v>
      </c>
      <c r="C1637" s="231"/>
      <c r="D1637" s="23" t="s">
        <v>37</v>
      </c>
      <c r="E1637" s="39">
        <v>140</v>
      </c>
      <c r="F1637" s="39" t="s">
        <v>55</v>
      </c>
      <c r="G1637" s="36" t="s">
        <v>444</v>
      </c>
      <c r="H1637" s="36" t="s">
        <v>22</v>
      </c>
      <c r="I1637" s="39">
        <v>446</v>
      </c>
      <c r="J1637" s="39"/>
      <c r="K1637" s="39"/>
      <c r="L1637" s="39">
        <f t="shared" si="1056"/>
        <v>446</v>
      </c>
      <c r="M1637" s="117">
        <v>46275</v>
      </c>
      <c r="N1637" s="117">
        <v>46287</v>
      </c>
      <c r="O1637" s="39"/>
      <c r="P1637" s="39"/>
      <c r="Q1637" s="39"/>
      <c r="R1637" s="39">
        <f t="shared" si="1054"/>
        <v>0</v>
      </c>
      <c r="S1637" s="39" t="s">
        <v>28</v>
      </c>
      <c r="T1637" s="39"/>
      <c r="U1637" s="39"/>
      <c r="V1637" s="39"/>
      <c r="W1637" s="39"/>
      <c r="X1637" s="39"/>
      <c r="Y1637" s="39"/>
      <c r="Z1637" s="39"/>
      <c r="AA1637" s="39"/>
      <c r="AB1637" s="118">
        <f t="shared" si="1055"/>
        <v>0</v>
      </c>
      <c r="AC1637" s="39"/>
      <c r="AD1637" s="39"/>
      <c r="AE1637" s="39"/>
      <c r="AF1637" s="39"/>
      <c r="AG1637" s="39"/>
      <c r="AH1637" s="39">
        <f t="shared" si="1049"/>
        <v>0</v>
      </c>
      <c r="AI1637" s="39"/>
      <c r="AJ1637" s="39"/>
      <c r="AK1637" s="39"/>
      <c r="AL1637" s="39"/>
      <c r="AM1637" s="39"/>
      <c r="AN1637" s="39">
        <f t="shared" si="991"/>
        <v>0</v>
      </c>
      <c r="AO1637" s="39"/>
      <c r="AP1637" s="39"/>
      <c r="AQ1637" s="39"/>
      <c r="AR1637" s="39"/>
      <c r="AS1637" s="39"/>
      <c r="AT1637" s="39">
        <f t="shared" si="896"/>
        <v>0</v>
      </c>
      <c r="AU1637" s="39"/>
      <c r="AV1637" s="39"/>
      <c r="AW1637" s="39"/>
      <c r="AX1637" s="39"/>
      <c r="AY1637" s="39"/>
      <c r="AZ1637" s="39">
        <f t="shared" si="897"/>
        <v>0</v>
      </c>
      <c r="BA1637" s="39"/>
      <c r="BB1637" s="39"/>
      <c r="BC1637" s="39"/>
      <c r="BD1637" s="39"/>
      <c r="BE1637" s="39"/>
      <c r="BF1637" s="39">
        <f t="shared" si="898"/>
        <v>0</v>
      </c>
      <c r="BG1637" s="39"/>
      <c r="BH1637" s="39"/>
      <c r="BI1637" s="39"/>
      <c r="BJ1637" s="39"/>
      <c r="BK1637" s="39"/>
      <c r="BL1637" s="39">
        <f t="shared" si="1050"/>
        <v>0</v>
      </c>
      <c r="BM1637" s="54">
        <f t="shared" ca="1" si="899"/>
        <v>46283</v>
      </c>
      <c r="BN1637" s="60">
        <v>46289</v>
      </c>
      <c r="BO1637" s="57">
        <v>46304</v>
      </c>
      <c r="BP1637" s="57">
        <v>46305</v>
      </c>
      <c r="BQ1637" s="57">
        <v>46316</v>
      </c>
      <c r="BR1637" s="39"/>
      <c r="BS1637" s="39"/>
      <c r="BT1637" s="39"/>
      <c r="BU1637" s="39"/>
      <c r="BV1637" s="39"/>
      <c r="BW1637" s="39"/>
      <c r="BX1637" s="39"/>
      <c r="BY1637" s="39"/>
      <c r="BZ1637" s="39">
        <f t="shared" ref="BZ1637:BZ1639" si="1060">BU1637+BW1637+BY1637</f>
        <v>0</v>
      </c>
      <c r="CA1637" s="39">
        <f t="shared" si="900"/>
        <v>-446</v>
      </c>
      <c r="CB1637" s="39">
        <f t="shared" si="901"/>
        <v>0</v>
      </c>
      <c r="CC1637" s="39">
        <f t="shared" si="902"/>
        <v>0</v>
      </c>
      <c r="CD1637" s="39">
        <f t="shared" ref="CD1637:CD1639" si="1061">SUMIF(CA1637:CC1637,"&lt;0")</f>
        <v>-446</v>
      </c>
      <c r="CE1637" s="102">
        <f t="shared" si="903"/>
        <v>-1</v>
      </c>
      <c r="CF1637" s="36"/>
      <c r="CG1637" s="39" t="s">
        <v>242</v>
      </c>
      <c r="CH1637" s="39"/>
      <c r="CI1637" s="25">
        <v>3</v>
      </c>
    </row>
    <row r="1638" spans="1:88" ht="24.75" customHeight="1">
      <c r="A1638" s="36" t="s">
        <v>46</v>
      </c>
      <c r="B1638" s="30">
        <v>48313</v>
      </c>
      <c r="C1638" s="228"/>
      <c r="D1638" s="23" t="s">
        <v>37</v>
      </c>
      <c r="E1638" s="39">
        <v>140</v>
      </c>
      <c r="F1638" s="39" t="s">
        <v>55</v>
      </c>
      <c r="G1638" s="36" t="s">
        <v>2279</v>
      </c>
      <c r="H1638" s="36" t="s">
        <v>22</v>
      </c>
      <c r="I1638" s="39">
        <v>446</v>
      </c>
      <c r="J1638" s="39"/>
      <c r="K1638" s="39"/>
      <c r="L1638" s="39">
        <f t="shared" si="1056"/>
        <v>446</v>
      </c>
      <c r="M1638" s="117">
        <v>46275</v>
      </c>
      <c r="N1638" s="117">
        <v>46287</v>
      </c>
      <c r="O1638" s="39"/>
      <c r="P1638" s="39"/>
      <c r="Q1638" s="39"/>
      <c r="R1638" s="39">
        <f t="shared" si="1054"/>
        <v>0</v>
      </c>
      <c r="S1638" s="39" t="s">
        <v>28</v>
      </c>
      <c r="T1638" s="39"/>
      <c r="U1638" s="39"/>
      <c r="V1638" s="39"/>
      <c r="W1638" s="39"/>
      <c r="X1638" s="39"/>
      <c r="Y1638" s="39"/>
      <c r="Z1638" s="39"/>
      <c r="AA1638" s="39"/>
      <c r="AB1638" s="118">
        <f t="shared" si="1055"/>
        <v>0</v>
      </c>
      <c r="AC1638" s="39"/>
      <c r="AD1638" s="39"/>
      <c r="AE1638" s="39"/>
      <c r="AF1638" s="39"/>
      <c r="AG1638" s="39"/>
      <c r="AH1638" s="39">
        <f t="shared" si="1049"/>
        <v>0</v>
      </c>
      <c r="AI1638" s="39"/>
      <c r="AJ1638" s="39"/>
      <c r="AK1638" s="39"/>
      <c r="AL1638" s="39"/>
      <c r="AM1638" s="39"/>
      <c r="AN1638" s="39">
        <f t="shared" si="991"/>
        <v>0</v>
      </c>
      <c r="AO1638" s="39"/>
      <c r="AP1638" s="39"/>
      <c r="AQ1638" s="39"/>
      <c r="AR1638" s="39"/>
      <c r="AS1638" s="39"/>
      <c r="AT1638" s="39">
        <f t="shared" si="896"/>
        <v>0</v>
      </c>
      <c r="AU1638" s="39"/>
      <c r="AV1638" s="39"/>
      <c r="AW1638" s="39"/>
      <c r="AX1638" s="39"/>
      <c r="AY1638" s="39"/>
      <c r="AZ1638" s="39">
        <f t="shared" si="897"/>
        <v>0</v>
      </c>
      <c r="BA1638" s="39"/>
      <c r="BB1638" s="39"/>
      <c r="BC1638" s="39"/>
      <c r="BD1638" s="39"/>
      <c r="BE1638" s="39"/>
      <c r="BF1638" s="39">
        <f t="shared" si="898"/>
        <v>0</v>
      </c>
      <c r="BG1638" s="39"/>
      <c r="BH1638" s="39"/>
      <c r="BI1638" s="39"/>
      <c r="BJ1638" s="39"/>
      <c r="BK1638" s="39"/>
      <c r="BL1638" s="39">
        <f t="shared" si="1050"/>
        <v>0</v>
      </c>
      <c r="BM1638" s="54">
        <f t="shared" ca="1" si="899"/>
        <v>46283</v>
      </c>
      <c r="BN1638" s="60">
        <v>46289</v>
      </c>
      <c r="BO1638" s="57">
        <v>46304</v>
      </c>
      <c r="BP1638" s="57">
        <v>46305</v>
      </c>
      <c r="BQ1638" s="57">
        <v>46316</v>
      </c>
      <c r="BR1638" s="39"/>
      <c r="BS1638" s="39"/>
      <c r="BT1638" s="39"/>
      <c r="BU1638" s="39"/>
      <c r="BV1638" s="39"/>
      <c r="BW1638" s="39"/>
      <c r="BX1638" s="39"/>
      <c r="BY1638" s="39"/>
      <c r="BZ1638" s="39">
        <f t="shared" si="1060"/>
        <v>0</v>
      </c>
      <c r="CA1638" s="39">
        <f t="shared" si="900"/>
        <v>-446</v>
      </c>
      <c r="CB1638" s="39">
        <f t="shared" si="901"/>
        <v>0</v>
      </c>
      <c r="CC1638" s="39">
        <f t="shared" si="902"/>
        <v>0</v>
      </c>
      <c r="CD1638" s="39">
        <f t="shared" si="1061"/>
        <v>-446</v>
      </c>
      <c r="CE1638" s="102">
        <f t="shared" si="903"/>
        <v>-1</v>
      </c>
      <c r="CF1638" s="36"/>
      <c r="CG1638" s="39" t="s">
        <v>242</v>
      </c>
      <c r="CH1638" s="39"/>
      <c r="CI1638" s="25">
        <v>3</v>
      </c>
    </row>
    <row r="1639" spans="1:88" ht="24.75" customHeight="1">
      <c r="A1639" s="36" t="s">
        <v>46</v>
      </c>
      <c r="B1639" s="30">
        <v>48314</v>
      </c>
      <c r="C1639" s="227" t="s">
        <v>2280</v>
      </c>
      <c r="D1639" s="23"/>
      <c r="E1639" s="39">
        <v>140</v>
      </c>
      <c r="F1639" s="39" t="s">
        <v>57</v>
      </c>
      <c r="G1639" s="36" t="s">
        <v>2281</v>
      </c>
      <c r="H1639" s="36" t="s">
        <v>22</v>
      </c>
      <c r="I1639" s="39">
        <v>497</v>
      </c>
      <c r="J1639" s="39"/>
      <c r="K1639" s="39"/>
      <c r="L1639" s="39">
        <f t="shared" si="1056"/>
        <v>497</v>
      </c>
      <c r="M1639" s="117">
        <v>46275</v>
      </c>
      <c r="N1639" s="117">
        <v>46289</v>
      </c>
      <c r="O1639" s="39"/>
      <c r="P1639" s="39"/>
      <c r="Q1639" s="39"/>
      <c r="R1639" s="39">
        <f t="shared" si="1054"/>
        <v>0</v>
      </c>
      <c r="S1639" s="39" t="s">
        <v>31</v>
      </c>
      <c r="T1639" s="39"/>
      <c r="U1639" s="39"/>
      <c r="V1639" s="39"/>
      <c r="W1639" s="39"/>
      <c r="X1639" s="39"/>
      <c r="Y1639" s="39"/>
      <c r="Z1639" s="39"/>
      <c r="AA1639" s="39"/>
      <c r="AB1639" s="118">
        <f t="shared" si="1055"/>
        <v>0</v>
      </c>
      <c r="AC1639" s="39"/>
      <c r="AD1639" s="39"/>
      <c r="AE1639" s="39"/>
      <c r="AF1639" s="39"/>
      <c r="AG1639" s="39"/>
      <c r="AH1639" s="39">
        <f t="shared" si="1049"/>
        <v>0</v>
      </c>
      <c r="AI1639" s="39"/>
      <c r="AJ1639" s="39"/>
      <c r="AK1639" s="39"/>
      <c r="AL1639" s="39"/>
      <c r="AM1639" s="39"/>
      <c r="AN1639" s="39">
        <f t="shared" si="991"/>
        <v>0</v>
      </c>
      <c r="AO1639" s="39"/>
      <c r="AP1639" s="39"/>
      <c r="AQ1639" s="39"/>
      <c r="AR1639" s="39"/>
      <c r="AS1639" s="39"/>
      <c r="AT1639" s="39">
        <f t="shared" si="896"/>
        <v>0</v>
      </c>
      <c r="AU1639" s="39"/>
      <c r="AV1639" s="39"/>
      <c r="AW1639" s="39"/>
      <c r="AX1639" s="39"/>
      <c r="AY1639" s="39"/>
      <c r="AZ1639" s="39">
        <f t="shared" si="897"/>
        <v>0</v>
      </c>
      <c r="BA1639" s="39"/>
      <c r="BB1639" s="39"/>
      <c r="BC1639" s="39"/>
      <c r="BD1639" s="39"/>
      <c r="BE1639" s="39"/>
      <c r="BF1639" s="39">
        <f t="shared" si="898"/>
        <v>0</v>
      </c>
      <c r="BG1639" s="39"/>
      <c r="BH1639" s="39"/>
      <c r="BI1639" s="39"/>
      <c r="BJ1639" s="39"/>
      <c r="BK1639" s="39"/>
      <c r="BL1639" s="39">
        <f t="shared" si="1050"/>
        <v>0</v>
      </c>
      <c r="BM1639" s="54">
        <f t="shared" ca="1" si="899"/>
        <v>46283</v>
      </c>
      <c r="BN1639" s="60">
        <v>46290</v>
      </c>
      <c r="BO1639" s="57">
        <v>46304</v>
      </c>
      <c r="BP1639" s="57"/>
      <c r="BQ1639" s="57"/>
      <c r="BR1639" s="39"/>
      <c r="BS1639" s="39"/>
      <c r="BT1639" s="39"/>
      <c r="BU1639" s="39"/>
      <c r="BV1639" s="39"/>
      <c r="BW1639" s="39"/>
      <c r="BX1639" s="39"/>
      <c r="BY1639" s="39"/>
      <c r="BZ1639" s="39">
        <f t="shared" si="1060"/>
        <v>0</v>
      </c>
      <c r="CA1639" s="39">
        <f t="shared" si="900"/>
        <v>-497</v>
      </c>
      <c r="CB1639" s="39">
        <f t="shared" si="901"/>
        <v>0</v>
      </c>
      <c r="CC1639" s="39">
        <f t="shared" si="902"/>
        <v>0</v>
      </c>
      <c r="CD1639" s="39">
        <f t="shared" si="1061"/>
        <v>-497</v>
      </c>
      <c r="CE1639" s="102">
        <f t="shared" si="903"/>
        <v>-1</v>
      </c>
      <c r="CF1639" s="36"/>
      <c r="CG1639" s="39" t="s">
        <v>242</v>
      </c>
      <c r="CH1639" s="39"/>
      <c r="CI1639" s="25">
        <v>3</v>
      </c>
    </row>
    <row r="1640" spans="1:88" ht="24.75" customHeight="1">
      <c r="A1640" s="36" t="s">
        <v>46</v>
      </c>
      <c r="B1640" s="30">
        <v>48314</v>
      </c>
      <c r="C1640" s="231"/>
      <c r="D1640" s="23" t="s">
        <v>37</v>
      </c>
      <c r="E1640" s="39">
        <v>140</v>
      </c>
      <c r="F1640" s="39" t="s">
        <v>53</v>
      </c>
      <c r="G1640" s="36" t="s">
        <v>2277</v>
      </c>
      <c r="H1640" s="36" t="s">
        <v>22</v>
      </c>
      <c r="I1640" s="39">
        <v>562</v>
      </c>
      <c r="J1640" s="39"/>
      <c r="K1640" s="39"/>
      <c r="L1640" s="39">
        <f t="shared" si="1056"/>
        <v>562</v>
      </c>
      <c r="M1640" s="117">
        <v>46275</v>
      </c>
      <c r="N1640" s="117">
        <v>46289</v>
      </c>
      <c r="O1640" s="39"/>
      <c r="P1640" s="39"/>
      <c r="Q1640" s="39"/>
      <c r="R1640" s="39">
        <f t="shared" si="1054"/>
        <v>0</v>
      </c>
      <c r="S1640" s="39" t="s">
        <v>130</v>
      </c>
      <c r="T1640" s="39"/>
      <c r="U1640" s="39"/>
      <c r="V1640" s="39"/>
      <c r="W1640" s="39"/>
      <c r="X1640" s="39"/>
      <c r="Y1640" s="39"/>
      <c r="Z1640" s="39"/>
      <c r="AA1640" s="39"/>
      <c r="AB1640" s="118">
        <f t="shared" si="1055"/>
        <v>0</v>
      </c>
      <c r="AC1640" s="39"/>
      <c r="AD1640" s="39"/>
      <c r="AE1640" s="39"/>
      <c r="AF1640" s="39"/>
      <c r="AG1640" s="39"/>
      <c r="AH1640" s="39">
        <f t="shared" si="1049"/>
        <v>0</v>
      </c>
      <c r="AI1640" s="39"/>
      <c r="AJ1640" s="39"/>
      <c r="AK1640" s="39"/>
      <c r="AL1640" s="39"/>
      <c r="AM1640" s="39"/>
      <c r="AN1640" s="39">
        <f t="shared" si="991"/>
        <v>0</v>
      </c>
      <c r="AO1640" s="39"/>
      <c r="AP1640" s="39"/>
      <c r="AQ1640" s="39"/>
      <c r="AR1640" s="39"/>
      <c r="AS1640" s="39"/>
      <c r="AT1640" s="39">
        <f t="shared" si="896"/>
        <v>0</v>
      </c>
      <c r="AU1640" s="39"/>
      <c r="AV1640" s="39"/>
      <c r="AW1640" s="39"/>
      <c r="AX1640" s="39"/>
      <c r="AY1640" s="39"/>
      <c r="AZ1640" s="39">
        <f t="shared" si="897"/>
        <v>0</v>
      </c>
      <c r="BA1640" s="39"/>
      <c r="BB1640" s="39"/>
      <c r="BC1640" s="39"/>
      <c r="BD1640" s="39"/>
      <c r="BE1640" s="39"/>
      <c r="BF1640" s="39">
        <f t="shared" si="898"/>
        <v>0</v>
      </c>
      <c r="BG1640" s="39"/>
      <c r="BH1640" s="39"/>
      <c r="BI1640" s="39"/>
      <c r="BJ1640" s="39"/>
      <c r="BK1640" s="39"/>
      <c r="BL1640" s="39">
        <f t="shared" si="1050"/>
        <v>0</v>
      </c>
      <c r="BM1640" s="54">
        <f t="shared" ca="1" si="899"/>
        <v>46283</v>
      </c>
      <c r="BN1640" s="60">
        <v>46290</v>
      </c>
      <c r="BO1640" s="57">
        <v>46304</v>
      </c>
      <c r="BP1640" s="57">
        <v>46305</v>
      </c>
      <c r="BQ1640" s="57">
        <v>46315</v>
      </c>
      <c r="BR1640" s="39"/>
      <c r="BS1640" s="39"/>
      <c r="BT1640" s="39"/>
      <c r="BU1640" s="39"/>
      <c r="BV1640" s="39"/>
      <c r="BW1640" s="39"/>
      <c r="BX1640" s="39"/>
      <c r="BY1640" s="39"/>
      <c r="BZ1640" s="39">
        <f>BU1640+BW1640+BY1640</f>
        <v>0</v>
      </c>
      <c r="CA1640" s="39">
        <f t="shared" si="900"/>
        <v>-562</v>
      </c>
      <c r="CB1640" s="39">
        <f t="shared" si="901"/>
        <v>0</v>
      </c>
      <c r="CC1640" s="39">
        <f t="shared" si="902"/>
        <v>0</v>
      </c>
      <c r="CD1640" s="39">
        <f>SUMIF(CA1640:CC1640,"&lt;0")</f>
        <v>-562</v>
      </c>
      <c r="CE1640" s="102">
        <f t="shared" si="903"/>
        <v>-1</v>
      </c>
      <c r="CF1640" s="36"/>
      <c r="CG1640" s="39" t="s">
        <v>242</v>
      </c>
      <c r="CH1640" s="39"/>
      <c r="CI1640" s="25">
        <v>3</v>
      </c>
      <c r="CJ1640" s="6" t="s">
        <v>19</v>
      </c>
    </row>
    <row r="1641" spans="1:88" ht="24.75" customHeight="1">
      <c r="A1641" s="36" t="s">
        <v>46</v>
      </c>
      <c r="B1641" s="30">
        <v>48314</v>
      </c>
      <c r="C1641" s="231"/>
      <c r="D1641" s="23"/>
      <c r="E1641" s="39">
        <v>140</v>
      </c>
      <c r="F1641" s="39" t="s">
        <v>57</v>
      </c>
      <c r="G1641" s="36" t="s">
        <v>756</v>
      </c>
      <c r="H1641" s="36" t="s">
        <v>22</v>
      </c>
      <c r="I1641" s="39">
        <v>431</v>
      </c>
      <c r="J1641" s="39"/>
      <c r="K1641" s="39"/>
      <c r="L1641" s="39">
        <f t="shared" si="1056"/>
        <v>431</v>
      </c>
      <c r="M1641" s="117">
        <v>46275</v>
      </c>
      <c r="N1641" s="117">
        <v>46289</v>
      </c>
      <c r="O1641" s="39"/>
      <c r="P1641" s="39"/>
      <c r="Q1641" s="39"/>
      <c r="R1641" s="39">
        <f t="shared" si="1054"/>
        <v>0</v>
      </c>
      <c r="S1641" s="39" t="s">
        <v>28</v>
      </c>
      <c r="T1641" s="39"/>
      <c r="U1641" s="39"/>
      <c r="V1641" s="39"/>
      <c r="W1641" s="39"/>
      <c r="X1641" s="39"/>
      <c r="Y1641" s="39"/>
      <c r="Z1641" s="39"/>
      <c r="AA1641" s="39"/>
      <c r="AB1641" s="118">
        <f t="shared" si="1055"/>
        <v>0</v>
      </c>
      <c r="AC1641" s="39"/>
      <c r="AD1641" s="39"/>
      <c r="AE1641" s="39"/>
      <c r="AF1641" s="39"/>
      <c r="AG1641" s="39"/>
      <c r="AH1641" s="39">
        <f t="shared" si="1049"/>
        <v>0</v>
      </c>
      <c r="AI1641" s="39"/>
      <c r="AJ1641" s="39"/>
      <c r="AK1641" s="39"/>
      <c r="AL1641" s="39"/>
      <c r="AM1641" s="39"/>
      <c r="AN1641" s="39">
        <f t="shared" si="991"/>
        <v>0</v>
      </c>
      <c r="AO1641" s="39"/>
      <c r="AP1641" s="39"/>
      <c r="AQ1641" s="39"/>
      <c r="AR1641" s="39"/>
      <c r="AS1641" s="39"/>
      <c r="AT1641" s="39">
        <f t="shared" si="896"/>
        <v>0</v>
      </c>
      <c r="AU1641" s="39"/>
      <c r="AV1641" s="39"/>
      <c r="AW1641" s="39"/>
      <c r="AX1641" s="39"/>
      <c r="AY1641" s="39"/>
      <c r="AZ1641" s="39">
        <f t="shared" si="897"/>
        <v>0</v>
      </c>
      <c r="BA1641" s="39"/>
      <c r="BB1641" s="39"/>
      <c r="BC1641" s="39"/>
      <c r="BD1641" s="39"/>
      <c r="BE1641" s="39"/>
      <c r="BF1641" s="39">
        <f t="shared" si="898"/>
        <v>0</v>
      </c>
      <c r="BG1641" s="39"/>
      <c r="BH1641" s="39"/>
      <c r="BI1641" s="39"/>
      <c r="BJ1641" s="39"/>
      <c r="BK1641" s="39"/>
      <c r="BL1641" s="39">
        <f t="shared" si="1050"/>
        <v>0</v>
      </c>
      <c r="BM1641" s="54">
        <f t="shared" ca="1" si="899"/>
        <v>46283</v>
      </c>
      <c r="BN1641" s="60">
        <v>46290</v>
      </c>
      <c r="BO1641" s="57">
        <v>46304</v>
      </c>
      <c r="BP1641" s="57"/>
      <c r="BQ1641" s="57"/>
      <c r="BR1641" s="39"/>
      <c r="BS1641" s="39"/>
      <c r="BT1641" s="39"/>
      <c r="BU1641" s="39"/>
      <c r="BV1641" s="39"/>
      <c r="BW1641" s="39"/>
      <c r="BX1641" s="39"/>
      <c r="BY1641" s="39"/>
      <c r="BZ1641" s="39">
        <f t="shared" ref="BZ1641:BZ1643" si="1062">BU1641+BW1641+BY1641</f>
        <v>0</v>
      </c>
      <c r="CA1641" s="39">
        <f t="shared" si="900"/>
        <v>-431</v>
      </c>
      <c r="CB1641" s="39">
        <f t="shared" si="901"/>
        <v>0</v>
      </c>
      <c r="CC1641" s="39">
        <f t="shared" si="902"/>
        <v>0</v>
      </c>
      <c r="CD1641" s="39">
        <f t="shared" ref="CD1641:CD1643" si="1063">SUMIF(CA1641:CC1641,"&lt;0")</f>
        <v>-431</v>
      </c>
      <c r="CE1641" s="102">
        <f t="shared" si="903"/>
        <v>-1</v>
      </c>
      <c r="CF1641" s="36"/>
      <c r="CG1641" s="39" t="s">
        <v>242</v>
      </c>
      <c r="CH1641" s="39"/>
      <c r="CI1641" s="25">
        <v>3</v>
      </c>
    </row>
    <row r="1642" spans="1:88" ht="24.75" customHeight="1">
      <c r="A1642" s="36" t="s">
        <v>46</v>
      </c>
      <c r="B1642" s="30">
        <v>48314</v>
      </c>
      <c r="C1642" s="231"/>
      <c r="D1642" s="23" t="s">
        <v>37</v>
      </c>
      <c r="E1642" s="39">
        <v>140</v>
      </c>
      <c r="F1642" s="39" t="s">
        <v>53</v>
      </c>
      <c r="G1642" s="36" t="s">
        <v>2278</v>
      </c>
      <c r="H1642" s="36" t="s">
        <v>22</v>
      </c>
      <c r="I1642" s="39">
        <v>488</v>
      </c>
      <c r="J1642" s="39"/>
      <c r="K1642" s="39"/>
      <c r="L1642" s="39">
        <f t="shared" si="1056"/>
        <v>488</v>
      </c>
      <c r="M1642" s="117">
        <v>46275</v>
      </c>
      <c r="N1642" s="117">
        <v>46289</v>
      </c>
      <c r="O1642" s="39"/>
      <c r="P1642" s="39"/>
      <c r="Q1642" s="39"/>
      <c r="R1642" s="39">
        <f t="shared" si="1054"/>
        <v>0</v>
      </c>
      <c r="S1642" s="39" t="s">
        <v>130</v>
      </c>
      <c r="T1642" s="39"/>
      <c r="U1642" s="39"/>
      <c r="V1642" s="39"/>
      <c r="W1642" s="39"/>
      <c r="X1642" s="39"/>
      <c r="Y1642" s="39"/>
      <c r="Z1642" s="39"/>
      <c r="AA1642" s="39"/>
      <c r="AB1642" s="118">
        <f t="shared" si="1055"/>
        <v>0</v>
      </c>
      <c r="AC1642" s="39"/>
      <c r="AD1642" s="39"/>
      <c r="AE1642" s="39"/>
      <c r="AF1642" s="39"/>
      <c r="AG1642" s="39"/>
      <c r="AH1642" s="39">
        <f t="shared" si="1049"/>
        <v>0</v>
      </c>
      <c r="AI1642" s="39"/>
      <c r="AJ1642" s="39"/>
      <c r="AK1642" s="39"/>
      <c r="AL1642" s="39"/>
      <c r="AM1642" s="39"/>
      <c r="AN1642" s="39">
        <f t="shared" si="991"/>
        <v>0</v>
      </c>
      <c r="AO1642" s="39"/>
      <c r="AP1642" s="39"/>
      <c r="AQ1642" s="39"/>
      <c r="AR1642" s="39"/>
      <c r="AS1642" s="39"/>
      <c r="AT1642" s="39">
        <f t="shared" si="896"/>
        <v>0</v>
      </c>
      <c r="AU1642" s="39"/>
      <c r="AV1642" s="39"/>
      <c r="AW1642" s="39"/>
      <c r="AX1642" s="39"/>
      <c r="AY1642" s="39"/>
      <c r="AZ1642" s="39">
        <f t="shared" si="897"/>
        <v>0</v>
      </c>
      <c r="BA1642" s="39"/>
      <c r="BB1642" s="39"/>
      <c r="BC1642" s="39"/>
      <c r="BD1642" s="39"/>
      <c r="BE1642" s="39"/>
      <c r="BF1642" s="39">
        <f t="shared" si="898"/>
        <v>0</v>
      </c>
      <c r="BG1642" s="39"/>
      <c r="BH1642" s="39"/>
      <c r="BI1642" s="39"/>
      <c r="BJ1642" s="39"/>
      <c r="BK1642" s="39"/>
      <c r="BL1642" s="39">
        <f t="shared" si="1050"/>
        <v>0</v>
      </c>
      <c r="BM1642" s="54">
        <f t="shared" ca="1" si="899"/>
        <v>46283</v>
      </c>
      <c r="BN1642" s="60">
        <v>46290</v>
      </c>
      <c r="BO1642" s="57">
        <v>46304</v>
      </c>
      <c r="BP1642" s="57">
        <v>46305</v>
      </c>
      <c r="BQ1642" s="57">
        <v>46315</v>
      </c>
      <c r="BR1642" s="39"/>
      <c r="BS1642" s="39"/>
      <c r="BT1642" s="39"/>
      <c r="BU1642" s="39"/>
      <c r="BV1642" s="39"/>
      <c r="BW1642" s="39"/>
      <c r="BX1642" s="39"/>
      <c r="BY1642" s="39"/>
      <c r="BZ1642" s="39">
        <f t="shared" si="1062"/>
        <v>0</v>
      </c>
      <c r="CA1642" s="39">
        <f t="shared" si="900"/>
        <v>-488</v>
      </c>
      <c r="CB1642" s="39">
        <f t="shared" si="901"/>
        <v>0</v>
      </c>
      <c r="CC1642" s="39">
        <f t="shared" si="902"/>
        <v>0</v>
      </c>
      <c r="CD1642" s="39">
        <f t="shared" si="1063"/>
        <v>-488</v>
      </c>
      <c r="CE1642" s="102">
        <f t="shared" si="903"/>
        <v>-1</v>
      </c>
      <c r="CF1642" s="36"/>
      <c r="CG1642" s="39" t="s">
        <v>242</v>
      </c>
      <c r="CH1642" s="39"/>
      <c r="CI1642" s="25">
        <v>3</v>
      </c>
    </row>
    <row r="1643" spans="1:88" ht="24.75" customHeight="1">
      <c r="A1643" s="36" t="s">
        <v>46</v>
      </c>
      <c r="B1643" s="30">
        <v>48314</v>
      </c>
      <c r="C1643" s="231"/>
      <c r="D1643" s="23"/>
      <c r="E1643" s="39">
        <v>140</v>
      </c>
      <c r="F1643" s="39" t="s">
        <v>57</v>
      </c>
      <c r="G1643" s="36" t="s">
        <v>490</v>
      </c>
      <c r="H1643" s="36" t="s">
        <v>22</v>
      </c>
      <c r="I1643" s="39">
        <v>283</v>
      </c>
      <c r="J1643" s="39"/>
      <c r="K1643" s="39"/>
      <c r="L1643" s="39">
        <f t="shared" si="1056"/>
        <v>283</v>
      </c>
      <c r="M1643" s="117">
        <v>46275</v>
      </c>
      <c r="N1643" s="117">
        <v>46289</v>
      </c>
      <c r="O1643" s="39"/>
      <c r="P1643" s="39"/>
      <c r="Q1643" s="39"/>
      <c r="R1643" s="39">
        <f t="shared" si="1054"/>
        <v>0</v>
      </c>
      <c r="S1643" s="39" t="s">
        <v>100</v>
      </c>
      <c r="T1643" s="39"/>
      <c r="U1643" s="39"/>
      <c r="V1643" s="39"/>
      <c r="W1643" s="39"/>
      <c r="X1643" s="39"/>
      <c r="Y1643" s="39"/>
      <c r="Z1643" s="39"/>
      <c r="AA1643" s="39"/>
      <c r="AB1643" s="118">
        <f t="shared" si="1055"/>
        <v>0</v>
      </c>
      <c r="AC1643" s="39"/>
      <c r="AD1643" s="39"/>
      <c r="AE1643" s="39"/>
      <c r="AF1643" s="39"/>
      <c r="AG1643" s="39"/>
      <c r="AH1643" s="39">
        <f t="shared" si="1049"/>
        <v>0</v>
      </c>
      <c r="AI1643" s="39"/>
      <c r="AJ1643" s="39"/>
      <c r="AK1643" s="39"/>
      <c r="AL1643" s="39"/>
      <c r="AM1643" s="39"/>
      <c r="AN1643" s="39">
        <f t="shared" si="991"/>
        <v>0</v>
      </c>
      <c r="AO1643" s="39"/>
      <c r="AP1643" s="39"/>
      <c r="AQ1643" s="39"/>
      <c r="AR1643" s="39"/>
      <c r="AS1643" s="39"/>
      <c r="AT1643" s="39">
        <f t="shared" si="896"/>
        <v>0</v>
      </c>
      <c r="AU1643" s="39"/>
      <c r="AV1643" s="39"/>
      <c r="AW1643" s="39"/>
      <c r="AX1643" s="39"/>
      <c r="AY1643" s="39"/>
      <c r="AZ1643" s="39">
        <f t="shared" si="897"/>
        <v>0</v>
      </c>
      <c r="BA1643" s="39"/>
      <c r="BB1643" s="39"/>
      <c r="BC1643" s="39"/>
      <c r="BD1643" s="39"/>
      <c r="BE1643" s="39"/>
      <c r="BF1643" s="39">
        <f t="shared" si="898"/>
        <v>0</v>
      </c>
      <c r="BG1643" s="39"/>
      <c r="BH1643" s="39"/>
      <c r="BI1643" s="39"/>
      <c r="BJ1643" s="39"/>
      <c r="BK1643" s="39"/>
      <c r="BL1643" s="39">
        <f t="shared" si="1050"/>
        <v>0</v>
      </c>
      <c r="BM1643" s="54">
        <f t="shared" ca="1" si="899"/>
        <v>46283</v>
      </c>
      <c r="BN1643" s="60">
        <v>46290</v>
      </c>
      <c r="BO1643" s="57">
        <v>46304</v>
      </c>
      <c r="BP1643" s="57"/>
      <c r="BQ1643" s="57"/>
      <c r="BR1643" s="39"/>
      <c r="BS1643" s="39"/>
      <c r="BT1643" s="39"/>
      <c r="BU1643" s="39"/>
      <c r="BV1643" s="39"/>
      <c r="BW1643" s="39"/>
      <c r="BX1643" s="39"/>
      <c r="BY1643" s="39"/>
      <c r="BZ1643" s="39">
        <f t="shared" si="1062"/>
        <v>0</v>
      </c>
      <c r="CA1643" s="39">
        <f t="shared" si="900"/>
        <v>-283</v>
      </c>
      <c r="CB1643" s="39">
        <f t="shared" si="901"/>
        <v>0</v>
      </c>
      <c r="CC1643" s="39">
        <f t="shared" si="902"/>
        <v>0</v>
      </c>
      <c r="CD1643" s="39">
        <f t="shared" si="1063"/>
        <v>-283</v>
      </c>
      <c r="CE1643" s="102">
        <f t="shared" si="903"/>
        <v>-1</v>
      </c>
      <c r="CF1643" s="36"/>
      <c r="CG1643" s="39" t="s">
        <v>242</v>
      </c>
      <c r="CH1643" s="39"/>
      <c r="CI1643" s="25">
        <v>3</v>
      </c>
    </row>
    <row r="1644" spans="1:88" ht="24.75" customHeight="1">
      <c r="A1644" s="36" t="s">
        <v>46</v>
      </c>
      <c r="B1644" s="30">
        <v>48314</v>
      </c>
      <c r="C1644" s="228"/>
      <c r="D1644" s="23" t="s">
        <v>37</v>
      </c>
      <c r="E1644" s="39">
        <v>140</v>
      </c>
      <c r="F1644" s="39" t="s">
        <v>53</v>
      </c>
      <c r="G1644" s="36" t="s">
        <v>2282</v>
      </c>
      <c r="H1644" s="36" t="s">
        <v>22</v>
      </c>
      <c r="I1644" s="39">
        <v>320</v>
      </c>
      <c r="J1644" s="39"/>
      <c r="K1644" s="39"/>
      <c r="L1644" s="39">
        <f t="shared" si="1056"/>
        <v>320</v>
      </c>
      <c r="M1644" s="117">
        <v>46275</v>
      </c>
      <c r="N1644" s="117">
        <v>46289</v>
      </c>
      <c r="O1644" s="39"/>
      <c r="P1644" s="39"/>
      <c r="Q1644" s="39"/>
      <c r="R1644" s="39">
        <f t="shared" si="1054"/>
        <v>0</v>
      </c>
      <c r="S1644" s="39" t="s">
        <v>130</v>
      </c>
      <c r="T1644" s="39"/>
      <c r="U1644" s="39"/>
      <c r="V1644" s="39"/>
      <c r="W1644" s="39"/>
      <c r="X1644" s="39"/>
      <c r="Y1644" s="39"/>
      <c r="Z1644" s="39"/>
      <c r="AA1644" s="39"/>
      <c r="AB1644" s="118">
        <f t="shared" si="1055"/>
        <v>0</v>
      </c>
      <c r="AC1644" s="39"/>
      <c r="AD1644" s="39"/>
      <c r="AE1644" s="39"/>
      <c r="AF1644" s="39"/>
      <c r="AG1644" s="39"/>
      <c r="AH1644" s="39">
        <f t="shared" si="1049"/>
        <v>0</v>
      </c>
      <c r="AI1644" s="39"/>
      <c r="AJ1644" s="39"/>
      <c r="AK1644" s="39"/>
      <c r="AL1644" s="39"/>
      <c r="AM1644" s="39"/>
      <c r="AN1644" s="39">
        <f t="shared" si="991"/>
        <v>0</v>
      </c>
      <c r="AO1644" s="39"/>
      <c r="AP1644" s="39"/>
      <c r="AQ1644" s="39"/>
      <c r="AR1644" s="39"/>
      <c r="AS1644" s="39"/>
      <c r="AT1644" s="39">
        <f t="shared" si="896"/>
        <v>0</v>
      </c>
      <c r="AU1644" s="39"/>
      <c r="AV1644" s="39"/>
      <c r="AW1644" s="39"/>
      <c r="AX1644" s="39"/>
      <c r="AY1644" s="39"/>
      <c r="AZ1644" s="39">
        <f t="shared" si="897"/>
        <v>0</v>
      </c>
      <c r="BA1644" s="39"/>
      <c r="BB1644" s="39"/>
      <c r="BC1644" s="39"/>
      <c r="BD1644" s="39"/>
      <c r="BE1644" s="39"/>
      <c r="BF1644" s="39">
        <f t="shared" si="898"/>
        <v>0</v>
      </c>
      <c r="BG1644" s="39"/>
      <c r="BH1644" s="39"/>
      <c r="BI1644" s="39"/>
      <c r="BJ1644" s="39"/>
      <c r="BK1644" s="39"/>
      <c r="BL1644" s="39">
        <f t="shared" si="1050"/>
        <v>0</v>
      </c>
      <c r="BM1644" s="54">
        <f t="shared" ca="1" si="899"/>
        <v>46283</v>
      </c>
      <c r="BN1644" s="60">
        <v>46290</v>
      </c>
      <c r="BO1644" s="57">
        <v>46304</v>
      </c>
      <c r="BP1644" s="57">
        <v>46305</v>
      </c>
      <c r="BQ1644" s="57">
        <v>46315</v>
      </c>
      <c r="BR1644" s="39"/>
      <c r="BS1644" s="39"/>
      <c r="BT1644" s="39"/>
      <c r="BU1644" s="39"/>
      <c r="BV1644" s="39"/>
      <c r="BW1644" s="39"/>
      <c r="BX1644" s="39"/>
      <c r="BY1644" s="39"/>
      <c r="BZ1644" s="39">
        <f>BU1644+BW1644+BY1644</f>
        <v>0</v>
      </c>
      <c r="CA1644" s="39">
        <f t="shared" si="900"/>
        <v>-320</v>
      </c>
      <c r="CB1644" s="39">
        <f t="shared" si="901"/>
        <v>0</v>
      </c>
      <c r="CC1644" s="39">
        <f t="shared" si="902"/>
        <v>0</v>
      </c>
      <c r="CD1644" s="39">
        <f>SUMIF(CA1644:CC1644,"&lt;0")</f>
        <v>-320</v>
      </c>
      <c r="CE1644" s="102">
        <f t="shared" si="903"/>
        <v>-1</v>
      </c>
      <c r="CF1644" s="36"/>
      <c r="CG1644" s="39" t="s">
        <v>242</v>
      </c>
      <c r="CH1644" s="39"/>
      <c r="CI1644" s="25">
        <v>3</v>
      </c>
      <c r="CJ1644" s="6" t="s">
        <v>19</v>
      </c>
    </row>
    <row r="1645" spans="1:88" ht="24.75" customHeight="1">
      <c r="A1645" s="36" t="s">
        <v>46</v>
      </c>
      <c r="B1645" s="30">
        <v>48317</v>
      </c>
      <c r="C1645" s="227" t="s">
        <v>2290</v>
      </c>
      <c r="D1645" s="23" t="s">
        <v>37</v>
      </c>
      <c r="E1645" s="39">
        <v>140</v>
      </c>
      <c r="F1645" s="39" t="s">
        <v>57</v>
      </c>
      <c r="G1645" s="36" t="s">
        <v>2283</v>
      </c>
      <c r="H1645" s="36" t="s">
        <v>22</v>
      </c>
      <c r="I1645" s="39">
        <v>912</v>
      </c>
      <c r="J1645" s="39"/>
      <c r="K1645" s="39"/>
      <c r="L1645" s="39">
        <f t="shared" si="1056"/>
        <v>912</v>
      </c>
      <c r="M1645" s="117">
        <v>46275</v>
      </c>
      <c r="N1645" s="117">
        <v>46287</v>
      </c>
      <c r="O1645" s="39"/>
      <c r="P1645" s="39"/>
      <c r="Q1645" s="39"/>
      <c r="R1645" s="39">
        <f t="shared" si="1054"/>
        <v>0</v>
      </c>
      <c r="S1645" s="39" t="s">
        <v>28</v>
      </c>
      <c r="T1645" s="39"/>
      <c r="U1645" s="39"/>
      <c r="V1645" s="39"/>
      <c r="W1645" s="39"/>
      <c r="X1645" s="39"/>
      <c r="Y1645" s="39"/>
      <c r="Z1645" s="39"/>
      <c r="AA1645" s="39"/>
      <c r="AB1645" s="118">
        <f t="shared" si="1055"/>
        <v>0</v>
      </c>
      <c r="AC1645" s="39"/>
      <c r="AD1645" s="39"/>
      <c r="AE1645" s="39"/>
      <c r="AF1645" s="39"/>
      <c r="AG1645" s="39"/>
      <c r="AH1645" s="39">
        <f t="shared" si="1049"/>
        <v>0</v>
      </c>
      <c r="AI1645" s="39"/>
      <c r="AJ1645" s="39"/>
      <c r="AK1645" s="39"/>
      <c r="AL1645" s="39"/>
      <c r="AM1645" s="39"/>
      <c r="AN1645" s="39">
        <f t="shared" si="991"/>
        <v>0</v>
      </c>
      <c r="AO1645" s="39"/>
      <c r="AP1645" s="39"/>
      <c r="AQ1645" s="39"/>
      <c r="AR1645" s="39"/>
      <c r="AS1645" s="39"/>
      <c r="AT1645" s="39">
        <f t="shared" si="896"/>
        <v>0</v>
      </c>
      <c r="AU1645" s="39"/>
      <c r="AV1645" s="39"/>
      <c r="AW1645" s="39"/>
      <c r="AX1645" s="39"/>
      <c r="AY1645" s="39"/>
      <c r="AZ1645" s="39">
        <f t="shared" si="897"/>
        <v>0</v>
      </c>
      <c r="BA1645" s="39"/>
      <c r="BB1645" s="39"/>
      <c r="BC1645" s="39"/>
      <c r="BD1645" s="39"/>
      <c r="BE1645" s="39"/>
      <c r="BF1645" s="39">
        <f t="shared" si="898"/>
        <v>0</v>
      </c>
      <c r="BG1645" s="39"/>
      <c r="BH1645" s="39"/>
      <c r="BI1645" s="39"/>
      <c r="BJ1645" s="39"/>
      <c r="BK1645" s="39"/>
      <c r="BL1645" s="39">
        <f t="shared" si="1050"/>
        <v>0</v>
      </c>
      <c r="BM1645" s="54">
        <f t="shared" ca="1" si="899"/>
        <v>46283</v>
      </c>
      <c r="BN1645" s="60">
        <v>46288</v>
      </c>
      <c r="BO1645" s="57">
        <v>46304</v>
      </c>
      <c r="BP1645" s="57">
        <v>46305</v>
      </c>
      <c r="BQ1645" s="57">
        <v>46317</v>
      </c>
      <c r="BR1645" s="39"/>
      <c r="BS1645" s="39"/>
      <c r="BT1645" s="39"/>
      <c r="BU1645" s="39"/>
      <c r="BV1645" s="39"/>
      <c r="BW1645" s="39"/>
      <c r="BX1645" s="39"/>
      <c r="BY1645" s="39"/>
      <c r="BZ1645" s="39">
        <f t="shared" ref="BZ1645:BZ1647" si="1064">BU1645+BW1645+BY1645</f>
        <v>0</v>
      </c>
      <c r="CA1645" s="39">
        <f t="shared" si="900"/>
        <v>-912</v>
      </c>
      <c r="CB1645" s="39">
        <f t="shared" si="901"/>
        <v>0</v>
      </c>
      <c r="CC1645" s="39">
        <f t="shared" si="902"/>
        <v>0</v>
      </c>
      <c r="CD1645" s="39">
        <f t="shared" ref="CD1645:CD1647" si="1065">SUMIF(CA1645:CC1645,"&lt;0")</f>
        <v>-912</v>
      </c>
      <c r="CE1645" s="102">
        <f t="shared" si="903"/>
        <v>-1</v>
      </c>
      <c r="CF1645" s="36"/>
      <c r="CG1645" s="39" t="s">
        <v>242</v>
      </c>
      <c r="CH1645" s="39"/>
      <c r="CI1645" s="25">
        <v>3</v>
      </c>
    </row>
    <row r="1646" spans="1:88" ht="24.75" customHeight="1">
      <c r="A1646" s="36" t="s">
        <v>46</v>
      </c>
      <c r="B1646" s="30">
        <v>48317</v>
      </c>
      <c r="C1646" s="231"/>
      <c r="D1646" s="23" t="s">
        <v>37</v>
      </c>
      <c r="E1646" s="39">
        <v>140</v>
      </c>
      <c r="F1646" s="39" t="s">
        <v>57</v>
      </c>
      <c r="G1646" s="36" t="s">
        <v>2284</v>
      </c>
      <c r="H1646" s="36" t="s">
        <v>22</v>
      </c>
      <c r="I1646" s="39">
        <v>598</v>
      </c>
      <c r="J1646" s="39"/>
      <c r="K1646" s="39"/>
      <c r="L1646" s="39">
        <f t="shared" si="1056"/>
        <v>598</v>
      </c>
      <c r="M1646" s="117">
        <v>46275</v>
      </c>
      <c r="N1646" s="117">
        <v>46287</v>
      </c>
      <c r="O1646" s="39"/>
      <c r="P1646" s="39"/>
      <c r="Q1646" s="39"/>
      <c r="R1646" s="39">
        <f t="shared" si="1054"/>
        <v>0</v>
      </c>
      <c r="S1646" s="39" t="s">
        <v>28</v>
      </c>
      <c r="T1646" s="39"/>
      <c r="U1646" s="39"/>
      <c r="V1646" s="39"/>
      <c r="W1646" s="39"/>
      <c r="X1646" s="39"/>
      <c r="Y1646" s="39"/>
      <c r="Z1646" s="39"/>
      <c r="AA1646" s="39"/>
      <c r="AB1646" s="118">
        <f t="shared" si="1055"/>
        <v>0</v>
      </c>
      <c r="AC1646" s="39"/>
      <c r="AD1646" s="39"/>
      <c r="AE1646" s="39"/>
      <c r="AF1646" s="39"/>
      <c r="AG1646" s="39"/>
      <c r="AH1646" s="39">
        <f t="shared" si="1049"/>
        <v>0</v>
      </c>
      <c r="AI1646" s="39"/>
      <c r="AJ1646" s="39"/>
      <c r="AK1646" s="39"/>
      <c r="AL1646" s="39"/>
      <c r="AM1646" s="39"/>
      <c r="AN1646" s="39">
        <f t="shared" si="991"/>
        <v>0</v>
      </c>
      <c r="AO1646" s="39"/>
      <c r="AP1646" s="39"/>
      <c r="AQ1646" s="39"/>
      <c r="AR1646" s="39"/>
      <c r="AS1646" s="39"/>
      <c r="AT1646" s="39">
        <f t="shared" si="896"/>
        <v>0</v>
      </c>
      <c r="AU1646" s="39"/>
      <c r="AV1646" s="39"/>
      <c r="AW1646" s="39"/>
      <c r="AX1646" s="39"/>
      <c r="AY1646" s="39"/>
      <c r="AZ1646" s="39">
        <f t="shared" si="897"/>
        <v>0</v>
      </c>
      <c r="BA1646" s="39"/>
      <c r="BB1646" s="39"/>
      <c r="BC1646" s="39"/>
      <c r="BD1646" s="39"/>
      <c r="BE1646" s="39"/>
      <c r="BF1646" s="39">
        <f t="shared" si="898"/>
        <v>0</v>
      </c>
      <c r="BG1646" s="39"/>
      <c r="BH1646" s="39"/>
      <c r="BI1646" s="39"/>
      <c r="BJ1646" s="39"/>
      <c r="BK1646" s="39"/>
      <c r="BL1646" s="39">
        <f t="shared" si="1050"/>
        <v>0</v>
      </c>
      <c r="BM1646" s="54">
        <f t="shared" ca="1" si="899"/>
        <v>46283</v>
      </c>
      <c r="BN1646" s="60">
        <v>46288</v>
      </c>
      <c r="BO1646" s="57">
        <v>46304</v>
      </c>
      <c r="BP1646" s="57">
        <v>46305</v>
      </c>
      <c r="BQ1646" s="57">
        <v>46317</v>
      </c>
      <c r="BR1646" s="39"/>
      <c r="BS1646" s="39"/>
      <c r="BT1646" s="39"/>
      <c r="BU1646" s="39"/>
      <c r="BV1646" s="39"/>
      <c r="BW1646" s="39"/>
      <c r="BX1646" s="39"/>
      <c r="BY1646" s="39"/>
      <c r="BZ1646" s="39">
        <f t="shared" si="1064"/>
        <v>0</v>
      </c>
      <c r="CA1646" s="39">
        <f t="shared" si="900"/>
        <v>-598</v>
      </c>
      <c r="CB1646" s="39">
        <f t="shared" si="901"/>
        <v>0</v>
      </c>
      <c r="CC1646" s="39">
        <f t="shared" si="902"/>
        <v>0</v>
      </c>
      <c r="CD1646" s="39">
        <f t="shared" si="1065"/>
        <v>-598</v>
      </c>
      <c r="CE1646" s="102">
        <f t="shared" si="903"/>
        <v>-1</v>
      </c>
      <c r="CF1646" s="36"/>
      <c r="CG1646" s="39" t="s">
        <v>242</v>
      </c>
      <c r="CH1646" s="39"/>
      <c r="CI1646" s="25">
        <v>3</v>
      </c>
    </row>
    <row r="1647" spans="1:88" ht="24.75" customHeight="1">
      <c r="A1647" s="36" t="s">
        <v>46</v>
      </c>
      <c r="B1647" s="30">
        <v>48317</v>
      </c>
      <c r="C1647" s="231"/>
      <c r="D1647" s="23" t="s">
        <v>37</v>
      </c>
      <c r="E1647" s="39">
        <v>140</v>
      </c>
      <c r="F1647" s="39" t="s">
        <v>57</v>
      </c>
      <c r="G1647" s="36" t="s">
        <v>444</v>
      </c>
      <c r="H1647" s="36" t="s">
        <v>22</v>
      </c>
      <c r="I1647" s="39">
        <v>598</v>
      </c>
      <c r="J1647" s="39"/>
      <c r="K1647" s="39"/>
      <c r="L1647" s="39">
        <f t="shared" si="1056"/>
        <v>598</v>
      </c>
      <c r="M1647" s="117">
        <v>46275</v>
      </c>
      <c r="N1647" s="117">
        <v>46287</v>
      </c>
      <c r="O1647" s="39"/>
      <c r="P1647" s="39"/>
      <c r="Q1647" s="39"/>
      <c r="R1647" s="39">
        <f t="shared" si="1054"/>
        <v>0</v>
      </c>
      <c r="S1647" s="39" t="s">
        <v>28</v>
      </c>
      <c r="T1647" s="39"/>
      <c r="U1647" s="39"/>
      <c r="V1647" s="39"/>
      <c r="W1647" s="39"/>
      <c r="X1647" s="39"/>
      <c r="Y1647" s="39"/>
      <c r="Z1647" s="39"/>
      <c r="AA1647" s="39"/>
      <c r="AB1647" s="118">
        <f t="shared" si="1055"/>
        <v>0</v>
      </c>
      <c r="AC1647" s="39"/>
      <c r="AD1647" s="39"/>
      <c r="AE1647" s="39"/>
      <c r="AF1647" s="39"/>
      <c r="AG1647" s="39"/>
      <c r="AH1647" s="39">
        <f t="shared" si="1049"/>
        <v>0</v>
      </c>
      <c r="AI1647" s="39"/>
      <c r="AJ1647" s="39"/>
      <c r="AK1647" s="39"/>
      <c r="AL1647" s="39"/>
      <c r="AM1647" s="39"/>
      <c r="AN1647" s="39">
        <f t="shared" si="991"/>
        <v>0</v>
      </c>
      <c r="AO1647" s="39"/>
      <c r="AP1647" s="39"/>
      <c r="AQ1647" s="39"/>
      <c r="AR1647" s="39"/>
      <c r="AS1647" s="39"/>
      <c r="AT1647" s="39">
        <f t="shared" si="896"/>
        <v>0</v>
      </c>
      <c r="AU1647" s="39"/>
      <c r="AV1647" s="39"/>
      <c r="AW1647" s="39"/>
      <c r="AX1647" s="39"/>
      <c r="AY1647" s="39"/>
      <c r="AZ1647" s="39">
        <f t="shared" si="897"/>
        <v>0</v>
      </c>
      <c r="BA1647" s="39"/>
      <c r="BB1647" s="39"/>
      <c r="BC1647" s="39"/>
      <c r="BD1647" s="39"/>
      <c r="BE1647" s="39"/>
      <c r="BF1647" s="39">
        <f t="shared" si="898"/>
        <v>0</v>
      </c>
      <c r="BG1647" s="39"/>
      <c r="BH1647" s="39"/>
      <c r="BI1647" s="39"/>
      <c r="BJ1647" s="39"/>
      <c r="BK1647" s="39"/>
      <c r="BL1647" s="39">
        <f t="shared" si="1050"/>
        <v>0</v>
      </c>
      <c r="BM1647" s="54">
        <f t="shared" ca="1" si="899"/>
        <v>46283</v>
      </c>
      <c r="BN1647" s="60">
        <v>46288</v>
      </c>
      <c r="BO1647" s="57">
        <v>46304</v>
      </c>
      <c r="BP1647" s="57">
        <v>46305</v>
      </c>
      <c r="BQ1647" s="57">
        <v>46317</v>
      </c>
      <c r="BR1647" s="39"/>
      <c r="BS1647" s="39"/>
      <c r="BT1647" s="39"/>
      <c r="BU1647" s="39"/>
      <c r="BV1647" s="39"/>
      <c r="BW1647" s="39"/>
      <c r="BX1647" s="39"/>
      <c r="BY1647" s="39"/>
      <c r="BZ1647" s="39">
        <f t="shared" si="1064"/>
        <v>0</v>
      </c>
      <c r="CA1647" s="39">
        <f t="shared" si="900"/>
        <v>-598</v>
      </c>
      <c r="CB1647" s="39">
        <f t="shared" si="901"/>
        <v>0</v>
      </c>
      <c r="CC1647" s="39">
        <f t="shared" si="902"/>
        <v>0</v>
      </c>
      <c r="CD1647" s="39">
        <f t="shared" si="1065"/>
        <v>-598</v>
      </c>
      <c r="CE1647" s="102">
        <f t="shared" si="903"/>
        <v>-1</v>
      </c>
      <c r="CF1647" s="36"/>
      <c r="CG1647" s="39" t="s">
        <v>242</v>
      </c>
      <c r="CH1647" s="39"/>
      <c r="CI1647" s="25">
        <v>3</v>
      </c>
    </row>
    <row r="1648" spans="1:88" ht="24.75" customHeight="1">
      <c r="A1648" s="36" t="s">
        <v>46</v>
      </c>
      <c r="B1648" s="30">
        <v>48317</v>
      </c>
      <c r="C1648" s="228"/>
      <c r="D1648" s="23"/>
      <c r="E1648" s="39"/>
      <c r="F1648" s="39"/>
      <c r="G1648" s="36" t="s">
        <v>75</v>
      </c>
      <c r="H1648" s="36"/>
      <c r="I1648" s="39"/>
      <c r="J1648" s="39"/>
      <c r="K1648" s="39"/>
      <c r="L1648" s="39">
        <f t="shared" si="1056"/>
        <v>0</v>
      </c>
      <c r="M1648" s="117">
        <v>46275</v>
      </c>
      <c r="N1648" s="117">
        <v>46287</v>
      </c>
      <c r="O1648" s="39"/>
      <c r="P1648" s="39"/>
      <c r="Q1648" s="39"/>
      <c r="R1648" s="39">
        <f t="shared" si="1054"/>
        <v>0</v>
      </c>
      <c r="S1648" s="39" t="s">
        <v>130</v>
      </c>
      <c r="T1648" s="39"/>
      <c r="U1648" s="39"/>
      <c r="V1648" s="39"/>
      <c r="W1648" s="39"/>
      <c r="X1648" s="39"/>
      <c r="Y1648" s="39"/>
      <c r="Z1648" s="39"/>
      <c r="AA1648" s="39"/>
      <c r="AB1648" s="39">
        <f t="shared" si="1055"/>
        <v>0</v>
      </c>
      <c r="AC1648" s="39"/>
      <c r="AD1648" s="39"/>
      <c r="AE1648" s="39"/>
      <c r="AF1648" s="39"/>
      <c r="AG1648" s="39"/>
      <c r="AH1648" s="39">
        <f t="shared" si="1049"/>
        <v>0</v>
      </c>
      <c r="AI1648" s="39"/>
      <c r="AJ1648" s="39"/>
      <c r="AK1648" s="39"/>
      <c r="AL1648" s="39"/>
      <c r="AM1648" s="39"/>
      <c r="AN1648" s="39">
        <f t="shared" si="991"/>
        <v>0</v>
      </c>
      <c r="AO1648" s="39"/>
      <c r="AP1648" s="39"/>
      <c r="AQ1648" s="39"/>
      <c r="AR1648" s="39"/>
      <c r="AS1648" s="39"/>
      <c r="AT1648" s="39">
        <f t="shared" si="896"/>
        <v>0</v>
      </c>
      <c r="AU1648" s="39"/>
      <c r="AV1648" s="39"/>
      <c r="AW1648" s="39"/>
      <c r="AX1648" s="39"/>
      <c r="AY1648" s="39"/>
      <c r="AZ1648" s="39">
        <f t="shared" si="897"/>
        <v>0</v>
      </c>
      <c r="BA1648" s="39"/>
      <c r="BB1648" s="39"/>
      <c r="BC1648" s="39"/>
      <c r="BD1648" s="39"/>
      <c r="BE1648" s="39"/>
      <c r="BF1648" s="39">
        <f t="shared" si="898"/>
        <v>0</v>
      </c>
      <c r="BG1648" s="39"/>
      <c r="BH1648" s="39"/>
      <c r="BI1648" s="39"/>
      <c r="BJ1648" s="39"/>
      <c r="BK1648" s="39"/>
      <c r="BL1648" s="39">
        <f t="shared" si="1050"/>
        <v>0</v>
      </c>
      <c r="BM1648" s="54" t="e">
        <f t="shared" si="899"/>
        <v>#DIV/0!</v>
      </c>
      <c r="BN1648" s="60">
        <v>46288</v>
      </c>
      <c r="BO1648" s="57">
        <v>46304</v>
      </c>
      <c r="BP1648" s="36"/>
      <c r="BQ1648" s="36"/>
      <c r="BR1648" s="39"/>
      <c r="BS1648" s="39"/>
      <c r="BT1648" s="39"/>
      <c r="BU1648" s="39"/>
      <c r="BV1648" s="39"/>
      <c r="BW1648" s="39"/>
      <c r="BX1648" s="39"/>
      <c r="BY1648" s="39"/>
      <c r="BZ1648" s="39">
        <f>BU1648+BW1648+BY1648</f>
        <v>0</v>
      </c>
      <c r="CA1648" s="39">
        <f t="shared" si="900"/>
        <v>0</v>
      </c>
      <c r="CB1648" s="39">
        <f t="shared" si="901"/>
        <v>0</v>
      </c>
      <c r="CC1648" s="39">
        <f t="shared" si="902"/>
        <v>0</v>
      </c>
      <c r="CD1648" s="39">
        <f>SUMIF(CA1648:CC1648,"&lt;0")</f>
        <v>0</v>
      </c>
      <c r="CE1648" s="102" t="e">
        <f t="shared" si="903"/>
        <v>#DIV/0!</v>
      </c>
      <c r="CF1648" s="36"/>
      <c r="CG1648" s="39" t="s">
        <v>242</v>
      </c>
      <c r="CH1648" s="39"/>
      <c r="CI1648" s="25">
        <v>3</v>
      </c>
      <c r="CJ1648" s="6" t="s">
        <v>19</v>
      </c>
    </row>
    <row r="1649" spans="1:101" ht="24.75" customHeight="1">
      <c r="A1649" s="36" t="s">
        <v>46</v>
      </c>
      <c r="B1649" s="30">
        <v>47845</v>
      </c>
      <c r="C1649" s="227" t="s">
        <v>2622</v>
      </c>
      <c r="D1649" s="23" t="s">
        <v>37</v>
      </c>
      <c r="E1649" s="39">
        <v>140</v>
      </c>
      <c r="F1649" s="39" t="s">
        <v>68</v>
      </c>
      <c r="G1649" s="36" t="s">
        <v>2623</v>
      </c>
      <c r="H1649" s="36" t="s">
        <v>22</v>
      </c>
      <c r="I1649" s="39">
        <v>500</v>
      </c>
      <c r="J1649" s="39">
        <v>35</v>
      </c>
      <c r="K1649" s="39"/>
      <c r="L1649" s="39">
        <f t="shared" si="1056"/>
        <v>535</v>
      </c>
      <c r="M1649" s="117">
        <v>46275</v>
      </c>
      <c r="N1649" s="117">
        <v>46287</v>
      </c>
      <c r="O1649" s="39"/>
      <c r="P1649" s="39"/>
      <c r="Q1649" s="39"/>
      <c r="R1649" s="39">
        <f t="shared" si="1054"/>
        <v>0</v>
      </c>
      <c r="S1649" s="39" t="s">
        <v>31</v>
      </c>
      <c r="T1649" s="39"/>
      <c r="U1649" s="39"/>
      <c r="V1649" s="39"/>
      <c r="W1649" s="39"/>
      <c r="X1649" s="39"/>
      <c r="Y1649" s="39"/>
      <c r="Z1649" s="39"/>
      <c r="AA1649" s="39"/>
      <c r="AB1649" s="118">
        <f t="shared" si="1055"/>
        <v>0</v>
      </c>
      <c r="AC1649" s="39"/>
      <c r="AD1649" s="39"/>
      <c r="AE1649" s="39"/>
      <c r="AF1649" s="39"/>
      <c r="AG1649" s="39"/>
      <c r="AH1649" s="39">
        <f t="shared" si="1049"/>
        <v>0</v>
      </c>
      <c r="AI1649" s="39"/>
      <c r="AJ1649" s="39"/>
      <c r="AK1649" s="39"/>
      <c r="AL1649" s="39"/>
      <c r="AM1649" s="39"/>
      <c r="AN1649" s="39">
        <f t="shared" si="991"/>
        <v>0</v>
      </c>
      <c r="AO1649" s="39"/>
      <c r="AP1649" s="39"/>
      <c r="AQ1649" s="39"/>
      <c r="AR1649" s="39"/>
      <c r="AS1649" s="39"/>
      <c r="AT1649" s="39">
        <f t="shared" si="896"/>
        <v>0</v>
      </c>
      <c r="AU1649" s="39"/>
      <c r="AV1649" s="39"/>
      <c r="AW1649" s="39"/>
      <c r="AX1649" s="39"/>
      <c r="AY1649" s="39"/>
      <c r="AZ1649" s="39">
        <f t="shared" si="897"/>
        <v>0</v>
      </c>
      <c r="BA1649" s="39"/>
      <c r="BB1649" s="39"/>
      <c r="BC1649" s="39"/>
      <c r="BD1649" s="39"/>
      <c r="BE1649" s="39"/>
      <c r="BF1649" s="39">
        <f t="shared" si="898"/>
        <v>0</v>
      </c>
      <c r="BG1649" s="39"/>
      <c r="BH1649" s="39"/>
      <c r="BI1649" s="39"/>
      <c r="BJ1649" s="39"/>
      <c r="BK1649" s="39"/>
      <c r="BL1649" s="39">
        <f t="shared" si="1050"/>
        <v>0</v>
      </c>
      <c r="BM1649" s="54">
        <f t="shared" ca="1" si="899"/>
        <v>46283</v>
      </c>
      <c r="BN1649" s="60">
        <v>46290</v>
      </c>
      <c r="BO1649" s="57">
        <v>46303</v>
      </c>
      <c r="BP1649" s="57">
        <v>46305</v>
      </c>
      <c r="BQ1649" s="57">
        <v>46315</v>
      </c>
      <c r="BR1649" s="39"/>
      <c r="BS1649" s="39"/>
      <c r="BT1649" s="39"/>
      <c r="BU1649" s="39"/>
      <c r="BV1649" s="39"/>
      <c r="BW1649" s="39"/>
      <c r="BX1649" s="39"/>
      <c r="BY1649" s="39"/>
      <c r="BZ1649" s="39">
        <f t="shared" ref="BZ1649" si="1066">BU1649+BW1649+BY1649</f>
        <v>0</v>
      </c>
      <c r="CA1649" s="39">
        <f t="shared" si="900"/>
        <v>-500</v>
      </c>
      <c r="CB1649" s="39">
        <f t="shared" si="901"/>
        <v>-35</v>
      </c>
      <c r="CC1649" s="39">
        <f t="shared" si="902"/>
        <v>0</v>
      </c>
      <c r="CD1649" s="39">
        <f t="shared" ref="CD1649" si="1067">SUMIF(CA1649:CC1649,"&lt;0")</f>
        <v>-535</v>
      </c>
      <c r="CE1649" s="102">
        <f t="shared" si="903"/>
        <v>-1</v>
      </c>
      <c r="CF1649" s="36"/>
      <c r="CG1649" s="39" t="s">
        <v>240</v>
      </c>
      <c r="CH1649" s="39"/>
      <c r="CI1649" s="25">
        <v>3</v>
      </c>
    </row>
    <row r="1650" spans="1:101" ht="24.75" customHeight="1">
      <c r="A1650" s="36" t="s">
        <v>46</v>
      </c>
      <c r="B1650" s="30">
        <v>47845</v>
      </c>
      <c r="C1650" s="231"/>
      <c r="D1650" s="23" t="s">
        <v>37</v>
      </c>
      <c r="E1650" s="39">
        <v>140</v>
      </c>
      <c r="F1650" s="39" t="s">
        <v>68</v>
      </c>
      <c r="G1650" s="36" t="s">
        <v>2624</v>
      </c>
      <c r="H1650" s="36" t="s">
        <v>22</v>
      </c>
      <c r="I1650" s="39">
        <v>410</v>
      </c>
      <c r="J1650" s="39">
        <v>30</v>
      </c>
      <c r="K1650" s="39"/>
      <c r="L1650" s="39">
        <f t="shared" si="1056"/>
        <v>440</v>
      </c>
      <c r="M1650" s="117">
        <v>46275</v>
      </c>
      <c r="N1650" s="117">
        <v>46287</v>
      </c>
      <c r="O1650" s="39"/>
      <c r="P1650" s="39"/>
      <c r="Q1650" s="39"/>
      <c r="R1650" s="39">
        <f t="shared" si="1054"/>
        <v>0</v>
      </c>
      <c r="S1650" s="39" t="s">
        <v>31</v>
      </c>
      <c r="T1650" s="39"/>
      <c r="U1650" s="39"/>
      <c r="V1650" s="39"/>
      <c r="W1650" s="39"/>
      <c r="X1650" s="39"/>
      <c r="Y1650" s="39"/>
      <c r="Z1650" s="39"/>
      <c r="AA1650" s="39"/>
      <c r="AB1650" s="118">
        <f t="shared" si="1055"/>
        <v>0</v>
      </c>
      <c r="AC1650" s="39"/>
      <c r="AD1650" s="39"/>
      <c r="AE1650" s="39"/>
      <c r="AF1650" s="39"/>
      <c r="AG1650" s="39"/>
      <c r="AH1650" s="39">
        <f t="shared" si="1049"/>
        <v>0</v>
      </c>
      <c r="AI1650" s="39"/>
      <c r="AJ1650" s="39"/>
      <c r="AK1650" s="39"/>
      <c r="AL1650" s="39"/>
      <c r="AM1650" s="39"/>
      <c r="AN1650" s="39">
        <f t="shared" si="991"/>
        <v>0</v>
      </c>
      <c r="AO1650" s="39"/>
      <c r="AP1650" s="39"/>
      <c r="AQ1650" s="39"/>
      <c r="AR1650" s="39"/>
      <c r="AS1650" s="39"/>
      <c r="AT1650" s="39">
        <f t="shared" si="896"/>
        <v>0</v>
      </c>
      <c r="AU1650" s="39"/>
      <c r="AV1650" s="39"/>
      <c r="AW1650" s="39"/>
      <c r="AX1650" s="39"/>
      <c r="AY1650" s="39"/>
      <c r="AZ1650" s="39">
        <f t="shared" si="897"/>
        <v>0</v>
      </c>
      <c r="BA1650" s="39"/>
      <c r="BB1650" s="39"/>
      <c r="BC1650" s="39"/>
      <c r="BD1650" s="39"/>
      <c r="BE1650" s="39"/>
      <c r="BF1650" s="39">
        <f t="shared" si="898"/>
        <v>0</v>
      </c>
      <c r="BG1650" s="39"/>
      <c r="BH1650" s="39"/>
      <c r="BI1650" s="39"/>
      <c r="BJ1650" s="39"/>
      <c r="BK1650" s="39"/>
      <c r="BL1650" s="39">
        <f t="shared" si="1050"/>
        <v>0</v>
      </c>
      <c r="BM1650" s="54">
        <f t="shared" ca="1" si="899"/>
        <v>46283</v>
      </c>
      <c r="BN1650" s="60">
        <v>46290</v>
      </c>
      <c r="BO1650" s="57">
        <v>46303</v>
      </c>
      <c r="BP1650" s="57">
        <v>46305</v>
      </c>
      <c r="BQ1650" s="57">
        <v>46315</v>
      </c>
      <c r="BR1650" s="39"/>
      <c r="BS1650" s="39"/>
      <c r="BT1650" s="39"/>
      <c r="BU1650" s="39"/>
      <c r="BV1650" s="39"/>
      <c r="BW1650" s="39"/>
      <c r="BX1650" s="39"/>
      <c r="BY1650" s="39"/>
      <c r="BZ1650" s="39">
        <f>BU1650+BW1650+BY1650</f>
        <v>0</v>
      </c>
      <c r="CA1650" s="39">
        <f t="shared" si="900"/>
        <v>-410</v>
      </c>
      <c r="CB1650" s="39">
        <f t="shared" si="901"/>
        <v>-30</v>
      </c>
      <c r="CC1650" s="39">
        <f t="shared" si="902"/>
        <v>0</v>
      </c>
      <c r="CD1650" s="39">
        <f>SUMIF(CA1650:CC1650,"&lt;0")</f>
        <v>-440</v>
      </c>
      <c r="CE1650" s="102">
        <f t="shared" si="903"/>
        <v>-1</v>
      </c>
      <c r="CF1650" s="36"/>
      <c r="CG1650" s="39" t="s">
        <v>240</v>
      </c>
      <c r="CH1650" s="39"/>
      <c r="CI1650" s="25">
        <v>3</v>
      </c>
      <c r="CJ1650" s="6" t="s">
        <v>19</v>
      </c>
    </row>
    <row r="1651" spans="1:101" ht="24.75" customHeight="1">
      <c r="A1651" s="36" t="s">
        <v>46</v>
      </c>
      <c r="B1651" s="30">
        <v>47845</v>
      </c>
      <c r="C1651" s="228"/>
      <c r="D1651" s="23" t="s">
        <v>37</v>
      </c>
      <c r="E1651" s="39">
        <v>140</v>
      </c>
      <c r="F1651" s="39" t="s">
        <v>68</v>
      </c>
      <c r="G1651" s="36" t="s">
        <v>2625</v>
      </c>
      <c r="H1651" s="36" t="s">
        <v>22</v>
      </c>
      <c r="I1651" s="39">
        <v>280</v>
      </c>
      <c r="J1651" s="39">
        <v>20</v>
      </c>
      <c r="K1651" s="39"/>
      <c r="L1651" s="39">
        <f t="shared" si="1056"/>
        <v>300</v>
      </c>
      <c r="M1651" s="117">
        <v>46275</v>
      </c>
      <c r="N1651" s="117">
        <v>46287</v>
      </c>
      <c r="O1651" s="39"/>
      <c r="P1651" s="39"/>
      <c r="Q1651" s="39"/>
      <c r="R1651" s="39">
        <f t="shared" si="1054"/>
        <v>0</v>
      </c>
      <c r="S1651" s="39" t="s">
        <v>130</v>
      </c>
      <c r="T1651" s="39"/>
      <c r="U1651" s="39"/>
      <c r="V1651" s="39"/>
      <c r="W1651" s="39"/>
      <c r="X1651" s="39"/>
      <c r="Y1651" s="39"/>
      <c r="Z1651" s="39"/>
      <c r="AA1651" s="39"/>
      <c r="AB1651" s="118">
        <f t="shared" si="1055"/>
        <v>0</v>
      </c>
      <c r="AC1651" s="39"/>
      <c r="AD1651" s="39"/>
      <c r="AE1651" s="39"/>
      <c r="AF1651" s="39"/>
      <c r="AG1651" s="39"/>
      <c r="AH1651" s="39">
        <f t="shared" si="1049"/>
        <v>0</v>
      </c>
      <c r="AI1651" s="39"/>
      <c r="AJ1651" s="39"/>
      <c r="AK1651" s="39"/>
      <c r="AL1651" s="39"/>
      <c r="AM1651" s="39"/>
      <c r="AN1651" s="39">
        <f t="shared" si="991"/>
        <v>0</v>
      </c>
      <c r="AO1651" s="39"/>
      <c r="AP1651" s="39"/>
      <c r="AQ1651" s="39"/>
      <c r="AR1651" s="39"/>
      <c r="AS1651" s="39"/>
      <c r="AT1651" s="39">
        <f t="shared" si="896"/>
        <v>0</v>
      </c>
      <c r="AU1651" s="39"/>
      <c r="AV1651" s="39"/>
      <c r="AW1651" s="39"/>
      <c r="AX1651" s="39"/>
      <c r="AY1651" s="39"/>
      <c r="AZ1651" s="39">
        <f t="shared" si="897"/>
        <v>0</v>
      </c>
      <c r="BA1651" s="39"/>
      <c r="BB1651" s="39"/>
      <c r="BC1651" s="39"/>
      <c r="BD1651" s="39"/>
      <c r="BE1651" s="39"/>
      <c r="BF1651" s="39">
        <f t="shared" si="898"/>
        <v>0</v>
      </c>
      <c r="BG1651" s="39"/>
      <c r="BH1651" s="39"/>
      <c r="BI1651" s="39"/>
      <c r="BJ1651" s="39"/>
      <c r="BK1651" s="39"/>
      <c r="BL1651" s="39">
        <f t="shared" si="1050"/>
        <v>0</v>
      </c>
      <c r="BM1651" s="54">
        <f t="shared" ca="1" si="899"/>
        <v>46283</v>
      </c>
      <c r="BN1651" s="60">
        <v>46290</v>
      </c>
      <c r="BO1651" s="57">
        <v>46303</v>
      </c>
      <c r="BP1651" s="57">
        <v>46305</v>
      </c>
      <c r="BQ1651" s="57">
        <v>46315</v>
      </c>
      <c r="BR1651" s="39"/>
      <c r="BS1651" s="39"/>
      <c r="BT1651" s="39"/>
      <c r="BU1651" s="39"/>
      <c r="BV1651" s="39"/>
      <c r="BW1651" s="39"/>
      <c r="BX1651" s="39"/>
      <c r="BY1651" s="39"/>
      <c r="BZ1651" s="39">
        <f t="shared" ref="BZ1651:BZ1653" si="1068">BU1651+BW1651+BY1651</f>
        <v>0</v>
      </c>
      <c r="CA1651" s="39">
        <f t="shared" si="900"/>
        <v>-280</v>
      </c>
      <c r="CB1651" s="39">
        <f t="shared" si="901"/>
        <v>-20</v>
      </c>
      <c r="CC1651" s="39">
        <f t="shared" si="902"/>
        <v>0</v>
      </c>
      <c r="CD1651" s="39">
        <f t="shared" ref="CD1651:CD1653" si="1069">SUMIF(CA1651:CC1651,"&lt;0")</f>
        <v>-300</v>
      </c>
      <c r="CE1651" s="102">
        <f t="shared" si="903"/>
        <v>-1</v>
      </c>
      <c r="CF1651" s="36"/>
      <c r="CG1651" s="39" t="s">
        <v>240</v>
      </c>
      <c r="CH1651" s="39"/>
      <c r="CI1651" s="25">
        <v>3</v>
      </c>
    </row>
    <row r="1652" spans="1:101" ht="24.75" customHeight="1">
      <c r="A1652" s="36" t="s">
        <v>46</v>
      </c>
      <c r="B1652" s="30">
        <v>47846</v>
      </c>
      <c r="C1652" s="227" t="s">
        <v>2626</v>
      </c>
      <c r="D1652" s="23" t="s">
        <v>37</v>
      </c>
      <c r="E1652" s="39">
        <v>140</v>
      </c>
      <c r="F1652" s="39" t="s">
        <v>64</v>
      </c>
      <c r="G1652" s="36" t="s">
        <v>2625</v>
      </c>
      <c r="H1652" s="36" t="s">
        <v>22</v>
      </c>
      <c r="I1652" s="39">
        <v>545</v>
      </c>
      <c r="J1652" s="39">
        <v>35</v>
      </c>
      <c r="K1652" s="39"/>
      <c r="L1652" s="39">
        <f t="shared" si="1056"/>
        <v>580</v>
      </c>
      <c r="M1652" s="117">
        <v>46275</v>
      </c>
      <c r="N1652" s="117">
        <v>46287</v>
      </c>
      <c r="O1652" s="39"/>
      <c r="P1652" s="39"/>
      <c r="Q1652" s="39"/>
      <c r="R1652" s="39">
        <f t="shared" si="1054"/>
        <v>0</v>
      </c>
      <c r="S1652" s="39" t="s">
        <v>130</v>
      </c>
      <c r="T1652" s="39"/>
      <c r="U1652" s="39"/>
      <c r="V1652" s="39"/>
      <c r="W1652" s="39"/>
      <c r="X1652" s="39"/>
      <c r="Y1652" s="39"/>
      <c r="Z1652" s="39"/>
      <c r="AA1652" s="39"/>
      <c r="AB1652" s="118">
        <f t="shared" si="1055"/>
        <v>0</v>
      </c>
      <c r="AC1652" s="39"/>
      <c r="AD1652" s="39"/>
      <c r="AE1652" s="39"/>
      <c r="AF1652" s="39"/>
      <c r="AG1652" s="39"/>
      <c r="AH1652" s="39">
        <f t="shared" si="1049"/>
        <v>0</v>
      </c>
      <c r="AI1652" s="39"/>
      <c r="AJ1652" s="39"/>
      <c r="AK1652" s="39"/>
      <c r="AL1652" s="39"/>
      <c r="AM1652" s="39"/>
      <c r="AN1652" s="39">
        <f t="shared" si="991"/>
        <v>0</v>
      </c>
      <c r="AO1652" s="39"/>
      <c r="AP1652" s="39"/>
      <c r="AQ1652" s="39"/>
      <c r="AR1652" s="39"/>
      <c r="AS1652" s="39"/>
      <c r="AT1652" s="39">
        <f t="shared" si="896"/>
        <v>0</v>
      </c>
      <c r="AU1652" s="39"/>
      <c r="AV1652" s="39"/>
      <c r="AW1652" s="39"/>
      <c r="AX1652" s="39"/>
      <c r="AY1652" s="39"/>
      <c r="AZ1652" s="39">
        <f t="shared" si="897"/>
        <v>0</v>
      </c>
      <c r="BA1652" s="39"/>
      <c r="BB1652" s="39"/>
      <c r="BC1652" s="39"/>
      <c r="BD1652" s="39"/>
      <c r="BE1652" s="39"/>
      <c r="BF1652" s="39">
        <f t="shared" si="898"/>
        <v>0</v>
      </c>
      <c r="BG1652" s="39"/>
      <c r="BH1652" s="39"/>
      <c r="BI1652" s="39"/>
      <c r="BJ1652" s="39"/>
      <c r="BK1652" s="39"/>
      <c r="BL1652" s="39">
        <f t="shared" si="1050"/>
        <v>0</v>
      </c>
      <c r="BM1652" s="54">
        <f t="shared" ca="1" si="899"/>
        <v>46283</v>
      </c>
      <c r="BN1652" s="60">
        <v>46290</v>
      </c>
      <c r="BO1652" s="57">
        <v>46303</v>
      </c>
      <c r="BP1652" s="57">
        <v>46305</v>
      </c>
      <c r="BQ1652" s="57">
        <v>46315</v>
      </c>
      <c r="BR1652" s="39"/>
      <c r="BS1652" s="39"/>
      <c r="BT1652" s="39"/>
      <c r="BU1652" s="39"/>
      <c r="BV1652" s="39"/>
      <c r="BW1652" s="39"/>
      <c r="BX1652" s="39"/>
      <c r="BY1652" s="39"/>
      <c r="BZ1652" s="39">
        <f t="shared" si="1068"/>
        <v>0</v>
      </c>
      <c r="CA1652" s="39">
        <f t="shared" si="900"/>
        <v>-545</v>
      </c>
      <c r="CB1652" s="39">
        <f t="shared" si="901"/>
        <v>-35</v>
      </c>
      <c r="CC1652" s="39">
        <f t="shared" si="902"/>
        <v>0</v>
      </c>
      <c r="CD1652" s="39">
        <f t="shared" si="1069"/>
        <v>-580</v>
      </c>
      <c r="CE1652" s="102">
        <f t="shared" si="903"/>
        <v>-1</v>
      </c>
      <c r="CF1652" s="36"/>
      <c r="CG1652" s="39" t="s">
        <v>240</v>
      </c>
      <c r="CH1652" s="39"/>
      <c r="CI1652" s="25">
        <v>3</v>
      </c>
    </row>
    <row r="1653" spans="1:101" ht="24.75" customHeight="1">
      <c r="A1653" s="36" t="s">
        <v>46</v>
      </c>
      <c r="B1653" s="30">
        <v>47846</v>
      </c>
      <c r="C1653" s="231"/>
      <c r="D1653" s="23" t="s">
        <v>37</v>
      </c>
      <c r="E1653" s="39">
        <v>140</v>
      </c>
      <c r="F1653" s="39" t="s">
        <v>64</v>
      </c>
      <c r="G1653" s="36" t="s">
        <v>2627</v>
      </c>
      <c r="H1653" s="36" t="s">
        <v>22</v>
      </c>
      <c r="I1653" s="39">
        <v>445</v>
      </c>
      <c r="J1653" s="39">
        <v>30</v>
      </c>
      <c r="K1653" s="39"/>
      <c r="L1653" s="39">
        <f t="shared" si="1056"/>
        <v>475</v>
      </c>
      <c r="M1653" s="117">
        <v>46275</v>
      </c>
      <c r="N1653" s="117">
        <v>46287</v>
      </c>
      <c r="O1653" s="39"/>
      <c r="P1653" s="39"/>
      <c r="Q1653" s="39"/>
      <c r="R1653" s="39">
        <f t="shared" si="1054"/>
        <v>0</v>
      </c>
      <c r="S1653" s="39" t="s">
        <v>28</v>
      </c>
      <c r="T1653" s="39"/>
      <c r="U1653" s="39"/>
      <c r="V1653" s="39"/>
      <c r="W1653" s="39"/>
      <c r="X1653" s="39"/>
      <c r="Y1653" s="39"/>
      <c r="Z1653" s="39"/>
      <c r="AA1653" s="39"/>
      <c r="AB1653" s="118">
        <f t="shared" si="1055"/>
        <v>0</v>
      </c>
      <c r="AC1653" s="39"/>
      <c r="AD1653" s="39"/>
      <c r="AE1653" s="39"/>
      <c r="AF1653" s="39"/>
      <c r="AG1653" s="39"/>
      <c r="AH1653" s="39">
        <f t="shared" si="1049"/>
        <v>0</v>
      </c>
      <c r="AI1653" s="39"/>
      <c r="AJ1653" s="39"/>
      <c r="AK1653" s="39"/>
      <c r="AL1653" s="39"/>
      <c r="AM1653" s="39"/>
      <c r="AN1653" s="39">
        <f t="shared" si="991"/>
        <v>0</v>
      </c>
      <c r="AO1653" s="39"/>
      <c r="AP1653" s="39"/>
      <c r="AQ1653" s="39"/>
      <c r="AR1653" s="39"/>
      <c r="AS1653" s="39"/>
      <c r="AT1653" s="39">
        <f t="shared" si="896"/>
        <v>0</v>
      </c>
      <c r="AU1653" s="39"/>
      <c r="AV1653" s="39"/>
      <c r="AW1653" s="39"/>
      <c r="AX1653" s="39"/>
      <c r="AY1653" s="39"/>
      <c r="AZ1653" s="39">
        <f t="shared" si="897"/>
        <v>0</v>
      </c>
      <c r="BA1653" s="39"/>
      <c r="BB1653" s="39"/>
      <c r="BC1653" s="39"/>
      <c r="BD1653" s="39"/>
      <c r="BE1653" s="39"/>
      <c r="BF1653" s="39">
        <f t="shared" si="898"/>
        <v>0</v>
      </c>
      <c r="BG1653" s="39"/>
      <c r="BH1653" s="39"/>
      <c r="BI1653" s="39"/>
      <c r="BJ1653" s="39"/>
      <c r="BK1653" s="39"/>
      <c r="BL1653" s="39">
        <f t="shared" si="1050"/>
        <v>0</v>
      </c>
      <c r="BM1653" s="54">
        <f t="shared" ca="1" si="899"/>
        <v>46283</v>
      </c>
      <c r="BN1653" s="60">
        <v>46290</v>
      </c>
      <c r="BO1653" s="57">
        <v>46303</v>
      </c>
      <c r="BP1653" s="57">
        <v>46305</v>
      </c>
      <c r="BQ1653" s="57">
        <v>46315</v>
      </c>
      <c r="BR1653" s="39"/>
      <c r="BS1653" s="39"/>
      <c r="BT1653" s="39"/>
      <c r="BU1653" s="39"/>
      <c r="BV1653" s="39"/>
      <c r="BW1653" s="39"/>
      <c r="BX1653" s="39"/>
      <c r="BY1653" s="39"/>
      <c r="BZ1653" s="39">
        <f t="shared" si="1068"/>
        <v>0</v>
      </c>
      <c r="CA1653" s="39">
        <f t="shared" si="900"/>
        <v>-445</v>
      </c>
      <c r="CB1653" s="39">
        <f t="shared" si="901"/>
        <v>-30</v>
      </c>
      <c r="CC1653" s="39">
        <f t="shared" si="902"/>
        <v>0</v>
      </c>
      <c r="CD1653" s="39">
        <f t="shared" si="1069"/>
        <v>-475</v>
      </c>
      <c r="CE1653" s="102">
        <f t="shared" si="903"/>
        <v>-1</v>
      </c>
      <c r="CF1653" s="36"/>
      <c r="CG1653" s="39" t="s">
        <v>240</v>
      </c>
      <c r="CH1653" s="39"/>
      <c r="CI1653" s="25">
        <v>3</v>
      </c>
    </row>
    <row r="1654" spans="1:101" ht="24.75" customHeight="1">
      <c r="A1654" s="36" t="s">
        <v>46</v>
      </c>
      <c r="B1654" s="30">
        <v>47846</v>
      </c>
      <c r="C1654" s="228"/>
      <c r="D1654" s="23" t="s">
        <v>37</v>
      </c>
      <c r="E1654" s="39">
        <v>140</v>
      </c>
      <c r="F1654" s="39" t="s">
        <v>64</v>
      </c>
      <c r="G1654" s="36" t="s">
        <v>522</v>
      </c>
      <c r="H1654" s="36" t="s">
        <v>22</v>
      </c>
      <c r="I1654" s="39">
        <v>295</v>
      </c>
      <c r="J1654" s="39">
        <v>20</v>
      </c>
      <c r="K1654" s="39"/>
      <c r="L1654" s="39">
        <f t="shared" si="1056"/>
        <v>315</v>
      </c>
      <c r="M1654" s="117">
        <v>46275</v>
      </c>
      <c r="N1654" s="117">
        <v>46287</v>
      </c>
      <c r="O1654" s="39"/>
      <c r="P1654" s="39"/>
      <c r="Q1654" s="39"/>
      <c r="R1654" s="39">
        <f t="shared" si="1054"/>
        <v>0</v>
      </c>
      <c r="S1654" s="39" t="s">
        <v>28</v>
      </c>
      <c r="T1654" s="39"/>
      <c r="U1654" s="39"/>
      <c r="V1654" s="39"/>
      <c r="W1654" s="39"/>
      <c r="X1654" s="39"/>
      <c r="Y1654" s="39"/>
      <c r="Z1654" s="39"/>
      <c r="AA1654" s="39"/>
      <c r="AB1654" s="118">
        <f t="shared" si="1055"/>
        <v>0</v>
      </c>
      <c r="AC1654" s="39"/>
      <c r="AD1654" s="39"/>
      <c r="AE1654" s="39"/>
      <c r="AF1654" s="39"/>
      <c r="AG1654" s="39"/>
      <c r="AH1654" s="39">
        <f t="shared" si="1049"/>
        <v>0</v>
      </c>
      <c r="AI1654" s="39"/>
      <c r="AJ1654" s="39"/>
      <c r="AK1654" s="39"/>
      <c r="AL1654" s="39"/>
      <c r="AM1654" s="39"/>
      <c r="AN1654" s="39">
        <f t="shared" si="991"/>
        <v>0</v>
      </c>
      <c r="AO1654" s="39"/>
      <c r="AP1654" s="39"/>
      <c r="AQ1654" s="39"/>
      <c r="AR1654" s="39"/>
      <c r="AS1654" s="39"/>
      <c r="AT1654" s="39">
        <f t="shared" si="896"/>
        <v>0</v>
      </c>
      <c r="AU1654" s="39"/>
      <c r="AV1654" s="39"/>
      <c r="AW1654" s="39"/>
      <c r="AX1654" s="39"/>
      <c r="AY1654" s="39"/>
      <c r="AZ1654" s="39">
        <f t="shared" si="897"/>
        <v>0</v>
      </c>
      <c r="BA1654" s="39"/>
      <c r="BB1654" s="39"/>
      <c r="BC1654" s="39"/>
      <c r="BD1654" s="39"/>
      <c r="BE1654" s="39"/>
      <c r="BF1654" s="39">
        <f t="shared" si="898"/>
        <v>0</v>
      </c>
      <c r="BG1654" s="39"/>
      <c r="BH1654" s="39"/>
      <c r="BI1654" s="39"/>
      <c r="BJ1654" s="39"/>
      <c r="BK1654" s="39"/>
      <c r="BL1654" s="39">
        <f t="shared" si="1050"/>
        <v>0</v>
      </c>
      <c r="BM1654" s="54">
        <f t="shared" ca="1" si="899"/>
        <v>46283</v>
      </c>
      <c r="BN1654" s="60">
        <v>46290</v>
      </c>
      <c r="BO1654" s="57">
        <v>46303</v>
      </c>
      <c r="BP1654" s="57">
        <v>46305</v>
      </c>
      <c r="BQ1654" s="57">
        <v>46315</v>
      </c>
      <c r="BR1654" s="39"/>
      <c r="BS1654" s="39"/>
      <c r="BT1654" s="39"/>
      <c r="BU1654" s="39"/>
      <c r="BV1654" s="39"/>
      <c r="BW1654" s="39"/>
      <c r="BX1654" s="39"/>
      <c r="BY1654" s="39"/>
      <c r="BZ1654" s="39">
        <f>BU1654+BW1654+BY1654</f>
        <v>0</v>
      </c>
      <c r="CA1654" s="39">
        <f t="shared" si="900"/>
        <v>-295</v>
      </c>
      <c r="CB1654" s="39">
        <f t="shared" si="901"/>
        <v>-20</v>
      </c>
      <c r="CC1654" s="39">
        <f t="shared" si="902"/>
        <v>0</v>
      </c>
      <c r="CD1654" s="39">
        <f>SUMIF(CA1654:CC1654,"&lt;0")</f>
        <v>-315</v>
      </c>
      <c r="CE1654" s="102">
        <f t="shared" si="903"/>
        <v>-1</v>
      </c>
      <c r="CF1654" s="36"/>
      <c r="CG1654" s="39" t="s">
        <v>240</v>
      </c>
      <c r="CH1654" s="39"/>
      <c r="CI1654" s="25">
        <v>3</v>
      </c>
      <c r="CJ1654" s="6" t="s">
        <v>19</v>
      </c>
    </row>
    <row r="1655" spans="1:101" ht="24.75" customHeight="1">
      <c r="A1655" s="36" t="s">
        <v>46</v>
      </c>
      <c r="B1655" s="30">
        <v>48315</v>
      </c>
      <c r="C1655" s="227" t="s">
        <v>2636</v>
      </c>
      <c r="D1655" s="23"/>
      <c r="E1655" s="39">
        <v>140</v>
      </c>
      <c r="F1655" s="39" t="s">
        <v>53</v>
      </c>
      <c r="G1655" s="36" t="s">
        <v>1903</v>
      </c>
      <c r="H1655" s="36" t="s">
        <v>22</v>
      </c>
      <c r="I1655" s="39">
        <v>507</v>
      </c>
      <c r="J1655" s="39"/>
      <c r="K1655" s="39"/>
      <c r="L1655" s="39">
        <f t="shared" si="1056"/>
        <v>507</v>
      </c>
      <c r="M1655" s="117">
        <v>46275</v>
      </c>
      <c r="N1655" s="117">
        <v>46289</v>
      </c>
      <c r="O1655" s="39"/>
      <c r="P1655" s="39"/>
      <c r="Q1655" s="39"/>
      <c r="R1655" s="39">
        <f t="shared" si="1054"/>
        <v>0</v>
      </c>
      <c r="S1655" s="39" t="s">
        <v>2997</v>
      </c>
      <c r="T1655" s="39"/>
      <c r="U1655" s="39"/>
      <c r="V1655" s="39"/>
      <c r="W1655" s="39"/>
      <c r="X1655" s="39"/>
      <c r="Y1655" s="39"/>
      <c r="Z1655" s="39"/>
      <c r="AA1655" s="39"/>
      <c r="AB1655" s="118">
        <f t="shared" si="1055"/>
        <v>0</v>
      </c>
      <c r="AC1655" s="39"/>
      <c r="AD1655" s="39"/>
      <c r="AE1655" s="39"/>
      <c r="AF1655" s="39"/>
      <c r="AG1655" s="39"/>
      <c r="AH1655" s="39">
        <f t="shared" si="1049"/>
        <v>0</v>
      </c>
      <c r="AI1655" s="39"/>
      <c r="AJ1655" s="39"/>
      <c r="AK1655" s="39"/>
      <c r="AL1655" s="39"/>
      <c r="AM1655" s="39"/>
      <c r="AN1655" s="39">
        <f t="shared" si="991"/>
        <v>0</v>
      </c>
      <c r="AO1655" s="39"/>
      <c r="AP1655" s="39"/>
      <c r="AQ1655" s="39"/>
      <c r="AR1655" s="39"/>
      <c r="AS1655" s="39"/>
      <c r="AT1655" s="39">
        <f t="shared" si="896"/>
        <v>0</v>
      </c>
      <c r="AU1655" s="39"/>
      <c r="AV1655" s="39"/>
      <c r="AW1655" s="39"/>
      <c r="AX1655" s="39"/>
      <c r="AY1655" s="39"/>
      <c r="AZ1655" s="39">
        <f t="shared" si="897"/>
        <v>0</v>
      </c>
      <c r="BA1655" s="39"/>
      <c r="BB1655" s="39"/>
      <c r="BC1655" s="39"/>
      <c r="BD1655" s="39"/>
      <c r="BE1655" s="39"/>
      <c r="BF1655" s="39">
        <f t="shared" si="898"/>
        <v>0</v>
      </c>
      <c r="BG1655" s="39"/>
      <c r="BH1655" s="39"/>
      <c r="BI1655" s="39"/>
      <c r="BJ1655" s="39"/>
      <c r="BK1655" s="39"/>
      <c r="BL1655" s="39">
        <f t="shared" si="1050"/>
        <v>0</v>
      </c>
      <c r="BM1655" s="54">
        <f t="shared" ca="1" si="899"/>
        <v>46283</v>
      </c>
      <c r="BN1655" s="60">
        <v>46287</v>
      </c>
      <c r="BO1655" s="57">
        <v>46304</v>
      </c>
      <c r="BP1655" s="57"/>
      <c r="BQ1655" s="57"/>
      <c r="BR1655" s="39"/>
      <c r="BS1655" s="39"/>
      <c r="BT1655" s="39"/>
      <c r="BU1655" s="39"/>
      <c r="BV1655" s="39"/>
      <c r="BW1655" s="39"/>
      <c r="BX1655" s="39"/>
      <c r="BY1655" s="39"/>
      <c r="BZ1655" s="39">
        <f t="shared" ref="BZ1655:BZ1657" si="1070">BU1655+BW1655+BY1655</f>
        <v>0</v>
      </c>
      <c r="CA1655" s="39">
        <f t="shared" si="900"/>
        <v>-507</v>
      </c>
      <c r="CB1655" s="39">
        <f t="shared" si="901"/>
        <v>0</v>
      </c>
      <c r="CC1655" s="39">
        <f t="shared" si="902"/>
        <v>0</v>
      </c>
      <c r="CD1655" s="39">
        <f t="shared" ref="CD1655:CD1657" si="1071">SUMIF(CA1655:CC1655,"&lt;0")</f>
        <v>-507</v>
      </c>
      <c r="CE1655" s="102">
        <f t="shared" si="903"/>
        <v>-1</v>
      </c>
      <c r="CF1655" s="36"/>
      <c r="CG1655" s="39" t="s">
        <v>242</v>
      </c>
      <c r="CH1655" s="39"/>
      <c r="CI1655" s="25">
        <v>3</v>
      </c>
    </row>
    <row r="1656" spans="1:101" ht="24.75" customHeight="1">
      <c r="A1656" s="36" t="s">
        <v>46</v>
      </c>
      <c r="B1656" s="30">
        <v>48315</v>
      </c>
      <c r="C1656" s="231"/>
      <c r="D1656" s="23" t="s">
        <v>37</v>
      </c>
      <c r="E1656" s="39">
        <v>140</v>
      </c>
      <c r="F1656" s="39" t="s">
        <v>53</v>
      </c>
      <c r="G1656" s="36" t="s">
        <v>444</v>
      </c>
      <c r="H1656" s="36" t="s">
        <v>22</v>
      </c>
      <c r="I1656" s="39">
        <v>571</v>
      </c>
      <c r="J1656" s="39"/>
      <c r="K1656" s="39"/>
      <c r="L1656" s="39">
        <f t="shared" si="1056"/>
        <v>571</v>
      </c>
      <c r="M1656" s="117">
        <v>46275</v>
      </c>
      <c r="N1656" s="117">
        <v>46289</v>
      </c>
      <c r="O1656" s="39"/>
      <c r="P1656" s="39"/>
      <c r="Q1656" s="39"/>
      <c r="R1656" s="39">
        <f t="shared" si="1054"/>
        <v>0</v>
      </c>
      <c r="S1656" s="39" t="s">
        <v>28</v>
      </c>
      <c r="T1656" s="39"/>
      <c r="U1656" s="39"/>
      <c r="V1656" s="39"/>
      <c r="W1656" s="39"/>
      <c r="X1656" s="39"/>
      <c r="Y1656" s="39"/>
      <c r="Z1656" s="39"/>
      <c r="AA1656" s="39"/>
      <c r="AB1656" s="118">
        <f t="shared" si="1055"/>
        <v>0</v>
      </c>
      <c r="AC1656" s="39"/>
      <c r="AD1656" s="39"/>
      <c r="AE1656" s="39"/>
      <c r="AF1656" s="39"/>
      <c r="AG1656" s="39"/>
      <c r="AH1656" s="39">
        <f t="shared" si="1049"/>
        <v>0</v>
      </c>
      <c r="AI1656" s="39"/>
      <c r="AJ1656" s="39"/>
      <c r="AK1656" s="39"/>
      <c r="AL1656" s="39"/>
      <c r="AM1656" s="39"/>
      <c r="AN1656" s="39">
        <f t="shared" si="991"/>
        <v>0</v>
      </c>
      <c r="AO1656" s="39"/>
      <c r="AP1656" s="39"/>
      <c r="AQ1656" s="39"/>
      <c r="AR1656" s="39"/>
      <c r="AS1656" s="39"/>
      <c r="AT1656" s="39">
        <f t="shared" si="896"/>
        <v>0</v>
      </c>
      <c r="AU1656" s="39"/>
      <c r="AV1656" s="39"/>
      <c r="AW1656" s="39"/>
      <c r="AX1656" s="39"/>
      <c r="AY1656" s="39"/>
      <c r="AZ1656" s="39">
        <f t="shared" si="897"/>
        <v>0</v>
      </c>
      <c r="BA1656" s="39"/>
      <c r="BB1656" s="39"/>
      <c r="BC1656" s="39"/>
      <c r="BD1656" s="39"/>
      <c r="BE1656" s="39"/>
      <c r="BF1656" s="39">
        <f t="shared" si="898"/>
        <v>0</v>
      </c>
      <c r="BG1656" s="39"/>
      <c r="BH1656" s="39"/>
      <c r="BI1656" s="39"/>
      <c r="BJ1656" s="39"/>
      <c r="BK1656" s="39"/>
      <c r="BL1656" s="39">
        <f t="shared" si="1050"/>
        <v>0</v>
      </c>
      <c r="BM1656" s="54">
        <f t="shared" ca="1" si="899"/>
        <v>46283</v>
      </c>
      <c r="BN1656" s="60">
        <v>46287</v>
      </c>
      <c r="BO1656" s="57">
        <v>46304</v>
      </c>
      <c r="BP1656" s="57">
        <v>46305</v>
      </c>
      <c r="BQ1656" s="57">
        <v>46317</v>
      </c>
      <c r="BR1656" s="39"/>
      <c r="BS1656" s="39"/>
      <c r="BT1656" s="39"/>
      <c r="BU1656" s="39"/>
      <c r="BV1656" s="39"/>
      <c r="BW1656" s="39"/>
      <c r="BX1656" s="39"/>
      <c r="BY1656" s="39"/>
      <c r="BZ1656" s="39">
        <f t="shared" si="1070"/>
        <v>0</v>
      </c>
      <c r="CA1656" s="39">
        <f t="shared" si="900"/>
        <v>-571</v>
      </c>
      <c r="CB1656" s="39">
        <f t="shared" si="901"/>
        <v>0</v>
      </c>
      <c r="CC1656" s="39">
        <f t="shared" si="902"/>
        <v>0</v>
      </c>
      <c r="CD1656" s="39">
        <f t="shared" si="1071"/>
        <v>-571</v>
      </c>
      <c r="CE1656" s="102">
        <f t="shared" si="903"/>
        <v>-1</v>
      </c>
      <c r="CF1656" s="36"/>
      <c r="CG1656" s="39" t="s">
        <v>242</v>
      </c>
      <c r="CH1656" s="39"/>
      <c r="CI1656" s="25">
        <v>3</v>
      </c>
    </row>
    <row r="1657" spans="1:101" ht="24.75" customHeight="1">
      <c r="A1657" s="36" t="s">
        <v>46</v>
      </c>
      <c r="B1657" s="30">
        <v>48315</v>
      </c>
      <c r="C1657" s="228"/>
      <c r="D1657" s="23" t="s">
        <v>37</v>
      </c>
      <c r="E1657" s="39">
        <v>140</v>
      </c>
      <c r="F1657" s="39" t="s">
        <v>53</v>
      </c>
      <c r="G1657" s="36" t="s">
        <v>2279</v>
      </c>
      <c r="H1657" s="36" t="s">
        <v>22</v>
      </c>
      <c r="I1657" s="39">
        <v>965</v>
      </c>
      <c r="J1657" s="39"/>
      <c r="K1657" s="39"/>
      <c r="L1657" s="39">
        <f t="shared" si="1056"/>
        <v>965</v>
      </c>
      <c r="M1657" s="117">
        <v>46275</v>
      </c>
      <c r="N1657" s="117">
        <v>46289</v>
      </c>
      <c r="O1657" s="39"/>
      <c r="P1657" s="39"/>
      <c r="Q1657" s="39"/>
      <c r="R1657" s="39">
        <f t="shared" si="1054"/>
        <v>0</v>
      </c>
      <c r="S1657" s="39" t="s">
        <v>2997</v>
      </c>
      <c r="T1657" s="39"/>
      <c r="U1657" s="39"/>
      <c r="V1657" s="39"/>
      <c r="W1657" s="39"/>
      <c r="X1657" s="39"/>
      <c r="Y1657" s="39"/>
      <c r="Z1657" s="39"/>
      <c r="AA1657" s="39"/>
      <c r="AB1657" s="118">
        <f t="shared" si="1055"/>
        <v>0</v>
      </c>
      <c r="AC1657" s="39"/>
      <c r="AD1657" s="39"/>
      <c r="AE1657" s="39"/>
      <c r="AF1657" s="39"/>
      <c r="AG1657" s="39"/>
      <c r="AH1657" s="39">
        <f t="shared" si="1049"/>
        <v>0</v>
      </c>
      <c r="AI1657" s="39"/>
      <c r="AJ1657" s="39"/>
      <c r="AK1657" s="39"/>
      <c r="AL1657" s="39"/>
      <c r="AM1657" s="39"/>
      <c r="AN1657" s="39">
        <f t="shared" si="991"/>
        <v>0</v>
      </c>
      <c r="AO1657" s="39"/>
      <c r="AP1657" s="39"/>
      <c r="AQ1657" s="39"/>
      <c r="AR1657" s="39"/>
      <c r="AS1657" s="39"/>
      <c r="AT1657" s="39">
        <f t="shared" si="896"/>
        <v>0</v>
      </c>
      <c r="AU1657" s="39"/>
      <c r="AV1657" s="39"/>
      <c r="AW1657" s="39"/>
      <c r="AX1657" s="39"/>
      <c r="AY1657" s="39"/>
      <c r="AZ1657" s="39">
        <f t="shared" si="897"/>
        <v>0</v>
      </c>
      <c r="BA1657" s="39"/>
      <c r="BB1657" s="39"/>
      <c r="BC1657" s="39"/>
      <c r="BD1657" s="39"/>
      <c r="BE1657" s="39"/>
      <c r="BF1657" s="39">
        <f t="shared" si="898"/>
        <v>0</v>
      </c>
      <c r="BG1657" s="39"/>
      <c r="BH1657" s="39"/>
      <c r="BI1657" s="39"/>
      <c r="BJ1657" s="39"/>
      <c r="BK1657" s="39"/>
      <c r="BL1657" s="39">
        <f t="shared" si="1050"/>
        <v>0</v>
      </c>
      <c r="BM1657" s="54">
        <f t="shared" ca="1" si="899"/>
        <v>46283</v>
      </c>
      <c r="BN1657" s="60">
        <v>46287</v>
      </c>
      <c r="BO1657" s="57">
        <v>46304</v>
      </c>
      <c r="BP1657" s="57">
        <v>46305</v>
      </c>
      <c r="BQ1657" s="57">
        <v>46317</v>
      </c>
      <c r="BR1657" s="39"/>
      <c r="BS1657" s="39"/>
      <c r="BT1657" s="39"/>
      <c r="BU1657" s="39"/>
      <c r="BV1657" s="39"/>
      <c r="BW1657" s="39"/>
      <c r="BX1657" s="39"/>
      <c r="BY1657" s="39"/>
      <c r="BZ1657" s="39">
        <f t="shared" si="1070"/>
        <v>0</v>
      </c>
      <c r="CA1657" s="39">
        <f t="shared" si="900"/>
        <v>-965</v>
      </c>
      <c r="CB1657" s="39">
        <f t="shared" si="901"/>
        <v>0</v>
      </c>
      <c r="CC1657" s="39">
        <f t="shared" si="902"/>
        <v>0</v>
      </c>
      <c r="CD1657" s="39">
        <f t="shared" si="1071"/>
        <v>-965</v>
      </c>
      <c r="CE1657" s="102">
        <f t="shared" si="903"/>
        <v>-1</v>
      </c>
      <c r="CF1657" s="36"/>
      <c r="CG1657" s="39" t="s">
        <v>242</v>
      </c>
      <c r="CH1657" s="39"/>
      <c r="CI1657" s="25">
        <v>3</v>
      </c>
    </row>
    <row r="1658" spans="1:101" ht="24.75" customHeight="1">
      <c r="A1658" s="36" t="s">
        <v>46</v>
      </c>
      <c r="B1658" s="30"/>
      <c r="C1658" s="36"/>
      <c r="D1658" s="23"/>
      <c r="E1658" s="39"/>
      <c r="F1658" s="39"/>
      <c r="G1658" s="36"/>
      <c r="H1658" s="39"/>
      <c r="I1658" s="39"/>
      <c r="J1658" s="39"/>
      <c r="K1658" s="39"/>
      <c r="L1658" s="39">
        <f t="shared" ref="L1658:L1674" si="1072">SUM(I1658:K1658)</f>
        <v>0</v>
      </c>
      <c r="M1658" s="39"/>
      <c r="N1658" s="39"/>
      <c r="O1658" s="39"/>
      <c r="P1658" s="39"/>
      <c r="Q1658" s="39"/>
      <c r="R1658" s="39">
        <f t="shared" ref="R1658:R1674" si="1073">SUM(O1658:Q1658)</f>
        <v>0</v>
      </c>
      <c r="S1658" s="39"/>
      <c r="T1658" s="39"/>
      <c r="U1658" s="39"/>
      <c r="V1658" s="39"/>
      <c r="W1658" s="39"/>
      <c r="X1658" s="39"/>
      <c r="Y1658" s="39"/>
      <c r="Z1658" s="39"/>
      <c r="AA1658" s="39"/>
      <c r="AB1658" s="39">
        <f t="shared" ref="AB1658:AB1674" si="1074">SUM(Y1658:AA1658)</f>
        <v>0</v>
      </c>
      <c r="AC1658" s="39"/>
      <c r="AD1658" s="39"/>
      <c r="AE1658" s="39"/>
      <c r="AF1658" s="39"/>
      <c r="AG1658" s="39"/>
      <c r="AH1658" s="39">
        <f t="shared" si="1049"/>
        <v>0</v>
      </c>
      <c r="AI1658" s="39"/>
      <c r="AJ1658" s="39"/>
      <c r="AK1658" s="39"/>
      <c r="AL1658" s="39"/>
      <c r="AM1658" s="39"/>
      <c r="AN1658" s="39">
        <f t="shared" si="991"/>
        <v>0</v>
      </c>
      <c r="AO1658" s="39"/>
      <c r="AP1658" s="39"/>
      <c r="AQ1658" s="39"/>
      <c r="AR1658" s="39"/>
      <c r="AS1658" s="39"/>
      <c r="AT1658" s="39">
        <f t="shared" si="896"/>
        <v>0</v>
      </c>
      <c r="AU1658" s="39"/>
      <c r="AV1658" s="39"/>
      <c r="AW1658" s="39"/>
      <c r="AX1658" s="39"/>
      <c r="AY1658" s="39"/>
      <c r="AZ1658" s="39">
        <f t="shared" si="897"/>
        <v>0</v>
      </c>
      <c r="BA1658" s="39"/>
      <c r="BB1658" s="39"/>
      <c r="BC1658" s="39"/>
      <c r="BD1658" s="39"/>
      <c r="BE1658" s="39"/>
      <c r="BF1658" s="39">
        <f t="shared" si="898"/>
        <v>0</v>
      </c>
      <c r="BG1658" s="39"/>
      <c r="BH1658" s="39"/>
      <c r="BI1658" s="39"/>
      <c r="BJ1658" s="39"/>
      <c r="BK1658" s="39"/>
      <c r="BL1658" s="39">
        <f t="shared" si="1050"/>
        <v>0</v>
      </c>
      <c r="BM1658" s="54" t="e">
        <f t="shared" si="899"/>
        <v>#DIV/0!</v>
      </c>
      <c r="BN1658" s="61"/>
      <c r="BO1658" s="36"/>
      <c r="BP1658" s="36"/>
      <c r="BQ1658" s="36"/>
      <c r="BR1658" s="39"/>
      <c r="BS1658" s="39"/>
      <c r="BT1658" s="39"/>
      <c r="BU1658" s="39"/>
      <c r="BV1658" s="39"/>
      <c r="BW1658" s="39"/>
      <c r="BX1658" s="39"/>
      <c r="BY1658" s="39"/>
      <c r="BZ1658" s="39">
        <f t="shared" si="1051"/>
        <v>0</v>
      </c>
      <c r="CA1658" s="39">
        <f t="shared" si="900"/>
        <v>0</v>
      </c>
      <c r="CB1658" s="39">
        <f t="shared" si="901"/>
        <v>0</v>
      </c>
      <c r="CC1658" s="39">
        <f t="shared" si="902"/>
        <v>0</v>
      </c>
      <c r="CD1658" s="39">
        <f t="shared" si="1052"/>
        <v>0</v>
      </c>
      <c r="CE1658" s="47" t="e">
        <f t="shared" si="903"/>
        <v>#DIV/0!</v>
      </c>
      <c r="CF1658" s="36"/>
      <c r="CG1658" s="39"/>
      <c r="CH1658" s="39"/>
      <c r="CI1658" s="25">
        <v>3</v>
      </c>
    </row>
    <row r="1659" spans="1:101" ht="24.75" customHeight="1">
      <c r="A1659" s="36" t="s">
        <v>46</v>
      </c>
      <c r="B1659" s="30"/>
      <c r="C1659" s="36"/>
      <c r="D1659" s="23"/>
      <c r="E1659" s="39"/>
      <c r="F1659" s="39"/>
      <c r="G1659" s="36"/>
      <c r="H1659" s="39"/>
      <c r="I1659" s="39"/>
      <c r="J1659" s="39"/>
      <c r="K1659" s="39"/>
      <c r="L1659" s="39">
        <f t="shared" si="1072"/>
        <v>0</v>
      </c>
      <c r="M1659" s="39"/>
      <c r="N1659" s="39"/>
      <c r="O1659" s="39"/>
      <c r="P1659" s="39"/>
      <c r="Q1659" s="39"/>
      <c r="R1659" s="39">
        <f t="shared" si="1073"/>
        <v>0</v>
      </c>
      <c r="S1659" s="39"/>
      <c r="T1659" s="39"/>
      <c r="U1659" s="39"/>
      <c r="V1659" s="39"/>
      <c r="W1659" s="39"/>
      <c r="X1659" s="39"/>
      <c r="Y1659" s="39"/>
      <c r="Z1659" s="39"/>
      <c r="AA1659" s="39"/>
      <c r="AB1659" s="39">
        <f t="shared" si="1074"/>
        <v>0</v>
      </c>
      <c r="AC1659" s="39"/>
      <c r="AD1659" s="39"/>
      <c r="AE1659" s="39"/>
      <c r="AF1659" s="39"/>
      <c r="AG1659" s="39"/>
      <c r="AH1659" s="39">
        <f t="shared" si="1049"/>
        <v>0</v>
      </c>
      <c r="AI1659" s="39"/>
      <c r="AJ1659" s="39"/>
      <c r="AK1659" s="39"/>
      <c r="AL1659" s="39"/>
      <c r="AM1659" s="39"/>
      <c r="AN1659" s="39">
        <f t="shared" si="991"/>
        <v>0</v>
      </c>
      <c r="AO1659" s="39"/>
      <c r="AP1659" s="39"/>
      <c r="AQ1659" s="39"/>
      <c r="AR1659" s="39"/>
      <c r="AS1659" s="39"/>
      <c r="AT1659" s="39">
        <f t="shared" si="896"/>
        <v>0</v>
      </c>
      <c r="AU1659" s="39"/>
      <c r="AV1659" s="39"/>
      <c r="AW1659" s="39"/>
      <c r="AX1659" s="39"/>
      <c r="AY1659" s="39"/>
      <c r="AZ1659" s="39">
        <f t="shared" si="897"/>
        <v>0</v>
      </c>
      <c r="BA1659" s="39"/>
      <c r="BB1659" s="39"/>
      <c r="BC1659" s="39"/>
      <c r="BD1659" s="39"/>
      <c r="BE1659" s="39"/>
      <c r="BF1659" s="39">
        <f t="shared" si="898"/>
        <v>0</v>
      </c>
      <c r="BG1659" s="39"/>
      <c r="BH1659" s="39"/>
      <c r="BI1659" s="39"/>
      <c r="BJ1659" s="39"/>
      <c r="BK1659" s="39"/>
      <c r="BL1659" s="39">
        <f t="shared" si="1050"/>
        <v>0</v>
      </c>
      <c r="BM1659" s="54" t="e">
        <f t="shared" si="899"/>
        <v>#DIV/0!</v>
      </c>
      <c r="BN1659" s="61"/>
      <c r="BO1659" s="36"/>
      <c r="BP1659" s="36"/>
      <c r="BQ1659" s="36"/>
      <c r="BR1659" s="39"/>
      <c r="BS1659" s="39"/>
      <c r="BT1659" s="39"/>
      <c r="BU1659" s="39"/>
      <c r="BV1659" s="39"/>
      <c r="BW1659" s="39"/>
      <c r="BX1659" s="39"/>
      <c r="BY1659" s="39"/>
      <c r="BZ1659" s="39">
        <f t="shared" si="1051"/>
        <v>0</v>
      </c>
      <c r="CA1659" s="39">
        <f t="shared" si="900"/>
        <v>0</v>
      </c>
      <c r="CB1659" s="39">
        <f t="shared" si="901"/>
        <v>0</v>
      </c>
      <c r="CC1659" s="39">
        <f t="shared" si="902"/>
        <v>0</v>
      </c>
      <c r="CD1659" s="39">
        <f t="shared" si="1052"/>
        <v>0</v>
      </c>
      <c r="CE1659" s="47" t="e">
        <f t="shared" si="903"/>
        <v>#DIV/0!</v>
      </c>
      <c r="CF1659" s="36"/>
      <c r="CG1659" s="39"/>
      <c r="CH1659" s="39"/>
      <c r="CI1659" s="25">
        <v>3</v>
      </c>
    </row>
    <row r="1660" spans="1:101" ht="24.75" customHeight="1">
      <c r="A1660" s="36" t="s">
        <v>46</v>
      </c>
      <c r="B1660" s="30"/>
      <c r="C1660" s="36"/>
      <c r="D1660" s="23"/>
      <c r="E1660" s="39"/>
      <c r="F1660" s="39"/>
      <c r="G1660" s="36"/>
      <c r="H1660" s="39"/>
      <c r="I1660" s="39"/>
      <c r="J1660" s="39"/>
      <c r="K1660" s="39"/>
      <c r="L1660" s="39">
        <f t="shared" si="1072"/>
        <v>0</v>
      </c>
      <c r="M1660" s="39"/>
      <c r="N1660" s="39"/>
      <c r="O1660" s="39"/>
      <c r="P1660" s="39"/>
      <c r="Q1660" s="39"/>
      <c r="R1660" s="39">
        <f t="shared" si="1073"/>
        <v>0</v>
      </c>
      <c r="S1660" s="39"/>
      <c r="T1660" s="39"/>
      <c r="U1660" s="39"/>
      <c r="V1660" s="39"/>
      <c r="W1660" s="39"/>
      <c r="X1660" s="39"/>
      <c r="Y1660" s="39"/>
      <c r="Z1660" s="39"/>
      <c r="AA1660" s="39"/>
      <c r="AB1660" s="39">
        <f t="shared" si="1074"/>
        <v>0</v>
      </c>
      <c r="AC1660" s="39"/>
      <c r="AD1660" s="39"/>
      <c r="AE1660" s="39"/>
      <c r="AF1660" s="39"/>
      <c r="AG1660" s="39"/>
      <c r="AH1660" s="39">
        <f t="shared" si="1049"/>
        <v>0</v>
      </c>
      <c r="AI1660" s="39"/>
      <c r="AJ1660" s="39"/>
      <c r="AK1660" s="39"/>
      <c r="AL1660" s="39"/>
      <c r="AM1660" s="39"/>
      <c r="AN1660" s="39">
        <f t="shared" si="991"/>
        <v>0</v>
      </c>
      <c r="AO1660" s="39"/>
      <c r="AP1660" s="39"/>
      <c r="AQ1660" s="39"/>
      <c r="AR1660" s="39"/>
      <c r="AS1660" s="39"/>
      <c r="AT1660" s="39">
        <f t="shared" si="896"/>
        <v>0</v>
      </c>
      <c r="AU1660" s="39"/>
      <c r="AV1660" s="39"/>
      <c r="AW1660" s="39"/>
      <c r="AX1660" s="39"/>
      <c r="AY1660" s="39"/>
      <c r="AZ1660" s="39">
        <f t="shared" si="897"/>
        <v>0</v>
      </c>
      <c r="BA1660" s="39"/>
      <c r="BB1660" s="39"/>
      <c r="BC1660" s="39"/>
      <c r="BD1660" s="39"/>
      <c r="BE1660" s="39"/>
      <c r="BF1660" s="39">
        <f t="shared" si="898"/>
        <v>0</v>
      </c>
      <c r="BG1660" s="39"/>
      <c r="BH1660" s="39"/>
      <c r="BI1660" s="39"/>
      <c r="BJ1660" s="39"/>
      <c r="BK1660" s="39"/>
      <c r="BL1660" s="39">
        <f t="shared" si="1050"/>
        <v>0</v>
      </c>
      <c r="BM1660" s="54" t="e">
        <f t="shared" si="899"/>
        <v>#DIV/0!</v>
      </c>
      <c r="BN1660" s="61"/>
      <c r="BO1660" s="36"/>
      <c r="BP1660" s="36"/>
      <c r="BQ1660" s="36"/>
      <c r="BR1660" s="39"/>
      <c r="BS1660" s="39"/>
      <c r="BT1660" s="39"/>
      <c r="BU1660" s="39"/>
      <c r="BV1660" s="39"/>
      <c r="BW1660" s="39"/>
      <c r="BX1660" s="39"/>
      <c r="BY1660" s="39"/>
      <c r="BZ1660" s="39">
        <f t="shared" si="1051"/>
        <v>0</v>
      </c>
      <c r="CA1660" s="39">
        <f t="shared" si="900"/>
        <v>0</v>
      </c>
      <c r="CB1660" s="39">
        <f t="shared" si="901"/>
        <v>0</v>
      </c>
      <c r="CC1660" s="39">
        <f t="shared" si="902"/>
        <v>0</v>
      </c>
      <c r="CD1660" s="39">
        <f t="shared" si="1052"/>
        <v>0</v>
      </c>
      <c r="CE1660" s="47" t="e">
        <f t="shared" si="903"/>
        <v>#DIV/0!</v>
      </c>
      <c r="CF1660" s="36"/>
      <c r="CG1660" s="39"/>
      <c r="CH1660" s="39"/>
      <c r="CI1660" s="25">
        <v>3</v>
      </c>
    </row>
    <row r="1661" spans="1:101" ht="24.75" customHeight="1">
      <c r="A1661" s="36" t="s">
        <v>46</v>
      </c>
      <c r="B1661" s="30"/>
      <c r="C1661" s="36"/>
      <c r="D1661" s="23"/>
      <c r="E1661" s="39"/>
      <c r="F1661" s="39"/>
      <c r="G1661" s="36"/>
      <c r="H1661" s="39"/>
      <c r="I1661" s="39"/>
      <c r="J1661" s="39"/>
      <c r="K1661" s="39"/>
      <c r="L1661" s="39">
        <f t="shared" si="1072"/>
        <v>0</v>
      </c>
      <c r="M1661" s="39"/>
      <c r="N1661" s="39"/>
      <c r="O1661" s="39"/>
      <c r="P1661" s="39"/>
      <c r="Q1661" s="39"/>
      <c r="R1661" s="39">
        <f t="shared" si="1073"/>
        <v>0</v>
      </c>
      <c r="S1661" s="39"/>
      <c r="T1661" s="39"/>
      <c r="U1661" s="39"/>
      <c r="V1661" s="39"/>
      <c r="W1661" s="39"/>
      <c r="X1661" s="39"/>
      <c r="Y1661" s="39"/>
      <c r="Z1661" s="39"/>
      <c r="AA1661" s="39"/>
      <c r="AB1661" s="39">
        <f t="shared" si="1074"/>
        <v>0</v>
      </c>
      <c r="AC1661" s="39"/>
      <c r="AD1661" s="39"/>
      <c r="AE1661" s="39"/>
      <c r="AF1661" s="39"/>
      <c r="AG1661" s="39"/>
      <c r="AH1661" s="39">
        <f t="shared" si="1049"/>
        <v>0</v>
      </c>
      <c r="AI1661" s="39"/>
      <c r="AJ1661" s="39"/>
      <c r="AK1661" s="39"/>
      <c r="AL1661" s="39"/>
      <c r="AM1661" s="39"/>
      <c r="AN1661" s="39">
        <f t="shared" si="991"/>
        <v>0</v>
      </c>
      <c r="AO1661" s="39"/>
      <c r="AP1661" s="39"/>
      <c r="AQ1661" s="39"/>
      <c r="AR1661" s="39"/>
      <c r="AS1661" s="39"/>
      <c r="AT1661" s="39">
        <f t="shared" si="896"/>
        <v>0</v>
      </c>
      <c r="AU1661" s="39"/>
      <c r="AV1661" s="39"/>
      <c r="AW1661" s="39"/>
      <c r="AX1661" s="39"/>
      <c r="AY1661" s="39"/>
      <c r="AZ1661" s="39">
        <f t="shared" si="897"/>
        <v>0</v>
      </c>
      <c r="BA1661" s="39"/>
      <c r="BB1661" s="39"/>
      <c r="BC1661" s="39"/>
      <c r="BD1661" s="39"/>
      <c r="BE1661" s="39"/>
      <c r="BF1661" s="39">
        <f t="shared" si="898"/>
        <v>0</v>
      </c>
      <c r="BG1661" s="39"/>
      <c r="BH1661" s="39"/>
      <c r="BI1661" s="39"/>
      <c r="BJ1661" s="39"/>
      <c r="BK1661" s="39"/>
      <c r="BL1661" s="39">
        <f t="shared" si="1050"/>
        <v>0</v>
      </c>
      <c r="BM1661" s="54" t="e">
        <f t="shared" si="899"/>
        <v>#DIV/0!</v>
      </c>
      <c r="BN1661" s="61"/>
      <c r="BO1661" s="36"/>
      <c r="BP1661" s="36"/>
      <c r="BQ1661" s="36"/>
      <c r="BR1661" s="39"/>
      <c r="BS1661" s="39"/>
      <c r="BT1661" s="39"/>
      <c r="BU1661" s="39"/>
      <c r="BV1661" s="39"/>
      <c r="BW1661" s="39"/>
      <c r="BX1661" s="39"/>
      <c r="BY1661" s="39"/>
      <c r="BZ1661" s="39">
        <f t="shared" si="1051"/>
        <v>0</v>
      </c>
      <c r="CA1661" s="39">
        <f t="shared" si="900"/>
        <v>0</v>
      </c>
      <c r="CB1661" s="39">
        <f t="shared" si="901"/>
        <v>0</v>
      </c>
      <c r="CC1661" s="39">
        <f t="shared" si="902"/>
        <v>0</v>
      </c>
      <c r="CD1661" s="39">
        <f t="shared" si="1052"/>
        <v>0</v>
      </c>
      <c r="CE1661" s="47" t="e">
        <f t="shared" si="903"/>
        <v>#DIV/0!</v>
      </c>
      <c r="CF1661" s="36"/>
      <c r="CG1661" s="39"/>
      <c r="CH1661" s="39"/>
      <c r="CI1661" s="25">
        <v>3</v>
      </c>
    </row>
    <row r="1662" spans="1:101" ht="24.75" customHeight="1">
      <c r="A1662" s="36" t="s">
        <v>46</v>
      </c>
      <c r="B1662" s="30"/>
      <c r="C1662" s="36"/>
      <c r="D1662" s="23"/>
      <c r="E1662" s="39"/>
      <c r="F1662" s="39"/>
      <c r="G1662" s="36"/>
      <c r="H1662" s="39"/>
      <c r="I1662" s="39"/>
      <c r="J1662" s="39"/>
      <c r="K1662" s="39"/>
      <c r="L1662" s="39">
        <f t="shared" si="1072"/>
        <v>0</v>
      </c>
      <c r="M1662" s="39"/>
      <c r="N1662" s="39"/>
      <c r="O1662" s="39"/>
      <c r="P1662" s="39"/>
      <c r="Q1662" s="39"/>
      <c r="R1662" s="39">
        <f t="shared" si="1073"/>
        <v>0</v>
      </c>
      <c r="S1662" s="39"/>
      <c r="T1662" s="39"/>
      <c r="U1662" s="39"/>
      <c r="V1662" s="39"/>
      <c r="W1662" s="39"/>
      <c r="X1662" s="39"/>
      <c r="Y1662" s="39"/>
      <c r="Z1662" s="39"/>
      <c r="AA1662" s="39"/>
      <c r="AB1662" s="39">
        <f t="shared" si="1074"/>
        <v>0</v>
      </c>
      <c r="AC1662" s="39"/>
      <c r="AD1662" s="39"/>
      <c r="AE1662" s="39"/>
      <c r="AF1662" s="39"/>
      <c r="AG1662" s="39"/>
      <c r="AH1662" s="39">
        <f t="shared" si="1049"/>
        <v>0</v>
      </c>
      <c r="AI1662" s="39"/>
      <c r="AJ1662" s="39"/>
      <c r="AK1662" s="39"/>
      <c r="AL1662" s="39"/>
      <c r="AM1662" s="39"/>
      <c r="AN1662" s="39">
        <f t="shared" si="991"/>
        <v>0</v>
      </c>
      <c r="AO1662" s="39"/>
      <c r="AP1662" s="39"/>
      <c r="AQ1662" s="39"/>
      <c r="AR1662" s="39"/>
      <c r="AS1662" s="39"/>
      <c r="AT1662" s="39">
        <f t="shared" si="896"/>
        <v>0</v>
      </c>
      <c r="AU1662" s="39"/>
      <c r="AV1662" s="39"/>
      <c r="AW1662" s="39"/>
      <c r="AX1662" s="39"/>
      <c r="AY1662" s="39"/>
      <c r="AZ1662" s="39">
        <f t="shared" si="897"/>
        <v>0</v>
      </c>
      <c r="BA1662" s="39"/>
      <c r="BB1662" s="39"/>
      <c r="BC1662" s="39"/>
      <c r="BD1662" s="39"/>
      <c r="BE1662" s="39"/>
      <c r="BF1662" s="39">
        <f t="shared" si="898"/>
        <v>0</v>
      </c>
      <c r="BG1662" s="39"/>
      <c r="BH1662" s="39"/>
      <c r="BI1662" s="39"/>
      <c r="BJ1662" s="39"/>
      <c r="BK1662" s="39"/>
      <c r="BL1662" s="39">
        <f t="shared" si="1050"/>
        <v>0</v>
      </c>
      <c r="BM1662" s="54" t="e">
        <f t="shared" si="899"/>
        <v>#DIV/0!</v>
      </c>
      <c r="BN1662" s="61"/>
      <c r="BO1662" s="36"/>
      <c r="BP1662" s="36"/>
      <c r="BQ1662" s="36"/>
      <c r="BR1662" s="39"/>
      <c r="BS1662" s="39"/>
      <c r="BT1662" s="39"/>
      <c r="BU1662" s="39"/>
      <c r="BV1662" s="39"/>
      <c r="BW1662" s="39"/>
      <c r="BX1662" s="39"/>
      <c r="BY1662" s="39"/>
      <c r="BZ1662" s="39">
        <f t="shared" si="1051"/>
        <v>0</v>
      </c>
      <c r="CA1662" s="39">
        <f t="shared" si="900"/>
        <v>0</v>
      </c>
      <c r="CB1662" s="39">
        <f t="shared" si="901"/>
        <v>0</v>
      </c>
      <c r="CC1662" s="39">
        <f t="shared" si="902"/>
        <v>0</v>
      </c>
      <c r="CD1662" s="39">
        <f t="shared" si="1052"/>
        <v>0</v>
      </c>
      <c r="CE1662" s="47" t="e">
        <f t="shared" si="903"/>
        <v>#DIV/0!</v>
      </c>
      <c r="CF1662" s="36"/>
      <c r="CG1662" s="39"/>
      <c r="CH1662" s="39"/>
      <c r="CI1662" s="25">
        <v>3</v>
      </c>
    </row>
    <row r="1663" spans="1:101" ht="24.75" customHeight="1">
      <c r="A1663" s="36" t="s">
        <v>46</v>
      </c>
      <c r="B1663" s="30"/>
      <c r="C1663" s="36"/>
      <c r="D1663" s="23"/>
      <c r="E1663" s="39"/>
      <c r="F1663" s="39"/>
      <c r="G1663" s="36"/>
      <c r="H1663" s="39"/>
      <c r="I1663" s="39"/>
      <c r="J1663" s="39"/>
      <c r="K1663" s="39"/>
      <c r="L1663" s="39">
        <f t="shared" si="1072"/>
        <v>0</v>
      </c>
      <c r="M1663" s="39"/>
      <c r="N1663" s="39"/>
      <c r="O1663" s="39"/>
      <c r="P1663" s="39"/>
      <c r="Q1663" s="39"/>
      <c r="R1663" s="39">
        <f t="shared" si="1073"/>
        <v>0</v>
      </c>
      <c r="S1663" s="39"/>
      <c r="T1663" s="39"/>
      <c r="U1663" s="39"/>
      <c r="V1663" s="39"/>
      <c r="W1663" s="39"/>
      <c r="X1663" s="39"/>
      <c r="Y1663" s="39"/>
      <c r="Z1663" s="39"/>
      <c r="AA1663" s="39"/>
      <c r="AB1663" s="39">
        <f t="shared" si="1074"/>
        <v>0</v>
      </c>
      <c r="AC1663" s="39"/>
      <c r="AD1663" s="39"/>
      <c r="AE1663" s="39"/>
      <c r="AF1663" s="39"/>
      <c r="AG1663" s="39"/>
      <c r="AH1663" s="39">
        <f t="shared" si="1049"/>
        <v>0</v>
      </c>
      <c r="AI1663" s="39"/>
      <c r="AJ1663" s="39"/>
      <c r="AK1663" s="39"/>
      <c r="AL1663" s="39"/>
      <c r="AM1663" s="39"/>
      <c r="AN1663" s="39">
        <f t="shared" si="991"/>
        <v>0</v>
      </c>
      <c r="AO1663" s="39"/>
      <c r="AP1663" s="39"/>
      <c r="AQ1663" s="39"/>
      <c r="AR1663" s="39"/>
      <c r="AS1663" s="39"/>
      <c r="AT1663" s="39">
        <f t="shared" si="896"/>
        <v>0</v>
      </c>
      <c r="AU1663" s="39"/>
      <c r="AV1663" s="39"/>
      <c r="AW1663" s="39"/>
      <c r="AX1663" s="39"/>
      <c r="AY1663" s="39"/>
      <c r="AZ1663" s="39">
        <f t="shared" si="897"/>
        <v>0</v>
      </c>
      <c r="BA1663" s="39"/>
      <c r="BB1663" s="39"/>
      <c r="BC1663" s="39"/>
      <c r="BD1663" s="39"/>
      <c r="BE1663" s="39"/>
      <c r="BF1663" s="39">
        <f t="shared" si="898"/>
        <v>0</v>
      </c>
      <c r="BG1663" s="39"/>
      <c r="BH1663" s="39"/>
      <c r="BI1663" s="39"/>
      <c r="BJ1663" s="39"/>
      <c r="BK1663" s="39"/>
      <c r="BL1663" s="39">
        <f t="shared" si="1050"/>
        <v>0</v>
      </c>
      <c r="BM1663" s="54" t="e">
        <f t="shared" si="899"/>
        <v>#DIV/0!</v>
      </c>
      <c r="BN1663" s="61"/>
      <c r="BO1663" s="36"/>
      <c r="BP1663" s="36"/>
      <c r="BQ1663" s="36"/>
      <c r="BR1663" s="39"/>
      <c r="BS1663" s="39"/>
      <c r="BT1663" s="39"/>
      <c r="BU1663" s="39"/>
      <c r="BV1663" s="39"/>
      <c r="BW1663" s="39"/>
      <c r="BX1663" s="39"/>
      <c r="BY1663" s="39"/>
      <c r="BZ1663" s="39">
        <f t="shared" si="1051"/>
        <v>0</v>
      </c>
      <c r="CA1663" s="39">
        <f t="shared" si="900"/>
        <v>0</v>
      </c>
      <c r="CB1663" s="39">
        <f t="shared" si="901"/>
        <v>0</v>
      </c>
      <c r="CC1663" s="39">
        <f t="shared" si="902"/>
        <v>0</v>
      </c>
      <c r="CD1663" s="39">
        <f t="shared" si="1052"/>
        <v>0</v>
      </c>
      <c r="CE1663" s="47" t="e">
        <f t="shared" si="903"/>
        <v>#DIV/0!</v>
      </c>
      <c r="CF1663" s="36"/>
      <c r="CG1663" s="39"/>
      <c r="CH1663" s="39"/>
      <c r="CI1663" s="25">
        <v>3</v>
      </c>
    </row>
    <row r="1664" spans="1:101" ht="24.75" customHeight="1">
      <c r="A1664" s="36" t="s">
        <v>46</v>
      </c>
      <c r="B1664" s="30"/>
      <c r="C1664" s="36"/>
      <c r="D1664" s="23"/>
      <c r="E1664" s="39"/>
      <c r="F1664" s="39"/>
      <c r="G1664" s="36"/>
      <c r="H1664" s="39"/>
      <c r="I1664" s="39"/>
      <c r="J1664" s="39"/>
      <c r="K1664" s="39"/>
      <c r="L1664" s="39">
        <f t="shared" si="1072"/>
        <v>0</v>
      </c>
      <c r="M1664" s="39"/>
      <c r="N1664" s="39"/>
      <c r="O1664" s="39"/>
      <c r="P1664" s="39"/>
      <c r="Q1664" s="39"/>
      <c r="R1664" s="39">
        <f t="shared" si="1073"/>
        <v>0</v>
      </c>
      <c r="S1664" s="39"/>
      <c r="T1664" s="39"/>
      <c r="U1664" s="39"/>
      <c r="V1664" s="39"/>
      <c r="W1664" s="39"/>
      <c r="X1664" s="39"/>
      <c r="Y1664" s="39"/>
      <c r="Z1664" s="39"/>
      <c r="AA1664" s="39"/>
      <c r="AB1664" s="39">
        <f t="shared" si="1074"/>
        <v>0</v>
      </c>
      <c r="AC1664" s="39"/>
      <c r="AD1664" s="39"/>
      <c r="AE1664" s="39"/>
      <c r="AF1664" s="39"/>
      <c r="AG1664" s="39"/>
      <c r="AH1664" s="39">
        <f t="shared" si="1049"/>
        <v>0</v>
      </c>
      <c r="AI1664" s="39"/>
      <c r="AJ1664" s="39"/>
      <c r="AK1664" s="39"/>
      <c r="AL1664" s="39"/>
      <c r="AM1664" s="39"/>
      <c r="AN1664" s="39">
        <f t="shared" si="991"/>
        <v>0</v>
      </c>
      <c r="AO1664" s="39"/>
      <c r="AP1664" s="39"/>
      <c r="AQ1664" s="39"/>
      <c r="AR1664" s="39"/>
      <c r="AS1664" s="39"/>
      <c r="AT1664" s="39">
        <f t="shared" si="896"/>
        <v>0</v>
      </c>
      <c r="AU1664" s="39"/>
      <c r="AV1664" s="39"/>
      <c r="AW1664" s="39"/>
      <c r="AX1664" s="39"/>
      <c r="AY1664" s="39"/>
      <c r="AZ1664" s="39">
        <f t="shared" si="897"/>
        <v>0</v>
      </c>
      <c r="BA1664" s="39"/>
      <c r="BB1664" s="39"/>
      <c r="BC1664" s="39"/>
      <c r="BD1664" s="39"/>
      <c r="BE1664" s="39"/>
      <c r="BF1664" s="39">
        <f t="shared" si="898"/>
        <v>0</v>
      </c>
      <c r="BG1664" s="39"/>
      <c r="BH1664" s="39"/>
      <c r="BI1664" s="39"/>
      <c r="BJ1664" s="39"/>
      <c r="BK1664" s="39"/>
      <c r="BL1664" s="39">
        <f t="shared" si="1050"/>
        <v>0</v>
      </c>
      <c r="BM1664" s="54" t="e">
        <f t="shared" si="899"/>
        <v>#DIV/0!</v>
      </c>
      <c r="BN1664" s="61"/>
      <c r="BO1664" s="36"/>
      <c r="BP1664" s="36"/>
      <c r="BQ1664" s="36"/>
      <c r="BR1664" s="39"/>
      <c r="BS1664" s="39"/>
      <c r="BT1664" s="39"/>
      <c r="BU1664" s="39"/>
      <c r="BV1664" s="39"/>
      <c r="BW1664" s="39"/>
      <c r="BX1664" s="39"/>
      <c r="BY1664" s="39"/>
      <c r="BZ1664" s="39">
        <f t="shared" si="1051"/>
        <v>0</v>
      </c>
      <c r="CA1664" s="39">
        <f t="shared" si="900"/>
        <v>0</v>
      </c>
      <c r="CB1664" s="39">
        <f t="shared" si="901"/>
        <v>0</v>
      </c>
      <c r="CC1664" s="39">
        <f t="shared" si="902"/>
        <v>0</v>
      </c>
      <c r="CD1664" s="39">
        <f t="shared" si="1052"/>
        <v>0</v>
      </c>
      <c r="CE1664" s="47" t="e">
        <f t="shared" si="903"/>
        <v>#DIV/0!</v>
      </c>
      <c r="CF1664" s="36"/>
      <c r="CG1664" s="39"/>
      <c r="CH1664" s="39"/>
      <c r="CI1664" s="25">
        <v>3</v>
      </c>
      <c r="CV1664" s="191"/>
      <c r="CW1664" s="191"/>
    </row>
    <row r="1665" spans="1:88" ht="24.75" customHeight="1">
      <c r="A1665" s="36" t="s">
        <v>46</v>
      </c>
      <c r="B1665" s="30"/>
      <c r="C1665" s="36"/>
      <c r="D1665" s="23"/>
      <c r="E1665" s="39"/>
      <c r="F1665" s="39"/>
      <c r="G1665" s="36"/>
      <c r="H1665" s="39"/>
      <c r="I1665" s="39"/>
      <c r="J1665" s="39"/>
      <c r="K1665" s="39"/>
      <c r="L1665" s="39">
        <f t="shared" si="1072"/>
        <v>0</v>
      </c>
      <c r="M1665" s="39"/>
      <c r="N1665" s="39"/>
      <c r="O1665" s="39"/>
      <c r="P1665" s="39"/>
      <c r="Q1665" s="39"/>
      <c r="R1665" s="39">
        <f t="shared" si="1073"/>
        <v>0</v>
      </c>
      <c r="S1665" s="39"/>
      <c r="T1665" s="39"/>
      <c r="U1665" s="39"/>
      <c r="V1665" s="39"/>
      <c r="W1665" s="39"/>
      <c r="X1665" s="39"/>
      <c r="Y1665" s="39"/>
      <c r="Z1665" s="39"/>
      <c r="AA1665" s="39"/>
      <c r="AB1665" s="39">
        <f t="shared" si="1074"/>
        <v>0</v>
      </c>
      <c r="AC1665" s="39"/>
      <c r="AD1665" s="39"/>
      <c r="AE1665" s="39"/>
      <c r="AF1665" s="39"/>
      <c r="AG1665" s="39"/>
      <c r="AH1665" s="39">
        <f t="shared" si="1049"/>
        <v>0</v>
      </c>
      <c r="AI1665" s="39"/>
      <c r="AJ1665" s="39"/>
      <c r="AK1665" s="39"/>
      <c r="AL1665" s="39"/>
      <c r="AM1665" s="39"/>
      <c r="AN1665" s="39">
        <f t="shared" si="991"/>
        <v>0</v>
      </c>
      <c r="AO1665" s="39"/>
      <c r="AP1665" s="39"/>
      <c r="AQ1665" s="39"/>
      <c r="AR1665" s="39"/>
      <c r="AS1665" s="39"/>
      <c r="AT1665" s="39">
        <f t="shared" si="896"/>
        <v>0</v>
      </c>
      <c r="AU1665" s="39"/>
      <c r="AV1665" s="39"/>
      <c r="AW1665" s="39"/>
      <c r="AX1665" s="39"/>
      <c r="AY1665" s="39"/>
      <c r="AZ1665" s="39">
        <f t="shared" si="897"/>
        <v>0</v>
      </c>
      <c r="BA1665" s="39"/>
      <c r="BB1665" s="39"/>
      <c r="BC1665" s="39"/>
      <c r="BD1665" s="39"/>
      <c r="BE1665" s="39"/>
      <c r="BF1665" s="39">
        <f t="shared" si="898"/>
        <v>0</v>
      </c>
      <c r="BG1665" s="39"/>
      <c r="BH1665" s="39"/>
      <c r="BI1665" s="39"/>
      <c r="BJ1665" s="39"/>
      <c r="BK1665" s="39"/>
      <c r="BL1665" s="39">
        <f t="shared" si="1050"/>
        <v>0</v>
      </c>
      <c r="BM1665" s="54" t="e">
        <f t="shared" si="899"/>
        <v>#DIV/0!</v>
      </c>
      <c r="BN1665" s="61"/>
      <c r="BO1665" s="36"/>
      <c r="BP1665" s="36"/>
      <c r="BQ1665" s="36"/>
      <c r="BR1665" s="39"/>
      <c r="BS1665" s="39"/>
      <c r="BT1665" s="39"/>
      <c r="BU1665" s="39"/>
      <c r="BV1665" s="39"/>
      <c r="BW1665" s="39"/>
      <c r="BX1665" s="39"/>
      <c r="BY1665" s="39"/>
      <c r="BZ1665" s="39">
        <f t="shared" si="1051"/>
        <v>0</v>
      </c>
      <c r="CA1665" s="39">
        <f t="shared" si="900"/>
        <v>0</v>
      </c>
      <c r="CB1665" s="39">
        <f t="shared" si="901"/>
        <v>0</v>
      </c>
      <c r="CC1665" s="39">
        <f t="shared" si="902"/>
        <v>0</v>
      </c>
      <c r="CD1665" s="39">
        <f t="shared" si="1052"/>
        <v>0</v>
      </c>
      <c r="CE1665" s="47" t="e">
        <f t="shared" si="903"/>
        <v>#DIV/0!</v>
      </c>
      <c r="CF1665" s="36"/>
      <c r="CG1665" s="39"/>
      <c r="CH1665" s="39"/>
      <c r="CI1665" s="25">
        <v>3</v>
      </c>
    </row>
    <row r="1666" spans="1:88" ht="24.75" customHeight="1">
      <c r="A1666" s="36" t="s">
        <v>46</v>
      </c>
      <c r="B1666" s="30"/>
      <c r="C1666" s="36"/>
      <c r="D1666" s="23"/>
      <c r="E1666" s="39"/>
      <c r="F1666" s="39"/>
      <c r="G1666" s="36"/>
      <c r="H1666" s="39"/>
      <c r="I1666" s="39"/>
      <c r="J1666" s="39"/>
      <c r="K1666" s="39"/>
      <c r="L1666" s="39">
        <f t="shared" si="1072"/>
        <v>0</v>
      </c>
      <c r="M1666" s="39"/>
      <c r="N1666" s="39"/>
      <c r="O1666" s="39"/>
      <c r="P1666" s="39"/>
      <c r="Q1666" s="39"/>
      <c r="R1666" s="39">
        <f t="shared" si="1073"/>
        <v>0</v>
      </c>
      <c r="S1666" s="39"/>
      <c r="T1666" s="39"/>
      <c r="U1666" s="39"/>
      <c r="V1666" s="39"/>
      <c r="W1666" s="39"/>
      <c r="X1666" s="39"/>
      <c r="Y1666" s="39"/>
      <c r="Z1666" s="39"/>
      <c r="AA1666" s="39"/>
      <c r="AB1666" s="39">
        <f t="shared" si="1074"/>
        <v>0</v>
      </c>
      <c r="AC1666" s="39"/>
      <c r="AD1666" s="39"/>
      <c r="AE1666" s="39"/>
      <c r="AF1666" s="39"/>
      <c r="AG1666" s="39"/>
      <c r="AH1666" s="39">
        <f t="shared" si="1049"/>
        <v>0</v>
      </c>
      <c r="AI1666" s="39"/>
      <c r="AJ1666" s="39"/>
      <c r="AK1666" s="39"/>
      <c r="AL1666" s="39"/>
      <c r="AM1666" s="39"/>
      <c r="AN1666" s="39">
        <f t="shared" si="991"/>
        <v>0</v>
      </c>
      <c r="AO1666" s="39"/>
      <c r="AP1666" s="39"/>
      <c r="AQ1666" s="39"/>
      <c r="AR1666" s="39"/>
      <c r="AS1666" s="39"/>
      <c r="AT1666" s="39">
        <f t="shared" si="896"/>
        <v>0</v>
      </c>
      <c r="AU1666" s="39"/>
      <c r="AV1666" s="39"/>
      <c r="AW1666" s="39"/>
      <c r="AX1666" s="39"/>
      <c r="AY1666" s="39"/>
      <c r="AZ1666" s="39">
        <f t="shared" si="897"/>
        <v>0</v>
      </c>
      <c r="BA1666" s="39"/>
      <c r="BB1666" s="39"/>
      <c r="BC1666" s="39"/>
      <c r="BD1666" s="39"/>
      <c r="BE1666" s="39"/>
      <c r="BF1666" s="39">
        <f t="shared" si="898"/>
        <v>0</v>
      </c>
      <c r="BG1666" s="39"/>
      <c r="BH1666" s="39"/>
      <c r="BI1666" s="39"/>
      <c r="BJ1666" s="39"/>
      <c r="BK1666" s="39"/>
      <c r="BL1666" s="39">
        <f t="shared" si="1050"/>
        <v>0</v>
      </c>
      <c r="BM1666" s="54" t="e">
        <f t="shared" si="899"/>
        <v>#DIV/0!</v>
      </c>
      <c r="BN1666" s="61"/>
      <c r="BO1666" s="36"/>
      <c r="BP1666" s="36"/>
      <c r="BQ1666" s="36"/>
      <c r="BR1666" s="39"/>
      <c r="BS1666" s="39"/>
      <c r="BT1666" s="39"/>
      <c r="BU1666" s="39"/>
      <c r="BV1666" s="39"/>
      <c r="BW1666" s="39"/>
      <c r="BX1666" s="39"/>
      <c r="BY1666" s="39"/>
      <c r="BZ1666" s="39">
        <f t="shared" si="1051"/>
        <v>0</v>
      </c>
      <c r="CA1666" s="39">
        <f t="shared" si="900"/>
        <v>0</v>
      </c>
      <c r="CB1666" s="39">
        <f t="shared" si="901"/>
        <v>0</v>
      </c>
      <c r="CC1666" s="39">
        <f t="shared" si="902"/>
        <v>0</v>
      </c>
      <c r="CD1666" s="39">
        <f t="shared" si="1052"/>
        <v>0</v>
      </c>
      <c r="CE1666" s="47" t="e">
        <f t="shared" si="903"/>
        <v>#DIV/0!</v>
      </c>
      <c r="CF1666" s="36"/>
      <c r="CG1666" s="39"/>
      <c r="CH1666" s="39"/>
      <c r="CI1666" s="25">
        <v>3</v>
      </c>
    </row>
    <row r="1667" spans="1:88" ht="24.75" customHeight="1">
      <c r="A1667" s="36" t="s">
        <v>46</v>
      </c>
      <c r="B1667" s="30"/>
      <c r="C1667" s="36"/>
      <c r="D1667" s="23"/>
      <c r="E1667" s="39"/>
      <c r="F1667" s="39"/>
      <c r="G1667" s="36"/>
      <c r="H1667" s="39"/>
      <c r="I1667" s="39"/>
      <c r="J1667" s="39"/>
      <c r="K1667" s="39"/>
      <c r="L1667" s="39">
        <f t="shared" si="1072"/>
        <v>0</v>
      </c>
      <c r="M1667" s="39"/>
      <c r="N1667" s="39"/>
      <c r="O1667" s="39"/>
      <c r="P1667" s="39"/>
      <c r="Q1667" s="39"/>
      <c r="R1667" s="39">
        <f t="shared" si="1073"/>
        <v>0</v>
      </c>
      <c r="S1667" s="39"/>
      <c r="T1667" s="39"/>
      <c r="U1667" s="39"/>
      <c r="V1667" s="39"/>
      <c r="W1667" s="39"/>
      <c r="X1667" s="39"/>
      <c r="Y1667" s="39"/>
      <c r="Z1667" s="39"/>
      <c r="AA1667" s="39"/>
      <c r="AB1667" s="39">
        <f t="shared" si="1074"/>
        <v>0</v>
      </c>
      <c r="AC1667" s="39"/>
      <c r="AD1667" s="39"/>
      <c r="AE1667" s="39"/>
      <c r="AF1667" s="39"/>
      <c r="AG1667" s="39"/>
      <c r="AH1667" s="39">
        <f t="shared" si="1049"/>
        <v>0</v>
      </c>
      <c r="AI1667" s="39"/>
      <c r="AJ1667" s="39"/>
      <c r="AK1667" s="39"/>
      <c r="AL1667" s="39"/>
      <c r="AM1667" s="39"/>
      <c r="AN1667" s="39">
        <f t="shared" si="991"/>
        <v>0</v>
      </c>
      <c r="AO1667" s="39"/>
      <c r="AP1667" s="39"/>
      <c r="AQ1667" s="39"/>
      <c r="AR1667" s="39"/>
      <c r="AS1667" s="39"/>
      <c r="AT1667" s="39">
        <f t="shared" si="896"/>
        <v>0</v>
      </c>
      <c r="AU1667" s="39"/>
      <c r="AV1667" s="39"/>
      <c r="AW1667" s="39"/>
      <c r="AX1667" s="39"/>
      <c r="AY1667" s="39"/>
      <c r="AZ1667" s="39">
        <f t="shared" si="897"/>
        <v>0</v>
      </c>
      <c r="BA1667" s="39"/>
      <c r="BB1667" s="39"/>
      <c r="BC1667" s="39"/>
      <c r="BD1667" s="39"/>
      <c r="BE1667" s="39"/>
      <c r="BF1667" s="39">
        <f t="shared" si="898"/>
        <v>0</v>
      </c>
      <c r="BG1667" s="39"/>
      <c r="BH1667" s="39"/>
      <c r="BI1667" s="39"/>
      <c r="BJ1667" s="39"/>
      <c r="BK1667" s="39"/>
      <c r="BL1667" s="39">
        <f t="shared" si="1050"/>
        <v>0</v>
      </c>
      <c r="BM1667" s="54" t="e">
        <f t="shared" si="899"/>
        <v>#DIV/0!</v>
      </c>
      <c r="BN1667" s="61"/>
      <c r="BO1667" s="36"/>
      <c r="BP1667" s="36"/>
      <c r="BQ1667" s="36"/>
      <c r="BR1667" s="39"/>
      <c r="BS1667" s="39"/>
      <c r="BT1667" s="39"/>
      <c r="BU1667" s="39"/>
      <c r="BV1667" s="39"/>
      <c r="BW1667" s="39"/>
      <c r="BX1667" s="39"/>
      <c r="BY1667" s="39"/>
      <c r="BZ1667" s="39">
        <f t="shared" si="1051"/>
        <v>0</v>
      </c>
      <c r="CA1667" s="39">
        <f t="shared" si="900"/>
        <v>0</v>
      </c>
      <c r="CB1667" s="39">
        <f t="shared" si="901"/>
        <v>0</v>
      </c>
      <c r="CC1667" s="39">
        <f t="shared" si="902"/>
        <v>0</v>
      </c>
      <c r="CD1667" s="39">
        <f t="shared" si="1052"/>
        <v>0</v>
      </c>
      <c r="CE1667" s="47" t="e">
        <f t="shared" si="903"/>
        <v>#DIV/0!</v>
      </c>
      <c r="CF1667" s="36"/>
      <c r="CG1667" s="39"/>
      <c r="CH1667" s="39"/>
      <c r="CI1667" s="25">
        <v>3</v>
      </c>
    </row>
    <row r="1668" spans="1:88" ht="24.75" customHeight="1">
      <c r="A1668" s="36" t="s">
        <v>46</v>
      </c>
      <c r="B1668" s="30"/>
      <c r="C1668" s="36"/>
      <c r="D1668" s="23"/>
      <c r="E1668" s="39"/>
      <c r="F1668" s="39"/>
      <c r="G1668" s="36"/>
      <c r="H1668" s="39"/>
      <c r="I1668" s="39"/>
      <c r="J1668" s="39"/>
      <c r="K1668" s="39"/>
      <c r="L1668" s="39">
        <f t="shared" si="1072"/>
        <v>0</v>
      </c>
      <c r="M1668" s="39"/>
      <c r="N1668" s="39"/>
      <c r="O1668" s="39"/>
      <c r="P1668" s="39"/>
      <c r="Q1668" s="39"/>
      <c r="R1668" s="39">
        <f t="shared" si="1073"/>
        <v>0</v>
      </c>
      <c r="S1668" s="39"/>
      <c r="T1668" s="39"/>
      <c r="U1668" s="39"/>
      <c r="V1668" s="39"/>
      <c r="W1668" s="39"/>
      <c r="X1668" s="39"/>
      <c r="Y1668" s="39"/>
      <c r="Z1668" s="39"/>
      <c r="AA1668" s="39"/>
      <c r="AB1668" s="39">
        <f t="shared" si="1074"/>
        <v>0</v>
      </c>
      <c r="AC1668" s="39"/>
      <c r="AD1668" s="39"/>
      <c r="AE1668" s="39"/>
      <c r="AF1668" s="39"/>
      <c r="AG1668" s="39"/>
      <c r="AH1668" s="39">
        <f t="shared" si="1049"/>
        <v>0</v>
      </c>
      <c r="AI1668" s="39"/>
      <c r="AJ1668" s="39"/>
      <c r="AK1668" s="39"/>
      <c r="AL1668" s="39"/>
      <c r="AM1668" s="39"/>
      <c r="AN1668" s="39">
        <f t="shared" si="991"/>
        <v>0</v>
      </c>
      <c r="AO1668" s="39"/>
      <c r="AP1668" s="39"/>
      <c r="AQ1668" s="39"/>
      <c r="AR1668" s="39"/>
      <c r="AS1668" s="39"/>
      <c r="AT1668" s="39">
        <f t="shared" si="896"/>
        <v>0</v>
      </c>
      <c r="AU1668" s="39"/>
      <c r="AV1668" s="39"/>
      <c r="AW1668" s="39"/>
      <c r="AX1668" s="39"/>
      <c r="AY1668" s="39"/>
      <c r="AZ1668" s="39">
        <f t="shared" si="897"/>
        <v>0</v>
      </c>
      <c r="BA1668" s="39"/>
      <c r="BB1668" s="39"/>
      <c r="BC1668" s="39"/>
      <c r="BD1668" s="39"/>
      <c r="BE1668" s="39"/>
      <c r="BF1668" s="39">
        <f t="shared" si="898"/>
        <v>0</v>
      </c>
      <c r="BG1668" s="39"/>
      <c r="BH1668" s="39"/>
      <c r="BI1668" s="39"/>
      <c r="BJ1668" s="39"/>
      <c r="BK1668" s="39"/>
      <c r="BL1668" s="39">
        <f t="shared" si="1050"/>
        <v>0</v>
      </c>
      <c r="BM1668" s="54" t="e">
        <f t="shared" si="899"/>
        <v>#DIV/0!</v>
      </c>
      <c r="BN1668" s="61"/>
      <c r="BO1668" s="36"/>
      <c r="BP1668" s="36"/>
      <c r="BQ1668" s="36"/>
      <c r="BR1668" s="39"/>
      <c r="BS1668" s="39"/>
      <c r="BT1668" s="39"/>
      <c r="BU1668" s="39"/>
      <c r="BV1668" s="39"/>
      <c r="BW1668" s="39"/>
      <c r="BX1668" s="39"/>
      <c r="BY1668" s="39"/>
      <c r="BZ1668" s="39">
        <f t="shared" si="1051"/>
        <v>0</v>
      </c>
      <c r="CA1668" s="39">
        <f t="shared" si="900"/>
        <v>0</v>
      </c>
      <c r="CB1668" s="39">
        <f t="shared" si="901"/>
        <v>0</v>
      </c>
      <c r="CC1668" s="39">
        <f t="shared" si="902"/>
        <v>0</v>
      </c>
      <c r="CD1668" s="39">
        <f t="shared" si="1052"/>
        <v>0</v>
      </c>
      <c r="CE1668" s="47" t="e">
        <f t="shared" si="903"/>
        <v>#DIV/0!</v>
      </c>
      <c r="CF1668" s="36"/>
      <c r="CG1668" s="39"/>
      <c r="CH1668" s="39"/>
      <c r="CI1668" s="25">
        <v>3</v>
      </c>
    </row>
    <row r="1669" spans="1:88" ht="24.75" customHeight="1">
      <c r="A1669" s="36" t="s">
        <v>46</v>
      </c>
      <c r="B1669" s="30"/>
      <c r="C1669" s="36"/>
      <c r="D1669" s="23"/>
      <c r="E1669" s="39"/>
      <c r="F1669" s="39"/>
      <c r="G1669" s="36"/>
      <c r="H1669" s="39"/>
      <c r="I1669" s="39"/>
      <c r="J1669" s="39"/>
      <c r="K1669" s="39"/>
      <c r="L1669" s="39">
        <f t="shared" si="1072"/>
        <v>0</v>
      </c>
      <c r="M1669" s="39"/>
      <c r="N1669" s="39"/>
      <c r="O1669" s="39"/>
      <c r="P1669" s="39"/>
      <c r="Q1669" s="39"/>
      <c r="R1669" s="39">
        <f t="shared" si="1073"/>
        <v>0</v>
      </c>
      <c r="S1669" s="39"/>
      <c r="T1669" s="39"/>
      <c r="U1669" s="39"/>
      <c r="V1669" s="39"/>
      <c r="W1669" s="39"/>
      <c r="X1669" s="39"/>
      <c r="Y1669" s="39"/>
      <c r="Z1669" s="39"/>
      <c r="AA1669" s="39"/>
      <c r="AB1669" s="39">
        <f t="shared" si="1074"/>
        <v>0</v>
      </c>
      <c r="AC1669" s="39"/>
      <c r="AD1669" s="39"/>
      <c r="AE1669" s="39"/>
      <c r="AF1669" s="39"/>
      <c r="AG1669" s="39"/>
      <c r="AH1669" s="39">
        <f t="shared" si="1049"/>
        <v>0</v>
      </c>
      <c r="AI1669" s="39"/>
      <c r="AJ1669" s="39"/>
      <c r="AK1669" s="39"/>
      <c r="AL1669" s="39"/>
      <c r="AM1669" s="39"/>
      <c r="AN1669" s="39">
        <f t="shared" si="991"/>
        <v>0</v>
      </c>
      <c r="AO1669" s="39"/>
      <c r="AP1669" s="39"/>
      <c r="AQ1669" s="39"/>
      <c r="AR1669" s="39"/>
      <c r="AS1669" s="39"/>
      <c r="AT1669" s="39">
        <f t="shared" si="896"/>
        <v>0</v>
      </c>
      <c r="AU1669" s="39"/>
      <c r="AV1669" s="39"/>
      <c r="AW1669" s="39"/>
      <c r="AX1669" s="39"/>
      <c r="AY1669" s="39"/>
      <c r="AZ1669" s="39">
        <f t="shared" si="897"/>
        <v>0</v>
      </c>
      <c r="BA1669" s="39"/>
      <c r="BB1669" s="39"/>
      <c r="BC1669" s="39"/>
      <c r="BD1669" s="39"/>
      <c r="BE1669" s="39"/>
      <c r="BF1669" s="39">
        <f t="shared" si="898"/>
        <v>0</v>
      </c>
      <c r="BG1669" s="39"/>
      <c r="BH1669" s="39"/>
      <c r="BI1669" s="39"/>
      <c r="BJ1669" s="39"/>
      <c r="BK1669" s="39"/>
      <c r="BL1669" s="39">
        <f t="shared" si="1050"/>
        <v>0</v>
      </c>
      <c r="BM1669" s="54" t="e">
        <f t="shared" si="899"/>
        <v>#DIV/0!</v>
      </c>
      <c r="BN1669" s="61"/>
      <c r="BO1669" s="36"/>
      <c r="BP1669" s="36"/>
      <c r="BQ1669" s="36"/>
      <c r="BR1669" s="39"/>
      <c r="BS1669" s="39"/>
      <c r="BT1669" s="39"/>
      <c r="BU1669" s="39"/>
      <c r="BV1669" s="39"/>
      <c r="BW1669" s="39"/>
      <c r="BX1669" s="39"/>
      <c r="BY1669" s="39"/>
      <c r="BZ1669" s="39">
        <f t="shared" si="1051"/>
        <v>0</v>
      </c>
      <c r="CA1669" s="39">
        <f t="shared" si="900"/>
        <v>0</v>
      </c>
      <c r="CB1669" s="39">
        <f t="shared" si="901"/>
        <v>0</v>
      </c>
      <c r="CC1669" s="39">
        <f t="shared" si="902"/>
        <v>0</v>
      </c>
      <c r="CD1669" s="39">
        <f t="shared" si="1052"/>
        <v>0</v>
      </c>
      <c r="CE1669" s="47" t="e">
        <f t="shared" si="903"/>
        <v>#DIV/0!</v>
      </c>
      <c r="CF1669" s="36"/>
      <c r="CG1669" s="39"/>
      <c r="CH1669" s="39"/>
      <c r="CI1669" s="25">
        <v>3</v>
      </c>
    </row>
    <row r="1670" spans="1:88" ht="24.75" customHeight="1">
      <c r="A1670" s="36" t="s">
        <v>46</v>
      </c>
      <c r="B1670" s="30"/>
      <c r="C1670" s="36"/>
      <c r="D1670" s="23"/>
      <c r="E1670" s="39"/>
      <c r="F1670" s="39"/>
      <c r="G1670" s="36"/>
      <c r="H1670" s="39"/>
      <c r="I1670" s="39"/>
      <c r="J1670" s="39"/>
      <c r="K1670" s="39"/>
      <c r="L1670" s="39">
        <f t="shared" si="1072"/>
        <v>0</v>
      </c>
      <c r="M1670" s="39"/>
      <c r="N1670" s="39"/>
      <c r="O1670" s="39"/>
      <c r="P1670" s="39"/>
      <c r="Q1670" s="39"/>
      <c r="R1670" s="39">
        <f t="shared" si="1073"/>
        <v>0</v>
      </c>
      <c r="S1670" s="39"/>
      <c r="T1670" s="39"/>
      <c r="U1670" s="39"/>
      <c r="V1670" s="39"/>
      <c r="W1670" s="39"/>
      <c r="X1670" s="39"/>
      <c r="Y1670" s="39"/>
      <c r="Z1670" s="39"/>
      <c r="AA1670" s="39"/>
      <c r="AB1670" s="39">
        <f t="shared" si="1074"/>
        <v>0</v>
      </c>
      <c r="AC1670" s="39"/>
      <c r="AD1670" s="39"/>
      <c r="AE1670" s="39"/>
      <c r="AF1670" s="39"/>
      <c r="AG1670" s="39"/>
      <c r="AH1670" s="39">
        <f t="shared" si="1049"/>
        <v>0</v>
      </c>
      <c r="AI1670" s="39"/>
      <c r="AJ1670" s="39"/>
      <c r="AK1670" s="39"/>
      <c r="AL1670" s="39"/>
      <c r="AM1670" s="39"/>
      <c r="AN1670" s="39">
        <f t="shared" si="991"/>
        <v>0</v>
      </c>
      <c r="AO1670" s="39"/>
      <c r="AP1670" s="39"/>
      <c r="AQ1670" s="39"/>
      <c r="AR1670" s="39"/>
      <c r="AS1670" s="39"/>
      <c r="AT1670" s="39">
        <f t="shared" si="896"/>
        <v>0</v>
      </c>
      <c r="AU1670" s="39"/>
      <c r="AV1670" s="39"/>
      <c r="AW1670" s="39"/>
      <c r="AX1670" s="39"/>
      <c r="AY1670" s="39"/>
      <c r="AZ1670" s="39">
        <f t="shared" si="897"/>
        <v>0</v>
      </c>
      <c r="BA1670" s="39"/>
      <c r="BB1670" s="39"/>
      <c r="BC1670" s="39"/>
      <c r="BD1670" s="39"/>
      <c r="BE1670" s="39"/>
      <c r="BF1670" s="39">
        <f t="shared" si="898"/>
        <v>0</v>
      </c>
      <c r="BG1670" s="39"/>
      <c r="BH1670" s="39"/>
      <c r="BI1670" s="39"/>
      <c r="BJ1670" s="39"/>
      <c r="BK1670" s="39"/>
      <c r="BL1670" s="39">
        <f t="shared" si="1050"/>
        <v>0</v>
      </c>
      <c r="BM1670" s="54" t="e">
        <f t="shared" si="899"/>
        <v>#DIV/0!</v>
      </c>
      <c r="BN1670" s="61"/>
      <c r="BO1670" s="36"/>
      <c r="BP1670" s="36"/>
      <c r="BQ1670" s="36"/>
      <c r="BR1670" s="39"/>
      <c r="BS1670" s="39"/>
      <c r="BT1670" s="39"/>
      <c r="BU1670" s="39"/>
      <c r="BV1670" s="39"/>
      <c r="BW1670" s="39"/>
      <c r="BX1670" s="39"/>
      <c r="BY1670" s="39"/>
      <c r="BZ1670" s="39">
        <f t="shared" si="1051"/>
        <v>0</v>
      </c>
      <c r="CA1670" s="39">
        <f t="shared" si="900"/>
        <v>0</v>
      </c>
      <c r="CB1670" s="39">
        <f t="shared" si="901"/>
        <v>0</v>
      </c>
      <c r="CC1670" s="39">
        <f t="shared" si="902"/>
        <v>0</v>
      </c>
      <c r="CD1670" s="39">
        <f t="shared" si="1052"/>
        <v>0</v>
      </c>
      <c r="CE1670" s="47" t="e">
        <f t="shared" si="903"/>
        <v>#DIV/0!</v>
      </c>
      <c r="CF1670" s="36"/>
      <c r="CG1670" s="39"/>
      <c r="CH1670" s="39"/>
      <c r="CI1670" s="25">
        <v>3</v>
      </c>
    </row>
    <row r="1671" spans="1:88" ht="24.75" customHeight="1">
      <c r="A1671" s="36" t="s">
        <v>46</v>
      </c>
      <c r="B1671" s="30"/>
      <c r="C1671" s="36"/>
      <c r="D1671" s="23"/>
      <c r="E1671" s="39"/>
      <c r="F1671" s="39"/>
      <c r="G1671" s="36"/>
      <c r="H1671" s="39"/>
      <c r="I1671" s="39"/>
      <c r="J1671" s="39"/>
      <c r="K1671" s="39"/>
      <c r="L1671" s="39">
        <f t="shared" si="1072"/>
        <v>0</v>
      </c>
      <c r="M1671" s="39"/>
      <c r="N1671" s="39"/>
      <c r="O1671" s="39"/>
      <c r="P1671" s="39"/>
      <c r="Q1671" s="39"/>
      <c r="R1671" s="39">
        <f t="shared" si="1073"/>
        <v>0</v>
      </c>
      <c r="S1671" s="39"/>
      <c r="T1671" s="39"/>
      <c r="U1671" s="39"/>
      <c r="V1671" s="39"/>
      <c r="W1671" s="39"/>
      <c r="X1671" s="39"/>
      <c r="Y1671" s="39"/>
      <c r="Z1671" s="39"/>
      <c r="AA1671" s="39"/>
      <c r="AB1671" s="39">
        <f t="shared" si="1074"/>
        <v>0</v>
      </c>
      <c r="AC1671" s="39"/>
      <c r="AD1671" s="39"/>
      <c r="AE1671" s="39"/>
      <c r="AF1671" s="39"/>
      <c r="AG1671" s="39"/>
      <c r="AH1671" s="39">
        <f t="shared" si="1049"/>
        <v>0</v>
      </c>
      <c r="AI1671" s="39"/>
      <c r="AJ1671" s="39"/>
      <c r="AK1671" s="39"/>
      <c r="AL1671" s="39"/>
      <c r="AM1671" s="39"/>
      <c r="AN1671" s="39">
        <f t="shared" si="991"/>
        <v>0</v>
      </c>
      <c r="AO1671" s="39"/>
      <c r="AP1671" s="39"/>
      <c r="AQ1671" s="39"/>
      <c r="AR1671" s="39"/>
      <c r="AS1671" s="39"/>
      <c r="AT1671" s="39">
        <f t="shared" si="896"/>
        <v>0</v>
      </c>
      <c r="AU1671" s="39"/>
      <c r="AV1671" s="39"/>
      <c r="AW1671" s="39"/>
      <c r="AX1671" s="39"/>
      <c r="AY1671" s="39"/>
      <c r="AZ1671" s="39">
        <f t="shared" si="897"/>
        <v>0</v>
      </c>
      <c r="BA1671" s="39"/>
      <c r="BB1671" s="39"/>
      <c r="BC1671" s="39"/>
      <c r="BD1671" s="39"/>
      <c r="BE1671" s="39"/>
      <c r="BF1671" s="39">
        <f t="shared" si="898"/>
        <v>0</v>
      </c>
      <c r="BG1671" s="39"/>
      <c r="BH1671" s="39"/>
      <c r="BI1671" s="39"/>
      <c r="BJ1671" s="39"/>
      <c r="BK1671" s="39"/>
      <c r="BL1671" s="39">
        <f t="shared" si="1050"/>
        <v>0</v>
      </c>
      <c r="BM1671" s="54" t="e">
        <f t="shared" si="899"/>
        <v>#DIV/0!</v>
      </c>
      <c r="BN1671" s="61"/>
      <c r="BO1671" s="36"/>
      <c r="BP1671" s="36"/>
      <c r="BQ1671" s="36"/>
      <c r="BR1671" s="39"/>
      <c r="BS1671" s="39"/>
      <c r="BT1671" s="39"/>
      <c r="BU1671" s="39"/>
      <c r="BV1671" s="39"/>
      <c r="BW1671" s="39"/>
      <c r="BX1671" s="39"/>
      <c r="BY1671" s="39"/>
      <c r="BZ1671" s="39">
        <f t="shared" si="1051"/>
        <v>0</v>
      </c>
      <c r="CA1671" s="39">
        <f t="shared" si="900"/>
        <v>0</v>
      </c>
      <c r="CB1671" s="39">
        <f t="shared" si="901"/>
        <v>0</v>
      </c>
      <c r="CC1671" s="39">
        <f t="shared" si="902"/>
        <v>0</v>
      </c>
      <c r="CD1671" s="39">
        <f t="shared" si="1052"/>
        <v>0</v>
      </c>
      <c r="CE1671" s="47" t="e">
        <f t="shared" si="903"/>
        <v>#DIV/0!</v>
      </c>
      <c r="CF1671" s="36"/>
      <c r="CG1671" s="39"/>
      <c r="CH1671" s="39"/>
      <c r="CI1671" s="25">
        <v>3</v>
      </c>
    </row>
    <row r="1672" spans="1:88" ht="24.75" customHeight="1">
      <c r="A1672" s="36" t="s">
        <v>46</v>
      </c>
      <c r="B1672" s="30"/>
      <c r="C1672" s="36"/>
      <c r="D1672" s="23"/>
      <c r="E1672" s="39"/>
      <c r="F1672" s="39"/>
      <c r="G1672" s="36"/>
      <c r="H1672" s="39"/>
      <c r="I1672" s="39"/>
      <c r="J1672" s="39"/>
      <c r="K1672" s="39"/>
      <c r="L1672" s="39">
        <f t="shared" si="1072"/>
        <v>0</v>
      </c>
      <c r="M1672" s="39"/>
      <c r="N1672" s="39"/>
      <c r="O1672" s="39"/>
      <c r="P1672" s="39"/>
      <c r="Q1672" s="39"/>
      <c r="R1672" s="39">
        <f t="shared" si="1073"/>
        <v>0</v>
      </c>
      <c r="S1672" s="39"/>
      <c r="T1672" s="39"/>
      <c r="U1672" s="39"/>
      <c r="V1672" s="39"/>
      <c r="W1672" s="39"/>
      <c r="X1672" s="39"/>
      <c r="Y1672" s="39"/>
      <c r="Z1672" s="39"/>
      <c r="AA1672" s="39"/>
      <c r="AB1672" s="39">
        <f t="shared" si="1074"/>
        <v>0</v>
      </c>
      <c r="AC1672" s="39"/>
      <c r="AD1672" s="39"/>
      <c r="AE1672" s="39"/>
      <c r="AF1672" s="39"/>
      <c r="AG1672" s="39"/>
      <c r="AH1672" s="39">
        <f t="shared" si="1049"/>
        <v>0</v>
      </c>
      <c r="AI1672" s="39"/>
      <c r="AJ1672" s="39"/>
      <c r="AK1672" s="39"/>
      <c r="AL1672" s="39"/>
      <c r="AM1672" s="39"/>
      <c r="AN1672" s="39">
        <f t="shared" si="991"/>
        <v>0</v>
      </c>
      <c r="AO1672" s="39"/>
      <c r="AP1672" s="39"/>
      <c r="AQ1672" s="39"/>
      <c r="AR1672" s="39"/>
      <c r="AS1672" s="39"/>
      <c r="AT1672" s="39">
        <f t="shared" si="896"/>
        <v>0</v>
      </c>
      <c r="AU1672" s="39"/>
      <c r="AV1672" s="39"/>
      <c r="AW1672" s="39"/>
      <c r="AX1672" s="39"/>
      <c r="AY1672" s="39"/>
      <c r="AZ1672" s="39">
        <f t="shared" si="897"/>
        <v>0</v>
      </c>
      <c r="BA1672" s="39"/>
      <c r="BB1672" s="39"/>
      <c r="BC1672" s="39"/>
      <c r="BD1672" s="39"/>
      <c r="BE1672" s="39"/>
      <c r="BF1672" s="39">
        <f t="shared" si="898"/>
        <v>0</v>
      </c>
      <c r="BG1672" s="39"/>
      <c r="BH1672" s="39"/>
      <c r="BI1672" s="39"/>
      <c r="BJ1672" s="39"/>
      <c r="BK1672" s="39"/>
      <c r="BL1672" s="39">
        <f t="shared" si="1050"/>
        <v>0</v>
      </c>
      <c r="BM1672" s="54" t="e">
        <f t="shared" si="899"/>
        <v>#DIV/0!</v>
      </c>
      <c r="BN1672" s="61"/>
      <c r="BO1672" s="36"/>
      <c r="BP1672" s="36"/>
      <c r="BQ1672" s="36"/>
      <c r="BR1672" s="39"/>
      <c r="BS1672" s="39"/>
      <c r="BT1672" s="39"/>
      <c r="BU1672" s="39"/>
      <c r="BV1672" s="39"/>
      <c r="BW1672" s="39"/>
      <c r="BX1672" s="39"/>
      <c r="BY1672" s="39"/>
      <c r="BZ1672" s="39">
        <f t="shared" si="1051"/>
        <v>0</v>
      </c>
      <c r="CA1672" s="39">
        <f t="shared" si="900"/>
        <v>0</v>
      </c>
      <c r="CB1672" s="39">
        <f t="shared" si="901"/>
        <v>0</v>
      </c>
      <c r="CC1672" s="39">
        <f t="shared" si="902"/>
        <v>0</v>
      </c>
      <c r="CD1672" s="39">
        <f t="shared" si="1052"/>
        <v>0</v>
      </c>
      <c r="CE1672" s="47" t="e">
        <f t="shared" si="903"/>
        <v>#DIV/0!</v>
      </c>
      <c r="CF1672" s="36"/>
      <c r="CG1672" s="39"/>
      <c r="CH1672" s="39"/>
      <c r="CI1672" s="25">
        <v>3</v>
      </c>
    </row>
    <row r="1673" spans="1:88" ht="24.75" customHeight="1">
      <c r="A1673" s="36" t="s">
        <v>46</v>
      </c>
      <c r="B1673" s="30"/>
      <c r="C1673" s="36"/>
      <c r="D1673" s="23"/>
      <c r="E1673" s="39"/>
      <c r="F1673" s="39"/>
      <c r="G1673" s="36"/>
      <c r="H1673" s="39"/>
      <c r="I1673" s="39"/>
      <c r="J1673" s="39"/>
      <c r="K1673" s="39"/>
      <c r="L1673" s="39">
        <f t="shared" si="1072"/>
        <v>0</v>
      </c>
      <c r="M1673" s="39"/>
      <c r="N1673" s="39"/>
      <c r="O1673" s="39"/>
      <c r="P1673" s="39"/>
      <c r="Q1673" s="39"/>
      <c r="R1673" s="39">
        <f t="shared" si="1073"/>
        <v>0</v>
      </c>
      <c r="S1673" s="39"/>
      <c r="T1673" s="39"/>
      <c r="U1673" s="39"/>
      <c r="V1673" s="39"/>
      <c r="W1673" s="39"/>
      <c r="X1673" s="39"/>
      <c r="Y1673" s="39"/>
      <c r="Z1673" s="39"/>
      <c r="AA1673" s="39"/>
      <c r="AB1673" s="39">
        <f t="shared" si="1074"/>
        <v>0</v>
      </c>
      <c r="AC1673" s="39"/>
      <c r="AD1673" s="39"/>
      <c r="AE1673" s="39"/>
      <c r="AF1673" s="39"/>
      <c r="AG1673" s="39"/>
      <c r="AH1673" s="39">
        <f t="shared" si="1049"/>
        <v>0</v>
      </c>
      <c r="AI1673" s="39"/>
      <c r="AJ1673" s="39"/>
      <c r="AK1673" s="39"/>
      <c r="AL1673" s="39"/>
      <c r="AM1673" s="39"/>
      <c r="AN1673" s="39">
        <f t="shared" si="991"/>
        <v>0</v>
      </c>
      <c r="AO1673" s="39"/>
      <c r="AP1673" s="39"/>
      <c r="AQ1673" s="39"/>
      <c r="AR1673" s="39"/>
      <c r="AS1673" s="39"/>
      <c r="AT1673" s="39">
        <f t="shared" si="896"/>
        <v>0</v>
      </c>
      <c r="AU1673" s="39"/>
      <c r="AV1673" s="39"/>
      <c r="AW1673" s="39"/>
      <c r="AX1673" s="39"/>
      <c r="AY1673" s="39"/>
      <c r="AZ1673" s="39">
        <f t="shared" si="897"/>
        <v>0</v>
      </c>
      <c r="BA1673" s="39"/>
      <c r="BB1673" s="39"/>
      <c r="BC1673" s="39"/>
      <c r="BD1673" s="39"/>
      <c r="BE1673" s="39"/>
      <c r="BF1673" s="39">
        <f t="shared" si="898"/>
        <v>0</v>
      </c>
      <c r="BG1673" s="39"/>
      <c r="BH1673" s="39"/>
      <c r="BI1673" s="39"/>
      <c r="BJ1673" s="39"/>
      <c r="BK1673" s="39"/>
      <c r="BL1673" s="39">
        <f t="shared" si="1050"/>
        <v>0</v>
      </c>
      <c r="BM1673" s="54" t="e">
        <f t="shared" si="899"/>
        <v>#DIV/0!</v>
      </c>
      <c r="BN1673" s="61"/>
      <c r="BO1673" s="36"/>
      <c r="BP1673" s="36"/>
      <c r="BQ1673" s="36"/>
      <c r="BR1673" s="39"/>
      <c r="BS1673" s="39"/>
      <c r="BT1673" s="39"/>
      <c r="BU1673" s="39"/>
      <c r="BV1673" s="39"/>
      <c r="BW1673" s="39"/>
      <c r="BX1673" s="39"/>
      <c r="BY1673" s="39"/>
      <c r="BZ1673" s="39">
        <f t="shared" si="1051"/>
        <v>0</v>
      </c>
      <c r="CA1673" s="39">
        <f t="shared" si="900"/>
        <v>0</v>
      </c>
      <c r="CB1673" s="39">
        <f t="shared" si="901"/>
        <v>0</v>
      </c>
      <c r="CC1673" s="39">
        <f t="shared" si="902"/>
        <v>0</v>
      </c>
      <c r="CD1673" s="39">
        <f t="shared" si="1052"/>
        <v>0</v>
      </c>
      <c r="CE1673" s="47" t="e">
        <f t="shared" si="903"/>
        <v>#DIV/0!</v>
      </c>
      <c r="CF1673" s="36"/>
      <c r="CG1673" s="39"/>
      <c r="CH1673" s="39"/>
      <c r="CI1673" s="25">
        <v>3</v>
      </c>
    </row>
    <row r="1674" spans="1:88" ht="24.75" customHeight="1">
      <c r="A1674" s="36" t="s">
        <v>46</v>
      </c>
      <c r="B1674" s="30"/>
      <c r="C1674" s="36"/>
      <c r="D1674" s="23"/>
      <c r="E1674" s="39"/>
      <c r="F1674" s="39"/>
      <c r="G1674" s="36"/>
      <c r="H1674" s="39"/>
      <c r="I1674" s="39"/>
      <c r="J1674" s="39"/>
      <c r="K1674" s="39"/>
      <c r="L1674" s="39">
        <f t="shared" si="1072"/>
        <v>0</v>
      </c>
      <c r="M1674" s="39"/>
      <c r="N1674" s="39"/>
      <c r="O1674" s="39"/>
      <c r="P1674" s="39"/>
      <c r="Q1674" s="39"/>
      <c r="R1674" s="39">
        <f t="shared" si="1073"/>
        <v>0</v>
      </c>
      <c r="S1674" s="39"/>
      <c r="T1674" s="39"/>
      <c r="U1674" s="39"/>
      <c r="V1674" s="39"/>
      <c r="W1674" s="39"/>
      <c r="X1674" s="39"/>
      <c r="Y1674" s="39"/>
      <c r="Z1674" s="39"/>
      <c r="AA1674" s="39"/>
      <c r="AB1674" s="39">
        <f t="shared" si="1074"/>
        <v>0</v>
      </c>
      <c r="AC1674" s="39"/>
      <c r="AD1674" s="39"/>
      <c r="AE1674" s="39"/>
      <c r="AF1674" s="39"/>
      <c r="AG1674" s="39"/>
      <c r="AH1674" s="39">
        <f t="shared" si="1049"/>
        <v>0</v>
      </c>
      <c r="AI1674" s="39"/>
      <c r="AJ1674" s="39"/>
      <c r="AK1674" s="39"/>
      <c r="AL1674" s="39"/>
      <c r="AM1674" s="39"/>
      <c r="AN1674" s="39">
        <f t="shared" si="991"/>
        <v>0</v>
      </c>
      <c r="AO1674" s="39"/>
      <c r="AP1674" s="39"/>
      <c r="AQ1674" s="39"/>
      <c r="AR1674" s="39"/>
      <c r="AS1674" s="39"/>
      <c r="AT1674" s="39">
        <f t="shared" si="896"/>
        <v>0</v>
      </c>
      <c r="AU1674" s="39"/>
      <c r="AV1674" s="39"/>
      <c r="AW1674" s="39"/>
      <c r="AX1674" s="39"/>
      <c r="AY1674" s="39"/>
      <c r="AZ1674" s="39">
        <f t="shared" si="897"/>
        <v>0</v>
      </c>
      <c r="BA1674" s="39"/>
      <c r="BB1674" s="39"/>
      <c r="BC1674" s="39"/>
      <c r="BD1674" s="39"/>
      <c r="BE1674" s="39"/>
      <c r="BF1674" s="39">
        <f t="shared" si="898"/>
        <v>0</v>
      </c>
      <c r="BG1674" s="39"/>
      <c r="BH1674" s="39"/>
      <c r="BI1674" s="39"/>
      <c r="BJ1674" s="39"/>
      <c r="BK1674" s="39"/>
      <c r="BL1674" s="39">
        <f t="shared" si="1050"/>
        <v>0</v>
      </c>
      <c r="BM1674" s="54" t="e">
        <f t="shared" si="899"/>
        <v>#DIV/0!</v>
      </c>
      <c r="BN1674" s="61"/>
      <c r="BO1674" s="36"/>
      <c r="BP1674" s="36"/>
      <c r="BQ1674" s="36"/>
      <c r="BR1674" s="39"/>
      <c r="BS1674" s="39"/>
      <c r="BT1674" s="39"/>
      <c r="BU1674" s="39"/>
      <c r="BV1674" s="39"/>
      <c r="BW1674" s="39"/>
      <c r="BX1674" s="39"/>
      <c r="BY1674" s="39"/>
      <c r="BZ1674" s="39">
        <f t="shared" si="1051"/>
        <v>0</v>
      </c>
      <c r="CA1674" s="39">
        <f t="shared" si="900"/>
        <v>0</v>
      </c>
      <c r="CB1674" s="39">
        <f t="shared" si="901"/>
        <v>0</v>
      </c>
      <c r="CC1674" s="39">
        <f t="shared" si="902"/>
        <v>0</v>
      </c>
      <c r="CD1674" s="39">
        <f t="shared" si="1052"/>
        <v>0</v>
      </c>
      <c r="CE1674" s="47" t="e">
        <f t="shared" si="903"/>
        <v>#DIV/0!</v>
      </c>
      <c r="CF1674" s="36"/>
      <c r="CG1674" s="39"/>
      <c r="CH1674" s="39"/>
      <c r="CI1674" s="25">
        <v>3</v>
      </c>
    </row>
    <row r="1675" spans="1:88" ht="24.75" customHeight="1">
      <c r="A1675" s="36" t="s">
        <v>46</v>
      </c>
      <c r="B1675" s="30"/>
      <c r="C1675" s="36"/>
      <c r="D1675" s="23"/>
      <c r="E1675" s="39"/>
      <c r="F1675" s="39"/>
      <c r="G1675" s="36"/>
      <c r="H1675" s="39"/>
      <c r="I1675" s="39"/>
      <c r="J1675" s="39"/>
      <c r="K1675" s="39"/>
      <c r="L1675" s="39">
        <f>SUM(I1675:K1675)</f>
        <v>0</v>
      </c>
      <c r="M1675" s="39"/>
      <c r="N1675" s="39"/>
      <c r="O1675" s="39"/>
      <c r="P1675" s="39"/>
      <c r="Q1675" s="39"/>
      <c r="R1675" s="39">
        <f>SUM(O1675:Q1675)</f>
        <v>0</v>
      </c>
      <c r="S1675" s="39"/>
      <c r="T1675" s="39"/>
      <c r="U1675" s="39"/>
      <c r="V1675" s="39"/>
      <c r="W1675" s="39"/>
      <c r="X1675" s="39"/>
      <c r="Y1675" s="39"/>
      <c r="Z1675" s="39"/>
      <c r="AA1675" s="39"/>
      <c r="AB1675" s="39">
        <f>SUM(Y1675:AA1675)</f>
        <v>0</v>
      </c>
      <c r="AC1675" s="39"/>
      <c r="AD1675" s="39"/>
      <c r="AE1675" s="39"/>
      <c r="AF1675" s="39"/>
      <c r="AG1675" s="39"/>
      <c r="AH1675" s="39">
        <f>AG1675-AE1675</f>
        <v>0</v>
      </c>
      <c r="AI1675" s="39"/>
      <c r="AJ1675" s="39"/>
      <c r="AK1675" s="39"/>
      <c r="AL1675" s="39"/>
      <c r="AM1675" s="39"/>
      <c r="AN1675" s="39">
        <f t="shared" si="991"/>
        <v>0</v>
      </c>
      <c r="AO1675" s="39"/>
      <c r="AP1675" s="39"/>
      <c r="AQ1675" s="39"/>
      <c r="AR1675" s="39"/>
      <c r="AS1675" s="39"/>
      <c r="AT1675" s="39">
        <f t="shared" si="896"/>
        <v>0</v>
      </c>
      <c r="AU1675" s="39"/>
      <c r="AV1675" s="39"/>
      <c r="AW1675" s="39"/>
      <c r="AX1675" s="39"/>
      <c r="AY1675" s="39"/>
      <c r="AZ1675" s="39">
        <f t="shared" si="897"/>
        <v>0</v>
      </c>
      <c r="BA1675" s="39"/>
      <c r="BB1675" s="39"/>
      <c r="BC1675" s="39"/>
      <c r="BD1675" s="39"/>
      <c r="BE1675" s="39"/>
      <c r="BF1675" s="39">
        <f t="shared" si="898"/>
        <v>0</v>
      </c>
      <c r="BG1675" s="39"/>
      <c r="BH1675" s="39"/>
      <c r="BI1675" s="39"/>
      <c r="BJ1675" s="39"/>
      <c r="BK1675" s="39"/>
      <c r="BL1675" s="39">
        <f>BK1675-BI1675</f>
        <v>0</v>
      </c>
      <c r="BM1675" s="54" t="e">
        <f t="shared" si="899"/>
        <v>#DIV/0!</v>
      </c>
      <c r="BN1675" s="61"/>
      <c r="BO1675" s="36"/>
      <c r="BP1675" s="36"/>
      <c r="BQ1675" s="36"/>
      <c r="BR1675" s="39"/>
      <c r="BS1675" s="39"/>
      <c r="BT1675" s="39"/>
      <c r="BU1675" s="39"/>
      <c r="BV1675" s="39"/>
      <c r="BW1675" s="39"/>
      <c r="BX1675" s="39"/>
      <c r="BY1675" s="39"/>
      <c r="BZ1675" s="39">
        <f>BU1675+BW1675+BY1675</f>
        <v>0</v>
      </c>
      <c r="CA1675" s="39">
        <f t="shared" si="900"/>
        <v>0</v>
      </c>
      <c r="CB1675" s="39">
        <f t="shared" si="901"/>
        <v>0</v>
      </c>
      <c r="CC1675" s="39">
        <f t="shared" si="902"/>
        <v>0</v>
      </c>
      <c r="CD1675" s="39">
        <f>SUMIF(CA1675:CC1675,"&lt;0")</f>
        <v>0</v>
      </c>
      <c r="CE1675" s="47" t="e">
        <f t="shared" si="903"/>
        <v>#DIV/0!</v>
      </c>
      <c r="CF1675" s="36"/>
      <c r="CG1675" s="39"/>
      <c r="CH1675" s="39"/>
      <c r="CI1675" s="25">
        <v>3</v>
      </c>
      <c r="CJ1675" s="6" t="s">
        <v>19</v>
      </c>
    </row>
    <row r="1676" spans="1:88" ht="12" customHeight="1">
      <c r="BU1676" s="191"/>
      <c r="BV1676" s="191"/>
      <c r="BW1676" s="191"/>
      <c r="BX1676" s="191"/>
      <c r="BY1676" s="191"/>
      <c r="CA1676" s="191"/>
      <c r="CB1676" s="191"/>
      <c r="CC1676" s="191"/>
    </row>
    <row r="1677" spans="1:88" ht="12" customHeight="1">
      <c r="BH1677" s="17" t="s">
        <v>19</v>
      </c>
      <c r="CA1677" s="6" t="s">
        <v>19</v>
      </c>
      <c r="CB1677" s="6" t="s">
        <v>19</v>
      </c>
    </row>
    <row r="1678" spans="1:88" ht="12" customHeight="1">
      <c r="B1678" s="33" t="s">
        <v>19</v>
      </c>
    </row>
    <row r="1680" spans="1:88" ht="24.75" customHeight="1">
      <c r="A1680" s="5" t="s">
        <v>172</v>
      </c>
      <c r="B1680" s="209">
        <f>SUBTOTAL(9,L8:L1675)</f>
        <v>660814</v>
      </c>
      <c r="C1680" s="209"/>
    </row>
    <row r="1681" spans="1:124" ht="24.75" customHeight="1">
      <c r="A1681" s="5" t="s">
        <v>173</v>
      </c>
      <c r="B1681" s="210">
        <f>SUBTOTAL(9,CD8:CD1675)</f>
        <v>-498372</v>
      </c>
      <c r="C1681" s="211"/>
    </row>
    <row r="1684" spans="1:124" ht="26.25" customHeight="1">
      <c r="A1684" s="5" t="s">
        <v>131</v>
      </c>
      <c r="B1684" s="25">
        <v>1</v>
      </c>
      <c r="C1684" s="25">
        <v>2</v>
      </c>
      <c r="D1684" s="25">
        <v>3</v>
      </c>
    </row>
    <row r="1686" spans="1:124" ht="18.75" customHeight="1">
      <c r="B1686" s="212" t="s">
        <v>77</v>
      </c>
      <c r="C1686" s="212"/>
      <c r="D1686" s="175" t="s">
        <v>78</v>
      </c>
      <c r="E1686" s="175"/>
      <c r="F1686" s="175"/>
      <c r="G1686" s="175" t="s">
        <v>79</v>
      </c>
      <c r="H1686" s="175"/>
      <c r="I1686" s="175" t="s">
        <v>181</v>
      </c>
      <c r="J1686" s="175"/>
      <c r="K1686" s="175"/>
      <c r="L1686" s="175"/>
    </row>
    <row r="1687" spans="1:124" ht="24.75" customHeight="1">
      <c r="A1687" s="5" t="s">
        <v>176</v>
      </c>
      <c r="B1687" s="43" t="s">
        <v>177</v>
      </c>
      <c r="C1687" s="5" t="s">
        <v>178</v>
      </c>
      <c r="D1687" s="43" t="s">
        <v>177</v>
      </c>
      <c r="E1687" s="208" t="s">
        <v>178</v>
      </c>
      <c r="F1687" s="208"/>
      <c r="G1687" s="109" t="s">
        <v>177</v>
      </c>
      <c r="H1687" s="5" t="s">
        <v>178</v>
      </c>
      <c r="I1687" s="207" t="s">
        <v>179</v>
      </c>
      <c r="J1687" s="207"/>
      <c r="K1687" s="205" t="s">
        <v>180</v>
      </c>
      <c r="L1687" s="206"/>
    </row>
    <row r="1688" spans="1:124" ht="21.75" customHeight="1">
      <c r="A1688" s="34" t="s">
        <v>130</v>
      </c>
      <c r="B1688" s="34">
        <f>SUMIFS(L8:L1675,S8:S1675,A1688,CI8:CI1675,B1684)</f>
        <v>173980</v>
      </c>
      <c r="C1688" s="34">
        <f>SUMIFS(CD8:CD1675,S8:S1675,A1688,CI8:CI1675,B1684)</f>
        <v>-95781</v>
      </c>
      <c r="D1688" s="34">
        <f>SUMIFS(L8:L1675,S8:S1675,A1688,CI8:CI1675,C1684)</f>
        <v>118729</v>
      </c>
      <c r="E1688" s="203">
        <f>SUMIFS(CD8:CD1675,S8:S1675,A1688,CI8:CI1675,C1684)</f>
        <v>-100230</v>
      </c>
      <c r="F1688" s="177"/>
      <c r="G1688" s="112">
        <f>SUMIFS(L8:L1675,S8:S1675,A1688,CI8:CI1675,D1684)</f>
        <v>91275</v>
      </c>
      <c r="H1688" s="34">
        <f>SUMIFS(CD8:CD1675,S8:S1675,A1688,CI8:CI1675,D1684)</f>
        <v>-85959</v>
      </c>
      <c r="I1688" s="204">
        <f>B1688+D1688+G1688</f>
        <v>383984</v>
      </c>
      <c r="J1688" s="204"/>
      <c r="K1688" s="203">
        <f>C1688+E1688+H1688</f>
        <v>-281970</v>
      </c>
      <c r="L1688" s="177"/>
    </row>
    <row r="1689" spans="1:124" ht="21.75" customHeight="1">
      <c r="A1689" s="34" t="s">
        <v>31</v>
      </c>
      <c r="B1689" s="34">
        <f>SUMIFS(L8:L1675,S8:S1675,A1689,CI8:CI1675,B1684)</f>
        <v>36477</v>
      </c>
      <c r="C1689" s="34">
        <f>SUMIFS(CD8:CD1675,S8:S1675,A1689,CI8:CI1675,B1684)</f>
        <v>-27408</v>
      </c>
      <c r="D1689" s="34">
        <f>SUMIFS(L8:L1675,S8:S1675,A1689,CI8:CI1675,C1684)</f>
        <v>17158</v>
      </c>
      <c r="E1689" s="203">
        <f>SUMIFS(CD8:CD1675,S8:S1675,A1689,CI8:CI1675,C1684)</f>
        <v>-12564</v>
      </c>
      <c r="F1689" s="177"/>
      <c r="G1689" s="112">
        <f>SUMIFS(L8:L1675,S8:S1675,A1689,CI8:CI1675,D1684)</f>
        <v>11766</v>
      </c>
      <c r="H1689" s="34">
        <f>SUMIFS(CD8:CD1675,S8:S1675,A1689,CI8:CI1675,D1684)</f>
        <v>-11358</v>
      </c>
      <c r="I1689" s="204">
        <f t="shared" ref="I1689:I1694" si="1075">B1689+D1689+G1689</f>
        <v>65401</v>
      </c>
      <c r="J1689" s="204"/>
      <c r="K1689" s="203">
        <f t="shared" ref="K1689:K1695" si="1076">C1689+E1689+H1689</f>
        <v>-51330</v>
      </c>
      <c r="L1689" s="177"/>
    </row>
    <row r="1690" spans="1:124" ht="21.75" customHeight="1">
      <c r="A1690" s="34" t="s">
        <v>100</v>
      </c>
      <c r="B1690" s="34">
        <f>SUMIFS(L8:L1675,S8:S1675,A1690,CI8:CI1675,B1684)</f>
        <v>34544</v>
      </c>
      <c r="C1690" s="34">
        <f>SUMIFS(CD8:CD1675,S8:S1675,A1690,CI8:CI1675,B1684)</f>
        <v>-28704</v>
      </c>
      <c r="D1690" s="34">
        <f>SUMIFS(L8:L1675,S8:S1675,A1690,CI8:CI1675,C1684)</f>
        <v>10037</v>
      </c>
      <c r="E1690" s="203">
        <f>SUMIFS(CD8:CD1675,S8:S1675,A1690,CI8:CI1675,C1684)</f>
        <v>-9671</v>
      </c>
      <c r="F1690" s="177"/>
      <c r="G1690" s="112">
        <f>SUMIFS(L8:L1675,S8:S1675,A1690,CI8:CI1675,D1684)</f>
        <v>9488</v>
      </c>
      <c r="H1690" s="34">
        <f>SUMIFS(CD8:CD1675,S8:S1675,A1690,CI8:CI1675,D1684)</f>
        <v>-8634</v>
      </c>
      <c r="I1690" s="204">
        <f t="shared" si="1075"/>
        <v>54069</v>
      </c>
      <c r="J1690" s="204"/>
      <c r="K1690" s="203">
        <f t="shared" si="1076"/>
        <v>-47009</v>
      </c>
      <c r="L1690" s="177"/>
    </row>
    <row r="1691" spans="1:124" ht="21.75" customHeight="1">
      <c r="A1691" s="34" t="s">
        <v>2997</v>
      </c>
      <c r="B1691" s="34">
        <f>SUMIFS(L8:L1675,S8:S1675,A1691,CI8:CI1675,B1684)</f>
        <v>0</v>
      </c>
      <c r="C1691" s="34">
        <f>SUMIFS(CD8:CD1675,S8:S1675,A1691,CI8:CI1675,B1684)</f>
        <v>0</v>
      </c>
      <c r="D1691" s="34">
        <f>SUMIFS(L8:L1675,S8:S1675,A1691,CI8:CI1675,C1684)</f>
        <v>866</v>
      </c>
      <c r="E1691" s="203">
        <f>SUMIFS(CD8:CD1675,S8:S1675,A1691,CI8:CI1675,C1684)</f>
        <v>-866</v>
      </c>
      <c r="F1691" s="177"/>
      <c r="G1691" s="112">
        <f>SUMIFS(L8:L1675,S8:S1675,A1691,CI8:CI1675,D1684)</f>
        <v>20682</v>
      </c>
      <c r="H1691" s="34">
        <f>SUMIFS(CD8:CD1675,S8:S1675,A1691,CI8:CI1675,D1684)</f>
        <v>-20682</v>
      </c>
      <c r="I1691" s="204">
        <f t="shared" si="1075"/>
        <v>21548</v>
      </c>
      <c r="J1691" s="204"/>
      <c r="K1691" s="203">
        <f t="shared" si="1076"/>
        <v>-21548</v>
      </c>
      <c r="L1691" s="177"/>
    </row>
    <row r="1692" spans="1:124" ht="21.75" customHeight="1">
      <c r="A1692" s="34" t="s">
        <v>28</v>
      </c>
      <c r="B1692" s="34">
        <f>SUMIFS(L8:L1675,S8:S1675,A1692,CI8:CI1675,B1684)</f>
        <v>34919</v>
      </c>
      <c r="C1692" s="34">
        <f>SUMIFS(CD8:CD1675,S8:S1675,A1692,CI8:CI1675,B1684)</f>
        <v>-11619</v>
      </c>
      <c r="D1692" s="34">
        <f>SUMIFS(L8:L1675,S8:S1675,A1692,CI8:CI1675,C1684)</f>
        <v>19598</v>
      </c>
      <c r="E1692" s="203">
        <f>SUMIFS(CD8:CD1675,S8:S1675,A1692,CI8:CI1675,C1684)</f>
        <v>-12040</v>
      </c>
      <c r="F1692" s="177"/>
      <c r="G1692" s="112">
        <f>SUMIFS(L8:L1675,S8:S1675,A1692,CI8:CI1675,D1684)</f>
        <v>26528</v>
      </c>
      <c r="H1692" s="34">
        <f>SUMIFS(CD8:CD1675,S8:S1675,A1692,CI8:CI1675,D1684)</f>
        <v>-26528</v>
      </c>
      <c r="I1692" s="204">
        <f t="shared" si="1075"/>
        <v>81045</v>
      </c>
      <c r="J1692" s="204"/>
      <c r="K1692" s="203">
        <f t="shared" si="1076"/>
        <v>-50187</v>
      </c>
      <c r="L1692" s="177"/>
    </row>
    <row r="1693" spans="1:124" ht="21.75" customHeight="1">
      <c r="A1693" s="34" t="s">
        <v>113</v>
      </c>
      <c r="B1693" s="34">
        <f>SUMIFS(L8:L1675,S8:S1675,A1693,CI8:CI1675,B1684)</f>
        <v>0</v>
      </c>
      <c r="C1693" s="34">
        <f>SUMIFS(CD8:CD1675,S8:S1675,A1693,CI8:CI1675,B1684)</f>
        <v>0</v>
      </c>
      <c r="D1693" s="34">
        <f>SUMIFS(L8:L1675,S8:S1675,A1693,CI8:CI1675,C1684)</f>
        <v>0</v>
      </c>
      <c r="E1693" s="203">
        <f>SUMIFS(CD8:CD1675,S8:S1675,A1693,CI8:CI1675,C1684)</f>
        <v>0</v>
      </c>
      <c r="F1693" s="177"/>
      <c r="G1693" s="112">
        <f>SUMIFS(L8:L1675,S8:S1675,A1693,CI8:CI1675,D1684)</f>
        <v>0</v>
      </c>
      <c r="H1693" s="34">
        <f>SUMIFS(CD8:CD1675,S8:S1675,A1693,CI8:CI1675,D1684)</f>
        <v>0</v>
      </c>
      <c r="I1693" s="204">
        <f t="shared" si="1075"/>
        <v>0</v>
      </c>
      <c r="J1693" s="204"/>
      <c r="K1693" s="203">
        <f t="shared" si="1076"/>
        <v>0</v>
      </c>
      <c r="L1693" s="177"/>
    </row>
    <row r="1694" spans="1:124" ht="21.75" customHeight="1">
      <c r="A1694" s="34" t="s">
        <v>270</v>
      </c>
      <c r="B1694" s="34">
        <f>SUMIFS(L8:L1675,S8:S1675,A1694,CI8:CI1675,B1684)</f>
        <v>13022</v>
      </c>
      <c r="C1694" s="34">
        <f>SUMIFS(CD8:CD1675,S8:S1675,A1694,CI8:CI1675,B1684)</f>
        <v>-7980</v>
      </c>
      <c r="D1694" s="34">
        <f>SUMIFS(L8:L1675,S8:S1675,A1694,CI8:CI1675,C1684)</f>
        <v>27791</v>
      </c>
      <c r="E1694" s="203">
        <f>SUMIFS(CD8:CD1675,S8:S1675,A1694,CI8:CI1675,C1684)</f>
        <v>-26244</v>
      </c>
      <c r="F1694" s="177"/>
      <c r="G1694" s="112">
        <f>SUMIFS(L8:L1675,S8:S1675,A1694,CI8:CI1675,D1684)</f>
        <v>2690</v>
      </c>
      <c r="H1694" s="34">
        <f>SUMIFS(CD8:CD1675,S8:S1675,A1694,CI8:CI1675,D1684)</f>
        <v>-2690</v>
      </c>
      <c r="I1694" s="204">
        <f t="shared" si="1075"/>
        <v>43503</v>
      </c>
      <c r="J1694" s="204"/>
      <c r="K1694" s="203">
        <f t="shared" si="1076"/>
        <v>-36914</v>
      </c>
      <c r="L1694" s="177"/>
      <c r="Q1694" s="6" t="s">
        <v>19</v>
      </c>
    </row>
    <row r="1695" spans="1:124" ht="21.75" customHeight="1">
      <c r="A1695" s="1" t="s">
        <v>326</v>
      </c>
      <c r="B1695" s="34">
        <f>SUMIFS(L8:L1675,S8:S1675,A1695,CI8:CI1675,B1684)</f>
        <v>5626</v>
      </c>
      <c r="C1695" s="34">
        <f>SUMIFS(CD8:CD1675,S8:S1675,A1695,CI8:CI1675,B1684)</f>
        <v>-3889</v>
      </c>
      <c r="D1695" s="34">
        <f>SUMIFS(L8:L1675,S8:S1675,A1695,CI8:CI1675,C1684)</f>
        <v>2005</v>
      </c>
      <c r="E1695" s="203">
        <f>SUMIFS(CD8:CD1675,S8:S1675,A1695,CI8:CI1675,C1684)</f>
        <v>-1892</v>
      </c>
      <c r="F1695" s="177"/>
      <c r="G1695" s="112">
        <f>SUMIFS(L8:L1675,S8:S1675,A1695,CI8:CI1675,D1684)</f>
        <v>3633</v>
      </c>
      <c r="H1695" s="34">
        <f>SUMIFS(CD8:CD1675,S8:S1675,A1695,CI8:CI1675,D1684)</f>
        <v>-3633</v>
      </c>
      <c r="I1695" s="204">
        <f>B1695+D1695+G1695</f>
        <v>11264</v>
      </c>
      <c r="J1695" s="204"/>
      <c r="K1695" s="203">
        <f t="shared" si="1076"/>
        <v>-9414</v>
      </c>
      <c r="L1695" s="177"/>
      <c r="O1695" s="6" t="s">
        <v>19</v>
      </c>
      <c r="P1695" s="6" t="s">
        <v>19</v>
      </c>
    </row>
    <row r="1696" spans="1:124" s="20" customFormat="1" ht="21.75" customHeight="1">
      <c r="A1696" s="5" t="s">
        <v>203</v>
      </c>
      <c r="B1696" s="5">
        <f>SUM(B1689:B1695)</f>
        <v>124588</v>
      </c>
      <c r="C1696" s="5">
        <f>SUM(C1689:C1695)</f>
        <v>-79600</v>
      </c>
      <c r="D1696" s="5">
        <f>SUM(D1689:D1695)</f>
        <v>77455</v>
      </c>
      <c r="E1696" s="205">
        <f>SUM(E1689:F1695)</f>
        <v>-63277</v>
      </c>
      <c r="F1696" s="206"/>
      <c r="G1696" s="113">
        <f>SUM(G1689:G1695)</f>
        <v>74787</v>
      </c>
      <c r="H1696" s="5">
        <f>SUM(H1689:H1695)</f>
        <v>-73525</v>
      </c>
      <c r="I1696" s="207">
        <f>SUM(I1689:J1695)</f>
        <v>276830</v>
      </c>
      <c r="J1696" s="207"/>
      <c r="K1696" s="207">
        <f>SUM(K1689:L1695)</f>
        <v>-216402</v>
      </c>
      <c r="L1696" s="207"/>
      <c r="M1696" s="6"/>
      <c r="N1696" s="6"/>
      <c r="O1696" s="6" t="s">
        <v>19</v>
      </c>
      <c r="P1696" s="6" t="s">
        <v>19</v>
      </c>
      <c r="Q1696" s="6"/>
      <c r="S1696" s="6"/>
      <c r="T1696" s="6"/>
      <c r="U1696" s="17"/>
      <c r="V1696" s="17"/>
      <c r="W1696" s="6"/>
      <c r="X1696" s="17"/>
      <c r="Y1696" s="6"/>
      <c r="Z1696" s="6"/>
      <c r="AA1696" s="6"/>
      <c r="AB1696" s="6"/>
      <c r="AC1696" s="6"/>
      <c r="AD1696" s="17"/>
      <c r="AE1696" s="6"/>
      <c r="AF1696" s="17"/>
      <c r="AG1696" s="6"/>
      <c r="AH1696" s="6"/>
      <c r="AI1696" s="6"/>
      <c r="AJ1696" s="17"/>
      <c r="AK1696" s="6"/>
      <c r="AL1696" s="17"/>
      <c r="AM1696" s="6"/>
      <c r="AN1696" s="6"/>
      <c r="AO1696" s="6"/>
      <c r="AP1696" s="17"/>
      <c r="AQ1696" s="6"/>
      <c r="AR1696" s="17"/>
      <c r="AS1696" s="6"/>
      <c r="AT1696" s="6"/>
      <c r="AU1696" s="6"/>
      <c r="AV1696" s="17"/>
      <c r="AW1696" s="6"/>
      <c r="AX1696" s="17"/>
      <c r="AY1696" s="6"/>
      <c r="AZ1696" s="6"/>
      <c r="BA1696" s="6"/>
      <c r="BB1696" s="17"/>
      <c r="BC1696" s="6"/>
      <c r="BD1696" s="17"/>
      <c r="BE1696" s="6"/>
      <c r="BF1696" s="6"/>
      <c r="BG1696" s="6"/>
      <c r="BH1696" s="17"/>
      <c r="BI1696" s="6"/>
      <c r="BJ1696" s="17"/>
      <c r="BK1696" s="6"/>
      <c r="BL1696" s="6"/>
      <c r="BM1696" s="6"/>
      <c r="BN1696" s="6"/>
      <c r="BO1696" s="6"/>
      <c r="BP1696" s="6"/>
      <c r="BQ1696" s="6"/>
      <c r="BR1696" s="6"/>
      <c r="BS1696" s="6"/>
      <c r="BT1696" s="6"/>
      <c r="BU1696" s="6"/>
      <c r="BV1696" s="6"/>
      <c r="BW1696" s="6"/>
      <c r="BX1696" s="6"/>
      <c r="BY1696" s="6"/>
      <c r="BZ1696" s="6"/>
      <c r="CA1696" s="6"/>
      <c r="CB1696" s="6"/>
      <c r="CC1696" s="6"/>
      <c r="CD1696" s="6"/>
      <c r="CE1696" s="6"/>
      <c r="CF1696" s="6"/>
      <c r="CG1696" s="6"/>
      <c r="CH1696" s="6"/>
      <c r="CI1696" s="18"/>
      <c r="CJ1696" s="6"/>
      <c r="CK1696" s="6"/>
      <c r="CL1696" s="6"/>
      <c r="CM1696" s="6"/>
      <c r="CN1696" s="6"/>
      <c r="CO1696" s="6"/>
      <c r="CP1696" s="6"/>
      <c r="CQ1696" s="6"/>
      <c r="CR1696" s="6"/>
      <c r="CS1696" s="6"/>
      <c r="CT1696" s="6"/>
      <c r="CU1696" s="6"/>
      <c r="CV1696" s="6"/>
      <c r="CW1696" s="6"/>
      <c r="CX1696" s="6"/>
      <c r="CY1696" s="6"/>
      <c r="CZ1696" s="6"/>
      <c r="DA1696" s="6"/>
      <c r="DB1696" s="6"/>
      <c r="DC1696" s="6"/>
      <c r="DD1696" s="6"/>
      <c r="DE1696" s="6"/>
      <c r="DF1696" s="6"/>
      <c r="DG1696" s="6"/>
      <c r="DH1696" s="6"/>
      <c r="DI1696" s="6"/>
      <c r="DJ1696" s="6"/>
      <c r="DK1696" s="6"/>
      <c r="DL1696" s="6"/>
      <c r="DM1696" s="6"/>
      <c r="DN1696" s="6"/>
      <c r="DO1696" s="6"/>
      <c r="DP1696" s="6"/>
      <c r="DQ1696" s="6"/>
      <c r="DR1696" s="6"/>
      <c r="DS1696" s="6"/>
      <c r="DT1696" s="6"/>
    </row>
    <row r="1697" spans="1:12" ht="21.75" customHeight="1">
      <c r="A1697" s="5" t="s">
        <v>182</v>
      </c>
      <c r="B1697" s="5">
        <f>SUM(B1688:B1695)</f>
        <v>298568</v>
      </c>
      <c r="C1697" s="5">
        <f>SUM(C1688:C1695)</f>
        <v>-175381</v>
      </c>
      <c r="D1697" s="5">
        <f>SUM(D1688:D1695)</f>
        <v>196184</v>
      </c>
      <c r="E1697" s="205">
        <f>SUM(E1688:F1695)</f>
        <v>-163507</v>
      </c>
      <c r="F1697" s="206"/>
      <c r="G1697" s="113">
        <f>SUM(G1688:G1695)</f>
        <v>166062</v>
      </c>
      <c r="H1697" s="5">
        <f>SUM(H1688:H1695)</f>
        <v>-159484</v>
      </c>
      <c r="I1697" s="205">
        <f>SUM(I1688:J1695)</f>
        <v>660814</v>
      </c>
      <c r="J1697" s="206"/>
      <c r="K1697" s="205">
        <f>SUM(K1688:L1695)</f>
        <v>-498372</v>
      </c>
      <c r="L1697" s="206"/>
    </row>
    <row r="1700" spans="1:12" ht="30.75" customHeight="1">
      <c r="A1700" s="5" t="s">
        <v>98</v>
      </c>
      <c r="B1700" s="43" t="s">
        <v>37</v>
      </c>
      <c r="C1700" s="5" t="s">
        <v>24</v>
      </c>
      <c r="D1700" s="5" t="s">
        <v>189</v>
      </c>
      <c r="E1700" s="45"/>
      <c r="F1700" s="45"/>
      <c r="G1700" s="110"/>
      <c r="H1700" s="45"/>
      <c r="I1700" s="45"/>
      <c r="J1700" s="45"/>
      <c r="K1700" s="45"/>
      <c r="L1700" s="46"/>
    </row>
    <row r="1701" spans="1:12" ht="30.75" customHeight="1">
      <c r="A1701" s="5">
        <f>B1720+B1721+B1722+B1723+B1724+B1727+B1730+B1731+B1732+B1733+B1734+B1735+B1736+B1737+B1739+B1740+B1750+B1741+B1742+B1743+B1744+B1745+B1746+B1747+B1748+B1749+B1738</f>
        <v>56644</v>
      </c>
      <c r="B1701" s="5">
        <f>B1719+B1722+B1723+B1725+B1720+B1721+B1724+B1726+B1727+B1729</f>
        <v>63759</v>
      </c>
      <c r="C1701" s="5">
        <f>B1728+B1729+B1730+B1731+B1732+B1733+B1734</f>
        <v>52230</v>
      </c>
      <c r="D1701" s="5">
        <f>(I1688+I1688*12%)-B1751</f>
        <v>276129.08</v>
      </c>
      <c r="E1701" s="45"/>
      <c r="F1701" s="45"/>
      <c r="G1701" s="110"/>
      <c r="H1701" s="45"/>
      <c r="I1701" s="45"/>
      <c r="J1701" s="45"/>
      <c r="K1701" s="45"/>
      <c r="L1701" s="46"/>
    </row>
    <row r="1702" spans="1:12" ht="12" customHeight="1">
      <c r="E1702" s="6" t="s">
        <v>19</v>
      </c>
    </row>
    <row r="1719" spans="1:2" ht="24.75" customHeight="1">
      <c r="A1719" s="1" t="s">
        <v>37</v>
      </c>
      <c r="B1719" s="5">
        <f>SUMIFS(I8:I1675,D8:D1675,A1719)</f>
        <v>61917</v>
      </c>
    </row>
    <row r="1720" spans="1:2" ht="24.75" customHeight="1">
      <c r="A1720" s="1" t="s">
        <v>110</v>
      </c>
      <c r="B1720" s="5">
        <f>SUMIFS(I8:I1675,D8:D1675,A1720)</f>
        <v>1842</v>
      </c>
    </row>
    <row r="1721" spans="1:2" ht="24.75" customHeight="1">
      <c r="A1721" s="1" t="s">
        <v>83</v>
      </c>
      <c r="B1721" s="5">
        <f>SUMIFS(I8:I1675,D8:D1675,A1721)</f>
        <v>0</v>
      </c>
    </row>
    <row r="1722" spans="1:2" ht="24.75" customHeight="1">
      <c r="A1722" s="44" t="s">
        <v>143</v>
      </c>
      <c r="B1722" s="5">
        <f>SUMIFS(I8:I1675,D8:D1675,A1722)</f>
        <v>0</v>
      </c>
    </row>
    <row r="1723" spans="1:2" ht="24.75" customHeight="1">
      <c r="A1723" s="44" t="s">
        <v>716</v>
      </c>
      <c r="B1723" s="5">
        <f>SUMIFS(I8:I1675,D8:D1675,A1723)</f>
        <v>0</v>
      </c>
    </row>
    <row r="1724" spans="1:2" ht="24.75" customHeight="1">
      <c r="A1724" s="44" t="s">
        <v>717</v>
      </c>
      <c r="B1724" s="5">
        <f>SUMIFS(I8:I1675,D8:D1675,A1724)</f>
        <v>0</v>
      </c>
    </row>
    <row r="1725" spans="1:2" ht="24.75" customHeight="1">
      <c r="A1725" s="44" t="s">
        <v>276</v>
      </c>
      <c r="B1725" s="5">
        <f>SUMIFS(I8:I1675,D8:D1675,A1725)</f>
        <v>0</v>
      </c>
    </row>
    <row r="1726" spans="1:2" ht="24.75" customHeight="1">
      <c r="A1726" s="44" t="s">
        <v>436</v>
      </c>
      <c r="B1726" s="5">
        <f>SUMIFS(I8:I1675,D8:D1675,A1726)</f>
        <v>0</v>
      </c>
    </row>
    <row r="1727" spans="1:2" ht="24.75" customHeight="1">
      <c r="A1727" s="112" t="s">
        <v>718</v>
      </c>
      <c r="B1727" s="5">
        <f>SUMIFS(I8:I1675,D8:D1675,A1727)</f>
        <v>0</v>
      </c>
    </row>
    <row r="1728" spans="1:2" ht="24.75" customHeight="1">
      <c r="A1728" s="1" t="s">
        <v>24</v>
      </c>
      <c r="B1728" s="5">
        <f>SUMIFS(L8:L1675,D8:D1675,A1728)</f>
        <v>52230</v>
      </c>
    </row>
    <row r="1729" spans="1:2" ht="24.75" customHeight="1">
      <c r="A1729" s="1" t="s">
        <v>81</v>
      </c>
      <c r="B1729" s="5">
        <f>SUMIFS(I8:I1675,D8:D1675,A1729)</f>
        <v>0</v>
      </c>
    </row>
    <row r="1730" spans="1:2" ht="24.75" customHeight="1">
      <c r="A1730" s="1" t="s">
        <v>166</v>
      </c>
      <c r="B1730" s="5">
        <f>SUMIFS(L8:L1675,D8:D1675,A1730)</f>
        <v>0</v>
      </c>
    </row>
    <row r="1731" spans="1:2" ht="24.75" customHeight="1">
      <c r="A1731" s="44" t="s">
        <v>370</v>
      </c>
      <c r="B1731" s="5">
        <f>SUMIFS(L8:L1675,D8:D1675,A1731)</f>
        <v>0</v>
      </c>
    </row>
    <row r="1732" spans="1:2" ht="24.75" customHeight="1">
      <c r="A1732" s="1" t="s">
        <v>719</v>
      </c>
      <c r="B1732" s="5">
        <f>SUMIFS(I8:I1675,D8:D1675,A1732)</f>
        <v>0</v>
      </c>
    </row>
    <row r="1733" spans="1:2" ht="24.75" customHeight="1">
      <c r="A1733" s="1" t="s">
        <v>107</v>
      </c>
      <c r="B1733" s="5">
        <f>SUMIFS(I8:I1675,D8:D1675,A1733)</f>
        <v>0</v>
      </c>
    </row>
    <row r="1734" spans="1:2" ht="24.75" customHeight="1">
      <c r="A1734" s="44" t="s">
        <v>164</v>
      </c>
      <c r="B1734" s="5">
        <f>SUMIFS(L8:L1675,D8:D1675,A1734)</f>
        <v>0</v>
      </c>
    </row>
    <row r="1735" spans="1:2" ht="24.75" customHeight="1">
      <c r="A1735" s="1" t="s">
        <v>49</v>
      </c>
      <c r="B1735" s="5">
        <f>SUMIFS(L8:L1675,D8:D1675,A1735)</f>
        <v>1469</v>
      </c>
    </row>
    <row r="1736" spans="1:2" ht="24.75" customHeight="1">
      <c r="A1736" s="1" t="s">
        <v>335</v>
      </c>
      <c r="B1736" s="5">
        <f>SUMIFS(L8:L1675,D8:D1675,A1736)</f>
        <v>0</v>
      </c>
    </row>
    <row r="1737" spans="1:2" ht="24.75" customHeight="1">
      <c r="A1737" s="1" t="s">
        <v>263</v>
      </c>
      <c r="B1737" s="5">
        <f>SUMIFS(L8:L1675,D8:D1675,A1737)</f>
        <v>0</v>
      </c>
    </row>
    <row r="1738" spans="1:2" ht="24.75" customHeight="1">
      <c r="A1738" s="1" t="s">
        <v>336</v>
      </c>
      <c r="B1738" s="5">
        <f>SUMIFS(L8:L1675,D8:D1675,A1738)</f>
        <v>0</v>
      </c>
    </row>
    <row r="1739" spans="1:2" ht="26.25" customHeight="1">
      <c r="A1739" s="1" t="s">
        <v>45</v>
      </c>
      <c r="B1739" s="5">
        <f>SUMIFS(I8:I1675,D8:D1675,A1739)</f>
        <v>47635</v>
      </c>
    </row>
    <row r="1740" spans="1:2" ht="26.25" customHeight="1">
      <c r="A1740" s="1" t="s">
        <v>98</v>
      </c>
      <c r="B1740" s="5">
        <f>SUMIFS(L8:L1675,D8:D1675,A1740)</f>
        <v>0</v>
      </c>
    </row>
    <row r="1741" spans="1:2" ht="26.25" customHeight="1">
      <c r="A1741" s="44" t="s">
        <v>104</v>
      </c>
      <c r="B1741" s="5">
        <f>SUMIFS(L8:L1675,D8:D1675,A1741)</f>
        <v>0</v>
      </c>
    </row>
    <row r="1742" spans="1:2" ht="26.25" customHeight="1">
      <c r="A1742" s="1" t="s">
        <v>82</v>
      </c>
      <c r="B1742" s="5">
        <f>SUMIFS(I8:I1675,D8:D1675,A1742)</f>
        <v>5663</v>
      </c>
    </row>
    <row r="1743" spans="1:2" ht="26.25" customHeight="1">
      <c r="A1743" s="1" t="s">
        <v>715</v>
      </c>
      <c r="B1743" s="5">
        <f>SUMIFS(L8:L1675,D8:D1675,A1743)</f>
        <v>0</v>
      </c>
    </row>
    <row r="1744" spans="1:2" ht="26.25" customHeight="1">
      <c r="A1744" s="1" t="s">
        <v>126</v>
      </c>
      <c r="B1744" s="5">
        <f>SUMIFS(I8:I1675,D8:D1675,A1744)</f>
        <v>35</v>
      </c>
    </row>
    <row r="1745" spans="1:71" ht="26.25" customHeight="1">
      <c r="A1745" s="1" t="s">
        <v>108</v>
      </c>
      <c r="B1745" s="5">
        <f>SUMIFS(I8:I1675,D8:D1675,A1745)</f>
        <v>0</v>
      </c>
    </row>
    <row r="1746" spans="1:71" ht="26.25" customHeight="1">
      <c r="A1746" s="44" t="s">
        <v>271</v>
      </c>
      <c r="B1746" s="5">
        <f>SUMIFS(L8:L1675,D8:D1675,A1746)</f>
        <v>0</v>
      </c>
    </row>
    <row r="1747" spans="1:71" ht="26.25" customHeight="1">
      <c r="A1747" s="44" t="s">
        <v>109</v>
      </c>
      <c r="B1747" s="5">
        <f>SUMIFS(L8:L1675,D8:D1675,A1747)</f>
        <v>0</v>
      </c>
    </row>
    <row r="1748" spans="1:71" ht="26.25" customHeight="1">
      <c r="A1748" s="44" t="s">
        <v>271</v>
      </c>
      <c r="B1748" s="5">
        <f>SUMIFS(L8:L1675,D8:D1675,A1748)</f>
        <v>0</v>
      </c>
    </row>
    <row r="1749" spans="1:71" ht="26.25" customHeight="1">
      <c r="A1749" s="44" t="s">
        <v>195</v>
      </c>
      <c r="B1749" s="5">
        <f>SUMIFS(I8:I1675,D8:D1675,A1749)</f>
        <v>0</v>
      </c>
    </row>
    <row r="1750" spans="1:71" ht="26.25" customHeight="1">
      <c r="A1750" s="44" t="s">
        <v>254</v>
      </c>
      <c r="B1750" s="5">
        <f>SUMIFS(I8:I1675,D8:D1675,A1750)</f>
        <v>0</v>
      </c>
    </row>
    <row r="1751" spans="1:71" ht="26.25" customHeight="1">
      <c r="A1751" s="34" t="s">
        <v>188</v>
      </c>
      <c r="B1751" s="5">
        <f>SUMIF(S8:S1675,A1688,AB8:AB1675)</f>
        <v>153933</v>
      </c>
    </row>
    <row r="1752" spans="1:71" ht="26.25" customHeight="1">
      <c r="A1752" s="132" t="s">
        <v>375</v>
      </c>
      <c r="B1752" s="133">
        <f>SUMIFS(I:I,H:H, "*/J*")</f>
        <v>362392</v>
      </c>
      <c r="BR1752" s="129"/>
      <c r="BS1752" s="129"/>
    </row>
    <row r="1753" spans="1:71" ht="26.25" customHeight="1">
      <c r="A1753" s="34" t="s">
        <v>26</v>
      </c>
      <c r="B1753" s="5">
        <f>SUMIFS(I:I,H:H, "*Slub*",E:E, "&lt;200")</f>
        <v>31130</v>
      </c>
      <c r="BR1753" s="129"/>
      <c r="BS1753" s="129"/>
    </row>
    <row r="1754" spans="1:71" ht="26.25" customHeight="1">
      <c r="A1754" s="34" t="s">
        <v>376</v>
      </c>
      <c r="B1754" s="5">
        <f>SUMIFS(I:I,H:H, "*Slub*",E:E, "&gt;=200")</f>
        <v>0</v>
      </c>
      <c r="BR1754" s="129"/>
      <c r="BS1754" s="129"/>
    </row>
    <row r="1755" spans="1:71" ht="26.25" customHeight="1">
      <c r="A1755" s="34" t="s">
        <v>377</v>
      </c>
      <c r="B1755" s="5">
        <f>SUMIFS(I:I,H:H, "L/S/J",E:E, "&lt;200")</f>
        <v>75529</v>
      </c>
      <c r="BR1755" s="129"/>
      <c r="BS1755" s="129"/>
    </row>
    <row r="1756" spans="1:71" ht="26.25" customHeight="1">
      <c r="A1756" s="34" t="s">
        <v>29</v>
      </c>
      <c r="B1756" s="5">
        <f>SUMIFS(I:I,H:H, "*CVC S/J*")</f>
        <v>0</v>
      </c>
      <c r="BR1756" s="129"/>
      <c r="BS1756" s="129"/>
    </row>
    <row r="1757" spans="1:71" ht="26.25" customHeight="1">
      <c r="A1757" s="112" t="s">
        <v>378</v>
      </c>
      <c r="B1757" s="5">
        <f>SUMIFS(I:I,H:H, "*/J*",E:E, "&gt;=200",E:E, "&lt;=240")</f>
        <v>46750</v>
      </c>
      <c r="BR1757" s="129"/>
      <c r="BS1757" s="129"/>
    </row>
    <row r="1758" spans="1:71" ht="26.25" customHeight="1">
      <c r="A1758" s="34" t="s">
        <v>379</v>
      </c>
      <c r="B1758" s="5">
        <f>SUMIFS(I:I,H:H, "*/J*",E:E, "&gt;=300")</f>
        <v>1911</v>
      </c>
      <c r="BR1758" s="129"/>
      <c r="BS1758" s="129"/>
    </row>
    <row r="1759" spans="1:71" ht="26.25" customHeight="1">
      <c r="A1759" s="34" t="s">
        <v>380</v>
      </c>
      <c r="B1759" s="5">
        <f>SUMIFS(I:I,H:H, "*Rib*")</f>
        <v>115099</v>
      </c>
      <c r="BR1759" s="129"/>
      <c r="BS1759" s="129"/>
    </row>
    <row r="1760" spans="1:71" ht="26.25" customHeight="1">
      <c r="A1760" s="34" t="s">
        <v>196</v>
      </c>
      <c r="B1760" s="5">
        <f>SUMIFS(I:I,H:H, "*Fleece*",H:H, "&lt;&gt;*CVC*")</f>
        <v>5732</v>
      </c>
      <c r="BR1760" s="129"/>
      <c r="BS1760" s="129"/>
    </row>
    <row r="1761" spans="1:71" ht="26.25" customHeight="1">
      <c r="A1761" s="34" t="s">
        <v>32</v>
      </c>
      <c r="B1761" s="5">
        <f>SUMIFS(I:I,H:H, "*CVC Fleece*")</f>
        <v>43697</v>
      </c>
      <c r="BR1761" s="129"/>
      <c r="BS1761" s="129"/>
    </row>
    <row r="1762" spans="1:71" ht="26.25" customHeight="1">
      <c r="A1762" s="34" t="s">
        <v>25</v>
      </c>
      <c r="B1762" s="5">
        <f>SUMIFS(I:I,H:H, "*Terry*",H:H, "&lt;&gt;*Design Terry*",H:H, "&lt;&gt;*CVC Terry*")</f>
        <v>45890</v>
      </c>
      <c r="BR1762" s="129"/>
      <c r="BS1762" s="129"/>
    </row>
    <row r="1763" spans="1:71" ht="26.25" customHeight="1">
      <c r="A1763" s="34" t="s">
        <v>33</v>
      </c>
      <c r="B1763" s="5">
        <f>SUMIFS(I:I,H:H, "*CVC Terry*")</f>
        <v>29723</v>
      </c>
      <c r="BR1763" s="129"/>
      <c r="BS1763" s="129"/>
    </row>
    <row r="1764" spans="1:71" ht="26.25" customHeight="1">
      <c r="A1764" s="34" t="s">
        <v>346</v>
      </c>
      <c r="B1764" s="5">
        <f>SUMIFS(I:I,H:H, "*Design Terry*")</f>
        <v>0</v>
      </c>
      <c r="BR1764" s="129"/>
      <c r="BS1764" s="129"/>
    </row>
    <row r="1765" spans="1:71" ht="26.25" customHeight="1">
      <c r="A1765" s="34" t="s">
        <v>381</v>
      </c>
      <c r="B1765" s="5">
        <f>SUMIFS(I:I,H:H, "*Interlock*")</f>
        <v>6600</v>
      </c>
      <c r="BR1765" s="129"/>
      <c r="BS1765" s="129"/>
    </row>
    <row r="1766" spans="1:71" ht="26.25" customHeight="1">
      <c r="A1766" s="34" t="s">
        <v>371</v>
      </c>
      <c r="B1766" s="5">
        <f>SUMIFS(I:I,H:H, "*waffle*")</f>
        <v>0</v>
      </c>
      <c r="BR1766" s="129"/>
      <c r="BS1766" s="129"/>
    </row>
    <row r="1767" spans="1:71" ht="26.25" customHeight="1"/>
    <row r="1771" spans="1:71" ht="12" customHeight="1">
      <c r="B1771" s="45"/>
    </row>
  </sheetData>
  <autoFilter ref="A7:CI1675" xr:uid="{00000000-0009-0000-0000-000006000000}"/>
  <mergeCells count="436">
    <mergeCell ref="C699:C703"/>
    <mergeCell ref="C424:C426"/>
    <mergeCell ref="C427:C431"/>
    <mergeCell ref="C737:C738"/>
    <mergeCell ref="C740:C741"/>
    <mergeCell ref="C494:C496"/>
    <mergeCell ref="C839:C840"/>
    <mergeCell ref="C841:C843"/>
    <mergeCell ref="C831:C834"/>
    <mergeCell ref="C499:C500"/>
    <mergeCell ref="C501:C504"/>
    <mergeCell ref="C588:C590"/>
    <mergeCell ref="C538:C540"/>
    <mergeCell ref="C454:C462"/>
    <mergeCell ref="C654:C657"/>
    <mergeCell ref="C615:C618"/>
    <mergeCell ref="C789:C796"/>
    <mergeCell ref="C825:C826"/>
    <mergeCell ref="C797:C808"/>
    <mergeCell ref="C787:C788"/>
    <mergeCell ref="C301:C302"/>
    <mergeCell ref="C303:C307"/>
    <mergeCell ref="C308:C310"/>
    <mergeCell ref="C311:C315"/>
    <mergeCell ref="C316:C318"/>
    <mergeCell ref="C432:C433"/>
    <mergeCell ref="C759:C760"/>
    <mergeCell ref="C763:C764"/>
    <mergeCell ref="C765:C769"/>
    <mergeCell ref="C707:C716"/>
    <mergeCell ref="C717:C722"/>
    <mergeCell ref="C723:C727"/>
    <mergeCell ref="C748:C749"/>
    <mergeCell ref="C751:C752"/>
    <mergeCell ref="C684:C685"/>
    <mergeCell ref="C687:C688"/>
    <mergeCell ref="C742:C747"/>
    <mergeCell ref="C689:C695"/>
    <mergeCell ref="C696:C698"/>
    <mergeCell ref="C599:C601"/>
    <mergeCell ref="C756:C758"/>
    <mergeCell ref="C434:C439"/>
    <mergeCell ref="C516:C517"/>
    <mergeCell ref="C652:C653"/>
    <mergeCell ref="C961:C962"/>
    <mergeCell ref="C963:C964"/>
    <mergeCell ref="C965:C966"/>
    <mergeCell ref="C869:C872"/>
    <mergeCell ref="C876:C878"/>
    <mergeCell ref="C879:C880"/>
    <mergeCell ref="C881:C882"/>
    <mergeCell ref="C903:C905"/>
    <mergeCell ref="C809:C816"/>
    <mergeCell ref="C817:C821"/>
    <mergeCell ref="C822:C824"/>
    <mergeCell ref="C844:C845"/>
    <mergeCell ref="C220:C222"/>
    <mergeCell ref="C223:C224"/>
    <mergeCell ref="C225:C228"/>
    <mergeCell ref="C229:C231"/>
    <mergeCell ref="C232:C235"/>
    <mergeCell ref="C236:C238"/>
    <mergeCell ref="C98:C100"/>
    <mergeCell ref="C101:C104"/>
    <mergeCell ref="C40:C41"/>
    <mergeCell ref="C95:C97"/>
    <mergeCell ref="C42:C46"/>
    <mergeCell ref="C47:C51"/>
    <mergeCell ref="C112:C114"/>
    <mergeCell ref="C129:C131"/>
    <mergeCell ref="C132:C134"/>
    <mergeCell ref="C105:C107"/>
    <mergeCell ref="C108:C111"/>
    <mergeCell ref="C63:C64"/>
    <mergeCell ref="C77:C78"/>
    <mergeCell ref="C79:C80"/>
    <mergeCell ref="C82:C83"/>
    <mergeCell ref="C119:C120"/>
    <mergeCell ref="C147:C149"/>
    <mergeCell ref="C150:C153"/>
    <mergeCell ref="C154:C156"/>
    <mergeCell ref="C174:C176"/>
    <mergeCell ref="C179:C180"/>
    <mergeCell ref="C181:C182"/>
    <mergeCell ref="C183:C185"/>
    <mergeCell ref="C186:C188"/>
    <mergeCell ref="C157:C161"/>
    <mergeCell ref="C162:C165"/>
    <mergeCell ref="C166:C168"/>
    <mergeCell ref="C169:C170"/>
    <mergeCell ref="C171:C173"/>
    <mergeCell ref="C135:C138"/>
    <mergeCell ref="C139:C140"/>
    <mergeCell ref="C207:C213"/>
    <mergeCell ref="C189:C195"/>
    <mergeCell ref="C754:C755"/>
    <mergeCell ref="C214:C216"/>
    <mergeCell ref="C217:C219"/>
    <mergeCell ref="C141:C142"/>
    <mergeCell ref="C143:C146"/>
    <mergeCell ref="C558:C561"/>
    <mergeCell ref="C593:C598"/>
    <mergeCell ref="C177:C178"/>
    <mergeCell ref="C204:C206"/>
    <mergeCell ref="C387:C390"/>
    <mergeCell ref="C384:C386"/>
    <mergeCell ref="C250:C254"/>
    <mergeCell ref="C256:C259"/>
    <mergeCell ref="C260:C263"/>
    <mergeCell ref="C265:C267"/>
    <mergeCell ref="C268:C270"/>
    <mergeCell ref="C291:C296"/>
    <mergeCell ref="C297:C298"/>
    <mergeCell ref="C271:C272"/>
    <mergeCell ref="C274:C275"/>
    <mergeCell ref="C1061:C1062"/>
    <mergeCell ref="C1324:C1326"/>
    <mergeCell ref="C1327:C1329"/>
    <mergeCell ref="C770:C771"/>
    <mergeCell ref="C827:C828"/>
    <mergeCell ref="C829:C830"/>
    <mergeCell ref="C873:C875"/>
    <mergeCell ref="C862:C868"/>
    <mergeCell ref="C1002:C1003"/>
    <mergeCell ref="C1004:C1005"/>
    <mergeCell ref="C991:C993"/>
    <mergeCell ref="C885:C887"/>
    <mergeCell ref="C1000:C1001"/>
    <mergeCell ref="C1063:C1065"/>
    <mergeCell ref="C1276:C1278"/>
    <mergeCell ref="C1281:C1283"/>
    <mergeCell ref="C1284:C1297"/>
    <mergeCell ref="C1298:C1300"/>
    <mergeCell ref="C1213:C1215"/>
    <mergeCell ref="C1208:C1209"/>
    <mergeCell ref="C1210:C1212"/>
    <mergeCell ref="C1224:C1228"/>
    <mergeCell ref="C998:C999"/>
    <mergeCell ref="C950:C951"/>
    <mergeCell ref="C1069:C1072"/>
    <mergeCell ref="C1262:C1263"/>
    <mergeCell ref="C196:C198"/>
    <mergeCell ref="C199:C201"/>
    <mergeCell ref="C202:C203"/>
    <mergeCell ref="C888:C891"/>
    <mergeCell ref="C836:C838"/>
    <mergeCell ref="C994:C997"/>
    <mergeCell ref="C704:C706"/>
    <mergeCell ref="C440:C443"/>
    <mergeCell ref="C444:C450"/>
    <mergeCell ref="C555:C557"/>
    <mergeCell ref="C484:C488"/>
    <mergeCell ref="C489:C491"/>
    <mergeCell ref="C451:C453"/>
    <mergeCell ref="C463:C465"/>
    <mergeCell ref="C466:C471"/>
    <mergeCell ref="C472:C483"/>
    <mergeCell ref="C391:C393"/>
    <mergeCell ref="C394:C396"/>
    <mergeCell ref="C397:C401"/>
    <mergeCell ref="C402:C403"/>
    <mergeCell ref="C405:C406"/>
    <mergeCell ref="C408:C409"/>
    <mergeCell ref="C1307:C1308"/>
    <mergeCell ref="C1216:C1217"/>
    <mergeCell ref="C1218:C1220"/>
    <mergeCell ref="C1253:C1255"/>
    <mergeCell ref="C1256:C1257"/>
    <mergeCell ref="C1258:C1261"/>
    <mergeCell ref="C1221:C1223"/>
    <mergeCell ref="C1266:C1267"/>
    <mergeCell ref="C1154:C1156"/>
    <mergeCell ref="C1167:C1169"/>
    <mergeCell ref="C1247:C1248"/>
    <mergeCell ref="C1179:C1182"/>
    <mergeCell ref="C1183:C1187"/>
    <mergeCell ref="C1236:C1238"/>
    <mergeCell ref="C1268:C1269"/>
    <mergeCell ref="C1271:C1273"/>
    <mergeCell ref="C1229:C1231"/>
    <mergeCell ref="C1233:C1235"/>
    <mergeCell ref="C1241:C1243"/>
    <mergeCell ref="C1302:C1303"/>
    <mergeCell ref="C1304:C1305"/>
    <mergeCell ref="C1249:C1251"/>
    <mergeCell ref="C1239:C1240"/>
    <mergeCell ref="C1174:C1178"/>
    <mergeCell ref="B1:CH1"/>
    <mergeCell ref="CT1:CU6"/>
    <mergeCell ref="B2:CH2"/>
    <mergeCell ref="B3:CH3"/>
    <mergeCell ref="I5:L6"/>
    <mergeCell ref="M5:N5"/>
    <mergeCell ref="O5:R5"/>
    <mergeCell ref="S5:AB6"/>
    <mergeCell ref="AC5:AH6"/>
    <mergeCell ref="AI5:AN6"/>
    <mergeCell ref="BT5:BZ6"/>
    <mergeCell ref="CA5:CD6"/>
    <mergeCell ref="CH5:CH6"/>
    <mergeCell ref="CI5:CI6"/>
    <mergeCell ref="M6:N6"/>
    <mergeCell ref="O6:R6"/>
    <mergeCell ref="BN6:BQ6"/>
    <mergeCell ref="AO5:AT6"/>
    <mergeCell ref="AU5:AZ6"/>
    <mergeCell ref="BA5:BF6"/>
    <mergeCell ref="BG5:BL6"/>
    <mergeCell ref="BN5:BQ5"/>
    <mergeCell ref="BR5:BS6"/>
    <mergeCell ref="CZ7:DB7"/>
    <mergeCell ref="DC7:DE7"/>
    <mergeCell ref="CV1664:CW1664"/>
    <mergeCell ref="BU1676:BY1676"/>
    <mergeCell ref="CA1676:CC1676"/>
    <mergeCell ref="C1454:C1457"/>
    <mergeCell ref="C1458:C1461"/>
    <mergeCell ref="C1465:C1466"/>
    <mergeCell ref="C1462:C1464"/>
    <mergeCell ref="C1467:C1468"/>
    <mergeCell ref="C1469:C1472"/>
    <mergeCell ref="C1473:C1478"/>
    <mergeCell ref="C1479:C1491"/>
    <mergeCell ref="C1492:C1495"/>
    <mergeCell ref="C1583:C1588"/>
    <mergeCell ref="C1589:C1592"/>
    <mergeCell ref="C1593:C1595"/>
    <mergeCell ref="C1558:C1561"/>
    <mergeCell ref="C1570:C1572"/>
    <mergeCell ref="C246:C249"/>
    <mergeCell ref="C543:C545"/>
    <mergeCell ref="C546:C549"/>
    <mergeCell ref="C551:C552"/>
    <mergeCell ref="C553:C554"/>
    <mergeCell ref="C8:C11"/>
    <mergeCell ref="C32:C35"/>
    <mergeCell ref="C36:C39"/>
    <mergeCell ref="C26:C29"/>
    <mergeCell ref="C30:C31"/>
    <mergeCell ref="C1545:C1547"/>
    <mergeCell ref="C1549:C1553"/>
    <mergeCell ref="C1443:C1444"/>
    <mergeCell ref="C1446:C1448"/>
    <mergeCell ref="C1449:C1452"/>
    <mergeCell ref="C12:C13"/>
    <mergeCell ref="C14:C15"/>
    <mergeCell ref="C16:C17"/>
    <mergeCell ref="C18:C23"/>
    <mergeCell ref="C24:C25"/>
    <mergeCell ref="C637:C639"/>
    <mergeCell ref="C586:C587"/>
    <mergeCell ref="C115:C117"/>
    <mergeCell ref="C84:C85"/>
    <mergeCell ref="C562:C568"/>
    <mergeCell ref="C416:C417"/>
    <mergeCell ref="C418:C420"/>
    <mergeCell ref="C421:C423"/>
    <mergeCell ref="C382:C383"/>
    <mergeCell ref="E1697:F1697"/>
    <mergeCell ref="I1697:J1697"/>
    <mergeCell ref="K1697:L1697"/>
    <mergeCell ref="E1693:F1693"/>
    <mergeCell ref="I1693:J1693"/>
    <mergeCell ref="K1693:L1693"/>
    <mergeCell ref="E1694:F1694"/>
    <mergeCell ref="I1694:J1694"/>
    <mergeCell ref="K1694:L1694"/>
    <mergeCell ref="E1695:F1695"/>
    <mergeCell ref="I1695:J1695"/>
    <mergeCell ref="K1695:L1695"/>
    <mergeCell ref="E1696:F1696"/>
    <mergeCell ref="I1696:J1696"/>
    <mergeCell ref="K1696:L1696"/>
    <mergeCell ref="C1435:C1438"/>
    <mergeCell ref="B1681:C1681"/>
    <mergeCell ref="E1689:F1689"/>
    <mergeCell ref="I1689:J1689"/>
    <mergeCell ref="K1689:L1689"/>
    <mergeCell ref="E1687:F1687"/>
    <mergeCell ref="I1687:J1687"/>
    <mergeCell ref="K1687:L1687"/>
    <mergeCell ref="K1691:L1691"/>
    <mergeCell ref="C1635:C1638"/>
    <mergeCell ref="C1599:C1602"/>
    <mergeCell ref="G1686:H1686"/>
    <mergeCell ref="I1686:L1686"/>
    <mergeCell ref="B1680:C1680"/>
    <mergeCell ref="C1655:C1657"/>
    <mergeCell ref="C1652:C1654"/>
    <mergeCell ref="C1497:C1499"/>
    <mergeCell ref="E1692:F1692"/>
    <mergeCell ref="I1692:J1692"/>
    <mergeCell ref="K1692:L1692"/>
    <mergeCell ref="E1690:F1690"/>
    <mergeCell ref="I1690:J1690"/>
    <mergeCell ref="K1690:L1690"/>
    <mergeCell ref="E1691:F1691"/>
    <mergeCell ref="I1691:J1691"/>
    <mergeCell ref="C1424:C1425"/>
    <mergeCell ref="C1348:C1349"/>
    <mergeCell ref="E1688:F1688"/>
    <mergeCell ref="I1688:J1688"/>
    <mergeCell ref="K1688:L1688"/>
    <mergeCell ref="C1427:C1428"/>
    <mergeCell ref="C1377:C1378"/>
    <mergeCell ref="C1354:C1356"/>
    <mergeCell ref="C1360:C1362"/>
    <mergeCell ref="C1363:C1364"/>
    <mergeCell ref="C1411:C1412"/>
    <mergeCell ref="C1365:C1366"/>
    <mergeCell ref="C1393:C1394"/>
    <mergeCell ref="C1649:C1651"/>
    <mergeCell ref="C1429:C1434"/>
    <mergeCell ref="C1417:C1419"/>
    <mergeCell ref="C1639:C1644"/>
    <mergeCell ref="C1623:C1624"/>
    <mergeCell ref="C1579:C1582"/>
    <mergeCell ref="C1566:C1568"/>
    <mergeCell ref="C1608:C1610"/>
    <mergeCell ref="C1512:C1513"/>
    <mergeCell ref="B1686:C1686"/>
    <mergeCell ref="D1686:F1686"/>
    <mergeCell ref="C1645:C1648"/>
    <mergeCell ref="C1633:C1634"/>
    <mergeCell ref="C1627:C1630"/>
    <mergeCell ref="C1631:C1632"/>
    <mergeCell ref="C1625:C1626"/>
    <mergeCell ref="C1525:C1526"/>
    <mergeCell ref="C1530:C1531"/>
    <mergeCell ref="C1533:C1538"/>
    <mergeCell ref="C1563:C1565"/>
    <mergeCell ref="C1603:C1604"/>
    <mergeCell ref="C1539:C1541"/>
    <mergeCell ref="C1542:C1544"/>
    <mergeCell ref="C1611:C1613"/>
    <mergeCell ref="C1596:C1598"/>
    <mergeCell ref="C1574:C1575"/>
    <mergeCell ref="C1606:C1607"/>
    <mergeCell ref="C1528:C1529"/>
    <mergeCell ref="C1554:C1557"/>
    <mergeCell ref="C277:C278"/>
    <mergeCell ref="C279:C281"/>
    <mergeCell ref="C1014:C1017"/>
    <mergeCell ref="C1018:C1019"/>
    <mergeCell ref="C1042:C1043"/>
    <mergeCell ref="C1170:C1173"/>
    <mergeCell ref="C1038:C1040"/>
    <mergeCell ref="C1008:C1009"/>
    <mergeCell ref="C1132:C1136"/>
    <mergeCell ref="C1137:C1141"/>
    <mergeCell ref="C1142:C1145"/>
    <mergeCell ref="C1146:C1149"/>
    <mergeCell ref="C1150:C1153"/>
    <mergeCell ref="C1056:C1057"/>
    <mergeCell ref="C336:C345"/>
    <mergeCell ref="C346:C354"/>
    <mergeCell ref="C1027:C1030"/>
    <mergeCell ref="C1046:C1048"/>
    <mergeCell ref="C1157:C1161"/>
    <mergeCell ref="C1073:C1076"/>
    <mergeCell ref="C541:C542"/>
    <mergeCell ref="C535:C537"/>
    <mergeCell ref="C646:C649"/>
    <mergeCell ref="C629:C630"/>
    <mergeCell ref="C1420:C1421"/>
    <mergeCell ref="C1415:C1416"/>
    <mergeCell ref="C1500:C1501"/>
    <mergeCell ref="C1523:C1524"/>
    <mergeCell ref="C1505:C1506"/>
    <mergeCell ref="C1507:C1508"/>
    <mergeCell ref="C1509:C1510"/>
    <mergeCell ref="C1264:C1265"/>
    <mergeCell ref="C1318:C1319"/>
    <mergeCell ref="C1379:C1380"/>
    <mergeCell ref="C1413:C1414"/>
    <mergeCell ref="C1316:C1317"/>
    <mergeCell ref="C1274:C1275"/>
    <mergeCell ref="C1382:C1386"/>
    <mergeCell ref="C1387:C1392"/>
    <mergeCell ref="C1309:C1311"/>
    <mergeCell ref="C1320:C1321"/>
    <mergeCell ref="C1322:C1323"/>
    <mergeCell ref="C1345:C1346"/>
    <mergeCell ref="C1439:C1440"/>
    <mergeCell ref="C1422:C1423"/>
    <mergeCell ref="C1341:C1344"/>
    <mergeCell ref="C1339:C1340"/>
    <mergeCell ref="C1441:C1442"/>
    <mergeCell ref="C1058:C1060"/>
    <mergeCell ref="C643:C645"/>
    <mergeCell ref="C569:C570"/>
    <mergeCell ref="C571:C574"/>
    <mergeCell ref="C492:C493"/>
    <mergeCell ref="C640:C642"/>
    <mergeCell ref="C507:C509"/>
    <mergeCell ref="C510:C511"/>
    <mergeCell ref="C512:C513"/>
    <mergeCell ref="C505:C506"/>
    <mergeCell ref="C514:C515"/>
    <mergeCell ref="C575:C578"/>
    <mergeCell ref="C579:C580"/>
    <mergeCell ref="C581:C583"/>
    <mergeCell ref="C591:C592"/>
    <mergeCell ref="C660:C661"/>
    <mergeCell ref="C663:C664"/>
    <mergeCell ref="C665:C666"/>
    <mergeCell ref="C519:C520"/>
    <mergeCell ref="C1020:C1024"/>
    <mergeCell ref="C1025:C1026"/>
    <mergeCell ref="C602:C611"/>
    <mergeCell ref="C612:C613"/>
    <mergeCell ref="C728:C730"/>
    <mergeCell ref="C1031:C1032"/>
    <mergeCell ref="C366:C367"/>
    <mergeCell ref="C368:C369"/>
    <mergeCell ref="C370:C371"/>
    <mergeCell ref="C355:C362"/>
    <mergeCell ref="C363:C365"/>
    <mergeCell ref="C282:C284"/>
    <mergeCell ref="C334:C335"/>
    <mergeCell ref="C898:C902"/>
    <mergeCell ref="C731:C733"/>
    <mergeCell ref="C734:C736"/>
    <mergeCell ref="C682:C683"/>
    <mergeCell ref="C619:C623"/>
    <mergeCell ref="C624:C625"/>
    <mergeCell ref="C627:C628"/>
    <mergeCell ref="C667:C671"/>
    <mergeCell ref="C328:C333"/>
    <mergeCell ref="C410:C413"/>
    <mergeCell ref="C414:C415"/>
    <mergeCell ref="C846:C847"/>
    <mergeCell ref="C892:C894"/>
    <mergeCell ref="C895:C897"/>
    <mergeCell ref="C848:C849"/>
    <mergeCell ref="C850:C851"/>
  </mergeCells>
  <conditionalFormatting sqref="BM1033:BM1034 BM1081 BM1054:BM1055 BM1036:BM1037 BM1197 BM1202 BM954:BM958 BM929:BM944 BM86:BM94 BM239:BM245 BM321 BM521:BM534 BM631:BM636 BM1514:BM1522 BM1658:BM1675 BM1077:BM1079 BM1614:BM1622 BM1395:BM1409 BM1367:BM1376 BM1330:BM1338 BM774:BM785 BM285:BM290 BM326 BM1051:BM1052 BM1269:BM1270 BM852:BM861 BM673:BM681 BM906:BM913 BM372:BM381 BM1146:BM1149 BM122:BM128 BM969:BM970">
    <cfRule type="cellIs" dxfId="2404" priority="2481" operator="between">
      <formula>8</formula>
      <formula>60</formula>
    </cfRule>
  </conditionalFormatting>
  <conditionalFormatting sqref="BM945:BM948">
    <cfRule type="cellIs" dxfId="2403" priority="2480" operator="between">
      <formula>8</formula>
      <formula>60</formula>
    </cfRule>
  </conditionalFormatting>
  <conditionalFormatting sqref="CE1033:CE1034 CE1081 CE1054:CE1055 CE1036:CE1037 CE1197 CE1202 CE929:CE948 CE86:CE94 CE239:CE245 CE321 CE521:CE534 CE631:CE636 CE1514:CE1522 CE1658:CE1675 CE1077:CE1079 CE1614:CE1622 CE1395:CE1409 CE1367:CE1376 CE1330:CE1338 CE774:CE785 CE285:CE290 CE326 CE1496 CE1051:CE1052 CE1269:CE1270 CE852:CE861 CE673:CE681 CE906:CE913 CE372:CE381 CE954:CE958 CE122:CE128 CE969:CE970">
    <cfRule type="cellIs" dxfId="2402" priority="2479" operator="between">
      <formula>-0.04</formula>
      <formula>-1</formula>
    </cfRule>
  </conditionalFormatting>
  <conditionalFormatting sqref="BM971:BM973">
    <cfRule type="cellIs" dxfId="2401" priority="2478" operator="between">
      <formula>8</formula>
      <formula>60</formula>
    </cfRule>
  </conditionalFormatting>
  <conditionalFormatting sqref="CE971:CE973">
    <cfRule type="cellIs" dxfId="2400" priority="2477" operator="between">
      <formula>-0.04</formula>
      <formula>-1</formula>
    </cfRule>
  </conditionalFormatting>
  <conditionalFormatting sqref="BM977:BM978">
    <cfRule type="cellIs" dxfId="2399" priority="2476" operator="between">
      <formula>8</formula>
      <formula>60</formula>
    </cfRule>
  </conditionalFormatting>
  <conditionalFormatting sqref="CE977:CE978">
    <cfRule type="cellIs" dxfId="2398" priority="2475" operator="between">
      <formula>-0.04</formula>
      <formula>-1</formula>
    </cfRule>
  </conditionalFormatting>
  <conditionalFormatting sqref="BM974:BM975">
    <cfRule type="cellIs" dxfId="2397" priority="2474" operator="between">
      <formula>8</formula>
      <formula>60</formula>
    </cfRule>
  </conditionalFormatting>
  <conditionalFormatting sqref="CE974:CE975">
    <cfRule type="cellIs" dxfId="2396" priority="2473" operator="between">
      <formula>-0.04</formula>
      <formula>-1</formula>
    </cfRule>
  </conditionalFormatting>
  <conditionalFormatting sqref="BM982:BM983">
    <cfRule type="cellIs" dxfId="2395" priority="2472" operator="between">
      <formula>8</formula>
      <formula>60</formula>
    </cfRule>
  </conditionalFormatting>
  <conditionalFormatting sqref="CE982:CE983">
    <cfRule type="cellIs" dxfId="2394" priority="2471" operator="between">
      <formula>-0.04</formula>
      <formula>-1</formula>
    </cfRule>
  </conditionalFormatting>
  <conditionalFormatting sqref="BM979:BM980">
    <cfRule type="cellIs" dxfId="2393" priority="2470" operator="between">
      <formula>8</formula>
      <formula>60</formula>
    </cfRule>
  </conditionalFormatting>
  <conditionalFormatting sqref="CE979:CE980">
    <cfRule type="cellIs" dxfId="2392" priority="2469" operator="between">
      <formula>-0.04</formula>
      <formula>-1</formula>
    </cfRule>
  </conditionalFormatting>
  <conditionalFormatting sqref="BM989:BM990">
    <cfRule type="cellIs" dxfId="2391" priority="2468" operator="between">
      <formula>8</formula>
      <formula>60</formula>
    </cfRule>
  </conditionalFormatting>
  <conditionalFormatting sqref="CE989:CE990">
    <cfRule type="cellIs" dxfId="2390" priority="2467" operator="between">
      <formula>-0.04</formula>
      <formula>-1</formula>
    </cfRule>
  </conditionalFormatting>
  <conditionalFormatting sqref="BM986 BM988">
    <cfRule type="cellIs" dxfId="2389" priority="2466" operator="between">
      <formula>8</formula>
      <formula>60</formula>
    </cfRule>
  </conditionalFormatting>
  <conditionalFormatting sqref="CE986 CE988">
    <cfRule type="cellIs" dxfId="2388" priority="2465" operator="between">
      <formula>-0.04</formula>
      <formula>-1</formula>
    </cfRule>
  </conditionalFormatting>
  <conditionalFormatting sqref="BM1086">
    <cfRule type="cellIs" dxfId="2387" priority="2464" operator="between">
      <formula>8</formula>
      <formula>60</formula>
    </cfRule>
  </conditionalFormatting>
  <conditionalFormatting sqref="CE1086">
    <cfRule type="cellIs" dxfId="2386" priority="2463" operator="between">
      <formula>-0.04</formula>
      <formula>-1</formula>
    </cfRule>
  </conditionalFormatting>
  <conditionalFormatting sqref="BM1084:BM1085">
    <cfRule type="cellIs" dxfId="2385" priority="2462" operator="between">
      <formula>8</formula>
      <formula>60</formula>
    </cfRule>
  </conditionalFormatting>
  <conditionalFormatting sqref="CE1084:CE1085">
    <cfRule type="cellIs" dxfId="2384" priority="2461" operator="between">
      <formula>-0.04</formula>
      <formula>-1</formula>
    </cfRule>
  </conditionalFormatting>
  <conditionalFormatting sqref="BM1082:BM1083">
    <cfRule type="cellIs" dxfId="2383" priority="2460" operator="between">
      <formula>8</formula>
      <formula>60</formula>
    </cfRule>
  </conditionalFormatting>
  <conditionalFormatting sqref="CE1082:CE1083">
    <cfRule type="cellIs" dxfId="2382" priority="2459" operator="between">
      <formula>-0.04</formula>
      <formula>-1</formula>
    </cfRule>
  </conditionalFormatting>
  <conditionalFormatting sqref="BM1091">
    <cfRule type="cellIs" dxfId="2381" priority="2458" operator="between">
      <formula>8</formula>
      <formula>60</formula>
    </cfRule>
  </conditionalFormatting>
  <conditionalFormatting sqref="CE1091">
    <cfRule type="cellIs" dxfId="2380" priority="2457" operator="between">
      <formula>-0.04</formula>
      <formula>-1</formula>
    </cfRule>
  </conditionalFormatting>
  <conditionalFormatting sqref="BM1089:BM1090">
    <cfRule type="cellIs" dxfId="2379" priority="2456" operator="between">
      <formula>8</formula>
      <formula>60</formula>
    </cfRule>
  </conditionalFormatting>
  <conditionalFormatting sqref="CE1089:CE1090">
    <cfRule type="cellIs" dxfId="2378" priority="2455" operator="between">
      <formula>-0.04</formula>
      <formula>-1</formula>
    </cfRule>
  </conditionalFormatting>
  <conditionalFormatting sqref="BM1087:BM1088">
    <cfRule type="cellIs" dxfId="2377" priority="2454" operator="between">
      <formula>8</formula>
      <formula>60</formula>
    </cfRule>
  </conditionalFormatting>
  <conditionalFormatting sqref="CE1087:CE1088">
    <cfRule type="cellIs" dxfId="2376" priority="2453" operator="between">
      <formula>-0.04</formula>
      <formula>-1</formula>
    </cfRule>
  </conditionalFormatting>
  <conditionalFormatting sqref="BM1096">
    <cfRule type="cellIs" dxfId="2375" priority="2452" operator="between">
      <formula>8</formula>
      <formula>60</formula>
    </cfRule>
  </conditionalFormatting>
  <conditionalFormatting sqref="CE1096">
    <cfRule type="cellIs" dxfId="2374" priority="2451" operator="between">
      <formula>-0.04</formula>
      <formula>-1</formula>
    </cfRule>
  </conditionalFormatting>
  <conditionalFormatting sqref="BM1094:BM1095">
    <cfRule type="cellIs" dxfId="2373" priority="2450" operator="between">
      <formula>8</formula>
      <formula>60</formula>
    </cfRule>
  </conditionalFormatting>
  <conditionalFormatting sqref="CE1094:CE1095">
    <cfRule type="cellIs" dxfId="2372" priority="2449" operator="between">
      <formula>-0.04</formula>
      <formula>-1</formula>
    </cfRule>
  </conditionalFormatting>
  <conditionalFormatting sqref="BM1092:BM1093">
    <cfRule type="cellIs" dxfId="2371" priority="2448" operator="between">
      <formula>8</formula>
      <formula>60</formula>
    </cfRule>
  </conditionalFormatting>
  <conditionalFormatting sqref="CE1092:CE1093">
    <cfRule type="cellIs" dxfId="2370" priority="2447" operator="between">
      <formula>-0.04</formula>
      <formula>-1</formula>
    </cfRule>
  </conditionalFormatting>
  <conditionalFormatting sqref="BM1101">
    <cfRule type="cellIs" dxfId="2369" priority="2446" operator="between">
      <formula>8</formula>
      <formula>60</formula>
    </cfRule>
  </conditionalFormatting>
  <conditionalFormatting sqref="CE1101">
    <cfRule type="cellIs" dxfId="2368" priority="2445" operator="between">
      <formula>-0.04</formula>
      <formula>-1</formula>
    </cfRule>
  </conditionalFormatting>
  <conditionalFormatting sqref="BM1099:BM1100">
    <cfRule type="cellIs" dxfId="2367" priority="2444" operator="between">
      <formula>8</formula>
      <formula>60</formula>
    </cfRule>
  </conditionalFormatting>
  <conditionalFormatting sqref="CE1099:CE1100">
    <cfRule type="cellIs" dxfId="2366" priority="2443" operator="between">
      <formula>-0.04</formula>
      <formula>-1</formula>
    </cfRule>
  </conditionalFormatting>
  <conditionalFormatting sqref="BM1097:BM1098">
    <cfRule type="cellIs" dxfId="2365" priority="2442" operator="between">
      <formula>8</formula>
      <formula>60</formula>
    </cfRule>
  </conditionalFormatting>
  <conditionalFormatting sqref="CE1097:CE1098">
    <cfRule type="cellIs" dxfId="2364" priority="2441" operator="between">
      <formula>-0.04</formula>
      <formula>-1</formula>
    </cfRule>
  </conditionalFormatting>
  <conditionalFormatting sqref="BM1106">
    <cfRule type="cellIs" dxfId="2363" priority="2440" operator="between">
      <formula>8</formula>
      <formula>60</formula>
    </cfRule>
  </conditionalFormatting>
  <conditionalFormatting sqref="CE1106">
    <cfRule type="cellIs" dxfId="2362" priority="2439" operator="between">
      <formula>-0.04</formula>
      <formula>-1</formula>
    </cfRule>
  </conditionalFormatting>
  <conditionalFormatting sqref="BM1104:BM1105">
    <cfRule type="cellIs" dxfId="2361" priority="2438" operator="between">
      <formula>8</formula>
      <formula>60</formula>
    </cfRule>
  </conditionalFormatting>
  <conditionalFormatting sqref="CE1104:CE1105">
    <cfRule type="cellIs" dxfId="2360" priority="2437" operator="between">
      <formula>-0.04</formula>
      <formula>-1</formula>
    </cfRule>
  </conditionalFormatting>
  <conditionalFormatting sqref="BM1102:BM1103">
    <cfRule type="cellIs" dxfId="2359" priority="2436" operator="between">
      <formula>8</formula>
      <formula>60</formula>
    </cfRule>
  </conditionalFormatting>
  <conditionalFormatting sqref="CE1102:CE1103">
    <cfRule type="cellIs" dxfId="2358" priority="2435" operator="between">
      <formula>-0.04</formula>
      <formula>-1</formula>
    </cfRule>
  </conditionalFormatting>
  <conditionalFormatting sqref="BM1111">
    <cfRule type="cellIs" dxfId="2357" priority="2434" operator="between">
      <formula>8</formula>
      <formula>60</formula>
    </cfRule>
  </conditionalFormatting>
  <conditionalFormatting sqref="CE1111">
    <cfRule type="cellIs" dxfId="2356" priority="2433" operator="between">
      <formula>-0.04</formula>
      <formula>-1</formula>
    </cfRule>
  </conditionalFormatting>
  <conditionalFormatting sqref="BM1109:BM1110">
    <cfRule type="cellIs" dxfId="2355" priority="2432" operator="between">
      <formula>8</formula>
      <formula>60</formula>
    </cfRule>
  </conditionalFormatting>
  <conditionalFormatting sqref="CE1109:CE1110">
    <cfRule type="cellIs" dxfId="2354" priority="2431" operator="between">
      <formula>-0.04</formula>
      <formula>-1</formula>
    </cfRule>
  </conditionalFormatting>
  <conditionalFormatting sqref="BM1107:BM1108">
    <cfRule type="cellIs" dxfId="2353" priority="2430" operator="between">
      <formula>8</formula>
      <formula>60</formula>
    </cfRule>
  </conditionalFormatting>
  <conditionalFormatting sqref="CE1107:CE1108">
    <cfRule type="cellIs" dxfId="2352" priority="2429" operator="between">
      <formula>-0.04</formula>
      <formula>-1</formula>
    </cfRule>
  </conditionalFormatting>
  <conditionalFormatting sqref="BM1116">
    <cfRule type="cellIs" dxfId="2351" priority="2428" operator="between">
      <formula>8</formula>
      <formula>60</formula>
    </cfRule>
  </conditionalFormatting>
  <conditionalFormatting sqref="CE1116">
    <cfRule type="cellIs" dxfId="2350" priority="2427" operator="between">
      <formula>-0.04</formula>
      <formula>-1</formula>
    </cfRule>
  </conditionalFormatting>
  <conditionalFormatting sqref="BM1114:BM1115">
    <cfRule type="cellIs" dxfId="2349" priority="2426" operator="between">
      <formula>8</formula>
      <formula>60</formula>
    </cfRule>
  </conditionalFormatting>
  <conditionalFormatting sqref="CE1114:CE1115">
    <cfRule type="cellIs" dxfId="2348" priority="2425" operator="between">
      <formula>-0.04</formula>
      <formula>-1</formula>
    </cfRule>
  </conditionalFormatting>
  <conditionalFormatting sqref="BM1112:BM1113">
    <cfRule type="cellIs" dxfId="2347" priority="2424" operator="between">
      <formula>8</formula>
      <formula>60</formula>
    </cfRule>
  </conditionalFormatting>
  <conditionalFormatting sqref="CE1112:CE1113">
    <cfRule type="cellIs" dxfId="2346" priority="2423" operator="between">
      <formula>-0.04</formula>
      <formula>-1</formula>
    </cfRule>
  </conditionalFormatting>
  <conditionalFormatting sqref="BM1121">
    <cfRule type="cellIs" dxfId="2345" priority="2422" operator="between">
      <formula>8</formula>
      <formula>60</formula>
    </cfRule>
  </conditionalFormatting>
  <conditionalFormatting sqref="CE1121">
    <cfRule type="cellIs" dxfId="2344" priority="2421" operator="between">
      <formula>-0.04</formula>
      <formula>-1</formula>
    </cfRule>
  </conditionalFormatting>
  <conditionalFormatting sqref="BM1119:BM1120">
    <cfRule type="cellIs" dxfId="2343" priority="2420" operator="between">
      <formula>8</formula>
      <formula>60</formula>
    </cfRule>
  </conditionalFormatting>
  <conditionalFormatting sqref="CE1119:CE1120">
    <cfRule type="cellIs" dxfId="2342" priority="2419" operator="between">
      <formula>-0.04</formula>
      <formula>-1</formula>
    </cfRule>
  </conditionalFormatting>
  <conditionalFormatting sqref="BM1117:BM1118">
    <cfRule type="cellIs" dxfId="2341" priority="2418" operator="between">
      <formula>8</formula>
      <formula>60</formula>
    </cfRule>
  </conditionalFormatting>
  <conditionalFormatting sqref="CE1117:CE1118">
    <cfRule type="cellIs" dxfId="2340" priority="2417" operator="between">
      <formula>-0.04</formula>
      <formula>-1</formula>
    </cfRule>
  </conditionalFormatting>
  <conditionalFormatting sqref="BM1126">
    <cfRule type="cellIs" dxfId="2339" priority="2416" operator="between">
      <formula>8</formula>
      <formula>60</formula>
    </cfRule>
  </conditionalFormatting>
  <conditionalFormatting sqref="CE1126">
    <cfRule type="cellIs" dxfId="2338" priority="2415" operator="between">
      <formula>-0.04</formula>
      <formula>-1</formula>
    </cfRule>
  </conditionalFormatting>
  <conditionalFormatting sqref="BM1124:BM1125">
    <cfRule type="cellIs" dxfId="2337" priority="2414" operator="between">
      <formula>8</formula>
      <formula>60</formula>
    </cfRule>
  </conditionalFormatting>
  <conditionalFormatting sqref="CE1124:CE1125">
    <cfRule type="cellIs" dxfId="2336" priority="2413" operator="between">
      <formula>-0.04</formula>
      <formula>-1</formula>
    </cfRule>
  </conditionalFormatting>
  <conditionalFormatting sqref="BM1122:BM1123">
    <cfRule type="cellIs" dxfId="2335" priority="2412" operator="between">
      <formula>8</formula>
      <formula>60</formula>
    </cfRule>
  </conditionalFormatting>
  <conditionalFormatting sqref="CE1122:CE1123">
    <cfRule type="cellIs" dxfId="2334" priority="2411" operator="between">
      <formula>-0.04</formula>
      <formula>-1</formula>
    </cfRule>
  </conditionalFormatting>
  <conditionalFormatting sqref="BM1131">
    <cfRule type="cellIs" dxfId="2333" priority="2410" operator="between">
      <formula>8</formula>
      <formula>60</formula>
    </cfRule>
  </conditionalFormatting>
  <conditionalFormatting sqref="CE1131">
    <cfRule type="cellIs" dxfId="2332" priority="2409" operator="between">
      <formula>-0.04</formula>
      <formula>-1</formula>
    </cfRule>
  </conditionalFormatting>
  <conditionalFormatting sqref="BM1129:BM1130">
    <cfRule type="cellIs" dxfId="2331" priority="2408" operator="between">
      <formula>8</formula>
      <formula>60</formula>
    </cfRule>
  </conditionalFormatting>
  <conditionalFormatting sqref="CE1129:CE1130">
    <cfRule type="cellIs" dxfId="2330" priority="2407" operator="between">
      <formula>-0.04</formula>
      <formula>-1</formula>
    </cfRule>
  </conditionalFormatting>
  <conditionalFormatting sqref="BM1127:BM1128">
    <cfRule type="cellIs" dxfId="2329" priority="2406" operator="between">
      <formula>8</formula>
      <formula>60</formula>
    </cfRule>
  </conditionalFormatting>
  <conditionalFormatting sqref="CE1127:CE1128">
    <cfRule type="cellIs" dxfId="2328" priority="2405" operator="between">
      <formula>-0.04</formula>
      <formula>-1</formula>
    </cfRule>
  </conditionalFormatting>
  <conditionalFormatting sqref="BM1166">
    <cfRule type="cellIs" dxfId="2327" priority="2404" operator="between">
      <formula>8</formula>
      <formula>60</formula>
    </cfRule>
  </conditionalFormatting>
  <conditionalFormatting sqref="CE1166">
    <cfRule type="cellIs" dxfId="2326" priority="2403" operator="between">
      <formula>-0.04</formula>
      <formula>-1</formula>
    </cfRule>
  </conditionalFormatting>
  <conditionalFormatting sqref="BM1164:BM1165">
    <cfRule type="cellIs" dxfId="2325" priority="2402" operator="between">
      <formula>8</formula>
      <formula>60</formula>
    </cfRule>
  </conditionalFormatting>
  <conditionalFormatting sqref="CE1164:CE1165">
    <cfRule type="cellIs" dxfId="2324" priority="2401" operator="between">
      <formula>-0.04</formula>
      <formula>-1</formula>
    </cfRule>
  </conditionalFormatting>
  <conditionalFormatting sqref="BM1162:BM1163">
    <cfRule type="cellIs" dxfId="2323" priority="2400" operator="between">
      <formula>8</formula>
      <formula>60</formula>
    </cfRule>
  </conditionalFormatting>
  <conditionalFormatting sqref="CE1162:CE1163">
    <cfRule type="cellIs" dxfId="2322" priority="2399" operator="between">
      <formula>-0.04</formula>
      <formula>-1</formula>
    </cfRule>
  </conditionalFormatting>
  <conditionalFormatting sqref="BM1192">
    <cfRule type="cellIs" dxfId="2321" priority="2398" operator="between">
      <formula>8</formula>
      <formula>60</formula>
    </cfRule>
  </conditionalFormatting>
  <conditionalFormatting sqref="CE1192">
    <cfRule type="cellIs" dxfId="2320" priority="2397" operator="between">
      <formula>-0.04</formula>
      <formula>-1</formula>
    </cfRule>
  </conditionalFormatting>
  <conditionalFormatting sqref="BM1190:BM1191">
    <cfRule type="cellIs" dxfId="2319" priority="2396" operator="between">
      <formula>8</formula>
      <formula>60</formula>
    </cfRule>
  </conditionalFormatting>
  <conditionalFormatting sqref="CE1190:CE1191">
    <cfRule type="cellIs" dxfId="2318" priority="2395" operator="between">
      <formula>-0.04</formula>
      <formula>-1</formula>
    </cfRule>
  </conditionalFormatting>
  <conditionalFormatting sqref="BM1188:BM1189">
    <cfRule type="cellIs" dxfId="2317" priority="2394" operator="between">
      <formula>8</formula>
      <formula>60</formula>
    </cfRule>
  </conditionalFormatting>
  <conditionalFormatting sqref="CE1188:CE1189">
    <cfRule type="cellIs" dxfId="2316" priority="2393" operator="between">
      <formula>-0.04</formula>
      <formula>-1</formula>
    </cfRule>
  </conditionalFormatting>
  <conditionalFormatting sqref="BM1206:BM1207">
    <cfRule type="cellIs" dxfId="2315" priority="2392" operator="between">
      <formula>8</formula>
      <formula>60</formula>
    </cfRule>
  </conditionalFormatting>
  <conditionalFormatting sqref="CE1206:CE1207">
    <cfRule type="cellIs" dxfId="2314" priority="2391" operator="between">
      <formula>-0.04</formula>
      <formula>-1</formula>
    </cfRule>
  </conditionalFormatting>
  <conditionalFormatting sqref="BM1195:BM1196">
    <cfRule type="cellIs" dxfId="2313" priority="2390" operator="between">
      <formula>8</formula>
      <formula>60</formula>
    </cfRule>
  </conditionalFormatting>
  <conditionalFormatting sqref="CE1195:CE1196">
    <cfRule type="cellIs" dxfId="2312" priority="2389" operator="between">
      <formula>-0.04</formula>
      <formula>-1</formula>
    </cfRule>
  </conditionalFormatting>
  <conditionalFormatting sqref="BM1193:BM1194">
    <cfRule type="cellIs" dxfId="2311" priority="2388" operator="between">
      <formula>8</formula>
      <formula>60</formula>
    </cfRule>
  </conditionalFormatting>
  <conditionalFormatting sqref="CE1193:CE1194">
    <cfRule type="cellIs" dxfId="2310" priority="2387" operator="between">
      <formula>-0.04</formula>
      <formula>-1</formula>
    </cfRule>
  </conditionalFormatting>
  <conditionalFormatting sqref="BM1200:BM1201">
    <cfRule type="cellIs" dxfId="2309" priority="2386" operator="between">
      <formula>8</formula>
      <formula>60</formula>
    </cfRule>
  </conditionalFormatting>
  <conditionalFormatting sqref="CE1200:CE1201">
    <cfRule type="cellIs" dxfId="2308" priority="2385" operator="between">
      <formula>-0.04</formula>
      <formula>-1</formula>
    </cfRule>
  </conditionalFormatting>
  <conditionalFormatting sqref="BM1198:BM1199">
    <cfRule type="cellIs" dxfId="2307" priority="2384" operator="between">
      <formula>8</formula>
      <formula>60</formula>
    </cfRule>
  </conditionalFormatting>
  <conditionalFormatting sqref="CE1198:CE1199">
    <cfRule type="cellIs" dxfId="2306" priority="2383" operator="between">
      <formula>-0.04</formula>
      <formula>-1</formula>
    </cfRule>
  </conditionalFormatting>
  <conditionalFormatting sqref="BM1205">
    <cfRule type="cellIs" dxfId="2305" priority="2382" operator="between">
      <formula>8</formula>
      <formula>60</formula>
    </cfRule>
  </conditionalFormatting>
  <conditionalFormatting sqref="CE1205">
    <cfRule type="cellIs" dxfId="2304" priority="2381" operator="between">
      <formula>-0.04</formula>
      <formula>-1</formula>
    </cfRule>
  </conditionalFormatting>
  <conditionalFormatting sqref="BM1203:BM1204">
    <cfRule type="cellIs" dxfId="2303" priority="2380" operator="between">
      <formula>8</formula>
      <formula>60</formula>
    </cfRule>
  </conditionalFormatting>
  <conditionalFormatting sqref="CE1203:CE1204">
    <cfRule type="cellIs" dxfId="2302" priority="2379" operator="between">
      <formula>-0.04</formula>
      <formula>-1</formula>
    </cfRule>
  </conditionalFormatting>
  <conditionalFormatting sqref="BM1080">
    <cfRule type="cellIs" dxfId="2301" priority="2378" operator="between">
      <formula>8</formula>
      <formula>60</formula>
    </cfRule>
  </conditionalFormatting>
  <conditionalFormatting sqref="CE1080">
    <cfRule type="cellIs" dxfId="2300" priority="2377" operator="between">
      <formula>-0.04</formula>
      <formula>-1</formula>
    </cfRule>
  </conditionalFormatting>
  <conditionalFormatting sqref="BM1053">
    <cfRule type="cellIs" dxfId="2299" priority="2376" operator="between">
      <formula>8</formula>
      <formula>60</formula>
    </cfRule>
  </conditionalFormatting>
  <conditionalFormatting sqref="CE1053">
    <cfRule type="cellIs" dxfId="2298" priority="2375" operator="between">
      <formula>-0.04</formula>
      <formula>-1</formula>
    </cfRule>
  </conditionalFormatting>
  <conditionalFormatting sqref="BM1035">
    <cfRule type="cellIs" dxfId="2297" priority="2374" operator="between">
      <formula>8</formula>
      <formula>60</formula>
    </cfRule>
  </conditionalFormatting>
  <conditionalFormatting sqref="CE1035">
    <cfRule type="cellIs" dxfId="2296" priority="2373" operator="between">
      <formula>-0.04</formula>
      <formula>-1</formula>
    </cfRule>
  </conditionalFormatting>
  <conditionalFormatting sqref="BM987">
    <cfRule type="cellIs" dxfId="2295" priority="2372" operator="between">
      <formula>8</formula>
      <formula>60</formula>
    </cfRule>
  </conditionalFormatting>
  <conditionalFormatting sqref="CE987">
    <cfRule type="cellIs" dxfId="2294" priority="2371" operator="between">
      <formula>-0.04</formula>
      <formula>-1</formula>
    </cfRule>
  </conditionalFormatting>
  <conditionalFormatting sqref="BM981">
    <cfRule type="cellIs" dxfId="2293" priority="2370" operator="between">
      <formula>8</formula>
      <formula>60</formula>
    </cfRule>
  </conditionalFormatting>
  <conditionalFormatting sqref="CE981">
    <cfRule type="cellIs" dxfId="2292" priority="2369" operator="between">
      <formula>-0.04</formula>
      <formula>-1</formula>
    </cfRule>
  </conditionalFormatting>
  <conditionalFormatting sqref="BM976">
    <cfRule type="cellIs" dxfId="2291" priority="2368" operator="between">
      <formula>8</formula>
      <formula>60</formula>
    </cfRule>
  </conditionalFormatting>
  <conditionalFormatting sqref="CE976">
    <cfRule type="cellIs" dxfId="2290" priority="2367" operator="between">
      <formula>-0.04</formula>
      <formula>-1</formula>
    </cfRule>
  </conditionalFormatting>
  <conditionalFormatting sqref="BM322:BM325">
    <cfRule type="cellIs" dxfId="2289" priority="2366" operator="between">
      <formula>8</formula>
      <formula>60</formula>
    </cfRule>
  </conditionalFormatting>
  <conditionalFormatting sqref="CE322:CE325">
    <cfRule type="cellIs" dxfId="2288" priority="2365" operator="between">
      <formula>-0.04</formula>
      <formula>-1</formula>
    </cfRule>
  </conditionalFormatting>
  <conditionalFormatting sqref="BM918">
    <cfRule type="cellIs" dxfId="2287" priority="2362" operator="between">
      <formula>8</formula>
      <formula>60</formula>
    </cfRule>
  </conditionalFormatting>
  <conditionalFormatting sqref="CE918">
    <cfRule type="cellIs" dxfId="2286" priority="2361" operator="between">
      <formula>-0.04</formula>
      <formula>-1</formula>
    </cfRule>
  </conditionalFormatting>
  <conditionalFormatting sqref="BM916:BM917">
    <cfRule type="cellIs" dxfId="2285" priority="2360" operator="between">
      <formula>8</formula>
      <formula>60</formula>
    </cfRule>
  </conditionalFormatting>
  <conditionalFormatting sqref="CE916:CE917">
    <cfRule type="cellIs" dxfId="2284" priority="2359" operator="between">
      <formula>-0.04</formula>
      <formula>-1</formula>
    </cfRule>
  </conditionalFormatting>
  <conditionalFormatting sqref="BM914:BM915">
    <cfRule type="cellIs" dxfId="2283" priority="2358" operator="between">
      <formula>8</formula>
      <formula>60</formula>
    </cfRule>
  </conditionalFormatting>
  <conditionalFormatting sqref="CE914:CE915">
    <cfRule type="cellIs" dxfId="2282" priority="2357" operator="between">
      <formula>-0.04</formula>
      <formula>-1</formula>
    </cfRule>
  </conditionalFormatting>
  <conditionalFormatting sqref="BM923">
    <cfRule type="cellIs" dxfId="2281" priority="2356" operator="between">
      <formula>8</formula>
      <formula>60</formula>
    </cfRule>
  </conditionalFormatting>
  <conditionalFormatting sqref="CE923">
    <cfRule type="cellIs" dxfId="2280" priority="2355" operator="between">
      <formula>-0.04</formula>
      <formula>-1</formula>
    </cfRule>
  </conditionalFormatting>
  <conditionalFormatting sqref="BM921:BM922">
    <cfRule type="cellIs" dxfId="2279" priority="2354" operator="between">
      <formula>8</formula>
      <formula>60</formula>
    </cfRule>
  </conditionalFormatting>
  <conditionalFormatting sqref="CE921:CE922">
    <cfRule type="cellIs" dxfId="2278" priority="2353" operator="between">
      <formula>-0.04</formula>
      <formula>-1</formula>
    </cfRule>
  </conditionalFormatting>
  <conditionalFormatting sqref="BM919:BM920">
    <cfRule type="cellIs" dxfId="2277" priority="2352" operator="between">
      <formula>8</formula>
      <formula>60</formula>
    </cfRule>
  </conditionalFormatting>
  <conditionalFormatting sqref="CE919:CE920">
    <cfRule type="cellIs" dxfId="2276" priority="2351" operator="between">
      <formula>-0.04</formula>
      <formula>-1</formula>
    </cfRule>
  </conditionalFormatting>
  <conditionalFormatting sqref="BM928">
    <cfRule type="cellIs" dxfId="2275" priority="2350" operator="between">
      <formula>8</formula>
      <formula>60</formula>
    </cfRule>
  </conditionalFormatting>
  <conditionalFormatting sqref="CE928">
    <cfRule type="cellIs" dxfId="2274" priority="2349" operator="between">
      <formula>-0.04</formula>
      <formula>-1</formula>
    </cfRule>
  </conditionalFormatting>
  <conditionalFormatting sqref="BM926:BM927">
    <cfRule type="cellIs" dxfId="2273" priority="2348" operator="between">
      <formula>8</formula>
      <formula>60</formula>
    </cfRule>
  </conditionalFormatting>
  <conditionalFormatting sqref="CE926:CE927">
    <cfRule type="cellIs" dxfId="2272" priority="2347" operator="between">
      <formula>-0.04</formula>
      <formula>-1</formula>
    </cfRule>
  </conditionalFormatting>
  <conditionalFormatting sqref="BM924:BM925">
    <cfRule type="cellIs" dxfId="2271" priority="2346" operator="between">
      <formula>8</formula>
      <formula>60</formula>
    </cfRule>
  </conditionalFormatting>
  <conditionalFormatting sqref="CE924:CE925">
    <cfRule type="cellIs" dxfId="2270" priority="2345" operator="between">
      <formula>-0.04</formula>
      <formula>-1</formula>
    </cfRule>
  </conditionalFormatting>
  <conditionalFormatting sqref="BM39">
    <cfRule type="cellIs" dxfId="2269" priority="2344" operator="between">
      <formula>8</formula>
      <formula>60</formula>
    </cfRule>
  </conditionalFormatting>
  <conditionalFormatting sqref="CE39">
    <cfRule type="cellIs" dxfId="2268" priority="2343" operator="between">
      <formula>-0.04</formula>
      <formula>-1</formula>
    </cfRule>
  </conditionalFormatting>
  <conditionalFormatting sqref="BM38">
    <cfRule type="cellIs" dxfId="2267" priority="2342" operator="between">
      <formula>8</formula>
      <formula>60</formula>
    </cfRule>
  </conditionalFormatting>
  <conditionalFormatting sqref="CE38">
    <cfRule type="cellIs" dxfId="2266" priority="2341" operator="between">
      <formula>-0.04</formula>
      <formula>-1</formula>
    </cfRule>
  </conditionalFormatting>
  <conditionalFormatting sqref="BM11">
    <cfRule type="cellIs" dxfId="2265" priority="2340" operator="between">
      <formula>8</formula>
      <formula>60</formula>
    </cfRule>
  </conditionalFormatting>
  <conditionalFormatting sqref="CE11">
    <cfRule type="cellIs" dxfId="2264" priority="2339" operator="between">
      <formula>-0.04</formula>
      <formula>-1</formula>
    </cfRule>
  </conditionalFormatting>
  <conditionalFormatting sqref="BM9">
    <cfRule type="cellIs" dxfId="2263" priority="2336" operator="between">
      <formula>8</formula>
      <formula>60</formula>
    </cfRule>
  </conditionalFormatting>
  <conditionalFormatting sqref="BM8:BM11">
    <cfRule type="cellIs" dxfId="2262" priority="2334" operator="between">
      <formula>8</formula>
      <formula>60</formula>
    </cfRule>
  </conditionalFormatting>
  <conditionalFormatting sqref="BM10">
    <cfRule type="cellIs" dxfId="2261" priority="2338" operator="between">
      <formula>8</formula>
      <formula>60</formula>
    </cfRule>
  </conditionalFormatting>
  <conditionalFormatting sqref="CE10">
    <cfRule type="cellIs" dxfId="2260" priority="2337" operator="between">
      <formula>-0.04</formula>
      <formula>-1</formula>
    </cfRule>
  </conditionalFormatting>
  <conditionalFormatting sqref="CE9">
    <cfRule type="cellIs" dxfId="2259" priority="2335" operator="between">
      <formula>-0.04</formula>
      <formula>-1</formula>
    </cfRule>
  </conditionalFormatting>
  <conditionalFormatting sqref="CE8">
    <cfRule type="cellIs" dxfId="2258" priority="2333" operator="between">
      <formula>-0.04</formula>
      <formula>-1</formula>
    </cfRule>
  </conditionalFormatting>
  <conditionalFormatting sqref="BM37">
    <cfRule type="cellIs" dxfId="2257" priority="2332" operator="between">
      <formula>8</formula>
      <formula>60</formula>
    </cfRule>
  </conditionalFormatting>
  <conditionalFormatting sqref="CE37">
    <cfRule type="cellIs" dxfId="2256" priority="2331" operator="between">
      <formula>-0.04</formula>
      <formula>-1</formula>
    </cfRule>
  </conditionalFormatting>
  <conditionalFormatting sqref="BM35">
    <cfRule type="cellIs" dxfId="2255" priority="2328" operator="between">
      <formula>8</formula>
      <formula>60</formula>
    </cfRule>
  </conditionalFormatting>
  <conditionalFormatting sqref="BM34">
    <cfRule type="cellIs" dxfId="2254" priority="2326" operator="between">
      <formula>8</formula>
      <formula>60</formula>
    </cfRule>
  </conditionalFormatting>
  <conditionalFormatting sqref="BM36:BM39">
    <cfRule type="cellIs" dxfId="2253" priority="2330" operator="between">
      <formula>8</formula>
      <formula>60</formula>
    </cfRule>
  </conditionalFormatting>
  <conditionalFormatting sqref="CE36">
    <cfRule type="cellIs" dxfId="2252" priority="2329" operator="between">
      <formula>-0.04</formula>
      <formula>-1</formula>
    </cfRule>
  </conditionalFormatting>
  <conditionalFormatting sqref="CE35">
    <cfRule type="cellIs" dxfId="2251" priority="2327" operator="between">
      <formula>-0.04</formula>
      <formula>-1</formula>
    </cfRule>
  </conditionalFormatting>
  <conditionalFormatting sqref="CE34">
    <cfRule type="cellIs" dxfId="2250" priority="2325" operator="between">
      <formula>-0.04</formula>
      <formula>-1</formula>
    </cfRule>
  </conditionalFormatting>
  <conditionalFormatting sqref="BM33">
    <cfRule type="cellIs" dxfId="2249" priority="2324" operator="between">
      <formula>8</formula>
      <formula>60</formula>
    </cfRule>
  </conditionalFormatting>
  <conditionalFormatting sqref="CE33">
    <cfRule type="cellIs" dxfId="2248" priority="2323" operator="between">
      <formula>-0.04</formula>
      <formula>-1</formula>
    </cfRule>
  </conditionalFormatting>
  <conditionalFormatting sqref="BM32:BM35">
    <cfRule type="cellIs" dxfId="2247" priority="2322" operator="between">
      <formula>8</formula>
      <formula>60</formula>
    </cfRule>
  </conditionalFormatting>
  <conditionalFormatting sqref="CE32">
    <cfRule type="cellIs" dxfId="2246" priority="2321" operator="between">
      <formula>-0.04</formula>
      <formula>-1</formula>
    </cfRule>
  </conditionalFormatting>
  <conditionalFormatting sqref="CE31">
    <cfRule type="cellIs" dxfId="2245" priority="2320" operator="between">
      <formula>-0.04</formula>
      <formula>-1</formula>
    </cfRule>
  </conditionalFormatting>
  <conditionalFormatting sqref="BM29">
    <cfRule type="cellIs" dxfId="2244" priority="2317" operator="between">
      <formula>8</formula>
      <formula>60</formula>
    </cfRule>
  </conditionalFormatting>
  <conditionalFormatting sqref="BM28">
    <cfRule type="cellIs" dxfId="2243" priority="2315" operator="between">
      <formula>8</formula>
      <formula>60</formula>
    </cfRule>
  </conditionalFormatting>
  <conditionalFormatting sqref="BM30">
    <cfRule type="cellIs" dxfId="2242" priority="2319" operator="between">
      <formula>8</formula>
      <formula>60</formula>
    </cfRule>
  </conditionalFormatting>
  <conditionalFormatting sqref="CE30">
    <cfRule type="cellIs" dxfId="2241" priority="2318" operator="between">
      <formula>-0.04</formula>
      <formula>-1</formula>
    </cfRule>
  </conditionalFormatting>
  <conditionalFormatting sqref="CE29">
    <cfRule type="cellIs" dxfId="2240" priority="2316" operator="between">
      <formula>-0.04</formula>
      <formula>-1</formula>
    </cfRule>
  </conditionalFormatting>
  <conditionalFormatting sqref="CE28">
    <cfRule type="cellIs" dxfId="2239" priority="2314" operator="between">
      <formula>-0.04</formula>
      <formula>-1</formula>
    </cfRule>
  </conditionalFormatting>
  <conditionalFormatting sqref="BM27">
    <cfRule type="cellIs" dxfId="2238" priority="2313" operator="between">
      <formula>8</formula>
      <formula>60</formula>
    </cfRule>
  </conditionalFormatting>
  <conditionalFormatting sqref="CE27">
    <cfRule type="cellIs" dxfId="2237" priority="2312" operator="between">
      <formula>-0.04</formula>
      <formula>-1</formula>
    </cfRule>
  </conditionalFormatting>
  <conditionalFormatting sqref="BM26:BM29">
    <cfRule type="cellIs" dxfId="2236" priority="2311" operator="between">
      <formula>8</formula>
      <formula>60</formula>
    </cfRule>
  </conditionalFormatting>
  <conditionalFormatting sqref="CE26">
    <cfRule type="cellIs" dxfId="2235" priority="2310" operator="between">
      <formula>-0.04</formula>
      <formula>-1</formula>
    </cfRule>
  </conditionalFormatting>
  <conditionalFormatting sqref="BM31">
    <cfRule type="cellIs" dxfId="2234" priority="2309" operator="between">
      <formula>8</formula>
      <formula>60</formula>
    </cfRule>
  </conditionalFormatting>
  <conditionalFormatting sqref="BM40">
    <cfRule type="cellIs" dxfId="2233" priority="2307" operator="between">
      <formula>8</formula>
      <formula>60</formula>
    </cfRule>
  </conditionalFormatting>
  <conditionalFormatting sqref="CE41">
    <cfRule type="cellIs" dxfId="2232" priority="2308" operator="between">
      <formula>-0.04</formula>
      <formula>-1</formula>
    </cfRule>
  </conditionalFormatting>
  <conditionalFormatting sqref="CE40">
    <cfRule type="cellIs" dxfId="2231" priority="2306" operator="between">
      <formula>-0.04</formula>
      <formula>-1</formula>
    </cfRule>
  </conditionalFormatting>
  <conditionalFormatting sqref="BM41">
    <cfRule type="cellIs" dxfId="2230" priority="2305" operator="between">
      <formula>8</formula>
      <formula>60</formula>
    </cfRule>
  </conditionalFormatting>
  <conditionalFormatting sqref="BM112:BM114">
    <cfRule type="cellIs" dxfId="2229" priority="2304" operator="between">
      <formula>8</formula>
      <formula>60</formula>
    </cfRule>
  </conditionalFormatting>
  <conditionalFormatting sqref="CE113">
    <cfRule type="cellIs" dxfId="2228" priority="2299" operator="between">
      <formula>-0.04</formula>
      <formula>-1</formula>
    </cfRule>
  </conditionalFormatting>
  <conditionalFormatting sqref="BM113">
    <cfRule type="cellIs" dxfId="2227" priority="2300" operator="between">
      <formula>8</formula>
      <formula>60</formula>
    </cfRule>
  </conditionalFormatting>
  <conditionalFormatting sqref="BM111">
    <cfRule type="cellIs" dxfId="2226" priority="2298" operator="between">
      <formula>8</formula>
      <formula>60</formula>
    </cfRule>
  </conditionalFormatting>
  <conditionalFormatting sqref="CE111">
    <cfRule type="cellIs" dxfId="2225" priority="2297" operator="between">
      <formula>-0.04</formula>
      <formula>-1</formula>
    </cfRule>
  </conditionalFormatting>
  <conditionalFormatting sqref="CE112">
    <cfRule type="cellIs" dxfId="2224" priority="2303" operator="between">
      <formula>-0.04</formula>
      <formula>-1</formula>
    </cfRule>
  </conditionalFormatting>
  <conditionalFormatting sqref="BM114">
    <cfRule type="cellIs" dxfId="2223" priority="2302" operator="between">
      <formula>8</formula>
      <formula>60</formula>
    </cfRule>
  </conditionalFormatting>
  <conditionalFormatting sqref="CE114">
    <cfRule type="cellIs" dxfId="2222" priority="2301" operator="between">
      <formula>-0.04</formula>
      <formula>-1</formula>
    </cfRule>
  </conditionalFormatting>
  <conditionalFormatting sqref="BM110">
    <cfRule type="cellIs" dxfId="2221" priority="2296" operator="between">
      <formula>8</formula>
      <formula>60</formula>
    </cfRule>
  </conditionalFormatting>
  <conditionalFormatting sqref="CE110">
    <cfRule type="cellIs" dxfId="2220" priority="2295" operator="between">
      <formula>-0.04</formula>
      <formula>-1</formula>
    </cfRule>
  </conditionalFormatting>
  <conditionalFormatting sqref="BM109">
    <cfRule type="cellIs" dxfId="2219" priority="2294" operator="between">
      <formula>8</formula>
      <formula>60</formula>
    </cfRule>
  </conditionalFormatting>
  <conditionalFormatting sqref="CE109">
    <cfRule type="cellIs" dxfId="2218" priority="2293" operator="between">
      <formula>-0.04</formula>
      <formula>-1</formula>
    </cfRule>
  </conditionalFormatting>
  <conditionalFormatting sqref="BM108:BM111">
    <cfRule type="cellIs" dxfId="2217" priority="2292" operator="between">
      <formula>8</formula>
      <formula>60</formula>
    </cfRule>
  </conditionalFormatting>
  <conditionalFormatting sqref="CE108">
    <cfRule type="cellIs" dxfId="2216" priority="2291" operator="between">
      <formula>-0.04</formula>
      <formula>-1</formula>
    </cfRule>
  </conditionalFormatting>
  <conditionalFormatting sqref="BM107">
    <cfRule type="cellIs" dxfId="2215" priority="2290" operator="between">
      <formula>8</formula>
      <formula>60</formula>
    </cfRule>
  </conditionalFormatting>
  <conditionalFormatting sqref="CE107">
    <cfRule type="cellIs" dxfId="2214" priority="2289" operator="between">
      <formula>-0.04</formula>
      <formula>-1</formula>
    </cfRule>
  </conditionalFormatting>
  <conditionalFormatting sqref="BM105:BM107">
    <cfRule type="cellIs" dxfId="2213" priority="2284" operator="between">
      <formula>8</formula>
      <formula>60</formula>
    </cfRule>
  </conditionalFormatting>
  <conditionalFormatting sqref="BM103">
    <cfRule type="cellIs" dxfId="2212" priority="2282" operator="between">
      <formula>8</formula>
      <formula>60</formula>
    </cfRule>
  </conditionalFormatting>
  <conditionalFormatting sqref="CE103">
    <cfRule type="cellIs" dxfId="2211" priority="2281" operator="between">
      <formula>-0.04</formula>
      <formula>-1</formula>
    </cfRule>
  </conditionalFormatting>
  <conditionalFormatting sqref="BM104">
    <cfRule type="cellIs" dxfId="2210" priority="2288" operator="between">
      <formula>8</formula>
      <formula>60</formula>
    </cfRule>
  </conditionalFormatting>
  <conditionalFormatting sqref="CE104">
    <cfRule type="cellIs" dxfId="2209" priority="2287" operator="between">
      <formula>-0.04</formula>
      <formula>-1</formula>
    </cfRule>
  </conditionalFormatting>
  <conditionalFormatting sqref="BM106">
    <cfRule type="cellIs" dxfId="2208" priority="2286" operator="between">
      <formula>8</formula>
      <formula>60</formula>
    </cfRule>
  </conditionalFormatting>
  <conditionalFormatting sqref="CE106">
    <cfRule type="cellIs" dxfId="2207" priority="2285" operator="between">
      <formula>-0.04</formula>
      <formula>-1</formula>
    </cfRule>
  </conditionalFormatting>
  <conditionalFormatting sqref="CE105">
    <cfRule type="cellIs" dxfId="2206" priority="2283" operator="between">
      <formula>-0.04</formula>
      <formula>-1</formula>
    </cfRule>
  </conditionalFormatting>
  <conditionalFormatting sqref="BM102">
    <cfRule type="cellIs" dxfId="2205" priority="2280" operator="between">
      <formula>8</formula>
      <formula>60</formula>
    </cfRule>
  </conditionalFormatting>
  <conditionalFormatting sqref="CE102">
    <cfRule type="cellIs" dxfId="2204" priority="2279" operator="between">
      <formula>-0.04</formula>
      <formula>-1</formula>
    </cfRule>
  </conditionalFormatting>
  <conditionalFormatting sqref="BM101:BM104">
    <cfRule type="cellIs" dxfId="2203" priority="2278" operator="between">
      <formula>8</formula>
      <formula>60</formula>
    </cfRule>
  </conditionalFormatting>
  <conditionalFormatting sqref="CE101">
    <cfRule type="cellIs" dxfId="2202" priority="2277" operator="between">
      <formula>-0.04</formula>
      <formula>-1</formula>
    </cfRule>
  </conditionalFormatting>
  <conditionalFormatting sqref="BM99">
    <cfRule type="cellIs" dxfId="2201" priority="2272" operator="between">
      <formula>8</formula>
      <formula>60</formula>
    </cfRule>
  </conditionalFormatting>
  <conditionalFormatting sqref="BM97">
    <cfRule type="cellIs" dxfId="2200" priority="2270" operator="between">
      <formula>8</formula>
      <formula>60</formula>
    </cfRule>
  </conditionalFormatting>
  <conditionalFormatting sqref="CE97">
    <cfRule type="cellIs" dxfId="2199" priority="2269" operator="between">
      <formula>-0.04</formula>
      <formula>-1</formula>
    </cfRule>
  </conditionalFormatting>
  <conditionalFormatting sqref="BM98:BM100">
    <cfRule type="cellIs" dxfId="2198" priority="2276" operator="between">
      <formula>8</formula>
      <formula>60</formula>
    </cfRule>
  </conditionalFormatting>
  <conditionalFormatting sqref="CE98">
    <cfRule type="cellIs" dxfId="2197" priority="2275" operator="between">
      <formula>-0.04</formula>
      <formula>-1</formula>
    </cfRule>
  </conditionalFormatting>
  <conditionalFormatting sqref="BM100">
    <cfRule type="cellIs" dxfId="2196" priority="2274" operator="between">
      <formula>8</formula>
      <formula>60</formula>
    </cfRule>
  </conditionalFormatting>
  <conditionalFormatting sqref="CE100">
    <cfRule type="cellIs" dxfId="2195" priority="2273" operator="between">
      <formula>-0.04</formula>
      <formula>-1</formula>
    </cfRule>
  </conditionalFormatting>
  <conditionalFormatting sqref="CE99">
    <cfRule type="cellIs" dxfId="2194" priority="2271" operator="between">
      <formula>-0.04</formula>
      <formula>-1</formula>
    </cfRule>
  </conditionalFormatting>
  <conditionalFormatting sqref="BM96">
    <cfRule type="cellIs" dxfId="2193" priority="2268" operator="between">
      <formula>8</formula>
      <formula>60</formula>
    </cfRule>
  </conditionalFormatting>
  <conditionalFormatting sqref="CE96">
    <cfRule type="cellIs" dxfId="2192" priority="2267" operator="between">
      <formula>-0.04</formula>
      <formula>-1</formula>
    </cfRule>
  </conditionalFormatting>
  <conditionalFormatting sqref="BM95:BM97">
    <cfRule type="cellIs" dxfId="2191" priority="2266" operator="between">
      <formula>8</formula>
      <formula>60</formula>
    </cfRule>
  </conditionalFormatting>
  <conditionalFormatting sqref="CE95">
    <cfRule type="cellIs" dxfId="2190" priority="2265" operator="between">
      <formula>-0.04</formula>
      <formula>-1</formula>
    </cfRule>
  </conditionalFormatting>
  <conditionalFormatting sqref="BM136">
    <cfRule type="cellIs" dxfId="2189" priority="2262" operator="between">
      <formula>8</formula>
      <formula>60</formula>
    </cfRule>
  </conditionalFormatting>
  <conditionalFormatting sqref="BM137:BM138">
    <cfRule type="cellIs" dxfId="2188" priority="2264" operator="between">
      <formula>8</formula>
      <formula>60</formula>
    </cfRule>
  </conditionalFormatting>
  <conditionalFormatting sqref="CE137:CE138">
    <cfRule type="cellIs" dxfId="2187" priority="2263" operator="between">
      <formula>-0.04</formula>
      <formula>-1</formula>
    </cfRule>
  </conditionalFormatting>
  <conditionalFormatting sqref="BM133:BM134">
    <cfRule type="cellIs" dxfId="2186" priority="2258" operator="between">
      <formula>8</formula>
      <formula>60</formula>
    </cfRule>
  </conditionalFormatting>
  <conditionalFormatting sqref="CE136">
    <cfRule type="cellIs" dxfId="2185" priority="2261" operator="between">
      <formula>-0.04</formula>
      <formula>-1</formula>
    </cfRule>
  </conditionalFormatting>
  <conditionalFormatting sqref="BM135:BM138">
    <cfRule type="cellIs" dxfId="2184" priority="2260" operator="between">
      <formula>8</formula>
      <formula>60</formula>
    </cfRule>
  </conditionalFormatting>
  <conditionalFormatting sqref="CE135">
    <cfRule type="cellIs" dxfId="2183" priority="2259" operator="between">
      <formula>-0.04</formula>
      <formula>-1</formula>
    </cfRule>
  </conditionalFormatting>
  <conditionalFormatting sqref="CE133:CE134">
    <cfRule type="cellIs" dxfId="2182" priority="2257" operator="between">
      <formula>-0.04</formula>
      <formula>-1</formula>
    </cfRule>
  </conditionalFormatting>
  <conditionalFormatting sqref="BM129:BM131">
    <cfRule type="cellIs" dxfId="2181" priority="2252" operator="between">
      <formula>8</formula>
      <formula>60</formula>
    </cfRule>
  </conditionalFormatting>
  <conditionalFormatting sqref="BM132:BM134">
    <cfRule type="cellIs" dxfId="2180" priority="2256" operator="between">
      <formula>8</formula>
      <formula>60</formula>
    </cfRule>
  </conditionalFormatting>
  <conditionalFormatting sqref="CE132">
    <cfRule type="cellIs" dxfId="2179" priority="2255" operator="between">
      <formula>-0.04</formula>
      <formula>-1</formula>
    </cfRule>
  </conditionalFormatting>
  <conditionalFormatting sqref="BM131">
    <cfRule type="cellIs" dxfId="2178" priority="2254" operator="between">
      <formula>8</formula>
      <formula>60</formula>
    </cfRule>
  </conditionalFormatting>
  <conditionalFormatting sqref="CE131">
    <cfRule type="cellIs" dxfId="2177" priority="2253" operator="between">
      <formula>-0.04</formula>
      <formula>-1</formula>
    </cfRule>
  </conditionalFormatting>
  <conditionalFormatting sqref="CE129:CE130">
    <cfRule type="cellIs" dxfId="2176" priority="2251" operator="between">
      <formula>-0.04</formula>
      <formula>-1</formula>
    </cfRule>
  </conditionalFormatting>
  <conditionalFormatting sqref="CE140">
    <cfRule type="cellIs" dxfId="2175" priority="2250" operator="between">
      <formula>-0.04</formula>
      <formula>-1</formula>
    </cfRule>
  </conditionalFormatting>
  <conditionalFormatting sqref="BM139">
    <cfRule type="cellIs" dxfId="2174" priority="2249" operator="between">
      <formula>8</formula>
      <formula>60</formula>
    </cfRule>
  </conditionalFormatting>
  <conditionalFormatting sqref="CE139">
    <cfRule type="cellIs" dxfId="2173" priority="2248" operator="between">
      <formula>-0.04</formula>
      <formula>-1</formula>
    </cfRule>
  </conditionalFormatting>
  <conditionalFormatting sqref="BM140">
    <cfRule type="cellIs" dxfId="2172" priority="2247" operator="between">
      <formula>8</formula>
      <formula>60</formula>
    </cfRule>
  </conditionalFormatting>
  <conditionalFormatting sqref="BM247">
    <cfRule type="cellIs" dxfId="2171" priority="2236" operator="between">
      <formula>8</formula>
      <formula>60</formula>
    </cfRule>
  </conditionalFormatting>
  <conditionalFormatting sqref="BM249">
    <cfRule type="cellIs" dxfId="2170" priority="2240" operator="between">
      <formula>8</formula>
      <formula>60</formula>
    </cfRule>
  </conditionalFormatting>
  <conditionalFormatting sqref="CE249">
    <cfRule type="cellIs" dxfId="2169" priority="2239" operator="between">
      <formula>-0.04</formula>
      <formula>-1</formula>
    </cfRule>
  </conditionalFormatting>
  <conditionalFormatting sqref="BM248">
    <cfRule type="cellIs" dxfId="2168" priority="2238" operator="between">
      <formula>8</formula>
      <formula>60</formula>
    </cfRule>
  </conditionalFormatting>
  <conditionalFormatting sqref="CE248">
    <cfRule type="cellIs" dxfId="2167" priority="2237" operator="between">
      <formula>-0.04</formula>
      <formula>-1</formula>
    </cfRule>
  </conditionalFormatting>
  <conditionalFormatting sqref="CE247">
    <cfRule type="cellIs" dxfId="2166" priority="2235" operator="between">
      <formula>-0.04</formula>
      <formula>-1</formula>
    </cfRule>
  </conditionalFormatting>
  <conditionalFormatting sqref="BM246:BM249">
    <cfRule type="cellIs" dxfId="2165" priority="2234" operator="between">
      <formula>8</formula>
      <formula>60</formula>
    </cfRule>
  </conditionalFormatting>
  <conditionalFormatting sqref="CE246">
    <cfRule type="cellIs" dxfId="2164" priority="2233" operator="between">
      <formula>-0.04</formula>
      <formula>-1</formula>
    </cfRule>
  </conditionalFormatting>
  <conditionalFormatting sqref="BM251">
    <cfRule type="cellIs" dxfId="2163" priority="2226" operator="between">
      <formula>8</formula>
      <formula>60</formula>
    </cfRule>
  </conditionalFormatting>
  <conditionalFormatting sqref="BM253">
    <cfRule type="cellIs" dxfId="2162" priority="2230" operator="between">
      <formula>8</formula>
      <formula>60</formula>
    </cfRule>
  </conditionalFormatting>
  <conditionalFormatting sqref="CE253">
    <cfRule type="cellIs" dxfId="2161" priority="2229" operator="between">
      <formula>-0.04</formula>
      <formula>-1</formula>
    </cfRule>
  </conditionalFormatting>
  <conditionalFormatting sqref="BM254:BM255">
    <cfRule type="cellIs" dxfId="2160" priority="2232" operator="between">
      <formula>8</formula>
      <formula>60</formula>
    </cfRule>
  </conditionalFormatting>
  <conditionalFormatting sqref="CE254:CE255">
    <cfRule type="cellIs" dxfId="2159" priority="2231" operator="between">
      <formula>-0.04</formula>
      <formula>-1</formula>
    </cfRule>
  </conditionalFormatting>
  <conditionalFormatting sqref="BM252">
    <cfRule type="cellIs" dxfId="2158" priority="2228" operator="between">
      <formula>8</formula>
      <formula>60</formula>
    </cfRule>
  </conditionalFormatting>
  <conditionalFormatting sqref="CE252">
    <cfRule type="cellIs" dxfId="2157" priority="2227" operator="between">
      <formula>-0.04</formula>
      <formula>-1</formula>
    </cfRule>
  </conditionalFormatting>
  <conditionalFormatting sqref="CE251">
    <cfRule type="cellIs" dxfId="2156" priority="2225" operator="between">
      <formula>-0.04</formula>
      <formula>-1</formula>
    </cfRule>
  </conditionalFormatting>
  <conditionalFormatting sqref="BM250:BM254">
    <cfRule type="cellIs" dxfId="2155" priority="2224" operator="between">
      <formula>8</formula>
      <formula>60</formula>
    </cfRule>
  </conditionalFormatting>
  <conditionalFormatting sqref="CE250">
    <cfRule type="cellIs" dxfId="2154" priority="2223" operator="between">
      <formula>-0.04</formula>
      <formula>-1</formula>
    </cfRule>
  </conditionalFormatting>
  <conditionalFormatting sqref="BM382">
    <cfRule type="cellIs" dxfId="2153" priority="2214" operator="between">
      <formula>8</formula>
      <formula>60</formula>
    </cfRule>
  </conditionalFormatting>
  <conditionalFormatting sqref="CE382">
    <cfRule type="cellIs" dxfId="2152" priority="2213" operator="between">
      <formula>-0.04</formula>
      <formula>-1</formula>
    </cfRule>
  </conditionalFormatting>
  <conditionalFormatting sqref="CE386">
    <cfRule type="cellIs" dxfId="2151" priority="2212" operator="between">
      <formula>-0.04</formula>
      <formula>-1</formula>
    </cfRule>
  </conditionalFormatting>
  <conditionalFormatting sqref="BM384">
    <cfRule type="cellIs" dxfId="2150" priority="2211" operator="between">
      <formula>8</formula>
      <formula>60</formula>
    </cfRule>
  </conditionalFormatting>
  <conditionalFormatting sqref="CE384">
    <cfRule type="cellIs" dxfId="2149" priority="2210" operator="between">
      <formula>-0.04</formula>
      <formula>-1</formula>
    </cfRule>
  </conditionalFormatting>
  <conditionalFormatting sqref="CE383">
    <cfRule type="cellIs" dxfId="2148" priority="2209" operator="between">
      <formula>-0.04</formula>
      <formula>-1</formula>
    </cfRule>
  </conditionalFormatting>
  <conditionalFormatting sqref="BM383">
    <cfRule type="cellIs" dxfId="2147" priority="2208" operator="between">
      <formula>8</formula>
      <formula>60</formula>
    </cfRule>
  </conditionalFormatting>
  <conditionalFormatting sqref="BM386">
    <cfRule type="cellIs" dxfId="2146" priority="2207" operator="between">
      <formula>8</formula>
      <formula>60</formula>
    </cfRule>
  </conditionalFormatting>
  <conditionalFormatting sqref="BM537">
    <cfRule type="cellIs" dxfId="2145" priority="2206" operator="between">
      <formula>8</formula>
      <formula>60</formula>
    </cfRule>
  </conditionalFormatting>
  <conditionalFormatting sqref="BM536">
    <cfRule type="cellIs" dxfId="2144" priority="2204" operator="between">
      <formula>8</formula>
      <formula>60</formula>
    </cfRule>
  </conditionalFormatting>
  <conditionalFormatting sqref="CE537">
    <cfRule type="cellIs" dxfId="2143" priority="2205" operator="between">
      <formula>-0.04</formula>
      <formula>-1</formula>
    </cfRule>
  </conditionalFormatting>
  <conditionalFormatting sqref="CE536">
    <cfRule type="cellIs" dxfId="2142" priority="2203" operator="between">
      <formula>-0.04</formula>
      <formula>-1</formula>
    </cfRule>
  </conditionalFormatting>
  <conditionalFormatting sqref="BM535:BM537">
    <cfRule type="cellIs" dxfId="2141" priority="2202" operator="between">
      <formula>8</formula>
      <formula>60</formula>
    </cfRule>
  </conditionalFormatting>
  <conditionalFormatting sqref="CE535">
    <cfRule type="cellIs" dxfId="2140" priority="2201" operator="between">
      <formula>-0.04</formula>
      <formula>-1</formula>
    </cfRule>
  </conditionalFormatting>
  <conditionalFormatting sqref="BM1228">
    <cfRule type="cellIs" dxfId="2139" priority="2200" operator="between">
      <formula>8</formula>
      <formula>60</formula>
    </cfRule>
  </conditionalFormatting>
  <conditionalFormatting sqref="CE1228">
    <cfRule type="cellIs" dxfId="2138" priority="2199" operator="between">
      <formula>-0.04</formula>
      <formula>-1</formula>
    </cfRule>
  </conditionalFormatting>
  <conditionalFormatting sqref="BM1214:BM1215 BM1226">
    <cfRule type="cellIs" dxfId="2137" priority="2196" operator="between">
      <formula>8</formula>
      <formula>60</formula>
    </cfRule>
  </conditionalFormatting>
  <conditionalFormatting sqref="CE1227">
    <cfRule type="cellIs" dxfId="2136" priority="2197" operator="between">
      <formula>-0.04</formula>
      <formula>-1</formula>
    </cfRule>
  </conditionalFormatting>
  <conditionalFormatting sqref="CE1214:CE1215 CE1226">
    <cfRule type="cellIs" dxfId="2135" priority="2195" operator="between">
      <formula>-0.04</formula>
      <formula>-1</formula>
    </cfRule>
  </conditionalFormatting>
  <conditionalFormatting sqref="BM1227">
    <cfRule type="cellIs" dxfId="2134" priority="2198" operator="between">
      <formula>8</formula>
      <formula>60</formula>
    </cfRule>
  </conditionalFormatting>
  <conditionalFormatting sqref="BM1212">
    <cfRule type="cellIs" dxfId="2133" priority="2192" operator="between">
      <formula>8</formula>
      <formula>60</formula>
    </cfRule>
  </conditionalFormatting>
  <conditionalFormatting sqref="CE1213">
    <cfRule type="cellIs" dxfId="2132" priority="2193" operator="between">
      <formula>-0.04</formula>
      <formula>-1</formula>
    </cfRule>
  </conditionalFormatting>
  <conditionalFormatting sqref="CE1212">
    <cfRule type="cellIs" dxfId="2131" priority="2191" operator="between">
      <formula>-0.04</formula>
      <formula>-1</formula>
    </cfRule>
  </conditionalFormatting>
  <conditionalFormatting sqref="BM1213:BM1215">
    <cfRule type="cellIs" dxfId="2130" priority="2194" operator="between">
      <formula>8</formula>
      <formula>60</formula>
    </cfRule>
  </conditionalFormatting>
  <conditionalFormatting sqref="BM1208 BM1210:BM1212">
    <cfRule type="cellIs" dxfId="2129" priority="2188" operator="between">
      <formula>8</formula>
      <formula>60</formula>
    </cfRule>
  </conditionalFormatting>
  <conditionalFormatting sqref="CE1211">
    <cfRule type="cellIs" dxfId="2128" priority="2189" operator="between">
      <formula>-0.04</formula>
      <formula>-1</formula>
    </cfRule>
  </conditionalFormatting>
  <conditionalFormatting sqref="CE1208:CE1210">
    <cfRule type="cellIs" dxfId="2127" priority="2187" operator="between">
      <formula>-0.04</formula>
      <formula>-1</formula>
    </cfRule>
  </conditionalFormatting>
  <conditionalFormatting sqref="BM1211">
    <cfRule type="cellIs" dxfId="2126" priority="2190" operator="between">
      <formula>8</formula>
      <formula>60</formula>
    </cfRule>
  </conditionalFormatting>
  <conditionalFormatting sqref="BM1209">
    <cfRule type="cellIs" dxfId="2125" priority="2186" operator="between">
      <formula>8</formula>
      <formula>60</formula>
    </cfRule>
  </conditionalFormatting>
  <conditionalFormatting sqref="BM1222:BM1228">
    <cfRule type="cellIs" dxfId="2124" priority="2183" operator="between">
      <formula>8</formula>
      <formula>60</formula>
    </cfRule>
  </conditionalFormatting>
  <conditionalFormatting sqref="CE1225">
    <cfRule type="cellIs" dxfId="2123" priority="2184" operator="between">
      <formula>-0.04</formula>
      <formula>-1</formula>
    </cfRule>
  </conditionalFormatting>
  <conditionalFormatting sqref="CE1222:CE1224">
    <cfRule type="cellIs" dxfId="2122" priority="2182" operator="between">
      <formula>-0.04</formula>
      <formula>-1</formula>
    </cfRule>
  </conditionalFormatting>
  <conditionalFormatting sqref="BM1225">
    <cfRule type="cellIs" dxfId="2121" priority="2185" operator="between">
      <formula>8</formula>
      <formula>60</formula>
    </cfRule>
  </conditionalFormatting>
  <conditionalFormatting sqref="BM1220">
    <cfRule type="cellIs" dxfId="2120" priority="2179" operator="between">
      <formula>8</formula>
      <formula>60</formula>
    </cfRule>
  </conditionalFormatting>
  <conditionalFormatting sqref="CE1221">
    <cfRule type="cellIs" dxfId="2119" priority="2180" operator="between">
      <formula>-0.04</formula>
      <formula>-1</formula>
    </cfRule>
  </conditionalFormatting>
  <conditionalFormatting sqref="CE1220">
    <cfRule type="cellIs" dxfId="2118" priority="2178" operator="between">
      <formula>-0.04</formula>
      <formula>-1</formula>
    </cfRule>
  </conditionalFormatting>
  <conditionalFormatting sqref="BM1221:BM1223">
    <cfRule type="cellIs" dxfId="2117" priority="2181" operator="between">
      <formula>8</formula>
      <formula>60</formula>
    </cfRule>
  </conditionalFormatting>
  <conditionalFormatting sqref="BM1218:BM1220">
    <cfRule type="cellIs" dxfId="2116" priority="2175" operator="between">
      <formula>8</formula>
      <formula>60</formula>
    </cfRule>
  </conditionalFormatting>
  <conditionalFormatting sqref="CE1219">
    <cfRule type="cellIs" dxfId="2115" priority="2176" operator="between">
      <formula>-0.04</formula>
      <formula>-1</formula>
    </cfRule>
  </conditionalFormatting>
  <conditionalFormatting sqref="CE1218">
    <cfRule type="cellIs" dxfId="2114" priority="2174" operator="between">
      <formula>-0.04</formula>
      <formula>-1</formula>
    </cfRule>
  </conditionalFormatting>
  <conditionalFormatting sqref="BM1219">
    <cfRule type="cellIs" dxfId="2113" priority="2177" operator="between">
      <formula>8</formula>
      <formula>60</formula>
    </cfRule>
  </conditionalFormatting>
  <conditionalFormatting sqref="BM1229">
    <cfRule type="cellIs" dxfId="2112" priority="2156" operator="between">
      <formula>8</formula>
      <formula>60</formula>
    </cfRule>
  </conditionalFormatting>
  <conditionalFormatting sqref="CE1217">
    <cfRule type="cellIs" dxfId="2111" priority="2173" operator="between">
      <formula>-0.04</formula>
      <formula>-1</formula>
    </cfRule>
  </conditionalFormatting>
  <conditionalFormatting sqref="BM1216">
    <cfRule type="cellIs" dxfId="2110" priority="2172" operator="between">
      <formula>8</formula>
      <formula>60</formula>
    </cfRule>
  </conditionalFormatting>
  <conditionalFormatting sqref="CE1216">
    <cfRule type="cellIs" dxfId="2109" priority="2171" operator="between">
      <formula>-0.04</formula>
      <formula>-1</formula>
    </cfRule>
  </conditionalFormatting>
  <conditionalFormatting sqref="BM1217">
    <cfRule type="cellIs" dxfId="2108" priority="2170" operator="between">
      <formula>8</formula>
      <formula>60</formula>
    </cfRule>
  </conditionalFormatting>
  <conditionalFormatting sqref="CE1240">
    <cfRule type="cellIs" dxfId="2107" priority="2169" operator="between">
      <formula>-0.04</formula>
      <formula>-1</formula>
    </cfRule>
  </conditionalFormatting>
  <conditionalFormatting sqref="CE1239">
    <cfRule type="cellIs" dxfId="2106" priority="2167" operator="between">
      <formula>-0.04</formula>
      <formula>-1</formula>
    </cfRule>
  </conditionalFormatting>
  <conditionalFormatting sqref="BM1239">
    <cfRule type="cellIs" dxfId="2105" priority="2168" operator="between">
      <formula>8</formula>
      <formula>60</formula>
    </cfRule>
  </conditionalFormatting>
  <conditionalFormatting sqref="BM1235:BM1238">
    <cfRule type="cellIs" dxfId="2104" priority="2164" operator="between">
      <formula>8</formula>
      <formula>60</formula>
    </cfRule>
  </conditionalFormatting>
  <conditionalFormatting sqref="CE1238">
    <cfRule type="cellIs" dxfId="2103" priority="2165" operator="between">
      <formula>-0.04</formula>
      <formula>-1</formula>
    </cfRule>
  </conditionalFormatting>
  <conditionalFormatting sqref="CE1235:CE1237">
    <cfRule type="cellIs" dxfId="2102" priority="2163" operator="between">
      <formula>-0.04</formula>
      <formula>-1</formula>
    </cfRule>
  </conditionalFormatting>
  <conditionalFormatting sqref="BM1238">
    <cfRule type="cellIs" dxfId="2101" priority="2166" operator="between">
      <formula>8</formula>
      <formula>60</formula>
    </cfRule>
  </conditionalFormatting>
  <conditionalFormatting sqref="CE1234">
    <cfRule type="cellIs" dxfId="2100" priority="2161" operator="between">
      <formula>-0.04</formula>
      <formula>-1</formula>
    </cfRule>
  </conditionalFormatting>
  <conditionalFormatting sqref="BM1234">
    <cfRule type="cellIs" dxfId="2099" priority="2162" operator="between">
      <formula>8</formula>
      <formula>60</formula>
    </cfRule>
  </conditionalFormatting>
  <conditionalFormatting sqref="BM1232">
    <cfRule type="cellIs" dxfId="2098" priority="2158" operator="between">
      <formula>8</formula>
      <formula>60</formula>
    </cfRule>
  </conditionalFormatting>
  <conditionalFormatting sqref="CE1233">
    <cfRule type="cellIs" dxfId="2097" priority="2159" operator="between">
      <formula>-0.04</formula>
      <formula>-1</formula>
    </cfRule>
  </conditionalFormatting>
  <conditionalFormatting sqref="CE1230:CE1232">
    <cfRule type="cellIs" dxfId="2096" priority="2157" operator="between">
      <formula>-0.04</formula>
      <formula>-1</formula>
    </cfRule>
  </conditionalFormatting>
  <conditionalFormatting sqref="BM1233:BM1235">
    <cfRule type="cellIs" dxfId="2095" priority="2160" operator="between">
      <formula>8</formula>
      <formula>60</formula>
    </cfRule>
  </conditionalFormatting>
  <conditionalFormatting sqref="CE1229">
    <cfRule type="cellIs" dxfId="2094" priority="2155" operator="between">
      <formula>-0.04</formula>
      <formula>-1</formula>
    </cfRule>
  </conditionalFormatting>
  <conditionalFormatting sqref="BM1230">
    <cfRule type="cellIs" dxfId="2093" priority="2154" operator="between">
      <formula>8</formula>
      <formula>60</formula>
    </cfRule>
  </conditionalFormatting>
  <conditionalFormatting sqref="BM1231">
    <cfRule type="cellIs" dxfId="2092" priority="2153" operator="between">
      <formula>8</formula>
      <formula>60</formula>
    </cfRule>
  </conditionalFormatting>
  <conditionalFormatting sqref="BM1240">
    <cfRule type="cellIs" dxfId="2091" priority="2152" operator="between">
      <formula>8</formula>
      <formula>60</formula>
    </cfRule>
  </conditionalFormatting>
  <conditionalFormatting sqref="BM1241:BM1243">
    <cfRule type="cellIs" dxfId="2090" priority="2149" operator="between">
      <formula>8</formula>
      <formula>60</formula>
    </cfRule>
  </conditionalFormatting>
  <conditionalFormatting sqref="CE1243">
    <cfRule type="cellIs" dxfId="2089" priority="2150" operator="between">
      <formula>-0.04</formula>
      <formula>-1</formula>
    </cfRule>
  </conditionalFormatting>
  <conditionalFormatting sqref="CE1241:CE1242">
    <cfRule type="cellIs" dxfId="2088" priority="2148" operator="between">
      <formula>-0.04</formula>
      <formula>-1</formula>
    </cfRule>
  </conditionalFormatting>
  <conditionalFormatting sqref="BM1243">
    <cfRule type="cellIs" dxfId="2087" priority="2151" operator="between">
      <formula>8</formula>
      <formula>60</formula>
    </cfRule>
  </conditionalFormatting>
  <conditionalFormatting sqref="CE1343">
    <cfRule type="cellIs" dxfId="2086" priority="2147" operator="between">
      <formula>-0.04</formula>
      <formula>-1</formula>
    </cfRule>
  </conditionalFormatting>
  <conditionalFormatting sqref="BM1344">
    <cfRule type="cellIs" dxfId="2085" priority="2146" operator="between">
      <formula>8</formula>
      <formula>60</formula>
    </cfRule>
  </conditionalFormatting>
  <conditionalFormatting sqref="CE1344">
    <cfRule type="cellIs" dxfId="2084" priority="2145" operator="between">
      <formula>-0.04</formula>
      <formula>-1</formula>
    </cfRule>
  </conditionalFormatting>
  <conditionalFormatting sqref="BM1343">
    <cfRule type="cellIs" dxfId="2083" priority="2144" operator="between">
      <formula>8</formula>
      <formula>60</formula>
    </cfRule>
  </conditionalFormatting>
  <conditionalFormatting sqref="CE1339">
    <cfRule type="cellIs" dxfId="2082" priority="2139" operator="between">
      <formula>-0.04</formula>
      <formula>-1</formula>
    </cfRule>
  </conditionalFormatting>
  <conditionalFormatting sqref="BM1342">
    <cfRule type="cellIs" dxfId="2081" priority="2143" operator="between">
      <formula>8</formula>
      <formula>60</formula>
    </cfRule>
  </conditionalFormatting>
  <conditionalFormatting sqref="CE1342">
    <cfRule type="cellIs" dxfId="2080" priority="2142" operator="between">
      <formula>-0.04</formula>
      <formula>-1</formula>
    </cfRule>
  </conditionalFormatting>
  <conditionalFormatting sqref="BM1341:BM1344">
    <cfRule type="cellIs" dxfId="2079" priority="2141" operator="between">
      <formula>8</formula>
      <formula>60</formula>
    </cfRule>
  </conditionalFormatting>
  <conditionalFormatting sqref="CE1341">
    <cfRule type="cellIs" dxfId="2078" priority="2140" operator="between">
      <formula>-0.04</formula>
      <formula>-1</formula>
    </cfRule>
  </conditionalFormatting>
  <conditionalFormatting sqref="BM1339">
    <cfRule type="cellIs" dxfId="2077" priority="2137" operator="between">
      <formula>8</formula>
      <formula>60</formula>
    </cfRule>
  </conditionalFormatting>
  <conditionalFormatting sqref="CE1340">
    <cfRule type="cellIs" dxfId="2076" priority="2138" operator="between">
      <formula>-0.04</formula>
      <formula>-1</formula>
    </cfRule>
  </conditionalFormatting>
  <conditionalFormatting sqref="BM1340">
    <cfRule type="cellIs" dxfId="2075" priority="2136" operator="between">
      <formula>8</formula>
      <formula>60</formula>
    </cfRule>
  </conditionalFormatting>
  <conditionalFormatting sqref="CE406">
    <cfRule type="cellIs" dxfId="2074" priority="2135" operator="between">
      <formula>-0.04</formula>
      <formula>-1</formula>
    </cfRule>
  </conditionalFormatting>
  <conditionalFormatting sqref="BM405">
    <cfRule type="cellIs" dxfId="2073" priority="2134" operator="between">
      <formula>8</formula>
      <formula>60</formula>
    </cfRule>
  </conditionalFormatting>
  <conditionalFormatting sqref="CE405">
    <cfRule type="cellIs" dxfId="2072" priority="2133" operator="between">
      <formula>-0.04</formula>
      <formula>-1</formula>
    </cfRule>
  </conditionalFormatting>
  <conditionalFormatting sqref="BM393">
    <cfRule type="cellIs" dxfId="2071" priority="2129" operator="between">
      <formula>8</formula>
      <formula>60</formula>
    </cfRule>
  </conditionalFormatting>
  <conditionalFormatting sqref="CE404">
    <cfRule type="cellIs" dxfId="2070" priority="2131" operator="between">
      <formula>-0.04</formula>
      <formula>-1</formula>
    </cfRule>
  </conditionalFormatting>
  <conditionalFormatting sqref="CE403">
    <cfRule type="cellIs" dxfId="2069" priority="2130" operator="between">
      <formula>-0.04</formula>
      <formula>-1</formula>
    </cfRule>
  </conditionalFormatting>
  <conditionalFormatting sqref="BM389">
    <cfRule type="cellIs" dxfId="2068" priority="2122" operator="between">
      <formula>8</formula>
      <formula>60</formula>
    </cfRule>
  </conditionalFormatting>
  <conditionalFormatting sqref="BM390">
    <cfRule type="cellIs" dxfId="2067" priority="2124" operator="between">
      <formula>8</formula>
      <formula>60</formula>
    </cfRule>
  </conditionalFormatting>
  <conditionalFormatting sqref="CE390:CE392">
    <cfRule type="cellIs" dxfId="2066" priority="2123" operator="between">
      <formula>-0.04</formula>
      <formula>-1</formula>
    </cfRule>
  </conditionalFormatting>
  <conditionalFormatting sqref="CE389">
    <cfRule type="cellIs" dxfId="2065" priority="2121" operator="between">
      <formula>-0.04</formula>
      <formula>-1</formula>
    </cfRule>
  </conditionalFormatting>
  <conditionalFormatting sqref="BM391:BM393">
    <cfRule type="cellIs" dxfId="2064" priority="2125" operator="between">
      <formula>8</formula>
      <formula>60</formula>
    </cfRule>
  </conditionalFormatting>
  <conditionalFormatting sqref="CE387">
    <cfRule type="cellIs" dxfId="2063" priority="2117" operator="between">
      <formula>-0.04</formula>
      <formula>-1</formula>
    </cfRule>
  </conditionalFormatting>
  <conditionalFormatting sqref="BM392">
    <cfRule type="cellIs" dxfId="2062" priority="2127" operator="between">
      <formula>8</formula>
      <formula>60</formula>
    </cfRule>
  </conditionalFormatting>
  <conditionalFormatting sqref="BM387:BM390">
    <cfRule type="cellIs" dxfId="2061" priority="2118" operator="between">
      <formula>8</formula>
      <formula>60</formula>
    </cfRule>
  </conditionalFormatting>
  <conditionalFormatting sqref="CE393">
    <cfRule type="cellIs" dxfId="2060" priority="2128" operator="between">
      <formula>-0.04</formula>
      <formula>-1</formula>
    </cfRule>
  </conditionalFormatting>
  <conditionalFormatting sqref="BM404">
    <cfRule type="cellIs" dxfId="2059" priority="2132" operator="between">
      <formula>8</formula>
      <formula>60</formula>
    </cfRule>
  </conditionalFormatting>
  <conditionalFormatting sqref="BM388">
    <cfRule type="cellIs" dxfId="2058" priority="2120" operator="between">
      <formula>8</formula>
      <formula>60</formula>
    </cfRule>
  </conditionalFormatting>
  <conditionalFormatting sqref="CE388">
    <cfRule type="cellIs" dxfId="2057" priority="2119" operator="between">
      <formula>-0.04</formula>
      <formula>-1</formula>
    </cfRule>
  </conditionalFormatting>
  <conditionalFormatting sqref="CE401">
    <cfRule type="cellIs" dxfId="2056" priority="2113" operator="between">
      <formula>-0.04</formula>
      <formula>-1</formula>
    </cfRule>
  </conditionalFormatting>
  <conditionalFormatting sqref="BM399">
    <cfRule type="cellIs" dxfId="2055" priority="2112" operator="between">
      <formula>8</formula>
      <formula>60</formula>
    </cfRule>
  </conditionalFormatting>
  <conditionalFormatting sqref="BM401">
    <cfRule type="cellIs" dxfId="2054" priority="2114" operator="between">
      <formula>8</formula>
      <formula>60</formula>
    </cfRule>
  </conditionalFormatting>
  <conditionalFormatting sqref="BM402">
    <cfRule type="cellIs" dxfId="2053" priority="2116" operator="between">
      <formula>8</formula>
      <formula>60</formula>
    </cfRule>
  </conditionalFormatting>
  <conditionalFormatting sqref="CE402">
    <cfRule type="cellIs" dxfId="2052" priority="2115" operator="between">
      <formula>-0.04</formula>
      <formula>-1</formula>
    </cfRule>
  </conditionalFormatting>
  <conditionalFormatting sqref="BM398">
    <cfRule type="cellIs" dxfId="2051" priority="2110" operator="between">
      <formula>8</formula>
      <formula>60</formula>
    </cfRule>
  </conditionalFormatting>
  <conditionalFormatting sqref="CE399">
    <cfRule type="cellIs" dxfId="2050" priority="2111" operator="between">
      <formula>-0.04</formula>
      <formula>-1</formula>
    </cfRule>
  </conditionalFormatting>
  <conditionalFormatting sqref="BM395">
    <cfRule type="cellIs" dxfId="2049" priority="2104" operator="between">
      <formula>8</formula>
      <formula>60</formula>
    </cfRule>
  </conditionalFormatting>
  <conditionalFormatting sqref="CE395">
    <cfRule type="cellIs" dxfId="2048" priority="2103" operator="between">
      <formula>-0.04</formula>
      <formula>-1</formula>
    </cfRule>
  </conditionalFormatting>
  <conditionalFormatting sqref="BM400">
    <cfRule type="cellIs" dxfId="2047" priority="2098" operator="between">
      <formula>8</formula>
      <formula>60</formula>
    </cfRule>
  </conditionalFormatting>
  <conditionalFormatting sqref="BM394:BM396">
    <cfRule type="cellIs" dxfId="2046" priority="2102" operator="between">
      <formula>8</formula>
      <formula>60</formula>
    </cfRule>
  </conditionalFormatting>
  <conditionalFormatting sqref="CE394">
    <cfRule type="cellIs" dxfId="2045" priority="2101" operator="between">
      <formula>-0.04</formula>
      <formula>-1</formula>
    </cfRule>
  </conditionalFormatting>
  <conditionalFormatting sqref="BM397:BM399 BM401">
    <cfRule type="cellIs" dxfId="2044" priority="2108" operator="between">
      <formula>8</formula>
      <formula>60</formula>
    </cfRule>
  </conditionalFormatting>
  <conditionalFormatting sqref="CE396">
    <cfRule type="cellIs" dxfId="2043" priority="2105" operator="between">
      <formula>-0.04</formula>
      <formula>-1</formula>
    </cfRule>
  </conditionalFormatting>
  <conditionalFormatting sqref="CE398">
    <cfRule type="cellIs" dxfId="2042" priority="2109" operator="between">
      <formula>-0.04</formula>
      <formula>-1</formula>
    </cfRule>
  </conditionalFormatting>
  <conditionalFormatting sqref="CE397">
    <cfRule type="cellIs" dxfId="2041" priority="2107" operator="between">
      <formula>-0.04</formula>
      <formula>-1</formula>
    </cfRule>
  </conditionalFormatting>
  <conditionalFormatting sqref="BM396">
    <cfRule type="cellIs" dxfId="2040" priority="2106" operator="between">
      <formula>8</formula>
      <formula>60</formula>
    </cfRule>
  </conditionalFormatting>
  <conditionalFormatting sqref="BM403">
    <cfRule type="cellIs" dxfId="2039" priority="2097" operator="between">
      <formula>8</formula>
      <formula>60</formula>
    </cfRule>
  </conditionalFormatting>
  <conditionalFormatting sqref="BM400">
    <cfRule type="cellIs" dxfId="2038" priority="2100" operator="between">
      <formula>8</formula>
      <formula>60</formula>
    </cfRule>
  </conditionalFormatting>
  <conditionalFormatting sqref="CE400">
    <cfRule type="cellIs" dxfId="2037" priority="2099" operator="between">
      <formula>-0.04</formula>
      <formula>-1</formula>
    </cfRule>
  </conditionalFormatting>
  <conditionalFormatting sqref="BM406">
    <cfRule type="cellIs" dxfId="2036" priority="2096" operator="between">
      <formula>8</formula>
      <formula>60</formula>
    </cfRule>
  </conditionalFormatting>
  <conditionalFormatting sqref="BM408">
    <cfRule type="cellIs" dxfId="2035" priority="2094" operator="between">
      <formula>8</formula>
      <formula>60</formula>
    </cfRule>
  </conditionalFormatting>
  <conditionalFormatting sqref="CE408">
    <cfRule type="cellIs" dxfId="2034" priority="2093" operator="between">
      <formula>-0.04</formula>
      <formula>-1</formula>
    </cfRule>
  </conditionalFormatting>
  <conditionalFormatting sqref="CE407">
    <cfRule type="cellIs" dxfId="2033" priority="2091" operator="between">
      <formula>-0.04</formula>
      <formula>-1</formula>
    </cfRule>
  </conditionalFormatting>
  <conditionalFormatting sqref="BM407">
    <cfRule type="cellIs" dxfId="2032" priority="2092" operator="between">
      <formula>8</formula>
      <formula>60</formula>
    </cfRule>
  </conditionalFormatting>
  <conditionalFormatting sqref="CE409">
    <cfRule type="cellIs" dxfId="2031" priority="2095" operator="between">
      <formula>-0.04</formula>
      <formula>-1</formula>
    </cfRule>
  </conditionalFormatting>
  <conditionalFormatting sqref="BM409">
    <cfRule type="cellIs" dxfId="2030" priority="2090" operator="between">
      <formula>8</formula>
      <formula>60</formula>
    </cfRule>
  </conditionalFormatting>
  <conditionalFormatting sqref="BM539">
    <cfRule type="cellIs" dxfId="2029" priority="2087" operator="between">
      <formula>8</formula>
      <formula>60</formula>
    </cfRule>
  </conditionalFormatting>
  <conditionalFormatting sqref="CE539">
    <cfRule type="cellIs" dxfId="2028" priority="2086" operator="between">
      <formula>-0.04</formula>
      <formula>-1</formula>
    </cfRule>
  </conditionalFormatting>
  <conditionalFormatting sqref="BM538:BM540">
    <cfRule type="cellIs" dxfId="2027" priority="2085" operator="between">
      <formula>8</formula>
      <formula>60</formula>
    </cfRule>
  </conditionalFormatting>
  <conditionalFormatting sqref="CE538">
    <cfRule type="cellIs" dxfId="2026" priority="2084" operator="between">
      <formula>-0.04</formula>
      <formula>-1</formula>
    </cfRule>
  </conditionalFormatting>
  <conditionalFormatting sqref="CE540">
    <cfRule type="cellIs" dxfId="2025" priority="2088" operator="between">
      <formula>-0.04</formula>
      <formula>-1</formula>
    </cfRule>
  </conditionalFormatting>
  <conditionalFormatting sqref="BM540">
    <cfRule type="cellIs" dxfId="2024" priority="2089" operator="between">
      <formula>8</formula>
      <formula>60</formula>
    </cfRule>
  </conditionalFormatting>
  <conditionalFormatting sqref="BM542">
    <cfRule type="cellIs" dxfId="2023" priority="2080" operator="between">
      <formula>8</formula>
      <formula>60</formula>
    </cfRule>
  </conditionalFormatting>
  <conditionalFormatting sqref="BM541">
    <cfRule type="cellIs" dxfId="2022" priority="2082" operator="between">
      <formula>8</formula>
      <formula>60</formula>
    </cfRule>
  </conditionalFormatting>
  <conditionalFormatting sqref="CE542">
    <cfRule type="cellIs" dxfId="2021" priority="2083" operator="between">
      <formula>-0.04</formula>
      <formula>-1</formula>
    </cfRule>
  </conditionalFormatting>
  <conditionalFormatting sqref="CE541">
    <cfRule type="cellIs" dxfId="2020" priority="2081" operator="between">
      <formula>-0.04</formula>
      <formula>-1</formula>
    </cfRule>
  </conditionalFormatting>
  <conditionalFormatting sqref="BM260:BM263">
    <cfRule type="cellIs" dxfId="2019" priority="2073" operator="between">
      <formula>8</formula>
      <formula>60</formula>
    </cfRule>
  </conditionalFormatting>
  <conditionalFormatting sqref="BM262">
    <cfRule type="cellIs" dxfId="2018" priority="2077" operator="between">
      <formula>8</formula>
      <formula>60</formula>
    </cfRule>
  </conditionalFormatting>
  <conditionalFormatting sqref="CE263">
    <cfRule type="cellIs" dxfId="2017" priority="2078" operator="between">
      <formula>-0.04</formula>
      <formula>-1</formula>
    </cfRule>
  </conditionalFormatting>
  <conditionalFormatting sqref="CE262">
    <cfRule type="cellIs" dxfId="2016" priority="2076" operator="between">
      <formula>-0.04</formula>
      <formula>-1</formula>
    </cfRule>
  </conditionalFormatting>
  <conditionalFormatting sqref="BM261">
    <cfRule type="cellIs" dxfId="2015" priority="2075" operator="between">
      <formula>8</formula>
      <formula>60</formula>
    </cfRule>
  </conditionalFormatting>
  <conditionalFormatting sqref="CE261">
    <cfRule type="cellIs" dxfId="2014" priority="2074" operator="between">
      <formula>-0.04</formula>
      <formula>-1</formula>
    </cfRule>
  </conditionalFormatting>
  <conditionalFormatting sqref="BM263">
    <cfRule type="cellIs" dxfId="2013" priority="2079" operator="between">
      <formula>8</formula>
      <formula>60</formula>
    </cfRule>
  </conditionalFormatting>
  <conditionalFormatting sqref="CE260">
    <cfRule type="cellIs" dxfId="2012" priority="2072" operator="between">
      <formula>-0.04</formula>
      <formula>-1</formula>
    </cfRule>
  </conditionalFormatting>
  <conditionalFormatting sqref="BM258:BM259">
    <cfRule type="cellIs" dxfId="2011" priority="2071" operator="between">
      <formula>8</formula>
      <formula>60</formula>
    </cfRule>
  </conditionalFormatting>
  <conditionalFormatting sqref="CE258:CE259">
    <cfRule type="cellIs" dxfId="2010" priority="2070" operator="between">
      <formula>-0.04</formula>
      <formula>-1</formula>
    </cfRule>
  </conditionalFormatting>
  <conditionalFormatting sqref="BM257">
    <cfRule type="cellIs" dxfId="2009" priority="2069" operator="between">
      <formula>8</formula>
      <formula>60</formula>
    </cfRule>
  </conditionalFormatting>
  <conditionalFormatting sqref="CE257">
    <cfRule type="cellIs" dxfId="2008" priority="2068" operator="between">
      <formula>-0.04</formula>
      <formula>-1</formula>
    </cfRule>
  </conditionalFormatting>
  <conditionalFormatting sqref="BM256:BM259">
    <cfRule type="cellIs" dxfId="2007" priority="2067" operator="between">
      <formula>8</formula>
      <formula>60</formula>
    </cfRule>
  </conditionalFormatting>
  <conditionalFormatting sqref="CE256">
    <cfRule type="cellIs" dxfId="2006" priority="2066" operator="between">
      <formula>-0.04</formula>
      <formula>-1</formula>
    </cfRule>
  </conditionalFormatting>
  <conditionalFormatting sqref="BM46">
    <cfRule type="cellIs" dxfId="2005" priority="2055" operator="between">
      <formula>8</formula>
      <formula>60</formula>
    </cfRule>
  </conditionalFormatting>
  <conditionalFormatting sqref="CE46">
    <cfRule type="cellIs" dxfId="2004" priority="2054" operator="between">
      <formula>-0.04</formula>
      <formula>-1</formula>
    </cfRule>
  </conditionalFormatting>
  <conditionalFormatting sqref="BM45">
    <cfRule type="cellIs" dxfId="2003" priority="2053" operator="between">
      <formula>8</formula>
      <formula>60</formula>
    </cfRule>
  </conditionalFormatting>
  <conditionalFormatting sqref="CE45">
    <cfRule type="cellIs" dxfId="2002" priority="2052" operator="between">
      <formula>-0.04</formula>
      <formula>-1</formula>
    </cfRule>
  </conditionalFormatting>
  <conditionalFormatting sqref="BM42:BM46">
    <cfRule type="cellIs" dxfId="2001" priority="2047" operator="between">
      <formula>8</formula>
      <formula>60</formula>
    </cfRule>
  </conditionalFormatting>
  <conditionalFormatting sqref="BM44">
    <cfRule type="cellIs" dxfId="2000" priority="2051" operator="between">
      <formula>8</formula>
      <formula>60</formula>
    </cfRule>
  </conditionalFormatting>
  <conditionalFormatting sqref="CE44">
    <cfRule type="cellIs" dxfId="1999" priority="2050" operator="between">
      <formula>-0.04</formula>
      <formula>-1</formula>
    </cfRule>
  </conditionalFormatting>
  <conditionalFormatting sqref="BM43">
    <cfRule type="cellIs" dxfId="1998" priority="2049" operator="between">
      <formula>8</formula>
      <formula>60</formula>
    </cfRule>
  </conditionalFormatting>
  <conditionalFormatting sqref="CE43">
    <cfRule type="cellIs" dxfId="1997" priority="2048" operator="between">
      <formula>-0.04</formula>
      <formula>-1</formula>
    </cfRule>
  </conditionalFormatting>
  <conditionalFormatting sqref="CE42">
    <cfRule type="cellIs" dxfId="1996" priority="2046" operator="between">
      <formula>-0.04</formula>
      <formula>-1</formula>
    </cfRule>
  </conditionalFormatting>
  <conditionalFormatting sqref="BM51">
    <cfRule type="cellIs" dxfId="1995" priority="2065" operator="between">
      <formula>8</formula>
      <formula>60</formula>
    </cfRule>
  </conditionalFormatting>
  <conditionalFormatting sqref="BM50">
    <cfRule type="cellIs" dxfId="1994" priority="2063" operator="between">
      <formula>8</formula>
      <formula>60</formula>
    </cfRule>
  </conditionalFormatting>
  <conditionalFormatting sqref="CE51">
    <cfRule type="cellIs" dxfId="1993" priority="2064" operator="between">
      <formula>-0.04</formula>
      <formula>-1</formula>
    </cfRule>
  </conditionalFormatting>
  <conditionalFormatting sqref="CE50">
    <cfRule type="cellIs" dxfId="1992" priority="2062" operator="between">
      <formula>-0.04</formula>
      <formula>-1</formula>
    </cfRule>
  </conditionalFormatting>
  <conditionalFormatting sqref="BM49">
    <cfRule type="cellIs" dxfId="1991" priority="2061" operator="between">
      <formula>8</formula>
      <formula>60</formula>
    </cfRule>
  </conditionalFormatting>
  <conditionalFormatting sqref="CE49">
    <cfRule type="cellIs" dxfId="1990" priority="2060" operator="between">
      <formula>-0.04</formula>
      <formula>-1</formula>
    </cfRule>
  </conditionalFormatting>
  <conditionalFormatting sqref="BM48">
    <cfRule type="cellIs" dxfId="1989" priority="2059" operator="between">
      <formula>8</formula>
      <formula>60</formula>
    </cfRule>
  </conditionalFormatting>
  <conditionalFormatting sqref="CE48">
    <cfRule type="cellIs" dxfId="1988" priority="2058" operator="between">
      <formula>-0.04</formula>
      <formula>-1</formula>
    </cfRule>
  </conditionalFormatting>
  <conditionalFormatting sqref="BM47:BM51">
    <cfRule type="cellIs" dxfId="1987" priority="2057" operator="between">
      <formula>8</formula>
      <formula>60</formula>
    </cfRule>
  </conditionalFormatting>
  <conditionalFormatting sqref="CE47">
    <cfRule type="cellIs" dxfId="1986" priority="2056" operator="between">
      <formula>-0.04</formula>
      <formula>-1</formula>
    </cfRule>
  </conditionalFormatting>
  <conditionalFormatting sqref="CE1421">
    <cfRule type="cellIs" dxfId="1985" priority="2042" operator="between">
      <formula>-0.04</formula>
      <formula>-1</formula>
    </cfRule>
  </conditionalFormatting>
  <conditionalFormatting sqref="BM1422">
    <cfRule type="cellIs" dxfId="1984" priority="2044" operator="between">
      <formula>8</formula>
      <formula>60</formula>
    </cfRule>
  </conditionalFormatting>
  <conditionalFormatting sqref="CE1422">
    <cfRule type="cellIs" dxfId="1983" priority="2043" operator="between">
      <formula>-0.04</formula>
      <formula>-1</formula>
    </cfRule>
  </conditionalFormatting>
  <conditionalFormatting sqref="BM1420">
    <cfRule type="cellIs" dxfId="1982" priority="2041" operator="between">
      <formula>8</formula>
      <formula>60</formula>
    </cfRule>
  </conditionalFormatting>
  <conditionalFormatting sqref="BM1419">
    <cfRule type="cellIs" dxfId="1981" priority="2039" operator="between">
      <formula>8</formula>
      <formula>60</formula>
    </cfRule>
  </conditionalFormatting>
  <conditionalFormatting sqref="CE1420">
    <cfRule type="cellIs" dxfId="1980" priority="2040" operator="between">
      <formula>-0.04</formula>
      <formula>-1</formula>
    </cfRule>
  </conditionalFormatting>
  <conditionalFormatting sqref="CE1419">
    <cfRule type="cellIs" dxfId="1979" priority="2038" operator="between">
      <formula>-0.04</formula>
      <formula>-1</formula>
    </cfRule>
  </conditionalFormatting>
  <conditionalFormatting sqref="CE1418">
    <cfRule type="cellIs" dxfId="1978" priority="2036" operator="between">
      <formula>-0.04</formula>
      <formula>-1</formula>
    </cfRule>
  </conditionalFormatting>
  <conditionalFormatting sqref="BM1418">
    <cfRule type="cellIs" dxfId="1977" priority="2037" operator="between">
      <formula>8</formula>
      <formula>60</formula>
    </cfRule>
  </conditionalFormatting>
  <conditionalFormatting sqref="CE1423">
    <cfRule type="cellIs" dxfId="1976" priority="2045" operator="between">
      <formula>-0.04</formula>
      <formula>-1</formula>
    </cfRule>
  </conditionalFormatting>
  <conditionalFormatting sqref="BM1415">
    <cfRule type="cellIs" dxfId="1975" priority="2032" operator="between">
      <formula>8</formula>
      <formula>60</formula>
    </cfRule>
  </conditionalFormatting>
  <conditionalFormatting sqref="CE1415">
    <cfRule type="cellIs" dxfId="1974" priority="2031" operator="between">
      <formula>-0.04</formula>
      <formula>-1</formula>
    </cfRule>
  </conditionalFormatting>
  <conditionalFormatting sqref="BM1417:BM1419">
    <cfRule type="cellIs" dxfId="1973" priority="2035" operator="between">
      <formula>8</formula>
      <formula>60</formula>
    </cfRule>
  </conditionalFormatting>
  <conditionalFormatting sqref="CE1417">
    <cfRule type="cellIs" dxfId="1972" priority="2034" operator="between">
      <formula>-0.04</formula>
      <formula>-1</formula>
    </cfRule>
  </conditionalFormatting>
  <conditionalFormatting sqref="CE1416">
    <cfRule type="cellIs" dxfId="1971" priority="2033" operator="between">
      <formula>-0.04</formula>
      <formula>-1</formula>
    </cfRule>
  </conditionalFormatting>
  <conditionalFormatting sqref="CE1412">
    <cfRule type="cellIs" dxfId="1970" priority="2027" operator="between">
      <formula>-0.04</formula>
      <formula>-1</formula>
    </cfRule>
  </conditionalFormatting>
  <conditionalFormatting sqref="BM1413">
    <cfRule type="cellIs" dxfId="1969" priority="2029" operator="between">
      <formula>8</formula>
      <formula>60</formula>
    </cfRule>
  </conditionalFormatting>
  <conditionalFormatting sqref="CE1413">
    <cfRule type="cellIs" dxfId="1968" priority="2028" operator="between">
      <formula>-0.04</formula>
      <formula>-1</formula>
    </cfRule>
  </conditionalFormatting>
  <conditionalFormatting sqref="BM1411">
    <cfRule type="cellIs" dxfId="1967" priority="2026" operator="between">
      <formula>8</formula>
      <formula>60</formula>
    </cfRule>
  </conditionalFormatting>
  <conditionalFormatting sqref="CE1411">
    <cfRule type="cellIs" dxfId="1966" priority="2025" operator="between">
      <formula>-0.04</formula>
      <formula>-1</formula>
    </cfRule>
  </conditionalFormatting>
  <conditionalFormatting sqref="CE1410">
    <cfRule type="cellIs" dxfId="1965" priority="2023" operator="between">
      <formula>-0.04</formula>
      <formula>-1</formula>
    </cfRule>
  </conditionalFormatting>
  <conditionalFormatting sqref="BM1410">
    <cfRule type="cellIs" dxfId="1964" priority="2024" operator="between">
      <formula>8</formula>
      <formula>60</formula>
    </cfRule>
  </conditionalFormatting>
  <conditionalFormatting sqref="CE1414">
    <cfRule type="cellIs" dxfId="1963" priority="2030" operator="between">
      <formula>-0.04</formula>
      <formula>-1</formula>
    </cfRule>
  </conditionalFormatting>
  <conditionalFormatting sqref="BM1412">
    <cfRule type="cellIs" dxfId="1962" priority="2022" operator="between">
      <formula>8</formula>
      <formula>60</formula>
    </cfRule>
  </conditionalFormatting>
  <conditionalFormatting sqref="BM1414">
    <cfRule type="cellIs" dxfId="1961" priority="2021" operator="between">
      <formula>8</formula>
      <formula>60</formula>
    </cfRule>
  </conditionalFormatting>
  <conditionalFormatting sqref="BM1416">
    <cfRule type="cellIs" dxfId="1960" priority="2020" operator="between">
      <formula>8</formula>
      <formula>60</formula>
    </cfRule>
  </conditionalFormatting>
  <conditionalFormatting sqref="BM1421">
    <cfRule type="cellIs" dxfId="1959" priority="2019" operator="between">
      <formula>8</formula>
      <formula>60</formula>
    </cfRule>
  </conditionalFormatting>
  <conditionalFormatting sqref="BM1423">
    <cfRule type="cellIs" dxfId="1958" priority="2018" operator="between">
      <formula>8</formula>
      <formula>60</formula>
    </cfRule>
  </conditionalFormatting>
  <conditionalFormatting sqref="BM1523">
    <cfRule type="cellIs" dxfId="1957" priority="2013" operator="between">
      <formula>8</formula>
      <formula>60</formula>
    </cfRule>
  </conditionalFormatting>
  <conditionalFormatting sqref="CE1524">
    <cfRule type="cellIs" dxfId="1956" priority="2014" operator="between">
      <formula>-0.04</formula>
      <formula>-1</formula>
    </cfRule>
  </conditionalFormatting>
  <conditionalFormatting sqref="CE1523">
    <cfRule type="cellIs" dxfId="1955" priority="2012" operator="between">
      <formula>-0.04</formula>
      <formula>-1</formula>
    </cfRule>
  </conditionalFormatting>
  <conditionalFormatting sqref="CE1526">
    <cfRule type="cellIs" dxfId="1954" priority="2017" operator="between">
      <formula>-0.04</formula>
      <formula>-1</formula>
    </cfRule>
  </conditionalFormatting>
  <conditionalFormatting sqref="BM1525">
    <cfRule type="cellIs" dxfId="1953" priority="2016" operator="between">
      <formula>8</formula>
      <formula>60</formula>
    </cfRule>
  </conditionalFormatting>
  <conditionalFormatting sqref="CE1525">
    <cfRule type="cellIs" dxfId="1952" priority="2015" operator="between">
      <formula>-0.04</formula>
      <formula>-1</formula>
    </cfRule>
  </conditionalFormatting>
  <conditionalFormatting sqref="BM1526">
    <cfRule type="cellIs" dxfId="1951" priority="2010" operator="between">
      <formula>8</formula>
      <formula>60</formula>
    </cfRule>
  </conditionalFormatting>
  <conditionalFormatting sqref="BM1524">
    <cfRule type="cellIs" dxfId="1950" priority="2011" operator="between">
      <formula>8</formula>
      <formula>60</formula>
    </cfRule>
  </conditionalFormatting>
  <conditionalFormatting sqref="BM1532">
    <cfRule type="cellIs" dxfId="1949" priority="2002" operator="between">
      <formula>8</formula>
      <formula>60</formula>
    </cfRule>
  </conditionalFormatting>
  <conditionalFormatting sqref="BM1527">
    <cfRule type="cellIs" dxfId="1948" priority="2009" operator="between">
      <formula>8</formula>
      <formula>60</formula>
    </cfRule>
  </conditionalFormatting>
  <conditionalFormatting sqref="CE1527">
    <cfRule type="cellIs" dxfId="1947" priority="2008" operator="between">
      <formula>-0.04</formula>
      <formula>-1</formula>
    </cfRule>
  </conditionalFormatting>
  <conditionalFormatting sqref="BM1528">
    <cfRule type="cellIs" dxfId="1946" priority="2007" operator="between">
      <formula>8</formula>
      <formula>60</formula>
    </cfRule>
  </conditionalFormatting>
  <conditionalFormatting sqref="CE1528">
    <cfRule type="cellIs" dxfId="1945" priority="2006" operator="between">
      <formula>-0.04</formula>
      <formula>-1</formula>
    </cfRule>
  </conditionalFormatting>
  <conditionalFormatting sqref="BM1530">
    <cfRule type="cellIs" dxfId="1944" priority="2005" operator="between">
      <formula>8</formula>
      <formula>60</formula>
    </cfRule>
  </conditionalFormatting>
  <conditionalFormatting sqref="CE1530">
    <cfRule type="cellIs" dxfId="1943" priority="2004" operator="between">
      <formula>-0.04</formula>
      <formula>-1</formula>
    </cfRule>
  </conditionalFormatting>
  <conditionalFormatting sqref="CE1529">
    <cfRule type="cellIs" dxfId="1942" priority="2003" operator="between">
      <formula>-0.04</formula>
      <formula>-1</formula>
    </cfRule>
  </conditionalFormatting>
  <conditionalFormatting sqref="CE1532">
    <cfRule type="cellIs" dxfId="1941" priority="2001" operator="between">
      <formula>-0.04</formula>
      <formula>-1</formula>
    </cfRule>
  </conditionalFormatting>
  <conditionalFormatting sqref="CE1531">
    <cfRule type="cellIs" dxfId="1940" priority="2000" operator="between">
      <formula>-0.04</formula>
      <formula>-1</formula>
    </cfRule>
  </conditionalFormatting>
  <conditionalFormatting sqref="BM1529">
    <cfRule type="cellIs" dxfId="1939" priority="1999" operator="between">
      <formula>8</formula>
      <formula>60</formula>
    </cfRule>
  </conditionalFormatting>
  <conditionalFormatting sqref="BM1531">
    <cfRule type="cellIs" dxfId="1938" priority="1998" operator="between">
      <formula>8</formula>
      <formula>60</formula>
    </cfRule>
  </conditionalFormatting>
  <conditionalFormatting sqref="BM1535">
    <cfRule type="cellIs" dxfId="1937" priority="1995" operator="between">
      <formula>8</formula>
      <formula>60</formula>
    </cfRule>
  </conditionalFormatting>
  <conditionalFormatting sqref="BM1540">
    <cfRule type="cellIs" dxfId="1936" priority="1987" operator="between">
      <formula>8</formula>
      <formula>60</formula>
    </cfRule>
  </conditionalFormatting>
  <conditionalFormatting sqref="CE1535">
    <cfRule type="cellIs" dxfId="1935" priority="1994" operator="between">
      <formula>-0.04</formula>
      <formula>-1</formula>
    </cfRule>
  </conditionalFormatting>
  <conditionalFormatting sqref="BM1541">
    <cfRule type="cellIs" dxfId="1934" priority="1997" operator="between">
      <formula>8</formula>
      <formula>60</formula>
    </cfRule>
  </conditionalFormatting>
  <conditionalFormatting sqref="CE1541">
    <cfRule type="cellIs" dxfId="1933" priority="1996" operator="between">
      <formula>-0.04</formula>
      <formula>-1</formula>
    </cfRule>
  </conditionalFormatting>
  <conditionalFormatting sqref="BM1536">
    <cfRule type="cellIs" dxfId="1932" priority="1993" operator="between">
      <formula>8</formula>
      <formula>60</formula>
    </cfRule>
  </conditionalFormatting>
  <conditionalFormatting sqref="CE1536">
    <cfRule type="cellIs" dxfId="1931" priority="1992" operator="between">
      <formula>-0.04</formula>
      <formula>-1</formula>
    </cfRule>
  </conditionalFormatting>
  <conditionalFormatting sqref="BM1539:BM1541">
    <cfRule type="cellIs" dxfId="1930" priority="1985" operator="between">
      <formula>8</formula>
      <formula>60</formula>
    </cfRule>
  </conditionalFormatting>
  <conditionalFormatting sqref="BM1538">
    <cfRule type="cellIs" dxfId="1929" priority="1991" operator="between">
      <formula>8</formula>
      <formula>60</formula>
    </cfRule>
  </conditionalFormatting>
  <conditionalFormatting sqref="BM1537">
    <cfRule type="cellIs" dxfId="1928" priority="1989" operator="between">
      <formula>8</formula>
      <formula>60</formula>
    </cfRule>
  </conditionalFormatting>
  <conditionalFormatting sqref="CE1538">
    <cfRule type="cellIs" dxfId="1927" priority="1990" operator="between">
      <formula>-0.04</formula>
      <formula>-1</formula>
    </cfRule>
  </conditionalFormatting>
  <conditionalFormatting sqref="CE1537">
    <cfRule type="cellIs" dxfId="1926" priority="1988" operator="between">
      <formula>-0.04</formula>
      <formula>-1</formula>
    </cfRule>
  </conditionalFormatting>
  <conditionalFormatting sqref="CE1540">
    <cfRule type="cellIs" dxfId="1925" priority="1986" operator="between">
      <formula>-0.04</formula>
      <formula>-1</formula>
    </cfRule>
  </conditionalFormatting>
  <conditionalFormatting sqref="CE1539">
    <cfRule type="cellIs" dxfId="1924" priority="1984" operator="between">
      <formula>-0.04</formula>
      <formula>-1</formula>
    </cfRule>
  </conditionalFormatting>
  <conditionalFormatting sqref="BM1533:BM1538">
    <cfRule type="cellIs" dxfId="1923" priority="1981" operator="between">
      <formula>8</formula>
      <formula>60</formula>
    </cfRule>
  </conditionalFormatting>
  <conditionalFormatting sqref="BM1534">
    <cfRule type="cellIs" dxfId="1922" priority="1983" operator="between">
      <formula>8</formula>
      <formula>60</formula>
    </cfRule>
  </conditionalFormatting>
  <conditionalFormatting sqref="CE1534">
    <cfRule type="cellIs" dxfId="1921" priority="1982" operator="between">
      <formula>-0.04</formula>
      <formula>-1</formula>
    </cfRule>
  </conditionalFormatting>
  <conditionalFormatting sqref="CE1533">
    <cfRule type="cellIs" dxfId="1920" priority="1980" operator="between">
      <formula>-0.04</formula>
      <formula>-1</formula>
    </cfRule>
  </conditionalFormatting>
  <conditionalFormatting sqref="BM1543">
    <cfRule type="cellIs" dxfId="1919" priority="1977" operator="between">
      <formula>8</formula>
      <formula>60</formula>
    </cfRule>
  </conditionalFormatting>
  <conditionalFormatting sqref="CE1543">
    <cfRule type="cellIs" dxfId="1918" priority="1976" operator="between">
      <formula>-0.04</formula>
      <formula>-1</formula>
    </cfRule>
  </conditionalFormatting>
  <conditionalFormatting sqref="BM1549:BM1553">
    <cfRule type="cellIs" dxfId="1917" priority="1979" operator="between">
      <formula>8</formula>
      <formula>60</formula>
    </cfRule>
  </conditionalFormatting>
  <conditionalFormatting sqref="CE1549">
    <cfRule type="cellIs" dxfId="1916" priority="1978" operator="between">
      <formula>-0.04</formula>
      <formula>-1</formula>
    </cfRule>
  </conditionalFormatting>
  <conditionalFormatting sqref="BM1548">
    <cfRule type="cellIs" dxfId="1915" priority="1969" operator="between">
      <formula>8</formula>
      <formula>60</formula>
    </cfRule>
  </conditionalFormatting>
  <conditionalFormatting sqref="BM1544">
    <cfRule type="cellIs" dxfId="1914" priority="1975" operator="between">
      <formula>8</formula>
      <formula>60</formula>
    </cfRule>
  </conditionalFormatting>
  <conditionalFormatting sqref="CE1544">
    <cfRule type="cellIs" dxfId="1913" priority="1974" operator="between">
      <formula>-0.04</formula>
      <formula>-1</formula>
    </cfRule>
  </conditionalFormatting>
  <conditionalFormatting sqref="BM1547">
    <cfRule type="cellIs" dxfId="1912" priority="1967" operator="between">
      <formula>8</formula>
      <formula>60</formula>
    </cfRule>
  </conditionalFormatting>
  <conditionalFormatting sqref="BM1546">
    <cfRule type="cellIs" dxfId="1911" priority="1973" operator="between">
      <formula>8</formula>
      <formula>60</formula>
    </cfRule>
  </conditionalFormatting>
  <conditionalFormatting sqref="BM1545:BM1547">
    <cfRule type="cellIs" dxfId="1910" priority="1971" operator="between">
      <formula>8</formula>
      <formula>60</formula>
    </cfRule>
  </conditionalFormatting>
  <conditionalFormatting sqref="CE1546">
    <cfRule type="cellIs" dxfId="1909" priority="1972" operator="between">
      <formula>-0.04</formula>
      <formula>-1</formula>
    </cfRule>
  </conditionalFormatting>
  <conditionalFormatting sqref="CE1545">
    <cfRule type="cellIs" dxfId="1908" priority="1970" operator="between">
      <formula>-0.04</formula>
      <formula>-1</formula>
    </cfRule>
  </conditionalFormatting>
  <conditionalFormatting sqref="CE1548">
    <cfRule type="cellIs" dxfId="1907" priority="1968" operator="between">
      <formula>-0.04</formula>
      <formula>-1</formula>
    </cfRule>
  </conditionalFormatting>
  <conditionalFormatting sqref="CE1547">
    <cfRule type="cellIs" dxfId="1906" priority="1966" operator="between">
      <formula>-0.04</formula>
      <formula>-1</formula>
    </cfRule>
  </conditionalFormatting>
  <conditionalFormatting sqref="BM1542:BM1544">
    <cfRule type="cellIs" dxfId="1905" priority="1965" operator="between">
      <formula>8</formula>
      <formula>60</formula>
    </cfRule>
  </conditionalFormatting>
  <conditionalFormatting sqref="CE1542">
    <cfRule type="cellIs" dxfId="1904" priority="1964" operator="between">
      <formula>-0.04</formula>
      <formula>-1</formula>
    </cfRule>
  </conditionalFormatting>
  <conditionalFormatting sqref="BM1552">
    <cfRule type="cellIs" dxfId="1903" priority="1963" operator="between">
      <formula>8</formula>
      <formula>60</formula>
    </cfRule>
  </conditionalFormatting>
  <conditionalFormatting sqref="CE1552">
    <cfRule type="cellIs" dxfId="1902" priority="1962" operator="between">
      <formula>-0.04</formula>
      <formula>-1</formula>
    </cfRule>
  </conditionalFormatting>
  <conditionalFormatting sqref="BM1553">
    <cfRule type="cellIs" dxfId="1901" priority="1961" operator="between">
      <formula>8</formula>
      <formula>60</formula>
    </cfRule>
  </conditionalFormatting>
  <conditionalFormatting sqref="CE1553">
    <cfRule type="cellIs" dxfId="1900" priority="1960" operator="between">
      <formula>-0.04</formula>
      <formula>-1</formula>
    </cfRule>
  </conditionalFormatting>
  <conditionalFormatting sqref="BM1551">
    <cfRule type="cellIs" dxfId="1899" priority="1959" operator="between">
      <formula>8</formula>
      <formula>60</formula>
    </cfRule>
  </conditionalFormatting>
  <conditionalFormatting sqref="CE1551">
    <cfRule type="cellIs" dxfId="1898" priority="1958" operator="between">
      <formula>-0.04</formula>
      <formula>-1</formula>
    </cfRule>
  </conditionalFormatting>
  <conditionalFormatting sqref="BM1550">
    <cfRule type="cellIs" dxfId="1897" priority="1957" operator="between">
      <formula>8</formula>
      <formula>60</formula>
    </cfRule>
  </conditionalFormatting>
  <conditionalFormatting sqref="CE1550">
    <cfRule type="cellIs" dxfId="1896" priority="1956" operator="between">
      <formula>-0.04</formula>
      <formula>-1</formula>
    </cfRule>
  </conditionalFormatting>
  <conditionalFormatting sqref="BM1623">
    <cfRule type="cellIs" dxfId="1895" priority="1955" operator="between">
      <formula>8</formula>
      <formula>60</formula>
    </cfRule>
  </conditionalFormatting>
  <conditionalFormatting sqref="CE1623:CE1624">
    <cfRule type="cellIs" dxfId="1894" priority="1954" operator="between">
      <formula>-0.04</formula>
      <formula>-1</formula>
    </cfRule>
  </conditionalFormatting>
  <conditionalFormatting sqref="BM1624">
    <cfRule type="cellIs" dxfId="1893" priority="1953" operator="between">
      <formula>8</formula>
      <formula>60</formula>
    </cfRule>
  </conditionalFormatting>
  <conditionalFormatting sqref="CE1430">
    <cfRule type="cellIs" dxfId="1892" priority="1947" operator="between">
      <formula>-0.04</formula>
      <formula>-1</formula>
    </cfRule>
  </conditionalFormatting>
  <conditionalFormatting sqref="BM1431">
    <cfRule type="cellIs" dxfId="1891" priority="1950" operator="between">
      <formula>8</formula>
      <formula>60</formula>
    </cfRule>
  </conditionalFormatting>
  <conditionalFormatting sqref="CE1431">
    <cfRule type="cellIs" dxfId="1890" priority="1949" operator="between">
      <formula>-0.04</formula>
      <formula>-1</formula>
    </cfRule>
  </conditionalFormatting>
  <conditionalFormatting sqref="BM1430">
    <cfRule type="cellIs" dxfId="1889" priority="1948" operator="between">
      <formula>8</formula>
      <formula>60</formula>
    </cfRule>
  </conditionalFormatting>
  <conditionalFormatting sqref="BM1429:BM1434">
    <cfRule type="cellIs" dxfId="1888" priority="1946" operator="between">
      <formula>8</formula>
      <formula>60</formula>
    </cfRule>
  </conditionalFormatting>
  <conditionalFormatting sqref="CE1429">
    <cfRule type="cellIs" dxfId="1887" priority="1945" operator="between">
      <formula>-0.04</formula>
      <formula>-1</formula>
    </cfRule>
  </conditionalFormatting>
  <conditionalFormatting sqref="CE1428">
    <cfRule type="cellIs" dxfId="1886" priority="1944" operator="between">
      <formula>-0.04</formula>
      <formula>-1</formula>
    </cfRule>
  </conditionalFormatting>
  <conditionalFormatting sqref="CE1427">
    <cfRule type="cellIs" dxfId="1885" priority="1942" operator="between">
      <formula>-0.04</formula>
      <formula>-1</formula>
    </cfRule>
  </conditionalFormatting>
  <conditionalFormatting sqref="BM1427">
    <cfRule type="cellIs" dxfId="1884" priority="1943" operator="between">
      <formula>8</formula>
      <formula>60</formula>
    </cfRule>
  </conditionalFormatting>
  <conditionalFormatting sqref="BM1432">
    <cfRule type="cellIs" dxfId="1883" priority="1952" operator="between">
      <formula>8</formula>
      <formula>60</formula>
    </cfRule>
  </conditionalFormatting>
  <conditionalFormatting sqref="CE1432">
    <cfRule type="cellIs" dxfId="1882" priority="1951" operator="between">
      <formula>-0.04</formula>
      <formula>-1</formula>
    </cfRule>
  </conditionalFormatting>
  <conditionalFormatting sqref="BM1424">
    <cfRule type="cellIs" dxfId="1881" priority="1938" operator="between">
      <formula>8</formula>
      <formula>60</formula>
    </cfRule>
  </conditionalFormatting>
  <conditionalFormatting sqref="CE1424">
    <cfRule type="cellIs" dxfId="1880" priority="1937" operator="between">
      <formula>-0.04</formula>
      <formula>-1</formula>
    </cfRule>
  </conditionalFormatting>
  <conditionalFormatting sqref="BM1426">
    <cfRule type="cellIs" dxfId="1879" priority="1941" operator="between">
      <formula>8</formula>
      <formula>60</formula>
    </cfRule>
  </conditionalFormatting>
  <conditionalFormatting sqref="CE1426">
    <cfRule type="cellIs" dxfId="1878" priority="1940" operator="between">
      <formula>-0.04</formula>
      <formula>-1</formula>
    </cfRule>
  </conditionalFormatting>
  <conditionalFormatting sqref="CE1425">
    <cfRule type="cellIs" dxfId="1877" priority="1939" operator="between">
      <formula>-0.04</formula>
      <formula>-1</formula>
    </cfRule>
  </conditionalFormatting>
  <conditionalFormatting sqref="BM1433">
    <cfRule type="cellIs" dxfId="1876" priority="1934" operator="between">
      <formula>8</formula>
      <formula>60</formula>
    </cfRule>
  </conditionalFormatting>
  <conditionalFormatting sqref="CE1433">
    <cfRule type="cellIs" dxfId="1875" priority="1933" operator="between">
      <formula>-0.04</formula>
      <formula>-1</formula>
    </cfRule>
  </conditionalFormatting>
  <conditionalFormatting sqref="BM1434">
    <cfRule type="cellIs" dxfId="1874" priority="1936" operator="between">
      <formula>8</formula>
      <formula>60</formula>
    </cfRule>
  </conditionalFormatting>
  <conditionalFormatting sqref="CE1434">
    <cfRule type="cellIs" dxfId="1873" priority="1935" operator="between">
      <formula>-0.04</formula>
      <formula>-1</formula>
    </cfRule>
  </conditionalFormatting>
  <conditionalFormatting sqref="BM1425">
    <cfRule type="cellIs" dxfId="1872" priority="1932" operator="between">
      <formula>8</formula>
      <formula>60</formula>
    </cfRule>
  </conditionalFormatting>
  <conditionalFormatting sqref="BM1428">
    <cfRule type="cellIs" dxfId="1871" priority="1931" operator="between">
      <formula>8</formula>
      <formula>60</formula>
    </cfRule>
  </conditionalFormatting>
  <conditionalFormatting sqref="BM1440">
    <cfRule type="cellIs" dxfId="1870" priority="1919" operator="between">
      <formula>8</formula>
      <formula>60</formula>
    </cfRule>
  </conditionalFormatting>
  <conditionalFormatting sqref="CE1439">
    <cfRule type="cellIs" dxfId="1869" priority="1928" operator="between">
      <formula>-0.04</formula>
      <formula>-1</formula>
    </cfRule>
  </conditionalFormatting>
  <conditionalFormatting sqref="CE1440">
    <cfRule type="cellIs" dxfId="1868" priority="1930" operator="between">
      <formula>-0.04</formula>
      <formula>-1</formula>
    </cfRule>
  </conditionalFormatting>
  <conditionalFormatting sqref="BM1439">
    <cfRule type="cellIs" dxfId="1867" priority="1929" operator="between">
      <formula>8</formula>
      <formula>60</formula>
    </cfRule>
  </conditionalFormatting>
  <conditionalFormatting sqref="BM1438">
    <cfRule type="cellIs" dxfId="1866" priority="1927" operator="between">
      <formula>8</formula>
      <formula>60</formula>
    </cfRule>
  </conditionalFormatting>
  <conditionalFormatting sqref="BM1437">
    <cfRule type="cellIs" dxfId="1865" priority="1925" operator="between">
      <formula>8</formula>
      <formula>60</formula>
    </cfRule>
  </conditionalFormatting>
  <conditionalFormatting sqref="CE1438">
    <cfRule type="cellIs" dxfId="1864" priority="1926" operator="between">
      <formula>-0.04</formula>
      <formula>-1</formula>
    </cfRule>
  </conditionalFormatting>
  <conditionalFormatting sqref="CE1437">
    <cfRule type="cellIs" dxfId="1863" priority="1924" operator="between">
      <formula>-0.04</formula>
      <formula>-1</formula>
    </cfRule>
  </conditionalFormatting>
  <conditionalFormatting sqref="CE1436">
    <cfRule type="cellIs" dxfId="1862" priority="1922" operator="between">
      <formula>-0.04</formula>
      <formula>-1</formula>
    </cfRule>
  </conditionalFormatting>
  <conditionalFormatting sqref="BM1436">
    <cfRule type="cellIs" dxfId="1861" priority="1923" operator="between">
      <formula>8</formula>
      <formula>60</formula>
    </cfRule>
  </conditionalFormatting>
  <conditionalFormatting sqref="BM1435:BM1438">
    <cfRule type="cellIs" dxfId="1860" priority="1921" operator="between">
      <formula>8</formula>
      <formula>60</formula>
    </cfRule>
  </conditionalFormatting>
  <conditionalFormatting sqref="CE1435">
    <cfRule type="cellIs" dxfId="1859" priority="1920" operator="between">
      <formula>-0.04</formula>
      <formula>-1</formula>
    </cfRule>
  </conditionalFormatting>
  <conditionalFormatting sqref="CE1442">
    <cfRule type="cellIs" dxfId="1858" priority="1912" operator="between">
      <formula>-0.04</formula>
      <formula>-1</formula>
    </cfRule>
  </conditionalFormatting>
  <conditionalFormatting sqref="BM1444">
    <cfRule type="cellIs" dxfId="1857" priority="1916" operator="between">
      <formula>8</formula>
      <formula>60</formula>
    </cfRule>
  </conditionalFormatting>
  <conditionalFormatting sqref="CE1444">
    <cfRule type="cellIs" dxfId="1856" priority="1915" operator="between">
      <formula>-0.04</formula>
      <formula>-1</formula>
    </cfRule>
  </conditionalFormatting>
  <conditionalFormatting sqref="BM1443:BM1444">
    <cfRule type="cellIs" dxfId="1855" priority="1914" operator="between">
      <formula>8</formula>
      <formula>60</formula>
    </cfRule>
  </conditionalFormatting>
  <conditionalFormatting sqref="CE1443">
    <cfRule type="cellIs" dxfId="1854" priority="1913" operator="between">
      <formula>-0.04</formula>
      <formula>-1</formula>
    </cfRule>
  </conditionalFormatting>
  <conditionalFormatting sqref="BM1441">
    <cfRule type="cellIs" dxfId="1853" priority="1911" operator="between">
      <formula>8</formula>
      <formula>60</formula>
    </cfRule>
  </conditionalFormatting>
  <conditionalFormatting sqref="CE1441">
    <cfRule type="cellIs" dxfId="1852" priority="1910" operator="between">
      <formula>-0.04</formula>
      <formula>-1</formula>
    </cfRule>
  </conditionalFormatting>
  <conditionalFormatting sqref="BM1445">
    <cfRule type="cellIs" dxfId="1851" priority="1902" operator="between">
      <formula>8</formula>
      <formula>60</formula>
    </cfRule>
  </conditionalFormatting>
  <conditionalFormatting sqref="BM1442">
    <cfRule type="cellIs" dxfId="1850" priority="1909" operator="between">
      <formula>8</formula>
      <formula>60</formula>
    </cfRule>
  </conditionalFormatting>
  <conditionalFormatting sqref="CE1448">
    <cfRule type="cellIs" dxfId="1849" priority="1907" operator="between">
      <formula>-0.04</formula>
      <formula>-1</formula>
    </cfRule>
  </conditionalFormatting>
  <conditionalFormatting sqref="BM1448">
    <cfRule type="cellIs" dxfId="1848" priority="1908" operator="between">
      <formula>8</formula>
      <formula>60</formula>
    </cfRule>
  </conditionalFormatting>
  <conditionalFormatting sqref="BM1447">
    <cfRule type="cellIs" dxfId="1847" priority="1906" operator="between">
      <formula>8</formula>
      <formula>60</formula>
    </cfRule>
  </conditionalFormatting>
  <conditionalFormatting sqref="BM1446:BM1448">
    <cfRule type="cellIs" dxfId="1846" priority="1904" operator="between">
      <formula>8</formula>
      <formula>60</formula>
    </cfRule>
  </conditionalFormatting>
  <conditionalFormatting sqref="CE1447">
    <cfRule type="cellIs" dxfId="1845" priority="1905" operator="between">
      <formula>-0.04</formula>
      <formula>-1</formula>
    </cfRule>
  </conditionalFormatting>
  <conditionalFormatting sqref="CE1446">
    <cfRule type="cellIs" dxfId="1844" priority="1903" operator="between">
      <formula>-0.04</formula>
      <formula>-1</formula>
    </cfRule>
  </conditionalFormatting>
  <conditionalFormatting sqref="CE1445">
    <cfRule type="cellIs" dxfId="1843" priority="1901" operator="between">
      <formula>-0.04</formula>
      <formula>-1</formula>
    </cfRule>
  </conditionalFormatting>
  <conditionalFormatting sqref="BM1561">
    <cfRule type="cellIs" dxfId="1842" priority="1900" operator="between">
      <formula>8</formula>
      <formula>60</formula>
    </cfRule>
  </conditionalFormatting>
  <conditionalFormatting sqref="CE1561">
    <cfRule type="cellIs" dxfId="1841" priority="1899" operator="between">
      <formula>-0.04</formula>
      <formula>-1</formula>
    </cfRule>
  </conditionalFormatting>
  <conditionalFormatting sqref="BM1560">
    <cfRule type="cellIs" dxfId="1840" priority="1898" operator="between">
      <formula>8</formula>
      <formula>60</formula>
    </cfRule>
  </conditionalFormatting>
  <conditionalFormatting sqref="CE1560">
    <cfRule type="cellIs" dxfId="1839" priority="1897" operator="between">
      <formula>-0.04</formula>
      <formula>-1</formula>
    </cfRule>
  </conditionalFormatting>
  <conditionalFormatting sqref="BM1558:BM1561">
    <cfRule type="cellIs" dxfId="1838" priority="1894" operator="between">
      <formula>8</formula>
      <formula>60</formula>
    </cfRule>
  </conditionalFormatting>
  <conditionalFormatting sqref="BM1555">
    <cfRule type="cellIs" dxfId="1837" priority="1892" operator="between">
      <formula>8</formula>
      <formula>60</formula>
    </cfRule>
  </conditionalFormatting>
  <conditionalFormatting sqref="BM1559">
    <cfRule type="cellIs" dxfId="1836" priority="1896" operator="between">
      <formula>8</formula>
      <formula>60</formula>
    </cfRule>
  </conditionalFormatting>
  <conditionalFormatting sqref="CE1559">
    <cfRule type="cellIs" dxfId="1835" priority="1895" operator="between">
      <formula>-0.04</formula>
      <formula>-1</formula>
    </cfRule>
  </conditionalFormatting>
  <conditionalFormatting sqref="CE1558">
    <cfRule type="cellIs" dxfId="1834" priority="1893" operator="between">
      <formula>-0.04</formula>
      <formula>-1</formula>
    </cfRule>
  </conditionalFormatting>
  <conditionalFormatting sqref="BM1557">
    <cfRule type="cellIs" dxfId="1833" priority="1888" operator="between">
      <formula>8</formula>
      <formula>60</formula>
    </cfRule>
  </conditionalFormatting>
  <conditionalFormatting sqref="BM1556">
    <cfRule type="cellIs" dxfId="1832" priority="1886" operator="between">
      <formula>8</formula>
      <formula>60</formula>
    </cfRule>
  </conditionalFormatting>
  <conditionalFormatting sqref="BM1554:BM1557">
    <cfRule type="cellIs" dxfId="1831" priority="1890" operator="between">
      <formula>8</formula>
      <formula>60</formula>
    </cfRule>
  </conditionalFormatting>
  <conditionalFormatting sqref="CE1555">
    <cfRule type="cellIs" dxfId="1830" priority="1891" operator="between">
      <formula>-0.04</formula>
      <formula>-1</formula>
    </cfRule>
  </conditionalFormatting>
  <conditionalFormatting sqref="CE1554">
    <cfRule type="cellIs" dxfId="1829" priority="1889" operator="between">
      <formula>-0.04</formula>
      <formula>-1</formula>
    </cfRule>
  </conditionalFormatting>
  <conditionalFormatting sqref="CE1557">
    <cfRule type="cellIs" dxfId="1828" priority="1887" operator="between">
      <formula>-0.04</formula>
      <formula>-1</formula>
    </cfRule>
  </conditionalFormatting>
  <conditionalFormatting sqref="CE1556">
    <cfRule type="cellIs" dxfId="1827" priority="1885" operator="between">
      <formula>-0.04</formula>
      <formula>-1</formula>
    </cfRule>
  </conditionalFormatting>
  <conditionalFormatting sqref="BM1562">
    <cfRule type="cellIs" dxfId="1826" priority="1882" operator="between">
      <formula>8</formula>
      <formula>60</formula>
    </cfRule>
  </conditionalFormatting>
  <conditionalFormatting sqref="CE1562">
    <cfRule type="cellIs" dxfId="1825" priority="1881" operator="between">
      <formula>-0.04</formula>
      <formula>-1</formula>
    </cfRule>
  </conditionalFormatting>
  <conditionalFormatting sqref="BM1568">
    <cfRule type="cellIs" dxfId="1824" priority="1884" operator="between">
      <formula>8</formula>
      <formula>60</formula>
    </cfRule>
  </conditionalFormatting>
  <conditionalFormatting sqref="CE1568">
    <cfRule type="cellIs" dxfId="1823" priority="1883" operator="between">
      <formula>-0.04</formula>
      <formula>-1</formula>
    </cfRule>
  </conditionalFormatting>
  <conditionalFormatting sqref="BM1567">
    <cfRule type="cellIs" dxfId="1822" priority="1874" operator="between">
      <formula>8</formula>
      <formula>60</formula>
    </cfRule>
  </conditionalFormatting>
  <conditionalFormatting sqref="BM1563:BM1565">
    <cfRule type="cellIs" dxfId="1821" priority="1880" operator="between">
      <formula>8</formula>
      <formula>60</formula>
    </cfRule>
  </conditionalFormatting>
  <conditionalFormatting sqref="CE1563">
    <cfRule type="cellIs" dxfId="1820" priority="1879" operator="between">
      <formula>-0.04</formula>
      <formula>-1</formula>
    </cfRule>
  </conditionalFormatting>
  <conditionalFormatting sqref="BM1566:BM1568">
    <cfRule type="cellIs" dxfId="1819" priority="1872" operator="between">
      <formula>8</formula>
      <formula>60</formula>
    </cfRule>
  </conditionalFormatting>
  <conditionalFormatting sqref="BM1565">
    <cfRule type="cellIs" dxfId="1818" priority="1878" operator="between">
      <formula>8</formula>
      <formula>60</formula>
    </cfRule>
  </conditionalFormatting>
  <conditionalFormatting sqref="BM1564">
    <cfRule type="cellIs" dxfId="1817" priority="1876" operator="between">
      <formula>8</formula>
      <formula>60</formula>
    </cfRule>
  </conditionalFormatting>
  <conditionalFormatting sqref="CE1565">
    <cfRule type="cellIs" dxfId="1816" priority="1877" operator="between">
      <formula>-0.04</formula>
      <formula>-1</formula>
    </cfRule>
  </conditionalFormatting>
  <conditionalFormatting sqref="CE1564">
    <cfRule type="cellIs" dxfId="1815" priority="1875" operator="between">
      <formula>-0.04</formula>
      <formula>-1</formula>
    </cfRule>
  </conditionalFormatting>
  <conditionalFormatting sqref="CE1567">
    <cfRule type="cellIs" dxfId="1814" priority="1873" operator="between">
      <formula>-0.04</formula>
      <formula>-1</formula>
    </cfRule>
  </conditionalFormatting>
  <conditionalFormatting sqref="CE1566">
    <cfRule type="cellIs" dxfId="1813" priority="1871" operator="between">
      <formula>-0.04</formula>
      <formula>-1</formula>
    </cfRule>
  </conditionalFormatting>
  <conditionalFormatting sqref="BM1570:BM1572">
    <cfRule type="cellIs" dxfId="1812" priority="1870" operator="between">
      <formula>8</formula>
      <formula>60</formula>
    </cfRule>
  </conditionalFormatting>
  <conditionalFormatting sqref="CE1570">
    <cfRule type="cellIs" dxfId="1811" priority="1869" operator="between">
      <formula>-0.04</formula>
      <formula>-1</formula>
    </cfRule>
  </conditionalFormatting>
  <conditionalFormatting sqref="BM1571">
    <cfRule type="cellIs" dxfId="1810" priority="1868" operator="between">
      <formula>8</formula>
      <formula>60</formula>
    </cfRule>
  </conditionalFormatting>
  <conditionalFormatting sqref="CE1571">
    <cfRule type="cellIs" dxfId="1809" priority="1867" operator="between">
      <formula>-0.04</formula>
      <formula>-1</formula>
    </cfRule>
  </conditionalFormatting>
  <conditionalFormatting sqref="BM1573">
    <cfRule type="cellIs" dxfId="1808" priority="1866" operator="between">
      <formula>8</formula>
      <formula>60</formula>
    </cfRule>
  </conditionalFormatting>
  <conditionalFormatting sqref="BM1572">
    <cfRule type="cellIs" dxfId="1807" priority="1864" operator="between">
      <formula>8</formula>
      <formula>60</formula>
    </cfRule>
  </conditionalFormatting>
  <conditionalFormatting sqref="CE1573">
    <cfRule type="cellIs" dxfId="1806" priority="1865" operator="between">
      <formula>-0.04</formula>
      <formula>-1</formula>
    </cfRule>
  </conditionalFormatting>
  <conditionalFormatting sqref="CE1572">
    <cfRule type="cellIs" dxfId="1805" priority="1863" operator="between">
      <formula>-0.04</formula>
      <formula>-1</formula>
    </cfRule>
  </conditionalFormatting>
  <conditionalFormatting sqref="BM1569">
    <cfRule type="cellIs" dxfId="1804" priority="1862" operator="between">
      <formula>8</formula>
      <formula>60</formula>
    </cfRule>
  </conditionalFormatting>
  <conditionalFormatting sqref="CE1569">
    <cfRule type="cellIs" dxfId="1803" priority="1861" operator="between">
      <formula>-0.04</formula>
      <formula>-1</formula>
    </cfRule>
  </conditionalFormatting>
  <conditionalFormatting sqref="BM1056">
    <cfRule type="cellIs" dxfId="1802" priority="1860" operator="between">
      <formula>8</formula>
      <formula>60</formula>
    </cfRule>
  </conditionalFormatting>
  <conditionalFormatting sqref="CE1056">
    <cfRule type="cellIs" dxfId="1801" priority="1859" operator="between">
      <formula>-0.04</formula>
      <formula>-1</formula>
    </cfRule>
  </conditionalFormatting>
  <conditionalFormatting sqref="CE1057">
    <cfRule type="cellIs" dxfId="1800" priority="1858" operator="between">
      <formula>-0.04</formula>
      <formula>-1</formula>
    </cfRule>
  </conditionalFormatting>
  <conditionalFormatting sqref="BM1057">
    <cfRule type="cellIs" dxfId="1799" priority="1857" operator="between">
      <formula>8</formula>
      <formula>60</formula>
    </cfRule>
  </conditionalFormatting>
  <conditionalFormatting sqref="BM1252">
    <cfRule type="cellIs" dxfId="1798" priority="1856" operator="between">
      <formula>8</formula>
      <formula>60</formula>
    </cfRule>
  </conditionalFormatting>
  <conditionalFormatting sqref="CE1252">
    <cfRule type="cellIs" dxfId="1797" priority="1855" operator="between">
      <formula>-0.04</formula>
      <formula>-1</formula>
    </cfRule>
  </conditionalFormatting>
  <conditionalFormatting sqref="BM1251">
    <cfRule type="cellIs" dxfId="1796" priority="1854" operator="between">
      <formula>8</formula>
      <formula>60</formula>
    </cfRule>
  </conditionalFormatting>
  <conditionalFormatting sqref="CE1251">
    <cfRule type="cellIs" dxfId="1795" priority="1853" operator="between">
      <formula>-0.04</formula>
      <formula>-1</formula>
    </cfRule>
  </conditionalFormatting>
  <conditionalFormatting sqref="BM1245:BM1247">
    <cfRule type="cellIs" dxfId="1794" priority="1849" operator="between">
      <formula>8</formula>
      <formula>60</formula>
    </cfRule>
  </conditionalFormatting>
  <conditionalFormatting sqref="CE1245:CE1247">
    <cfRule type="cellIs" dxfId="1793" priority="1848" operator="between">
      <formula>-0.04</formula>
      <formula>-1</formula>
    </cfRule>
  </conditionalFormatting>
  <conditionalFormatting sqref="BM1244">
    <cfRule type="cellIs" dxfId="1792" priority="1847" operator="between">
      <formula>8</formula>
      <formula>60</formula>
    </cfRule>
  </conditionalFormatting>
  <conditionalFormatting sqref="BM1249:BM1251">
    <cfRule type="cellIs" dxfId="1791" priority="1852" operator="between">
      <formula>8</formula>
      <formula>60</formula>
    </cfRule>
  </conditionalFormatting>
  <conditionalFormatting sqref="CE1249:CE1250">
    <cfRule type="cellIs" dxfId="1790" priority="1851" operator="between">
      <formula>-0.04</formula>
      <formula>-1</formula>
    </cfRule>
  </conditionalFormatting>
  <conditionalFormatting sqref="CE1248">
    <cfRule type="cellIs" dxfId="1789" priority="1850" operator="between">
      <formula>-0.04</formula>
      <formula>-1</formula>
    </cfRule>
  </conditionalFormatting>
  <conditionalFormatting sqref="CE1244">
    <cfRule type="cellIs" dxfId="1788" priority="1846" operator="between">
      <formula>-0.04</formula>
      <formula>-1</formula>
    </cfRule>
  </conditionalFormatting>
  <conditionalFormatting sqref="BM1248">
    <cfRule type="cellIs" dxfId="1787" priority="1845" operator="between">
      <formula>8</formula>
      <formula>60</formula>
    </cfRule>
  </conditionalFormatting>
  <conditionalFormatting sqref="BM1451">
    <cfRule type="cellIs" dxfId="1786" priority="1840" operator="between">
      <formula>8</formula>
      <formula>60</formula>
    </cfRule>
  </conditionalFormatting>
  <conditionalFormatting sqref="CE1451">
    <cfRule type="cellIs" dxfId="1785" priority="1839" operator="between">
      <formula>-0.04</formula>
      <formula>-1</formula>
    </cfRule>
  </conditionalFormatting>
  <conditionalFormatting sqref="BM1453">
    <cfRule type="cellIs" dxfId="1784" priority="1844" operator="between">
      <formula>8</formula>
      <formula>60</formula>
    </cfRule>
  </conditionalFormatting>
  <conditionalFormatting sqref="CE1453">
    <cfRule type="cellIs" dxfId="1783" priority="1843" operator="between">
      <formula>-0.04</formula>
      <formula>-1</formula>
    </cfRule>
  </conditionalFormatting>
  <conditionalFormatting sqref="BM1452">
    <cfRule type="cellIs" dxfId="1782" priority="1842" operator="between">
      <formula>8</formula>
      <formula>60</formula>
    </cfRule>
  </conditionalFormatting>
  <conditionalFormatting sqref="CE1452">
    <cfRule type="cellIs" dxfId="1781" priority="1841" operator="between">
      <formula>-0.04</formula>
      <formula>-1</formula>
    </cfRule>
  </conditionalFormatting>
  <conditionalFormatting sqref="BM1449:BM1452">
    <cfRule type="cellIs" dxfId="1780" priority="1836" operator="between">
      <formula>8</formula>
      <formula>60</formula>
    </cfRule>
  </conditionalFormatting>
  <conditionalFormatting sqref="CE1449">
    <cfRule type="cellIs" dxfId="1779" priority="1835" operator="between">
      <formula>-0.04</formula>
      <formula>-1</formula>
    </cfRule>
  </conditionalFormatting>
  <conditionalFormatting sqref="BM1450">
    <cfRule type="cellIs" dxfId="1778" priority="1838" operator="between">
      <formula>8</formula>
      <formula>60</formula>
    </cfRule>
  </conditionalFormatting>
  <conditionalFormatting sqref="CE1450">
    <cfRule type="cellIs" dxfId="1777" priority="1837" operator="between">
      <formula>-0.04</formula>
      <formula>-1</formula>
    </cfRule>
  </conditionalFormatting>
  <conditionalFormatting sqref="BM1577">
    <cfRule type="cellIs" dxfId="1776" priority="1834" operator="between">
      <formula>8</formula>
      <formula>60</formula>
    </cfRule>
  </conditionalFormatting>
  <conditionalFormatting sqref="CE1577">
    <cfRule type="cellIs" dxfId="1775" priority="1833" operator="between">
      <formula>-0.04</formula>
      <formula>-1</formula>
    </cfRule>
  </conditionalFormatting>
  <conditionalFormatting sqref="BM1576">
    <cfRule type="cellIs" dxfId="1774" priority="1832" operator="between">
      <formula>8</formula>
      <formula>60</formula>
    </cfRule>
  </conditionalFormatting>
  <conditionalFormatting sqref="CE1576">
    <cfRule type="cellIs" dxfId="1773" priority="1831" operator="between">
      <formula>-0.04</formula>
      <formula>-1</formula>
    </cfRule>
  </conditionalFormatting>
  <conditionalFormatting sqref="CE1575">
    <cfRule type="cellIs" dxfId="1772" priority="1830" operator="between">
      <formula>-0.04</formula>
      <formula>-1</formula>
    </cfRule>
  </conditionalFormatting>
  <conditionalFormatting sqref="BM1574">
    <cfRule type="cellIs" dxfId="1771" priority="1829" operator="between">
      <formula>8</formula>
      <formula>60</formula>
    </cfRule>
  </conditionalFormatting>
  <conditionalFormatting sqref="CE1574">
    <cfRule type="cellIs" dxfId="1770" priority="1828" operator="between">
      <formula>-0.04</formula>
      <formula>-1</formula>
    </cfRule>
  </conditionalFormatting>
  <conditionalFormatting sqref="BM1575">
    <cfRule type="cellIs" dxfId="1769" priority="1827" operator="between">
      <formula>8</formula>
      <formula>60</formula>
    </cfRule>
  </conditionalFormatting>
  <conditionalFormatting sqref="CE385">
    <cfRule type="cellIs" dxfId="1768" priority="1826" operator="between">
      <formula>-0.04</formula>
      <formula>-1</formula>
    </cfRule>
  </conditionalFormatting>
  <conditionalFormatting sqref="BM385">
    <cfRule type="cellIs" dxfId="1767" priority="1825" operator="between">
      <formula>8</formula>
      <formula>60</formula>
    </cfRule>
  </conditionalFormatting>
  <conditionalFormatting sqref="CE1457">
    <cfRule type="cellIs" dxfId="1766" priority="1821" operator="between">
      <formula>-0.04</formula>
      <formula>-1</formula>
    </cfRule>
  </conditionalFormatting>
  <conditionalFormatting sqref="BM1458:BM1461">
    <cfRule type="cellIs" dxfId="1765" priority="1824" operator="between">
      <formula>8</formula>
      <formula>60</formula>
    </cfRule>
  </conditionalFormatting>
  <conditionalFormatting sqref="CE1458">
    <cfRule type="cellIs" dxfId="1764" priority="1823" operator="between">
      <formula>-0.04</formula>
      <formula>-1</formula>
    </cfRule>
  </conditionalFormatting>
  <conditionalFormatting sqref="BM1457">
    <cfRule type="cellIs" dxfId="1763" priority="1822" operator="between">
      <formula>8</formula>
      <formula>60</formula>
    </cfRule>
  </conditionalFormatting>
  <conditionalFormatting sqref="BM1456">
    <cfRule type="cellIs" dxfId="1762" priority="1820" operator="between">
      <formula>8</formula>
      <formula>60</formula>
    </cfRule>
  </conditionalFormatting>
  <conditionalFormatting sqref="BM1455">
    <cfRule type="cellIs" dxfId="1761" priority="1818" operator="between">
      <formula>8</formula>
      <formula>60</formula>
    </cfRule>
  </conditionalFormatting>
  <conditionalFormatting sqref="CE1456">
    <cfRule type="cellIs" dxfId="1760" priority="1819" operator="between">
      <formula>-0.04</formula>
      <formula>-1</formula>
    </cfRule>
  </conditionalFormatting>
  <conditionalFormatting sqref="CE1455">
    <cfRule type="cellIs" dxfId="1759" priority="1817" operator="between">
      <formula>-0.04</formula>
      <formula>-1</formula>
    </cfRule>
  </conditionalFormatting>
  <conditionalFormatting sqref="CE1454">
    <cfRule type="cellIs" dxfId="1758" priority="1815" operator="between">
      <formula>-0.04</formula>
      <formula>-1</formula>
    </cfRule>
  </conditionalFormatting>
  <conditionalFormatting sqref="BM1454:BM1457">
    <cfRule type="cellIs" dxfId="1757" priority="1816" operator="between">
      <formula>8</formula>
      <formula>60</formula>
    </cfRule>
  </conditionalFormatting>
  <conditionalFormatting sqref="BM1464">
    <cfRule type="cellIs" dxfId="1756" priority="1814" operator="between">
      <formula>8</formula>
      <formula>60</formula>
    </cfRule>
  </conditionalFormatting>
  <conditionalFormatting sqref="CE1464">
    <cfRule type="cellIs" dxfId="1755" priority="1813" operator="between">
      <formula>-0.04</formula>
      <formula>-1</formula>
    </cfRule>
  </conditionalFormatting>
  <conditionalFormatting sqref="BM1463">
    <cfRule type="cellIs" dxfId="1754" priority="1812" operator="between">
      <formula>8</formula>
      <formula>60</formula>
    </cfRule>
  </conditionalFormatting>
  <conditionalFormatting sqref="CE1463">
    <cfRule type="cellIs" dxfId="1753" priority="1811" operator="between">
      <formula>-0.04</formula>
      <formula>-1</formula>
    </cfRule>
  </conditionalFormatting>
  <conditionalFormatting sqref="BM1460">
    <cfRule type="cellIs" dxfId="1752" priority="1806" operator="between">
      <formula>8</formula>
      <formula>60</formula>
    </cfRule>
  </conditionalFormatting>
  <conditionalFormatting sqref="CE1460">
    <cfRule type="cellIs" dxfId="1751" priority="1805" operator="between">
      <formula>-0.04</formula>
      <formula>-1</formula>
    </cfRule>
  </conditionalFormatting>
  <conditionalFormatting sqref="BM1462:BM1464">
    <cfRule type="cellIs" dxfId="1750" priority="1810" operator="between">
      <formula>8</formula>
      <formula>60</formula>
    </cfRule>
  </conditionalFormatting>
  <conditionalFormatting sqref="CE1462">
    <cfRule type="cellIs" dxfId="1749" priority="1809" operator="between">
      <formula>-0.04</formula>
      <formula>-1</formula>
    </cfRule>
  </conditionalFormatting>
  <conditionalFormatting sqref="BM1461">
    <cfRule type="cellIs" dxfId="1748" priority="1808" operator="between">
      <formula>8</formula>
      <formula>60</formula>
    </cfRule>
  </conditionalFormatting>
  <conditionalFormatting sqref="CE1461">
    <cfRule type="cellIs" dxfId="1747" priority="1807" operator="between">
      <formula>-0.04</formula>
      <formula>-1</formula>
    </cfRule>
  </conditionalFormatting>
  <conditionalFormatting sqref="BM1459">
    <cfRule type="cellIs" dxfId="1746" priority="1804" operator="between">
      <formula>8</formula>
      <formula>60</formula>
    </cfRule>
  </conditionalFormatting>
  <conditionalFormatting sqref="CE1459">
    <cfRule type="cellIs" dxfId="1745" priority="1803" operator="between">
      <formula>-0.04</formula>
      <formula>-1</formula>
    </cfRule>
  </conditionalFormatting>
  <conditionalFormatting sqref="BM1261:BM1262">
    <cfRule type="cellIs" dxfId="1744" priority="1802" operator="between">
      <formula>8</formula>
      <formula>60</formula>
    </cfRule>
  </conditionalFormatting>
  <conditionalFormatting sqref="CE1261:CE1263">
    <cfRule type="cellIs" dxfId="1743" priority="1801" operator="between">
      <formula>-0.04</formula>
      <formula>-1</formula>
    </cfRule>
  </conditionalFormatting>
  <conditionalFormatting sqref="CE1260">
    <cfRule type="cellIs" dxfId="1742" priority="1799" operator="between">
      <formula>-0.04</formula>
      <formula>-1</formula>
    </cfRule>
  </conditionalFormatting>
  <conditionalFormatting sqref="BM1260">
    <cfRule type="cellIs" dxfId="1741" priority="1800" operator="between">
      <formula>8</formula>
      <formula>60</formula>
    </cfRule>
  </conditionalFormatting>
  <conditionalFormatting sqref="BM1256">
    <cfRule type="cellIs" dxfId="1740" priority="1794" operator="between">
      <formula>8</formula>
      <formula>60</formula>
    </cfRule>
  </conditionalFormatting>
  <conditionalFormatting sqref="CE1256">
    <cfRule type="cellIs" dxfId="1739" priority="1793" operator="between">
      <formula>-0.04</formula>
      <formula>-1</formula>
    </cfRule>
  </conditionalFormatting>
  <conditionalFormatting sqref="BM1253:BM1255">
    <cfRule type="cellIs" dxfId="1738" priority="1792" operator="between">
      <formula>8</formula>
      <formula>60</formula>
    </cfRule>
  </conditionalFormatting>
  <conditionalFormatting sqref="CE1253:CE1255">
    <cfRule type="cellIs" dxfId="1737" priority="1791" operator="between">
      <formula>-0.04</formula>
      <formula>-1</formula>
    </cfRule>
  </conditionalFormatting>
  <conditionalFormatting sqref="BM1258:BM1261">
    <cfRule type="cellIs" dxfId="1736" priority="1796" operator="between">
      <formula>8</formula>
      <formula>60</formula>
    </cfRule>
  </conditionalFormatting>
  <conditionalFormatting sqref="BM1259">
    <cfRule type="cellIs" dxfId="1735" priority="1798" operator="between">
      <formula>8</formula>
      <formula>60</formula>
    </cfRule>
  </conditionalFormatting>
  <conditionalFormatting sqref="CE1259">
    <cfRule type="cellIs" dxfId="1734" priority="1797" operator="between">
      <formula>-0.04</formula>
      <formula>-1</formula>
    </cfRule>
  </conditionalFormatting>
  <conditionalFormatting sqref="CE1257:CE1258">
    <cfRule type="cellIs" dxfId="1733" priority="1795" operator="between">
      <formula>-0.04</formula>
      <formula>-1</formula>
    </cfRule>
  </conditionalFormatting>
  <conditionalFormatting sqref="BM1264">
    <cfRule type="cellIs" dxfId="1732" priority="1789" operator="between">
      <formula>8</formula>
      <formula>60</formula>
    </cfRule>
  </conditionalFormatting>
  <conditionalFormatting sqref="CE1264">
    <cfRule type="cellIs" dxfId="1731" priority="1788" operator="between">
      <formula>-0.04</formula>
      <formula>-1</formula>
    </cfRule>
  </conditionalFormatting>
  <conditionalFormatting sqref="CE1265">
    <cfRule type="cellIs" dxfId="1730" priority="1790" operator="between">
      <formula>-0.04</formula>
      <formula>-1</formula>
    </cfRule>
  </conditionalFormatting>
  <conditionalFormatting sqref="BM1257">
    <cfRule type="cellIs" dxfId="1729" priority="1787" operator="between">
      <formula>8</formula>
      <formula>60</formula>
    </cfRule>
  </conditionalFormatting>
  <conditionalFormatting sqref="BM1263">
    <cfRule type="cellIs" dxfId="1728" priority="1786" operator="between">
      <formula>8</formula>
      <formula>60</formula>
    </cfRule>
  </conditionalFormatting>
  <conditionalFormatting sqref="BM1265">
    <cfRule type="cellIs" dxfId="1727" priority="1785" operator="between">
      <formula>8</formula>
      <formula>60</formula>
    </cfRule>
  </conditionalFormatting>
  <conditionalFormatting sqref="BM1345">
    <cfRule type="cellIs" dxfId="1726" priority="1783" operator="between">
      <formula>8</formula>
      <formula>60</formula>
    </cfRule>
  </conditionalFormatting>
  <conditionalFormatting sqref="CE1345">
    <cfRule type="cellIs" dxfId="1725" priority="1782" operator="between">
      <formula>-0.04</formula>
      <formula>-1</formula>
    </cfRule>
  </conditionalFormatting>
  <conditionalFormatting sqref="CE1346">
    <cfRule type="cellIs" dxfId="1724" priority="1784" operator="between">
      <formula>-0.04</formula>
      <formula>-1</formula>
    </cfRule>
  </conditionalFormatting>
  <conditionalFormatting sqref="BM1346">
    <cfRule type="cellIs" dxfId="1723" priority="1781" operator="between">
      <formula>8</formula>
      <formula>60</formula>
    </cfRule>
  </conditionalFormatting>
  <conditionalFormatting sqref="BM1347">
    <cfRule type="cellIs" dxfId="1722" priority="1780" operator="between">
      <formula>8</formula>
      <formula>60</formula>
    </cfRule>
  </conditionalFormatting>
  <conditionalFormatting sqref="CE1347">
    <cfRule type="cellIs" dxfId="1721" priority="1779" operator="between">
      <formula>-0.04</formula>
      <formula>-1</formula>
    </cfRule>
  </conditionalFormatting>
  <conditionalFormatting sqref="CE1466">
    <cfRule type="cellIs" dxfId="1720" priority="1778" operator="between">
      <formula>-0.04</formula>
      <formula>-1</formula>
    </cfRule>
  </conditionalFormatting>
  <conditionalFormatting sqref="BM1465">
    <cfRule type="cellIs" dxfId="1719" priority="1777" operator="between">
      <formula>8</formula>
      <formula>60</formula>
    </cfRule>
  </conditionalFormatting>
  <conditionalFormatting sqref="CE1465">
    <cfRule type="cellIs" dxfId="1718" priority="1776" operator="between">
      <formula>-0.04</formula>
      <formula>-1</formula>
    </cfRule>
  </conditionalFormatting>
  <conditionalFormatting sqref="BM1466">
    <cfRule type="cellIs" dxfId="1717" priority="1775" operator="between">
      <formula>8</formula>
      <formula>60</formula>
    </cfRule>
  </conditionalFormatting>
  <conditionalFormatting sqref="BM1578">
    <cfRule type="cellIs" dxfId="1716" priority="1774" operator="between">
      <formula>8</formula>
      <formula>60</formula>
    </cfRule>
  </conditionalFormatting>
  <conditionalFormatting sqref="CE1578">
    <cfRule type="cellIs" dxfId="1715" priority="1773" operator="between">
      <formula>-0.04</formula>
      <formula>-1</formula>
    </cfRule>
  </conditionalFormatting>
  <conditionalFormatting sqref="CE1357">
    <cfRule type="cellIs" dxfId="1714" priority="1772" operator="between">
      <formula>-0.04</formula>
      <formula>-1</formula>
    </cfRule>
  </conditionalFormatting>
  <conditionalFormatting sqref="BM1357">
    <cfRule type="cellIs" dxfId="1713" priority="1771" operator="between">
      <formula>8</formula>
      <formula>60</formula>
    </cfRule>
  </conditionalFormatting>
  <conditionalFormatting sqref="CE1356">
    <cfRule type="cellIs" dxfId="1712" priority="1770" operator="between">
      <formula>-0.04</formula>
      <formula>-1</formula>
    </cfRule>
  </conditionalFormatting>
  <conditionalFormatting sqref="CE1355">
    <cfRule type="cellIs" dxfId="1711" priority="1769" operator="between">
      <formula>-0.04</formula>
      <formula>-1</formula>
    </cfRule>
  </conditionalFormatting>
  <conditionalFormatting sqref="CE1354">
    <cfRule type="cellIs" dxfId="1710" priority="1767" operator="between">
      <formula>-0.04</formula>
      <formula>-1</formula>
    </cfRule>
  </conditionalFormatting>
  <conditionalFormatting sqref="BM1354">
    <cfRule type="cellIs" dxfId="1709" priority="1768" operator="between">
      <formula>8</formula>
      <formula>60</formula>
    </cfRule>
  </conditionalFormatting>
  <conditionalFormatting sqref="BM1353">
    <cfRule type="cellIs" dxfId="1708" priority="1766" operator="between">
      <formula>8</formula>
      <formula>60</formula>
    </cfRule>
  </conditionalFormatting>
  <conditionalFormatting sqref="CE1353">
    <cfRule type="cellIs" dxfId="1707" priority="1765" operator="between">
      <formula>-0.04</formula>
      <formula>-1</formula>
    </cfRule>
  </conditionalFormatting>
  <conditionalFormatting sqref="CE1350">
    <cfRule type="cellIs" dxfId="1706" priority="1764" operator="between">
      <formula>-0.04</formula>
      <formula>-1</formula>
    </cfRule>
  </conditionalFormatting>
  <conditionalFormatting sqref="BM1352">
    <cfRule type="cellIs" dxfId="1705" priority="1763" operator="between">
      <formula>8</formula>
      <formula>60</formula>
    </cfRule>
  </conditionalFormatting>
  <conditionalFormatting sqref="CE1352">
    <cfRule type="cellIs" dxfId="1704" priority="1762" operator="between">
      <formula>-0.04</formula>
      <formula>-1</formula>
    </cfRule>
  </conditionalFormatting>
  <conditionalFormatting sqref="BM1351">
    <cfRule type="cellIs" dxfId="1703" priority="1761" operator="between">
      <formula>8</formula>
      <formula>60</formula>
    </cfRule>
  </conditionalFormatting>
  <conditionalFormatting sqref="CE1351">
    <cfRule type="cellIs" dxfId="1702" priority="1760" operator="between">
      <formula>-0.04</formula>
      <formula>-1</formula>
    </cfRule>
  </conditionalFormatting>
  <conditionalFormatting sqref="BM1350">
    <cfRule type="cellIs" dxfId="1701" priority="1759" operator="between">
      <formula>8</formula>
      <formula>60</formula>
    </cfRule>
  </conditionalFormatting>
  <conditionalFormatting sqref="BM1349">
    <cfRule type="cellIs" dxfId="1700" priority="1758" operator="between">
      <formula>8</formula>
      <formula>60</formula>
    </cfRule>
  </conditionalFormatting>
  <conditionalFormatting sqref="CE1349">
    <cfRule type="cellIs" dxfId="1699" priority="1757" operator="between">
      <formula>-0.04</formula>
      <formula>-1</formula>
    </cfRule>
  </conditionalFormatting>
  <conditionalFormatting sqref="BM1358">
    <cfRule type="cellIs" dxfId="1698" priority="1743" operator="between">
      <formula>8</formula>
      <formula>60</formula>
    </cfRule>
  </conditionalFormatting>
  <conditionalFormatting sqref="BM1356">
    <cfRule type="cellIs" dxfId="1697" priority="1755" operator="between">
      <formula>8</formula>
      <formula>60</formula>
    </cfRule>
  </conditionalFormatting>
  <conditionalFormatting sqref="BM1355">
    <cfRule type="cellIs" dxfId="1696" priority="1756" operator="between">
      <formula>8</formula>
      <formula>60</formula>
    </cfRule>
  </conditionalFormatting>
  <conditionalFormatting sqref="BM1364">
    <cfRule type="cellIs" dxfId="1695" priority="1741" operator="between">
      <formula>8</formula>
      <formula>60</formula>
    </cfRule>
  </conditionalFormatting>
  <conditionalFormatting sqref="CE1364">
    <cfRule type="cellIs" dxfId="1694" priority="1754" operator="between">
      <formula>-0.04</formula>
      <formula>-1</formula>
    </cfRule>
  </conditionalFormatting>
  <conditionalFormatting sqref="BM1363">
    <cfRule type="cellIs" dxfId="1693" priority="1753" operator="between">
      <formula>8</formula>
      <formula>60</formula>
    </cfRule>
  </conditionalFormatting>
  <conditionalFormatting sqref="CE1363">
    <cfRule type="cellIs" dxfId="1692" priority="1752" operator="between">
      <formula>-0.04</formula>
      <formula>-1</formula>
    </cfRule>
  </conditionalFormatting>
  <conditionalFormatting sqref="CE1360">
    <cfRule type="cellIs" dxfId="1691" priority="1751" operator="between">
      <formula>-0.04</formula>
      <formula>-1</formula>
    </cfRule>
  </conditionalFormatting>
  <conditionalFormatting sqref="BM1362">
    <cfRule type="cellIs" dxfId="1690" priority="1750" operator="between">
      <formula>8</formula>
      <formula>60</formula>
    </cfRule>
  </conditionalFormatting>
  <conditionalFormatting sqref="CE1362">
    <cfRule type="cellIs" dxfId="1689" priority="1749" operator="between">
      <formula>-0.04</formula>
      <formula>-1</formula>
    </cfRule>
  </conditionalFormatting>
  <conditionalFormatting sqref="BM1361">
    <cfRule type="cellIs" dxfId="1688" priority="1748" operator="between">
      <formula>8</formula>
      <formula>60</formula>
    </cfRule>
  </conditionalFormatting>
  <conditionalFormatting sqref="CE1361">
    <cfRule type="cellIs" dxfId="1687" priority="1747" operator="between">
      <formula>-0.04</formula>
      <formula>-1</formula>
    </cfRule>
  </conditionalFormatting>
  <conditionalFormatting sqref="BM1360:BM1362">
    <cfRule type="cellIs" dxfId="1686" priority="1746" operator="between">
      <formula>8</formula>
      <formula>60</formula>
    </cfRule>
  </conditionalFormatting>
  <conditionalFormatting sqref="BM1359">
    <cfRule type="cellIs" dxfId="1685" priority="1745" operator="between">
      <formula>8</formula>
      <formula>60</formula>
    </cfRule>
  </conditionalFormatting>
  <conditionalFormatting sqref="CE1359">
    <cfRule type="cellIs" dxfId="1684" priority="1744" operator="between">
      <formula>-0.04</formula>
      <formula>-1</formula>
    </cfRule>
  </conditionalFormatting>
  <conditionalFormatting sqref="CE1358">
    <cfRule type="cellIs" dxfId="1683" priority="1742" operator="between">
      <formula>-0.04</formula>
      <formula>-1</formula>
    </cfRule>
  </conditionalFormatting>
  <conditionalFormatting sqref="BM1377">
    <cfRule type="cellIs" dxfId="1682" priority="1740" operator="between">
      <formula>8</formula>
      <formula>60</formula>
    </cfRule>
  </conditionalFormatting>
  <conditionalFormatting sqref="CE1377">
    <cfRule type="cellIs" dxfId="1681" priority="1739" operator="between">
      <formula>-0.04</formula>
      <formula>-1</formula>
    </cfRule>
  </conditionalFormatting>
  <conditionalFormatting sqref="CE1378">
    <cfRule type="cellIs" dxfId="1680" priority="1738" operator="between">
      <formula>-0.04</formula>
      <formula>-1</formula>
    </cfRule>
  </conditionalFormatting>
  <conditionalFormatting sqref="BM1378">
    <cfRule type="cellIs" dxfId="1679" priority="1737" operator="between">
      <formula>8</formula>
      <formula>60</formula>
    </cfRule>
  </conditionalFormatting>
  <conditionalFormatting sqref="CE1266">
    <cfRule type="cellIs" dxfId="1678" priority="1736" operator="between">
      <formula>-0.04</formula>
      <formula>-1</formula>
    </cfRule>
  </conditionalFormatting>
  <conditionalFormatting sqref="BM1266">
    <cfRule type="cellIs" dxfId="1677" priority="1734" operator="between">
      <formula>8</formula>
      <formula>60</formula>
    </cfRule>
  </conditionalFormatting>
  <conditionalFormatting sqref="CE1267">
    <cfRule type="cellIs" dxfId="1676" priority="1735" operator="between">
      <formula>-0.04</formula>
      <formula>-1</formula>
    </cfRule>
  </conditionalFormatting>
  <conditionalFormatting sqref="BM1267">
    <cfRule type="cellIs" dxfId="1675" priority="1733" operator="between">
      <formula>8</formula>
      <formula>60</formula>
    </cfRule>
  </conditionalFormatting>
  <conditionalFormatting sqref="BM991:BM993">
    <cfRule type="cellIs" dxfId="1674" priority="1732" operator="between">
      <formula>8</formula>
      <formula>60</formula>
    </cfRule>
  </conditionalFormatting>
  <conditionalFormatting sqref="CE991">
    <cfRule type="cellIs" dxfId="1673" priority="1731" operator="between">
      <formula>-0.04</formula>
      <formula>-1</formula>
    </cfRule>
  </conditionalFormatting>
  <conditionalFormatting sqref="BM993">
    <cfRule type="cellIs" dxfId="1672" priority="1730" operator="between">
      <formula>8</formula>
      <formula>60</formula>
    </cfRule>
  </conditionalFormatting>
  <conditionalFormatting sqref="CE993">
    <cfRule type="cellIs" dxfId="1671" priority="1729" operator="between">
      <formula>-0.04</formula>
      <formula>-1</formula>
    </cfRule>
  </conditionalFormatting>
  <conditionalFormatting sqref="BM992">
    <cfRule type="cellIs" dxfId="1670" priority="1728" operator="between">
      <formula>8</formula>
      <formula>60</formula>
    </cfRule>
  </conditionalFormatting>
  <conditionalFormatting sqref="CE992">
    <cfRule type="cellIs" dxfId="1669" priority="1727" operator="between">
      <formula>-0.04</formula>
      <formula>-1</formula>
    </cfRule>
  </conditionalFormatting>
  <conditionalFormatting sqref="CE683">
    <cfRule type="cellIs" dxfId="1668" priority="1726" operator="between">
      <formula>-0.04</formula>
      <formula>-1</formula>
    </cfRule>
  </conditionalFormatting>
  <conditionalFormatting sqref="BM682">
    <cfRule type="cellIs" dxfId="1667" priority="1725" operator="between">
      <formula>8</formula>
      <formula>60</formula>
    </cfRule>
  </conditionalFormatting>
  <conditionalFormatting sqref="CE682">
    <cfRule type="cellIs" dxfId="1666" priority="1724" operator="between">
      <formula>-0.04</formula>
      <formula>-1</formula>
    </cfRule>
  </conditionalFormatting>
  <conditionalFormatting sqref="BM683">
    <cfRule type="cellIs" dxfId="1665" priority="1723" operator="between">
      <formula>8</formula>
      <formula>60</formula>
    </cfRule>
  </conditionalFormatting>
  <conditionalFormatting sqref="CE264">
    <cfRule type="cellIs" dxfId="1664" priority="1721" operator="between">
      <formula>-0.04</formula>
      <formula>-1</formula>
    </cfRule>
  </conditionalFormatting>
  <conditionalFormatting sqref="BM264">
    <cfRule type="cellIs" dxfId="1663" priority="1722" operator="between">
      <formula>8</formula>
      <formula>60</formula>
    </cfRule>
  </conditionalFormatting>
  <conditionalFormatting sqref="BM1472">
    <cfRule type="cellIs" dxfId="1662" priority="1720" operator="between">
      <formula>8</formula>
      <formula>60</formula>
    </cfRule>
  </conditionalFormatting>
  <conditionalFormatting sqref="CE1472">
    <cfRule type="cellIs" dxfId="1661" priority="1719" operator="between">
      <formula>-0.04</formula>
      <formula>-1</formula>
    </cfRule>
  </conditionalFormatting>
  <conditionalFormatting sqref="BM1471">
    <cfRule type="cellIs" dxfId="1660" priority="1718" operator="between">
      <formula>8</formula>
      <formula>60</formula>
    </cfRule>
  </conditionalFormatting>
  <conditionalFormatting sqref="CE1471">
    <cfRule type="cellIs" dxfId="1659" priority="1717" operator="between">
      <formula>-0.04</formula>
      <formula>-1</formula>
    </cfRule>
  </conditionalFormatting>
  <conditionalFormatting sqref="CE1468">
    <cfRule type="cellIs" dxfId="1658" priority="1712" operator="between">
      <formula>-0.04</formula>
      <formula>-1</formula>
    </cfRule>
  </conditionalFormatting>
  <conditionalFormatting sqref="BM1470">
    <cfRule type="cellIs" dxfId="1657" priority="1716" operator="between">
      <formula>8</formula>
      <formula>60</formula>
    </cfRule>
  </conditionalFormatting>
  <conditionalFormatting sqref="CE1470">
    <cfRule type="cellIs" dxfId="1656" priority="1715" operator="between">
      <formula>-0.04</formula>
      <formula>-1</formula>
    </cfRule>
  </conditionalFormatting>
  <conditionalFormatting sqref="BM1469:BM1472">
    <cfRule type="cellIs" dxfId="1655" priority="1714" operator="between">
      <formula>8</formula>
      <formula>60</formula>
    </cfRule>
  </conditionalFormatting>
  <conditionalFormatting sqref="CE1469">
    <cfRule type="cellIs" dxfId="1654" priority="1713" operator="between">
      <formula>-0.04</formula>
      <formula>-1</formula>
    </cfRule>
  </conditionalFormatting>
  <conditionalFormatting sqref="BM1467">
    <cfRule type="cellIs" dxfId="1653" priority="1711" operator="between">
      <formula>8</formula>
      <formula>60</formula>
    </cfRule>
  </conditionalFormatting>
  <conditionalFormatting sqref="CE1467">
    <cfRule type="cellIs" dxfId="1652" priority="1710" operator="between">
      <formula>-0.04</formula>
      <formula>-1</formula>
    </cfRule>
  </conditionalFormatting>
  <conditionalFormatting sqref="BM1468">
    <cfRule type="cellIs" dxfId="1651" priority="1709" operator="between">
      <formula>8</formula>
      <formula>60</formula>
    </cfRule>
  </conditionalFormatting>
  <conditionalFormatting sqref="BM67">
    <cfRule type="cellIs" dxfId="1650" priority="1708" operator="between">
      <formula>8</formula>
      <formula>60</formula>
    </cfRule>
  </conditionalFormatting>
  <conditionalFormatting sqref="BM66">
    <cfRule type="cellIs" dxfId="1649" priority="1706" operator="between">
      <formula>8</formula>
      <formula>60</formula>
    </cfRule>
  </conditionalFormatting>
  <conditionalFormatting sqref="CE67">
    <cfRule type="cellIs" dxfId="1648" priority="1707" operator="between">
      <formula>-0.04</formula>
      <formula>-1</formula>
    </cfRule>
  </conditionalFormatting>
  <conditionalFormatting sqref="CE66">
    <cfRule type="cellIs" dxfId="1647" priority="1705" operator="between">
      <formula>-0.04</formula>
      <formula>-1</formula>
    </cfRule>
  </conditionalFormatting>
  <conditionalFormatting sqref="BM65">
    <cfRule type="cellIs" dxfId="1646" priority="1704" operator="between">
      <formula>8</formula>
      <formula>60</formula>
    </cfRule>
  </conditionalFormatting>
  <conditionalFormatting sqref="CE65">
    <cfRule type="cellIs" dxfId="1645" priority="1703" operator="between">
      <formula>-0.04</formula>
      <formula>-1</formula>
    </cfRule>
  </conditionalFormatting>
  <conditionalFormatting sqref="CE64">
    <cfRule type="cellIs" dxfId="1644" priority="1702" operator="between">
      <formula>-0.04</formula>
      <formula>-1</formula>
    </cfRule>
  </conditionalFormatting>
  <conditionalFormatting sqref="BM63">
    <cfRule type="cellIs" dxfId="1643" priority="1701" operator="between">
      <formula>8</formula>
      <formula>60</formula>
    </cfRule>
  </conditionalFormatting>
  <conditionalFormatting sqref="CE63">
    <cfRule type="cellIs" dxfId="1642" priority="1700" operator="between">
      <formula>-0.04</formula>
      <formula>-1</formula>
    </cfRule>
  </conditionalFormatting>
  <conditionalFormatting sqref="BM61">
    <cfRule type="cellIs" dxfId="1641" priority="1697" operator="between">
      <formula>8</formula>
      <formula>60</formula>
    </cfRule>
  </conditionalFormatting>
  <conditionalFormatting sqref="BM60">
    <cfRule type="cellIs" dxfId="1640" priority="1695" operator="between">
      <formula>8</formula>
      <formula>60</formula>
    </cfRule>
  </conditionalFormatting>
  <conditionalFormatting sqref="BM62">
    <cfRule type="cellIs" dxfId="1639" priority="1699" operator="between">
      <formula>8</formula>
      <formula>60</formula>
    </cfRule>
  </conditionalFormatting>
  <conditionalFormatting sqref="CE62">
    <cfRule type="cellIs" dxfId="1638" priority="1698" operator="between">
      <formula>-0.04</formula>
      <formula>-1</formula>
    </cfRule>
  </conditionalFormatting>
  <conditionalFormatting sqref="CE61">
    <cfRule type="cellIs" dxfId="1637" priority="1696" operator="between">
      <formula>-0.04</formula>
      <formula>-1</formula>
    </cfRule>
  </conditionalFormatting>
  <conditionalFormatting sqref="CE60">
    <cfRule type="cellIs" dxfId="1636" priority="1694" operator="between">
      <formula>-0.04</formula>
      <formula>-1</formula>
    </cfRule>
  </conditionalFormatting>
  <conditionalFormatting sqref="BM57">
    <cfRule type="cellIs" dxfId="1635" priority="1689" operator="between">
      <formula>8</formula>
      <formula>60</formula>
    </cfRule>
  </conditionalFormatting>
  <conditionalFormatting sqref="BM59">
    <cfRule type="cellIs" dxfId="1634" priority="1693" operator="between">
      <formula>8</formula>
      <formula>60</formula>
    </cfRule>
  </conditionalFormatting>
  <conditionalFormatting sqref="CE57">
    <cfRule type="cellIs" dxfId="1633" priority="1688" operator="between">
      <formula>-0.04</formula>
      <formula>-1</formula>
    </cfRule>
  </conditionalFormatting>
  <conditionalFormatting sqref="CE59">
    <cfRule type="cellIs" dxfId="1632" priority="1692" operator="between">
      <formula>-0.04</formula>
      <formula>-1</formula>
    </cfRule>
  </conditionalFormatting>
  <conditionalFormatting sqref="BM58">
    <cfRule type="cellIs" dxfId="1631" priority="1691" operator="between">
      <formula>8</formula>
      <formula>60</formula>
    </cfRule>
  </conditionalFormatting>
  <conditionalFormatting sqref="CE58">
    <cfRule type="cellIs" dxfId="1630" priority="1690" operator="between">
      <formula>-0.04</formula>
      <formula>-1</formula>
    </cfRule>
  </conditionalFormatting>
  <conditionalFormatting sqref="BM56">
    <cfRule type="cellIs" dxfId="1629" priority="1687" operator="between">
      <formula>8</formula>
      <formula>60</formula>
    </cfRule>
  </conditionalFormatting>
  <conditionalFormatting sqref="CE56">
    <cfRule type="cellIs" dxfId="1628" priority="1686" operator="between">
      <formula>-0.04</formula>
      <formula>-1</formula>
    </cfRule>
  </conditionalFormatting>
  <conditionalFormatting sqref="BM55">
    <cfRule type="cellIs" dxfId="1627" priority="1685" operator="between">
      <formula>8</formula>
      <formula>60</formula>
    </cfRule>
  </conditionalFormatting>
  <conditionalFormatting sqref="CE55">
    <cfRule type="cellIs" dxfId="1626" priority="1684" operator="between">
      <formula>-0.04</formula>
      <formula>-1</formula>
    </cfRule>
  </conditionalFormatting>
  <conditionalFormatting sqref="BM54">
    <cfRule type="cellIs" dxfId="1625" priority="1683" operator="between">
      <formula>8</formula>
      <formula>60</formula>
    </cfRule>
  </conditionalFormatting>
  <conditionalFormatting sqref="CE54">
    <cfRule type="cellIs" dxfId="1624" priority="1682" operator="between">
      <formula>-0.04</formula>
      <formula>-1</formula>
    </cfRule>
  </conditionalFormatting>
  <conditionalFormatting sqref="CE53">
    <cfRule type="cellIs" dxfId="1623" priority="1680" operator="between">
      <formula>-0.04</formula>
      <formula>-1</formula>
    </cfRule>
  </conditionalFormatting>
  <conditionalFormatting sqref="BM52">
    <cfRule type="cellIs" dxfId="1622" priority="1679" operator="between">
      <formula>8</formula>
      <formula>60</formula>
    </cfRule>
  </conditionalFormatting>
  <conditionalFormatting sqref="CE52">
    <cfRule type="cellIs" dxfId="1621" priority="1678" operator="between">
      <formula>-0.04</formula>
      <formula>-1</formula>
    </cfRule>
  </conditionalFormatting>
  <conditionalFormatting sqref="BM53">
    <cfRule type="cellIs" dxfId="1620" priority="1681" operator="between">
      <formula>8</formula>
      <formula>60</formula>
    </cfRule>
  </conditionalFormatting>
  <conditionalFormatting sqref="CE78">
    <cfRule type="cellIs" dxfId="1619" priority="1677" operator="between">
      <formula>-0.04</formula>
      <formula>-1</formula>
    </cfRule>
  </conditionalFormatting>
  <conditionalFormatting sqref="BM68">
    <cfRule type="cellIs" dxfId="1618" priority="1676" operator="between">
      <formula>8</formula>
      <formula>60</formula>
    </cfRule>
  </conditionalFormatting>
  <conditionalFormatting sqref="CE68">
    <cfRule type="cellIs" dxfId="1617" priority="1675" operator="between">
      <formula>-0.04</formula>
      <formula>-1</formula>
    </cfRule>
  </conditionalFormatting>
  <conditionalFormatting sqref="BM64">
    <cfRule type="cellIs" dxfId="1616" priority="1674" operator="between">
      <formula>8</formula>
      <formula>60</formula>
    </cfRule>
  </conditionalFormatting>
  <conditionalFormatting sqref="BM77">
    <cfRule type="cellIs" dxfId="1615" priority="1673" operator="between">
      <formula>8</formula>
      <formula>60</formula>
    </cfRule>
  </conditionalFormatting>
  <conditionalFormatting sqref="CE77">
    <cfRule type="cellIs" dxfId="1614" priority="1672" operator="between">
      <formula>-0.04</formula>
      <formula>-1</formula>
    </cfRule>
  </conditionalFormatting>
  <conditionalFormatting sqref="BM76">
    <cfRule type="cellIs" dxfId="1613" priority="1671" operator="between">
      <formula>8</formula>
      <formula>60</formula>
    </cfRule>
  </conditionalFormatting>
  <conditionalFormatting sqref="BM75">
    <cfRule type="cellIs" dxfId="1612" priority="1669" operator="between">
      <formula>8</formula>
      <formula>60</formula>
    </cfRule>
  </conditionalFormatting>
  <conditionalFormatting sqref="CE76">
    <cfRule type="cellIs" dxfId="1611" priority="1670" operator="between">
      <formula>-0.04</formula>
      <formula>-1</formula>
    </cfRule>
  </conditionalFormatting>
  <conditionalFormatting sqref="CE75">
    <cfRule type="cellIs" dxfId="1610" priority="1668" operator="between">
      <formula>-0.04</formula>
      <formula>-1</formula>
    </cfRule>
  </conditionalFormatting>
  <conditionalFormatting sqref="BM74">
    <cfRule type="cellIs" dxfId="1609" priority="1667" operator="between">
      <formula>8</formula>
      <formula>60</formula>
    </cfRule>
  </conditionalFormatting>
  <conditionalFormatting sqref="CE74">
    <cfRule type="cellIs" dxfId="1608" priority="1666" operator="between">
      <formula>-0.04</formula>
      <formula>-1</formula>
    </cfRule>
  </conditionalFormatting>
  <conditionalFormatting sqref="BM73">
    <cfRule type="cellIs" dxfId="1607" priority="1665" operator="between">
      <formula>8</formula>
      <formula>60</formula>
    </cfRule>
  </conditionalFormatting>
  <conditionalFormatting sqref="CE73">
    <cfRule type="cellIs" dxfId="1606" priority="1664" operator="between">
      <formula>-0.04</formula>
      <formula>-1</formula>
    </cfRule>
  </conditionalFormatting>
  <conditionalFormatting sqref="BM72">
    <cfRule type="cellIs" dxfId="1605" priority="1663" operator="between">
      <formula>8</formula>
      <formula>60</formula>
    </cfRule>
  </conditionalFormatting>
  <conditionalFormatting sqref="CE72">
    <cfRule type="cellIs" dxfId="1604" priority="1662" operator="between">
      <formula>-0.04</formula>
      <formula>-1</formula>
    </cfRule>
  </conditionalFormatting>
  <conditionalFormatting sqref="BM70">
    <cfRule type="cellIs" dxfId="1603" priority="1659" operator="between">
      <formula>8</formula>
      <formula>60</formula>
    </cfRule>
  </conditionalFormatting>
  <conditionalFormatting sqref="BM69">
    <cfRule type="cellIs" dxfId="1602" priority="1657" operator="between">
      <formula>8</formula>
      <formula>60</formula>
    </cfRule>
  </conditionalFormatting>
  <conditionalFormatting sqref="BM71">
    <cfRule type="cellIs" dxfId="1601" priority="1661" operator="between">
      <formula>8</formula>
      <formula>60</formula>
    </cfRule>
  </conditionalFormatting>
  <conditionalFormatting sqref="CE71">
    <cfRule type="cellIs" dxfId="1600" priority="1660" operator="between">
      <formula>-0.04</formula>
      <formula>-1</formula>
    </cfRule>
  </conditionalFormatting>
  <conditionalFormatting sqref="CE70">
    <cfRule type="cellIs" dxfId="1599" priority="1658" operator="between">
      <formula>-0.04</formula>
      <formula>-1</formula>
    </cfRule>
  </conditionalFormatting>
  <conditionalFormatting sqref="CE69">
    <cfRule type="cellIs" dxfId="1598" priority="1656" operator="between">
      <formula>-0.04</formula>
      <formula>-1</formula>
    </cfRule>
  </conditionalFormatting>
  <conditionalFormatting sqref="BM78">
    <cfRule type="cellIs" dxfId="1597" priority="1655" operator="between">
      <formula>8</formula>
      <formula>60</formula>
    </cfRule>
  </conditionalFormatting>
  <conditionalFormatting sqref="BM412">
    <cfRule type="cellIs" dxfId="1596" priority="1649" operator="between">
      <formula>8</formula>
      <formula>60</formula>
    </cfRule>
  </conditionalFormatting>
  <conditionalFormatting sqref="CE415">
    <cfRule type="cellIs" dxfId="1595" priority="1654" operator="between">
      <formula>-0.04</formula>
      <formula>-1</formula>
    </cfRule>
  </conditionalFormatting>
  <conditionalFormatting sqref="CE412">
    <cfRule type="cellIs" dxfId="1594" priority="1648" operator="between">
      <formula>-0.04</formula>
      <formula>-1</formula>
    </cfRule>
  </conditionalFormatting>
  <conditionalFormatting sqref="CE411">
    <cfRule type="cellIs" dxfId="1593" priority="1646" operator="between">
      <formula>-0.04</formula>
      <formula>-1</formula>
    </cfRule>
  </conditionalFormatting>
  <conditionalFormatting sqref="BM411">
    <cfRule type="cellIs" dxfId="1592" priority="1647" operator="between">
      <formula>8</formula>
      <formula>60</formula>
    </cfRule>
  </conditionalFormatting>
  <conditionalFormatting sqref="BM414">
    <cfRule type="cellIs" dxfId="1591" priority="1653" operator="between">
      <formula>8</formula>
      <formula>60</formula>
    </cfRule>
  </conditionalFormatting>
  <conditionalFormatting sqref="CE414">
    <cfRule type="cellIs" dxfId="1590" priority="1652" operator="between">
      <formula>-0.04</formula>
      <formula>-1</formula>
    </cfRule>
  </conditionalFormatting>
  <conditionalFormatting sqref="BM413">
    <cfRule type="cellIs" dxfId="1589" priority="1651" operator="between">
      <formula>8</formula>
      <formula>60</formula>
    </cfRule>
  </conditionalFormatting>
  <conditionalFormatting sqref="CE413">
    <cfRule type="cellIs" dxfId="1588" priority="1650" operator="between">
      <formula>-0.04</formula>
      <formula>-1</formula>
    </cfRule>
  </conditionalFormatting>
  <conditionalFormatting sqref="BM410:BM413">
    <cfRule type="cellIs" dxfId="1587" priority="1645" operator="between">
      <formula>8</formula>
      <formula>60</formula>
    </cfRule>
  </conditionalFormatting>
  <conditionalFormatting sqref="CE410">
    <cfRule type="cellIs" dxfId="1586" priority="1644" operator="between">
      <formula>-0.04</formula>
      <formula>-1</formula>
    </cfRule>
  </conditionalFormatting>
  <conditionalFormatting sqref="BM415">
    <cfRule type="cellIs" dxfId="1585" priority="1643" operator="between">
      <formula>8</formula>
      <formula>60</formula>
    </cfRule>
  </conditionalFormatting>
  <conditionalFormatting sqref="BM79">
    <cfRule type="cellIs" dxfId="1584" priority="1642" operator="between">
      <formula>8</formula>
      <formula>60</formula>
    </cfRule>
  </conditionalFormatting>
  <conditionalFormatting sqref="CE79">
    <cfRule type="cellIs" dxfId="1583" priority="1641" operator="between">
      <formula>-0.04</formula>
      <formula>-1</formula>
    </cfRule>
  </conditionalFormatting>
  <conditionalFormatting sqref="CE83">
    <cfRule type="cellIs" dxfId="1582" priority="1640" operator="between">
      <formula>-0.04</formula>
      <formula>-1</formula>
    </cfRule>
  </conditionalFormatting>
  <conditionalFormatting sqref="BM82">
    <cfRule type="cellIs" dxfId="1581" priority="1639" operator="between">
      <formula>8</formula>
      <formula>60</formula>
    </cfRule>
  </conditionalFormatting>
  <conditionalFormatting sqref="CE82">
    <cfRule type="cellIs" dxfId="1580" priority="1638" operator="between">
      <formula>-0.04</formula>
      <formula>-1</formula>
    </cfRule>
  </conditionalFormatting>
  <conditionalFormatting sqref="BM81">
    <cfRule type="cellIs" dxfId="1579" priority="1637" operator="between">
      <formula>8</formula>
      <formula>60</formula>
    </cfRule>
  </conditionalFormatting>
  <conditionalFormatting sqref="CE81">
    <cfRule type="cellIs" dxfId="1578" priority="1636" operator="between">
      <formula>-0.04</formula>
      <formula>-1</formula>
    </cfRule>
  </conditionalFormatting>
  <conditionalFormatting sqref="CE80">
    <cfRule type="cellIs" dxfId="1577" priority="1635" operator="between">
      <formula>-0.04</formula>
      <formula>-1</formula>
    </cfRule>
  </conditionalFormatting>
  <conditionalFormatting sqref="BM80">
    <cfRule type="cellIs" dxfId="1576" priority="1634" operator="between">
      <formula>8</formula>
      <formula>60</formula>
    </cfRule>
  </conditionalFormatting>
  <conditionalFormatting sqref="BM83">
    <cfRule type="cellIs" dxfId="1575" priority="1633" operator="between">
      <formula>8</formula>
      <formula>60</formula>
    </cfRule>
  </conditionalFormatting>
  <conditionalFormatting sqref="BM267">
    <cfRule type="cellIs" dxfId="1574" priority="1632" operator="between">
      <formula>8</formula>
      <formula>60</formula>
    </cfRule>
  </conditionalFormatting>
  <conditionalFormatting sqref="CE267">
    <cfRule type="cellIs" dxfId="1573" priority="1631" operator="between">
      <formula>-0.04</formula>
      <formula>-1</formula>
    </cfRule>
  </conditionalFormatting>
  <conditionalFormatting sqref="BM265:BM267">
    <cfRule type="cellIs" dxfId="1572" priority="1628" operator="between">
      <formula>8</formula>
      <formula>60</formula>
    </cfRule>
  </conditionalFormatting>
  <conditionalFormatting sqref="BM266">
    <cfRule type="cellIs" dxfId="1571" priority="1630" operator="between">
      <formula>8</formula>
      <formula>60</formula>
    </cfRule>
  </conditionalFormatting>
  <conditionalFormatting sqref="CE266">
    <cfRule type="cellIs" dxfId="1570" priority="1629" operator="between">
      <formula>-0.04</formula>
      <formula>-1</formula>
    </cfRule>
  </conditionalFormatting>
  <conditionalFormatting sqref="CE265">
    <cfRule type="cellIs" dxfId="1569" priority="1627" operator="between">
      <formula>-0.04</formula>
      <formula>-1</formula>
    </cfRule>
  </conditionalFormatting>
  <conditionalFormatting sqref="BM1476">
    <cfRule type="cellIs" dxfId="1568" priority="1617" operator="between">
      <formula>8</formula>
      <formula>60</formula>
    </cfRule>
  </conditionalFormatting>
  <conditionalFormatting sqref="CE1476">
    <cfRule type="cellIs" dxfId="1567" priority="1616" operator="between">
      <formula>-0.04</formula>
      <formula>-1</formula>
    </cfRule>
  </conditionalFormatting>
  <conditionalFormatting sqref="CE1478">
    <cfRule type="cellIs" dxfId="1566" priority="1620" operator="between">
      <formula>-0.04</formula>
      <formula>-1</formula>
    </cfRule>
  </conditionalFormatting>
  <conditionalFormatting sqref="BM1477">
    <cfRule type="cellIs" dxfId="1565" priority="1619" operator="between">
      <formula>8</formula>
      <formula>60</formula>
    </cfRule>
  </conditionalFormatting>
  <conditionalFormatting sqref="CE1477">
    <cfRule type="cellIs" dxfId="1564" priority="1618" operator="between">
      <formula>-0.04</formula>
      <formula>-1</formula>
    </cfRule>
  </conditionalFormatting>
  <conditionalFormatting sqref="BM1475">
    <cfRule type="cellIs" dxfId="1563" priority="1615" operator="between">
      <formula>8</formula>
      <formula>60</formula>
    </cfRule>
  </conditionalFormatting>
  <conditionalFormatting sqref="CE1475">
    <cfRule type="cellIs" dxfId="1562" priority="1614" operator="between">
      <formula>-0.04</formula>
      <formula>-1</formula>
    </cfRule>
  </conditionalFormatting>
  <conditionalFormatting sqref="BM1474">
    <cfRule type="cellIs" dxfId="1561" priority="1613" operator="between">
      <formula>8</formula>
      <formula>60</formula>
    </cfRule>
  </conditionalFormatting>
  <conditionalFormatting sqref="CE1474">
    <cfRule type="cellIs" dxfId="1560" priority="1612" operator="between">
      <formula>-0.04</formula>
      <formula>-1</formula>
    </cfRule>
  </conditionalFormatting>
  <conditionalFormatting sqref="BM1473:BM1477">
    <cfRule type="cellIs" dxfId="1559" priority="1611" operator="between">
      <formula>8</formula>
      <formula>60</formula>
    </cfRule>
  </conditionalFormatting>
  <conditionalFormatting sqref="CE1473">
    <cfRule type="cellIs" dxfId="1558" priority="1610" operator="between">
      <formula>-0.04</formula>
      <formula>-1</formula>
    </cfRule>
  </conditionalFormatting>
  <conditionalFormatting sqref="BM1478">
    <cfRule type="cellIs" dxfId="1557" priority="1609" operator="between">
      <formula>8</formula>
      <formula>60</formula>
    </cfRule>
  </conditionalFormatting>
  <conditionalFormatting sqref="BM1478">
    <cfRule type="cellIs" dxfId="1556" priority="1608" operator="between">
      <formula>8</formula>
      <formula>60</formula>
    </cfRule>
  </conditionalFormatting>
  <conditionalFormatting sqref="BM1579:BM1582">
    <cfRule type="cellIs" dxfId="1555" priority="1607" operator="between">
      <formula>8</formula>
      <formula>60</formula>
    </cfRule>
  </conditionalFormatting>
  <conditionalFormatting sqref="CE1579">
    <cfRule type="cellIs" dxfId="1554" priority="1606" operator="between">
      <formula>-0.04</formula>
      <formula>-1</formula>
    </cfRule>
  </conditionalFormatting>
  <conditionalFormatting sqref="BM1582">
    <cfRule type="cellIs" dxfId="1553" priority="1601" operator="between">
      <formula>8</formula>
      <formula>60</formula>
    </cfRule>
  </conditionalFormatting>
  <conditionalFormatting sqref="BM1581">
    <cfRule type="cellIs" dxfId="1552" priority="1605" operator="between">
      <formula>8</formula>
      <formula>60</formula>
    </cfRule>
  </conditionalFormatting>
  <conditionalFormatting sqref="BM1580">
    <cfRule type="cellIs" dxfId="1551" priority="1603" operator="between">
      <formula>8</formula>
      <formula>60</formula>
    </cfRule>
  </conditionalFormatting>
  <conditionalFormatting sqref="CE1581">
    <cfRule type="cellIs" dxfId="1550" priority="1604" operator="between">
      <formula>-0.04</formula>
      <formula>-1</formula>
    </cfRule>
  </conditionalFormatting>
  <conditionalFormatting sqref="CE1580">
    <cfRule type="cellIs" dxfId="1549" priority="1602" operator="between">
      <formula>-0.04</formula>
      <formula>-1</formula>
    </cfRule>
  </conditionalFormatting>
  <conditionalFormatting sqref="CE1582">
    <cfRule type="cellIs" dxfId="1548" priority="1600" operator="between">
      <formula>-0.04</formula>
      <formula>-1</formula>
    </cfRule>
  </conditionalFormatting>
  <conditionalFormatting sqref="BM1006">
    <cfRule type="cellIs" dxfId="1547" priority="1599" operator="between">
      <formula>8</formula>
      <formula>60</formula>
    </cfRule>
  </conditionalFormatting>
  <conditionalFormatting sqref="CE1006">
    <cfRule type="cellIs" dxfId="1546" priority="1598" operator="between">
      <formula>-0.04</formula>
      <formula>-1</formula>
    </cfRule>
  </conditionalFormatting>
  <conditionalFormatting sqref="BM1007">
    <cfRule type="cellIs" dxfId="1545" priority="1597" operator="between">
      <formula>8</formula>
      <formula>60</formula>
    </cfRule>
  </conditionalFormatting>
  <conditionalFormatting sqref="CE1007">
    <cfRule type="cellIs" dxfId="1544" priority="1596" operator="between">
      <formula>-0.04</formula>
      <formula>-1</formula>
    </cfRule>
  </conditionalFormatting>
  <conditionalFormatting sqref="BM1000">
    <cfRule type="cellIs" dxfId="1543" priority="1595" operator="between">
      <formula>8</formula>
      <formula>60</formula>
    </cfRule>
  </conditionalFormatting>
  <conditionalFormatting sqref="CE1000">
    <cfRule type="cellIs" dxfId="1542" priority="1594" operator="between">
      <formula>-0.04</formula>
      <formula>-1</formula>
    </cfRule>
  </conditionalFormatting>
  <conditionalFormatting sqref="BM1004">
    <cfRule type="cellIs" dxfId="1541" priority="1593" operator="between">
      <formula>8</formula>
      <formula>60</formula>
    </cfRule>
  </conditionalFormatting>
  <conditionalFormatting sqref="CE1004:CE1005">
    <cfRule type="cellIs" dxfId="1540" priority="1592" operator="between">
      <formula>-0.04</formula>
      <formula>-1</formula>
    </cfRule>
  </conditionalFormatting>
  <conditionalFormatting sqref="BM1001">
    <cfRule type="cellIs" dxfId="1539" priority="1588" operator="between">
      <formula>8</formula>
      <formula>60</formula>
    </cfRule>
  </conditionalFormatting>
  <conditionalFormatting sqref="BM1002">
    <cfRule type="cellIs" dxfId="1538" priority="1591" operator="between">
      <formula>8</formula>
      <formula>60</formula>
    </cfRule>
  </conditionalFormatting>
  <conditionalFormatting sqref="CE1001:CE1002">
    <cfRule type="cellIs" dxfId="1537" priority="1590" operator="between">
      <formula>-0.04</formula>
      <formula>-1</formula>
    </cfRule>
  </conditionalFormatting>
  <conditionalFormatting sqref="CE1003">
    <cfRule type="cellIs" dxfId="1536" priority="1589" operator="between">
      <formula>-0.04</formula>
      <formula>-1</formula>
    </cfRule>
  </conditionalFormatting>
  <conditionalFormatting sqref="BM1003">
    <cfRule type="cellIs" dxfId="1535" priority="1587" operator="between">
      <formula>8</formula>
      <formula>60</formula>
    </cfRule>
  </conditionalFormatting>
  <conditionalFormatting sqref="BM1005">
    <cfRule type="cellIs" dxfId="1534" priority="1586" operator="between">
      <formula>8</formula>
      <formula>60</formula>
    </cfRule>
  </conditionalFormatting>
  <conditionalFormatting sqref="CE1625">
    <cfRule type="cellIs" dxfId="1533" priority="1585" operator="between">
      <formula>-0.04</formula>
      <formula>-1</formula>
    </cfRule>
  </conditionalFormatting>
  <conditionalFormatting sqref="CE1626">
    <cfRule type="cellIs" dxfId="1532" priority="1584" operator="between">
      <formula>-0.04</formula>
      <formula>-1</formula>
    </cfRule>
  </conditionalFormatting>
  <conditionalFormatting sqref="BM1625">
    <cfRule type="cellIs" dxfId="1531" priority="1583" operator="between">
      <formula>8</formula>
      <formula>60</formula>
    </cfRule>
  </conditionalFormatting>
  <conditionalFormatting sqref="BM1626">
    <cfRule type="cellIs" dxfId="1530" priority="1582" operator="between">
      <formula>8</formula>
      <formula>60</formula>
    </cfRule>
  </conditionalFormatting>
  <conditionalFormatting sqref="BM1480">
    <cfRule type="cellIs" dxfId="1529" priority="1579" operator="between">
      <formula>8</formula>
      <formula>60</formula>
    </cfRule>
  </conditionalFormatting>
  <conditionalFormatting sqref="CE1480">
    <cfRule type="cellIs" dxfId="1528" priority="1578" operator="between">
      <formula>-0.04</formula>
      <formula>-1</formula>
    </cfRule>
  </conditionalFormatting>
  <conditionalFormatting sqref="BM1481">
    <cfRule type="cellIs" dxfId="1527" priority="1581" operator="between">
      <formula>8</formula>
      <formula>60</formula>
    </cfRule>
  </conditionalFormatting>
  <conditionalFormatting sqref="CE1481">
    <cfRule type="cellIs" dxfId="1526" priority="1580" operator="between">
      <formula>-0.04</formula>
      <formula>-1</formula>
    </cfRule>
  </conditionalFormatting>
  <conditionalFormatting sqref="BM1479:BM1484 BM1486:BM1487 BM1489:BM1491">
    <cfRule type="cellIs" dxfId="1525" priority="1577" operator="between">
      <formula>8</formula>
      <formula>60</formula>
    </cfRule>
  </conditionalFormatting>
  <conditionalFormatting sqref="CE1479">
    <cfRule type="cellIs" dxfId="1524" priority="1576" operator="between">
      <formula>-0.04</formula>
      <formula>-1</formula>
    </cfRule>
  </conditionalFormatting>
  <conditionalFormatting sqref="BM1491">
    <cfRule type="cellIs" dxfId="1523" priority="1575" operator="between">
      <formula>8</formula>
      <formula>60</formula>
    </cfRule>
  </conditionalFormatting>
  <conditionalFormatting sqref="CE1491">
    <cfRule type="cellIs" dxfId="1522" priority="1574" operator="between">
      <formula>-0.04</formula>
      <formula>-1</formula>
    </cfRule>
  </conditionalFormatting>
  <conditionalFormatting sqref="BM1490">
    <cfRule type="cellIs" dxfId="1521" priority="1573" operator="between">
      <formula>8</formula>
      <formula>60</formula>
    </cfRule>
  </conditionalFormatting>
  <conditionalFormatting sqref="CE1490">
    <cfRule type="cellIs" dxfId="1520" priority="1572" operator="between">
      <formula>-0.04</formula>
      <formula>-1</formula>
    </cfRule>
  </conditionalFormatting>
  <conditionalFormatting sqref="BM1486">
    <cfRule type="cellIs" dxfId="1519" priority="1567" operator="between">
      <formula>8</formula>
      <formula>60</formula>
    </cfRule>
  </conditionalFormatting>
  <conditionalFormatting sqref="CE1486">
    <cfRule type="cellIs" dxfId="1518" priority="1566" operator="between">
      <formula>-0.04</formula>
      <formula>-1</formula>
    </cfRule>
  </conditionalFormatting>
  <conditionalFormatting sqref="BM1489">
    <cfRule type="cellIs" dxfId="1517" priority="1571" operator="between">
      <formula>8</formula>
      <formula>60</formula>
    </cfRule>
  </conditionalFormatting>
  <conditionalFormatting sqref="CE1489">
    <cfRule type="cellIs" dxfId="1516" priority="1570" operator="between">
      <formula>-0.04</formula>
      <formula>-1</formula>
    </cfRule>
  </conditionalFormatting>
  <conditionalFormatting sqref="BM1487">
    <cfRule type="cellIs" dxfId="1515" priority="1569" operator="between">
      <formula>8</formula>
      <formula>60</formula>
    </cfRule>
  </conditionalFormatting>
  <conditionalFormatting sqref="CE1487">
    <cfRule type="cellIs" dxfId="1514" priority="1568" operator="between">
      <formula>-0.04</formula>
      <formula>-1</formula>
    </cfRule>
  </conditionalFormatting>
  <conditionalFormatting sqref="BM1484">
    <cfRule type="cellIs" dxfId="1513" priority="1565" operator="between">
      <formula>8</formula>
      <formula>60</formula>
    </cfRule>
  </conditionalFormatting>
  <conditionalFormatting sqref="CE1484">
    <cfRule type="cellIs" dxfId="1512" priority="1564" operator="between">
      <formula>-0.04</formula>
      <formula>-1</formula>
    </cfRule>
  </conditionalFormatting>
  <conditionalFormatting sqref="BM1483">
    <cfRule type="cellIs" dxfId="1511" priority="1563" operator="between">
      <formula>8</formula>
      <formula>60</formula>
    </cfRule>
  </conditionalFormatting>
  <conditionalFormatting sqref="CE1483">
    <cfRule type="cellIs" dxfId="1510" priority="1562" operator="between">
      <formula>-0.04</formula>
      <formula>-1</formula>
    </cfRule>
  </conditionalFormatting>
  <conditionalFormatting sqref="BM1482">
    <cfRule type="cellIs" dxfId="1509" priority="1561" operator="between">
      <formula>8</formula>
      <formula>60</formula>
    </cfRule>
  </conditionalFormatting>
  <conditionalFormatting sqref="CE1482">
    <cfRule type="cellIs" dxfId="1508" priority="1560" operator="between">
      <formula>-0.04</formula>
      <formula>-1</formula>
    </cfRule>
  </conditionalFormatting>
  <conditionalFormatting sqref="BM1485">
    <cfRule type="cellIs" dxfId="1507" priority="1559" operator="between">
      <formula>8</formula>
      <formula>60</formula>
    </cfRule>
  </conditionalFormatting>
  <conditionalFormatting sqref="BM1485">
    <cfRule type="cellIs" dxfId="1506" priority="1558" operator="between">
      <formula>8</formula>
      <formula>60</formula>
    </cfRule>
  </conditionalFormatting>
  <conditionalFormatting sqref="CE1485">
    <cfRule type="cellIs" dxfId="1505" priority="1557" operator="between">
      <formula>-0.04</formula>
      <formula>-1</formula>
    </cfRule>
  </conditionalFormatting>
  <conditionalFormatting sqref="BM1488">
    <cfRule type="cellIs" dxfId="1504" priority="1556" operator="between">
      <formula>8</formula>
      <formula>60</formula>
    </cfRule>
  </conditionalFormatting>
  <conditionalFormatting sqref="BM1488">
    <cfRule type="cellIs" dxfId="1503" priority="1555" operator="between">
      <formula>8</formula>
      <formula>60</formula>
    </cfRule>
  </conditionalFormatting>
  <conditionalFormatting sqref="CE1488">
    <cfRule type="cellIs" dxfId="1502" priority="1554" operator="between">
      <formula>-0.04</formula>
      <formula>-1</formula>
    </cfRule>
  </conditionalFormatting>
  <conditionalFormatting sqref="BM117">
    <cfRule type="cellIs" dxfId="1501" priority="1553" operator="between">
      <formula>8</formula>
      <formula>60</formula>
    </cfRule>
  </conditionalFormatting>
  <conditionalFormatting sqref="CE117">
    <cfRule type="cellIs" dxfId="1500" priority="1552" operator="between">
      <formula>-0.04</formula>
      <formula>-1</formula>
    </cfRule>
  </conditionalFormatting>
  <conditionalFormatting sqref="BM115:BM117">
    <cfRule type="cellIs" dxfId="1499" priority="1549" operator="between">
      <formula>8</formula>
      <formula>60</formula>
    </cfRule>
  </conditionalFormatting>
  <conditionalFormatting sqref="BM116">
    <cfRule type="cellIs" dxfId="1498" priority="1551" operator="between">
      <formula>8</formula>
      <formula>60</formula>
    </cfRule>
  </conditionalFormatting>
  <conditionalFormatting sqref="CE116">
    <cfRule type="cellIs" dxfId="1497" priority="1550" operator="between">
      <formula>-0.04</formula>
      <formula>-1</formula>
    </cfRule>
  </conditionalFormatting>
  <conditionalFormatting sqref="CE115">
    <cfRule type="cellIs" dxfId="1496" priority="1548" operator="between">
      <formula>-0.04</formula>
      <formula>-1</formula>
    </cfRule>
  </conditionalFormatting>
  <conditionalFormatting sqref="BM268:BM270">
    <cfRule type="cellIs" dxfId="1495" priority="1547" operator="between">
      <formula>8</formula>
      <formula>60</formula>
    </cfRule>
  </conditionalFormatting>
  <conditionalFormatting sqref="CE268">
    <cfRule type="cellIs" dxfId="1494" priority="1546" operator="between">
      <formula>-0.04</formula>
      <formula>-1</formula>
    </cfRule>
  </conditionalFormatting>
  <conditionalFormatting sqref="BM270">
    <cfRule type="cellIs" dxfId="1493" priority="1545" operator="between">
      <formula>8</formula>
      <formula>60</formula>
    </cfRule>
  </conditionalFormatting>
  <conditionalFormatting sqref="CE270">
    <cfRule type="cellIs" dxfId="1492" priority="1544" operator="between">
      <formula>-0.04</formula>
      <formula>-1</formula>
    </cfRule>
  </conditionalFormatting>
  <conditionalFormatting sqref="BM269">
    <cfRule type="cellIs" dxfId="1491" priority="1543" operator="between">
      <formula>8</formula>
      <formula>60</formula>
    </cfRule>
  </conditionalFormatting>
  <conditionalFormatting sqref="CE269">
    <cfRule type="cellIs" dxfId="1490" priority="1542" operator="between">
      <formula>-0.04</formula>
      <formula>-1</formula>
    </cfRule>
  </conditionalFormatting>
  <conditionalFormatting sqref="CE298">
    <cfRule type="cellIs" dxfId="1489" priority="1541" operator="between">
      <formula>-0.04</formula>
      <formula>-1</formula>
    </cfRule>
  </conditionalFormatting>
  <conditionalFormatting sqref="CE297">
    <cfRule type="cellIs" dxfId="1488" priority="1539" operator="between">
      <formula>-0.04</formula>
      <formula>-1</formula>
    </cfRule>
  </conditionalFormatting>
  <conditionalFormatting sqref="BM294">
    <cfRule type="cellIs" dxfId="1487" priority="1534" operator="between">
      <formula>8</formula>
      <formula>60</formula>
    </cfRule>
  </conditionalFormatting>
  <conditionalFormatting sqref="BM296">
    <cfRule type="cellIs" dxfId="1486" priority="1538" operator="between">
      <formula>8</formula>
      <formula>60</formula>
    </cfRule>
  </conditionalFormatting>
  <conditionalFormatting sqref="CE296">
    <cfRule type="cellIs" dxfId="1485" priority="1537" operator="between">
      <formula>-0.04</formula>
      <formula>-1</formula>
    </cfRule>
  </conditionalFormatting>
  <conditionalFormatting sqref="BM295">
    <cfRule type="cellIs" dxfId="1484" priority="1536" operator="between">
      <formula>8</formula>
      <formula>60</formula>
    </cfRule>
  </conditionalFormatting>
  <conditionalFormatting sqref="CE294">
    <cfRule type="cellIs" dxfId="1483" priority="1533" operator="between">
      <formula>-0.04</formula>
      <formula>-1</formula>
    </cfRule>
  </conditionalFormatting>
  <conditionalFormatting sqref="BM293">
    <cfRule type="cellIs" dxfId="1482" priority="1532" operator="between">
      <formula>8</formula>
      <formula>60</formula>
    </cfRule>
  </conditionalFormatting>
  <conditionalFormatting sqref="CE293">
    <cfRule type="cellIs" dxfId="1481" priority="1531" operator="between">
      <formula>-0.04</formula>
      <formula>-1</formula>
    </cfRule>
  </conditionalFormatting>
  <conditionalFormatting sqref="BM292">
    <cfRule type="cellIs" dxfId="1480" priority="1530" operator="between">
      <formula>8</formula>
      <formula>60</formula>
    </cfRule>
  </conditionalFormatting>
  <conditionalFormatting sqref="CE292">
    <cfRule type="cellIs" dxfId="1479" priority="1529" operator="between">
      <formula>-0.04</formula>
      <formula>-1</formula>
    </cfRule>
  </conditionalFormatting>
  <conditionalFormatting sqref="BM297">
    <cfRule type="cellIs" dxfId="1478" priority="1540" operator="between">
      <formula>8</formula>
      <formula>60</formula>
    </cfRule>
  </conditionalFormatting>
  <conditionalFormatting sqref="CE295">
    <cfRule type="cellIs" dxfId="1477" priority="1535" operator="between">
      <formula>-0.04</formula>
      <formula>-1</formula>
    </cfRule>
  </conditionalFormatting>
  <conditionalFormatting sqref="BM291:BM296">
    <cfRule type="cellIs" dxfId="1476" priority="1528" operator="between">
      <formula>8</formula>
      <formula>60</formula>
    </cfRule>
  </conditionalFormatting>
  <conditionalFormatting sqref="CE291">
    <cfRule type="cellIs" dxfId="1475" priority="1527" operator="between">
      <formula>-0.04</formula>
      <formula>-1</formula>
    </cfRule>
  </conditionalFormatting>
  <conditionalFormatting sqref="BM298">
    <cfRule type="cellIs" dxfId="1474" priority="1526" operator="between">
      <formula>8</formula>
      <formula>60</formula>
    </cfRule>
  </conditionalFormatting>
  <conditionalFormatting sqref="BM299">
    <cfRule type="cellIs" dxfId="1473" priority="1525" operator="between">
      <formula>8</formula>
      <formula>60</formula>
    </cfRule>
  </conditionalFormatting>
  <conditionalFormatting sqref="CE299">
    <cfRule type="cellIs" dxfId="1472" priority="1524" operator="between">
      <formula>-0.04</formula>
      <formula>-1</formula>
    </cfRule>
  </conditionalFormatting>
  <conditionalFormatting sqref="CE272">
    <cfRule type="cellIs" dxfId="1471" priority="1523" operator="between">
      <formula>-0.04</formula>
      <formula>-1</formula>
    </cfRule>
  </conditionalFormatting>
  <conditionalFormatting sqref="BM271">
    <cfRule type="cellIs" dxfId="1470" priority="1522" operator="between">
      <formula>8</formula>
      <formula>60</formula>
    </cfRule>
  </conditionalFormatting>
  <conditionalFormatting sqref="CE271">
    <cfRule type="cellIs" dxfId="1469" priority="1521" operator="between">
      <formula>-0.04</formula>
      <formula>-1</formula>
    </cfRule>
  </conditionalFormatting>
  <conditionalFormatting sqref="BM272">
    <cfRule type="cellIs" dxfId="1468" priority="1520" operator="between">
      <formula>8</formula>
      <formula>60</formula>
    </cfRule>
  </conditionalFormatting>
  <conditionalFormatting sqref="BM273">
    <cfRule type="cellIs" dxfId="1467" priority="1519" operator="between">
      <formula>8</formula>
      <formula>60</formula>
    </cfRule>
  </conditionalFormatting>
  <conditionalFormatting sqref="CE273">
    <cfRule type="cellIs" dxfId="1466" priority="1518" operator="between">
      <formula>-0.04</formula>
      <formula>-1</formula>
    </cfRule>
  </conditionalFormatting>
  <conditionalFormatting sqref="BM1492">
    <cfRule type="cellIs" dxfId="1465" priority="1517" operator="between">
      <formula>8</formula>
      <formula>60</formula>
    </cfRule>
  </conditionalFormatting>
  <conditionalFormatting sqref="CE1492">
    <cfRule type="cellIs" dxfId="1464" priority="1516" operator="between">
      <formula>-0.04</formula>
      <formula>-1</formula>
    </cfRule>
  </conditionalFormatting>
  <conditionalFormatting sqref="CE1493:CE1495">
    <cfRule type="cellIs" dxfId="1463" priority="1515" operator="between">
      <formula>-0.04</formula>
      <formula>-1</formula>
    </cfRule>
  </conditionalFormatting>
  <conditionalFormatting sqref="BM1496">
    <cfRule type="cellIs" dxfId="1462" priority="1509" operator="between">
      <formula>8</formula>
      <formula>60</formula>
    </cfRule>
  </conditionalFormatting>
  <conditionalFormatting sqref="BM1493:BM1495">
    <cfRule type="cellIs" dxfId="1461" priority="1507" operator="between">
      <formula>8</formula>
      <formula>60</formula>
    </cfRule>
  </conditionalFormatting>
  <conditionalFormatting sqref="BM1583">
    <cfRule type="cellIs" dxfId="1460" priority="1504" operator="between">
      <formula>8</formula>
      <formula>60</formula>
    </cfRule>
  </conditionalFormatting>
  <conditionalFormatting sqref="CE1583:CE1587">
    <cfRule type="cellIs" dxfId="1459" priority="1503" operator="between">
      <formula>-0.04</formula>
      <formula>-1</formula>
    </cfRule>
  </conditionalFormatting>
  <conditionalFormatting sqref="BM1589">
    <cfRule type="cellIs" dxfId="1458" priority="1502" operator="between">
      <formula>8</formula>
      <formula>60</formula>
    </cfRule>
  </conditionalFormatting>
  <conditionalFormatting sqref="CE1588:CE1592">
    <cfRule type="cellIs" dxfId="1457" priority="1501" operator="between">
      <formula>-0.04</formula>
      <formula>-1</formula>
    </cfRule>
  </conditionalFormatting>
  <conditionalFormatting sqref="BM1593 BM1596">
    <cfRule type="cellIs" dxfId="1456" priority="1500" operator="between">
      <formula>8</formula>
      <formula>60</formula>
    </cfRule>
  </conditionalFormatting>
  <conditionalFormatting sqref="CE1593:CE1597">
    <cfRule type="cellIs" dxfId="1455" priority="1499" operator="between">
      <formula>-0.04</formula>
      <formula>-1</formula>
    </cfRule>
  </conditionalFormatting>
  <conditionalFormatting sqref="BM1599">
    <cfRule type="cellIs" dxfId="1454" priority="1498" operator="between">
      <formula>8</formula>
      <formula>60</formula>
    </cfRule>
  </conditionalFormatting>
  <conditionalFormatting sqref="CE1598:CE1602">
    <cfRule type="cellIs" dxfId="1453" priority="1497" operator="between">
      <formula>-0.04</formula>
      <formula>-1</formula>
    </cfRule>
  </conditionalFormatting>
  <conditionalFormatting sqref="BM1584:BM1588">
    <cfRule type="cellIs" dxfId="1452" priority="1496" operator="between">
      <formula>8</formula>
      <formula>60</formula>
    </cfRule>
  </conditionalFormatting>
  <conditionalFormatting sqref="BM1590:BM1592">
    <cfRule type="cellIs" dxfId="1451" priority="1495" operator="between">
      <formula>8</formula>
      <formula>60</formula>
    </cfRule>
  </conditionalFormatting>
  <conditionalFormatting sqref="BM1594:BM1595">
    <cfRule type="cellIs" dxfId="1450" priority="1494" operator="between">
      <formula>8</formula>
      <formula>60</formula>
    </cfRule>
  </conditionalFormatting>
  <conditionalFormatting sqref="BM1597:BM1598">
    <cfRule type="cellIs" dxfId="1449" priority="1493" operator="between">
      <formula>8</formula>
      <formula>60</formula>
    </cfRule>
  </conditionalFormatting>
  <conditionalFormatting sqref="BM1603">
    <cfRule type="cellIs" dxfId="1448" priority="1492" operator="between">
      <formula>8</formula>
      <formula>60</formula>
    </cfRule>
  </conditionalFormatting>
  <conditionalFormatting sqref="CE1603">
    <cfRule type="cellIs" dxfId="1447" priority="1491" operator="between">
      <formula>-0.04</formula>
      <formula>-1</formula>
    </cfRule>
  </conditionalFormatting>
  <conditionalFormatting sqref="BM1605">
    <cfRule type="cellIs" dxfId="1446" priority="1490" operator="between">
      <formula>8</formula>
      <formula>60</formula>
    </cfRule>
  </conditionalFormatting>
  <conditionalFormatting sqref="CE1604:CE1605">
    <cfRule type="cellIs" dxfId="1445" priority="1489" operator="between">
      <formula>-0.04</formula>
      <formula>-1</formula>
    </cfRule>
  </conditionalFormatting>
  <conditionalFormatting sqref="BM1600:BM1602">
    <cfRule type="cellIs" dxfId="1444" priority="1488" operator="between">
      <formula>8</formula>
      <formula>60</formula>
    </cfRule>
  </conditionalFormatting>
  <conditionalFormatting sqref="BM1604">
    <cfRule type="cellIs" dxfId="1443" priority="1487" operator="between">
      <formula>8</formula>
      <formula>60</formula>
    </cfRule>
  </conditionalFormatting>
  <conditionalFormatting sqref="BM1627 BM1631">
    <cfRule type="cellIs" dxfId="1442" priority="1486" operator="between">
      <formula>8</formula>
      <formula>60</formula>
    </cfRule>
  </conditionalFormatting>
  <conditionalFormatting sqref="CE1627:CE1632">
    <cfRule type="cellIs" dxfId="1441" priority="1485" operator="between">
      <formula>-0.04</formula>
      <formula>-1</formula>
    </cfRule>
  </conditionalFormatting>
  <conditionalFormatting sqref="BM1628:BM1630">
    <cfRule type="cellIs" dxfId="1440" priority="1484" operator="between">
      <formula>8</formula>
      <formula>60</formula>
    </cfRule>
  </conditionalFormatting>
  <conditionalFormatting sqref="BM1632">
    <cfRule type="cellIs" dxfId="1439" priority="1483" operator="between">
      <formula>8</formula>
      <formula>60</formula>
    </cfRule>
  </conditionalFormatting>
  <conditionalFormatting sqref="BM1498">
    <cfRule type="cellIs" dxfId="1438" priority="1482" operator="between">
      <formula>8</formula>
      <formula>60</formula>
    </cfRule>
  </conditionalFormatting>
  <conditionalFormatting sqref="CE1498">
    <cfRule type="cellIs" dxfId="1437" priority="1481" operator="between">
      <formula>-0.04</formula>
      <formula>-1</formula>
    </cfRule>
  </conditionalFormatting>
  <conditionalFormatting sqref="BM1497:BM1499">
    <cfRule type="cellIs" dxfId="1436" priority="1480" operator="between">
      <formula>8</formula>
      <formula>60</formula>
    </cfRule>
  </conditionalFormatting>
  <conditionalFormatting sqref="CE1497">
    <cfRule type="cellIs" dxfId="1435" priority="1479" operator="between">
      <formula>-0.04</formula>
      <formula>-1</formula>
    </cfRule>
  </conditionalFormatting>
  <conditionalFormatting sqref="BM1499">
    <cfRule type="cellIs" dxfId="1434" priority="1476" operator="between">
      <formula>8</formula>
      <formula>60</formula>
    </cfRule>
  </conditionalFormatting>
  <conditionalFormatting sqref="CE1499">
    <cfRule type="cellIs" dxfId="1433" priority="1475" operator="between">
      <formula>-0.04</formula>
      <formula>-1</formula>
    </cfRule>
  </conditionalFormatting>
  <conditionalFormatting sqref="BM1500">
    <cfRule type="cellIs" dxfId="1432" priority="1478" operator="between">
      <formula>8</formula>
      <formula>60</formula>
    </cfRule>
  </conditionalFormatting>
  <conditionalFormatting sqref="CE1500">
    <cfRule type="cellIs" dxfId="1431" priority="1477" operator="between">
      <formula>-0.04</formula>
      <formula>-1</formula>
    </cfRule>
  </conditionalFormatting>
  <conditionalFormatting sqref="CE1501">
    <cfRule type="cellIs" dxfId="1430" priority="1474" operator="between">
      <formula>-0.04</formula>
      <formula>-1</formula>
    </cfRule>
  </conditionalFormatting>
  <conditionalFormatting sqref="BM1501">
    <cfRule type="cellIs" dxfId="1429" priority="1473" operator="between">
      <formula>8</formula>
      <formula>60</formula>
    </cfRule>
  </conditionalFormatting>
  <conditionalFormatting sqref="BM1633">
    <cfRule type="cellIs" dxfId="1428" priority="1472" operator="between">
      <formula>8</formula>
      <formula>60</formula>
    </cfRule>
  </conditionalFormatting>
  <conditionalFormatting sqref="CE1633:CE1634">
    <cfRule type="cellIs" dxfId="1427" priority="1471" operator="between">
      <formula>-0.04</formula>
      <formula>-1</formula>
    </cfRule>
  </conditionalFormatting>
  <conditionalFormatting sqref="BM1634">
    <cfRule type="cellIs" dxfId="1426" priority="1470" operator="between">
      <formula>8</formula>
      <formula>60</formula>
    </cfRule>
  </conditionalFormatting>
  <conditionalFormatting sqref="CE1635">
    <cfRule type="cellIs" dxfId="1425" priority="1469" operator="between">
      <formula>-0.04</formula>
      <formula>-1</formula>
    </cfRule>
  </conditionalFormatting>
  <conditionalFormatting sqref="BM1644">
    <cfRule type="cellIs" dxfId="1424" priority="1468" operator="between">
      <formula>8</formula>
      <formula>60</formula>
    </cfRule>
  </conditionalFormatting>
  <conditionalFormatting sqref="CE1644">
    <cfRule type="cellIs" dxfId="1423" priority="1467" operator="between">
      <formula>-0.04</formula>
      <formula>-1</formula>
    </cfRule>
  </conditionalFormatting>
  <conditionalFormatting sqref="BM1641:BM1643">
    <cfRule type="cellIs" dxfId="1422" priority="1466" operator="between">
      <formula>8</formula>
      <formula>60</formula>
    </cfRule>
  </conditionalFormatting>
  <conditionalFormatting sqref="CE1641:CE1643">
    <cfRule type="cellIs" dxfId="1421" priority="1465" operator="between">
      <formula>-0.04</formula>
      <formula>-1</formula>
    </cfRule>
  </conditionalFormatting>
  <conditionalFormatting sqref="BM1640">
    <cfRule type="cellIs" dxfId="1420" priority="1464" operator="between">
      <formula>8</formula>
      <formula>60</formula>
    </cfRule>
  </conditionalFormatting>
  <conditionalFormatting sqref="CE1640">
    <cfRule type="cellIs" dxfId="1419" priority="1463" operator="between">
      <formula>-0.04</formula>
      <formula>-1</formula>
    </cfRule>
  </conditionalFormatting>
  <conditionalFormatting sqref="BM1637:BM1644">
    <cfRule type="cellIs" dxfId="1418" priority="1462" operator="between">
      <formula>8</formula>
      <formula>60</formula>
    </cfRule>
  </conditionalFormatting>
  <conditionalFormatting sqref="CE1637:CE1639">
    <cfRule type="cellIs" dxfId="1417" priority="1461" operator="between">
      <formula>-0.04</formula>
      <formula>-1</formula>
    </cfRule>
  </conditionalFormatting>
  <conditionalFormatting sqref="BM1636">
    <cfRule type="cellIs" dxfId="1416" priority="1460" operator="between">
      <formula>8</formula>
      <formula>60</formula>
    </cfRule>
  </conditionalFormatting>
  <conditionalFormatting sqref="CE1636">
    <cfRule type="cellIs" dxfId="1415" priority="1459" operator="between">
      <formula>-0.04</formula>
      <formula>-1</formula>
    </cfRule>
  </conditionalFormatting>
  <conditionalFormatting sqref="BM1635:BM1638">
    <cfRule type="cellIs" dxfId="1414" priority="1458" operator="between">
      <formula>8</formula>
      <formula>60</formula>
    </cfRule>
  </conditionalFormatting>
  <conditionalFormatting sqref="CE1648">
    <cfRule type="cellIs" dxfId="1413" priority="1457" operator="between">
      <formula>-0.04</formula>
      <formula>-1</formula>
    </cfRule>
  </conditionalFormatting>
  <conditionalFormatting sqref="BM1645:BM1647">
    <cfRule type="cellIs" dxfId="1412" priority="1456" operator="between">
      <formula>8</formula>
      <formula>60</formula>
    </cfRule>
  </conditionalFormatting>
  <conditionalFormatting sqref="CE1645:CE1647">
    <cfRule type="cellIs" dxfId="1411" priority="1455" operator="between">
      <formula>-0.04</formula>
      <formula>-1</formula>
    </cfRule>
  </conditionalFormatting>
  <conditionalFormatting sqref="BM1648">
    <cfRule type="cellIs" dxfId="1410" priority="1454" operator="between">
      <formula>8</formula>
      <formula>60</formula>
    </cfRule>
  </conditionalFormatting>
  <conditionalFormatting sqref="BM1008">
    <cfRule type="cellIs" dxfId="1409" priority="1453" operator="between">
      <formula>8</formula>
      <formula>60</formula>
    </cfRule>
  </conditionalFormatting>
  <conditionalFormatting sqref="CE1008">
    <cfRule type="cellIs" dxfId="1408" priority="1452" operator="between">
      <formula>-0.04</formula>
      <formula>-1</formula>
    </cfRule>
  </conditionalFormatting>
  <conditionalFormatting sqref="BM1010:BM1011">
    <cfRule type="cellIs" dxfId="1407" priority="1451" operator="between">
      <formula>8</formula>
      <formula>60</formula>
    </cfRule>
  </conditionalFormatting>
  <conditionalFormatting sqref="CE1010:CE1011">
    <cfRule type="cellIs" dxfId="1406" priority="1450" operator="between">
      <formula>-0.04</formula>
      <formula>-1</formula>
    </cfRule>
  </conditionalFormatting>
  <conditionalFormatting sqref="CE1009">
    <cfRule type="cellIs" dxfId="1405" priority="1449" operator="between">
      <formula>-0.04</formula>
      <formula>-1</formula>
    </cfRule>
  </conditionalFormatting>
  <conditionalFormatting sqref="BM1009">
    <cfRule type="cellIs" dxfId="1404" priority="1448" operator="between">
      <formula>8</formula>
      <formula>60</formula>
    </cfRule>
  </conditionalFormatting>
  <conditionalFormatting sqref="BM1038:BM1040">
    <cfRule type="cellIs" dxfId="1403" priority="1447" operator="between">
      <formula>8</formula>
      <formula>60</formula>
    </cfRule>
  </conditionalFormatting>
  <conditionalFormatting sqref="CE1038">
    <cfRule type="cellIs" dxfId="1402" priority="1446" operator="between">
      <formula>-0.04</formula>
      <formula>-1</formula>
    </cfRule>
  </conditionalFormatting>
  <conditionalFormatting sqref="BM1040">
    <cfRule type="cellIs" dxfId="1401" priority="1445" operator="between">
      <formula>8</formula>
      <formula>60</formula>
    </cfRule>
  </conditionalFormatting>
  <conditionalFormatting sqref="CE1040">
    <cfRule type="cellIs" dxfId="1400" priority="1444" operator="between">
      <formula>-0.04</formula>
      <formula>-1</formula>
    </cfRule>
  </conditionalFormatting>
  <conditionalFormatting sqref="BM1039">
    <cfRule type="cellIs" dxfId="1399" priority="1443" operator="between">
      <formula>8</formula>
      <formula>60</formula>
    </cfRule>
  </conditionalFormatting>
  <conditionalFormatting sqref="CE1039">
    <cfRule type="cellIs" dxfId="1398" priority="1442" operator="between">
      <formula>-0.04</formula>
      <formula>-1</formula>
    </cfRule>
  </conditionalFormatting>
  <conditionalFormatting sqref="BM274">
    <cfRule type="cellIs" dxfId="1397" priority="1441" operator="between">
      <formula>8</formula>
      <formula>60</formula>
    </cfRule>
  </conditionalFormatting>
  <conditionalFormatting sqref="CE274">
    <cfRule type="cellIs" dxfId="1396" priority="1440" operator="between">
      <formula>-0.04</formula>
      <formula>-1</formula>
    </cfRule>
  </conditionalFormatting>
  <conditionalFormatting sqref="CE275">
    <cfRule type="cellIs" dxfId="1395" priority="1439" operator="between">
      <formula>-0.04</formula>
      <formula>-1</formula>
    </cfRule>
  </conditionalFormatting>
  <conditionalFormatting sqref="BM275">
    <cfRule type="cellIs" dxfId="1394" priority="1438" operator="between">
      <formula>8</formula>
      <formula>60</formula>
    </cfRule>
  </conditionalFormatting>
  <conditionalFormatting sqref="BM1012">
    <cfRule type="cellIs" dxfId="1393" priority="1437" operator="between">
      <formula>8</formula>
      <formula>60</formula>
    </cfRule>
  </conditionalFormatting>
  <conditionalFormatting sqref="CE1012">
    <cfRule type="cellIs" dxfId="1392" priority="1436" operator="between">
      <formula>-0.04</formula>
      <formula>-1</formula>
    </cfRule>
  </conditionalFormatting>
  <conditionalFormatting sqref="BM1013">
    <cfRule type="cellIs" dxfId="1391" priority="1435" operator="between">
      <formula>8</formula>
      <formula>60</formula>
    </cfRule>
  </conditionalFormatting>
  <conditionalFormatting sqref="CE1013">
    <cfRule type="cellIs" dxfId="1390" priority="1434" operator="between">
      <formula>-0.04</formula>
      <formula>-1</formula>
    </cfRule>
  </conditionalFormatting>
  <conditionalFormatting sqref="BM1272">
    <cfRule type="cellIs" dxfId="1389" priority="1426" operator="between">
      <formula>8</formula>
      <formula>60</formula>
    </cfRule>
  </conditionalFormatting>
  <conditionalFormatting sqref="CE1272">
    <cfRule type="cellIs" dxfId="1388" priority="1433" operator="between">
      <formula>-0.04</formula>
      <formula>-1</formula>
    </cfRule>
  </conditionalFormatting>
  <conditionalFormatting sqref="BM1300">
    <cfRule type="cellIs" dxfId="1387" priority="1432" operator="between">
      <formula>8</formula>
      <formula>60</formula>
    </cfRule>
  </conditionalFormatting>
  <conditionalFormatting sqref="CE1300">
    <cfRule type="cellIs" dxfId="1386" priority="1431" operator="between">
      <formula>-0.04</formula>
      <formula>-1</formula>
    </cfRule>
  </conditionalFormatting>
  <conditionalFormatting sqref="CE1299">
    <cfRule type="cellIs" dxfId="1385" priority="1429" operator="between">
      <formula>-0.04</formula>
      <formula>-1</formula>
    </cfRule>
  </conditionalFormatting>
  <conditionalFormatting sqref="BM1299">
    <cfRule type="cellIs" dxfId="1384" priority="1430" operator="between">
      <formula>8</formula>
      <formula>60</formula>
    </cfRule>
  </conditionalFormatting>
  <conditionalFormatting sqref="BM1273">
    <cfRule type="cellIs" dxfId="1383" priority="1428" operator="between">
      <formula>8</formula>
      <formula>60</formula>
    </cfRule>
  </conditionalFormatting>
  <conditionalFormatting sqref="CE1273">
    <cfRule type="cellIs" dxfId="1382" priority="1427" operator="between">
      <formula>-0.04</formula>
      <formula>-1</formula>
    </cfRule>
  </conditionalFormatting>
  <conditionalFormatting sqref="CE1271">
    <cfRule type="cellIs" dxfId="1381" priority="1424" operator="between">
      <formula>-0.04</formula>
      <formula>-1</formula>
    </cfRule>
  </conditionalFormatting>
  <conditionalFormatting sqref="BM1271:BM1273">
    <cfRule type="cellIs" dxfId="1380" priority="1425" operator="between">
      <formula>8</formula>
      <formula>60</formula>
    </cfRule>
  </conditionalFormatting>
  <conditionalFormatting sqref="CE1268">
    <cfRule type="cellIs" dxfId="1379" priority="1420" operator="between">
      <formula>-0.04</formula>
      <formula>-1</formula>
    </cfRule>
  </conditionalFormatting>
  <conditionalFormatting sqref="BM1268:BM1269">
    <cfRule type="cellIs" dxfId="1378" priority="1421" operator="between">
      <formula>8</formula>
      <formula>60</formula>
    </cfRule>
  </conditionalFormatting>
  <conditionalFormatting sqref="CE1279">
    <cfRule type="cellIs" dxfId="1377" priority="1419" operator="between">
      <formula>-0.04</formula>
      <formula>-1</formula>
    </cfRule>
  </conditionalFormatting>
  <conditionalFormatting sqref="CE1298">
    <cfRule type="cellIs" dxfId="1376" priority="1417" operator="between">
      <formula>-0.04</formula>
      <formula>-1</formula>
    </cfRule>
  </conditionalFormatting>
  <conditionalFormatting sqref="BM1298:BM1300">
    <cfRule type="cellIs" dxfId="1375" priority="1418" operator="between">
      <formula>8</formula>
      <formula>60</formula>
    </cfRule>
  </conditionalFormatting>
  <conditionalFormatting sqref="BM1282:BM1297">
    <cfRule type="cellIs" dxfId="1374" priority="1416" operator="between">
      <formula>8</formula>
      <formula>60</formula>
    </cfRule>
  </conditionalFormatting>
  <conditionalFormatting sqref="CE1282:CE1284">
    <cfRule type="cellIs" dxfId="1373" priority="1415" operator="between">
      <formula>-0.04</formula>
      <formula>-1</formula>
    </cfRule>
  </conditionalFormatting>
  <conditionalFormatting sqref="CE1281">
    <cfRule type="cellIs" dxfId="1372" priority="1413" operator="between">
      <formula>-0.04</formula>
      <formula>-1</formula>
    </cfRule>
  </conditionalFormatting>
  <conditionalFormatting sqref="BM1281:BM1283">
    <cfRule type="cellIs" dxfId="1371" priority="1414" operator="between">
      <formula>8</formula>
      <formula>60</formula>
    </cfRule>
  </conditionalFormatting>
  <conditionalFormatting sqref="BM1279">
    <cfRule type="cellIs" dxfId="1370" priority="1410" operator="between">
      <formula>8</formula>
      <formula>60</formula>
    </cfRule>
  </conditionalFormatting>
  <conditionalFormatting sqref="BM1280">
    <cfRule type="cellIs" dxfId="1369" priority="1412" operator="between">
      <formula>8</formula>
      <formula>60</formula>
    </cfRule>
  </conditionalFormatting>
  <conditionalFormatting sqref="CE1280">
    <cfRule type="cellIs" dxfId="1368" priority="1411" operator="between">
      <formula>-0.04</formula>
      <formula>-1</formula>
    </cfRule>
  </conditionalFormatting>
  <conditionalFormatting sqref="CE1278">
    <cfRule type="cellIs" dxfId="1367" priority="1408" operator="between">
      <formula>-0.04</formula>
      <formula>-1</formula>
    </cfRule>
  </conditionalFormatting>
  <conditionalFormatting sqref="BM1278">
    <cfRule type="cellIs" dxfId="1366" priority="1409" operator="between">
      <formula>8</formula>
      <formula>60</formula>
    </cfRule>
  </conditionalFormatting>
  <conditionalFormatting sqref="BM1276:BM1278">
    <cfRule type="cellIs" dxfId="1365" priority="1407" operator="between">
      <formula>8</formula>
      <formula>60</formula>
    </cfRule>
  </conditionalFormatting>
  <conditionalFormatting sqref="CE1275:CE1277">
    <cfRule type="cellIs" dxfId="1364" priority="1406" operator="between">
      <formula>-0.04</formula>
      <formula>-1</formula>
    </cfRule>
  </conditionalFormatting>
  <conditionalFormatting sqref="CE1274">
    <cfRule type="cellIs" dxfId="1363" priority="1404" operator="between">
      <formula>-0.04</formula>
      <formula>-1</formula>
    </cfRule>
  </conditionalFormatting>
  <conditionalFormatting sqref="BM1274">
    <cfRule type="cellIs" dxfId="1362" priority="1405" operator="between">
      <formula>8</formula>
      <formula>60</formula>
    </cfRule>
  </conditionalFormatting>
  <conditionalFormatting sqref="BM1275">
    <cfRule type="cellIs" dxfId="1361" priority="1403" operator="between">
      <formula>8</formula>
      <formula>60</formula>
    </cfRule>
  </conditionalFormatting>
  <conditionalFormatting sqref="CE1291">
    <cfRule type="cellIs" dxfId="1360" priority="1402" operator="between">
      <formula>-0.04</formula>
      <formula>-1</formula>
    </cfRule>
  </conditionalFormatting>
  <conditionalFormatting sqref="CE1297">
    <cfRule type="cellIs" dxfId="1359" priority="1400" operator="between">
      <formula>-0.04</formula>
      <formula>-1</formula>
    </cfRule>
  </conditionalFormatting>
  <conditionalFormatting sqref="BM1297">
    <cfRule type="cellIs" dxfId="1358" priority="1401" operator="between">
      <formula>8</formula>
      <formula>60</formula>
    </cfRule>
  </conditionalFormatting>
  <conditionalFormatting sqref="BM1294:BM1296">
    <cfRule type="cellIs" dxfId="1357" priority="1399" operator="between">
      <formula>8</formula>
      <formula>60</formula>
    </cfRule>
  </conditionalFormatting>
  <conditionalFormatting sqref="CE1294:CE1296">
    <cfRule type="cellIs" dxfId="1356" priority="1398" operator="between">
      <formula>-0.04</formula>
      <formula>-1</formula>
    </cfRule>
  </conditionalFormatting>
  <conditionalFormatting sqref="CE1293">
    <cfRule type="cellIs" dxfId="1355" priority="1396" operator="between">
      <formula>-0.04</formula>
      <formula>-1</formula>
    </cfRule>
  </conditionalFormatting>
  <conditionalFormatting sqref="BM1293">
    <cfRule type="cellIs" dxfId="1354" priority="1397" operator="between">
      <formula>8</formula>
      <formula>60</formula>
    </cfRule>
  </conditionalFormatting>
  <conditionalFormatting sqref="BM1291">
    <cfRule type="cellIs" dxfId="1353" priority="1393" operator="between">
      <formula>8</formula>
      <formula>60</formula>
    </cfRule>
  </conditionalFormatting>
  <conditionalFormatting sqref="BM1292">
    <cfRule type="cellIs" dxfId="1352" priority="1395" operator="between">
      <formula>8</formula>
      <formula>60</formula>
    </cfRule>
  </conditionalFormatting>
  <conditionalFormatting sqref="CE1292">
    <cfRule type="cellIs" dxfId="1351" priority="1394" operator="between">
      <formula>-0.04</formula>
      <formula>-1</formula>
    </cfRule>
  </conditionalFormatting>
  <conditionalFormatting sqref="CE1290">
    <cfRule type="cellIs" dxfId="1350" priority="1391" operator="between">
      <formula>-0.04</formula>
      <formula>-1</formula>
    </cfRule>
  </conditionalFormatting>
  <conditionalFormatting sqref="BM1290">
    <cfRule type="cellIs" dxfId="1349" priority="1392" operator="between">
      <formula>8</formula>
      <formula>60</formula>
    </cfRule>
  </conditionalFormatting>
  <conditionalFormatting sqref="BM1287:BM1289">
    <cfRule type="cellIs" dxfId="1348" priority="1390" operator="between">
      <formula>8</formula>
      <formula>60</formula>
    </cfRule>
  </conditionalFormatting>
  <conditionalFormatting sqref="CE1287:CE1289">
    <cfRule type="cellIs" dxfId="1347" priority="1389" operator="between">
      <formula>-0.04</formula>
      <formula>-1</formula>
    </cfRule>
  </conditionalFormatting>
  <conditionalFormatting sqref="CE1286">
    <cfRule type="cellIs" dxfId="1346" priority="1387" operator="between">
      <formula>-0.04</formula>
      <formula>-1</formula>
    </cfRule>
  </conditionalFormatting>
  <conditionalFormatting sqref="BM1286">
    <cfRule type="cellIs" dxfId="1345" priority="1388" operator="between">
      <formula>8</formula>
      <formula>60</formula>
    </cfRule>
  </conditionalFormatting>
  <conditionalFormatting sqref="CE1285">
    <cfRule type="cellIs" dxfId="1344" priority="1385" operator="between">
      <formula>-0.04</formula>
      <formula>-1</formula>
    </cfRule>
  </conditionalFormatting>
  <conditionalFormatting sqref="BM1285">
    <cfRule type="cellIs" dxfId="1343" priority="1386" operator="between">
      <formula>8</formula>
      <formula>60</formula>
    </cfRule>
  </conditionalFormatting>
  <conditionalFormatting sqref="BM276">
    <cfRule type="cellIs" dxfId="1342" priority="1384" operator="between">
      <formula>8</formula>
      <formula>60</formula>
    </cfRule>
  </conditionalFormatting>
  <conditionalFormatting sqref="CE276">
    <cfRule type="cellIs" dxfId="1341" priority="1383" operator="between">
      <formula>-0.04</formula>
      <formula>-1</formula>
    </cfRule>
  </conditionalFormatting>
  <conditionalFormatting sqref="BM787">
    <cfRule type="cellIs" dxfId="1340" priority="1379" operator="between">
      <formula>8</formula>
      <formula>60</formula>
    </cfRule>
  </conditionalFormatting>
  <conditionalFormatting sqref="CE787">
    <cfRule type="cellIs" dxfId="1339" priority="1378" operator="between">
      <formula>-0.04</formula>
      <formula>-1</formula>
    </cfRule>
  </conditionalFormatting>
  <conditionalFormatting sqref="CE788">
    <cfRule type="cellIs" dxfId="1338" priority="1382" operator="between">
      <formula>-0.04</formula>
      <formula>-1</formula>
    </cfRule>
  </conditionalFormatting>
  <conditionalFormatting sqref="BM786">
    <cfRule type="cellIs" dxfId="1337" priority="1381" operator="between">
      <formula>8</formula>
      <formula>60</formula>
    </cfRule>
  </conditionalFormatting>
  <conditionalFormatting sqref="CE786">
    <cfRule type="cellIs" dxfId="1336" priority="1380" operator="between">
      <formula>-0.04</formula>
      <formula>-1</formula>
    </cfRule>
  </conditionalFormatting>
  <conditionalFormatting sqref="BM788">
    <cfRule type="cellIs" dxfId="1335" priority="1377" operator="between">
      <formula>8</formula>
      <formula>60</formula>
    </cfRule>
  </conditionalFormatting>
  <conditionalFormatting sqref="BM684">
    <cfRule type="cellIs" dxfId="1334" priority="1373" operator="between">
      <formula>8</formula>
      <formula>60</formula>
    </cfRule>
  </conditionalFormatting>
  <conditionalFormatting sqref="CE685">
    <cfRule type="cellIs" dxfId="1333" priority="1374" operator="between">
      <formula>-0.04</formula>
      <formula>-1</formula>
    </cfRule>
  </conditionalFormatting>
  <conditionalFormatting sqref="CE684">
    <cfRule type="cellIs" dxfId="1332" priority="1372" operator="between">
      <formula>-0.04</formula>
      <formula>-1</formula>
    </cfRule>
  </conditionalFormatting>
  <conditionalFormatting sqref="BM686">
    <cfRule type="cellIs" dxfId="1331" priority="1376" operator="between">
      <formula>8</formula>
      <formula>60</formula>
    </cfRule>
  </conditionalFormatting>
  <conditionalFormatting sqref="CE686">
    <cfRule type="cellIs" dxfId="1330" priority="1375" operator="between">
      <formula>-0.04</formula>
      <formula>-1</formula>
    </cfRule>
  </conditionalFormatting>
  <conditionalFormatting sqref="BM688">
    <cfRule type="cellIs" dxfId="1329" priority="1367" operator="between">
      <formula>8</formula>
      <formula>60</formula>
    </cfRule>
  </conditionalFormatting>
  <conditionalFormatting sqref="BM687">
    <cfRule type="cellIs" dxfId="1328" priority="1369" operator="between">
      <formula>8</formula>
      <formula>60</formula>
    </cfRule>
  </conditionalFormatting>
  <conditionalFormatting sqref="CE687">
    <cfRule type="cellIs" dxfId="1327" priority="1368" operator="between">
      <formula>-0.04</formula>
      <formula>-1</formula>
    </cfRule>
  </conditionalFormatting>
  <conditionalFormatting sqref="BM685">
    <cfRule type="cellIs" dxfId="1326" priority="1371" operator="between">
      <formula>8</formula>
      <formula>60</formula>
    </cfRule>
  </conditionalFormatting>
  <conditionalFormatting sqref="CE688">
    <cfRule type="cellIs" dxfId="1325" priority="1370" operator="between">
      <formula>-0.04</formula>
      <formula>-1</formula>
    </cfRule>
  </conditionalFormatting>
  <conditionalFormatting sqref="CE426">
    <cfRule type="cellIs" dxfId="1324" priority="1365" operator="between">
      <formula>-0.04</formula>
      <formula>-1</formula>
    </cfRule>
  </conditionalFormatting>
  <conditionalFormatting sqref="BM424:BM426">
    <cfRule type="cellIs" dxfId="1323" priority="1362" operator="between">
      <formula>8</formula>
      <formula>60</formula>
    </cfRule>
  </conditionalFormatting>
  <conditionalFormatting sqref="CE425">
    <cfRule type="cellIs" dxfId="1322" priority="1363" operator="between">
      <formula>-0.04</formula>
      <formula>-1</formula>
    </cfRule>
  </conditionalFormatting>
  <conditionalFormatting sqref="BM423">
    <cfRule type="cellIs" dxfId="1321" priority="1360" operator="between">
      <formula>8</formula>
      <formula>60</formula>
    </cfRule>
  </conditionalFormatting>
  <conditionalFormatting sqref="BM426">
    <cfRule type="cellIs" dxfId="1320" priority="1366" operator="between">
      <formula>8</formula>
      <formula>60</formula>
    </cfRule>
  </conditionalFormatting>
  <conditionalFormatting sqref="BM425">
    <cfRule type="cellIs" dxfId="1319" priority="1364" operator="between">
      <formula>8</formula>
      <formula>60</formula>
    </cfRule>
  </conditionalFormatting>
  <conditionalFormatting sqref="CE423">
    <cfRule type="cellIs" dxfId="1318" priority="1359" operator="between">
      <formula>-0.04</formula>
      <formula>-1</formula>
    </cfRule>
  </conditionalFormatting>
  <conditionalFormatting sqref="CE424">
    <cfRule type="cellIs" dxfId="1317" priority="1361" operator="between">
      <formula>-0.04</formula>
      <formula>-1</formula>
    </cfRule>
  </conditionalFormatting>
  <conditionalFormatting sqref="BM421:BM423">
    <cfRule type="cellIs" dxfId="1316" priority="1356" operator="between">
      <formula>8</formula>
      <formula>60</formula>
    </cfRule>
  </conditionalFormatting>
  <conditionalFormatting sqref="CE421">
    <cfRule type="cellIs" dxfId="1315" priority="1355" operator="between">
      <formula>-0.04</formula>
      <formula>-1</formula>
    </cfRule>
  </conditionalFormatting>
  <conditionalFormatting sqref="BM422">
    <cfRule type="cellIs" dxfId="1314" priority="1358" operator="between">
      <formula>8</formula>
      <formula>60</formula>
    </cfRule>
  </conditionalFormatting>
  <conditionalFormatting sqref="CE422">
    <cfRule type="cellIs" dxfId="1313" priority="1357" operator="between">
      <formula>-0.04</formula>
      <formula>-1</formula>
    </cfRule>
  </conditionalFormatting>
  <conditionalFormatting sqref="BM420">
    <cfRule type="cellIs" dxfId="1312" priority="1354" operator="between">
      <formula>8</formula>
      <formula>60</formula>
    </cfRule>
  </conditionalFormatting>
  <conditionalFormatting sqref="CE420">
    <cfRule type="cellIs" dxfId="1311" priority="1353" operator="between">
      <formula>-0.04</formula>
      <formula>-1</formula>
    </cfRule>
  </conditionalFormatting>
  <conditionalFormatting sqref="BM418:BM420">
    <cfRule type="cellIs" dxfId="1310" priority="1350" operator="between">
      <formula>8</formula>
      <formula>60</formula>
    </cfRule>
  </conditionalFormatting>
  <conditionalFormatting sqref="CE417">
    <cfRule type="cellIs" dxfId="1309" priority="1348" operator="between">
      <formula>-0.04</formula>
      <formula>-1</formula>
    </cfRule>
  </conditionalFormatting>
  <conditionalFormatting sqref="CE416">
    <cfRule type="cellIs" dxfId="1308" priority="1346" operator="between">
      <formula>-0.04</formula>
      <formula>-1</formula>
    </cfRule>
  </conditionalFormatting>
  <conditionalFormatting sqref="BM419">
    <cfRule type="cellIs" dxfId="1307" priority="1352" operator="between">
      <formula>8</formula>
      <formula>60</formula>
    </cfRule>
  </conditionalFormatting>
  <conditionalFormatting sqref="CE419">
    <cfRule type="cellIs" dxfId="1306" priority="1351" operator="between">
      <formula>-0.04</formula>
      <formula>-1</formula>
    </cfRule>
  </conditionalFormatting>
  <conditionalFormatting sqref="CE418">
    <cfRule type="cellIs" dxfId="1305" priority="1349" operator="between">
      <formula>-0.04</formula>
      <formula>-1</formula>
    </cfRule>
  </conditionalFormatting>
  <conditionalFormatting sqref="BM416">
    <cfRule type="cellIs" dxfId="1304" priority="1347" operator="between">
      <formula>8</formula>
      <formula>60</formula>
    </cfRule>
  </conditionalFormatting>
  <conditionalFormatting sqref="BM417">
    <cfRule type="cellIs" dxfId="1303" priority="1345" operator="between">
      <formula>8</formula>
      <formula>60</formula>
    </cfRule>
  </conditionalFormatting>
  <conditionalFormatting sqref="BM431">
    <cfRule type="cellIs" dxfId="1302" priority="1344" operator="between">
      <formula>8</formula>
      <formula>60</formula>
    </cfRule>
  </conditionalFormatting>
  <conditionalFormatting sqref="BM430">
    <cfRule type="cellIs" dxfId="1301" priority="1342" operator="between">
      <formula>8</formula>
      <formula>60</formula>
    </cfRule>
  </conditionalFormatting>
  <conditionalFormatting sqref="CE430">
    <cfRule type="cellIs" dxfId="1300" priority="1341" operator="between">
      <formula>-0.04</formula>
      <formula>-1</formula>
    </cfRule>
  </conditionalFormatting>
  <conditionalFormatting sqref="CE431">
    <cfRule type="cellIs" dxfId="1299" priority="1343" operator="between">
      <formula>-0.04</formula>
      <formula>-1</formula>
    </cfRule>
  </conditionalFormatting>
  <conditionalFormatting sqref="BM429">
    <cfRule type="cellIs" dxfId="1298" priority="1340" operator="between">
      <formula>8</formula>
      <formula>60</formula>
    </cfRule>
  </conditionalFormatting>
  <conditionalFormatting sqref="CE429">
    <cfRule type="cellIs" dxfId="1297" priority="1339" operator="between">
      <formula>-0.04</formula>
      <formula>-1</formula>
    </cfRule>
  </conditionalFormatting>
  <conditionalFormatting sqref="CE428">
    <cfRule type="cellIs" dxfId="1296" priority="1337" operator="between">
      <formula>-0.04</formula>
      <formula>-1</formula>
    </cfRule>
  </conditionalFormatting>
  <conditionalFormatting sqref="CE427">
    <cfRule type="cellIs" dxfId="1295" priority="1335" operator="between">
      <formula>-0.04</formula>
      <formula>-1</formula>
    </cfRule>
  </conditionalFormatting>
  <conditionalFormatting sqref="BM428">
    <cfRule type="cellIs" dxfId="1294" priority="1338" operator="between">
      <formula>8</formula>
      <formula>60</formula>
    </cfRule>
  </conditionalFormatting>
  <conditionalFormatting sqref="BM427:BM431">
    <cfRule type="cellIs" dxfId="1293" priority="1336" operator="between">
      <formula>8</formula>
      <formula>60</formula>
    </cfRule>
  </conditionalFormatting>
  <conditionalFormatting sqref="CE554">
    <cfRule type="cellIs" dxfId="1292" priority="1310" operator="between">
      <formula>-0.04</formula>
      <formula>-1</formula>
    </cfRule>
  </conditionalFormatting>
  <conditionalFormatting sqref="BM544">
    <cfRule type="cellIs" dxfId="1291" priority="1314" operator="between">
      <formula>8</formula>
      <formula>60</formula>
    </cfRule>
  </conditionalFormatting>
  <conditionalFormatting sqref="CE545">
    <cfRule type="cellIs" dxfId="1290" priority="1315" operator="between">
      <formula>-0.04</formula>
      <formula>-1</formula>
    </cfRule>
  </conditionalFormatting>
  <conditionalFormatting sqref="BM543:BM545">
    <cfRule type="cellIs" dxfId="1289" priority="1312" operator="between">
      <formula>8</formula>
      <formula>60</formula>
    </cfRule>
  </conditionalFormatting>
  <conditionalFormatting sqref="BM545">
    <cfRule type="cellIs" dxfId="1288" priority="1316" operator="between">
      <formula>8</formula>
      <formula>60</formula>
    </cfRule>
  </conditionalFormatting>
  <conditionalFormatting sqref="CE543">
    <cfRule type="cellIs" dxfId="1287" priority="1311" operator="between">
      <formula>-0.04</formula>
      <formula>-1</formula>
    </cfRule>
  </conditionalFormatting>
  <conditionalFormatting sqref="CE544">
    <cfRule type="cellIs" dxfId="1286" priority="1313" operator="between">
      <formula>-0.04</formula>
      <formula>-1</formula>
    </cfRule>
  </conditionalFormatting>
  <conditionalFormatting sqref="BM547">
    <cfRule type="cellIs" dxfId="1285" priority="1300" operator="between">
      <formula>8</formula>
      <formula>60</formula>
    </cfRule>
  </conditionalFormatting>
  <conditionalFormatting sqref="CE547">
    <cfRule type="cellIs" dxfId="1284" priority="1299" operator="between">
      <formula>-0.04</formula>
      <formula>-1</formula>
    </cfRule>
  </conditionalFormatting>
  <conditionalFormatting sqref="BM548">
    <cfRule type="cellIs" dxfId="1283" priority="1298" operator="between">
      <formula>8</formula>
      <formula>60</formula>
    </cfRule>
  </conditionalFormatting>
  <conditionalFormatting sqref="CE548">
    <cfRule type="cellIs" dxfId="1282" priority="1297" operator="between">
      <formula>-0.04</formula>
      <formula>-1</formula>
    </cfRule>
  </conditionalFormatting>
  <conditionalFormatting sqref="BM553">
    <cfRule type="cellIs" dxfId="1281" priority="1309" operator="between">
      <formula>8</formula>
      <formula>60</formula>
    </cfRule>
  </conditionalFormatting>
  <conditionalFormatting sqref="CE553">
    <cfRule type="cellIs" dxfId="1280" priority="1308" operator="between">
      <formula>-0.04</formula>
      <formula>-1</formula>
    </cfRule>
  </conditionalFormatting>
  <conditionalFormatting sqref="BM549">
    <cfRule type="cellIs" dxfId="1279" priority="1302" operator="between">
      <formula>8</formula>
      <formula>60</formula>
    </cfRule>
  </conditionalFormatting>
  <conditionalFormatting sqref="CE549">
    <cfRule type="cellIs" dxfId="1278" priority="1301" operator="between">
      <formula>-0.04</formula>
      <formula>-1</formula>
    </cfRule>
  </conditionalFormatting>
  <conditionalFormatting sqref="CE552">
    <cfRule type="cellIs" dxfId="1277" priority="1307" operator="between">
      <formula>-0.04</formula>
      <formula>-1</formula>
    </cfRule>
  </conditionalFormatting>
  <conditionalFormatting sqref="CE551">
    <cfRule type="cellIs" dxfId="1276" priority="1305" operator="between">
      <formula>-0.04</formula>
      <formula>-1</formula>
    </cfRule>
  </conditionalFormatting>
  <conditionalFormatting sqref="BM551">
    <cfRule type="cellIs" dxfId="1275" priority="1306" operator="between">
      <formula>8</formula>
      <formula>60</formula>
    </cfRule>
  </conditionalFormatting>
  <conditionalFormatting sqref="BM550">
    <cfRule type="cellIs" dxfId="1274" priority="1304" operator="between">
      <formula>8</formula>
      <formula>60</formula>
    </cfRule>
  </conditionalFormatting>
  <conditionalFormatting sqref="CE550">
    <cfRule type="cellIs" dxfId="1273" priority="1303" operator="between">
      <formula>-0.04</formula>
      <formula>-1</formula>
    </cfRule>
  </conditionalFormatting>
  <conditionalFormatting sqref="BM546:BM549">
    <cfRule type="cellIs" dxfId="1272" priority="1296" operator="between">
      <formula>8</formula>
      <formula>60</formula>
    </cfRule>
  </conditionalFormatting>
  <conditionalFormatting sqref="CE546">
    <cfRule type="cellIs" dxfId="1271" priority="1295" operator="between">
      <formula>-0.04</formula>
      <formula>-1</formula>
    </cfRule>
  </conditionalFormatting>
  <conditionalFormatting sqref="BM552">
    <cfRule type="cellIs" dxfId="1270" priority="1294" operator="between">
      <formula>8</formula>
      <formula>60</formula>
    </cfRule>
  </conditionalFormatting>
  <conditionalFormatting sqref="BM554">
    <cfRule type="cellIs" dxfId="1269" priority="1293" operator="between">
      <formula>8</formula>
      <formula>60</formula>
    </cfRule>
  </conditionalFormatting>
  <conditionalFormatting sqref="BM637">
    <cfRule type="cellIs" dxfId="1268" priority="1292" operator="between">
      <formula>8</formula>
      <formula>60</formula>
    </cfRule>
  </conditionalFormatting>
  <conditionalFormatting sqref="CE637">
    <cfRule type="cellIs" dxfId="1267" priority="1291" operator="between">
      <formula>-0.04</formula>
      <formula>-1</formula>
    </cfRule>
  </conditionalFormatting>
  <conditionalFormatting sqref="CE638:CE639">
    <cfRule type="cellIs" dxfId="1266" priority="1290" operator="between">
      <formula>-0.04</formula>
      <formula>-1</formula>
    </cfRule>
  </conditionalFormatting>
  <conditionalFormatting sqref="BM638">
    <cfRule type="cellIs" dxfId="1265" priority="1288" operator="between">
      <formula>8</formula>
      <formula>60</formula>
    </cfRule>
  </conditionalFormatting>
  <conditionalFormatting sqref="BM639">
    <cfRule type="cellIs" dxfId="1264" priority="1289" operator="between">
      <formula>8</formula>
      <formula>60</formula>
    </cfRule>
  </conditionalFormatting>
  <conditionalFormatting sqref="BM84">
    <cfRule type="cellIs" dxfId="1263" priority="1286" operator="between">
      <formula>8</formula>
      <formula>60</formula>
    </cfRule>
  </conditionalFormatting>
  <conditionalFormatting sqref="CE85">
    <cfRule type="cellIs" dxfId="1262" priority="1287" operator="between">
      <formula>-0.04</formula>
      <formula>-1</formula>
    </cfRule>
  </conditionalFormatting>
  <conditionalFormatting sqref="CE84">
    <cfRule type="cellIs" dxfId="1261" priority="1285" operator="between">
      <formula>-0.04</formula>
      <formula>-1</formula>
    </cfRule>
  </conditionalFormatting>
  <conditionalFormatting sqref="BM85">
    <cfRule type="cellIs" dxfId="1260" priority="1284" operator="between">
      <formula>8</formula>
      <formula>60</formula>
    </cfRule>
  </conditionalFormatting>
  <conditionalFormatting sqref="BM1133">
    <cfRule type="cellIs" dxfId="1259" priority="1279" operator="between">
      <formula>8</formula>
      <formula>60</formula>
    </cfRule>
  </conditionalFormatting>
  <conditionalFormatting sqref="BM1134">
    <cfRule type="cellIs" dxfId="1258" priority="1283" operator="between">
      <formula>8</formula>
      <formula>60</formula>
    </cfRule>
  </conditionalFormatting>
  <conditionalFormatting sqref="CE1134">
    <cfRule type="cellIs" dxfId="1257" priority="1282" operator="between">
      <formula>-0.04</formula>
      <formula>-1</formula>
    </cfRule>
  </conditionalFormatting>
  <conditionalFormatting sqref="BM1132:BM1136">
    <cfRule type="cellIs" dxfId="1256" priority="1281" operator="between">
      <formula>8</formula>
      <formula>60</formula>
    </cfRule>
  </conditionalFormatting>
  <conditionalFormatting sqref="CE1132">
    <cfRule type="cellIs" dxfId="1255" priority="1280" operator="between">
      <formula>-0.04</formula>
      <formula>-1</formula>
    </cfRule>
  </conditionalFormatting>
  <conditionalFormatting sqref="CE1133">
    <cfRule type="cellIs" dxfId="1254" priority="1278" operator="between">
      <formula>-0.04</formula>
      <formula>-1</formula>
    </cfRule>
  </conditionalFormatting>
  <conditionalFormatting sqref="BM1135">
    <cfRule type="cellIs" dxfId="1253" priority="1277" operator="between">
      <formula>8</formula>
      <formula>60</formula>
    </cfRule>
  </conditionalFormatting>
  <conditionalFormatting sqref="CE1135">
    <cfRule type="cellIs" dxfId="1252" priority="1276" operator="between">
      <formula>-0.04</formula>
      <formula>-1</formula>
    </cfRule>
  </conditionalFormatting>
  <conditionalFormatting sqref="BM1136">
    <cfRule type="cellIs" dxfId="1251" priority="1275" operator="between">
      <formula>8</formula>
      <formula>60</formula>
    </cfRule>
  </conditionalFormatting>
  <conditionalFormatting sqref="CE1136">
    <cfRule type="cellIs" dxfId="1250" priority="1274" operator="between">
      <formula>-0.04</formula>
      <formula>-1</formula>
    </cfRule>
  </conditionalFormatting>
  <conditionalFormatting sqref="BM1142:BM1145">
    <cfRule type="cellIs" dxfId="1249" priority="1267" operator="between">
      <formula>8</formula>
      <formula>60</formula>
    </cfRule>
  </conditionalFormatting>
  <conditionalFormatting sqref="BM1144">
    <cfRule type="cellIs" dxfId="1248" priority="1273" operator="between">
      <formula>8</formula>
      <formula>60</formula>
    </cfRule>
  </conditionalFormatting>
  <conditionalFormatting sqref="CE1144">
    <cfRule type="cellIs" dxfId="1247" priority="1272" operator="between">
      <formula>-0.04</formula>
      <formula>-1</formula>
    </cfRule>
  </conditionalFormatting>
  <conditionalFormatting sqref="BM1141">
    <cfRule type="cellIs" dxfId="1246" priority="1257" operator="between">
      <formula>8</formula>
      <formula>60</formula>
    </cfRule>
  </conditionalFormatting>
  <conditionalFormatting sqref="BM1143">
    <cfRule type="cellIs" dxfId="1245" priority="1271" operator="between">
      <formula>8</formula>
      <formula>60</formula>
    </cfRule>
  </conditionalFormatting>
  <conditionalFormatting sqref="CE1143">
    <cfRule type="cellIs" dxfId="1244" priority="1270" operator="between">
      <formula>-0.04</formula>
      <formula>-1</formula>
    </cfRule>
  </conditionalFormatting>
  <conditionalFormatting sqref="BM1140">
    <cfRule type="cellIs" dxfId="1243" priority="1261" operator="between">
      <formula>8</formula>
      <formula>60</formula>
    </cfRule>
  </conditionalFormatting>
  <conditionalFormatting sqref="BM1145">
    <cfRule type="cellIs" dxfId="1242" priority="1269" operator="between">
      <formula>8</formula>
      <formula>60</formula>
    </cfRule>
  </conditionalFormatting>
  <conditionalFormatting sqref="CE1145">
    <cfRule type="cellIs" dxfId="1241" priority="1268" operator="between">
      <formula>-0.04</formula>
      <formula>-1</formula>
    </cfRule>
  </conditionalFormatting>
  <conditionalFormatting sqref="BM1147">
    <cfRule type="cellIs" dxfId="1240" priority="1239" operator="between">
      <formula>8</formula>
      <formula>60</formula>
    </cfRule>
  </conditionalFormatting>
  <conditionalFormatting sqref="CE1142">
    <cfRule type="cellIs" dxfId="1239" priority="1266" operator="between">
      <formula>-0.04</formula>
      <formula>-1</formula>
    </cfRule>
  </conditionalFormatting>
  <conditionalFormatting sqref="BM1138">
    <cfRule type="cellIs" dxfId="1238" priority="1265" operator="between">
      <formula>8</formula>
      <formula>60</formula>
    </cfRule>
  </conditionalFormatting>
  <conditionalFormatting sqref="CE1138">
    <cfRule type="cellIs" dxfId="1237" priority="1264" operator="between">
      <formula>-0.04</formula>
      <formula>-1</formula>
    </cfRule>
  </conditionalFormatting>
  <conditionalFormatting sqref="BM1137:BM1141">
    <cfRule type="cellIs" dxfId="1236" priority="1263" operator="between">
      <formula>8</formula>
      <formula>60</formula>
    </cfRule>
  </conditionalFormatting>
  <conditionalFormatting sqref="CE1137">
    <cfRule type="cellIs" dxfId="1235" priority="1262" operator="between">
      <formula>-0.04</formula>
      <formula>-1</formula>
    </cfRule>
  </conditionalFormatting>
  <conditionalFormatting sqref="CE1140">
    <cfRule type="cellIs" dxfId="1234" priority="1260" operator="between">
      <formula>-0.04</formula>
      <formula>-1</formula>
    </cfRule>
  </conditionalFormatting>
  <conditionalFormatting sqref="BM1139">
    <cfRule type="cellIs" dxfId="1233" priority="1259" operator="between">
      <formula>8</formula>
      <formula>60</formula>
    </cfRule>
  </conditionalFormatting>
  <conditionalFormatting sqref="CE1139">
    <cfRule type="cellIs" dxfId="1232" priority="1258" operator="between">
      <formula>-0.04</formula>
      <formula>-1</formula>
    </cfRule>
  </conditionalFormatting>
  <conditionalFormatting sqref="CE1141">
    <cfRule type="cellIs" dxfId="1231" priority="1256" operator="between">
      <formula>-0.04</formula>
      <formula>-1</formula>
    </cfRule>
  </conditionalFormatting>
  <conditionalFormatting sqref="BM1153">
    <cfRule type="cellIs" dxfId="1230" priority="1255" operator="between">
      <formula>8</formula>
      <formula>60</formula>
    </cfRule>
  </conditionalFormatting>
  <conditionalFormatting sqref="CE1153">
    <cfRule type="cellIs" dxfId="1229" priority="1254" operator="between">
      <formula>-0.04</formula>
      <formula>-1</formula>
    </cfRule>
  </conditionalFormatting>
  <conditionalFormatting sqref="BM1149">
    <cfRule type="cellIs" dxfId="1228" priority="1253" operator="between">
      <formula>8</formula>
      <formula>60</formula>
    </cfRule>
  </conditionalFormatting>
  <conditionalFormatting sqref="CE1149">
    <cfRule type="cellIs" dxfId="1227" priority="1252" operator="between">
      <formula>-0.04</formula>
      <formula>-1</formula>
    </cfRule>
  </conditionalFormatting>
  <conditionalFormatting sqref="BM1152">
    <cfRule type="cellIs" dxfId="1226" priority="1245" operator="between">
      <formula>8</formula>
      <formula>60</formula>
    </cfRule>
  </conditionalFormatting>
  <conditionalFormatting sqref="BM1148">
    <cfRule type="cellIs" dxfId="1225" priority="1251" operator="between">
      <formula>8</formula>
      <formula>60</formula>
    </cfRule>
  </conditionalFormatting>
  <conditionalFormatting sqref="CE1148">
    <cfRule type="cellIs" dxfId="1224" priority="1250" operator="between">
      <formula>-0.04</formula>
      <formula>-1</formula>
    </cfRule>
  </conditionalFormatting>
  <conditionalFormatting sqref="BM1151">
    <cfRule type="cellIs" dxfId="1223" priority="1249" operator="between">
      <formula>8</formula>
      <formula>60</formula>
    </cfRule>
  </conditionalFormatting>
  <conditionalFormatting sqref="CE1151">
    <cfRule type="cellIs" dxfId="1222" priority="1248" operator="between">
      <formula>-0.04</formula>
      <formula>-1</formula>
    </cfRule>
  </conditionalFormatting>
  <conditionalFormatting sqref="BM1150:BM1153">
    <cfRule type="cellIs" dxfId="1221" priority="1247" operator="between">
      <formula>8</formula>
      <formula>60</formula>
    </cfRule>
  </conditionalFormatting>
  <conditionalFormatting sqref="CE1150">
    <cfRule type="cellIs" dxfId="1220" priority="1246" operator="between">
      <formula>-0.04</formula>
      <formula>-1</formula>
    </cfRule>
  </conditionalFormatting>
  <conditionalFormatting sqref="CE1152">
    <cfRule type="cellIs" dxfId="1219" priority="1244" operator="between">
      <formula>-0.04</formula>
      <formula>-1</formula>
    </cfRule>
  </conditionalFormatting>
  <conditionalFormatting sqref="CE1146">
    <cfRule type="cellIs" dxfId="1218" priority="1240" operator="between">
      <formula>-0.04</formula>
      <formula>-1</formula>
    </cfRule>
  </conditionalFormatting>
  <conditionalFormatting sqref="CE1147">
    <cfRule type="cellIs" dxfId="1217" priority="1238" operator="between">
      <formula>-0.04</formula>
      <formula>-1</formula>
    </cfRule>
  </conditionalFormatting>
  <conditionalFormatting sqref="BM1311">
    <cfRule type="cellIs" dxfId="1216" priority="1237" operator="between">
      <formula>8</formula>
      <formula>60</formula>
    </cfRule>
  </conditionalFormatting>
  <conditionalFormatting sqref="CE1311">
    <cfRule type="cellIs" dxfId="1215" priority="1236" operator="between">
      <formula>-0.04</formula>
      <formula>-1</formula>
    </cfRule>
  </conditionalFormatting>
  <conditionalFormatting sqref="BM1303">
    <cfRule type="cellIs" dxfId="1214" priority="1224" operator="between">
      <formula>8</formula>
      <formula>60</formula>
    </cfRule>
  </conditionalFormatting>
  <conditionalFormatting sqref="BM1301:BM1302">
    <cfRule type="cellIs" dxfId="1213" priority="1235" operator="between">
      <formula>8</formula>
      <formula>60</formula>
    </cfRule>
  </conditionalFormatting>
  <conditionalFormatting sqref="CE1304 CE1301:CE1302">
    <cfRule type="cellIs" dxfId="1212" priority="1234" operator="between">
      <formula>-0.04</formula>
      <formula>-1</formula>
    </cfRule>
  </conditionalFormatting>
  <conditionalFormatting sqref="CE1310">
    <cfRule type="cellIs" dxfId="1211" priority="1232" operator="between">
      <formula>-0.04</formula>
      <formula>-1</formula>
    </cfRule>
  </conditionalFormatting>
  <conditionalFormatting sqref="BM1310">
    <cfRule type="cellIs" dxfId="1210" priority="1233" operator="between">
      <formula>8</formula>
      <formula>60</formula>
    </cfRule>
  </conditionalFormatting>
  <conditionalFormatting sqref="BM1307 BM1309:BM1311">
    <cfRule type="cellIs" dxfId="1209" priority="1231" operator="between">
      <formula>8</formula>
      <formula>60</formula>
    </cfRule>
  </conditionalFormatting>
  <conditionalFormatting sqref="CE1307:CE1309">
    <cfRule type="cellIs" dxfId="1208" priority="1230" operator="between">
      <formula>-0.04</formula>
      <formula>-1</formula>
    </cfRule>
  </conditionalFormatting>
  <conditionalFormatting sqref="CE1306">
    <cfRule type="cellIs" dxfId="1207" priority="1228" operator="between">
      <formula>-0.04</formula>
      <formula>-1</formula>
    </cfRule>
  </conditionalFormatting>
  <conditionalFormatting sqref="BM1306">
    <cfRule type="cellIs" dxfId="1206" priority="1229" operator="between">
      <formula>8</formula>
      <formula>60</formula>
    </cfRule>
  </conditionalFormatting>
  <conditionalFormatting sqref="BM1304">
    <cfRule type="cellIs" dxfId="1205" priority="1226" operator="between">
      <formula>8</formula>
      <formula>60</formula>
    </cfRule>
  </conditionalFormatting>
  <conditionalFormatting sqref="CE1305">
    <cfRule type="cellIs" dxfId="1204" priority="1227" operator="between">
      <formula>-0.04</formula>
      <formula>-1</formula>
    </cfRule>
  </conditionalFormatting>
  <conditionalFormatting sqref="CE1303">
    <cfRule type="cellIs" dxfId="1203" priority="1225" operator="between">
      <formula>-0.04</formula>
      <formula>-1</formula>
    </cfRule>
  </conditionalFormatting>
  <conditionalFormatting sqref="BM1308">
    <cfRule type="cellIs" dxfId="1202" priority="1222" operator="between">
      <formula>8</formula>
      <formula>60</formula>
    </cfRule>
  </conditionalFormatting>
  <conditionalFormatting sqref="BM1305">
    <cfRule type="cellIs" dxfId="1201" priority="1223" operator="between">
      <formula>8</formula>
      <formula>60</formula>
    </cfRule>
  </conditionalFormatting>
  <conditionalFormatting sqref="BM641">
    <cfRule type="cellIs" dxfId="1200" priority="1221" operator="between">
      <formula>8</formula>
      <formula>60</formula>
    </cfRule>
  </conditionalFormatting>
  <conditionalFormatting sqref="CE641">
    <cfRule type="cellIs" dxfId="1199" priority="1220" operator="between">
      <formula>-0.04</formula>
      <formula>-1</formula>
    </cfRule>
  </conditionalFormatting>
  <conditionalFormatting sqref="CE640">
    <cfRule type="cellIs" dxfId="1198" priority="1218" operator="between">
      <formula>-0.04</formula>
      <formula>-1</formula>
    </cfRule>
  </conditionalFormatting>
  <conditionalFormatting sqref="BM640:BM642">
    <cfRule type="cellIs" dxfId="1197" priority="1219" operator="between">
      <formula>8</formula>
      <formula>60</formula>
    </cfRule>
  </conditionalFormatting>
  <conditionalFormatting sqref="BM642">
    <cfRule type="cellIs" dxfId="1196" priority="1215" operator="between">
      <formula>8</formula>
      <formula>60</formula>
    </cfRule>
  </conditionalFormatting>
  <conditionalFormatting sqref="CE642">
    <cfRule type="cellIs" dxfId="1195" priority="1214" operator="between">
      <formula>-0.04</formula>
      <formula>-1</formula>
    </cfRule>
  </conditionalFormatting>
  <conditionalFormatting sqref="BM561">
    <cfRule type="cellIs" dxfId="1194" priority="1211" operator="between">
      <formula>8</formula>
      <formula>60</formula>
    </cfRule>
  </conditionalFormatting>
  <conditionalFormatting sqref="CE561">
    <cfRule type="cellIs" dxfId="1193" priority="1210" operator="between">
      <formula>-0.04</formula>
      <formula>-1</formula>
    </cfRule>
  </conditionalFormatting>
  <conditionalFormatting sqref="BM562:BM568">
    <cfRule type="cellIs" dxfId="1192" priority="1209" operator="between">
      <formula>8</formula>
      <formula>60</formula>
    </cfRule>
  </conditionalFormatting>
  <conditionalFormatting sqref="CE562">
    <cfRule type="cellIs" dxfId="1191" priority="1208" operator="between">
      <formula>-0.04</formula>
      <formula>-1</formula>
    </cfRule>
  </conditionalFormatting>
  <conditionalFormatting sqref="BM560">
    <cfRule type="cellIs" dxfId="1190" priority="1207" operator="between">
      <formula>8</formula>
      <formula>60</formula>
    </cfRule>
  </conditionalFormatting>
  <conditionalFormatting sqref="CE560">
    <cfRule type="cellIs" dxfId="1189" priority="1206" operator="between">
      <formula>-0.04</formula>
      <formula>-1</formula>
    </cfRule>
  </conditionalFormatting>
  <conditionalFormatting sqref="BM563">
    <cfRule type="cellIs" dxfId="1188" priority="1213" operator="between">
      <formula>8</formula>
      <formula>60</formula>
    </cfRule>
  </conditionalFormatting>
  <conditionalFormatting sqref="CE563">
    <cfRule type="cellIs" dxfId="1187" priority="1212" operator="between">
      <formula>-0.04</formula>
      <formula>-1</formula>
    </cfRule>
  </conditionalFormatting>
  <conditionalFormatting sqref="BM559">
    <cfRule type="cellIs" dxfId="1186" priority="1205" operator="between">
      <formula>8</formula>
      <formula>60</formula>
    </cfRule>
  </conditionalFormatting>
  <conditionalFormatting sqref="CE559">
    <cfRule type="cellIs" dxfId="1185" priority="1204" operator="between">
      <formula>-0.04</formula>
      <formula>-1</formula>
    </cfRule>
  </conditionalFormatting>
  <conditionalFormatting sqref="CE558">
    <cfRule type="cellIs" dxfId="1184" priority="1202" operator="between">
      <formula>-0.04</formula>
      <formula>-1</formula>
    </cfRule>
  </conditionalFormatting>
  <conditionalFormatting sqref="BM558:BM561">
    <cfRule type="cellIs" dxfId="1183" priority="1203" operator="between">
      <formula>8</formula>
      <formula>60</formula>
    </cfRule>
  </conditionalFormatting>
  <conditionalFormatting sqref="CE556">
    <cfRule type="cellIs" dxfId="1182" priority="1198" operator="between">
      <formula>-0.04</formula>
      <formula>-1</formula>
    </cfRule>
  </conditionalFormatting>
  <conditionalFormatting sqref="BM555:BM557">
    <cfRule type="cellIs" dxfId="1181" priority="1197" operator="between">
      <formula>8</formula>
      <formula>60</formula>
    </cfRule>
  </conditionalFormatting>
  <conditionalFormatting sqref="BM556">
    <cfRule type="cellIs" dxfId="1180" priority="1199" operator="between">
      <formula>8</formula>
      <formula>60</formula>
    </cfRule>
  </conditionalFormatting>
  <conditionalFormatting sqref="CE555">
    <cfRule type="cellIs" dxfId="1179" priority="1196" operator="between">
      <formula>-0.04</formula>
      <formula>-1</formula>
    </cfRule>
  </conditionalFormatting>
  <conditionalFormatting sqref="BM557">
    <cfRule type="cellIs" dxfId="1178" priority="1201" operator="between">
      <formula>8</formula>
      <formula>60</formula>
    </cfRule>
  </conditionalFormatting>
  <conditionalFormatting sqref="CE557">
    <cfRule type="cellIs" dxfId="1177" priority="1200" operator="between">
      <formula>-0.04</formula>
      <formula>-1</formula>
    </cfRule>
  </conditionalFormatting>
  <conditionalFormatting sqref="BM565">
    <cfRule type="cellIs" dxfId="1176" priority="1191" operator="between">
      <formula>8</formula>
      <formula>60</formula>
    </cfRule>
  </conditionalFormatting>
  <conditionalFormatting sqref="CE567">
    <cfRule type="cellIs" dxfId="1175" priority="1192" operator="between">
      <formula>-0.04</formula>
      <formula>-1</formula>
    </cfRule>
  </conditionalFormatting>
  <conditionalFormatting sqref="BM566">
    <cfRule type="cellIs" dxfId="1174" priority="1189" operator="between">
      <formula>8</formula>
      <formula>60</formula>
    </cfRule>
  </conditionalFormatting>
  <conditionalFormatting sqref="BM567">
    <cfRule type="cellIs" dxfId="1173" priority="1193" operator="between">
      <formula>8</formula>
      <formula>60</formula>
    </cfRule>
  </conditionalFormatting>
  <conditionalFormatting sqref="CE566">
    <cfRule type="cellIs" dxfId="1172" priority="1188" operator="between">
      <formula>-0.04</formula>
      <formula>-1</formula>
    </cfRule>
  </conditionalFormatting>
  <conditionalFormatting sqref="CE565">
    <cfRule type="cellIs" dxfId="1171" priority="1190" operator="between">
      <formula>-0.04</formula>
      <formula>-1</formula>
    </cfRule>
  </conditionalFormatting>
  <conditionalFormatting sqref="BM568">
    <cfRule type="cellIs" dxfId="1170" priority="1195" operator="between">
      <formula>8</formula>
      <formula>60</formula>
    </cfRule>
  </conditionalFormatting>
  <conditionalFormatting sqref="CE568">
    <cfRule type="cellIs" dxfId="1169" priority="1194" operator="between">
      <formula>-0.04</formula>
      <formula>-1</formula>
    </cfRule>
  </conditionalFormatting>
  <conditionalFormatting sqref="BM564">
    <cfRule type="cellIs" dxfId="1168" priority="1187" operator="between">
      <formula>8</formula>
      <formula>60</formula>
    </cfRule>
  </conditionalFormatting>
  <conditionalFormatting sqref="CE564">
    <cfRule type="cellIs" dxfId="1167" priority="1186" operator="between">
      <formula>-0.04</formula>
      <formula>-1</formula>
    </cfRule>
  </conditionalFormatting>
  <conditionalFormatting sqref="BM453">
    <cfRule type="cellIs" dxfId="1166" priority="1185" operator="between">
      <formula>8</formula>
      <formula>60</formula>
    </cfRule>
  </conditionalFormatting>
  <conditionalFormatting sqref="CE453">
    <cfRule type="cellIs" dxfId="1165" priority="1184" operator="between">
      <formula>-0.04</formula>
      <formula>-1</formula>
    </cfRule>
  </conditionalFormatting>
  <conditionalFormatting sqref="BM450">
    <cfRule type="cellIs" dxfId="1164" priority="1179" operator="between">
      <formula>8</formula>
      <formula>60</formula>
    </cfRule>
  </conditionalFormatting>
  <conditionalFormatting sqref="CE451">
    <cfRule type="cellIs" dxfId="1163" priority="1180" operator="between">
      <formula>-0.04</formula>
      <formula>-1</formula>
    </cfRule>
  </conditionalFormatting>
  <conditionalFormatting sqref="BM449">
    <cfRule type="cellIs" dxfId="1162" priority="1177" operator="between">
      <formula>8</formula>
      <formula>60</formula>
    </cfRule>
  </conditionalFormatting>
  <conditionalFormatting sqref="BM451:BM453">
    <cfRule type="cellIs" dxfId="1161" priority="1181" operator="between">
      <formula>8</formula>
      <formula>60</formula>
    </cfRule>
  </conditionalFormatting>
  <conditionalFormatting sqref="CE449">
    <cfRule type="cellIs" dxfId="1160" priority="1176" operator="between">
      <formula>-0.04</formula>
      <formula>-1</formula>
    </cfRule>
  </conditionalFormatting>
  <conditionalFormatting sqref="CE450">
    <cfRule type="cellIs" dxfId="1159" priority="1178" operator="between">
      <formula>-0.04</formula>
      <formula>-1</formula>
    </cfRule>
  </conditionalFormatting>
  <conditionalFormatting sqref="BM447">
    <cfRule type="cellIs" dxfId="1158" priority="1173" operator="between">
      <formula>8</formula>
      <formula>60</formula>
    </cfRule>
  </conditionalFormatting>
  <conditionalFormatting sqref="CE447">
    <cfRule type="cellIs" dxfId="1157" priority="1172" operator="between">
      <formula>-0.04</formula>
      <formula>-1</formula>
    </cfRule>
  </conditionalFormatting>
  <conditionalFormatting sqref="CE434">
    <cfRule type="cellIs" dxfId="1156" priority="1170" operator="between">
      <formula>-0.04</formula>
      <formula>-1</formula>
    </cfRule>
  </conditionalFormatting>
  <conditionalFormatting sqref="BM434:BM439">
    <cfRule type="cellIs" dxfId="1155" priority="1171" operator="between">
      <formula>8</formula>
      <formula>60</formula>
    </cfRule>
  </conditionalFormatting>
  <conditionalFormatting sqref="BM432">
    <cfRule type="cellIs" dxfId="1154" priority="1168" operator="between">
      <formula>8</formula>
      <formula>60</formula>
    </cfRule>
  </conditionalFormatting>
  <conditionalFormatting sqref="CE432">
    <cfRule type="cellIs" dxfId="1153" priority="1167" operator="between">
      <formula>-0.04</formula>
      <formula>-1</formula>
    </cfRule>
  </conditionalFormatting>
  <conditionalFormatting sqref="BM452">
    <cfRule type="cellIs" dxfId="1152" priority="1183" operator="between">
      <formula>8</formula>
      <formula>60</formula>
    </cfRule>
  </conditionalFormatting>
  <conditionalFormatting sqref="CE452">
    <cfRule type="cellIs" dxfId="1151" priority="1182" operator="between">
      <formula>-0.04</formula>
      <formula>-1</formula>
    </cfRule>
  </conditionalFormatting>
  <conditionalFormatting sqref="BM448">
    <cfRule type="cellIs" dxfId="1150" priority="1175" operator="between">
      <formula>8</formula>
      <formula>60</formula>
    </cfRule>
  </conditionalFormatting>
  <conditionalFormatting sqref="CE448">
    <cfRule type="cellIs" dxfId="1149" priority="1174" operator="between">
      <formula>-0.04</formula>
      <formula>-1</formula>
    </cfRule>
  </conditionalFormatting>
  <conditionalFormatting sqref="CE433">
    <cfRule type="cellIs" dxfId="1148" priority="1169" operator="between">
      <formula>-0.04</formula>
      <formula>-1</formula>
    </cfRule>
  </conditionalFormatting>
  <conditionalFormatting sqref="BM437">
    <cfRule type="cellIs" dxfId="1147" priority="1145" operator="between">
      <formula>8</formula>
      <formula>60</formula>
    </cfRule>
  </conditionalFormatting>
  <conditionalFormatting sqref="BM435">
    <cfRule type="cellIs" dxfId="1146" priority="1141" operator="between">
      <formula>8</formula>
      <formula>60</formula>
    </cfRule>
  </conditionalFormatting>
  <conditionalFormatting sqref="BM433">
    <cfRule type="cellIs" dxfId="1145" priority="1166" operator="between">
      <formula>8</formula>
      <formula>60</formula>
    </cfRule>
  </conditionalFormatting>
  <conditionalFormatting sqref="BM446">
    <cfRule type="cellIs" dxfId="1144" priority="1165" operator="between">
      <formula>8</formula>
      <formula>60</formula>
    </cfRule>
  </conditionalFormatting>
  <conditionalFormatting sqref="CE446">
    <cfRule type="cellIs" dxfId="1143" priority="1164" operator="between">
      <formula>-0.04</formula>
      <formula>-1</formula>
    </cfRule>
  </conditionalFormatting>
  <conditionalFormatting sqref="BM444:BM450">
    <cfRule type="cellIs" dxfId="1142" priority="1161" operator="between">
      <formula>8</formula>
      <formula>60</formula>
    </cfRule>
  </conditionalFormatting>
  <conditionalFormatting sqref="CE444">
    <cfRule type="cellIs" dxfId="1141" priority="1160" operator="between">
      <formula>-0.04</formula>
      <formula>-1</formula>
    </cfRule>
  </conditionalFormatting>
  <conditionalFormatting sqref="BM445">
    <cfRule type="cellIs" dxfId="1140" priority="1163" operator="between">
      <formula>8</formula>
      <formula>60</formula>
    </cfRule>
  </conditionalFormatting>
  <conditionalFormatting sqref="CE445">
    <cfRule type="cellIs" dxfId="1139" priority="1162" operator="between">
      <formula>-0.04</formula>
      <formula>-1</formula>
    </cfRule>
  </conditionalFormatting>
  <conditionalFormatting sqref="BM443">
    <cfRule type="cellIs" dxfId="1138" priority="1159" operator="between">
      <formula>8</formula>
      <formula>60</formula>
    </cfRule>
  </conditionalFormatting>
  <conditionalFormatting sqref="CE443">
    <cfRule type="cellIs" dxfId="1137" priority="1158" operator="between">
      <formula>-0.04</formula>
      <formula>-1</formula>
    </cfRule>
  </conditionalFormatting>
  <conditionalFormatting sqref="BM441">
    <cfRule type="cellIs" dxfId="1136" priority="1155" operator="between">
      <formula>8</formula>
      <formula>60</formula>
    </cfRule>
  </conditionalFormatting>
  <conditionalFormatting sqref="BM440:BM443">
    <cfRule type="cellIs" dxfId="1135" priority="1153" operator="between">
      <formula>8</formula>
      <formula>60</formula>
    </cfRule>
  </conditionalFormatting>
  <conditionalFormatting sqref="CE440">
    <cfRule type="cellIs" dxfId="1134" priority="1152" operator="between">
      <formula>-0.04</formula>
      <formula>-1</formula>
    </cfRule>
  </conditionalFormatting>
  <conditionalFormatting sqref="BM442">
    <cfRule type="cellIs" dxfId="1133" priority="1157" operator="between">
      <formula>8</formula>
      <formula>60</formula>
    </cfRule>
  </conditionalFormatting>
  <conditionalFormatting sqref="CE442">
    <cfRule type="cellIs" dxfId="1132" priority="1156" operator="between">
      <formula>-0.04</formula>
      <formula>-1</formula>
    </cfRule>
  </conditionalFormatting>
  <conditionalFormatting sqref="CE441">
    <cfRule type="cellIs" dxfId="1131" priority="1154" operator="between">
      <formula>-0.04</formula>
      <formula>-1</formula>
    </cfRule>
  </conditionalFormatting>
  <conditionalFormatting sqref="BM438">
    <cfRule type="cellIs" dxfId="1130" priority="1147" operator="between">
      <formula>8</formula>
      <formula>60</formula>
    </cfRule>
  </conditionalFormatting>
  <conditionalFormatting sqref="CE439">
    <cfRule type="cellIs" dxfId="1129" priority="1148" operator="between">
      <formula>-0.04</formula>
      <formula>-1</formula>
    </cfRule>
  </conditionalFormatting>
  <conditionalFormatting sqref="BM439">
    <cfRule type="cellIs" dxfId="1128" priority="1149" operator="between">
      <formula>8</formula>
      <formula>60</formula>
    </cfRule>
  </conditionalFormatting>
  <conditionalFormatting sqref="CE437">
    <cfRule type="cellIs" dxfId="1127" priority="1144" operator="between">
      <formula>-0.04</formula>
      <formula>-1</formula>
    </cfRule>
  </conditionalFormatting>
  <conditionalFormatting sqref="CE438">
    <cfRule type="cellIs" dxfId="1126" priority="1146" operator="between">
      <formula>-0.04</formula>
      <formula>-1</formula>
    </cfRule>
  </conditionalFormatting>
  <conditionalFormatting sqref="CE435">
    <cfRule type="cellIs" dxfId="1125" priority="1140" operator="between">
      <formula>-0.04</formula>
      <formula>-1</formula>
    </cfRule>
  </conditionalFormatting>
  <conditionalFormatting sqref="BM436">
    <cfRule type="cellIs" dxfId="1124" priority="1143" operator="between">
      <formula>8</formula>
      <formula>60</formula>
    </cfRule>
  </conditionalFormatting>
  <conditionalFormatting sqref="CE436">
    <cfRule type="cellIs" dxfId="1123" priority="1142" operator="between">
      <formula>-0.04</formula>
      <formula>-1</formula>
    </cfRule>
  </conditionalFormatting>
  <conditionalFormatting sqref="BM461">
    <cfRule type="cellIs" dxfId="1122" priority="1137" operator="between">
      <formula>8</formula>
      <formula>60</formula>
    </cfRule>
  </conditionalFormatting>
  <conditionalFormatting sqref="CE461">
    <cfRule type="cellIs" dxfId="1121" priority="1136" operator="between">
      <formula>-0.04</formula>
      <formula>-1</formula>
    </cfRule>
  </conditionalFormatting>
  <conditionalFormatting sqref="BM462">
    <cfRule type="cellIs" dxfId="1120" priority="1139" operator="between">
      <formula>8</formula>
      <formula>60</formula>
    </cfRule>
  </conditionalFormatting>
  <conditionalFormatting sqref="CE462">
    <cfRule type="cellIs" dxfId="1119" priority="1138" operator="between">
      <formula>-0.04</formula>
      <formula>-1</formula>
    </cfRule>
  </conditionalFormatting>
  <conditionalFormatting sqref="BM459">
    <cfRule type="cellIs" dxfId="1118" priority="1133" operator="between">
      <formula>8</formula>
      <formula>60</formula>
    </cfRule>
  </conditionalFormatting>
  <conditionalFormatting sqref="CE460">
    <cfRule type="cellIs" dxfId="1117" priority="1134" operator="between">
      <formula>-0.04</formula>
      <formula>-1</formula>
    </cfRule>
  </conditionalFormatting>
  <conditionalFormatting sqref="CE459">
    <cfRule type="cellIs" dxfId="1116" priority="1132" operator="between">
      <formula>-0.04</formula>
      <formula>-1</formula>
    </cfRule>
  </conditionalFormatting>
  <conditionalFormatting sqref="BM460">
    <cfRule type="cellIs" dxfId="1115" priority="1135" operator="between">
      <formula>8</formula>
      <formula>60</formula>
    </cfRule>
  </conditionalFormatting>
  <conditionalFormatting sqref="BM457">
    <cfRule type="cellIs" dxfId="1114" priority="1131" operator="between">
      <formula>8</formula>
      <formula>60</formula>
    </cfRule>
  </conditionalFormatting>
  <conditionalFormatting sqref="BM456">
    <cfRule type="cellIs" dxfId="1113" priority="1127" operator="between">
      <formula>8</formula>
      <formula>60</formula>
    </cfRule>
  </conditionalFormatting>
  <conditionalFormatting sqref="CE456">
    <cfRule type="cellIs" dxfId="1112" priority="1126" operator="between">
      <formula>-0.04</formula>
      <formula>-1</formula>
    </cfRule>
  </conditionalFormatting>
  <conditionalFormatting sqref="BM454:BM462">
    <cfRule type="cellIs" dxfId="1111" priority="1123" operator="between">
      <formula>8</formula>
      <formula>60</formula>
    </cfRule>
  </conditionalFormatting>
  <conditionalFormatting sqref="CE455">
    <cfRule type="cellIs" dxfId="1110" priority="1124" operator="between">
      <formula>-0.04</formula>
      <formula>-1</formula>
    </cfRule>
  </conditionalFormatting>
  <conditionalFormatting sqref="CE457">
    <cfRule type="cellIs" dxfId="1109" priority="1130" operator="between">
      <formula>-0.04</formula>
      <formula>-1</formula>
    </cfRule>
  </conditionalFormatting>
  <conditionalFormatting sqref="BM455">
    <cfRule type="cellIs" dxfId="1108" priority="1125" operator="between">
      <formula>8</formula>
      <formula>60</formula>
    </cfRule>
  </conditionalFormatting>
  <conditionalFormatting sqref="CE458">
    <cfRule type="cellIs" dxfId="1107" priority="1128" operator="between">
      <formula>-0.04</formula>
      <formula>-1</formula>
    </cfRule>
  </conditionalFormatting>
  <conditionalFormatting sqref="BM458">
    <cfRule type="cellIs" dxfId="1106" priority="1129" operator="between">
      <formula>8</formula>
      <formula>60</formula>
    </cfRule>
  </conditionalFormatting>
  <conditionalFormatting sqref="CE454">
    <cfRule type="cellIs" dxfId="1105" priority="1122" operator="between">
      <formula>-0.04</formula>
      <formula>-1</formula>
    </cfRule>
  </conditionalFormatting>
  <conditionalFormatting sqref="CE483">
    <cfRule type="cellIs" dxfId="1104" priority="1113" operator="between">
      <formula>-0.04</formula>
      <formula>-1</formula>
    </cfRule>
  </conditionalFormatting>
  <conditionalFormatting sqref="CE481">
    <cfRule type="cellIs" dxfId="1103" priority="1111" operator="between">
      <formula>-0.04</formula>
      <formula>-1</formula>
    </cfRule>
  </conditionalFormatting>
  <conditionalFormatting sqref="CE482">
    <cfRule type="cellIs" dxfId="1102" priority="1112" operator="between">
      <formula>-0.04</formula>
      <formula>-1</formula>
    </cfRule>
  </conditionalFormatting>
  <conditionalFormatting sqref="CE480">
    <cfRule type="cellIs" dxfId="1101" priority="1110" operator="between">
      <formula>-0.04</formula>
      <formula>-1</formula>
    </cfRule>
  </conditionalFormatting>
  <conditionalFormatting sqref="CE479">
    <cfRule type="cellIs" dxfId="1100" priority="1109" operator="between">
      <formula>-0.04</formula>
      <formula>-1</formula>
    </cfRule>
  </conditionalFormatting>
  <conditionalFormatting sqref="CE478">
    <cfRule type="cellIs" dxfId="1099" priority="1108" operator="between">
      <formula>-0.04</formula>
      <formula>-1</formula>
    </cfRule>
  </conditionalFormatting>
  <conditionalFormatting sqref="CE477">
    <cfRule type="cellIs" dxfId="1098" priority="1107" operator="between">
      <formula>-0.04</formula>
      <formula>-1</formula>
    </cfRule>
  </conditionalFormatting>
  <conditionalFormatting sqref="CE475">
    <cfRule type="cellIs" dxfId="1097" priority="1105" operator="between">
      <formula>-0.04</formula>
      <formula>-1</formula>
    </cfRule>
  </conditionalFormatting>
  <conditionalFormatting sqref="CE476">
    <cfRule type="cellIs" dxfId="1096" priority="1106" operator="between">
      <formula>-0.04</formula>
      <formula>-1</formula>
    </cfRule>
  </conditionalFormatting>
  <conditionalFormatting sqref="BM474">
    <cfRule type="cellIs" dxfId="1095" priority="1104" operator="between">
      <formula>8</formula>
      <formula>60</formula>
    </cfRule>
  </conditionalFormatting>
  <conditionalFormatting sqref="CE474">
    <cfRule type="cellIs" dxfId="1094" priority="1103" operator="between">
      <formula>-0.04</formula>
      <formula>-1</formula>
    </cfRule>
  </conditionalFormatting>
  <conditionalFormatting sqref="BM472">
    <cfRule type="cellIs" dxfId="1093" priority="1101" operator="between">
      <formula>8</formula>
      <formula>60</formula>
    </cfRule>
  </conditionalFormatting>
  <conditionalFormatting sqref="CE473">
    <cfRule type="cellIs" dxfId="1092" priority="1102" operator="between">
      <formula>-0.04</formula>
      <formula>-1</formula>
    </cfRule>
  </conditionalFormatting>
  <conditionalFormatting sqref="CE472">
    <cfRule type="cellIs" dxfId="1091" priority="1100" operator="between">
      <formula>-0.04</formula>
      <formula>-1</formula>
    </cfRule>
  </conditionalFormatting>
  <conditionalFormatting sqref="BM471">
    <cfRule type="cellIs" dxfId="1090" priority="1099" operator="between">
      <formula>8</formula>
      <formula>60</formula>
    </cfRule>
  </conditionalFormatting>
  <conditionalFormatting sqref="CE471">
    <cfRule type="cellIs" dxfId="1089" priority="1098" operator="between">
      <formula>-0.04</formula>
      <formula>-1</formula>
    </cfRule>
  </conditionalFormatting>
  <conditionalFormatting sqref="BM469">
    <cfRule type="cellIs" dxfId="1088" priority="1095" operator="between">
      <formula>8</formula>
      <formula>60</formula>
    </cfRule>
  </conditionalFormatting>
  <conditionalFormatting sqref="BM470">
    <cfRule type="cellIs" dxfId="1087" priority="1097" operator="between">
      <formula>8</formula>
      <formula>60</formula>
    </cfRule>
  </conditionalFormatting>
  <conditionalFormatting sqref="CE470">
    <cfRule type="cellIs" dxfId="1086" priority="1096" operator="between">
      <formula>-0.04</formula>
      <formula>-1</formula>
    </cfRule>
  </conditionalFormatting>
  <conditionalFormatting sqref="CE469">
    <cfRule type="cellIs" dxfId="1085" priority="1094" operator="between">
      <formula>-0.04</formula>
      <formula>-1</formula>
    </cfRule>
  </conditionalFormatting>
  <conditionalFormatting sqref="BM468">
    <cfRule type="cellIs" dxfId="1084" priority="1093" operator="between">
      <formula>8</formula>
      <formula>60</formula>
    </cfRule>
  </conditionalFormatting>
  <conditionalFormatting sqref="CE468">
    <cfRule type="cellIs" dxfId="1083" priority="1092" operator="between">
      <formula>-0.04</formula>
      <formula>-1</formula>
    </cfRule>
  </conditionalFormatting>
  <conditionalFormatting sqref="BM466:BM471">
    <cfRule type="cellIs" dxfId="1082" priority="1089" operator="between">
      <formula>8</formula>
      <formula>60</formula>
    </cfRule>
  </conditionalFormatting>
  <conditionalFormatting sqref="CE466">
    <cfRule type="cellIs" dxfId="1081" priority="1088" operator="between">
      <formula>-0.04</formula>
      <formula>-1</formula>
    </cfRule>
  </conditionalFormatting>
  <conditionalFormatting sqref="BM467">
    <cfRule type="cellIs" dxfId="1080" priority="1091" operator="between">
      <formula>8</formula>
      <formula>60</formula>
    </cfRule>
  </conditionalFormatting>
  <conditionalFormatting sqref="CE467">
    <cfRule type="cellIs" dxfId="1079" priority="1090" operator="between">
      <formula>-0.04</formula>
      <formula>-1</formula>
    </cfRule>
  </conditionalFormatting>
  <conditionalFormatting sqref="BM465">
    <cfRule type="cellIs" dxfId="1078" priority="1087" operator="between">
      <formula>8</formula>
      <formula>60</formula>
    </cfRule>
  </conditionalFormatting>
  <conditionalFormatting sqref="CE465">
    <cfRule type="cellIs" dxfId="1077" priority="1086" operator="between">
      <formula>-0.04</formula>
      <formula>-1</formula>
    </cfRule>
  </conditionalFormatting>
  <conditionalFormatting sqref="BM463:BM465">
    <cfRule type="cellIs" dxfId="1076" priority="1083" operator="between">
      <formula>8</formula>
      <formula>60</formula>
    </cfRule>
  </conditionalFormatting>
  <conditionalFormatting sqref="BM464">
    <cfRule type="cellIs" dxfId="1075" priority="1085" operator="between">
      <formula>8</formula>
      <formula>60</formula>
    </cfRule>
  </conditionalFormatting>
  <conditionalFormatting sqref="CE464">
    <cfRule type="cellIs" dxfId="1074" priority="1084" operator="between">
      <formula>-0.04</formula>
      <formula>-1</formula>
    </cfRule>
  </conditionalFormatting>
  <conditionalFormatting sqref="CE463">
    <cfRule type="cellIs" dxfId="1073" priority="1082" operator="between">
      <formula>-0.04</formula>
      <formula>-1</formula>
    </cfRule>
  </conditionalFormatting>
  <conditionalFormatting sqref="BM491">
    <cfRule type="cellIs" dxfId="1072" priority="1081" operator="between">
      <formula>8</formula>
      <formula>60</formula>
    </cfRule>
  </conditionalFormatting>
  <conditionalFormatting sqref="BM490">
    <cfRule type="cellIs" dxfId="1071" priority="1079" operator="between">
      <formula>8</formula>
      <formula>60</formula>
    </cfRule>
  </conditionalFormatting>
  <conditionalFormatting sqref="CE491">
    <cfRule type="cellIs" dxfId="1070" priority="1080" operator="between">
      <formula>-0.04</formula>
      <formula>-1</formula>
    </cfRule>
  </conditionalFormatting>
  <conditionalFormatting sqref="CE490">
    <cfRule type="cellIs" dxfId="1069" priority="1078" operator="between">
      <formula>-0.04</formula>
      <formula>-1</formula>
    </cfRule>
  </conditionalFormatting>
  <conditionalFormatting sqref="BM485">
    <cfRule type="cellIs" dxfId="1068" priority="1069" operator="between">
      <formula>8</formula>
      <formula>60</formula>
    </cfRule>
  </conditionalFormatting>
  <conditionalFormatting sqref="BM489:BM491">
    <cfRule type="cellIs" dxfId="1067" priority="1077" operator="between">
      <formula>8</formula>
      <formula>60</formula>
    </cfRule>
  </conditionalFormatting>
  <conditionalFormatting sqref="CE489">
    <cfRule type="cellIs" dxfId="1066" priority="1076" operator="between">
      <formula>-0.04</formula>
      <formula>-1</formula>
    </cfRule>
  </conditionalFormatting>
  <conditionalFormatting sqref="BM487">
    <cfRule type="cellIs" dxfId="1065" priority="1073" operator="between">
      <formula>8</formula>
      <formula>60</formula>
    </cfRule>
  </conditionalFormatting>
  <conditionalFormatting sqref="CE487">
    <cfRule type="cellIs" dxfId="1064" priority="1072" operator="between">
      <formula>-0.04</formula>
      <formula>-1</formula>
    </cfRule>
  </conditionalFormatting>
  <conditionalFormatting sqref="BM488">
    <cfRule type="cellIs" dxfId="1063" priority="1075" operator="between">
      <formula>8</formula>
      <formula>60</formula>
    </cfRule>
  </conditionalFormatting>
  <conditionalFormatting sqref="CE488">
    <cfRule type="cellIs" dxfId="1062" priority="1074" operator="between">
      <formula>-0.04</formula>
      <formula>-1</formula>
    </cfRule>
  </conditionalFormatting>
  <conditionalFormatting sqref="BM486">
    <cfRule type="cellIs" dxfId="1061" priority="1071" operator="between">
      <formula>8</formula>
      <formula>60</formula>
    </cfRule>
  </conditionalFormatting>
  <conditionalFormatting sqref="CE486">
    <cfRule type="cellIs" dxfId="1060" priority="1070" operator="between">
      <formula>-0.04</formula>
      <formula>-1</formula>
    </cfRule>
  </conditionalFormatting>
  <conditionalFormatting sqref="BM484:BM488">
    <cfRule type="cellIs" dxfId="1059" priority="1067" operator="between">
      <formula>8</formula>
      <formula>60</formula>
    </cfRule>
  </conditionalFormatting>
  <conditionalFormatting sqref="CE485">
    <cfRule type="cellIs" dxfId="1058" priority="1068" operator="between">
      <formula>-0.04</formula>
      <formula>-1</formula>
    </cfRule>
  </conditionalFormatting>
  <conditionalFormatting sqref="CE484">
    <cfRule type="cellIs" dxfId="1057" priority="1066" operator="between">
      <formula>-0.04</formula>
      <formula>-1</formula>
    </cfRule>
  </conditionalFormatting>
  <conditionalFormatting sqref="BM476 BM473">
    <cfRule type="cellIs" dxfId="1056" priority="1065" operator="between">
      <formula>8</formula>
      <formula>60</formula>
    </cfRule>
  </conditionalFormatting>
  <conditionalFormatting sqref="BM482:BM483 BM477:BM480 BM475">
    <cfRule type="cellIs" dxfId="1055" priority="1064" operator="between">
      <formula>8</formula>
      <formula>60</formula>
    </cfRule>
  </conditionalFormatting>
  <conditionalFormatting sqref="BM481">
    <cfRule type="cellIs" dxfId="1054" priority="1063" operator="between">
      <formula>8</formula>
      <formula>60</formula>
    </cfRule>
  </conditionalFormatting>
  <conditionalFormatting sqref="BM645">
    <cfRule type="cellIs" dxfId="1053" priority="1060" operator="between">
      <formula>8</formula>
      <formula>60</formula>
    </cfRule>
  </conditionalFormatting>
  <conditionalFormatting sqref="BM643:BM645">
    <cfRule type="cellIs" dxfId="1052" priority="1058" operator="between">
      <formula>8</formula>
      <formula>60</formula>
    </cfRule>
  </conditionalFormatting>
  <conditionalFormatting sqref="CE645">
    <cfRule type="cellIs" dxfId="1051" priority="1059" operator="between">
      <formula>-0.04</formula>
      <formula>-1</formula>
    </cfRule>
  </conditionalFormatting>
  <conditionalFormatting sqref="BM644">
    <cfRule type="cellIs" dxfId="1050" priority="1062" operator="between">
      <formula>8</formula>
      <formula>60</formula>
    </cfRule>
  </conditionalFormatting>
  <conditionalFormatting sqref="CE643:CE644">
    <cfRule type="cellIs" dxfId="1049" priority="1061" operator="between">
      <formula>-0.04</formula>
      <formula>-1</formula>
    </cfRule>
  </conditionalFormatting>
  <conditionalFormatting sqref="BM572">
    <cfRule type="cellIs" dxfId="1048" priority="1055" operator="between">
      <formula>8</formula>
      <formula>60</formula>
    </cfRule>
  </conditionalFormatting>
  <conditionalFormatting sqref="CE572">
    <cfRule type="cellIs" dxfId="1047" priority="1054" operator="between">
      <formula>-0.04</formula>
      <formula>-1</formula>
    </cfRule>
  </conditionalFormatting>
  <conditionalFormatting sqref="BM573">
    <cfRule type="cellIs" dxfId="1046" priority="1053" operator="between">
      <formula>8</formula>
      <formula>60</formula>
    </cfRule>
  </conditionalFormatting>
  <conditionalFormatting sqref="CE573">
    <cfRule type="cellIs" dxfId="1045" priority="1052" operator="between">
      <formula>-0.04</formula>
      <formula>-1</formula>
    </cfRule>
  </conditionalFormatting>
  <conditionalFormatting sqref="BM571:BM574">
    <cfRule type="cellIs" dxfId="1044" priority="1051" operator="between">
      <formula>8</formula>
      <formula>60</formula>
    </cfRule>
  </conditionalFormatting>
  <conditionalFormatting sqref="CE571">
    <cfRule type="cellIs" dxfId="1043" priority="1050" operator="between">
      <formula>-0.04</formula>
      <formula>-1</formula>
    </cfRule>
  </conditionalFormatting>
  <conditionalFormatting sqref="BM574">
    <cfRule type="cellIs" dxfId="1042" priority="1057" operator="between">
      <formula>8</formula>
      <formula>60</formula>
    </cfRule>
  </conditionalFormatting>
  <conditionalFormatting sqref="CE574">
    <cfRule type="cellIs" dxfId="1041" priority="1056" operator="between">
      <formula>-0.04</formula>
      <formula>-1</formula>
    </cfRule>
  </conditionalFormatting>
  <conditionalFormatting sqref="CE570">
    <cfRule type="cellIs" dxfId="1040" priority="1049" operator="between">
      <formula>-0.04</formula>
      <formula>-1</formula>
    </cfRule>
  </conditionalFormatting>
  <conditionalFormatting sqref="CE569">
    <cfRule type="cellIs" dxfId="1039" priority="1047" operator="between">
      <formula>-0.04</formula>
      <formula>-1</formula>
    </cfRule>
  </conditionalFormatting>
  <conditionalFormatting sqref="BM569">
    <cfRule type="cellIs" dxfId="1038" priority="1048" operator="between">
      <formula>8</formula>
      <formula>60</formula>
    </cfRule>
  </conditionalFormatting>
  <conditionalFormatting sqref="BM570">
    <cfRule type="cellIs" dxfId="1037" priority="1046" operator="between">
      <formula>8</formula>
      <formula>60</formula>
    </cfRule>
  </conditionalFormatting>
  <conditionalFormatting sqref="BM689 BM696">
    <cfRule type="cellIs" dxfId="1036" priority="1045" operator="between">
      <formula>8</formula>
      <formula>60</formula>
    </cfRule>
  </conditionalFormatting>
  <conditionalFormatting sqref="CE689:CE697">
    <cfRule type="cellIs" dxfId="1035" priority="1044" operator="between">
      <formula>-0.04</formula>
      <formula>-1</formula>
    </cfRule>
  </conditionalFormatting>
  <conditionalFormatting sqref="BM699">
    <cfRule type="cellIs" dxfId="1034" priority="1043" operator="between">
      <formula>8</formula>
      <formula>60</formula>
    </cfRule>
  </conditionalFormatting>
  <conditionalFormatting sqref="CE698:CE699 CE711:CE716 CE727">
    <cfRule type="cellIs" dxfId="1033" priority="1042" operator="between">
      <formula>-0.04</formula>
      <formula>-1</formula>
    </cfRule>
  </conditionalFormatting>
  <conditionalFormatting sqref="BM704 BM707">
    <cfRule type="cellIs" dxfId="1032" priority="1041" operator="between">
      <formula>8</formula>
      <formula>60</formula>
    </cfRule>
  </conditionalFormatting>
  <conditionalFormatting sqref="CE700:CE708">
    <cfRule type="cellIs" dxfId="1031" priority="1040" operator="between">
      <formula>-0.04</formula>
      <formula>-1</formula>
    </cfRule>
  </conditionalFormatting>
  <conditionalFormatting sqref="BM690:BM695">
    <cfRule type="cellIs" dxfId="1030" priority="1038" operator="between">
      <formula>8</formula>
      <formula>60</formula>
    </cfRule>
  </conditionalFormatting>
  <conditionalFormatting sqref="CE709:CE710">
    <cfRule type="cellIs" dxfId="1029" priority="1039" operator="between">
      <formula>-0.04</formula>
      <formula>-1</formula>
    </cfRule>
  </conditionalFormatting>
  <conditionalFormatting sqref="BM723">
    <cfRule type="cellIs" dxfId="1028" priority="1034" operator="between">
      <formula>8</formula>
      <formula>60</formula>
    </cfRule>
  </conditionalFormatting>
  <conditionalFormatting sqref="BM697:BM698">
    <cfRule type="cellIs" dxfId="1027" priority="1037" operator="between">
      <formula>8</formula>
      <formula>60</formula>
    </cfRule>
  </conditionalFormatting>
  <conditionalFormatting sqref="BM700:BM703">
    <cfRule type="cellIs" dxfId="1026" priority="1036" operator="between">
      <formula>8</formula>
      <formula>60</formula>
    </cfRule>
  </conditionalFormatting>
  <conditionalFormatting sqref="BM705:BM706">
    <cfRule type="cellIs" dxfId="1025" priority="1035" operator="between">
      <formula>8</formula>
      <formula>60</formula>
    </cfRule>
  </conditionalFormatting>
  <conditionalFormatting sqref="BM718:BM722">
    <cfRule type="cellIs" dxfId="1024" priority="1028" operator="between">
      <formula>8</formula>
      <formula>60</formula>
    </cfRule>
  </conditionalFormatting>
  <conditionalFormatting sqref="CE721:CE726">
    <cfRule type="cellIs" dxfId="1023" priority="1033" operator="between">
      <formula>-0.04</formula>
      <formula>-1</formula>
    </cfRule>
  </conditionalFormatting>
  <conditionalFormatting sqref="BM717">
    <cfRule type="cellIs" dxfId="1022" priority="1032" operator="between">
      <formula>8</formula>
      <formula>60</formula>
    </cfRule>
  </conditionalFormatting>
  <conditionalFormatting sqref="CE717:CE718">
    <cfRule type="cellIs" dxfId="1021" priority="1031" operator="between">
      <formula>-0.04</formula>
      <formula>-1</formula>
    </cfRule>
  </conditionalFormatting>
  <conditionalFormatting sqref="CE719:CE720">
    <cfRule type="cellIs" dxfId="1020" priority="1030" operator="between">
      <formula>-0.04</formula>
      <formula>-1</formula>
    </cfRule>
  </conditionalFormatting>
  <conditionalFormatting sqref="BM708:BM716">
    <cfRule type="cellIs" dxfId="1019" priority="1029" operator="between">
      <formula>8</formula>
      <formula>60</formula>
    </cfRule>
  </conditionalFormatting>
  <conditionalFormatting sqref="BM724:BM727">
    <cfRule type="cellIs" dxfId="1018" priority="1027" operator="between">
      <formula>8</formula>
      <formula>60</formula>
    </cfRule>
  </conditionalFormatting>
  <conditionalFormatting sqref="BM817">
    <cfRule type="cellIs" dxfId="1017" priority="1026" operator="between">
      <formula>8</formula>
      <formula>60</formula>
    </cfRule>
  </conditionalFormatting>
  <conditionalFormatting sqref="CE817">
    <cfRule type="cellIs" dxfId="1016" priority="1025" operator="between">
      <formula>-0.04</formula>
      <formula>-1</formula>
    </cfRule>
  </conditionalFormatting>
  <conditionalFormatting sqref="BM789">
    <cfRule type="cellIs" dxfId="1015" priority="1024" operator="between">
      <formula>8</formula>
      <formula>60</formula>
    </cfRule>
  </conditionalFormatting>
  <conditionalFormatting sqref="CE789:CE795">
    <cfRule type="cellIs" dxfId="1014" priority="1023" operator="between">
      <formula>-0.04</formula>
      <formula>-1</formula>
    </cfRule>
  </conditionalFormatting>
  <conditionalFormatting sqref="BM790:BM796">
    <cfRule type="cellIs" dxfId="1013" priority="1017" operator="between">
      <formula>8</formula>
      <formula>60</formula>
    </cfRule>
  </conditionalFormatting>
  <conditionalFormatting sqref="BM797">
    <cfRule type="cellIs" dxfId="1012" priority="1022" operator="between">
      <formula>8</formula>
      <formula>60</formula>
    </cfRule>
  </conditionalFormatting>
  <conditionalFormatting sqref="CE796:CE802">
    <cfRule type="cellIs" dxfId="1011" priority="1021" operator="between">
      <formula>-0.04</formula>
      <formula>-1</formula>
    </cfRule>
  </conditionalFormatting>
  <conditionalFormatting sqref="BM809">
    <cfRule type="cellIs" dxfId="1010" priority="1020" operator="between">
      <formula>8</formula>
      <formula>60</formula>
    </cfRule>
  </conditionalFormatting>
  <conditionalFormatting sqref="CE803:CE809">
    <cfRule type="cellIs" dxfId="1009" priority="1019" operator="between">
      <formula>-0.04</formula>
      <formula>-1</formula>
    </cfRule>
  </conditionalFormatting>
  <conditionalFormatting sqref="BM798:BM808">
    <cfRule type="cellIs" dxfId="1008" priority="1015" operator="between">
      <formula>8</formula>
      <formula>60</formula>
    </cfRule>
  </conditionalFormatting>
  <conditionalFormatting sqref="CE810:CE816">
    <cfRule type="cellIs" dxfId="1007" priority="1018" operator="between">
      <formula>-0.04</formula>
      <formula>-1</formula>
    </cfRule>
  </conditionalFormatting>
  <conditionalFormatting sqref="CE818:CE821">
    <cfRule type="cellIs" dxfId="1006" priority="1016" operator="between">
      <formula>-0.04</formula>
      <formula>-1</formula>
    </cfRule>
  </conditionalFormatting>
  <conditionalFormatting sqref="BM810:BM816">
    <cfRule type="cellIs" dxfId="1005" priority="1014" operator="between">
      <formula>8</formula>
      <formula>60</formula>
    </cfRule>
  </conditionalFormatting>
  <conditionalFormatting sqref="BM818:BM821">
    <cfRule type="cellIs" dxfId="1004" priority="1013" operator="between">
      <formula>8</formula>
      <formula>60</formula>
    </cfRule>
  </conditionalFormatting>
  <conditionalFormatting sqref="BM862 BM869">
    <cfRule type="cellIs" dxfId="1003" priority="1012" operator="between">
      <formula>8</formula>
      <formula>60</formula>
    </cfRule>
  </conditionalFormatting>
  <conditionalFormatting sqref="CE862:CE869">
    <cfRule type="cellIs" dxfId="1002" priority="1011" operator="between">
      <formula>-0.04</formula>
      <formula>-1</formula>
    </cfRule>
  </conditionalFormatting>
  <conditionalFormatting sqref="CE870:CE872">
    <cfRule type="cellIs" dxfId="1001" priority="1010" operator="between">
      <formula>-0.04</formula>
      <formula>-1</formula>
    </cfRule>
  </conditionalFormatting>
  <conditionalFormatting sqref="BM863:BM868">
    <cfRule type="cellIs" dxfId="1000" priority="1009" operator="between">
      <formula>8</formula>
      <formula>60</formula>
    </cfRule>
  </conditionalFormatting>
  <conditionalFormatting sqref="BM870:BM872">
    <cfRule type="cellIs" dxfId="999" priority="1008" operator="between">
      <formula>8</formula>
      <formula>60</formula>
    </cfRule>
  </conditionalFormatting>
  <conditionalFormatting sqref="BM118">
    <cfRule type="cellIs" dxfId="998" priority="1007" operator="between">
      <formula>8</formula>
      <formula>60</formula>
    </cfRule>
  </conditionalFormatting>
  <conditionalFormatting sqref="CE118">
    <cfRule type="cellIs" dxfId="997" priority="1006" operator="between">
      <formula>-0.04</formula>
      <formula>-1</formula>
    </cfRule>
  </conditionalFormatting>
  <conditionalFormatting sqref="BM1014">
    <cfRule type="cellIs" dxfId="996" priority="1005" operator="between">
      <formula>8</formula>
      <formula>60</formula>
    </cfRule>
  </conditionalFormatting>
  <conditionalFormatting sqref="CE1014">
    <cfRule type="cellIs" dxfId="995" priority="1004" operator="between">
      <formula>-0.04</formula>
      <formula>-1</formula>
    </cfRule>
  </conditionalFormatting>
  <conditionalFormatting sqref="BM1016:BM1017">
    <cfRule type="cellIs" dxfId="994" priority="1003" operator="between">
      <formula>8</formula>
      <formula>60</formula>
    </cfRule>
  </conditionalFormatting>
  <conditionalFormatting sqref="CE1016:CE1017">
    <cfRule type="cellIs" dxfId="993" priority="1002" operator="between">
      <formula>-0.04</formula>
      <formula>-1</formula>
    </cfRule>
  </conditionalFormatting>
  <conditionalFormatting sqref="CE1015">
    <cfRule type="cellIs" dxfId="992" priority="1001" operator="between">
      <formula>-0.04</formula>
      <formula>-1</formula>
    </cfRule>
  </conditionalFormatting>
  <conditionalFormatting sqref="BM1015:BM1017">
    <cfRule type="cellIs" dxfId="991" priority="1000" operator="between">
      <formula>8</formula>
      <formula>60</formula>
    </cfRule>
  </conditionalFormatting>
  <conditionalFormatting sqref="BM1018">
    <cfRule type="cellIs" dxfId="990" priority="999" operator="between">
      <formula>8</formula>
      <formula>60</formula>
    </cfRule>
  </conditionalFormatting>
  <conditionalFormatting sqref="CE1018">
    <cfRule type="cellIs" dxfId="989" priority="998" operator="between">
      <formula>-0.04</formula>
      <formula>-1</formula>
    </cfRule>
  </conditionalFormatting>
  <conditionalFormatting sqref="CE1019">
    <cfRule type="cellIs" dxfId="988" priority="997" operator="between">
      <formula>-0.04</formula>
      <formula>-1</formula>
    </cfRule>
  </conditionalFormatting>
  <conditionalFormatting sqref="BM1019">
    <cfRule type="cellIs" dxfId="987" priority="996" operator="between">
      <formula>8</formula>
      <formula>60</formula>
    </cfRule>
  </conditionalFormatting>
  <conditionalFormatting sqref="BM1041:BM1042 BM1044">
    <cfRule type="cellIs" dxfId="986" priority="995" operator="between">
      <formula>8</formula>
      <formula>60</formula>
    </cfRule>
  </conditionalFormatting>
  <conditionalFormatting sqref="CE1044 CE1041:CE1042">
    <cfRule type="cellIs" dxfId="985" priority="994" operator="between">
      <formula>-0.04</formula>
      <formula>-1</formula>
    </cfRule>
  </conditionalFormatting>
  <conditionalFormatting sqref="CE1043">
    <cfRule type="cellIs" dxfId="984" priority="993" operator="between">
      <formula>-0.04</formula>
      <formula>-1</formula>
    </cfRule>
  </conditionalFormatting>
  <conditionalFormatting sqref="BM1043">
    <cfRule type="cellIs" dxfId="983" priority="992" operator="between">
      <formula>8</formula>
      <formula>60</formula>
    </cfRule>
  </conditionalFormatting>
  <conditionalFormatting sqref="CE1058:CE1059">
    <cfRule type="cellIs" dxfId="982" priority="991" operator="between">
      <formula>-0.04</formula>
      <formula>-1</formula>
    </cfRule>
  </conditionalFormatting>
  <conditionalFormatting sqref="BM1060">
    <cfRule type="cellIs" dxfId="981" priority="990" operator="between">
      <formula>8</formula>
      <formula>60</formula>
    </cfRule>
  </conditionalFormatting>
  <conditionalFormatting sqref="CE1060">
    <cfRule type="cellIs" dxfId="980" priority="989" operator="between">
      <formula>-0.04</formula>
      <formula>-1</formula>
    </cfRule>
  </conditionalFormatting>
  <conditionalFormatting sqref="BM1058:BM1060">
    <cfRule type="cellIs" dxfId="979" priority="988" operator="between">
      <formula>8</formula>
      <formula>60</formula>
    </cfRule>
  </conditionalFormatting>
  <conditionalFormatting sqref="BM1154:BM1156">
    <cfRule type="cellIs" dxfId="978" priority="985" operator="between">
      <formula>8</formula>
      <formula>60</formula>
    </cfRule>
  </conditionalFormatting>
  <conditionalFormatting sqref="BM1155">
    <cfRule type="cellIs" dxfId="977" priority="983" operator="between">
      <formula>8</formula>
      <formula>60</formula>
    </cfRule>
  </conditionalFormatting>
  <conditionalFormatting sqref="BM1156">
    <cfRule type="cellIs" dxfId="976" priority="987" operator="between">
      <formula>8</formula>
      <formula>60</formula>
    </cfRule>
  </conditionalFormatting>
  <conditionalFormatting sqref="CE1156">
    <cfRule type="cellIs" dxfId="975" priority="986" operator="between">
      <formula>-0.04</formula>
      <formula>-1</formula>
    </cfRule>
  </conditionalFormatting>
  <conditionalFormatting sqref="CE1154">
    <cfRule type="cellIs" dxfId="974" priority="984" operator="between">
      <formula>-0.04</formula>
      <formula>-1</formula>
    </cfRule>
  </conditionalFormatting>
  <conditionalFormatting sqref="CE1155">
    <cfRule type="cellIs" dxfId="973" priority="982" operator="between">
      <formula>-0.04</formula>
      <formula>-1</formula>
    </cfRule>
  </conditionalFormatting>
  <conditionalFormatting sqref="BM1167:BM1169">
    <cfRule type="cellIs" dxfId="972" priority="981" operator="between">
      <formula>8</formula>
      <formula>60</formula>
    </cfRule>
  </conditionalFormatting>
  <conditionalFormatting sqref="CE1167">
    <cfRule type="cellIs" dxfId="971" priority="980" operator="between">
      <formula>-0.04</formula>
      <formula>-1</formula>
    </cfRule>
  </conditionalFormatting>
  <conditionalFormatting sqref="BM1168">
    <cfRule type="cellIs" dxfId="970" priority="979" operator="between">
      <formula>8</formula>
      <formula>60</formula>
    </cfRule>
  </conditionalFormatting>
  <conditionalFormatting sqref="BM1169">
    <cfRule type="cellIs" dxfId="969" priority="977" operator="between">
      <formula>8</formula>
      <formula>60</formula>
    </cfRule>
  </conditionalFormatting>
  <conditionalFormatting sqref="CE1168">
    <cfRule type="cellIs" dxfId="968" priority="978" operator="between">
      <formula>-0.04</formula>
      <formula>-1</formula>
    </cfRule>
  </conditionalFormatting>
  <conditionalFormatting sqref="CE1169">
    <cfRule type="cellIs" dxfId="967" priority="976" operator="between">
      <formula>-0.04</formula>
      <formula>-1</formula>
    </cfRule>
  </conditionalFormatting>
  <conditionalFormatting sqref="CE733">
    <cfRule type="cellIs" dxfId="966" priority="974" operator="between">
      <formula>-0.04</formula>
      <formula>-1</formula>
    </cfRule>
  </conditionalFormatting>
  <conditionalFormatting sqref="BM733">
    <cfRule type="cellIs" dxfId="965" priority="975" operator="between">
      <formula>8</formula>
      <formula>60</formula>
    </cfRule>
  </conditionalFormatting>
  <conditionalFormatting sqref="BM732">
    <cfRule type="cellIs" dxfId="964" priority="973" operator="between">
      <formula>8</formula>
      <formula>60</formula>
    </cfRule>
  </conditionalFormatting>
  <conditionalFormatting sqref="CE732">
    <cfRule type="cellIs" dxfId="963" priority="972" operator="between">
      <formula>-0.04</formula>
      <formula>-1</formula>
    </cfRule>
  </conditionalFormatting>
  <conditionalFormatting sqref="BM731:BM733">
    <cfRule type="cellIs" dxfId="962" priority="971" operator="between">
      <formula>8</formula>
      <formula>60</formula>
    </cfRule>
  </conditionalFormatting>
  <conditionalFormatting sqref="CE731">
    <cfRule type="cellIs" dxfId="961" priority="970" operator="between">
      <formula>-0.04</formula>
      <formula>-1</formula>
    </cfRule>
  </conditionalFormatting>
  <conditionalFormatting sqref="CE730">
    <cfRule type="cellIs" dxfId="960" priority="969" operator="between">
      <formula>-0.04</formula>
      <formula>-1</formula>
    </cfRule>
  </conditionalFormatting>
  <conditionalFormatting sqref="CE729">
    <cfRule type="cellIs" dxfId="959" priority="968" operator="between">
      <formula>-0.04</formula>
      <formula>-1</formula>
    </cfRule>
  </conditionalFormatting>
  <conditionalFormatting sqref="BM728">
    <cfRule type="cellIs" dxfId="958" priority="967" operator="between">
      <formula>8</formula>
      <formula>60</formula>
    </cfRule>
  </conditionalFormatting>
  <conditionalFormatting sqref="CE728">
    <cfRule type="cellIs" dxfId="957" priority="966" operator="between">
      <formula>-0.04</formula>
      <formula>-1</formula>
    </cfRule>
  </conditionalFormatting>
  <conditionalFormatting sqref="BM734:BM736">
    <cfRule type="cellIs" dxfId="956" priority="936" operator="between">
      <formula>8</formula>
      <formula>60</formula>
    </cfRule>
  </conditionalFormatting>
  <conditionalFormatting sqref="BM748">
    <cfRule type="cellIs" dxfId="955" priority="962" operator="between">
      <formula>8</formula>
      <formula>60</formula>
    </cfRule>
  </conditionalFormatting>
  <conditionalFormatting sqref="BM747">
    <cfRule type="cellIs" dxfId="954" priority="960" operator="between">
      <formula>8</formula>
      <formula>60</formula>
    </cfRule>
  </conditionalFormatting>
  <conditionalFormatting sqref="BM729">
    <cfRule type="cellIs" dxfId="953" priority="965" operator="between">
      <formula>8</formula>
      <formula>60</formula>
    </cfRule>
  </conditionalFormatting>
  <conditionalFormatting sqref="BM730">
    <cfRule type="cellIs" dxfId="952" priority="964" operator="between">
      <formula>8</formula>
      <formula>60</formula>
    </cfRule>
  </conditionalFormatting>
  <conditionalFormatting sqref="CE749">
    <cfRule type="cellIs" dxfId="951" priority="963" operator="between">
      <formula>-0.04</formula>
      <formula>-1</formula>
    </cfRule>
  </conditionalFormatting>
  <conditionalFormatting sqref="BM738">
    <cfRule type="cellIs" dxfId="950" priority="934" operator="between">
      <formula>8</formula>
      <formula>60</formula>
    </cfRule>
  </conditionalFormatting>
  <conditionalFormatting sqref="CE748">
    <cfRule type="cellIs" dxfId="949" priority="961" operator="between">
      <formula>-0.04</formula>
      <formula>-1</formula>
    </cfRule>
  </conditionalFormatting>
  <conditionalFormatting sqref="BM739">
    <cfRule type="cellIs" dxfId="948" priority="945" operator="between">
      <formula>8</formula>
      <formula>60</formula>
    </cfRule>
  </conditionalFormatting>
  <conditionalFormatting sqref="CE747">
    <cfRule type="cellIs" dxfId="947" priority="959" operator="between">
      <formula>-0.04</formula>
      <formula>-1</formula>
    </cfRule>
  </conditionalFormatting>
  <conditionalFormatting sqref="BM746">
    <cfRule type="cellIs" dxfId="946" priority="958" operator="between">
      <formula>8</formula>
      <formula>60</formula>
    </cfRule>
  </conditionalFormatting>
  <conditionalFormatting sqref="CE746">
    <cfRule type="cellIs" dxfId="945" priority="957" operator="between">
      <formula>-0.04</formula>
      <formula>-1</formula>
    </cfRule>
  </conditionalFormatting>
  <conditionalFormatting sqref="CE745">
    <cfRule type="cellIs" dxfId="944" priority="955" operator="between">
      <formula>-0.04</formula>
      <formula>-1</formula>
    </cfRule>
  </conditionalFormatting>
  <conditionalFormatting sqref="BM745">
    <cfRule type="cellIs" dxfId="943" priority="956" operator="between">
      <formula>8</formula>
      <formula>60</formula>
    </cfRule>
  </conditionalFormatting>
  <conditionalFormatting sqref="CE744">
    <cfRule type="cellIs" dxfId="942" priority="953" operator="between">
      <formula>-0.04</formula>
      <formula>-1</formula>
    </cfRule>
  </conditionalFormatting>
  <conditionalFormatting sqref="BM744">
    <cfRule type="cellIs" dxfId="941" priority="954" operator="between">
      <formula>8</formula>
      <formula>60</formula>
    </cfRule>
  </conditionalFormatting>
  <conditionalFormatting sqref="BM743">
    <cfRule type="cellIs" dxfId="940" priority="952" operator="between">
      <formula>8</formula>
      <formula>60</formula>
    </cfRule>
  </conditionalFormatting>
  <conditionalFormatting sqref="CE743">
    <cfRule type="cellIs" dxfId="939" priority="951" operator="between">
      <formula>-0.04</formula>
      <formula>-1</formula>
    </cfRule>
  </conditionalFormatting>
  <conditionalFormatting sqref="BM742:BM747">
    <cfRule type="cellIs" dxfId="938" priority="950" operator="between">
      <formula>8</formula>
      <formula>60</formula>
    </cfRule>
  </conditionalFormatting>
  <conditionalFormatting sqref="CE742">
    <cfRule type="cellIs" dxfId="937" priority="949" operator="between">
      <formula>-0.04</formula>
      <formula>-1</formula>
    </cfRule>
  </conditionalFormatting>
  <conditionalFormatting sqref="BM740">
    <cfRule type="cellIs" dxfId="936" priority="947" operator="between">
      <formula>8</formula>
      <formula>60</formula>
    </cfRule>
  </conditionalFormatting>
  <conditionalFormatting sqref="CE741">
    <cfRule type="cellIs" dxfId="935" priority="948" operator="between">
      <formula>-0.04</formula>
      <formula>-1</formula>
    </cfRule>
  </conditionalFormatting>
  <conditionalFormatting sqref="CE740">
    <cfRule type="cellIs" dxfId="934" priority="946" operator="between">
      <formula>-0.04</formula>
      <formula>-1</formula>
    </cfRule>
  </conditionalFormatting>
  <conditionalFormatting sqref="CE739">
    <cfRule type="cellIs" dxfId="933" priority="944" operator="between">
      <formula>-0.04</formula>
      <formula>-1</formula>
    </cfRule>
  </conditionalFormatting>
  <conditionalFormatting sqref="BM737">
    <cfRule type="cellIs" dxfId="932" priority="942" operator="between">
      <formula>8</formula>
      <formula>60</formula>
    </cfRule>
  </conditionalFormatting>
  <conditionalFormatting sqref="CE738">
    <cfRule type="cellIs" dxfId="931" priority="943" operator="between">
      <formula>-0.04</formula>
      <formula>-1</formula>
    </cfRule>
  </conditionalFormatting>
  <conditionalFormatting sqref="CE737">
    <cfRule type="cellIs" dxfId="930" priority="941" operator="between">
      <formula>-0.04</formula>
      <formula>-1</formula>
    </cfRule>
  </conditionalFormatting>
  <conditionalFormatting sqref="CE736">
    <cfRule type="cellIs" dxfId="929" priority="939" operator="between">
      <formula>-0.04</formula>
      <formula>-1</formula>
    </cfRule>
  </conditionalFormatting>
  <conditionalFormatting sqref="BM736">
    <cfRule type="cellIs" dxfId="928" priority="940" operator="between">
      <formula>8</formula>
      <formula>60</formula>
    </cfRule>
  </conditionalFormatting>
  <conditionalFormatting sqref="BM735">
    <cfRule type="cellIs" dxfId="927" priority="938" operator="between">
      <formula>8</formula>
      <formula>60</formula>
    </cfRule>
  </conditionalFormatting>
  <conditionalFormatting sqref="CE735">
    <cfRule type="cellIs" dxfId="926" priority="937" operator="between">
      <formula>-0.04</formula>
      <formula>-1</formula>
    </cfRule>
  </conditionalFormatting>
  <conditionalFormatting sqref="CE734">
    <cfRule type="cellIs" dxfId="925" priority="935" operator="between">
      <formula>-0.04</formula>
      <formula>-1</formula>
    </cfRule>
  </conditionalFormatting>
  <conditionalFormatting sqref="BM741">
    <cfRule type="cellIs" dxfId="924" priority="933" operator="between">
      <formula>8</formula>
      <formula>60</formula>
    </cfRule>
  </conditionalFormatting>
  <conditionalFormatting sqref="BM749">
    <cfRule type="cellIs" dxfId="923" priority="932" operator="between">
      <formula>8</formula>
      <formula>60</formula>
    </cfRule>
  </conditionalFormatting>
  <conditionalFormatting sqref="CE752">
    <cfRule type="cellIs" dxfId="922" priority="931" operator="between">
      <formula>-0.04</formula>
      <formula>-1</formula>
    </cfRule>
  </conditionalFormatting>
  <conditionalFormatting sqref="BM751">
    <cfRule type="cellIs" dxfId="921" priority="930" operator="between">
      <formula>8</formula>
      <formula>60</formula>
    </cfRule>
  </conditionalFormatting>
  <conditionalFormatting sqref="CE751">
    <cfRule type="cellIs" dxfId="920" priority="929" operator="between">
      <formula>-0.04</formula>
      <formula>-1</formula>
    </cfRule>
  </conditionalFormatting>
  <conditionalFormatting sqref="BM750">
    <cfRule type="cellIs" dxfId="919" priority="928" operator="between">
      <formula>8</formula>
      <formula>60</formula>
    </cfRule>
  </conditionalFormatting>
  <conditionalFormatting sqref="CE750">
    <cfRule type="cellIs" dxfId="918" priority="927" operator="between">
      <formula>-0.04</formula>
      <formula>-1</formula>
    </cfRule>
  </conditionalFormatting>
  <conditionalFormatting sqref="BM752">
    <cfRule type="cellIs" dxfId="917" priority="926" operator="between">
      <formula>8</formula>
      <formula>60</formula>
    </cfRule>
  </conditionalFormatting>
  <conditionalFormatting sqref="CE825">
    <cfRule type="cellIs" dxfId="916" priority="924" operator="between">
      <formula>-0.04</formula>
      <formula>-1</formula>
    </cfRule>
  </conditionalFormatting>
  <conditionalFormatting sqref="BM825">
    <cfRule type="cellIs" dxfId="915" priority="925" operator="between">
      <formula>8</formula>
      <formula>60</formula>
    </cfRule>
  </conditionalFormatting>
  <conditionalFormatting sqref="CE824">
    <cfRule type="cellIs" dxfId="914" priority="921" operator="between">
      <formula>-0.04</formula>
      <formula>-1</formula>
    </cfRule>
  </conditionalFormatting>
  <conditionalFormatting sqref="BM824">
    <cfRule type="cellIs" dxfId="913" priority="922" operator="between">
      <formula>8</formula>
      <formula>60</formula>
    </cfRule>
  </conditionalFormatting>
  <conditionalFormatting sqref="CE822">
    <cfRule type="cellIs" dxfId="912" priority="919" operator="between">
      <formula>-0.04</formula>
      <formula>-1</formula>
    </cfRule>
  </conditionalFormatting>
  <conditionalFormatting sqref="BM822:BM824">
    <cfRule type="cellIs" dxfId="911" priority="920" operator="between">
      <formula>8</formula>
      <formula>60</formula>
    </cfRule>
  </conditionalFormatting>
  <conditionalFormatting sqref="CE823">
    <cfRule type="cellIs" dxfId="910" priority="917" operator="between">
      <formula>-0.04</formula>
      <formula>-1</formula>
    </cfRule>
  </conditionalFormatting>
  <conditionalFormatting sqref="BM823">
    <cfRule type="cellIs" dxfId="909" priority="918" operator="between">
      <formula>8</formula>
      <formula>60</formula>
    </cfRule>
  </conditionalFormatting>
  <conditionalFormatting sqref="CE826">
    <cfRule type="cellIs" dxfId="908" priority="923" operator="between">
      <formula>-0.04</formula>
      <formula>-1</formula>
    </cfRule>
  </conditionalFormatting>
  <conditionalFormatting sqref="BM826">
    <cfRule type="cellIs" dxfId="907" priority="916" operator="between">
      <formula>8</formula>
      <formula>60</formula>
    </cfRule>
  </conditionalFormatting>
  <conditionalFormatting sqref="BM1312">
    <cfRule type="cellIs" dxfId="906" priority="915" operator="between">
      <formula>8</formula>
      <formula>60</formula>
    </cfRule>
  </conditionalFormatting>
  <conditionalFormatting sqref="CE1314 CE1312">
    <cfRule type="cellIs" dxfId="905" priority="914" operator="between">
      <formula>-0.04</formula>
      <formula>-1</formula>
    </cfRule>
  </conditionalFormatting>
  <conditionalFormatting sqref="BM1314">
    <cfRule type="cellIs" dxfId="904" priority="913" operator="between">
      <formula>8</formula>
      <formula>60</formula>
    </cfRule>
  </conditionalFormatting>
  <conditionalFormatting sqref="CE1313">
    <cfRule type="cellIs" dxfId="903" priority="911" operator="between">
      <formula>-0.04</formula>
      <formula>-1</formula>
    </cfRule>
  </conditionalFormatting>
  <conditionalFormatting sqref="BM1313">
    <cfRule type="cellIs" dxfId="902" priority="912" operator="between">
      <formula>8</formula>
      <formula>60</formula>
    </cfRule>
  </conditionalFormatting>
  <conditionalFormatting sqref="BM1319">
    <cfRule type="cellIs" dxfId="901" priority="897" operator="between">
      <formula>8</formula>
      <formula>60</formula>
    </cfRule>
  </conditionalFormatting>
  <conditionalFormatting sqref="CE1323">
    <cfRule type="cellIs" dxfId="900" priority="910" operator="between">
      <formula>-0.04</formula>
      <formula>-1</formula>
    </cfRule>
  </conditionalFormatting>
  <conditionalFormatting sqref="CE1322">
    <cfRule type="cellIs" dxfId="899" priority="908" operator="between">
      <formula>-0.04</formula>
      <formula>-1</formula>
    </cfRule>
  </conditionalFormatting>
  <conditionalFormatting sqref="BM1322">
    <cfRule type="cellIs" dxfId="898" priority="909" operator="between">
      <formula>8</formula>
      <formula>60</formula>
    </cfRule>
  </conditionalFormatting>
  <conditionalFormatting sqref="CE1321">
    <cfRule type="cellIs" dxfId="897" priority="907" operator="between">
      <formula>-0.04</formula>
      <formula>-1</formula>
    </cfRule>
  </conditionalFormatting>
  <conditionalFormatting sqref="CE1320">
    <cfRule type="cellIs" dxfId="896" priority="905" operator="between">
      <formula>-0.04</formula>
      <formula>-1</formula>
    </cfRule>
  </conditionalFormatting>
  <conditionalFormatting sqref="BM1320">
    <cfRule type="cellIs" dxfId="895" priority="906" operator="between">
      <formula>8</formula>
      <formula>60</formula>
    </cfRule>
  </conditionalFormatting>
  <conditionalFormatting sqref="BM1318">
    <cfRule type="cellIs" dxfId="894" priority="904" operator="between">
      <formula>8</formula>
      <formula>60</formula>
    </cfRule>
  </conditionalFormatting>
  <conditionalFormatting sqref="CE1317:CE1319">
    <cfRule type="cellIs" dxfId="893" priority="903" operator="between">
      <formula>-0.04</formula>
      <formula>-1</formula>
    </cfRule>
  </conditionalFormatting>
  <conditionalFormatting sqref="CE1316">
    <cfRule type="cellIs" dxfId="892" priority="901" operator="between">
      <formula>-0.04</formula>
      <formula>-1</formula>
    </cfRule>
  </conditionalFormatting>
  <conditionalFormatting sqref="BM1316">
    <cfRule type="cellIs" dxfId="891" priority="902" operator="between">
      <formula>8</formula>
      <formula>60</formula>
    </cfRule>
  </conditionalFormatting>
  <conditionalFormatting sqref="BM1315">
    <cfRule type="cellIs" dxfId="890" priority="900" operator="between">
      <formula>8</formula>
      <formula>60</formula>
    </cfRule>
  </conditionalFormatting>
  <conditionalFormatting sqref="CE1315">
    <cfRule type="cellIs" dxfId="889" priority="899" operator="between">
      <formula>-0.04</formula>
      <formula>-1</formula>
    </cfRule>
  </conditionalFormatting>
  <conditionalFormatting sqref="BM1317">
    <cfRule type="cellIs" dxfId="888" priority="898" operator="between">
      <formula>8</formula>
      <formula>60</formula>
    </cfRule>
  </conditionalFormatting>
  <conditionalFormatting sqref="BM1321">
    <cfRule type="cellIs" dxfId="887" priority="896" operator="between">
      <formula>8</formula>
      <formula>60</formula>
    </cfRule>
  </conditionalFormatting>
  <conditionalFormatting sqref="BM1323">
    <cfRule type="cellIs" dxfId="886" priority="895" operator="between">
      <formula>8</formula>
      <formula>60</formula>
    </cfRule>
  </conditionalFormatting>
  <conditionalFormatting sqref="CE1379:CE1381">
    <cfRule type="cellIs" dxfId="885" priority="894" operator="between">
      <formula>-0.04</formula>
      <formula>-1</formula>
    </cfRule>
  </conditionalFormatting>
  <conditionalFormatting sqref="BM1379 BM1381">
    <cfRule type="cellIs" dxfId="884" priority="893" operator="between">
      <formula>8</formula>
      <formula>60</formula>
    </cfRule>
  </conditionalFormatting>
  <conditionalFormatting sqref="BM1380">
    <cfRule type="cellIs" dxfId="883" priority="892" operator="between">
      <formula>8</formula>
      <formula>60</formula>
    </cfRule>
  </conditionalFormatting>
  <conditionalFormatting sqref="BM1606">
    <cfRule type="cellIs" dxfId="882" priority="891" operator="between">
      <formula>8</formula>
      <formula>60</formula>
    </cfRule>
  </conditionalFormatting>
  <conditionalFormatting sqref="CE1606">
    <cfRule type="cellIs" dxfId="881" priority="890" operator="between">
      <formula>-0.04</formula>
      <formula>-1</formula>
    </cfRule>
  </conditionalFormatting>
  <conditionalFormatting sqref="CE1607">
    <cfRule type="cellIs" dxfId="880" priority="889" operator="between">
      <formula>-0.04</formula>
      <formula>-1</formula>
    </cfRule>
  </conditionalFormatting>
  <conditionalFormatting sqref="BM1607">
    <cfRule type="cellIs" dxfId="879" priority="888" operator="between">
      <formula>8</formula>
      <formula>60</formula>
    </cfRule>
  </conditionalFormatting>
  <conditionalFormatting sqref="BM583">
    <cfRule type="cellIs" dxfId="878" priority="887" operator="between">
      <formula>8</formula>
      <formula>60</formula>
    </cfRule>
  </conditionalFormatting>
  <conditionalFormatting sqref="CE583">
    <cfRule type="cellIs" dxfId="877" priority="886" operator="between">
      <formula>-0.04</formula>
      <formula>-1</formula>
    </cfRule>
  </conditionalFormatting>
  <conditionalFormatting sqref="BM579">
    <cfRule type="cellIs" dxfId="876" priority="881" operator="between">
      <formula>8</formula>
      <formula>60</formula>
    </cfRule>
  </conditionalFormatting>
  <conditionalFormatting sqref="BM582">
    <cfRule type="cellIs" dxfId="875" priority="885" operator="between">
      <formula>8</formula>
      <formula>60</formula>
    </cfRule>
  </conditionalFormatting>
  <conditionalFormatting sqref="CE582">
    <cfRule type="cellIs" dxfId="874" priority="884" operator="between">
      <formula>-0.04</formula>
      <formula>-1</formula>
    </cfRule>
  </conditionalFormatting>
  <conditionalFormatting sqref="CE579">
    <cfRule type="cellIs" dxfId="873" priority="880" operator="between">
      <formula>-0.04</formula>
      <formula>-1</formula>
    </cfRule>
  </conditionalFormatting>
  <conditionalFormatting sqref="CE580">
    <cfRule type="cellIs" dxfId="872" priority="879" operator="between">
      <formula>-0.04</formula>
      <formula>-1</formula>
    </cfRule>
  </conditionalFormatting>
  <conditionalFormatting sqref="BM578">
    <cfRule type="cellIs" dxfId="871" priority="878" operator="between">
      <formula>8</formula>
      <formula>60</formula>
    </cfRule>
  </conditionalFormatting>
  <conditionalFormatting sqref="CE578">
    <cfRule type="cellIs" dxfId="870" priority="877" operator="between">
      <formula>-0.04</formula>
      <formula>-1</formula>
    </cfRule>
  </conditionalFormatting>
  <conditionalFormatting sqref="BM581:BM583">
    <cfRule type="cellIs" dxfId="869" priority="883" operator="between">
      <formula>8</formula>
      <formula>60</formula>
    </cfRule>
  </conditionalFormatting>
  <conditionalFormatting sqref="CE581">
    <cfRule type="cellIs" dxfId="868" priority="882" operator="between">
      <formula>-0.04</formula>
      <formula>-1</formula>
    </cfRule>
  </conditionalFormatting>
  <conditionalFormatting sqref="BM577">
    <cfRule type="cellIs" dxfId="867" priority="876" operator="between">
      <formula>8</formula>
      <formula>60</formula>
    </cfRule>
  </conditionalFormatting>
  <conditionalFormatting sqref="CE577">
    <cfRule type="cellIs" dxfId="866" priority="875" operator="between">
      <formula>-0.04</formula>
      <formula>-1</formula>
    </cfRule>
  </conditionalFormatting>
  <conditionalFormatting sqref="CE576">
    <cfRule type="cellIs" dxfId="865" priority="873" operator="between">
      <formula>-0.04</formula>
      <formula>-1</formula>
    </cfRule>
  </conditionalFormatting>
  <conditionalFormatting sqref="BM576">
    <cfRule type="cellIs" dxfId="864" priority="874" operator="between">
      <formula>8</formula>
      <formula>60</formula>
    </cfRule>
  </conditionalFormatting>
  <conditionalFormatting sqref="BM575:BM578">
    <cfRule type="cellIs" dxfId="863" priority="872" operator="between">
      <formula>8</formula>
      <formula>60</formula>
    </cfRule>
  </conditionalFormatting>
  <conditionalFormatting sqref="CE575">
    <cfRule type="cellIs" dxfId="862" priority="871" operator="between">
      <formula>-0.04</formula>
      <formula>-1</formula>
    </cfRule>
  </conditionalFormatting>
  <conditionalFormatting sqref="BM580">
    <cfRule type="cellIs" dxfId="861" priority="870" operator="between">
      <formula>8</formula>
      <formula>60</formula>
    </cfRule>
  </conditionalFormatting>
  <conditionalFormatting sqref="BM504">
    <cfRule type="cellIs" dxfId="860" priority="869" operator="between">
      <formula>8</formula>
      <formula>60</formula>
    </cfRule>
  </conditionalFormatting>
  <conditionalFormatting sqref="CE504">
    <cfRule type="cellIs" dxfId="859" priority="868" operator="between">
      <formula>-0.04</formula>
      <formula>-1</formula>
    </cfRule>
  </conditionalFormatting>
  <conditionalFormatting sqref="BM503">
    <cfRule type="cellIs" dxfId="858" priority="867" operator="between">
      <formula>8</formula>
      <formula>60</formula>
    </cfRule>
  </conditionalFormatting>
  <conditionalFormatting sqref="CE503">
    <cfRule type="cellIs" dxfId="857" priority="866" operator="between">
      <formula>-0.04</formula>
      <formula>-1</formula>
    </cfRule>
  </conditionalFormatting>
  <conditionalFormatting sqref="CE493">
    <cfRule type="cellIs" dxfId="856" priority="863" operator="between">
      <formula>-0.04</formula>
      <formula>-1</formula>
    </cfRule>
  </conditionalFormatting>
  <conditionalFormatting sqref="BM502">
    <cfRule type="cellIs" dxfId="855" priority="865" operator="between">
      <formula>8</formula>
      <formula>60</formula>
    </cfRule>
  </conditionalFormatting>
  <conditionalFormatting sqref="CE502">
    <cfRule type="cellIs" dxfId="854" priority="864" operator="between">
      <formula>-0.04</formula>
      <formula>-1</formula>
    </cfRule>
  </conditionalFormatting>
  <conditionalFormatting sqref="BM492">
    <cfRule type="cellIs" dxfId="853" priority="862" operator="between">
      <formula>8</formula>
      <formula>60</formula>
    </cfRule>
  </conditionalFormatting>
  <conditionalFormatting sqref="CE492">
    <cfRule type="cellIs" dxfId="852" priority="861" operator="between">
      <formula>-0.04</formula>
      <formula>-1</formula>
    </cfRule>
  </conditionalFormatting>
  <conditionalFormatting sqref="BM493">
    <cfRule type="cellIs" dxfId="851" priority="860" operator="between">
      <formula>8</formula>
      <formula>60</formula>
    </cfRule>
  </conditionalFormatting>
  <conditionalFormatting sqref="BM497">
    <cfRule type="cellIs" dxfId="850" priority="852" operator="between">
      <formula>8</formula>
      <formula>60</formula>
    </cfRule>
  </conditionalFormatting>
  <conditionalFormatting sqref="BM501:BM504">
    <cfRule type="cellIs" dxfId="849" priority="859" operator="between">
      <formula>8</formula>
      <formula>60</formula>
    </cfRule>
  </conditionalFormatting>
  <conditionalFormatting sqref="CE501">
    <cfRule type="cellIs" dxfId="848" priority="858" operator="between">
      <formula>-0.04</formula>
      <formula>-1</formula>
    </cfRule>
  </conditionalFormatting>
  <conditionalFormatting sqref="BM499">
    <cfRule type="cellIs" dxfId="847" priority="856" operator="between">
      <formula>8</formula>
      <formula>60</formula>
    </cfRule>
  </conditionalFormatting>
  <conditionalFormatting sqref="CE499">
    <cfRule type="cellIs" dxfId="846" priority="855" operator="between">
      <formula>-0.04</formula>
      <formula>-1</formula>
    </cfRule>
  </conditionalFormatting>
  <conditionalFormatting sqref="BM498">
    <cfRule type="cellIs" dxfId="845" priority="854" operator="between">
      <formula>8</formula>
      <formula>60</formula>
    </cfRule>
  </conditionalFormatting>
  <conditionalFormatting sqref="CE500">
    <cfRule type="cellIs" dxfId="844" priority="857" operator="between">
      <formula>-0.04</formula>
      <formula>-1</formula>
    </cfRule>
  </conditionalFormatting>
  <conditionalFormatting sqref="CE498">
    <cfRule type="cellIs" dxfId="843" priority="853" operator="between">
      <formula>-0.04</formula>
      <formula>-1</formula>
    </cfRule>
  </conditionalFormatting>
  <conditionalFormatting sqref="BM496">
    <cfRule type="cellIs" dxfId="842" priority="850" operator="between">
      <formula>8</formula>
      <formula>60</formula>
    </cfRule>
  </conditionalFormatting>
  <conditionalFormatting sqref="CE497">
    <cfRule type="cellIs" dxfId="841" priority="851" operator="between">
      <formula>-0.04</formula>
      <formula>-1</formula>
    </cfRule>
  </conditionalFormatting>
  <conditionalFormatting sqref="CE496">
    <cfRule type="cellIs" dxfId="840" priority="849" operator="between">
      <formula>-0.04</formula>
      <formula>-1</formula>
    </cfRule>
  </conditionalFormatting>
  <conditionalFormatting sqref="BM495">
    <cfRule type="cellIs" dxfId="839" priority="848" operator="between">
      <formula>8</formula>
      <formula>60</formula>
    </cfRule>
  </conditionalFormatting>
  <conditionalFormatting sqref="CE495">
    <cfRule type="cellIs" dxfId="838" priority="847" operator="between">
      <formula>-0.04</formula>
      <formula>-1</formula>
    </cfRule>
  </conditionalFormatting>
  <conditionalFormatting sqref="BM494:BM496">
    <cfRule type="cellIs" dxfId="837" priority="846" operator="between">
      <formula>8</formula>
      <formula>60</formula>
    </cfRule>
  </conditionalFormatting>
  <conditionalFormatting sqref="CE494">
    <cfRule type="cellIs" dxfId="836" priority="845" operator="between">
      <formula>-0.04</formula>
      <formula>-1</formula>
    </cfRule>
  </conditionalFormatting>
  <conditionalFormatting sqref="BM500">
    <cfRule type="cellIs" dxfId="835" priority="844" operator="between">
      <formula>8</formula>
      <formula>60</formula>
    </cfRule>
  </conditionalFormatting>
  <conditionalFormatting sqref="CE506">
    <cfRule type="cellIs" dxfId="834" priority="843" operator="between">
      <formula>-0.04</formula>
      <formula>-1</formula>
    </cfRule>
  </conditionalFormatting>
  <conditionalFormatting sqref="BM505">
    <cfRule type="cellIs" dxfId="833" priority="842" operator="between">
      <formula>8</formula>
      <formula>60</formula>
    </cfRule>
  </conditionalFormatting>
  <conditionalFormatting sqref="CE505">
    <cfRule type="cellIs" dxfId="832" priority="841" operator="between">
      <formula>-0.04</formula>
      <formula>-1</formula>
    </cfRule>
  </conditionalFormatting>
  <conditionalFormatting sqref="BM506">
    <cfRule type="cellIs" dxfId="831" priority="840" operator="between">
      <formula>8</formula>
      <formula>60</formula>
    </cfRule>
  </conditionalFormatting>
  <conditionalFormatting sqref="BM300">
    <cfRule type="cellIs" dxfId="830" priority="839" operator="between">
      <formula>8</formula>
      <formula>60</formula>
    </cfRule>
  </conditionalFormatting>
  <conditionalFormatting sqref="CE300">
    <cfRule type="cellIs" dxfId="829" priority="838" operator="between">
      <formula>-0.04</formula>
      <formula>-1</formula>
    </cfRule>
  </conditionalFormatting>
  <conditionalFormatting sqref="BM593:BM596 BM598">
    <cfRule type="cellIs" dxfId="828" priority="837" operator="between">
      <formula>8</formula>
      <formula>60</formula>
    </cfRule>
  </conditionalFormatting>
  <conditionalFormatting sqref="CE593">
    <cfRule type="cellIs" dxfId="827" priority="836" operator="between">
      <formula>-0.04</formula>
      <formula>-1</formula>
    </cfRule>
  </conditionalFormatting>
  <conditionalFormatting sqref="CE592">
    <cfRule type="cellIs" dxfId="826" priority="835" operator="between">
      <formula>-0.04</formula>
      <formula>-1</formula>
    </cfRule>
  </conditionalFormatting>
  <conditionalFormatting sqref="CE591">
    <cfRule type="cellIs" dxfId="825" priority="833" operator="between">
      <formula>-0.04</formula>
      <formula>-1</formula>
    </cfRule>
  </conditionalFormatting>
  <conditionalFormatting sqref="BM591">
    <cfRule type="cellIs" dxfId="824" priority="834" operator="between">
      <formula>8</formula>
      <formula>60</formula>
    </cfRule>
  </conditionalFormatting>
  <conditionalFormatting sqref="BM590">
    <cfRule type="cellIs" dxfId="823" priority="832" operator="between">
      <formula>8</formula>
      <formula>60</formula>
    </cfRule>
  </conditionalFormatting>
  <conditionalFormatting sqref="CE590">
    <cfRule type="cellIs" dxfId="822" priority="831" operator="between">
      <formula>-0.04</formula>
      <formula>-1</formula>
    </cfRule>
  </conditionalFormatting>
  <conditionalFormatting sqref="BM588:BM590">
    <cfRule type="cellIs" dxfId="821" priority="827" operator="between">
      <formula>8</formula>
      <formula>60</formula>
    </cfRule>
  </conditionalFormatting>
  <conditionalFormatting sqref="CE587">
    <cfRule type="cellIs" dxfId="820" priority="828" operator="between">
      <formula>-0.04</formula>
      <formula>-1</formula>
    </cfRule>
  </conditionalFormatting>
  <conditionalFormatting sqref="CE588">
    <cfRule type="cellIs" dxfId="819" priority="826" operator="between">
      <formula>-0.04</formula>
      <formula>-1</formula>
    </cfRule>
  </conditionalFormatting>
  <conditionalFormatting sqref="BM586">
    <cfRule type="cellIs" dxfId="818" priority="825" operator="between">
      <formula>8</formula>
      <formula>60</formula>
    </cfRule>
  </conditionalFormatting>
  <conditionalFormatting sqref="CE586">
    <cfRule type="cellIs" dxfId="817" priority="824" operator="between">
      <formula>-0.04</formula>
      <formula>-1</formula>
    </cfRule>
  </conditionalFormatting>
  <conditionalFormatting sqref="BM589">
    <cfRule type="cellIs" dxfId="816" priority="830" operator="between">
      <formula>8</formula>
      <formula>60</formula>
    </cfRule>
  </conditionalFormatting>
  <conditionalFormatting sqref="CE589">
    <cfRule type="cellIs" dxfId="815" priority="829" operator="between">
      <formula>-0.04</formula>
      <formula>-1</formula>
    </cfRule>
  </conditionalFormatting>
  <conditionalFormatting sqref="BM585">
    <cfRule type="cellIs" dxfId="814" priority="823" operator="between">
      <formula>8</formula>
      <formula>60</formula>
    </cfRule>
  </conditionalFormatting>
  <conditionalFormatting sqref="CE585">
    <cfRule type="cellIs" dxfId="813" priority="822" operator="between">
      <formula>-0.04</formula>
      <formula>-1</formula>
    </cfRule>
  </conditionalFormatting>
  <conditionalFormatting sqref="CE584">
    <cfRule type="cellIs" dxfId="812" priority="820" operator="between">
      <formula>-0.04</formula>
      <formula>-1</formula>
    </cfRule>
  </conditionalFormatting>
  <conditionalFormatting sqref="BM584">
    <cfRule type="cellIs" dxfId="811" priority="821" operator="between">
      <formula>8</formula>
      <formula>60</formula>
    </cfRule>
  </conditionalFormatting>
  <conditionalFormatting sqref="BM587">
    <cfRule type="cellIs" dxfId="810" priority="819" operator="between">
      <formula>8</formula>
      <formula>60</formula>
    </cfRule>
  </conditionalFormatting>
  <conditionalFormatting sqref="BM592">
    <cfRule type="cellIs" dxfId="809" priority="818" operator="between">
      <formula>8</formula>
      <formula>60</formula>
    </cfRule>
  </conditionalFormatting>
  <conditionalFormatting sqref="BM598">
    <cfRule type="cellIs" dxfId="808" priority="817" operator="between">
      <formula>8</formula>
      <formula>60</formula>
    </cfRule>
  </conditionalFormatting>
  <conditionalFormatting sqref="CE598">
    <cfRule type="cellIs" dxfId="807" priority="816" operator="between">
      <formula>-0.04</formula>
      <formula>-1</formula>
    </cfRule>
  </conditionalFormatting>
  <conditionalFormatting sqref="BM594">
    <cfRule type="cellIs" dxfId="806" priority="813" operator="between">
      <formula>8</formula>
      <formula>60</formula>
    </cfRule>
  </conditionalFormatting>
  <conditionalFormatting sqref="CE594">
    <cfRule type="cellIs" dxfId="805" priority="812" operator="between">
      <formula>-0.04</formula>
      <formula>-1</formula>
    </cfRule>
  </conditionalFormatting>
  <conditionalFormatting sqref="BM595">
    <cfRule type="cellIs" dxfId="804" priority="811" operator="between">
      <formula>8</formula>
      <formula>60</formula>
    </cfRule>
  </conditionalFormatting>
  <conditionalFormatting sqref="CE595">
    <cfRule type="cellIs" dxfId="803" priority="810" operator="between">
      <formula>-0.04</formula>
      <formula>-1</formula>
    </cfRule>
  </conditionalFormatting>
  <conditionalFormatting sqref="BM596">
    <cfRule type="cellIs" dxfId="802" priority="815" operator="between">
      <formula>8</formula>
      <formula>60</formula>
    </cfRule>
  </conditionalFormatting>
  <conditionalFormatting sqref="CE596">
    <cfRule type="cellIs" dxfId="801" priority="814" operator="between">
      <formula>-0.04</formula>
      <formula>-1</formula>
    </cfRule>
  </conditionalFormatting>
  <conditionalFormatting sqref="BM646:BM649">
    <cfRule type="cellIs" dxfId="800" priority="809" operator="between">
      <formula>8</formula>
      <formula>60</formula>
    </cfRule>
  </conditionalFormatting>
  <conditionalFormatting sqref="CE646">
    <cfRule type="cellIs" dxfId="799" priority="808" operator="between">
      <formula>-0.04</formula>
      <formula>-1</formula>
    </cfRule>
  </conditionalFormatting>
  <conditionalFormatting sqref="BM649">
    <cfRule type="cellIs" dxfId="798" priority="803" operator="between">
      <formula>8</formula>
      <formula>60</formula>
    </cfRule>
  </conditionalFormatting>
  <conditionalFormatting sqref="BM648">
    <cfRule type="cellIs" dxfId="797" priority="807" operator="between">
      <formula>8</formula>
      <formula>60</formula>
    </cfRule>
  </conditionalFormatting>
  <conditionalFormatting sqref="CE648">
    <cfRule type="cellIs" dxfId="796" priority="806" operator="between">
      <formula>-0.04</formula>
      <formula>-1</formula>
    </cfRule>
  </conditionalFormatting>
  <conditionalFormatting sqref="CE647">
    <cfRule type="cellIs" dxfId="795" priority="804" operator="between">
      <formula>-0.04</formula>
      <formula>-1</formula>
    </cfRule>
  </conditionalFormatting>
  <conditionalFormatting sqref="BM647">
    <cfRule type="cellIs" dxfId="794" priority="805" operator="between">
      <formula>8</formula>
      <formula>60</formula>
    </cfRule>
  </conditionalFormatting>
  <conditionalFormatting sqref="CE649">
    <cfRule type="cellIs" dxfId="793" priority="802" operator="between">
      <formula>-0.04</formula>
      <formula>-1</formula>
    </cfRule>
  </conditionalFormatting>
  <conditionalFormatting sqref="BM650">
    <cfRule type="cellIs" dxfId="792" priority="799" operator="between">
      <formula>8</formula>
      <formula>60</formula>
    </cfRule>
  </conditionalFormatting>
  <conditionalFormatting sqref="BM651">
    <cfRule type="cellIs" dxfId="791" priority="801" operator="between">
      <formula>8</formula>
      <formula>60</formula>
    </cfRule>
  </conditionalFormatting>
  <conditionalFormatting sqref="CE651">
    <cfRule type="cellIs" dxfId="790" priority="800" operator="between">
      <formula>-0.04</formula>
      <formula>-1</formula>
    </cfRule>
  </conditionalFormatting>
  <conditionalFormatting sqref="CE650">
    <cfRule type="cellIs" dxfId="789" priority="798" operator="between">
      <formula>-0.04</formula>
      <formula>-1</formula>
    </cfRule>
  </conditionalFormatting>
  <conditionalFormatting sqref="BM509">
    <cfRule type="cellIs" dxfId="788" priority="797" operator="between">
      <formula>8</formula>
      <formula>60</formula>
    </cfRule>
  </conditionalFormatting>
  <conditionalFormatting sqref="CE509">
    <cfRule type="cellIs" dxfId="787" priority="796" operator="between">
      <formula>-0.04</formula>
      <formula>-1</formula>
    </cfRule>
  </conditionalFormatting>
  <conditionalFormatting sqref="BM507:BM509">
    <cfRule type="cellIs" dxfId="786" priority="793" operator="between">
      <formula>8</formula>
      <formula>60</formula>
    </cfRule>
  </conditionalFormatting>
  <conditionalFormatting sqref="CE507">
    <cfRule type="cellIs" dxfId="785" priority="792" operator="between">
      <formula>-0.04</formula>
      <formula>-1</formula>
    </cfRule>
  </conditionalFormatting>
  <conditionalFormatting sqref="BM508">
    <cfRule type="cellIs" dxfId="784" priority="795" operator="between">
      <formula>8</formula>
      <formula>60</formula>
    </cfRule>
  </conditionalFormatting>
  <conditionalFormatting sqref="CE508">
    <cfRule type="cellIs" dxfId="783" priority="794" operator="between">
      <formula>-0.04</formula>
      <formula>-1</formula>
    </cfRule>
  </conditionalFormatting>
  <conditionalFormatting sqref="BM512">
    <cfRule type="cellIs" dxfId="782" priority="787" operator="between">
      <formula>8</formula>
      <formula>60</formula>
    </cfRule>
  </conditionalFormatting>
  <conditionalFormatting sqref="BM515">
    <cfRule type="cellIs" dxfId="781" priority="780" operator="between">
      <formula>8</formula>
      <formula>60</formula>
    </cfRule>
  </conditionalFormatting>
  <conditionalFormatting sqref="CE515">
    <cfRule type="cellIs" dxfId="780" priority="791" operator="between">
      <formula>-0.04</formula>
      <formula>-1</formula>
    </cfRule>
  </conditionalFormatting>
  <conditionalFormatting sqref="BM514">
    <cfRule type="cellIs" dxfId="779" priority="790" operator="between">
      <formula>8</formula>
      <formula>60</formula>
    </cfRule>
  </conditionalFormatting>
  <conditionalFormatting sqref="CE514">
    <cfRule type="cellIs" dxfId="778" priority="789" operator="between">
      <formula>-0.04</formula>
      <formula>-1</formula>
    </cfRule>
  </conditionalFormatting>
  <conditionalFormatting sqref="CE512">
    <cfRule type="cellIs" dxfId="777" priority="786" operator="between">
      <formula>-0.04</formula>
      <formula>-1</formula>
    </cfRule>
  </conditionalFormatting>
  <conditionalFormatting sqref="CE513">
    <cfRule type="cellIs" dxfId="776" priority="788" operator="between">
      <formula>-0.04</formula>
      <formula>-1</formula>
    </cfRule>
  </conditionalFormatting>
  <conditionalFormatting sqref="CE511">
    <cfRule type="cellIs" dxfId="775" priority="785" operator="between">
      <formula>-0.04</formula>
      <formula>-1</formula>
    </cfRule>
  </conditionalFormatting>
  <conditionalFormatting sqref="BM510">
    <cfRule type="cellIs" dxfId="774" priority="784" operator="between">
      <formula>8</formula>
      <formula>60</formula>
    </cfRule>
  </conditionalFormatting>
  <conditionalFormatting sqref="CE510">
    <cfRule type="cellIs" dxfId="773" priority="783" operator="between">
      <formula>-0.04</formula>
      <formula>-1</formula>
    </cfRule>
  </conditionalFormatting>
  <conditionalFormatting sqref="BM511">
    <cfRule type="cellIs" dxfId="772" priority="782" operator="between">
      <formula>8</formula>
      <formula>60</formula>
    </cfRule>
  </conditionalFormatting>
  <conditionalFormatting sqref="BM513">
    <cfRule type="cellIs" dxfId="771" priority="781" operator="between">
      <formula>8</formula>
      <formula>60</formula>
    </cfRule>
  </conditionalFormatting>
  <conditionalFormatting sqref="BM769">
    <cfRule type="cellIs" dxfId="770" priority="779" operator="between">
      <formula>8</formula>
      <formula>60</formula>
    </cfRule>
  </conditionalFormatting>
  <conditionalFormatting sqref="CE769">
    <cfRule type="cellIs" dxfId="769" priority="778" operator="between">
      <formula>-0.04</formula>
      <formula>-1</formula>
    </cfRule>
  </conditionalFormatting>
  <conditionalFormatting sqref="BM768">
    <cfRule type="cellIs" dxfId="768" priority="777" operator="between">
      <formula>8</formula>
      <formula>60</formula>
    </cfRule>
  </conditionalFormatting>
  <conditionalFormatting sqref="CE768">
    <cfRule type="cellIs" dxfId="767" priority="776" operator="between">
      <formula>-0.04</formula>
      <formula>-1</formula>
    </cfRule>
  </conditionalFormatting>
  <conditionalFormatting sqref="BM767">
    <cfRule type="cellIs" dxfId="766" priority="775" operator="between">
      <formula>8</formula>
      <formula>60</formula>
    </cfRule>
  </conditionalFormatting>
  <conditionalFormatting sqref="CE767">
    <cfRule type="cellIs" dxfId="765" priority="774" operator="between">
      <formula>-0.04</formula>
      <formula>-1</formula>
    </cfRule>
  </conditionalFormatting>
  <conditionalFormatting sqref="CE766">
    <cfRule type="cellIs" dxfId="764" priority="772" operator="between">
      <formula>-0.04</formula>
      <formula>-1</formula>
    </cfRule>
  </conditionalFormatting>
  <conditionalFormatting sqref="BM766">
    <cfRule type="cellIs" dxfId="763" priority="773" operator="between">
      <formula>8</formula>
      <formula>60</formula>
    </cfRule>
  </conditionalFormatting>
  <conditionalFormatting sqref="CE755">
    <cfRule type="cellIs" dxfId="762" priority="771" operator="between">
      <formula>-0.04</formula>
      <formula>-1</formula>
    </cfRule>
  </conditionalFormatting>
  <conditionalFormatting sqref="BM754">
    <cfRule type="cellIs" dxfId="761" priority="770" operator="between">
      <formula>8</formula>
      <formula>60</formula>
    </cfRule>
  </conditionalFormatting>
  <conditionalFormatting sqref="CE754">
    <cfRule type="cellIs" dxfId="760" priority="769" operator="between">
      <formula>-0.04</formula>
      <formula>-1</formula>
    </cfRule>
  </conditionalFormatting>
  <conditionalFormatting sqref="CE753">
    <cfRule type="cellIs" dxfId="759" priority="767" operator="between">
      <formula>-0.04</formula>
      <formula>-1</formula>
    </cfRule>
  </conditionalFormatting>
  <conditionalFormatting sqref="BM753">
    <cfRule type="cellIs" dxfId="758" priority="768" operator="between">
      <formula>8</formula>
      <formula>60</formula>
    </cfRule>
  </conditionalFormatting>
  <conditionalFormatting sqref="BM755">
    <cfRule type="cellIs" dxfId="757" priority="766" operator="between">
      <formula>8</formula>
      <formula>60</formula>
    </cfRule>
  </conditionalFormatting>
  <conditionalFormatting sqref="CE765">
    <cfRule type="cellIs" dxfId="756" priority="764" operator="between">
      <formula>-0.04</formula>
      <formula>-1</formula>
    </cfRule>
  </conditionalFormatting>
  <conditionalFormatting sqref="BM765:BM769">
    <cfRule type="cellIs" dxfId="755" priority="765" operator="between">
      <formula>8</formula>
      <formula>60</formula>
    </cfRule>
  </conditionalFormatting>
  <conditionalFormatting sqref="BM763">
    <cfRule type="cellIs" dxfId="754" priority="762" operator="between">
      <formula>8</formula>
      <formula>60</formula>
    </cfRule>
  </conditionalFormatting>
  <conditionalFormatting sqref="CE764">
    <cfRule type="cellIs" dxfId="753" priority="763" operator="between">
      <formula>-0.04</formula>
      <formula>-1</formula>
    </cfRule>
  </conditionalFormatting>
  <conditionalFormatting sqref="CE763">
    <cfRule type="cellIs" dxfId="752" priority="761" operator="between">
      <formula>-0.04</formula>
      <formula>-1</formula>
    </cfRule>
  </conditionalFormatting>
  <conditionalFormatting sqref="BM762">
    <cfRule type="cellIs" dxfId="751" priority="760" operator="between">
      <formula>8</formula>
      <formula>60</formula>
    </cfRule>
  </conditionalFormatting>
  <conditionalFormatting sqref="CE762">
    <cfRule type="cellIs" dxfId="750" priority="759" operator="between">
      <formula>-0.04</formula>
      <formula>-1</formula>
    </cfRule>
  </conditionalFormatting>
  <conditionalFormatting sqref="CE761">
    <cfRule type="cellIs" dxfId="749" priority="757" operator="between">
      <formula>-0.04</formula>
      <formula>-1</formula>
    </cfRule>
  </conditionalFormatting>
  <conditionalFormatting sqref="BM761">
    <cfRule type="cellIs" dxfId="748" priority="758" operator="between">
      <formula>8</formula>
      <formula>60</formula>
    </cfRule>
  </conditionalFormatting>
  <conditionalFormatting sqref="CE760">
    <cfRule type="cellIs" dxfId="747" priority="756" operator="between">
      <formula>-0.04</formula>
      <formula>-1</formula>
    </cfRule>
  </conditionalFormatting>
  <conditionalFormatting sqref="BM759">
    <cfRule type="cellIs" dxfId="746" priority="755" operator="between">
      <formula>8</formula>
      <formula>60</formula>
    </cfRule>
  </conditionalFormatting>
  <conditionalFormatting sqref="CE759">
    <cfRule type="cellIs" dxfId="745" priority="754" operator="between">
      <formula>-0.04</formula>
      <formula>-1</formula>
    </cfRule>
  </conditionalFormatting>
  <conditionalFormatting sqref="BM758">
    <cfRule type="cellIs" dxfId="744" priority="753" operator="between">
      <formula>8</formula>
      <formula>60</formula>
    </cfRule>
  </conditionalFormatting>
  <conditionalFormatting sqref="CE758">
    <cfRule type="cellIs" dxfId="743" priority="752" operator="between">
      <formula>-0.04</formula>
      <formula>-1</formula>
    </cfRule>
  </conditionalFormatting>
  <conditionalFormatting sqref="BM757">
    <cfRule type="cellIs" dxfId="742" priority="751" operator="between">
      <formula>8</formula>
      <formula>60</formula>
    </cfRule>
  </conditionalFormatting>
  <conditionalFormatting sqref="CE757">
    <cfRule type="cellIs" dxfId="741" priority="750" operator="between">
      <formula>-0.04</formula>
      <formula>-1</formula>
    </cfRule>
  </conditionalFormatting>
  <conditionalFormatting sqref="CE756">
    <cfRule type="cellIs" dxfId="740" priority="748" operator="between">
      <formula>-0.04</formula>
      <formula>-1</formula>
    </cfRule>
  </conditionalFormatting>
  <conditionalFormatting sqref="BM756:BM758">
    <cfRule type="cellIs" dxfId="739" priority="749" operator="between">
      <formula>8</formula>
      <formula>60</formula>
    </cfRule>
  </conditionalFormatting>
  <conditionalFormatting sqref="BM760">
    <cfRule type="cellIs" dxfId="738" priority="747" operator="between">
      <formula>8</formula>
      <formula>60</formula>
    </cfRule>
  </conditionalFormatting>
  <conditionalFormatting sqref="BM764">
    <cfRule type="cellIs" dxfId="737" priority="746" operator="between">
      <formula>8</formula>
      <formula>60</formula>
    </cfRule>
  </conditionalFormatting>
  <conditionalFormatting sqref="CE771">
    <cfRule type="cellIs" dxfId="736" priority="745" operator="between">
      <formula>-0.04</formula>
      <formula>-1</formula>
    </cfRule>
  </conditionalFormatting>
  <conditionalFormatting sqref="CE770">
    <cfRule type="cellIs" dxfId="735" priority="743" operator="between">
      <formula>-0.04</formula>
      <formula>-1</formula>
    </cfRule>
  </conditionalFormatting>
  <conditionalFormatting sqref="BM770">
    <cfRule type="cellIs" dxfId="734" priority="744" operator="between">
      <formula>8</formula>
      <formula>60</formula>
    </cfRule>
  </conditionalFormatting>
  <conditionalFormatting sqref="BM771">
    <cfRule type="cellIs" dxfId="733" priority="742" operator="between">
      <formula>8</formula>
      <formula>60</formula>
    </cfRule>
  </conditionalFormatting>
  <conditionalFormatting sqref="BM827">
    <cfRule type="cellIs" dxfId="732" priority="741" operator="between">
      <formula>8</formula>
      <formula>60</formula>
    </cfRule>
  </conditionalFormatting>
  <conditionalFormatting sqref="CE827">
    <cfRule type="cellIs" dxfId="731" priority="740" operator="between">
      <formula>-0.04</formula>
      <formula>-1</formula>
    </cfRule>
  </conditionalFormatting>
  <conditionalFormatting sqref="CE830">
    <cfRule type="cellIs" dxfId="730" priority="739" operator="between">
      <formula>-0.04</formula>
      <formula>-1</formula>
    </cfRule>
  </conditionalFormatting>
  <conditionalFormatting sqref="BM829">
    <cfRule type="cellIs" dxfId="729" priority="737" operator="between">
      <formula>8</formula>
      <formula>60</formula>
    </cfRule>
  </conditionalFormatting>
  <conditionalFormatting sqref="CE828">
    <cfRule type="cellIs" dxfId="728" priority="738" operator="between">
      <formula>-0.04</formula>
      <formula>-1</formula>
    </cfRule>
  </conditionalFormatting>
  <conditionalFormatting sqref="CE829">
    <cfRule type="cellIs" dxfId="727" priority="736" operator="between">
      <formula>-0.04</formula>
      <formula>-1</formula>
    </cfRule>
  </conditionalFormatting>
  <conditionalFormatting sqref="BM828">
    <cfRule type="cellIs" dxfId="726" priority="735" operator="between">
      <formula>8</formula>
      <formula>60</formula>
    </cfRule>
  </conditionalFormatting>
  <conditionalFormatting sqref="BM830">
    <cfRule type="cellIs" dxfId="725" priority="734" operator="between">
      <formula>8</formula>
      <formula>60</formula>
    </cfRule>
  </conditionalFormatting>
  <conditionalFormatting sqref="BM880">
    <cfRule type="cellIs" dxfId="724" priority="723" operator="between">
      <formula>8</formula>
      <formula>60</formula>
    </cfRule>
  </conditionalFormatting>
  <conditionalFormatting sqref="BM879">
    <cfRule type="cellIs" dxfId="723" priority="733" operator="between">
      <formula>8</formula>
      <formula>60</formula>
    </cfRule>
  </conditionalFormatting>
  <conditionalFormatting sqref="BM878">
    <cfRule type="cellIs" dxfId="722" priority="731" operator="between">
      <formula>8</formula>
      <formula>60</formula>
    </cfRule>
  </conditionalFormatting>
  <conditionalFormatting sqref="CE879:CE880">
    <cfRule type="cellIs" dxfId="721" priority="732" operator="between">
      <formula>-0.04</formula>
      <formula>-1</formula>
    </cfRule>
  </conditionalFormatting>
  <conditionalFormatting sqref="CE878">
    <cfRule type="cellIs" dxfId="720" priority="730" operator="between">
      <formula>-0.04</formula>
      <formula>-1</formula>
    </cfRule>
  </conditionalFormatting>
  <conditionalFormatting sqref="BM876:BM878">
    <cfRule type="cellIs" dxfId="719" priority="729" operator="between">
      <formula>8</formula>
      <formula>60</formula>
    </cfRule>
  </conditionalFormatting>
  <conditionalFormatting sqref="CE876:CE877">
    <cfRule type="cellIs" dxfId="718" priority="728" operator="between">
      <formula>-0.04</formula>
      <formula>-1</formula>
    </cfRule>
  </conditionalFormatting>
  <conditionalFormatting sqref="BM874:BM875">
    <cfRule type="cellIs" dxfId="717" priority="727" operator="between">
      <formula>8</formula>
      <formula>60</formula>
    </cfRule>
  </conditionalFormatting>
  <conditionalFormatting sqref="CE874:CE875">
    <cfRule type="cellIs" dxfId="716" priority="726" operator="between">
      <formula>-0.04</formula>
      <formula>-1</formula>
    </cfRule>
  </conditionalFormatting>
  <conditionalFormatting sqref="BM873:BM875">
    <cfRule type="cellIs" dxfId="715" priority="725" operator="between">
      <formula>8</formula>
      <formula>60</formula>
    </cfRule>
  </conditionalFormatting>
  <conditionalFormatting sqref="CE873">
    <cfRule type="cellIs" dxfId="714" priority="724" operator="between">
      <formula>-0.04</formula>
      <formula>-1</formula>
    </cfRule>
  </conditionalFormatting>
  <conditionalFormatting sqref="BM773">
    <cfRule type="cellIs" dxfId="713" priority="722" operator="between">
      <formula>8</formula>
      <formula>60</formula>
    </cfRule>
  </conditionalFormatting>
  <conditionalFormatting sqref="CE773">
    <cfRule type="cellIs" dxfId="712" priority="721" operator="between">
      <formula>-0.04</formula>
      <formula>-1</formula>
    </cfRule>
  </conditionalFormatting>
  <conditionalFormatting sqref="BM772">
    <cfRule type="cellIs" dxfId="711" priority="720" operator="between">
      <formula>8</formula>
      <formula>60</formula>
    </cfRule>
  </conditionalFormatting>
  <conditionalFormatting sqref="CE772">
    <cfRule type="cellIs" dxfId="710" priority="719" operator="between">
      <formula>-0.04</formula>
      <formula>-1</formula>
    </cfRule>
  </conditionalFormatting>
  <conditionalFormatting sqref="BM883">
    <cfRule type="cellIs" dxfId="709" priority="718" operator="between">
      <formula>8</formula>
      <formula>60</formula>
    </cfRule>
  </conditionalFormatting>
  <conditionalFormatting sqref="BM881">
    <cfRule type="cellIs" dxfId="708" priority="716" operator="between">
      <formula>8</formula>
      <formula>60</formula>
    </cfRule>
  </conditionalFormatting>
  <conditionalFormatting sqref="CE882:CE883">
    <cfRule type="cellIs" dxfId="707" priority="717" operator="between">
      <formula>-0.04</formula>
      <formula>-1</formula>
    </cfRule>
  </conditionalFormatting>
  <conditionalFormatting sqref="CE881">
    <cfRule type="cellIs" dxfId="706" priority="715" operator="between">
      <formula>-0.04</formula>
      <formula>-1</formula>
    </cfRule>
  </conditionalFormatting>
  <conditionalFormatting sqref="BM882">
    <cfRule type="cellIs" dxfId="705" priority="714" operator="between">
      <formula>8</formula>
      <formula>60</formula>
    </cfRule>
  </conditionalFormatting>
  <conditionalFormatting sqref="CE1020">
    <cfRule type="cellIs" dxfId="704" priority="713" operator="between">
      <formula>-0.04</formula>
      <formula>-1</formula>
    </cfRule>
  </conditionalFormatting>
  <conditionalFormatting sqref="BM1030">
    <cfRule type="cellIs" dxfId="703" priority="712" operator="between">
      <formula>8</formula>
      <formula>60</formula>
    </cfRule>
  </conditionalFormatting>
  <conditionalFormatting sqref="CE1030">
    <cfRule type="cellIs" dxfId="702" priority="711" operator="between">
      <formula>-0.04</formula>
      <formula>-1</formula>
    </cfRule>
  </conditionalFormatting>
  <conditionalFormatting sqref="BM1029">
    <cfRule type="cellIs" dxfId="701" priority="709" operator="between">
      <formula>8</formula>
      <formula>60</formula>
    </cfRule>
  </conditionalFormatting>
  <conditionalFormatting sqref="BM1020:BM1024">
    <cfRule type="cellIs" dxfId="700" priority="710" operator="between">
      <formula>8</formula>
      <formula>60</formula>
    </cfRule>
  </conditionalFormatting>
  <conditionalFormatting sqref="CE1029">
    <cfRule type="cellIs" dxfId="699" priority="708" operator="between">
      <formula>-0.04</formula>
      <formula>-1</formula>
    </cfRule>
  </conditionalFormatting>
  <conditionalFormatting sqref="BM1023">
    <cfRule type="cellIs" dxfId="698" priority="707" operator="between">
      <formula>8</formula>
      <formula>60</formula>
    </cfRule>
  </conditionalFormatting>
  <conditionalFormatting sqref="CE1023">
    <cfRule type="cellIs" dxfId="697" priority="706" operator="between">
      <formula>-0.04</formula>
      <formula>-1</formula>
    </cfRule>
  </conditionalFormatting>
  <conditionalFormatting sqref="BM1027:BM1030">
    <cfRule type="cellIs" dxfId="696" priority="705" operator="between">
      <formula>8</formula>
      <formula>60</formula>
    </cfRule>
  </conditionalFormatting>
  <conditionalFormatting sqref="CE1027:CE1028">
    <cfRule type="cellIs" dxfId="695" priority="704" operator="between">
      <formula>-0.04</formula>
      <formula>-1</formula>
    </cfRule>
  </conditionalFormatting>
  <conditionalFormatting sqref="BM1024:BM1025">
    <cfRule type="cellIs" dxfId="694" priority="703" operator="between">
      <formula>8</formula>
      <formula>60</formula>
    </cfRule>
  </conditionalFormatting>
  <conditionalFormatting sqref="CE1024:CE1025">
    <cfRule type="cellIs" dxfId="693" priority="702" operator="between">
      <formula>-0.04</formula>
      <formula>-1</formula>
    </cfRule>
  </conditionalFormatting>
  <conditionalFormatting sqref="CE1026">
    <cfRule type="cellIs" dxfId="692" priority="701" operator="between">
      <formula>-0.04</formula>
      <formula>-1</formula>
    </cfRule>
  </conditionalFormatting>
  <conditionalFormatting sqref="BM1022">
    <cfRule type="cellIs" dxfId="691" priority="700" operator="between">
      <formula>8</formula>
      <formula>60</formula>
    </cfRule>
  </conditionalFormatting>
  <conditionalFormatting sqref="CE1022">
    <cfRule type="cellIs" dxfId="690" priority="699" operator="between">
      <formula>-0.04</formula>
      <formula>-1</formula>
    </cfRule>
  </conditionalFormatting>
  <conditionalFormatting sqref="BM1021">
    <cfRule type="cellIs" dxfId="689" priority="698" operator="between">
      <formula>8</formula>
      <formula>60</formula>
    </cfRule>
  </conditionalFormatting>
  <conditionalFormatting sqref="CE1021">
    <cfRule type="cellIs" dxfId="688" priority="697" operator="between">
      <formula>-0.04</formula>
      <formula>-1</formula>
    </cfRule>
  </conditionalFormatting>
  <conditionalFormatting sqref="BM1026">
    <cfRule type="cellIs" dxfId="687" priority="696" operator="between">
      <formula>8</formula>
      <formula>60</formula>
    </cfRule>
  </conditionalFormatting>
  <conditionalFormatting sqref="BM1045">
    <cfRule type="cellIs" dxfId="686" priority="694" operator="between">
      <formula>8</formula>
      <formula>60</formula>
    </cfRule>
  </conditionalFormatting>
  <conditionalFormatting sqref="CE1045">
    <cfRule type="cellIs" dxfId="685" priority="693" operator="between">
      <formula>-0.04</formula>
      <formula>-1</formula>
    </cfRule>
  </conditionalFormatting>
  <conditionalFormatting sqref="BM327">
    <cfRule type="cellIs" dxfId="684" priority="691" operator="between">
      <formula>8</formula>
      <formula>60</formula>
    </cfRule>
  </conditionalFormatting>
  <conditionalFormatting sqref="CE327">
    <cfRule type="cellIs" dxfId="683" priority="690" operator="between">
      <formula>-0.04</formula>
      <formula>-1</formula>
    </cfRule>
  </conditionalFormatting>
  <conditionalFormatting sqref="CE517">
    <cfRule type="cellIs" dxfId="682" priority="689" operator="between">
      <formula>-0.04</formula>
      <formula>-1</formula>
    </cfRule>
  </conditionalFormatting>
  <conditionalFormatting sqref="BM516">
    <cfRule type="cellIs" dxfId="681" priority="688" operator="between">
      <formula>8</formula>
      <formula>60</formula>
    </cfRule>
  </conditionalFormatting>
  <conditionalFormatting sqref="CE516">
    <cfRule type="cellIs" dxfId="680" priority="687" operator="between">
      <formula>-0.04</formula>
      <formula>-1</formula>
    </cfRule>
  </conditionalFormatting>
  <conditionalFormatting sqref="BM517">
    <cfRule type="cellIs" dxfId="679" priority="686" operator="between">
      <formula>8</formula>
      <formula>60</formula>
    </cfRule>
  </conditionalFormatting>
  <conditionalFormatting sqref="BM949">
    <cfRule type="cellIs" dxfId="678" priority="685" operator="between">
      <formula>8</formula>
      <formula>60</formula>
    </cfRule>
  </conditionalFormatting>
  <conditionalFormatting sqref="CE949">
    <cfRule type="cellIs" dxfId="677" priority="684" operator="between">
      <formula>-0.04</formula>
      <formula>-1</formula>
    </cfRule>
  </conditionalFormatting>
  <conditionalFormatting sqref="BM1047">
    <cfRule type="cellIs" dxfId="676" priority="683" operator="between">
      <formula>8</formula>
      <formula>60</formula>
    </cfRule>
  </conditionalFormatting>
  <conditionalFormatting sqref="CE1047">
    <cfRule type="cellIs" dxfId="675" priority="682" operator="between">
      <formula>-0.04</formula>
      <formula>-1</formula>
    </cfRule>
  </conditionalFormatting>
  <conditionalFormatting sqref="BM1048">
    <cfRule type="cellIs" dxfId="674" priority="681" operator="between">
      <formula>8</formula>
      <formula>60</formula>
    </cfRule>
  </conditionalFormatting>
  <conditionalFormatting sqref="CE1048">
    <cfRule type="cellIs" dxfId="673" priority="680" operator="between">
      <formula>-0.04</formula>
      <formula>-1</formula>
    </cfRule>
  </conditionalFormatting>
  <conditionalFormatting sqref="BM1046:BM1048">
    <cfRule type="cellIs" dxfId="672" priority="679" operator="between">
      <formula>8</formula>
      <formula>60</formula>
    </cfRule>
  </conditionalFormatting>
  <conditionalFormatting sqref="CE1046">
    <cfRule type="cellIs" dxfId="671" priority="678" operator="between">
      <formula>-0.04</formula>
      <formula>-1</formula>
    </cfRule>
  </conditionalFormatting>
  <conditionalFormatting sqref="BM1050">
    <cfRule type="cellIs" dxfId="670" priority="677" operator="between">
      <formula>8</formula>
      <formula>60</formula>
    </cfRule>
  </conditionalFormatting>
  <conditionalFormatting sqref="CE1050">
    <cfRule type="cellIs" dxfId="669" priority="676" operator="between">
      <formula>-0.04</formula>
      <formula>-1</formula>
    </cfRule>
  </conditionalFormatting>
  <conditionalFormatting sqref="BM1049">
    <cfRule type="cellIs" dxfId="668" priority="675" operator="between">
      <formula>8</formula>
      <formula>60</formula>
    </cfRule>
  </conditionalFormatting>
  <conditionalFormatting sqref="CE1049">
    <cfRule type="cellIs" dxfId="667" priority="674" operator="between">
      <formula>-0.04</formula>
      <formula>-1</formula>
    </cfRule>
  </conditionalFormatting>
  <conditionalFormatting sqref="BM1061">
    <cfRule type="cellIs" dxfId="666" priority="673" operator="between">
      <formula>8</formula>
      <formula>60</formula>
    </cfRule>
  </conditionalFormatting>
  <conditionalFormatting sqref="CE1061:CE1062">
    <cfRule type="cellIs" dxfId="665" priority="672" operator="between">
      <formula>-0.04</formula>
      <formula>-1</formula>
    </cfRule>
  </conditionalFormatting>
  <conditionalFormatting sqref="BM1062">
    <cfRule type="cellIs" dxfId="664" priority="671" operator="between">
      <formula>8</formula>
      <formula>60</formula>
    </cfRule>
  </conditionalFormatting>
  <conditionalFormatting sqref="BM1328">
    <cfRule type="cellIs" dxfId="663" priority="668" operator="between">
      <formula>8</formula>
      <formula>60</formula>
    </cfRule>
  </conditionalFormatting>
  <conditionalFormatting sqref="CE1329">
    <cfRule type="cellIs" dxfId="662" priority="669" operator="between">
      <formula>-0.04</formula>
      <formula>-1</formula>
    </cfRule>
  </conditionalFormatting>
  <conditionalFormatting sqref="CE1328">
    <cfRule type="cellIs" dxfId="661" priority="667" operator="between">
      <formula>-0.04</formula>
      <formula>-1</formula>
    </cfRule>
  </conditionalFormatting>
  <conditionalFormatting sqref="BM1329">
    <cfRule type="cellIs" dxfId="660" priority="670" operator="between">
      <formula>8</formula>
      <formula>60</formula>
    </cfRule>
  </conditionalFormatting>
  <conditionalFormatting sqref="BM1324:BM1326">
    <cfRule type="cellIs" dxfId="659" priority="664" operator="between">
      <formula>8</formula>
      <formula>60</formula>
    </cfRule>
  </conditionalFormatting>
  <conditionalFormatting sqref="CE1327">
    <cfRule type="cellIs" dxfId="658" priority="665" operator="between">
      <formula>-0.04</formula>
      <formula>-1</formula>
    </cfRule>
  </conditionalFormatting>
  <conditionalFormatting sqref="CE1324:CE1326">
    <cfRule type="cellIs" dxfId="657" priority="663" operator="between">
      <formula>-0.04</formula>
      <formula>-1</formula>
    </cfRule>
  </conditionalFormatting>
  <conditionalFormatting sqref="BM1327:BM1329">
    <cfRule type="cellIs" dxfId="656" priority="666" operator="between">
      <formula>8</formula>
      <formula>60</formula>
    </cfRule>
  </conditionalFormatting>
  <conditionalFormatting sqref="BM1387:BM1392">
    <cfRule type="cellIs" dxfId="655" priority="662" operator="between">
      <formula>8</formula>
      <formula>60</formula>
    </cfRule>
  </conditionalFormatting>
  <conditionalFormatting sqref="CE1387 CE1382">
    <cfRule type="cellIs" dxfId="654" priority="661" operator="between">
      <formula>-0.04</formula>
      <formula>-1</formula>
    </cfRule>
  </conditionalFormatting>
  <conditionalFormatting sqref="BM1383:BM1386">
    <cfRule type="cellIs" dxfId="653" priority="660" operator="between">
      <formula>8</formula>
      <formula>60</formula>
    </cfRule>
  </conditionalFormatting>
  <conditionalFormatting sqref="CE1383:CE1386">
    <cfRule type="cellIs" dxfId="652" priority="659" operator="between">
      <formula>-0.04</formula>
      <formula>-1</formula>
    </cfRule>
  </conditionalFormatting>
  <conditionalFormatting sqref="BM1382:BM1386">
    <cfRule type="cellIs" dxfId="651" priority="658" operator="between">
      <formula>8</formula>
      <formula>60</formula>
    </cfRule>
  </conditionalFormatting>
  <conditionalFormatting sqref="BM1393">
    <cfRule type="cellIs" dxfId="650" priority="657" operator="between">
      <formula>8</formula>
      <formula>60</formula>
    </cfRule>
  </conditionalFormatting>
  <conditionalFormatting sqref="CE1393:CE1394">
    <cfRule type="cellIs" dxfId="649" priority="656" operator="between">
      <formula>-0.04</formula>
      <formula>-1</formula>
    </cfRule>
  </conditionalFormatting>
  <conditionalFormatting sqref="BM1388:BM1392">
    <cfRule type="cellIs" dxfId="648" priority="655" operator="between">
      <formula>8</formula>
      <formula>60</formula>
    </cfRule>
  </conditionalFormatting>
  <conditionalFormatting sqref="CE1388:CE1392">
    <cfRule type="cellIs" dxfId="647" priority="654" operator="between">
      <formula>-0.04</formula>
      <formula>-1</formula>
    </cfRule>
  </conditionalFormatting>
  <conditionalFormatting sqref="BM1394">
    <cfRule type="cellIs" dxfId="646" priority="653" operator="between">
      <formula>8</formula>
      <formula>60</formula>
    </cfRule>
  </conditionalFormatting>
  <conditionalFormatting sqref="BM1649:BM1651">
    <cfRule type="cellIs" dxfId="645" priority="652" operator="between">
      <formula>8</formula>
      <formula>60</formula>
    </cfRule>
  </conditionalFormatting>
  <conditionalFormatting sqref="CE1649">
    <cfRule type="cellIs" dxfId="644" priority="651" operator="between">
      <formula>-0.04</formula>
      <formula>-1</formula>
    </cfRule>
  </conditionalFormatting>
  <conditionalFormatting sqref="BM1654">
    <cfRule type="cellIs" dxfId="643" priority="650" operator="between">
      <formula>8</formula>
      <formula>60</formula>
    </cfRule>
  </conditionalFormatting>
  <conditionalFormatting sqref="CE1654">
    <cfRule type="cellIs" dxfId="642" priority="649" operator="between">
      <formula>-0.04</formula>
      <formula>-1</formula>
    </cfRule>
  </conditionalFormatting>
  <conditionalFormatting sqref="BM1651:BM1654">
    <cfRule type="cellIs" dxfId="641" priority="648" operator="between">
      <formula>8</formula>
      <formula>60</formula>
    </cfRule>
  </conditionalFormatting>
  <conditionalFormatting sqref="CE1651:CE1653">
    <cfRule type="cellIs" dxfId="640" priority="647" operator="between">
      <formula>-0.04</formula>
      <formula>-1</formula>
    </cfRule>
  </conditionalFormatting>
  <conditionalFormatting sqref="BM1650">
    <cfRule type="cellIs" dxfId="639" priority="646" operator="between">
      <formula>8</formula>
      <formula>60</formula>
    </cfRule>
  </conditionalFormatting>
  <conditionalFormatting sqref="CE1650">
    <cfRule type="cellIs" dxfId="638" priority="645" operator="between">
      <formula>-0.04</formula>
      <formula>-1</formula>
    </cfRule>
  </conditionalFormatting>
  <conditionalFormatting sqref="BM1655:BM1657">
    <cfRule type="cellIs" dxfId="637" priority="644" operator="between">
      <formula>8</formula>
      <formula>60</formula>
    </cfRule>
  </conditionalFormatting>
  <conditionalFormatting sqref="CE1655:CE1657">
    <cfRule type="cellIs" dxfId="636" priority="643" operator="between">
      <formula>-0.04</formula>
      <formula>-1</formula>
    </cfRule>
  </conditionalFormatting>
  <conditionalFormatting sqref="BM832">
    <cfRule type="cellIs" dxfId="635" priority="642" operator="between">
      <formula>8</formula>
      <formula>60</formula>
    </cfRule>
  </conditionalFormatting>
  <conditionalFormatting sqref="BM834">
    <cfRule type="cellIs" dxfId="634" priority="636" operator="between">
      <formula>8</formula>
      <formula>60</formula>
    </cfRule>
  </conditionalFormatting>
  <conditionalFormatting sqref="CE832">
    <cfRule type="cellIs" dxfId="633" priority="641" operator="between">
      <formula>-0.04</formula>
      <formula>-1</formula>
    </cfRule>
  </conditionalFormatting>
  <conditionalFormatting sqref="BM831:BM834">
    <cfRule type="cellIs" dxfId="632" priority="640" operator="between">
      <formula>8</formula>
      <formula>60</formula>
    </cfRule>
  </conditionalFormatting>
  <conditionalFormatting sqref="CE831">
    <cfRule type="cellIs" dxfId="631" priority="639" operator="between">
      <formula>-0.04</formula>
      <formula>-1</formula>
    </cfRule>
  </conditionalFormatting>
  <conditionalFormatting sqref="BM833">
    <cfRule type="cellIs" dxfId="630" priority="638" operator="between">
      <formula>8</formula>
      <formula>60</formula>
    </cfRule>
  </conditionalFormatting>
  <conditionalFormatting sqref="CE833">
    <cfRule type="cellIs" dxfId="629" priority="637" operator="between">
      <formula>-0.04</formula>
      <formula>-1</formula>
    </cfRule>
  </conditionalFormatting>
  <conditionalFormatting sqref="CE834">
    <cfRule type="cellIs" dxfId="628" priority="635" operator="between">
      <formula>-0.04</formula>
      <formula>-1</formula>
    </cfRule>
  </conditionalFormatting>
  <conditionalFormatting sqref="BM1161">
    <cfRule type="cellIs" dxfId="627" priority="634" operator="between">
      <formula>8</formula>
      <formula>60</formula>
    </cfRule>
  </conditionalFormatting>
  <conditionalFormatting sqref="CE1161">
    <cfRule type="cellIs" dxfId="626" priority="633" operator="between">
      <formula>-0.04</formula>
      <formula>-1</formula>
    </cfRule>
  </conditionalFormatting>
  <conditionalFormatting sqref="BM1160">
    <cfRule type="cellIs" dxfId="625" priority="632" operator="between">
      <formula>8</formula>
      <formula>60</formula>
    </cfRule>
  </conditionalFormatting>
  <conditionalFormatting sqref="CE1160">
    <cfRule type="cellIs" dxfId="624" priority="631" operator="between">
      <formula>-0.04</formula>
      <formula>-1</formula>
    </cfRule>
  </conditionalFormatting>
  <conditionalFormatting sqref="BM1159">
    <cfRule type="cellIs" dxfId="623" priority="626" operator="between">
      <formula>8</formula>
      <formula>60</formula>
    </cfRule>
  </conditionalFormatting>
  <conditionalFormatting sqref="BM1158">
    <cfRule type="cellIs" dxfId="622" priority="630" operator="between">
      <formula>8</formula>
      <formula>60</formula>
    </cfRule>
  </conditionalFormatting>
  <conditionalFormatting sqref="CE1158">
    <cfRule type="cellIs" dxfId="621" priority="629" operator="between">
      <formula>-0.04</formula>
      <formula>-1</formula>
    </cfRule>
  </conditionalFormatting>
  <conditionalFormatting sqref="BM1157:BM1161">
    <cfRule type="cellIs" dxfId="620" priority="628" operator="between">
      <formula>8</formula>
      <formula>60</formula>
    </cfRule>
  </conditionalFormatting>
  <conditionalFormatting sqref="CE1157">
    <cfRule type="cellIs" dxfId="619" priority="627" operator="between">
      <formula>-0.04</formula>
      <formula>-1</formula>
    </cfRule>
  </conditionalFormatting>
  <conditionalFormatting sqref="CE1159">
    <cfRule type="cellIs" dxfId="618" priority="625" operator="between">
      <formula>-0.04</formula>
      <formula>-1</formula>
    </cfRule>
  </conditionalFormatting>
  <conditionalFormatting sqref="BM15">
    <cfRule type="cellIs" dxfId="617" priority="620" operator="between">
      <formula>8</formula>
      <formula>60</formula>
    </cfRule>
  </conditionalFormatting>
  <conditionalFormatting sqref="BM12">
    <cfRule type="cellIs" dxfId="616" priority="624" operator="between">
      <formula>8</formula>
      <formula>60</formula>
    </cfRule>
  </conditionalFormatting>
  <conditionalFormatting sqref="CE12">
    <cfRule type="cellIs" dxfId="615" priority="623" operator="between">
      <formula>-0.04</formula>
      <formula>-1</formula>
    </cfRule>
  </conditionalFormatting>
  <conditionalFormatting sqref="BM14:BM15">
    <cfRule type="cellIs" dxfId="614" priority="622" operator="between">
      <formula>8</formula>
      <formula>60</formula>
    </cfRule>
  </conditionalFormatting>
  <conditionalFormatting sqref="CE14">
    <cfRule type="cellIs" dxfId="613" priority="621" operator="between">
      <formula>-0.04</formula>
      <formula>-1</formula>
    </cfRule>
  </conditionalFormatting>
  <conditionalFormatting sqref="CE15">
    <cfRule type="cellIs" dxfId="612" priority="619" operator="between">
      <formula>-0.04</formula>
      <formula>-1</formula>
    </cfRule>
  </conditionalFormatting>
  <conditionalFormatting sqref="CE13">
    <cfRule type="cellIs" dxfId="611" priority="618" operator="between">
      <formula>-0.04</formula>
      <formula>-1</formula>
    </cfRule>
  </conditionalFormatting>
  <conditionalFormatting sqref="BM13">
    <cfRule type="cellIs" dxfId="610" priority="617" operator="between">
      <formula>8</formula>
      <formula>60</formula>
    </cfRule>
  </conditionalFormatting>
  <conditionalFormatting sqref="BM16">
    <cfRule type="cellIs" dxfId="609" priority="616" operator="between">
      <formula>8</formula>
      <formula>60</formula>
    </cfRule>
  </conditionalFormatting>
  <conditionalFormatting sqref="CE16">
    <cfRule type="cellIs" dxfId="608" priority="615" operator="between">
      <formula>-0.04</formula>
      <formula>-1</formula>
    </cfRule>
  </conditionalFormatting>
  <conditionalFormatting sqref="CE17">
    <cfRule type="cellIs" dxfId="607" priority="614" operator="between">
      <formula>-0.04</formula>
      <formula>-1</formula>
    </cfRule>
  </conditionalFormatting>
  <conditionalFormatting sqref="BM17">
    <cfRule type="cellIs" dxfId="606" priority="613" operator="between">
      <formula>8</formula>
      <formula>60</formula>
    </cfRule>
  </conditionalFormatting>
  <conditionalFormatting sqref="BM21">
    <cfRule type="cellIs" dxfId="605" priority="604" operator="between">
      <formula>8</formula>
      <formula>60</formula>
    </cfRule>
  </conditionalFormatting>
  <conditionalFormatting sqref="BM19">
    <cfRule type="cellIs" dxfId="604" priority="612" operator="between">
      <formula>8</formula>
      <formula>60</formula>
    </cfRule>
  </conditionalFormatting>
  <conditionalFormatting sqref="CE19">
    <cfRule type="cellIs" dxfId="603" priority="611" operator="between">
      <formula>-0.04</formula>
      <formula>-1</formula>
    </cfRule>
  </conditionalFormatting>
  <conditionalFormatting sqref="BM18:BM23">
    <cfRule type="cellIs" dxfId="602" priority="610" operator="between">
      <formula>8</formula>
      <formula>60</formula>
    </cfRule>
  </conditionalFormatting>
  <conditionalFormatting sqref="CE18">
    <cfRule type="cellIs" dxfId="601" priority="609" operator="between">
      <formula>-0.04</formula>
      <formula>-1</formula>
    </cfRule>
  </conditionalFormatting>
  <conditionalFormatting sqref="CE21">
    <cfRule type="cellIs" dxfId="600" priority="603" operator="between">
      <formula>-0.04</formula>
      <formula>-1</formula>
    </cfRule>
  </conditionalFormatting>
  <conditionalFormatting sqref="BM22">
    <cfRule type="cellIs" dxfId="599" priority="608" operator="between">
      <formula>8</formula>
      <formula>60</formula>
    </cfRule>
  </conditionalFormatting>
  <conditionalFormatting sqref="BM23">
    <cfRule type="cellIs" dxfId="598" priority="606" operator="between">
      <formula>8</formula>
      <formula>60</formula>
    </cfRule>
  </conditionalFormatting>
  <conditionalFormatting sqref="CE22">
    <cfRule type="cellIs" dxfId="597" priority="607" operator="between">
      <formula>-0.04</formula>
      <formula>-1</formula>
    </cfRule>
  </conditionalFormatting>
  <conditionalFormatting sqref="CE23">
    <cfRule type="cellIs" dxfId="596" priority="605" operator="between">
      <formula>-0.04</formula>
      <formula>-1</formula>
    </cfRule>
  </conditionalFormatting>
  <conditionalFormatting sqref="BM20">
    <cfRule type="cellIs" dxfId="595" priority="602" operator="between">
      <formula>8</formula>
      <formula>60</formula>
    </cfRule>
  </conditionalFormatting>
  <conditionalFormatting sqref="CE20">
    <cfRule type="cellIs" dxfId="594" priority="601" operator="between">
      <formula>-0.04</formula>
      <formula>-1</formula>
    </cfRule>
  </conditionalFormatting>
  <conditionalFormatting sqref="BM24">
    <cfRule type="cellIs" dxfId="593" priority="600" operator="between">
      <formula>8</formula>
      <formula>60</formula>
    </cfRule>
  </conditionalFormatting>
  <conditionalFormatting sqref="CE24:CE25">
    <cfRule type="cellIs" dxfId="592" priority="599" operator="between">
      <formula>-0.04</formula>
      <formula>-1</formula>
    </cfRule>
  </conditionalFormatting>
  <conditionalFormatting sqref="BM25">
    <cfRule type="cellIs" dxfId="591" priority="598" operator="between">
      <formula>8</formula>
      <formula>60</formula>
    </cfRule>
  </conditionalFormatting>
  <conditionalFormatting sqref="BM994:BM997">
    <cfRule type="cellIs" dxfId="590" priority="597" operator="between">
      <formula>8</formula>
      <formula>60</formula>
    </cfRule>
  </conditionalFormatting>
  <conditionalFormatting sqref="CE997 CE994:CE995">
    <cfRule type="cellIs" dxfId="589" priority="596" operator="between">
      <formula>-0.04</formula>
      <formula>-1</formula>
    </cfRule>
  </conditionalFormatting>
  <conditionalFormatting sqref="BM996">
    <cfRule type="cellIs" dxfId="588" priority="595" operator="between">
      <formula>8</formula>
      <formula>60</formula>
    </cfRule>
  </conditionalFormatting>
  <conditionalFormatting sqref="CE996">
    <cfRule type="cellIs" dxfId="587" priority="594" operator="between">
      <formula>-0.04</formula>
      <formula>-1</formula>
    </cfRule>
  </conditionalFormatting>
  <conditionalFormatting sqref="BM998">
    <cfRule type="cellIs" dxfId="586" priority="593" operator="between">
      <formula>8</formula>
      <formula>60</formula>
    </cfRule>
  </conditionalFormatting>
  <conditionalFormatting sqref="CE998">
    <cfRule type="cellIs" dxfId="585" priority="592" operator="between">
      <formula>-0.04</formula>
      <formula>-1</formula>
    </cfRule>
  </conditionalFormatting>
  <conditionalFormatting sqref="CE999">
    <cfRule type="cellIs" dxfId="584" priority="591" operator="between">
      <formula>-0.04</formula>
      <formula>-1</formula>
    </cfRule>
  </conditionalFormatting>
  <conditionalFormatting sqref="BM999">
    <cfRule type="cellIs" dxfId="583" priority="590" operator="between">
      <formula>8</formula>
      <formula>60</formula>
    </cfRule>
  </conditionalFormatting>
  <conditionalFormatting sqref="BM950">
    <cfRule type="cellIs" dxfId="582" priority="589" operator="between">
      <formula>8</formula>
      <formula>60</formula>
    </cfRule>
  </conditionalFormatting>
  <conditionalFormatting sqref="CE950:CE951">
    <cfRule type="cellIs" dxfId="581" priority="588" operator="between">
      <formula>-0.04</formula>
      <formula>-1</formula>
    </cfRule>
  </conditionalFormatting>
  <conditionalFormatting sqref="BM951">
    <cfRule type="cellIs" dxfId="580" priority="587" operator="between">
      <formula>8</formula>
      <formula>60</formula>
    </cfRule>
  </conditionalFormatting>
  <conditionalFormatting sqref="BM1170:BM1173">
    <cfRule type="cellIs" dxfId="579" priority="584" operator="between">
      <formula>8</formula>
      <formula>60</formula>
    </cfRule>
  </conditionalFormatting>
  <conditionalFormatting sqref="BM1172">
    <cfRule type="cellIs" dxfId="578" priority="586" operator="between">
      <formula>8</formula>
      <formula>60</formula>
    </cfRule>
  </conditionalFormatting>
  <conditionalFormatting sqref="CE1172">
    <cfRule type="cellIs" dxfId="577" priority="585" operator="between">
      <formula>-0.04</formula>
      <formula>-1</formula>
    </cfRule>
  </conditionalFormatting>
  <conditionalFormatting sqref="CE1170:CE1171">
    <cfRule type="cellIs" dxfId="576" priority="583" operator="between">
      <formula>-0.04</formula>
      <formula>-1</formula>
    </cfRule>
  </conditionalFormatting>
  <conditionalFormatting sqref="BM1173">
    <cfRule type="cellIs" dxfId="575" priority="582" operator="between">
      <formula>8</formula>
      <formula>60</formula>
    </cfRule>
  </conditionalFormatting>
  <conditionalFormatting sqref="CE1173">
    <cfRule type="cellIs" dxfId="574" priority="581" operator="between">
      <formula>-0.04</formula>
      <formula>-1</formula>
    </cfRule>
  </conditionalFormatting>
  <conditionalFormatting sqref="BM1063:BM1065">
    <cfRule type="cellIs" dxfId="573" priority="580" operator="between">
      <formula>8</formula>
      <formula>60</formula>
    </cfRule>
  </conditionalFormatting>
  <conditionalFormatting sqref="CE1063">
    <cfRule type="cellIs" dxfId="572" priority="579" operator="between">
      <formula>-0.04</formula>
      <formula>-1</formula>
    </cfRule>
  </conditionalFormatting>
  <conditionalFormatting sqref="BM1064:BM1065">
    <cfRule type="cellIs" dxfId="571" priority="578" operator="between">
      <formula>8</formula>
      <formula>60</formula>
    </cfRule>
  </conditionalFormatting>
  <conditionalFormatting sqref="CE1064:CE1065">
    <cfRule type="cellIs" dxfId="570" priority="577" operator="between">
      <formula>-0.04</formula>
      <formula>-1</formula>
    </cfRule>
  </conditionalFormatting>
  <conditionalFormatting sqref="BM1067">
    <cfRule type="cellIs" dxfId="569" priority="574" operator="between">
      <formula>8</formula>
      <formula>60</formula>
    </cfRule>
  </conditionalFormatting>
  <conditionalFormatting sqref="BM1068">
    <cfRule type="cellIs" dxfId="568" priority="576" operator="between">
      <formula>8</formula>
      <formula>60</formula>
    </cfRule>
  </conditionalFormatting>
  <conditionalFormatting sqref="CE1068">
    <cfRule type="cellIs" dxfId="567" priority="575" operator="between">
      <formula>-0.04</formula>
      <formula>-1</formula>
    </cfRule>
  </conditionalFormatting>
  <conditionalFormatting sqref="CE1067">
    <cfRule type="cellIs" dxfId="566" priority="573" operator="between">
      <formula>-0.04</formula>
      <formula>-1</formula>
    </cfRule>
  </conditionalFormatting>
  <conditionalFormatting sqref="BM1066">
    <cfRule type="cellIs" dxfId="565" priority="572" operator="between">
      <formula>8</formula>
      <formula>60</formula>
    </cfRule>
  </conditionalFormatting>
  <conditionalFormatting sqref="CE1066">
    <cfRule type="cellIs" dxfId="564" priority="571" operator="between">
      <formula>-0.04</formula>
      <formula>-1</formula>
    </cfRule>
  </conditionalFormatting>
  <conditionalFormatting sqref="BM597">
    <cfRule type="cellIs" dxfId="563" priority="570" operator="between">
      <formula>8</formula>
      <formula>60</formula>
    </cfRule>
  </conditionalFormatting>
  <conditionalFormatting sqref="BM597">
    <cfRule type="cellIs" dxfId="562" priority="569" operator="between">
      <formula>8</formula>
      <formula>60</formula>
    </cfRule>
  </conditionalFormatting>
  <conditionalFormatting sqref="CE597">
    <cfRule type="cellIs" dxfId="561" priority="568" operator="between">
      <formula>-0.04</formula>
      <formula>-1</formula>
    </cfRule>
  </conditionalFormatting>
  <conditionalFormatting sqref="BM141">
    <cfRule type="cellIs" dxfId="560" priority="567" operator="between">
      <formula>8</formula>
      <formula>60</formula>
    </cfRule>
  </conditionalFormatting>
  <conditionalFormatting sqref="CE141">
    <cfRule type="cellIs" dxfId="559" priority="566" operator="between">
      <formula>-0.04</formula>
      <formula>-1</formula>
    </cfRule>
  </conditionalFormatting>
  <conditionalFormatting sqref="BM144:BM145">
    <cfRule type="cellIs" dxfId="558" priority="563" operator="between">
      <formula>8</formula>
      <formula>60</formula>
    </cfRule>
  </conditionalFormatting>
  <conditionalFormatting sqref="BM146">
    <cfRule type="cellIs" dxfId="557" priority="565" operator="between">
      <formula>8</formula>
      <formula>60</formula>
    </cfRule>
  </conditionalFormatting>
  <conditionalFormatting sqref="CE146">
    <cfRule type="cellIs" dxfId="556" priority="564" operator="between">
      <formula>-0.04</formula>
      <formula>-1</formula>
    </cfRule>
  </conditionalFormatting>
  <conditionalFormatting sqref="CE144:CE145">
    <cfRule type="cellIs" dxfId="555" priority="562" operator="between">
      <formula>-0.04</formula>
      <formula>-1</formula>
    </cfRule>
  </conditionalFormatting>
  <conditionalFormatting sqref="BM143:BM146">
    <cfRule type="cellIs" dxfId="554" priority="561" operator="between">
      <formula>8</formula>
      <formula>60</formula>
    </cfRule>
  </conditionalFormatting>
  <conditionalFormatting sqref="CE143">
    <cfRule type="cellIs" dxfId="553" priority="560" operator="between">
      <formula>-0.04</formula>
      <formula>-1</formula>
    </cfRule>
  </conditionalFormatting>
  <conditionalFormatting sqref="CE142">
    <cfRule type="cellIs" dxfId="552" priority="559" operator="between">
      <formula>-0.04</formula>
      <formula>-1</formula>
    </cfRule>
  </conditionalFormatting>
  <conditionalFormatting sqref="BM142">
    <cfRule type="cellIs" dxfId="551" priority="558" operator="between">
      <formula>8</formula>
      <formula>60</formula>
    </cfRule>
  </conditionalFormatting>
  <conditionalFormatting sqref="BM611">
    <cfRule type="cellIs" dxfId="550" priority="557" operator="between">
      <formula>8</formula>
      <formula>60</formula>
    </cfRule>
  </conditionalFormatting>
  <conditionalFormatting sqref="CE611">
    <cfRule type="cellIs" dxfId="549" priority="556" operator="between">
      <formula>-0.04</formula>
      <formula>-1</formula>
    </cfRule>
  </conditionalFormatting>
  <conditionalFormatting sqref="BM610">
    <cfRule type="cellIs" dxfId="548" priority="555" operator="between">
      <formula>8</formula>
      <formula>60</formula>
    </cfRule>
  </conditionalFormatting>
  <conditionalFormatting sqref="CE610">
    <cfRule type="cellIs" dxfId="547" priority="554" operator="between">
      <formula>-0.04</formula>
      <formula>-1</formula>
    </cfRule>
  </conditionalFormatting>
  <conditionalFormatting sqref="CE609">
    <cfRule type="cellIs" dxfId="546" priority="552" operator="between">
      <formula>-0.04</formula>
      <formula>-1</formula>
    </cfRule>
  </conditionalFormatting>
  <conditionalFormatting sqref="BM609">
    <cfRule type="cellIs" dxfId="545" priority="553" operator="between">
      <formula>8</formula>
      <formula>60</formula>
    </cfRule>
  </conditionalFormatting>
  <conditionalFormatting sqref="BM605">
    <cfRule type="cellIs" dxfId="544" priority="547" operator="between">
      <formula>8</formula>
      <formula>60</formula>
    </cfRule>
  </conditionalFormatting>
  <conditionalFormatting sqref="BM608">
    <cfRule type="cellIs" dxfId="543" priority="551" operator="between">
      <formula>8</formula>
      <formula>60</formula>
    </cfRule>
  </conditionalFormatting>
  <conditionalFormatting sqref="CE608">
    <cfRule type="cellIs" dxfId="542" priority="550" operator="between">
      <formula>-0.04</formula>
      <formula>-1</formula>
    </cfRule>
  </conditionalFormatting>
  <conditionalFormatting sqref="CE605">
    <cfRule type="cellIs" dxfId="541" priority="546" operator="between">
      <formula>-0.04</formula>
      <formula>-1</formula>
    </cfRule>
  </conditionalFormatting>
  <conditionalFormatting sqref="BM606">
    <cfRule type="cellIs" dxfId="540" priority="545" operator="between">
      <formula>8</formula>
      <formula>60</formula>
    </cfRule>
  </conditionalFormatting>
  <conditionalFormatting sqref="CE606">
    <cfRule type="cellIs" dxfId="539" priority="544" operator="between">
      <formula>-0.04</formula>
      <formula>-1</formula>
    </cfRule>
  </conditionalFormatting>
  <conditionalFormatting sqref="BM607">
    <cfRule type="cellIs" dxfId="538" priority="549" operator="between">
      <formula>8</formula>
      <formula>60</formula>
    </cfRule>
  </conditionalFormatting>
  <conditionalFormatting sqref="CE607">
    <cfRule type="cellIs" dxfId="537" priority="548" operator="between">
      <formula>-0.04</formula>
      <formula>-1</formula>
    </cfRule>
  </conditionalFormatting>
  <conditionalFormatting sqref="BM600">
    <cfRule type="cellIs" dxfId="536" priority="535" operator="between">
      <formula>8</formula>
      <formula>60</formula>
    </cfRule>
  </conditionalFormatting>
  <conditionalFormatting sqref="BM604">
    <cfRule type="cellIs" dxfId="535" priority="543" operator="between">
      <formula>8</formula>
      <formula>60</formula>
    </cfRule>
  </conditionalFormatting>
  <conditionalFormatting sqref="CE604">
    <cfRule type="cellIs" dxfId="534" priority="542" operator="between">
      <formula>-0.04</formula>
      <formula>-1</formula>
    </cfRule>
  </conditionalFormatting>
  <conditionalFormatting sqref="BM601">
    <cfRule type="cellIs" dxfId="533" priority="539" operator="between">
      <formula>8</formula>
      <formula>60</formula>
    </cfRule>
  </conditionalFormatting>
  <conditionalFormatting sqref="CE601">
    <cfRule type="cellIs" dxfId="532" priority="538" operator="between">
      <formula>-0.04</formula>
      <formula>-1</formula>
    </cfRule>
  </conditionalFormatting>
  <conditionalFormatting sqref="BM602:BM611">
    <cfRule type="cellIs" dxfId="531" priority="537" operator="between">
      <formula>8</formula>
      <formula>60</formula>
    </cfRule>
  </conditionalFormatting>
  <conditionalFormatting sqref="CE602">
    <cfRule type="cellIs" dxfId="530" priority="536" operator="between">
      <formula>-0.04</formula>
      <formula>-1</formula>
    </cfRule>
  </conditionalFormatting>
  <conditionalFormatting sqref="CE600">
    <cfRule type="cellIs" dxfId="529" priority="534" operator="between">
      <formula>-0.04</formula>
      <formula>-1</formula>
    </cfRule>
  </conditionalFormatting>
  <conditionalFormatting sqref="BM603">
    <cfRule type="cellIs" dxfId="528" priority="541" operator="between">
      <formula>8</formula>
      <formula>60</formula>
    </cfRule>
  </conditionalFormatting>
  <conditionalFormatting sqref="CE603">
    <cfRule type="cellIs" dxfId="527" priority="540" operator="between">
      <formula>-0.04</formula>
      <formula>-1</formula>
    </cfRule>
  </conditionalFormatting>
  <conditionalFormatting sqref="BM599:BM601">
    <cfRule type="cellIs" dxfId="526" priority="533" operator="between">
      <formula>8</formula>
      <formula>60</formula>
    </cfRule>
  </conditionalFormatting>
  <conditionalFormatting sqref="CE599">
    <cfRule type="cellIs" dxfId="525" priority="532" operator="between">
      <formula>-0.04</formula>
      <formula>-1</formula>
    </cfRule>
  </conditionalFormatting>
  <conditionalFormatting sqref="BM612">
    <cfRule type="cellIs" dxfId="524" priority="531" operator="between">
      <formula>8</formula>
      <formula>60</formula>
    </cfRule>
  </conditionalFormatting>
  <conditionalFormatting sqref="CE612">
    <cfRule type="cellIs" dxfId="523" priority="530" operator="between">
      <formula>-0.04</formula>
      <formula>-1</formula>
    </cfRule>
  </conditionalFormatting>
  <conditionalFormatting sqref="CE613">
    <cfRule type="cellIs" dxfId="522" priority="529" operator="between">
      <formula>-0.04</formula>
      <formula>-1</formula>
    </cfRule>
  </conditionalFormatting>
  <conditionalFormatting sqref="BM613">
    <cfRule type="cellIs" dxfId="521" priority="528" operator="between">
      <formula>8</formula>
      <formula>60</formula>
    </cfRule>
  </conditionalFormatting>
  <conditionalFormatting sqref="BM652:BM653">
    <cfRule type="cellIs" dxfId="520" priority="527" operator="between">
      <formula>8</formula>
      <formula>60</formula>
    </cfRule>
  </conditionalFormatting>
  <conditionalFormatting sqref="CE652">
    <cfRule type="cellIs" dxfId="519" priority="526" operator="between">
      <formula>-0.04</formula>
      <formula>-1</formula>
    </cfRule>
  </conditionalFormatting>
  <conditionalFormatting sqref="BM653">
    <cfRule type="cellIs" dxfId="518" priority="524" operator="between">
      <formula>8</formula>
      <formula>60</formula>
    </cfRule>
  </conditionalFormatting>
  <conditionalFormatting sqref="CE653">
    <cfRule type="cellIs" dxfId="517" priority="525" operator="between">
      <formula>-0.04</formula>
      <formula>-1</formula>
    </cfRule>
  </conditionalFormatting>
  <conditionalFormatting sqref="CE1366">
    <cfRule type="cellIs" dxfId="516" priority="523" operator="between">
      <formula>-0.04</formula>
      <formula>-1</formula>
    </cfRule>
  </conditionalFormatting>
  <conditionalFormatting sqref="BM1365">
    <cfRule type="cellIs" dxfId="515" priority="522" operator="between">
      <formula>8</formula>
      <formula>60</formula>
    </cfRule>
  </conditionalFormatting>
  <conditionalFormatting sqref="CE1365">
    <cfRule type="cellIs" dxfId="514" priority="521" operator="between">
      <formula>-0.04</formula>
      <formula>-1</formula>
    </cfRule>
  </conditionalFormatting>
  <conditionalFormatting sqref="BM1366">
    <cfRule type="cellIs" dxfId="513" priority="520" operator="between">
      <formula>8</formula>
      <formula>60</formula>
    </cfRule>
  </conditionalFormatting>
  <conditionalFormatting sqref="BM1503">
    <cfRule type="cellIs" dxfId="512" priority="519" operator="between">
      <formula>8</formula>
      <formula>60</formula>
    </cfRule>
  </conditionalFormatting>
  <conditionalFormatting sqref="CE1503">
    <cfRule type="cellIs" dxfId="511" priority="518" operator="between">
      <formula>-0.04</formula>
      <formula>-1</formula>
    </cfRule>
  </conditionalFormatting>
  <conditionalFormatting sqref="BM1502">
    <cfRule type="cellIs" dxfId="510" priority="517" operator="between">
      <formula>8</formula>
      <formula>60</formula>
    </cfRule>
  </conditionalFormatting>
  <conditionalFormatting sqref="CE1502">
    <cfRule type="cellIs" dxfId="509" priority="516" operator="between">
      <formula>-0.04</formula>
      <formula>-1</formula>
    </cfRule>
  </conditionalFormatting>
  <conditionalFormatting sqref="BM1504">
    <cfRule type="cellIs" dxfId="508" priority="515" operator="between">
      <formula>8</formula>
      <formula>60</formula>
    </cfRule>
  </conditionalFormatting>
  <conditionalFormatting sqref="CE1504">
    <cfRule type="cellIs" dxfId="507" priority="514" operator="between">
      <formula>-0.04</formula>
      <formula>-1</formula>
    </cfRule>
  </conditionalFormatting>
  <conditionalFormatting sqref="BM173">
    <cfRule type="cellIs" dxfId="506" priority="513" operator="between">
      <formula>8</formula>
      <formula>60</formula>
    </cfRule>
  </conditionalFormatting>
  <conditionalFormatting sqref="CE173">
    <cfRule type="cellIs" dxfId="505" priority="512" operator="between">
      <formula>-0.04</formula>
      <formula>-1</formula>
    </cfRule>
  </conditionalFormatting>
  <conditionalFormatting sqref="BM172">
    <cfRule type="cellIs" dxfId="504" priority="511" operator="between">
      <formula>8</formula>
      <formula>60</formula>
    </cfRule>
  </conditionalFormatting>
  <conditionalFormatting sqref="CE172">
    <cfRule type="cellIs" dxfId="503" priority="510" operator="between">
      <formula>-0.04</formula>
      <formula>-1</formula>
    </cfRule>
  </conditionalFormatting>
  <conditionalFormatting sqref="BM158:BM159">
    <cfRule type="cellIs" dxfId="502" priority="505" operator="between">
      <formula>8</formula>
      <formula>60</formula>
    </cfRule>
  </conditionalFormatting>
  <conditionalFormatting sqref="BM161">
    <cfRule type="cellIs" dxfId="501" priority="509" operator="between">
      <formula>8</formula>
      <formula>60</formula>
    </cfRule>
  </conditionalFormatting>
  <conditionalFormatting sqref="CE161">
    <cfRule type="cellIs" dxfId="500" priority="508" operator="between">
      <formula>-0.04</formula>
      <formula>-1</formula>
    </cfRule>
  </conditionalFormatting>
  <conditionalFormatting sqref="BM160">
    <cfRule type="cellIs" dxfId="499" priority="507" operator="between">
      <formula>8</formula>
      <formula>60</formula>
    </cfRule>
  </conditionalFormatting>
  <conditionalFormatting sqref="CE160">
    <cfRule type="cellIs" dxfId="498" priority="506" operator="between">
      <formula>-0.04</formula>
      <formula>-1</formula>
    </cfRule>
  </conditionalFormatting>
  <conditionalFormatting sqref="CE158:CE159">
    <cfRule type="cellIs" dxfId="497" priority="504" operator="between">
      <formula>-0.04</formula>
      <formula>-1</formula>
    </cfRule>
  </conditionalFormatting>
  <conditionalFormatting sqref="BM157:BM161">
    <cfRule type="cellIs" dxfId="496" priority="503" operator="between">
      <formula>8</formula>
      <formula>60</formula>
    </cfRule>
  </conditionalFormatting>
  <conditionalFormatting sqref="CE157">
    <cfRule type="cellIs" dxfId="495" priority="502" operator="between">
      <formula>-0.04</formula>
      <formula>-1</formula>
    </cfRule>
  </conditionalFormatting>
  <conditionalFormatting sqref="BM153:BM156">
    <cfRule type="cellIs" dxfId="494" priority="497" operator="between">
      <formula>8</formula>
      <formula>60</formula>
    </cfRule>
  </conditionalFormatting>
  <conditionalFormatting sqref="BM156">
    <cfRule type="cellIs" dxfId="493" priority="501" operator="between">
      <formula>8</formula>
      <formula>60</formula>
    </cfRule>
  </conditionalFormatting>
  <conditionalFormatting sqref="CE156">
    <cfRule type="cellIs" dxfId="492" priority="500" operator="between">
      <formula>-0.04</formula>
      <formula>-1</formula>
    </cfRule>
  </conditionalFormatting>
  <conditionalFormatting sqref="BM155">
    <cfRule type="cellIs" dxfId="491" priority="499" operator="between">
      <formula>8</formula>
      <formula>60</formula>
    </cfRule>
  </conditionalFormatting>
  <conditionalFormatting sqref="CE155">
    <cfRule type="cellIs" dxfId="490" priority="498" operator="between">
      <formula>-0.04</formula>
      <formula>-1</formula>
    </cfRule>
  </conditionalFormatting>
  <conditionalFormatting sqref="CE153:CE154">
    <cfRule type="cellIs" dxfId="489" priority="496" operator="between">
      <formula>-0.04</formula>
      <formula>-1</formula>
    </cfRule>
  </conditionalFormatting>
  <conditionalFormatting sqref="BM152">
    <cfRule type="cellIs" dxfId="488" priority="495" operator="between">
      <formula>8</formula>
      <formula>60</formula>
    </cfRule>
  </conditionalFormatting>
  <conditionalFormatting sqref="CE152">
    <cfRule type="cellIs" dxfId="487" priority="494" operator="between">
      <formula>-0.04</formula>
      <formula>-1</formula>
    </cfRule>
  </conditionalFormatting>
  <conditionalFormatting sqref="BM148:BM149">
    <cfRule type="cellIs" dxfId="486" priority="489" operator="between">
      <formula>8</formula>
      <formula>60</formula>
    </cfRule>
  </conditionalFormatting>
  <conditionalFormatting sqref="BM151">
    <cfRule type="cellIs" dxfId="485" priority="493" operator="between">
      <formula>8</formula>
      <formula>60</formula>
    </cfRule>
  </conditionalFormatting>
  <conditionalFormatting sqref="CE151">
    <cfRule type="cellIs" dxfId="484" priority="492" operator="between">
      <formula>-0.04</formula>
      <formula>-1</formula>
    </cfRule>
  </conditionalFormatting>
  <conditionalFormatting sqref="BM150:BM153">
    <cfRule type="cellIs" dxfId="483" priority="491" operator="between">
      <formula>8</formula>
      <formula>60</formula>
    </cfRule>
  </conditionalFormatting>
  <conditionalFormatting sqref="CE150">
    <cfRule type="cellIs" dxfId="482" priority="490" operator="between">
      <formula>-0.04</formula>
      <formula>-1</formula>
    </cfRule>
  </conditionalFormatting>
  <conditionalFormatting sqref="CE148:CE149">
    <cfRule type="cellIs" dxfId="481" priority="488" operator="between">
      <formula>-0.04</formula>
      <formula>-1</formula>
    </cfRule>
  </conditionalFormatting>
  <conditionalFormatting sqref="BM147:BM149">
    <cfRule type="cellIs" dxfId="480" priority="487" operator="between">
      <formula>8</formula>
      <formula>60</formula>
    </cfRule>
  </conditionalFormatting>
  <conditionalFormatting sqref="CE147">
    <cfRule type="cellIs" dxfId="479" priority="486" operator="between">
      <formula>-0.04</formula>
      <formula>-1</formula>
    </cfRule>
  </conditionalFormatting>
  <conditionalFormatting sqref="BM168:BM169">
    <cfRule type="cellIs" dxfId="478" priority="482" operator="between">
      <formula>8</formula>
      <formula>60</formula>
    </cfRule>
  </conditionalFormatting>
  <conditionalFormatting sqref="BM171:BM173">
    <cfRule type="cellIs" dxfId="477" priority="485" operator="between">
      <formula>8</formula>
      <formula>60</formula>
    </cfRule>
  </conditionalFormatting>
  <conditionalFormatting sqref="CE171">
    <cfRule type="cellIs" dxfId="476" priority="484" operator="between">
      <formula>-0.04</formula>
      <formula>-1</formula>
    </cfRule>
  </conditionalFormatting>
  <conditionalFormatting sqref="CE170">
    <cfRule type="cellIs" dxfId="475" priority="483" operator="between">
      <formula>-0.04</formula>
      <formula>-1</formula>
    </cfRule>
  </conditionalFormatting>
  <conditionalFormatting sqref="CE168:CE169">
    <cfRule type="cellIs" dxfId="474" priority="481" operator="between">
      <formula>-0.04</formula>
      <formula>-1</formula>
    </cfRule>
  </conditionalFormatting>
  <conditionalFormatting sqref="BM167">
    <cfRule type="cellIs" dxfId="473" priority="480" operator="between">
      <formula>8</formula>
      <formula>60</formula>
    </cfRule>
  </conditionalFormatting>
  <conditionalFormatting sqref="CE167">
    <cfRule type="cellIs" dxfId="472" priority="479" operator="between">
      <formula>-0.04</formula>
      <formula>-1</formula>
    </cfRule>
  </conditionalFormatting>
  <conditionalFormatting sqref="BM163:BM164">
    <cfRule type="cellIs" dxfId="471" priority="474" operator="between">
      <formula>8</formula>
      <formula>60</formula>
    </cfRule>
  </conditionalFormatting>
  <conditionalFormatting sqref="BM166:BM168">
    <cfRule type="cellIs" dxfId="470" priority="478" operator="between">
      <formula>8</formula>
      <formula>60</formula>
    </cfRule>
  </conditionalFormatting>
  <conditionalFormatting sqref="CE166">
    <cfRule type="cellIs" dxfId="469" priority="477" operator="between">
      <formula>-0.04</formula>
      <formula>-1</formula>
    </cfRule>
  </conditionalFormatting>
  <conditionalFormatting sqref="BM165">
    <cfRule type="cellIs" dxfId="468" priority="476" operator="between">
      <formula>8</formula>
      <formula>60</formula>
    </cfRule>
  </conditionalFormatting>
  <conditionalFormatting sqref="CE165">
    <cfRule type="cellIs" dxfId="467" priority="475" operator="between">
      <formula>-0.04</formula>
      <formula>-1</formula>
    </cfRule>
  </conditionalFormatting>
  <conditionalFormatting sqref="CE163:CE164">
    <cfRule type="cellIs" dxfId="466" priority="473" operator="between">
      <formula>-0.04</formula>
      <formula>-1</formula>
    </cfRule>
  </conditionalFormatting>
  <conditionalFormatting sqref="BM162:BM165">
    <cfRule type="cellIs" dxfId="465" priority="472" operator="between">
      <formula>8</formula>
      <formula>60</formula>
    </cfRule>
  </conditionalFormatting>
  <conditionalFormatting sqref="CE162">
    <cfRule type="cellIs" dxfId="464" priority="471" operator="between">
      <formula>-0.04</formula>
      <formula>-1</formula>
    </cfRule>
  </conditionalFormatting>
  <conditionalFormatting sqref="BM170">
    <cfRule type="cellIs" dxfId="463" priority="470" operator="between">
      <formula>8</formula>
      <formula>60</formula>
    </cfRule>
  </conditionalFormatting>
  <conditionalFormatting sqref="BM174:BM176">
    <cfRule type="cellIs" dxfId="462" priority="465" operator="between">
      <formula>8</formula>
      <formula>60</formula>
    </cfRule>
  </conditionalFormatting>
  <conditionalFormatting sqref="BM176">
    <cfRule type="cellIs" dxfId="461" priority="469" operator="between">
      <formula>8</formula>
      <formula>60</formula>
    </cfRule>
  </conditionalFormatting>
  <conditionalFormatting sqref="CE176">
    <cfRule type="cellIs" dxfId="460" priority="468" operator="between">
      <formula>-0.04</formula>
      <formula>-1</formula>
    </cfRule>
  </conditionalFormatting>
  <conditionalFormatting sqref="BM175">
    <cfRule type="cellIs" dxfId="459" priority="467" operator="between">
      <formula>8</formula>
      <formula>60</formula>
    </cfRule>
  </conditionalFormatting>
  <conditionalFormatting sqref="CE175">
    <cfRule type="cellIs" dxfId="458" priority="466" operator="between">
      <formula>-0.04</formula>
      <formula>-1</formula>
    </cfRule>
  </conditionalFormatting>
  <conditionalFormatting sqref="CE174">
    <cfRule type="cellIs" dxfId="457" priority="464" operator="between">
      <formula>-0.04</formula>
      <formula>-1</formula>
    </cfRule>
  </conditionalFormatting>
  <conditionalFormatting sqref="BM1505">
    <cfRule type="cellIs" dxfId="456" priority="463" operator="between">
      <formula>8</formula>
      <formula>60</formula>
    </cfRule>
  </conditionalFormatting>
  <conditionalFormatting sqref="CE1505">
    <cfRule type="cellIs" dxfId="455" priority="462" operator="between">
      <formula>-0.04</formula>
      <formula>-1</formula>
    </cfRule>
  </conditionalFormatting>
  <conditionalFormatting sqref="CE1506">
    <cfRule type="cellIs" dxfId="454" priority="461" operator="between">
      <formula>-0.04</formula>
      <formula>-1</formula>
    </cfRule>
  </conditionalFormatting>
  <conditionalFormatting sqref="BM1506">
    <cfRule type="cellIs" dxfId="453" priority="460" operator="between">
      <formula>8</formula>
      <formula>60</formula>
    </cfRule>
  </conditionalFormatting>
  <conditionalFormatting sqref="BM1510">
    <cfRule type="cellIs" dxfId="452" priority="459" operator="between">
      <formula>8</formula>
      <formula>60</formula>
    </cfRule>
  </conditionalFormatting>
  <conditionalFormatting sqref="CE1510">
    <cfRule type="cellIs" dxfId="451" priority="458" operator="between">
      <formula>-0.04</formula>
      <formula>-1</formula>
    </cfRule>
  </conditionalFormatting>
  <conditionalFormatting sqref="BM1509">
    <cfRule type="cellIs" dxfId="450" priority="457" operator="between">
      <formula>8</formula>
      <formula>60</formula>
    </cfRule>
  </conditionalFormatting>
  <conditionalFormatting sqref="CE1509">
    <cfRule type="cellIs" dxfId="449" priority="456" operator="between">
      <formula>-0.04</formula>
      <formula>-1</formula>
    </cfRule>
  </conditionalFormatting>
  <conditionalFormatting sqref="CE1508">
    <cfRule type="cellIs" dxfId="448" priority="455" operator="between">
      <formula>-0.04</formula>
      <formula>-1</formula>
    </cfRule>
  </conditionalFormatting>
  <conditionalFormatting sqref="BM1507">
    <cfRule type="cellIs" dxfId="447" priority="454" operator="between">
      <formula>8</formula>
      <formula>60</formula>
    </cfRule>
  </conditionalFormatting>
  <conditionalFormatting sqref="CE1507">
    <cfRule type="cellIs" dxfId="446" priority="453" operator="between">
      <formula>-0.04</formula>
      <formula>-1</formula>
    </cfRule>
  </conditionalFormatting>
  <conditionalFormatting sqref="BM1508">
    <cfRule type="cellIs" dxfId="445" priority="452" operator="between">
      <formula>8</formula>
      <formula>60</formula>
    </cfRule>
  </conditionalFormatting>
  <conditionalFormatting sqref="BM891">
    <cfRule type="cellIs" dxfId="444" priority="451" operator="between">
      <formula>8</formula>
      <formula>60</formula>
    </cfRule>
  </conditionalFormatting>
  <conditionalFormatting sqref="CE891">
    <cfRule type="cellIs" dxfId="443" priority="450" operator="between">
      <formula>-0.04</formula>
      <formula>-1</formula>
    </cfRule>
  </conditionalFormatting>
  <conditionalFormatting sqref="BM889:BM890">
    <cfRule type="cellIs" dxfId="442" priority="449" operator="between">
      <formula>8</formula>
      <formula>60</formula>
    </cfRule>
  </conditionalFormatting>
  <conditionalFormatting sqref="BM888:BM891">
    <cfRule type="cellIs" dxfId="441" priority="447" operator="between">
      <formula>8</formula>
      <formula>60</formula>
    </cfRule>
  </conditionalFormatting>
  <conditionalFormatting sqref="CE889:CE890">
    <cfRule type="cellIs" dxfId="440" priority="448" operator="between">
      <formula>-0.04</formula>
      <formula>-1</formula>
    </cfRule>
  </conditionalFormatting>
  <conditionalFormatting sqref="CE888">
    <cfRule type="cellIs" dxfId="439" priority="446" operator="between">
      <formula>-0.04</formula>
      <formula>-1</formula>
    </cfRule>
  </conditionalFormatting>
  <conditionalFormatting sqref="BM886:BM887">
    <cfRule type="cellIs" dxfId="438" priority="445" operator="between">
      <formula>8</formula>
      <formula>60</formula>
    </cfRule>
  </conditionalFormatting>
  <conditionalFormatting sqref="BM885:BM887">
    <cfRule type="cellIs" dxfId="437" priority="443" operator="between">
      <formula>8</formula>
      <formula>60</formula>
    </cfRule>
  </conditionalFormatting>
  <conditionalFormatting sqref="CE886:CE887">
    <cfRule type="cellIs" dxfId="436" priority="444" operator="between">
      <formula>-0.04</formula>
      <formula>-1</formula>
    </cfRule>
  </conditionalFormatting>
  <conditionalFormatting sqref="CE885">
    <cfRule type="cellIs" dxfId="435" priority="442" operator="between">
      <formula>-0.04</formula>
      <formula>-1</formula>
    </cfRule>
  </conditionalFormatting>
  <conditionalFormatting sqref="BM884">
    <cfRule type="cellIs" dxfId="434" priority="441" operator="between">
      <formula>8</formula>
      <formula>60</formula>
    </cfRule>
  </conditionalFormatting>
  <conditionalFormatting sqref="CE884">
    <cfRule type="cellIs" dxfId="433" priority="440" operator="between">
      <formula>-0.04</formula>
      <formula>-1</formula>
    </cfRule>
  </conditionalFormatting>
  <conditionalFormatting sqref="BM835">
    <cfRule type="cellIs" dxfId="432" priority="439" operator="between">
      <formula>8</formula>
      <formula>60</formula>
    </cfRule>
  </conditionalFormatting>
  <conditionalFormatting sqref="CE835">
    <cfRule type="cellIs" dxfId="431" priority="438" operator="between">
      <formula>-0.04</formula>
      <formula>-1</formula>
    </cfRule>
  </conditionalFormatting>
  <conditionalFormatting sqref="BM843">
    <cfRule type="cellIs" dxfId="430" priority="435" operator="between">
      <formula>8</formula>
      <formula>60</formula>
    </cfRule>
  </conditionalFormatting>
  <conditionalFormatting sqref="CE843">
    <cfRule type="cellIs" dxfId="429" priority="434" operator="between">
      <formula>-0.04</formula>
      <formula>-1</formula>
    </cfRule>
  </conditionalFormatting>
  <conditionalFormatting sqref="BM842">
    <cfRule type="cellIs" dxfId="428" priority="437" operator="between">
      <formula>8</formula>
      <formula>60</formula>
    </cfRule>
  </conditionalFormatting>
  <conditionalFormatting sqref="CE842">
    <cfRule type="cellIs" dxfId="427" priority="436" operator="between">
      <formula>-0.04</formula>
      <formula>-1</formula>
    </cfRule>
  </conditionalFormatting>
  <conditionalFormatting sqref="BM838">
    <cfRule type="cellIs" dxfId="426" priority="433" operator="between">
      <formula>8</formula>
      <formula>60</formula>
    </cfRule>
  </conditionalFormatting>
  <conditionalFormatting sqref="BM840">
    <cfRule type="cellIs" dxfId="425" priority="422" operator="between">
      <formula>8</formula>
      <formula>60</formula>
    </cfRule>
  </conditionalFormatting>
  <conditionalFormatting sqref="BM841:BM843">
    <cfRule type="cellIs" dxfId="424" priority="427" operator="between">
      <formula>8</formula>
      <formula>60</formula>
    </cfRule>
  </conditionalFormatting>
  <conditionalFormatting sqref="CE838">
    <cfRule type="cellIs" dxfId="423" priority="432" operator="between">
      <formula>-0.04</formula>
      <formula>-1</formula>
    </cfRule>
  </conditionalFormatting>
  <conditionalFormatting sqref="BM837">
    <cfRule type="cellIs" dxfId="422" priority="429" operator="between">
      <formula>8</formula>
      <formula>60</formula>
    </cfRule>
  </conditionalFormatting>
  <conditionalFormatting sqref="CE837">
    <cfRule type="cellIs" dxfId="421" priority="428" operator="between">
      <formula>-0.04</formula>
      <formula>-1</formula>
    </cfRule>
  </conditionalFormatting>
  <conditionalFormatting sqref="BM836:BM838">
    <cfRule type="cellIs" dxfId="420" priority="431" operator="between">
      <formula>8</formula>
      <formula>60</formula>
    </cfRule>
  </conditionalFormatting>
  <conditionalFormatting sqref="CE836">
    <cfRule type="cellIs" dxfId="419" priority="430" operator="between">
      <formula>-0.04</formula>
      <formula>-1</formula>
    </cfRule>
  </conditionalFormatting>
  <conditionalFormatting sqref="CE841">
    <cfRule type="cellIs" dxfId="418" priority="426" operator="between">
      <formula>-0.04</formula>
      <formula>-1</formula>
    </cfRule>
  </conditionalFormatting>
  <conditionalFormatting sqref="BM839">
    <cfRule type="cellIs" dxfId="417" priority="425" operator="between">
      <formula>8</formula>
      <formula>60</formula>
    </cfRule>
  </conditionalFormatting>
  <conditionalFormatting sqref="CE839">
    <cfRule type="cellIs" dxfId="416" priority="424" operator="between">
      <formula>-0.04</formula>
      <formula>-1</formula>
    </cfRule>
  </conditionalFormatting>
  <conditionalFormatting sqref="CE840">
    <cfRule type="cellIs" dxfId="415" priority="423" operator="between">
      <formula>-0.04</formula>
      <formula>-1</formula>
    </cfRule>
  </conditionalFormatting>
  <conditionalFormatting sqref="BM328:BM333">
    <cfRule type="cellIs" dxfId="414" priority="421" operator="between">
      <formula>8</formula>
      <formula>60</formula>
    </cfRule>
  </conditionalFormatting>
  <conditionalFormatting sqref="CE328:CE333">
    <cfRule type="cellIs" dxfId="413" priority="420" operator="between">
      <formula>-0.04</formula>
      <formula>-1</formula>
    </cfRule>
  </conditionalFormatting>
  <conditionalFormatting sqref="BM277">
    <cfRule type="cellIs" dxfId="412" priority="419" operator="between">
      <formula>8</formula>
      <formula>60</formula>
    </cfRule>
  </conditionalFormatting>
  <conditionalFormatting sqref="CE277:CE278">
    <cfRule type="cellIs" dxfId="411" priority="418" operator="between">
      <formula>-0.04</formula>
      <formula>-1</formula>
    </cfRule>
  </conditionalFormatting>
  <conditionalFormatting sqref="BM278">
    <cfRule type="cellIs" dxfId="410" priority="417" operator="between">
      <formula>8</formula>
      <formula>60</formula>
    </cfRule>
  </conditionalFormatting>
  <conditionalFormatting sqref="BM281">
    <cfRule type="cellIs" dxfId="409" priority="416" operator="between">
      <formula>8</formula>
      <formula>60</formula>
    </cfRule>
  </conditionalFormatting>
  <conditionalFormatting sqref="CE281">
    <cfRule type="cellIs" dxfId="408" priority="415" operator="between">
      <formula>-0.04</formula>
      <formula>-1</formula>
    </cfRule>
  </conditionalFormatting>
  <conditionalFormatting sqref="BM280">
    <cfRule type="cellIs" dxfId="407" priority="414" operator="between">
      <formula>8</formula>
      <formula>60</formula>
    </cfRule>
  </conditionalFormatting>
  <conditionalFormatting sqref="CE280">
    <cfRule type="cellIs" dxfId="406" priority="413" operator="between">
      <formula>-0.04</formula>
      <formula>-1</formula>
    </cfRule>
  </conditionalFormatting>
  <conditionalFormatting sqref="BM279:BM281">
    <cfRule type="cellIs" dxfId="405" priority="412" operator="between">
      <formula>8</formula>
      <formula>60</formula>
    </cfRule>
  </conditionalFormatting>
  <conditionalFormatting sqref="CE279">
    <cfRule type="cellIs" dxfId="404" priority="411" operator="between">
      <formula>-0.04</formula>
      <formula>-1</formula>
    </cfRule>
  </conditionalFormatting>
  <conditionalFormatting sqref="BM177">
    <cfRule type="cellIs" dxfId="403" priority="409" operator="between">
      <formula>8</formula>
      <formula>60</formula>
    </cfRule>
  </conditionalFormatting>
  <conditionalFormatting sqref="CE178">
    <cfRule type="cellIs" dxfId="402" priority="410" operator="between">
      <formula>-0.04</formula>
      <formula>-1</formula>
    </cfRule>
  </conditionalFormatting>
  <conditionalFormatting sqref="CE177">
    <cfRule type="cellIs" dxfId="401" priority="408" operator="between">
      <formula>-0.04</formula>
      <formula>-1</formula>
    </cfRule>
  </conditionalFormatting>
  <conditionalFormatting sqref="BM179">
    <cfRule type="cellIs" dxfId="400" priority="396" operator="between">
      <formula>8</formula>
      <formula>60</formula>
    </cfRule>
  </conditionalFormatting>
  <conditionalFormatting sqref="BM178">
    <cfRule type="cellIs" dxfId="399" priority="407" operator="between">
      <formula>8</formula>
      <formula>60</formula>
    </cfRule>
  </conditionalFormatting>
  <conditionalFormatting sqref="BM183:BM185">
    <cfRule type="cellIs" dxfId="398" priority="402" operator="between">
      <formula>8</formula>
      <formula>60</formula>
    </cfRule>
  </conditionalFormatting>
  <conditionalFormatting sqref="BM185">
    <cfRule type="cellIs" dxfId="397" priority="406" operator="between">
      <formula>8</formula>
      <formula>60</formula>
    </cfRule>
  </conditionalFormatting>
  <conditionalFormatting sqref="CE185">
    <cfRule type="cellIs" dxfId="396" priority="405" operator="between">
      <formula>-0.04</formula>
      <formula>-1</formula>
    </cfRule>
  </conditionalFormatting>
  <conditionalFormatting sqref="BM184">
    <cfRule type="cellIs" dxfId="395" priority="404" operator="between">
      <formula>8</formula>
      <formula>60</formula>
    </cfRule>
  </conditionalFormatting>
  <conditionalFormatting sqref="CE184">
    <cfRule type="cellIs" dxfId="394" priority="403" operator="between">
      <formula>-0.04</formula>
      <formula>-1</formula>
    </cfRule>
  </conditionalFormatting>
  <conditionalFormatting sqref="CE183">
    <cfRule type="cellIs" dxfId="393" priority="401" operator="between">
      <formula>-0.04</formula>
      <formula>-1</formula>
    </cfRule>
  </conditionalFormatting>
  <conditionalFormatting sqref="BM194">
    <cfRule type="cellIs" dxfId="392" priority="382" operator="between">
      <formula>8</formula>
      <formula>60</formula>
    </cfRule>
  </conditionalFormatting>
  <conditionalFormatting sqref="CE182">
    <cfRule type="cellIs" dxfId="391" priority="400" operator="between">
      <formula>-0.04</formula>
      <formula>-1</formula>
    </cfRule>
  </conditionalFormatting>
  <conditionalFormatting sqref="BM181">
    <cfRule type="cellIs" dxfId="390" priority="399" operator="between">
      <formula>8</formula>
      <formula>60</formula>
    </cfRule>
  </conditionalFormatting>
  <conditionalFormatting sqref="CE181">
    <cfRule type="cellIs" dxfId="389" priority="398" operator="between">
      <formula>-0.04</formula>
      <formula>-1</formula>
    </cfRule>
  </conditionalFormatting>
  <conditionalFormatting sqref="CE180">
    <cfRule type="cellIs" dxfId="388" priority="397" operator="between">
      <formula>-0.04</formula>
      <formula>-1</formula>
    </cfRule>
  </conditionalFormatting>
  <conditionalFormatting sqref="BM187">
    <cfRule type="cellIs" dxfId="387" priority="368" operator="between">
      <formula>8</formula>
      <formula>60</formula>
    </cfRule>
  </conditionalFormatting>
  <conditionalFormatting sqref="CE179">
    <cfRule type="cellIs" dxfId="386" priority="395" operator="between">
      <formula>-0.04</formula>
      <formula>-1</formula>
    </cfRule>
  </conditionalFormatting>
  <conditionalFormatting sqref="BM180">
    <cfRule type="cellIs" dxfId="385" priority="394" operator="between">
      <formula>8</formula>
      <formula>60</formula>
    </cfRule>
  </conditionalFormatting>
  <conditionalFormatting sqref="BM182">
    <cfRule type="cellIs" dxfId="384" priority="393" operator="between">
      <formula>8</formula>
      <formula>60</formula>
    </cfRule>
  </conditionalFormatting>
  <conditionalFormatting sqref="BM197">
    <cfRule type="cellIs" dxfId="383" priority="388" operator="between">
      <formula>8</formula>
      <formula>60</formula>
    </cfRule>
  </conditionalFormatting>
  <conditionalFormatting sqref="BM207:BM213">
    <cfRule type="cellIs" dxfId="382" priority="392" operator="between">
      <formula>8</formula>
      <formula>60</formula>
    </cfRule>
  </conditionalFormatting>
  <conditionalFormatting sqref="CE207">
    <cfRule type="cellIs" dxfId="381" priority="391" operator="between">
      <formula>-0.04</formula>
      <formula>-1</formula>
    </cfRule>
  </conditionalFormatting>
  <conditionalFormatting sqref="BM198">
    <cfRule type="cellIs" dxfId="380" priority="390" operator="between">
      <formula>8</formula>
      <formula>60</formula>
    </cfRule>
  </conditionalFormatting>
  <conditionalFormatting sqref="CE198">
    <cfRule type="cellIs" dxfId="379" priority="389" operator="between">
      <formula>-0.04</formula>
      <formula>-1</formula>
    </cfRule>
  </conditionalFormatting>
  <conditionalFormatting sqref="CE197">
    <cfRule type="cellIs" dxfId="378" priority="387" operator="between">
      <formula>-0.04</formula>
      <formula>-1</formula>
    </cfRule>
  </conditionalFormatting>
  <conditionalFormatting sqref="BM200">
    <cfRule type="cellIs" dxfId="377" priority="352" operator="between">
      <formula>8</formula>
      <formula>60</formula>
    </cfRule>
  </conditionalFormatting>
  <conditionalFormatting sqref="BM196:BM198">
    <cfRule type="cellIs" dxfId="376" priority="386" operator="between">
      <formula>8</formula>
      <formula>60</formula>
    </cfRule>
  </conditionalFormatting>
  <conditionalFormatting sqref="CE196">
    <cfRule type="cellIs" dxfId="375" priority="385" operator="between">
      <formula>-0.04</formula>
      <formula>-1</formula>
    </cfRule>
  </conditionalFormatting>
  <conditionalFormatting sqref="BM195">
    <cfRule type="cellIs" dxfId="374" priority="384" operator="between">
      <formula>8</formula>
      <formula>60</formula>
    </cfRule>
  </conditionalFormatting>
  <conditionalFormatting sqref="CE195">
    <cfRule type="cellIs" dxfId="373" priority="383" operator="between">
      <formula>-0.04</formula>
      <formula>-1</formula>
    </cfRule>
  </conditionalFormatting>
  <conditionalFormatting sqref="CE194">
    <cfRule type="cellIs" dxfId="372" priority="381" operator="between">
      <formula>-0.04</formula>
      <formula>-1</formula>
    </cfRule>
  </conditionalFormatting>
  <conditionalFormatting sqref="BM193">
    <cfRule type="cellIs" dxfId="371" priority="380" operator="between">
      <formula>8</formula>
      <formula>60</formula>
    </cfRule>
  </conditionalFormatting>
  <conditionalFormatting sqref="CE193">
    <cfRule type="cellIs" dxfId="370" priority="379" operator="between">
      <formula>-0.04</formula>
      <formula>-1</formula>
    </cfRule>
  </conditionalFormatting>
  <conditionalFormatting sqref="BM190">
    <cfRule type="cellIs" dxfId="369" priority="374" operator="between">
      <formula>8</formula>
      <formula>60</formula>
    </cfRule>
  </conditionalFormatting>
  <conditionalFormatting sqref="BM192">
    <cfRule type="cellIs" dxfId="368" priority="378" operator="between">
      <formula>8</formula>
      <formula>60</formula>
    </cfRule>
  </conditionalFormatting>
  <conditionalFormatting sqref="CE192">
    <cfRule type="cellIs" dxfId="367" priority="377" operator="between">
      <formula>-0.04</formula>
      <formula>-1</formula>
    </cfRule>
  </conditionalFormatting>
  <conditionalFormatting sqref="BM191">
    <cfRule type="cellIs" dxfId="366" priority="376" operator="between">
      <formula>8</formula>
      <formula>60</formula>
    </cfRule>
  </conditionalFormatting>
  <conditionalFormatting sqref="CE191">
    <cfRule type="cellIs" dxfId="365" priority="375" operator="between">
      <formula>-0.04</formula>
      <formula>-1</formula>
    </cfRule>
  </conditionalFormatting>
  <conditionalFormatting sqref="CE190">
    <cfRule type="cellIs" dxfId="364" priority="373" operator="between">
      <formula>-0.04</formula>
      <formula>-1</formula>
    </cfRule>
  </conditionalFormatting>
  <conditionalFormatting sqref="BM189:BM195">
    <cfRule type="cellIs" dxfId="363" priority="372" operator="between">
      <formula>8</formula>
      <formula>60</formula>
    </cfRule>
  </conditionalFormatting>
  <conditionalFormatting sqref="CE189">
    <cfRule type="cellIs" dxfId="362" priority="371" operator="between">
      <formula>-0.04</formula>
      <formula>-1</formula>
    </cfRule>
  </conditionalFormatting>
  <conditionalFormatting sqref="BM188">
    <cfRule type="cellIs" dxfId="361" priority="370" operator="between">
      <formula>8</formula>
      <formula>60</formula>
    </cfRule>
  </conditionalFormatting>
  <conditionalFormatting sqref="CE188">
    <cfRule type="cellIs" dxfId="360" priority="369" operator="between">
      <formula>-0.04</formula>
      <formula>-1</formula>
    </cfRule>
  </conditionalFormatting>
  <conditionalFormatting sqref="CE187">
    <cfRule type="cellIs" dxfId="359" priority="367" operator="between">
      <formula>-0.04</formula>
      <formula>-1</formula>
    </cfRule>
  </conditionalFormatting>
  <conditionalFormatting sqref="BM186:BM188">
    <cfRule type="cellIs" dxfId="358" priority="366" operator="between">
      <formula>8</formula>
      <formula>60</formula>
    </cfRule>
  </conditionalFormatting>
  <conditionalFormatting sqref="CE186">
    <cfRule type="cellIs" dxfId="357" priority="365" operator="between">
      <formula>-0.04</formula>
      <formula>-1</formula>
    </cfRule>
  </conditionalFormatting>
  <conditionalFormatting sqref="BM204:BM206">
    <cfRule type="cellIs" dxfId="356" priority="360" operator="between">
      <formula>8</formula>
      <formula>60</formula>
    </cfRule>
  </conditionalFormatting>
  <conditionalFormatting sqref="BM206">
    <cfRule type="cellIs" dxfId="355" priority="364" operator="between">
      <formula>8</formula>
      <formula>60</formula>
    </cfRule>
  </conditionalFormatting>
  <conditionalFormatting sqref="CE206">
    <cfRule type="cellIs" dxfId="354" priority="363" operator="between">
      <formula>-0.04</formula>
      <formula>-1</formula>
    </cfRule>
  </conditionalFormatting>
  <conditionalFormatting sqref="BM205">
    <cfRule type="cellIs" dxfId="353" priority="362" operator="between">
      <formula>8</formula>
      <formula>60</formula>
    </cfRule>
  </conditionalFormatting>
  <conditionalFormatting sqref="CE205">
    <cfRule type="cellIs" dxfId="352" priority="361" operator="between">
      <formula>-0.04</formula>
      <formula>-1</formula>
    </cfRule>
  </conditionalFormatting>
  <conditionalFormatting sqref="CE204">
    <cfRule type="cellIs" dxfId="351" priority="359" operator="between">
      <formula>-0.04</formula>
      <formula>-1</formula>
    </cfRule>
  </conditionalFormatting>
  <conditionalFormatting sqref="BM201">
    <cfRule type="cellIs" dxfId="350" priority="354" operator="between">
      <formula>8</formula>
      <formula>60</formula>
    </cfRule>
  </conditionalFormatting>
  <conditionalFormatting sqref="BM203">
    <cfRule type="cellIs" dxfId="349" priority="358" operator="between">
      <formula>8</formula>
      <formula>60</formula>
    </cfRule>
  </conditionalFormatting>
  <conditionalFormatting sqref="CE203">
    <cfRule type="cellIs" dxfId="348" priority="357" operator="between">
      <formula>-0.04</formula>
      <formula>-1</formula>
    </cfRule>
  </conditionalFormatting>
  <conditionalFormatting sqref="BM202:BM203">
    <cfRule type="cellIs" dxfId="347" priority="356" operator="between">
      <formula>8</formula>
      <formula>60</formula>
    </cfRule>
  </conditionalFormatting>
  <conditionalFormatting sqref="CE202">
    <cfRule type="cellIs" dxfId="346" priority="355" operator="between">
      <formula>-0.04</formula>
      <formula>-1</formula>
    </cfRule>
  </conditionalFormatting>
  <conditionalFormatting sqref="CE201">
    <cfRule type="cellIs" dxfId="345" priority="353" operator="between">
      <formula>-0.04</formula>
      <formula>-1</formula>
    </cfRule>
  </conditionalFormatting>
  <conditionalFormatting sqref="CE200">
    <cfRule type="cellIs" dxfId="344" priority="351" operator="between">
      <formula>-0.04</formula>
      <formula>-1</formula>
    </cfRule>
  </conditionalFormatting>
  <conditionalFormatting sqref="BM199:BM201">
    <cfRule type="cellIs" dxfId="343" priority="350" operator="between">
      <formula>8</formula>
      <formula>60</formula>
    </cfRule>
  </conditionalFormatting>
  <conditionalFormatting sqref="CE199">
    <cfRule type="cellIs" dxfId="342" priority="349" operator="between">
      <formula>-0.04</formula>
      <formula>-1</formula>
    </cfRule>
  </conditionalFormatting>
  <conditionalFormatting sqref="BM209">
    <cfRule type="cellIs" dxfId="341" priority="340" operator="between">
      <formula>8</formula>
      <formula>60</formula>
    </cfRule>
  </conditionalFormatting>
  <conditionalFormatting sqref="BM212">
    <cfRule type="cellIs" dxfId="340" priority="346" operator="between">
      <formula>8</formula>
      <formula>60</formula>
    </cfRule>
  </conditionalFormatting>
  <conditionalFormatting sqref="BM213">
    <cfRule type="cellIs" dxfId="339" priority="348" operator="between">
      <formula>8</formula>
      <formula>60</formula>
    </cfRule>
  </conditionalFormatting>
  <conditionalFormatting sqref="CE213">
    <cfRule type="cellIs" dxfId="338" priority="347" operator="between">
      <formula>-0.04</formula>
      <formula>-1</formula>
    </cfRule>
  </conditionalFormatting>
  <conditionalFormatting sqref="CE212">
    <cfRule type="cellIs" dxfId="337" priority="345" operator="between">
      <formula>-0.04</formula>
      <formula>-1</formula>
    </cfRule>
  </conditionalFormatting>
  <conditionalFormatting sqref="BM211">
    <cfRule type="cellIs" dxfId="336" priority="344" operator="between">
      <formula>8</formula>
      <formula>60</formula>
    </cfRule>
  </conditionalFormatting>
  <conditionalFormatting sqref="CE211">
    <cfRule type="cellIs" dxfId="335" priority="343" operator="between">
      <formula>-0.04</formula>
      <formula>-1</formula>
    </cfRule>
  </conditionalFormatting>
  <conditionalFormatting sqref="BM210">
    <cfRule type="cellIs" dxfId="334" priority="342" operator="between">
      <formula>8</formula>
      <formula>60</formula>
    </cfRule>
  </conditionalFormatting>
  <conditionalFormatting sqref="CE210">
    <cfRule type="cellIs" dxfId="333" priority="341" operator="between">
      <formula>-0.04</formula>
      <formula>-1</formula>
    </cfRule>
  </conditionalFormatting>
  <conditionalFormatting sqref="CE209">
    <cfRule type="cellIs" dxfId="332" priority="339" operator="between">
      <formula>-0.04</formula>
      <formula>-1</formula>
    </cfRule>
  </conditionalFormatting>
  <conditionalFormatting sqref="BM208">
    <cfRule type="cellIs" dxfId="331" priority="338" operator="between">
      <formula>8</formula>
      <formula>60</formula>
    </cfRule>
  </conditionalFormatting>
  <conditionalFormatting sqref="CE208">
    <cfRule type="cellIs" dxfId="330" priority="337" operator="between">
      <formula>-0.04</formula>
      <formula>-1</formula>
    </cfRule>
  </conditionalFormatting>
  <conditionalFormatting sqref="BM119">
    <cfRule type="cellIs" dxfId="329" priority="335" operator="between">
      <formula>8</formula>
      <formula>60</formula>
    </cfRule>
  </conditionalFormatting>
  <conditionalFormatting sqref="CE120">
    <cfRule type="cellIs" dxfId="328" priority="336" operator="between">
      <formula>-0.04</formula>
      <formula>-1</formula>
    </cfRule>
  </conditionalFormatting>
  <conditionalFormatting sqref="CE119">
    <cfRule type="cellIs" dxfId="327" priority="334" operator="between">
      <formula>-0.04</formula>
      <formula>-1</formula>
    </cfRule>
  </conditionalFormatting>
  <conditionalFormatting sqref="BM120">
    <cfRule type="cellIs" dxfId="326" priority="333" operator="between">
      <formula>8</formula>
      <formula>60</formula>
    </cfRule>
  </conditionalFormatting>
  <conditionalFormatting sqref="BM1072">
    <cfRule type="cellIs" dxfId="325" priority="330" operator="between">
      <formula>8</formula>
      <formula>60</formula>
    </cfRule>
  </conditionalFormatting>
  <conditionalFormatting sqref="CE1072">
    <cfRule type="cellIs" dxfId="324" priority="329" operator="between">
      <formula>-0.04</formula>
      <formula>-1</formula>
    </cfRule>
  </conditionalFormatting>
  <conditionalFormatting sqref="BM1070">
    <cfRule type="cellIs" dxfId="323" priority="326" operator="between">
      <formula>8</formula>
      <formula>60</formula>
    </cfRule>
  </conditionalFormatting>
  <conditionalFormatting sqref="BM1071">
    <cfRule type="cellIs" dxfId="322" priority="328" operator="between">
      <formula>8</formula>
      <formula>60</formula>
    </cfRule>
  </conditionalFormatting>
  <conditionalFormatting sqref="CE1071">
    <cfRule type="cellIs" dxfId="321" priority="327" operator="between">
      <formula>-0.04</formula>
      <formula>-1</formula>
    </cfRule>
  </conditionalFormatting>
  <conditionalFormatting sqref="CE1070">
    <cfRule type="cellIs" dxfId="320" priority="325" operator="between">
      <formula>-0.04</formula>
      <formula>-1</formula>
    </cfRule>
  </conditionalFormatting>
  <conditionalFormatting sqref="BM1069:BM1072">
    <cfRule type="cellIs" dxfId="319" priority="324" operator="between">
      <formula>8</formula>
      <formula>60</formula>
    </cfRule>
  </conditionalFormatting>
  <conditionalFormatting sqref="CE1069">
    <cfRule type="cellIs" dxfId="318" priority="323" operator="between">
      <formula>-0.04</formula>
      <formula>-1</formula>
    </cfRule>
  </conditionalFormatting>
  <conditionalFormatting sqref="BM1076">
    <cfRule type="cellIs" dxfId="317" priority="322" operator="between">
      <formula>8</formula>
      <formula>60</formula>
    </cfRule>
  </conditionalFormatting>
  <conditionalFormatting sqref="CE1076">
    <cfRule type="cellIs" dxfId="316" priority="321" operator="between">
      <formula>-0.04</formula>
      <formula>-1</formula>
    </cfRule>
  </conditionalFormatting>
  <conditionalFormatting sqref="BM1075">
    <cfRule type="cellIs" dxfId="315" priority="320" operator="between">
      <formula>8</formula>
      <formula>60</formula>
    </cfRule>
  </conditionalFormatting>
  <conditionalFormatting sqref="CE1075">
    <cfRule type="cellIs" dxfId="314" priority="319" operator="between">
      <formula>-0.04</formula>
      <formula>-1</formula>
    </cfRule>
  </conditionalFormatting>
  <conditionalFormatting sqref="BM1073:BM1076">
    <cfRule type="cellIs" dxfId="313" priority="316" operator="between">
      <formula>8</formula>
      <formula>60</formula>
    </cfRule>
  </conditionalFormatting>
  <conditionalFormatting sqref="BM1074">
    <cfRule type="cellIs" dxfId="312" priority="318" operator="between">
      <formula>8</formula>
      <formula>60</formula>
    </cfRule>
  </conditionalFormatting>
  <conditionalFormatting sqref="CE1074">
    <cfRule type="cellIs" dxfId="311" priority="317" operator="between">
      <formula>-0.04</formula>
      <formula>-1</formula>
    </cfRule>
  </conditionalFormatting>
  <conditionalFormatting sqref="CE1073">
    <cfRule type="cellIs" dxfId="310" priority="315" operator="between">
      <formula>-0.04</formula>
      <formula>-1</formula>
    </cfRule>
  </conditionalFormatting>
  <conditionalFormatting sqref="BM844">
    <cfRule type="cellIs" dxfId="309" priority="314" operator="between">
      <formula>8</formula>
      <formula>60</formula>
    </cfRule>
  </conditionalFormatting>
  <conditionalFormatting sqref="CE844">
    <cfRule type="cellIs" dxfId="308" priority="313" operator="between">
      <formula>-0.04</formula>
      <formula>-1</formula>
    </cfRule>
  </conditionalFormatting>
  <conditionalFormatting sqref="CE845">
    <cfRule type="cellIs" dxfId="307" priority="312" operator="between">
      <formula>-0.04</formula>
      <formula>-1</formula>
    </cfRule>
  </conditionalFormatting>
  <conditionalFormatting sqref="BM845">
    <cfRule type="cellIs" dxfId="306" priority="311" operator="between">
      <formula>8</formula>
      <formula>60</formula>
    </cfRule>
  </conditionalFormatting>
  <conditionalFormatting sqref="BM216">
    <cfRule type="cellIs" dxfId="305" priority="304" operator="between">
      <formula>8</formula>
      <formula>60</formula>
    </cfRule>
  </conditionalFormatting>
  <conditionalFormatting sqref="BM219">
    <cfRule type="cellIs" dxfId="304" priority="310" operator="between">
      <formula>8</formula>
      <formula>60</formula>
    </cfRule>
  </conditionalFormatting>
  <conditionalFormatting sqref="CE219">
    <cfRule type="cellIs" dxfId="303" priority="309" operator="between">
      <formula>-0.04</formula>
      <formula>-1</formula>
    </cfRule>
  </conditionalFormatting>
  <conditionalFormatting sqref="BM218">
    <cfRule type="cellIs" dxfId="302" priority="308" operator="between">
      <formula>8</formula>
      <formula>60</formula>
    </cfRule>
  </conditionalFormatting>
  <conditionalFormatting sqref="CE218">
    <cfRule type="cellIs" dxfId="301" priority="307" operator="between">
      <formula>-0.04</formula>
      <formula>-1</formula>
    </cfRule>
  </conditionalFormatting>
  <conditionalFormatting sqref="BM217:BM219">
    <cfRule type="cellIs" dxfId="300" priority="306" operator="between">
      <formula>8</formula>
      <formula>60</formula>
    </cfRule>
  </conditionalFormatting>
  <conditionalFormatting sqref="CE217">
    <cfRule type="cellIs" dxfId="299" priority="305" operator="between">
      <formula>-0.04</formula>
      <formula>-1</formula>
    </cfRule>
  </conditionalFormatting>
  <conditionalFormatting sqref="CE216">
    <cfRule type="cellIs" dxfId="298" priority="303" operator="between">
      <formula>-0.04</formula>
      <formula>-1</formula>
    </cfRule>
  </conditionalFormatting>
  <conditionalFormatting sqref="BM215">
    <cfRule type="cellIs" dxfId="297" priority="302" operator="between">
      <formula>8</formula>
      <formula>60</formula>
    </cfRule>
  </conditionalFormatting>
  <conditionalFormatting sqref="CE215">
    <cfRule type="cellIs" dxfId="296" priority="301" operator="between">
      <formula>-0.04</formula>
      <formula>-1</formula>
    </cfRule>
  </conditionalFormatting>
  <conditionalFormatting sqref="BM214:BM216">
    <cfRule type="cellIs" dxfId="295" priority="300" operator="between">
      <formula>8</formula>
      <formula>60</formula>
    </cfRule>
  </conditionalFormatting>
  <conditionalFormatting sqref="CE214">
    <cfRule type="cellIs" dxfId="294" priority="299" operator="between">
      <formula>-0.04</formula>
      <formula>-1</formula>
    </cfRule>
  </conditionalFormatting>
  <conditionalFormatting sqref="BM518">
    <cfRule type="cellIs" dxfId="293" priority="297" operator="between">
      <formula>8</formula>
      <formula>60</formula>
    </cfRule>
  </conditionalFormatting>
  <conditionalFormatting sqref="CE518">
    <cfRule type="cellIs" dxfId="292" priority="298" operator="between">
      <formula>-0.04</formula>
      <formula>-1</formula>
    </cfRule>
  </conditionalFormatting>
  <conditionalFormatting sqref="CE1610">
    <cfRule type="cellIs" dxfId="291" priority="296" operator="between">
      <formula>-0.04</formula>
      <formula>-1</formula>
    </cfRule>
  </conditionalFormatting>
  <conditionalFormatting sqref="CE1609">
    <cfRule type="cellIs" dxfId="290" priority="295" operator="between">
      <formula>-0.04</formula>
      <formula>-1</formula>
    </cfRule>
  </conditionalFormatting>
  <conditionalFormatting sqref="BM1608">
    <cfRule type="cellIs" dxfId="289" priority="294" operator="between">
      <formula>8</formula>
      <formula>60</formula>
    </cfRule>
  </conditionalFormatting>
  <conditionalFormatting sqref="CE1608">
    <cfRule type="cellIs" dxfId="288" priority="293" operator="between">
      <formula>-0.04</formula>
      <formula>-1</formula>
    </cfRule>
  </conditionalFormatting>
  <conditionalFormatting sqref="BM1610">
    <cfRule type="cellIs" dxfId="287" priority="292" operator="between">
      <formula>8</formula>
      <formula>60</formula>
    </cfRule>
  </conditionalFormatting>
  <conditionalFormatting sqref="BM1609">
    <cfRule type="cellIs" dxfId="286" priority="291" operator="between">
      <formula>8</formula>
      <formula>60</formula>
    </cfRule>
  </conditionalFormatting>
  <conditionalFormatting sqref="CE224">
    <cfRule type="cellIs" dxfId="285" priority="288" operator="between">
      <formula>-0.04</formula>
      <formula>-1</formula>
    </cfRule>
  </conditionalFormatting>
  <conditionalFormatting sqref="BM223">
    <cfRule type="cellIs" dxfId="284" priority="287" operator="between">
      <formula>8</formula>
      <formula>60</formula>
    </cfRule>
  </conditionalFormatting>
  <conditionalFormatting sqref="CE223">
    <cfRule type="cellIs" dxfId="283" priority="286" operator="between">
      <formula>-0.04</formula>
      <formula>-1</formula>
    </cfRule>
  </conditionalFormatting>
  <conditionalFormatting sqref="BM222">
    <cfRule type="cellIs" dxfId="282" priority="285" operator="between">
      <formula>8</formula>
      <formula>60</formula>
    </cfRule>
  </conditionalFormatting>
  <conditionalFormatting sqref="CE222">
    <cfRule type="cellIs" dxfId="281" priority="284" operator="between">
      <formula>-0.04</formula>
      <formula>-1</formula>
    </cfRule>
  </conditionalFormatting>
  <conditionalFormatting sqref="BM221">
    <cfRule type="cellIs" dxfId="280" priority="283" operator="between">
      <formula>8</formula>
      <formula>60</formula>
    </cfRule>
  </conditionalFormatting>
  <conditionalFormatting sqref="CE221">
    <cfRule type="cellIs" dxfId="279" priority="282" operator="between">
      <formula>-0.04</formula>
      <formula>-1</formula>
    </cfRule>
  </conditionalFormatting>
  <conditionalFormatting sqref="BM220:BM222">
    <cfRule type="cellIs" dxfId="278" priority="281" operator="between">
      <formula>8</formula>
      <formula>60</formula>
    </cfRule>
  </conditionalFormatting>
  <conditionalFormatting sqref="CE220">
    <cfRule type="cellIs" dxfId="277" priority="280" operator="between">
      <formula>-0.04</formula>
      <formula>-1</formula>
    </cfRule>
  </conditionalFormatting>
  <conditionalFormatting sqref="BM224">
    <cfRule type="cellIs" dxfId="276" priority="279" operator="between">
      <formula>8</formula>
      <formula>60</formula>
    </cfRule>
  </conditionalFormatting>
  <conditionalFormatting sqref="BM226">
    <cfRule type="cellIs" dxfId="275" priority="274" operator="between">
      <formula>8</formula>
      <formula>60</formula>
    </cfRule>
  </conditionalFormatting>
  <conditionalFormatting sqref="BM228">
    <cfRule type="cellIs" dxfId="274" priority="278" operator="between">
      <formula>8</formula>
      <formula>60</formula>
    </cfRule>
  </conditionalFormatting>
  <conditionalFormatting sqref="CE228">
    <cfRule type="cellIs" dxfId="273" priority="277" operator="between">
      <formula>-0.04</formula>
      <formula>-1</formula>
    </cfRule>
  </conditionalFormatting>
  <conditionalFormatting sqref="BM227">
    <cfRule type="cellIs" dxfId="272" priority="276" operator="between">
      <formula>8</formula>
      <formula>60</formula>
    </cfRule>
  </conditionalFormatting>
  <conditionalFormatting sqref="CE227">
    <cfRule type="cellIs" dxfId="271" priority="275" operator="between">
      <formula>-0.04</formula>
      <formula>-1</formula>
    </cfRule>
  </conditionalFormatting>
  <conditionalFormatting sqref="CE226">
    <cfRule type="cellIs" dxfId="270" priority="273" operator="between">
      <formula>-0.04</formula>
      <formula>-1</formula>
    </cfRule>
  </conditionalFormatting>
  <conditionalFormatting sqref="BM225:BM228">
    <cfRule type="cellIs" dxfId="269" priority="272" operator="between">
      <formula>8</formula>
      <formula>60</formula>
    </cfRule>
  </conditionalFormatting>
  <conditionalFormatting sqref="CE225">
    <cfRule type="cellIs" dxfId="268" priority="271" operator="between">
      <formula>-0.04</formula>
      <formula>-1</formula>
    </cfRule>
  </conditionalFormatting>
  <conditionalFormatting sqref="BM1511">
    <cfRule type="cellIs" dxfId="267" priority="270" operator="between">
      <formula>8</formula>
      <formula>60</formula>
    </cfRule>
  </conditionalFormatting>
  <conditionalFormatting sqref="CE1511">
    <cfRule type="cellIs" dxfId="266" priority="269" operator="between">
      <formula>-0.04</formula>
      <formula>-1</formula>
    </cfRule>
  </conditionalFormatting>
  <conditionalFormatting sqref="BM305">
    <cfRule type="cellIs" dxfId="265" priority="264" operator="between">
      <formula>8</formula>
      <formula>60</formula>
    </cfRule>
  </conditionalFormatting>
  <conditionalFormatting sqref="BM307">
    <cfRule type="cellIs" dxfId="264" priority="268" operator="between">
      <formula>8</formula>
      <formula>60</formula>
    </cfRule>
  </conditionalFormatting>
  <conditionalFormatting sqref="CE307">
    <cfRule type="cellIs" dxfId="263" priority="267" operator="between">
      <formula>-0.04</formula>
      <formula>-1</formula>
    </cfRule>
  </conditionalFormatting>
  <conditionalFormatting sqref="BM306">
    <cfRule type="cellIs" dxfId="262" priority="266" operator="between">
      <formula>8</formula>
      <formula>60</formula>
    </cfRule>
  </conditionalFormatting>
  <conditionalFormatting sqref="CE306">
    <cfRule type="cellIs" dxfId="261" priority="265" operator="between">
      <formula>-0.04</formula>
      <formula>-1</formula>
    </cfRule>
  </conditionalFormatting>
  <conditionalFormatting sqref="CE305">
    <cfRule type="cellIs" dxfId="260" priority="263" operator="between">
      <formula>-0.04</formula>
      <formula>-1</formula>
    </cfRule>
  </conditionalFormatting>
  <conditionalFormatting sqref="BM304">
    <cfRule type="cellIs" dxfId="259" priority="262" operator="between">
      <formula>8</formula>
      <formula>60</formula>
    </cfRule>
  </conditionalFormatting>
  <conditionalFormatting sqref="CE304">
    <cfRule type="cellIs" dxfId="258" priority="261" operator="between">
      <formula>-0.04</formula>
      <formula>-1</formula>
    </cfRule>
  </conditionalFormatting>
  <conditionalFormatting sqref="BM303:BM307">
    <cfRule type="cellIs" dxfId="257" priority="260" operator="between">
      <formula>8</formula>
      <formula>60</formula>
    </cfRule>
  </conditionalFormatting>
  <conditionalFormatting sqref="CE303">
    <cfRule type="cellIs" dxfId="256" priority="259" operator="between">
      <formula>-0.04</formula>
      <formula>-1</formula>
    </cfRule>
  </conditionalFormatting>
  <conditionalFormatting sqref="BM301">
    <cfRule type="cellIs" dxfId="255" priority="257" operator="between">
      <formula>8</formula>
      <formula>60</formula>
    </cfRule>
  </conditionalFormatting>
  <conditionalFormatting sqref="CE302">
    <cfRule type="cellIs" dxfId="254" priority="258" operator="between">
      <formula>-0.04</formula>
      <formula>-1</formula>
    </cfRule>
  </conditionalFormatting>
  <conditionalFormatting sqref="CE301">
    <cfRule type="cellIs" dxfId="253" priority="256" operator="between">
      <formula>-0.04</formula>
      <formula>-1</formula>
    </cfRule>
  </conditionalFormatting>
  <conditionalFormatting sqref="BM302">
    <cfRule type="cellIs" dxfId="252" priority="255" operator="between">
      <formula>8</formula>
      <formula>60</formula>
    </cfRule>
  </conditionalFormatting>
  <conditionalFormatting sqref="BM319">
    <cfRule type="cellIs" dxfId="251" priority="254" operator="between">
      <formula>8</formula>
      <formula>60</formula>
    </cfRule>
  </conditionalFormatting>
  <conditionalFormatting sqref="CE319">
    <cfRule type="cellIs" dxfId="250" priority="253" operator="between">
      <formula>-0.04</formula>
      <formula>-1</formula>
    </cfRule>
  </conditionalFormatting>
  <conditionalFormatting sqref="BM318">
    <cfRule type="cellIs" dxfId="249" priority="252" operator="between">
      <formula>8</formula>
      <formula>60</formula>
    </cfRule>
  </conditionalFormatting>
  <conditionalFormatting sqref="CE318">
    <cfRule type="cellIs" dxfId="248" priority="251" operator="between">
      <formula>-0.04</formula>
      <formula>-1</formula>
    </cfRule>
  </conditionalFormatting>
  <conditionalFormatting sqref="BM317">
    <cfRule type="cellIs" dxfId="247" priority="250" operator="between">
      <formula>8</formula>
      <formula>60</formula>
    </cfRule>
  </conditionalFormatting>
  <conditionalFormatting sqref="CE317">
    <cfRule type="cellIs" dxfId="246" priority="249" operator="between">
      <formula>-0.04</formula>
      <formula>-1</formula>
    </cfRule>
  </conditionalFormatting>
  <conditionalFormatting sqref="BM316:BM318">
    <cfRule type="cellIs" dxfId="245" priority="248" operator="between">
      <formula>8</formula>
      <formula>60</formula>
    </cfRule>
  </conditionalFormatting>
  <conditionalFormatting sqref="CE316">
    <cfRule type="cellIs" dxfId="244" priority="247" operator="between">
      <formula>-0.04</formula>
      <formula>-1</formula>
    </cfRule>
  </conditionalFormatting>
  <conditionalFormatting sqref="BM315">
    <cfRule type="cellIs" dxfId="243" priority="246" operator="between">
      <formula>8</formula>
      <formula>60</formula>
    </cfRule>
  </conditionalFormatting>
  <conditionalFormatting sqref="CE315">
    <cfRule type="cellIs" dxfId="242" priority="245" operator="between">
      <formula>-0.04</formula>
      <formula>-1</formula>
    </cfRule>
  </conditionalFormatting>
  <conditionalFormatting sqref="BM314">
    <cfRule type="cellIs" dxfId="241" priority="244" operator="between">
      <formula>8</formula>
      <formula>60</formula>
    </cfRule>
  </conditionalFormatting>
  <conditionalFormatting sqref="CE314">
    <cfRule type="cellIs" dxfId="240" priority="243" operator="between">
      <formula>-0.04</formula>
      <formula>-1</formula>
    </cfRule>
  </conditionalFormatting>
  <conditionalFormatting sqref="BM313">
    <cfRule type="cellIs" dxfId="239" priority="242" operator="between">
      <formula>8</formula>
      <formula>60</formula>
    </cfRule>
  </conditionalFormatting>
  <conditionalFormatting sqref="CE313">
    <cfRule type="cellIs" dxfId="238" priority="241" operator="between">
      <formula>-0.04</formula>
      <formula>-1</formula>
    </cfRule>
  </conditionalFormatting>
  <conditionalFormatting sqref="BM312">
    <cfRule type="cellIs" dxfId="237" priority="240" operator="between">
      <formula>8</formula>
      <formula>60</formula>
    </cfRule>
  </conditionalFormatting>
  <conditionalFormatting sqref="CE312">
    <cfRule type="cellIs" dxfId="236" priority="239" operator="between">
      <formula>-0.04</formula>
      <formula>-1</formula>
    </cfRule>
  </conditionalFormatting>
  <conditionalFormatting sqref="BM311:BM315">
    <cfRule type="cellIs" dxfId="235" priority="238" operator="between">
      <formula>8</formula>
      <formula>60</formula>
    </cfRule>
  </conditionalFormatting>
  <conditionalFormatting sqref="CE311">
    <cfRule type="cellIs" dxfId="234" priority="237" operator="between">
      <formula>-0.04</formula>
      <formula>-1</formula>
    </cfRule>
  </conditionalFormatting>
  <conditionalFormatting sqref="BM310">
    <cfRule type="cellIs" dxfId="233" priority="236" operator="between">
      <formula>8</formula>
      <formula>60</formula>
    </cfRule>
  </conditionalFormatting>
  <conditionalFormatting sqref="CE310">
    <cfRule type="cellIs" dxfId="232" priority="235" operator="between">
      <formula>-0.04</formula>
      <formula>-1</formula>
    </cfRule>
  </conditionalFormatting>
  <conditionalFormatting sqref="BM309">
    <cfRule type="cellIs" dxfId="231" priority="234" operator="between">
      <formula>8</formula>
      <formula>60</formula>
    </cfRule>
  </conditionalFormatting>
  <conditionalFormatting sqref="CE309">
    <cfRule type="cellIs" dxfId="230" priority="233" operator="between">
      <formula>-0.04</formula>
      <formula>-1</formula>
    </cfRule>
  </conditionalFormatting>
  <conditionalFormatting sqref="BM308:BM310">
    <cfRule type="cellIs" dxfId="229" priority="232" operator="between">
      <formula>8</formula>
      <formula>60</formula>
    </cfRule>
  </conditionalFormatting>
  <conditionalFormatting sqref="CE308">
    <cfRule type="cellIs" dxfId="228" priority="231" operator="between">
      <formula>-0.04</formula>
      <formula>-1</formula>
    </cfRule>
  </conditionalFormatting>
  <conditionalFormatting sqref="BM121">
    <cfRule type="cellIs" dxfId="227" priority="230" operator="between">
      <formula>8</formula>
      <formula>60</formula>
    </cfRule>
  </conditionalFormatting>
  <conditionalFormatting sqref="CE121">
    <cfRule type="cellIs" dxfId="226" priority="229" operator="between">
      <formula>-0.04</formula>
      <formula>-1</formula>
    </cfRule>
  </conditionalFormatting>
  <conditionalFormatting sqref="BM1513">
    <cfRule type="cellIs" dxfId="225" priority="228" operator="between">
      <formula>8</formula>
      <formula>60</formula>
    </cfRule>
  </conditionalFormatting>
  <conditionalFormatting sqref="CE1513">
    <cfRule type="cellIs" dxfId="224" priority="227" operator="between">
      <formula>-0.04</formula>
      <formula>-1</formula>
    </cfRule>
  </conditionalFormatting>
  <conditionalFormatting sqref="BM1512">
    <cfRule type="cellIs" dxfId="223" priority="226" operator="between">
      <formula>8</formula>
      <formula>60</formula>
    </cfRule>
  </conditionalFormatting>
  <conditionalFormatting sqref="CE1512">
    <cfRule type="cellIs" dxfId="222" priority="225" operator="between">
      <formula>-0.04</formula>
      <formula>-1</formula>
    </cfRule>
  </conditionalFormatting>
  <conditionalFormatting sqref="BM1348">
    <cfRule type="cellIs" dxfId="221" priority="224" operator="between">
      <formula>8</formula>
      <formula>60</formula>
    </cfRule>
  </conditionalFormatting>
  <conditionalFormatting sqref="CE1348">
    <cfRule type="cellIs" dxfId="220" priority="223" operator="between">
      <formula>-0.04</formula>
      <formula>-1</formula>
    </cfRule>
  </conditionalFormatting>
  <conditionalFormatting sqref="BM846">
    <cfRule type="cellIs" dxfId="219" priority="222" operator="between">
      <formula>8</formula>
      <formula>60</formula>
    </cfRule>
  </conditionalFormatting>
  <conditionalFormatting sqref="CE846">
    <cfRule type="cellIs" dxfId="218" priority="221" operator="between">
      <formula>-0.04</formula>
      <formula>-1</formula>
    </cfRule>
  </conditionalFormatting>
  <conditionalFormatting sqref="CE847">
    <cfRule type="cellIs" dxfId="217" priority="220" operator="between">
      <formula>-0.04</formula>
      <formula>-1</formula>
    </cfRule>
  </conditionalFormatting>
  <conditionalFormatting sqref="BM847">
    <cfRule type="cellIs" dxfId="216" priority="219" operator="between">
      <formula>8</formula>
      <formula>60</formula>
    </cfRule>
  </conditionalFormatting>
  <conditionalFormatting sqref="BM896:BM897">
    <cfRule type="cellIs" dxfId="215" priority="218" operator="between">
      <formula>8</formula>
      <formula>60</formula>
    </cfRule>
  </conditionalFormatting>
  <conditionalFormatting sqref="BM895:BM897">
    <cfRule type="cellIs" dxfId="214" priority="216" operator="between">
      <formula>8</formula>
      <formula>60</formula>
    </cfRule>
  </conditionalFormatting>
  <conditionalFormatting sqref="CE896:CE897">
    <cfRule type="cellIs" dxfId="213" priority="217" operator="between">
      <formula>-0.04</formula>
      <formula>-1</formula>
    </cfRule>
  </conditionalFormatting>
  <conditionalFormatting sqref="CE895">
    <cfRule type="cellIs" dxfId="212" priority="215" operator="between">
      <formula>-0.04</formula>
      <formula>-1</formula>
    </cfRule>
  </conditionalFormatting>
  <conditionalFormatting sqref="BM893:BM894">
    <cfRule type="cellIs" dxfId="211" priority="214" operator="between">
      <formula>8</formula>
      <formula>60</formula>
    </cfRule>
  </conditionalFormatting>
  <conditionalFormatting sqref="BM892:BM894">
    <cfRule type="cellIs" dxfId="210" priority="212" operator="between">
      <formula>8</formula>
      <formula>60</formula>
    </cfRule>
  </conditionalFormatting>
  <conditionalFormatting sqref="CE893:CE894">
    <cfRule type="cellIs" dxfId="209" priority="213" operator="between">
      <formula>-0.04</formula>
      <formula>-1</formula>
    </cfRule>
  </conditionalFormatting>
  <conditionalFormatting sqref="CE892">
    <cfRule type="cellIs" dxfId="208" priority="211" operator="between">
      <formula>-0.04</formula>
      <formula>-1</formula>
    </cfRule>
  </conditionalFormatting>
  <conditionalFormatting sqref="CE851">
    <cfRule type="cellIs" dxfId="207" priority="208" operator="between">
      <formula>-0.04</formula>
      <formula>-1</formula>
    </cfRule>
  </conditionalFormatting>
  <conditionalFormatting sqref="BM850">
    <cfRule type="cellIs" dxfId="206" priority="210" operator="between">
      <formula>8</formula>
      <formula>60</formula>
    </cfRule>
  </conditionalFormatting>
  <conditionalFormatting sqref="CE850">
    <cfRule type="cellIs" dxfId="205" priority="209" operator="between">
      <formula>-0.04</formula>
      <formula>-1</formula>
    </cfRule>
  </conditionalFormatting>
  <conditionalFormatting sqref="BM848">
    <cfRule type="cellIs" dxfId="204" priority="206" operator="between">
      <formula>8</formula>
      <formula>60</formula>
    </cfRule>
  </conditionalFormatting>
  <conditionalFormatting sqref="CE849">
    <cfRule type="cellIs" dxfId="203" priority="207" operator="between">
      <formula>-0.04</formula>
      <formula>-1</formula>
    </cfRule>
  </conditionalFormatting>
  <conditionalFormatting sqref="CE848">
    <cfRule type="cellIs" dxfId="202" priority="205" operator="between">
      <formula>-0.04</formula>
      <formula>-1</formula>
    </cfRule>
  </conditionalFormatting>
  <conditionalFormatting sqref="BM849">
    <cfRule type="cellIs" dxfId="201" priority="204" operator="between">
      <formula>8</formula>
      <formula>60</formula>
    </cfRule>
  </conditionalFormatting>
  <conditionalFormatting sqref="BM851">
    <cfRule type="cellIs" dxfId="200" priority="203" operator="between">
      <formula>8</formula>
      <formula>60</formula>
    </cfRule>
  </conditionalFormatting>
  <conditionalFormatting sqref="BM959 BM961">
    <cfRule type="cellIs" dxfId="199" priority="202" operator="between">
      <formula>8</formula>
      <formula>60</formula>
    </cfRule>
  </conditionalFormatting>
  <conditionalFormatting sqref="CE959:CE961">
    <cfRule type="cellIs" dxfId="198" priority="201" operator="between">
      <formula>-0.04</formula>
      <formula>-1</formula>
    </cfRule>
  </conditionalFormatting>
  <conditionalFormatting sqref="BM965">
    <cfRule type="cellIs" dxfId="197" priority="198" operator="between">
      <formula>8</formula>
      <formula>60</formula>
    </cfRule>
  </conditionalFormatting>
  <conditionalFormatting sqref="BM963">
    <cfRule type="cellIs" dxfId="196" priority="200" operator="between">
      <formula>8</formula>
      <formula>60</formula>
    </cfRule>
  </conditionalFormatting>
  <conditionalFormatting sqref="CE963:CE964">
    <cfRule type="cellIs" dxfId="195" priority="199" operator="between">
      <formula>-0.04</formula>
      <formula>-1</formula>
    </cfRule>
  </conditionalFormatting>
  <conditionalFormatting sqref="CE965:CE966">
    <cfRule type="cellIs" dxfId="194" priority="197" operator="between">
      <formula>-0.04</formula>
      <formula>-1</formula>
    </cfRule>
  </conditionalFormatting>
  <conditionalFormatting sqref="BM960">
    <cfRule type="cellIs" dxfId="193" priority="196" operator="between">
      <formula>8</formula>
      <formula>60</formula>
    </cfRule>
  </conditionalFormatting>
  <conditionalFormatting sqref="BM964">
    <cfRule type="cellIs" dxfId="192" priority="195" operator="between">
      <formula>8</formula>
      <formula>60</formula>
    </cfRule>
  </conditionalFormatting>
  <conditionalFormatting sqref="BM962">
    <cfRule type="cellIs" dxfId="191" priority="194" operator="between">
      <formula>8</formula>
      <formula>60</formula>
    </cfRule>
  </conditionalFormatting>
  <conditionalFormatting sqref="CE962">
    <cfRule type="cellIs" dxfId="190" priority="193" operator="between">
      <formula>-0.04</formula>
      <formula>-1</formula>
    </cfRule>
  </conditionalFormatting>
  <conditionalFormatting sqref="BM966">
    <cfRule type="cellIs" dxfId="189" priority="192" operator="between">
      <formula>8</formula>
      <formula>60</formula>
    </cfRule>
  </conditionalFormatting>
  <conditionalFormatting sqref="BM985">
    <cfRule type="cellIs" dxfId="188" priority="191" operator="between">
      <formula>8</formula>
      <formula>60</formula>
    </cfRule>
  </conditionalFormatting>
  <conditionalFormatting sqref="CE985">
    <cfRule type="cellIs" dxfId="187" priority="190" operator="between">
      <formula>-0.04</formula>
      <formula>-1</formula>
    </cfRule>
  </conditionalFormatting>
  <conditionalFormatting sqref="BM984">
    <cfRule type="cellIs" dxfId="186" priority="189" operator="between">
      <formula>8</formula>
      <formula>60</formula>
    </cfRule>
  </conditionalFormatting>
  <conditionalFormatting sqref="CE984">
    <cfRule type="cellIs" dxfId="185" priority="188" operator="between">
      <formula>-0.04</formula>
      <formula>-1</formula>
    </cfRule>
  </conditionalFormatting>
  <conditionalFormatting sqref="BM334">
    <cfRule type="cellIs" dxfId="184" priority="187" operator="between">
      <formula>8</formula>
      <formula>60</formula>
    </cfRule>
  </conditionalFormatting>
  <conditionalFormatting sqref="CE334:CE335">
    <cfRule type="cellIs" dxfId="183" priority="186" operator="between">
      <formula>-0.04</formula>
      <formula>-1</formula>
    </cfRule>
  </conditionalFormatting>
  <conditionalFormatting sqref="BM335">
    <cfRule type="cellIs" dxfId="182" priority="185" operator="between">
      <formula>8</formula>
      <formula>60</formula>
    </cfRule>
  </conditionalFormatting>
  <conditionalFormatting sqref="BM902">
    <cfRule type="cellIs" dxfId="181" priority="184" operator="between">
      <formula>8</formula>
      <formula>60</formula>
    </cfRule>
  </conditionalFormatting>
  <conditionalFormatting sqref="BM901">
    <cfRule type="cellIs" dxfId="180" priority="182" operator="between">
      <formula>8</formula>
      <formula>60</formula>
    </cfRule>
  </conditionalFormatting>
  <conditionalFormatting sqref="CE902">
    <cfRule type="cellIs" dxfId="179" priority="183" operator="between">
      <formula>-0.04</formula>
      <formula>-1</formula>
    </cfRule>
  </conditionalFormatting>
  <conditionalFormatting sqref="CE901">
    <cfRule type="cellIs" dxfId="178" priority="181" operator="between">
      <formula>-0.04</formula>
      <formula>-1</formula>
    </cfRule>
  </conditionalFormatting>
  <conditionalFormatting sqref="BM899:BM900">
    <cfRule type="cellIs" dxfId="177" priority="180" operator="between">
      <formula>8</formula>
      <formula>60</formula>
    </cfRule>
  </conditionalFormatting>
  <conditionalFormatting sqref="BM898:BM902">
    <cfRule type="cellIs" dxfId="176" priority="178" operator="between">
      <formula>8</formula>
      <formula>60</formula>
    </cfRule>
  </conditionalFormatting>
  <conditionalFormatting sqref="CE899:CE900">
    <cfRule type="cellIs" dxfId="175" priority="179" operator="between">
      <formula>-0.04</formula>
      <formula>-1</formula>
    </cfRule>
  </conditionalFormatting>
  <conditionalFormatting sqref="CE898">
    <cfRule type="cellIs" dxfId="174" priority="177" operator="between">
      <formula>-0.04</formula>
      <formula>-1</formula>
    </cfRule>
  </conditionalFormatting>
  <conditionalFormatting sqref="CE614">
    <cfRule type="cellIs" dxfId="173" priority="176" operator="between">
      <formula>-0.04</formula>
      <formula>-1</formula>
    </cfRule>
  </conditionalFormatting>
  <conditionalFormatting sqref="BM614">
    <cfRule type="cellIs" dxfId="172" priority="175" operator="between">
      <formula>8</formula>
      <formula>60</formula>
    </cfRule>
  </conditionalFormatting>
  <conditionalFormatting sqref="BM320">
    <cfRule type="cellIs" dxfId="171" priority="174" operator="between">
      <formula>8</formula>
      <formula>60</formula>
    </cfRule>
  </conditionalFormatting>
  <conditionalFormatting sqref="CE320">
    <cfRule type="cellIs" dxfId="170" priority="173" operator="between">
      <formula>-0.04</formula>
      <formula>-1</formula>
    </cfRule>
  </conditionalFormatting>
  <conditionalFormatting sqref="CE336:CE338">
    <cfRule type="cellIs" dxfId="169" priority="172" operator="between">
      <formula>-0.04</formula>
      <formula>-1</formula>
    </cfRule>
  </conditionalFormatting>
  <conditionalFormatting sqref="BM344:BM345">
    <cfRule type="cellIs" dxfId="168" priority="171" operator="between">
      <formula>8</formula>
      <formula>60</formula>
    </cfRule>
  </conditionalFormatting>
  <conditionalFormatting sqref="CE344:CE345">
    <cfRule type="cellIs" dxfId="167" priority="170" operator="between">
      <formula>-0.04</formula>
      <formula>-1</formula>
    </cfRule>
  </conditionalFormatting>
  <conditionalFormatting sqref="BM339:BM343">
    <cfRule type="cellIs" dxfId="166" priority="169" operator="between">
      <formula>8</formula>
      <formula>60</formula>
    </cfRule>
  </conditionalFormatting>
  <conditionalFormatting sqref="CE339:CE343">
    <cfRule type="cellIs" dxfId="165" priority="168" operator="between">
      <formula>-0.04</formula>
      <formula>-1</formula>
    </cfRule>
  </conditionalFormatting>
  <conditionalFormatting sqref="BM336:BM345">
    <cfRule type="cellIs" dxfId="164" priority="167" operator="between">
      <formula>8</formula>
      <formula>60</formula>
    </cfRule>
  </conditionalFormatting>
  <conditionalFormatting sqref="BM354">
    <cfRule type="cellIs" dxfId="163" priority="166" operator="between">
      <formula>8</formula>
      <formula>60</formula>
    </cfRule>
  </conditionalFormatting>
  <conditionalFormatting sqref="CE354">
    <cfRule type="cellIs" dxfId="162" priority="165" operator="between">
      <formula>-0.04</formula>
      <formula>-1</formula>
    </cfRule>
  </conditionalFormatting>
  <conditionalFormatting sqref="BM349:BM353">
    <cfRule type="cellIs" dxfId="161" priority="164" operator="between">
      <formula>8</formula>
      <formula>60</formula>
    </cfRule>
  </conditionalFormatting>
  <conditionalFormatting sqref="CE349:CE353">
    <cfRule type="cellIs" dxfId="160" priority="163" operator="between">
      <formula>-0.04</formula>
      <formula>-1</formula>
    </cfRule>
  </conditionalFormatting>
  <conditionalFormatting sqref="BM346:BM354">
    <cfRule type="cellIs" dxfId="159" priority="162" operator="between">
      <formula>8</formula>
      <formula>60</formula>
    </cfRule>
  </conditionalFormatting>
  <conditionalFormatting sqref="CE346:CE348">
    <cfRule type="cellIs" dxfId="158" priority="161" operator="between">
      <formula>-0.04</formula>
      <formula>-1</formula>
    </cfRule>
  </conditionalFormatting>
  <conditionalFormatting sqref="BM903:BM905">
    <cfRule type="cellIs" dxfId="157" priority="160" operator="between">
      <formula>8</formula>
      <formula>60</formula>
    </cfRule>
  </conditionalFormatting>
  <conditionalFormatting sqref="CE903">
    <cfRule type="cellIs" dxfId="156" priority="159" operator="between">
      <formula>-0.04</formula>
      <formula>-1</formula>
    </cfRule>
  </conditionalFormatting>
  <conditionalFormatting sqref="BM905">
    <cfRule type="cellIs" dxfId="155" priority="158" operator="between">
      <formula>8</formula>
      <formula>60</formula>
    </cfRule>
  </conditionalFormatting>
  <conditionalFormatting sqref="BM904">
    <cfRule type="cellIs" dxfId="154" priority="156" operator="between">
      <formula>8</formula>
      <formula>60</formula>
    </cfRule>
  </conditionalFormatting>
  <conditionalFormatting sqref="CE905">
    <cfRule type="cellIs" dxfId="153" priority="157" operator="between">
      <formula>-0.04</formula>
      <formula>-1</formula>
    </cfRule>
  </conditionalFormatting>
  <conditionalFormatting sqref="CE904">
    <cfRule type="cellIs" dxfId="152" priority="155" operator="between">
      <formula>-0.04</formula>
      <formula>-1</formula>
    </cfRule>
  </conditionalFormatting>
  <conditionalFormatting sqref="BM1179:BM1182">
    <cfRule type="cellIs" dxfId="151" priority="154" operator="between">
      <formula>8</formula>
      <formula>60</formula>
    </cfRule>
  </conditionalFormatting>
  <conditionalFormatting sqref="CE1179">
    <cfRule type="cellIs" dxfId="150" priority="153" operator="between">
      <formula>-0.04</formula>
      <formula>-1</formula>
    </cfRule>
  </conditionalFormatting>
  <conditionalFormatting sqref="BM1181:BM1182">
    <cfRule type="cellIs" dxfId="149" priority="150" operator="between">
      <formula>8</formula>
      <formula>60</formula>
    </cfRule>
  </conditionalFormatting>
  <conditionalFormatting sqref="BM1180">
    <cfRule type="cellIs" dxfId="148" priority="152" operator="between">
      <formula>8</formula>
      <formula>60</formula>
    </cfRule>
  </conditionalFormatting>
  <conditionalFormatting sqref="CE1180">
    <cfRule type="cellIs" dxfId="147" priority="151" operator="between">
      <formula>-0.04</formula>
      <formula>-1</formula>
    </cfRule>
  </conditionalFormatting>
  <conditionalFormatting sqref="CE1181:CE1182">
    <cfRule type="cellIs" dxfId="146" priority="149" operator="between">
      <formula>-0.04</formula>
      <formula>-1</formula>
    </cfRule>
  </conditionalFormatting>
  <conditionalFormatting sqref="BM1174:BM1178">
    <cfRule type="cellIs" dxfId="145" priority="148" operator="between">
      <formula>8</formula>
      <formula>60</formula>
    </cfRule>
  </conditionalFormatting>
  <conditionalFormatting sqref="CE1174">
    <cfRule type="cellIs" dxfId="144" priority="147" operator="between">
      <formula>-0.04</formula>
      <formula>-1</formula>
    </cfRule>
  </conditionalFormatting>
  <conditionalFormatting sqref="BM1176:BM1177">
    <cfRule type="cellIs" dxfId="143" priority="142" operator="between">
      <formula>8</formula>
      <formula>60</formula>
    </cfRule>
  </conditionalFormatting>
  <conditionalFormatting sqref="BM1178">
    <cfRule type="cellIs" dxfId="142" priority="146" operator="between">
      <formula>8</formula>
      <formula>60</formula>
    </cfRule>
  </conditionalFormatting>
  <conditionalFormatting sqref="CE1178">
    <cfRule type="cellIs" dxfId="141" priority="145" operator="between">
      <formula>-0.04</formula>
      <formula>-1</formula>
    </cfRule>
  </conditionalFormatting>
  <conditionalFormatting sqref="BM1175">
    <cfRule type="cellIs" dxfId="140" priority="144" operator="between">
      <formula>8</formula>
      <formula>60</formula>
    </cfRule>
  </conditionalFormatting>
  <conditionalFormatting sqref="CE1175">
    <cfRule type="cellIs" dxfId="139" priority="143" operator="between">
      <formula>-0.04</formula>
      <formula>-1</formula>
    </cfRule>
  </conditionalFormatting>
  <conditionalFormatting sqref="CE1176:CE1177">
    <cfRule type="cellIs" dxfId="138" priority="141" operator="between">
      <formula>-0.04</formula>
      <formula>-1</formula>
    </cfRule>
  </conditionalFormatting>
  <conditionalFormatting sqref="BM1184">
    <cfRule type="cellIs" dxfId="137" priority="140" operator="between">
      <formula>8</formula>
      <formula>60</formula>
    </cfRule>
  </conditionalFormatting>
  <conditionalFormatting sqref="CE1184">
    <cfRule type="cellIs" dxfId="136" priority="139" operator="between">
      <formula>-0.04</formula>
      <formula>-1</formula>
    </cfRule>
  </conditionalFormatting>
  <conditionalFormatting sqref="BM1186:BM1187">
    <cfRule type="cellIs" dxfId="135" priority="136" operator="between">
      <formula>8</formula>
      <formula>60</formula>
    </cfRule>
  </conditionalFormatting>
  <conditionalFormatting sqref="BM1185">
    <cfRule type="cellIs" dxfId="134" priority="138" operator="between">
      <formula>8</formula>
      <formula>60</formula>
    </cfRule>
  </conditionalFormatting>
  <conditionalFormatting sqref="CE1185">
    <cfRule type="cellIs" dxfId="133" priority="137" operator="between">
      <formula>-0.04</formula>
      <formula>-1</formula>
    </cfRule>
  </conditionalFormatting>
  <conditionalFormatting sqref="CE1186:CE1187">
    <cfRule type="cellIs" dxfId="132" priority="135" operator="between">
      <formula>-0.04</formula>
      <formula>-1</formula>
    </cfRule>
  </conditionalFormatting>
  <conditionalFormatting sqref="BM1183:BM1187">
    <cfRule type="cellIs" dxfId="131" priority="134" operator="between">
      <formula>8</formula>
      <formula>60</formula>
    </cfRule>
  </conditionalFormatting>
  <conditionalFormatting sqref="CE1183">
    <cfRule type="cellIs" dxfId="130" priority="133" operator="between">
      <formula>-0.04</formula>
      <formula>-1</formula>
    </cfRule>
  </conditionalFormatting>
  <conditionalFormatting sqref="BM282:BM284">
    <cfRule type="cellIs" dxfId="129" priority="130" operator="between">
      <formula>8</formula>
      <formula>60</formula>
    </cfRule>
  </conditionalFormatting>
  <conditionalFormatting sqref="CE282">
    <cfRule type="cellIs" dxfId="128" priority="129" operator="between">
      <formula>-0.04</formula>
      <formula>-1</formula>
    </cfRule>
  </conditionalFormatting>
  <conditionalFormatting sqref="BM283:BM284">
    <cfRule type="cellIs" dxfId="127" priority="132" operator="between">
      <formula>8</formula>
      <formula>60</formula>
    </cfRule>
  </conditionalFormatting>
  <conditionalFormatting sqref="CE283:CE284">
    <cfRule type="cellIs" dxfId="126" priority="131" operator="between">
      <formula>-0.04</formula>
      <formula>-1</formula>
    </cfRule>
  </conditionalFormatting>
  <conditionalFormatting sqref="CE654">
    <cfRule type="cellIs" dxfId="125" priority="128" operator="between">
      <formula>-0.04</formula>
      <formula>-1</formula>
    </cfRule>
  </conditionalFormatting>
  <conditionalFormatting sqref="CE657">
    <cfRule type="cellIs" dxfId="124" priority="127" operator="between">
      <formula>-0.04</formula>
      <formula>-1</formula>
    </cfRule>
  </conditionalFormatting>
  <conditionalFormatting sqref="BM654:BM656">
    <cfRule type="cellIs" dxfId="123" priority="126" operator="between">
      <formula>8</formula>
      <formula>60</formula>
    </cfRule>
  </conditionalFormatting>
  <conditionalFormatting sqref="BM655">
    <cfRule type="cellIs" dxfId="122" priority="123" operator="between">
      <formula>8</formula>
      <formula>60</formula>
    </cfRule>
  </conditionalFormatting>
  <conditionalFormatting sqref="BM656">
    <cfRule type="cellIs" dxfId="121" priority="125" operator="between">
      <formula>8</formula>
      <formula>60</formula>
    </cfRule>
  </conditionalFormatting>
  <conditionalFormatting sqref="CE656">
    <cfRule type="cellIs" dxfId="120" priority="124" operator="between">
      <formula>-0.04</formula>
      <formula>-1</formula>
    </cfRule>
  </conditionalFormatting>
  <conditionalFormatting sqref="CE655">
    <cfRule type="cellIs" dxfId="119" priority="122" operator="between">
      <formula>-0.04</formula>
      <formula>-1</formula>
    </cfRule>
  </conditionalFormatting>
  <conditionalFormatting sqref="BM657">
    <cfRule type="cellIs" dxfId="118" priority="121" operator="between">
      <formula>8</formula>
      <formula>60</formula>
    </cfRule>
  </conditionalFormatting>
  <conditionalFormatting sqref="BM616">
    <cfRule type="cellIs" dxfId="117" priority="116" operator="between">
      <formula>8</formula>
      <formula>60</formula>
    </cfRule>
  </conditionalFormatting>
  <conditionalFormatting sqref="CE616">
    <cfRule type="cellIs" dxfId="116" priority="115" operator="between">
      <formula>-0.04</formula>
      <formula>-1</formula>
    </cfRule>
  </conditionalFormatting>
  <conditionalFormatting sqref="BM617">
    <cfRule type="cellIs" dxfId="115" priority="120" operator="between">
      <formula>8</formula>
      <formula>60</formula>
    </cfRule>
  </conditionalFormatting>
  <conditionalFormatting sqref="CE617">
    <cfRule type="cellIs" dxfId="114" priority="119" operator="between">
      <formula>-0.04</formula>
      <formula>-1</formula>
    </cfRule>
  </conditionalFormatting>
  <conditionalFormatting sqref="BM618">
    <cfRule type="cellIs" dxfId="113" priority="118" operator="between">
      <formula>8</formula>
      <formula>60</formula>
    </cfRule>
  </conditionalFormatting>
  <conditionalFormatting sqref="CE618">
    <cfRule type="cellIs" dxfId="112" priority="117" operator="between">
      <formula>-0.04</formula>
      <formula>-1</formula>
    </cfRule>
  </conditionalFormatting>
  <conditionalFormatting sqref="BM615:BM618">
    <cfRule type="cellIs" dxfId="111" priority="114" operator="between">
      <formula>8</formula>
      <formula>60</formula>
    </cfRule>
  </conditionalFormatting>
  <conditionalFormatting sqref="CE615">
    <cfRule type="cellIs" dxfId="110" priority="113" operator="between">
      <formula>-0.04</formula>
      <formula>-1</formula>
    </cfRule>
  </conditionalFormatting>
  <conditionalFormatting sqref="BM623">
    <cfRule type="cellIs" dxfId="109" priority="112" operator="between">
      <formula>8</formula>
      <formula>60</formula>
    </cfRule>
  </conditionalFormatting>
  <conditionalFormatting sqref="CE623">
    <cfRule type="cellIs" dxfId="108" priority="111" operator="between">
      <formula>-0.04</formula>
      <formula>-1</formula>
    </cfRule>
  </conditionalFormatting>
  <conditionalFormatting sqref="BM619">
    <cfRule type="cellIs" dxfId="107" priority="106" operator="between">
      <formula>8</formula>
      <formula>60</formula>
    </cfRule>
  </conditionalFormatting>
  <conditionalFormatting sqref="BM621">
    <cfRule type="cellIs" dxfId="106" priority="108" operator="between">
      <formula>8</formula>
      <formula>60</formula>
    </cfRule>
  </conditionalFormatting>
  <conditionalFormatting sqref="BM622">
    <cfRule type="cellIs" dxfId="105" priority="110" operator="between">
      <formula>8</formula>
      <formula>60</formula>
    </cfRule>
  </conditionalFormatting>
  <conditionalFormatting sqref="CE622">
    <cfRule type="cellIs" dxfId="104" priority="109" operator="between">
      <formula>-0.04</formula>
      <formula>-1</formula>
    </cfRule>
  </conditionalFormatting>
  <conditionalFormatting sqref="CE621">
    <cfRule type="cellIs" dxfId="103" priority="107" operator="between">
      <formula>-0.04</formula>
      <formula>-1</formula>
    </cfRule>
  </conditionalFormatting>
  <conditionalFormatting sqref="BM620">
    <cfRule type="cellIs" dxfId="102" priority="104" operator="between">
      <formula>8</formula>
      <formula>60</formula>
    </cfRule>
  </conditionalFormatting>
  <conditionalFormatting sqref="CE620">
    <cfRule type="cellIs" dxfId="101" priority="103" operator="between">
      <formula>-0.04</formula>
      <formula>-1</formula>
    </cfRule>
  </conditionalFormatting>
  <conditionalFormatting sqref="CE619">
    <cfRule type="cellIs" dxfId="100" priority="105" operator="between">
      <formula>-0.04</formula>
      <formula>-1</formula>
    </cfRule>
  </conditionalFormatting>
  <conditionalFormatting sqref="CE664">
    <cfRule type="cellIs" dxfId="99" priority="102" operator="between">
      <formula>-0.04</formula>
      <formula>-1</formula>
    </cfRule>
  </conditionalFormatting>
  <conditionalFormatting sqref="BM663">
    <cfRule type="cellIs" dxfId="98" priority="101" operator="between">
      <formula>8</formula>
      <formula>60</formula>
    </cfRule>
  </conditionalFormatting>
  <conditionalFormatting sqref="CE663">
    <cfRule type="cellIs" dxfId="97" priority="100" operator="between">
      <formula>-0.04</formula>
      <formula>-1</formula>
    </cfRule>
  </conditionalFormatting>
  <conditionalFormatting sqref="BM662">
    <cfRule type="cellIs" dxfId="96" priority="98" operator="between">
      <formula>8</formula>
      <formula>60</formula>
    </cfRule>
  </conditionalFormatting>
  <conditionalFormatting sqref="BM660">
    <cfRule type="cellIs" dxfId="95" priority="96" operator="between">
      <formula>8</formula>
      <formula>60</formula>
    </cfRule>
  </conditionalFormatting>
  <conditionalFormatting sqref="CE662">
    <cfRule type="cellIs" dxfId="94" priority="97" operator="between">
      <formula>-0.04</formula>
      <formula>-1</formula>
    </cfRule>
  </conditionalFormatting>
  <conditionalFormatting sqref="CE660:CE661">
    <cfRule type="cellIs" dxfId="93" priority="99" operator="between">
      <formula>-0.04</formula>
      <formula>-1</formula>
    </cfRule>
  </conditionalFormatting>
  <conditionalFormatting sqref="BM658">
    <cfRule type="cellIs" dxfId="92" priority="93" operator="between">
      <formula>8</formula>
      <formula>60</formula>
    </cfRule>
  </conditionalFormatting>
  <conditionalFormatting sqref="CE658">
    <cfRule type="cellIs" dxfId="91" priority="92" operator="between">
      <formula>-0.04</formula>
      <formula>-1</formula>
    </cfRule>
  </conditionalFormatting>
  <conditionalFormatting sqref="BM659">
    <cfRule type="cellIs" dxfId="90" priority="95" operator="between">
      <formula>8</formula>
      <formula>60</formula>
    </cfRule>
  </conditionalFormatting>
  <conditionalFormatting sqref="CE659">
    <cfRule type="cellIs" dxfId="89" priority="94" operator="between">
      <formula>-0.04</formula>
      <formula>-1</formula>
    </cfRule>
  </conditionalFormatting>
  <conditionalFormatting sqref="BM661">
    <cfRule type="cellIs" dxfId="88" priority="91" operator="between">
      <formula>8</formula>
      <formula>60</formula>
    </cfRule>
  </conditionalFormatting>
  <conditionalFormatting sqref="BM664">
    <cfRule type="cellIs" dxfId="87" priority="90" operator="between">
      <formula>8</formula>
      <formula>60</formula>
    </cfRule>
  </conditionalFormatting>
  <conditionalFormatting sqref="BM666">
    <cfRule type="cellIs" dxfId="86" priority="86" operator="between">
      <formula>8</formula>
      <formula>60</formula>
    </cfRule>
  </conditionalFormatting>
  <conditionalFormatting sqref="CE666">
    <cfRule type="cellIs" dxfId="85" priority="89" operator="between">
      <formula>-0.04</formula>
      <formula>-1</formula>
    </cfRule>
  </conditionalFormatting>
  <conditionalFormatting sqref="BM665">
    <cfRule type="cellIs" dxfId="84" priority="88" operator="between">
      <formula>8</formula>
      <formula>60</formula>
    </cfRule>
  </conditionalFormatting>
  <conditionalFormatting sqref="CE665">
    <cfRule type="cellIs" dxfId="83" priority="87" operator="between">
      <formula>-0.04</formula>
      <formula>-1</formula>
    </cfRule>
  </conditionalFormatting>
  <conditionalFormatting sqref="BM624">
    <cfRule type="cellIs" dxfId="82" priority="80" operator="between">
      <formula>8</formula>
      <formula>60</formula>
    </cfRule>
  </conditionalFormatting>
  <conditionalFormatting sqref="BM626">
    <cfRule type="cellIs" dxfId="81" priority="82" operator="between">
      <formula>8</formula>
      <formula>60</formula>
    </cfRule>
  </conditionalFormatting>
  <conditionalFormatting sqref="CE628">
    <cfRule type="cellIs" dxfId="80" priority="85" operator="between">
      <formula>-0.04</formula>
      <formula>-1</formula>
    </cfRule>
  </conditionalFormatting>
  <conditionalFormatting sqref="BM627">
    <cfRule type="cellIs" dxfId="79" priority="84" operator="between">
      <formula>8</formula>
      <formula>60</formula>
    </cfRule>
  </conditionalFormatting>
  <conditionalFormatting sqref="CE627">
    <cfRule type="cellIs" dxfId="78" priority="83" operator="between">
      <formula>-0.04</formula>
      <formula>-1</formula>
    </cfRule>
  </conditionalFormatting>
  <conditionalFormatting sqref="CE626">
    <cfRule type="cellIs" dxfId="77" priority="81" operator="between">
      <formula>-0.04</formula>
      <formula>-1</formula>
    </cfRule>
  </conditionalFormatting>
  <conditionalFormatting sqref="BM625">
    <cfRule type="cellIs" dxfId="76" priority="77" operator="between">
      <formula>8</formula>
      <formula>60</formula>
    </cfRule>
  </conditionalFormatting>
  <conditionalFormatting sqref="CE625">
    <cfRule type="cellIs" dxfId="75" priority="78" operator="between">
      <formula>-0.04</formula>
      <formula>-1</formula>
    </cfRule>
  </conditionalFormatting>
  <conditionalFormatting sqref="CE624">
    <cfRule type="cellIs" dxfId="74" priority="79" operator="between">
      <formula>-0.04</formula>
      <formula>-1</formula>
    </cfRule>
  </conditionalFormatting>
  <conditionalFormatting sqref="BM628">
    <cfRule type="cellIs" dxfId="73" priority="76" operator="between">
      <formula>8</formula>
      <formula>60</formula>
    </cfRule>
  </conditionalFormatting>
  <conditionalFormatting sqref="CE520">
    <cfRule type="cellIs" dxfId="72" priority="75" operator="between">
      <formula>-0.04</formula>
      <formula>-1</formula>
    </cfRule>
  </conditionalFormatting>
  <conditionalFormatting sqref="BM519">
    <cfRule type="cellIs" dxfId="71" priority="74" operator="between">
      <formula>8</formula>
      <formula>60</formula>
    </cfRule>
  </conditionalFormatting>
  <conditionalFormatting sqref="CE519">
    <cfRule type="cellIs" dxfId="70" priority="73" operator="between">
      <formula>-0.04</formula>
      <formula>-1</formula>
    </cfRule>
  </conditionalFormatting>
  <conditionalFormatting sqref="BM520">
    <cfRule type="cellIs" dxfId="69" priority="72" operator="between">
      <formula>8</formula>
      <formula>60</formula>
    </cfRule>
  </conditionalFormatting>
  <conditionalFormatting sqref="CE952:CE953">
    <cfRule type="cellIs" dxfId="68" priority="71" operator="between">
      <formula>-0.04</formula>
      <formula>-1</formula>
    </cfRule>
  </conditionalFormatting>
  <conditionalFormatting sqref="BM952">
    <cfRule type="cellIs" dxfId="67" priority="70" operator="between">
      <formula>8</formula>
      <formula>60</formula>
    </cfRule>
  </conditionalFormatting>
  <conditionalFormatting sqref="BM953">
    <cfRule type="cellIs" dxfId="66" priority="69" operator="between">
      <formula>8</formula>
      <formula>60</formula>
    </cfRule>
  </conditionalFormatting>
  <conditionalFormatting sqref="CE967">
    <cfRule type="cellIs" dxfId="65" priority="68" operator="between">
      <formula>-0.04</formula>
      <formula>-1</formula>
    </cfRule>
  </conditionalFormatting>
  <conditionalFormatting sqref="CE968">
    <cfRule type="cellIs" dxfId="64" priority="67" operator="between">
      <formula>-0.04</formula>
      <formula>-1</formula>
    </cfRule>
  </conditionalFormatting>
  <conditionalFormatting sqref="BM967">
    <cfRule type="cellIs" dxfId="63" priority="66" operator="between">
      <formula>8</formula>
      <formula>60</formula>
    </cfRule>
  </conditionalFormatting>
  <conditionalFormatting sqref="BM968">
    <cfRule type="cellIs" dxfId="62" priority="65" operator="between">
      <formula>8</formula>
      <formula>60</formula>
    </cfRule>
  </conditionalFormatting>
  <conditionalFormatting sqref="BM1613">
    <cfRule type="cellIs" dxfId="61" priority="62" operator="between">
      <formula>8</formula>
      <formula>60</formula>
    </cfRule>
  </conditionalFormatting>
  <conditionalFormatting sqref="BM1612">
    <cfRule type="cellIs" dxfId="60" priority="60" operator="between">
      <formula>8</formula>
      <formula>60</formula>
    </cfRule>
  </conditionalFormatting>
  <conditionalFormatting sqref="BM1611:BM1613">
    <cfRule type="cellIs" dxfId="59" priority="64" operator="between">
      <formula>8</formula>
      <formula>60</formula>
    </cfRule>
  </conditionalFormatting>
  <conditionalFormatting sqref="CE1611">
    <cfRule type="cellIs" dxfId="58" priority="63" operator="between">
      <formula>-0.04</formula>
      <formula>-1</formula>
    </cfRule>
  </conditionalFormatting>
  <conditionalFormatting sqref="CE1613">
    <cfRule type="cellIs" dxfId="57" priority="61" operator="between">
      <formula>-0.04</formula>
      <formula>-1</formula>
    </cfRule>
  </conditionalFormatting>
  <conditionalFormatting sqref="CE1612">
    <cfRule type="cellIs" dxfId="56" priority="59" operator="between">
      <formula>-0.04</formula>
      <formula>-1</formula>
    </cfRule>
  </conditionalFormatting>
  <conditionalFormatting sqref="BM234">
    <cfRule type="cellIs" dxfId="55" priority="56" operator="between">
      <formula>8</formula>
      <formula>60</formula>
    </cfRule>
  </conditionalFormatting>
  <conditionalFormatting sqref="BM235">
    <cfRule type="cellIs" dxfId="54" priority="58" operator="between">
      <formula>8</formula>
      <formula>60</formula>
    </cfRule>
  </conditionalFormatting>
  <conditionalFormatting sqref="CE235">
    <cfRule type="cellIs" dxfId="53" priority="57" operator="between">
      <formula>-0.04</formula>
      <formula>-1</formula>
    </cfRule>
  </conditionalFormatting>
  <conditionalFormatting sqref="CE234">
    <cfRule type="cellIs" dxfId="52" priority="55" operator="between">
      <formula>-0.04</formula>
      <formula>-1</formula>
    </cfRule>
  </conditionalFormatting>
  <conditionalFormatting sqref="CE233">
    <cfRule type="cellIs" dxfId="51" priority="54" operator="between">
      <formula>-0.04</formula>
      <formula>-1</formula>
    </cfRule>
  </conditionalFormatting>
  <conditionalFormatting sqref="BM230">
    <cfRule type="cellIs" dxfId="50" priority="49" operator="between">
      <formula>8</formula>
      <formula>60</formula>
    </cfRule>
  </conditionalFormatting>
  <conditionalFormatting sqref="BM232">
    <cfRule type="cellIs" dxfId="49" priority="53" operator="between">
      <formula>8</formula>
      <formula>60</formula>
    </cfRule>
  </conditionalFormatting>
  <conditionalFormatting sqref="CE232">
    <cfRule type="cellIs" dxfId="48" priority="52" operator="between">
      <formula>-0.04</formula>
      <formula>-1</formula>
    </cfRule>
  </conditionalFormatting>
  <conditionalFormatting sqref="BM231">
    <cfRule type="cellIs" dxfId="47" priority="51" operator="between">
      <formula>8</formula>
      <formula>60</formula>
    </cfRule>
  </conditionalFormatting>
  <conditionalFormatting sqref="CE231">
    <cfRule type="cellIs" dxfId="46" priority="50" operator="between">
      <formula>-0.04</formula>
      <formula>-1</formula>
    </cfRule>
  </conditionalFormatting>
  <conditionalFormatting sqref="CE230">
    <cfRule type="cellIs" dxfId="45" priority="48" operator="between">
      <formula>-0.04</formula>
      <formula>-1</formula>
    </cfRule>
  </conditionalFormatting>
  <conditionalFormatting sqref="BM229:BM231">
    <cfRule type="cellIs" dxfId="44" priority="47" operator="between">
      <formula>8</formula>
      <formula>60</formula>
    </cfRule>
  </conditionalFormatting>
  <conditionalFormatting sqref="CE229">
    <cfRule type="cellIs" dxfId="43" priority="46" operator="between">
      <formula>-0.04</formula>
      <formula>-1</formula>
    </cfRule>
  </conditionalFormatting>
  <conditionalFormatting sqref="BM233:BM235">
    <cfRule type="cellIs" dxfId="42" priority="45" operator="between">
      <formula>8</formula>
      <formula>60</formula>
    </cfRule>
  </conditionalFormatting>
  <conditionalFormatting sqref="CE629">
    <cfRule type="cellIs" dxfId="41" priority="40" operator="between">
      <formula>-0.04</formula>
      <formula>-1</formula>
    </cfRule>
  </conditionalFormatting>
  <conditionalFormatting sqref="BM630">
    <cfRule type="cellIs" dxfId="40" priority="39" operator="between">
      <formula>8</formula>
      <formula>60</formula>
    </cfRule>
  </conditionalFormatting>
  <conditionalFormatting sqref="BM629">
    <cfRule type="cellIs" dxfId="39" priority="41" operator="between">
      <formula>8</formula>
      <formula>60</formula>
    </cfRule>
  </conditionalFormatting>
  <conditionalFormatting sqref="CE630">
    <cfRule type="cellIs" dxfId="38" priority="42" operator="between">
      <formula>-0.04</formula>
      <formula>-1</formula>
    </cfRule>
  </conditionalFormatting>
  <conditionalFormatting sqref="CE669">
    <cfRule type="cellIs" dxfId="37" priority="31" operator="between">
      <formula>-0.04</formula>
      <formula>-1</formula>
    </cfRule>
  </conditionalFormatting>
  <conditionalFormatting sqref="BM667:BM671">
    <cfRule type="cellIs" dxfId="36" priority="30" operator="between">
      <formula>8</formula>
      <formula>60</formula>
    </cfRule>
  </conditionalFormatting>
  <conditionalFormatting sqref="BM671">
    <cfRule type="cellIs" dxfId="35" priority="38" operator="between">
      <formula>8</formula>
      <formula>60</formula>
    </cfRule>
  </conditionalFormatting>
  <conditionalFormatting sqref="CE671">
    <cfRule type="cellIs" dxfId="34" priority="37" operator="between">
      <formula>-0.04</formula>
      <formula>-1</formula>
    </cfRule>
  </conditionalFormatting>
  <conditionalFormatting sqref="BM669">
    <cfRule type="cellIs" dxfId="33" priority="32" operator="between">
      <formula>8</formula>
      <formula>60</formula>
    </cfRule>
  </conditionalFormatting>
  <conditionalFormatting sqref="BM668">
    <cfRule type="cellIs" dxfId="32" priority="36" operator="between">
      <formula>8</formula>
      <formula>60</formula>
    </cfRule>
  </conditionalFormatting>
  <conditionalFormatting sqref="CE667:CE668">
    <cfRule type="cellIs" dxfId="31" priority="35" operator="between">
      <formula>-0.04</formula>
      <formula>-1</formula>
    </cfRule>
  </conditionalFormatting>
  <conditionalFormatting sqref="BM670">
    <cfRule type="cellIs" dxfId="30" priority="34" operator="between">
      <formula>8</formula>
      <formula>60</formula>
    </cfRule>
  </conditionalFormatting>
  <conditionalFormatting sqref="CE670">
    <cfRule type="cellIs" dxfId="29" priority="33" operator="between">
      <formula>-0.04</formula>
      <formula>-1</formula>
    </cfRule>
  </conditionalFormatting>
  <conditionalFormatting sqref="BM238">
    <cfRule type="cellIs" dxfId="28" priority="29" operator="between">
      <formula>8</formula>
      <formula>60</formula>
    </cfRule>
  </conditionalFormatting>
  <conditionalFormatting sqref="CE238">
    <cfRule type="cellIs" dxfId="27" priority="28" operator="between">
      <formula>-0.04</formula>
      <formula>-1</formula>
    </cfRule>
  </conditionalFormatting>
  <conditionalFormatting sqref="BM237">
    <cfRule type="cellIs" dxfId="26" priority="27" operator="between">
      <formula>8</formula>
      <formula>60</formula>
    </cfRule>
  </conditionalFormatting>
  <conditionalFormatting sqref="CE237">
    <cfRule type="cellIs" dxfId="25" priority="26" operator="between">
      <formula>-0.04</formula>
      <formula>-1</formula>
    </cfRule>
  </conditionalFormatting>
  <conditionalFormatting sqref="BM236:BM238">
    <cfRule type="cellIs" dxfId="24" priority="25" operator="between">
      <formula>8</formula>
      <formula>60</formula>
    </cfRule>
  </conditionalFormatting>
  <conditionalFormatting sqref="CE236">
    <cfRule type="cellIs" dxfId="23" priority="24" operator="between">
      <formula>-0.04</formula>
      <formula>-1</formula>
    </cfRule>
  </conditionalFormatting>
  <conditionalFormatting sqref="BM672">
    <cfRule type="cellIs" dxfId="22" priority="23" operator="between">
      <formula>8</formula>
      <formula>60</formula>
    </cfRule>
  </conditionalFormatting>
  <conditionalFormatting sqref="CE672">
    <cfRule type="cellIs" dxfId="21" priority="22" operator="between">
      <formula>-0.04</formula>
      <formula>-1</formula>
    </cfRule>
  </conditionalFormatting>
  <conditionalFormatting sqref="BM355:BM362">
    <cfRule type="cellIs" dxfId="20" priority="21" operator="between">
      <formula>8</formula>
      <formula>60</formula>
    </cfRule>
  </conditionalFormatting>
  <conditionalFormatting sqref="CE355:CE356">
    <cfRule type="cellIs" dxfId="19" priority="20" operator="between">
      <formula>-0.04</formula>
      <formula>-1</formula>
    </cfRule>
  </conditionalFormatting>
  <conditionalFormatting sqref="BM362">
    <cfRule type="cellIs" dxfId="18" priority="19" operator="between">
      <formula>8</formula>
      <formula>60</formula>
    </cfRule>
  </conditionalFormatting>
  <conditionalFormatting sqref="CE362">
    <cfRule type="cellIs" dxfId="17" priority="18" operator="between">
      <formula>-0.04</formula>
      <formula>-1</formula>
    </cfRule>
  </conditionalFormatting>
  <conditionalFormatting sqref="BM357:BM361">
    <cfRule type="cellIs" dxfId="16" priority="17" operator="between">
      <formula>8</formula>
      <formula>60</formula>
    </cfRule>
  </conditionalFormatting>
  <conditionalFormatting sqref="CE357:CE361">
    <cfRule type="cellIs" dxfId="15" priority="16" operator="between">
      <formula>-0.04</formula>
      <formula>-1</formula>
    </cfRule>
  </conditionalFormatting>
  <conditionalFormatting sqref="BM365">
    <cfRule type="cellIs" dxfId="14" priority="15" operator="between">
      <formula>8</formula>
      <formula>60</formula>
    </cfRule>
  </conditionalFormatting>
  <conditionalFormatting sqref="CE365">
    <cfRule type="cellIs" dxfId="13" priority="14" operator="between">
      <formula>-0.04</formula>
      <formula>-1</formula>
    </cfRule>
  </conditionalFormatting>
  <conditionalFormatting sqref="BM363:BM365">
    <cfRule type="cellIs" dxfId="12" priority="13" operator="between">
      <formula>8</formula>
      <formula>60</formula>
    </cfRule>
  </conditionalFormatting>
  <conditionalFormatting sqref="CE363:CE364">
    <cfRule type="cellIs" dxfId="11" priority="12" operator="between">
      <formula>-0.04</formula>
      <formula>-1</formula>
    </cfRule>
  </conditionalFormatting>
  <conditionalFormatting sqref="BM366 BM368">
    <cfRule type="cellIs" dxfId="10" priority="11" operator="between">
      <formula>8</formula>
      <formula>60</formula>
    </cfRule>
  </conditionalFormatting>
  <conditionalFormatting sqref="CE366:CE369">
    <cfRule type="cellIs" dxfId="9" priority="10" operator="between">
      <formula>-0.04</formula>
      <formula>-1</formula>
    </cfRule>
  </conditionalFormatting>
  <conditionalFormatting sqref="BM367">
    <cfRule type="cellIs" dxfId="8" priority="9" operator="between">
      <formula>8</formula>
      <formula>60</formula>
    </cfRule>
  </conditionalFormatting>
  <conditionalFormatting sqref="BM369">
    <cfRule type="cellIs" dxfId="7" priority="8" operator="between">
      <formula>8</formula>
      <formula>60</formula>
    </cfRule>
  </conditionalFormatting>
  <conditionalFormatting sqref="BM370">
    <cfRule type="cellIs" dxfId="6" priority="7" operator="between">
      <formula>8</formula>
      <formula>60</formula>
    </cfRule>
  </conditionalFormatting>
  <conditionalFormatting sqref="CE370:CE371">
    <cfRule type="cellIs" dxfId="5" priority="6" operator="between">
      <formula>-0.04</formula>
      <formula>-1</formula>
    </cfRule>
  </conditionalFormatting>
  <conditionalFormatting sqref="BM371">
    <cfRule type="cellIs" dxfId="4" priority="5" operator="between">
      <formula>8</formula>
      <formula>60</formula>
    </cfRule>
  </conditionalFormatting>
  <conditionalFormatting sqref="BM1031">
    <cfRule type="cellIs" dxfId="3" priority="4" operator="between">
      <formula>8</formula>
      <formula>60</formula>
    </cfRule>
  </conditionalFormatting>
  <conditionalFormatting sqref="CE1031">
    <cfRule type="cellIs" dxfId="2" priority="3" operator="between">
      <formula>-0.04</formula>
      <formula>-1</formula>
    </cfRule>
  </conditionalFormatting>
  <conditionalFormatting sqref="CE1032">
    <cfRule type="cellIs" dxfId="1" priority="2" operator="between">
      <formula>-0.04</formula>
      <formula>-1</formula>
    </cfRule>
  </conditionalFormatting>
  <conditionalFormatting sqref="BM1032">
    <cfRule type="cellIs" dxfId="0" priority="1" operator="between">
      <formula>8</formula>
      <formula>60</formula>
    </cfRule>
  </conditionalFormatting>
  <dataValidations count="14">
    <dataValidation type="list" allowBlank="1" showInputMessage="1" showErrorMessage="1" sqref="A1658:A1675 A1188:A1207 A1162:A1166 A1033:A1037 A1614:A1622 A1330:A1338 A1514:A1522 A1395:A1409 A1367:A1376 A1051:A1055 A1077:A1131 A929:A948 A954:A958 A969:A983 A986:A990" xr:uid="{00000000-0002-0000-0600-000000000000}">
      <formula1>$A$677:$A$783</formula1>
    </dataValidation>
    <dataValidation type="list" allowBlank="1" showInputMessage="1" showErrorMessage="1" sqref="CF1658:CF1675 CF1188:CF1207 CF929:CF948 CF1614:CF1622 CF1367:CF1376 CF1395:CF1409 CF1514:CF1522 CF1330:CF1338 CF1051:CF1055 CF1033:CF1037 CF1077:CF1131 CF1162:CF1166 CF954:CF958 CF969:CF983 CF986:CF990" xr:uid="{00000000-0002-0000-0600-000001000000}">
      <formula1>$A$859:$A$918</formula1>
    </dataValidation>
    <dataValidation type="list" allowBlank="1" showInputMessage="1" showErrorMessage="1" sqref="CF914:CF928" xr:uid="{00000000-0002-0000-0600-000002000000}">
      <formula1>$A$2134:$A$2159</formula1>
    </dataValidation>
    <dataValidation type="list" allowBlank="1" showInputMessage="1" showErrorMessage="1" sqref="D1051:D1055 D986:D990 D969:D983 D954:D958 D852:D861 D1077:D1131 D673:D681 D1614:D1622 D1367:D1376 D1395:D1409 D285:D290 D1188:D1207 D521:D534 D1658:D1675 D239:D245 D1514:D1522 D1330:D1338 D122:D128 D1033:D1037 D774:D785 D631:D636 D1162:D1166 D321:D326 D906:D948 D372:D381" xr:uid="{00000000-0002-0000-0600-000003000000}">
      <formula1>$O$373:$O$405</formula1>
    </dataValidation>
    <dataValidation type="list" allowBlank="1" showInputMessage="1" showErrorMessage="1" sqref="CG673:CG681 CG372:CG381 CG321:CG326 CG852:CG861 CG631:CG636 CG122:CG128 CG1330:CG1338 CG1514:CG1522 CG239:CG245 CG1658:CG1675 CG521:CG534 CG1188:CG1207 CG285:CG290 CG1395:CG1409 CG1367:CG1376 CG1051:CG1055 CG1614:CG1622 CG1033:CG1037 CG774:CG785 CG1077:CG1131 CG1162:CG1166 CG906:CG948 CG954:CG958 CG969:CG983 CG986:CG990" xr:uid="{00000000-0002-0000-0600-000004000000}">
      <formula1>$O$408:$O$681</formula1>
    </dataValidation>
    <dataValidation type="list" allowBlank="1" showInputMessage="1" showErrorMessage="1" sqref="A239:A245 A906:A913 A852:A861 A122:A128 A285:A290 A673:A681 A521:A534 A774:A785 A631:A636 A321:A326 A372:A381" xr:uid="{00000000-0002-0000-0600-000005000000}">
      <formula1>$A$373:$A$384</formula1>
    </dataValidation>
    <dataValidation type="list" allowBlank="1" showInputMessage="1" showErrorMessage="1" sqref="CF673:CF681 CF372:CF381 CF321:CF326 CF774:CF785 CF239:CF245 CF285:CF290 CF122:CF128 CF521:CF534 CF631:CF636 CF852:CF861 CF906:CF913" xr:uid="{00000000-0002-0000-0600-000006000000}">
      <formula1>$A$394:$A$521</formula1>
    </dataValidation>
    <dataValidation type="list" allowBlank="1" showInputMessage="1" showErrorMessage="1" sqref="CF1492:CF1496 CF1583:CF1605 CF1627:CF1632" xr:uid="{00000000-0002-0000-0600-000007000000}">
      <formula1>$A$109:$A$130</formula1>
    </dataValidation>
    <dataValidation type="list" allowBlank="1" showInputMessage="1" showErrorMessage="1" sqref="A1627:A1632 A1492:A1496 A1583:A1605" xr:uid="{00000000-0002-0000-0600-000008000000}">
      <formula1>$A$94:$A$106</formula1>
    </dataValidation>
    <dataValidation type="list" allowBlank="1" showInputMessage="1" showErrorMessage="1" sqref="D12:D15" xr:uid="{00000000-0002-0000-0600-000009000000}">
      <formula1>$O$250:$O$290</formula1>
    </dataValidation>
    <dataValidation type="list" allowBlank="1" showInputMessage="1" showErrorMessage="1" sqref="D16:D17" xr:uid="{00000000-0002-0000-0600-00000A000000}">
      <formula1>$O$248:$O$288</formula1>
    </dataValidation>
    <dataValidation type="list" allowBlank="1" showInputMessage="1" showErrorMessage="1" sqref="D18:D23" xr:uid="{00000000-0002-0000-0600-00000B000000}">
      <formula1>$O$242:$O$274</formula1>
    </dataValidation>
    <dataValidation type="list" allowBlank="1" showInputMessage="1" showErrorMessage="1" sqref="D1608:D1610" xr:uid="{00000000-0002-0000-0600-00000C000000}">
      <formula1>$O$140:$O$175</formula1>
    </dataValidation>
    <dataValidation type="list" allowBlank="1" showInputMessage="1" showErrorMessage="1" sqref="D846:D847" xr:uid="{00000000-0002-0000-0600-00000D000000}">
      <formula1>$O$143:$O$178</formula1>
    </dataValidation>
  </dataValidations>
  <pageMargins left="0.16" right="0.15" top="0.13" bottom="0.17" header="0.13" footer="0.17"/>
  <pageSetup paperSize="9" orientation="landscape" verticalDpi="1200" r:id="rId1"/>
  <headerFooter>
    <oddFooter>&amp;RPage &amp;P</oddFooter>
  </headerFooter>
  <rowBreaks count="1" manualBreakCount="1">
    <brk id="100" max="85" man="1"/>
  </rowBreaks>
  <drawing r:id="rId2"/>
  <legacyDrawing r:id="rId3"/>
  <controls>
    <mc:AlternateContent xmlns:mc="http://schemas.openxmlformats.org/markup-compatibility/2006">
      <mc:Choice Requires="x14">
        <control shapeId="70657" r:id="rId4" name="btnDyeingLogic">
          <controlPr defaultSize="0" print="0" autoLine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1</xdr:col>
                <xdr:colOff>466725</xdr:colOff>
                <xdr:row>1</xdr:row>
                <xdr:rowOff>114300</xdr:rowOff>
              </to>
            </anchor>
          </controlPr>
        </control>
      </mc:Choice>
      <mc:Fallback>
        <control shapeId="70657" r:id="rId4" name="btnDyeingLogic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600-00000E000000}">
          <x14:formula1>
            <xm:f>Summary!$O$179:$O$214</xm:f>
          </x14:formula1>
          <xm:sqref>D86:D94</xm:sqref>
        </x14:dataValidation>
        <x14:dataValidation type="list" allowBlank="1" showInputMessage="1" showErrorMessage="1" xr:uid="{00000000-0002-0000-0600-00000F000000}">
          <x14:formula1>
            <xm:f>Summary!$O$217:$O$255</xm:f>
          </x14:formula1>
          <xm:sqref>CG86:CG94</xm:sqref>
        </x14:dataValidation>
        <x14:dataValidation type="list" allowBlank="1" showInputMessage="1" showErrorMessage="1" xr:uid="{00000000-0002-0000-0600-000010000000}">
          <x14:formula1>
            <xm:f>Summary!$A$179:$A$194</xm:f>
          </x14:formula1>
          <xm:sqref>A914:A928</xm:sqref>
        </x14:dataValidation>
        <x14:dataValidation type="list" allowBlank="1" showInputMessage="1" showErrorMessage="1" xr:uid="{00000000-0002-0000-0600-000011000000}">
          <x14:formula1>
            <xm:f>Summary!$A$179:$A$193</xm:f>
          </x14:formula1>
          <xm:sqref>A86:A94</xm:sqref>
        </x14:dataValidation>
        <x14:dataValidation type="list" allowBlank="1" showInputMessage="1" showErrorMessage="1" xr:uid="{00000000-0002-0000-0600-000012000000}">
          <x14:formula1>
            <xm:f>Summary!$A$203:$A$219</xm:f>
          </x14:formula1>
          <xm:sqref>CF86:CF94</xm:sqref>
        </x14:dataValidation>
        <x14:dataValidation type="list" allowBlank="1" showInputMessage="1" showErrorMessage="1" xr:uid="{00000000-0002-0000-0600-000013000000}">
          <x14:formula1>
            <xm:f>'C:\Users\salman\Desktop\[New Job Posting.xlsm]Summary'!#REF!</xm:f>
          </x14:formula1>
          <xm:sqref>CF26:CG41 A95:A114 A129:A140 A535:A537 A1208:A1243 A1339:A1344 D26:D41 CF95:CG114 CF129:CG140 CF535:CG537 CF1208:CG1243 CF1339:CG1344 D535:D537 A382:A386 A26:A41 D1339:D1344 D95:D114 CF382:CG386 D1208:D1243 D382:D386 A246:A255 D246:D255 CF246:CG255 D8:D11 CF8:CG11 A8:A11 D129:D140</xm:sqref>
        </x14:dataValidation>
        <x14:dataValidation type="list" allowBlank="1" showInputMessage="1" showErrorMessage="1" xr:uid="{00000000-0002-0000-0600-000014000000}">
          <x14:formula1>
            <xm:f>Summary!$C$179:$C$186</xm:f>
          </x14:formula1>
          <xm:sqref>S1033:S1675 S372:S1030 S8:S365</xm:sqref>
        </x14:dataValidation>
        <x14:dataValidation type="list" allowBlank="1" showInputMessage="1" showErrorMessage="1" xr:uid="{00000000-0002-0000-0600-000015000000}">
          <x14:formula1>
            <xm:f>'C:\Users\shekor\Desktop\[New Job Posting.xlsm]Summary'!#REF!</xm:f>
          </x14:formula1>
          <xm:sqref>A682:A688 A1523:A1582 CF1523:CG1582 CF1623:CG1626 D1623:D1626 D1523:D1582 A786:A788 A1410:A1491 A1623:A1626 D1410:D1491 CF1410:CG1491 CF728:CF730 D1606:D1607 CF786:CG788 CF682:CG688 D786:D788 D682:D688 CF737:CF752 CG728:CG752 A728:A773 CF753:CG773 D24:D25 A1377:A1394 D728:D773 A1244:A1329 D1377:D1394 D1244:D1329 CF1244:CG1329 A1132:A1161 A1633:A1657 D1633:D1657 CF1633:CG1657 CF12:CG25 A12:A25 CF1132:CG1161 D1132:D1161 A1038:A1050 CF1497:CG1513 D848:D851 D873:D905 CF984:CG985 A42:A85 D42:D85 CF42:CG85 D1167:D1187 D256:D284 CF822:CG851 CF291:CG320 CF873:CG905 CF1056:CG1076 CF1038:CG1050 D1038:D1050 A1056:A1076 D1056:D1076 CF1167:CG1187 D822:D845 A984:A985 CF1345:CG1366 CF1606:CG1613 CF327:CG371 A822:A851 D984:D985 CF256:CG284 A115:A121 A1497:A1513 D115:D121 D1497:D1513 A291:A320 A873:A905 A1167:A1187 A256:A284 D291:D320 CF637:CG672 CF115:CG121 D1345:D1366 A1345:A1366 A387:A520 A949:A953 A959:A968 A1606:A1613 CF1377:CG1394 D387:D520 D949:D953 D959:D968 D1611:D1613 CF387:CG520 CF949:CG953 CF959:CG968 A538:A630 A141:A238 D538:D630 D141:D238 CF538:CG630 CF141:CG238 A637:A672 D637:D672 A327:A371 D327:D371 S366:S371 A991:A1032 D991:D1032 S1031:S1032 CF991:CG1032</xm:sqref>
        </x14:dataValidation>
        <x14:dataValidation type="list" allowBlank="1" showInputMessage="1" showErrorMessage="1" xr:uid="{00000000-0002-0000-0600-000016000000}">
          <x14:formula1>
            <xm:f>'C:\Users\salman\Desktop\[New Posting.xlsm]Summary'!#REF!</xm:f>
          </x14:formula1>
          <xm:sqref>D1583:D1605 D1627:D1632 A789:A821 CG1627:CG1632 D1492:D1496 CG1492:CG1496 D689:D727 D789:D821 D862:D872 CF689:CG727 CF789:CG821 CF862:CG872 A862:A872 A689:A727 CG1583:CG1605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Summary</vt:lpstr>
      <vt:lpstr>June'26</vt:lpstr>
      <vt:lpstr>September'26</vt:lpstr>
      <vt:lpstr>'June''26'!Print_Area</vt:lpstr>
      <vt:lpstr>'September''26'!Print_Area</vt:lpstr>
      <vt:lpstr>Summary!Print_Area</vt:lpstr>
      <vt:lpstr>'June''26'!Print_Titles</vt:lpstr>
      <vt:lpstr>'September''26'!Print_Titles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Dyeing-1</dc:creator>
  <cp:lastModifiedBy>Shamim</cp:lastModifiedBy>
  <cp:lastPrinted>2026-09-12T03:59:28Z</cp:lastPrinted>
  <dcterms:created xsi:type="dcterms:W3CDTF">2018-04-29T03:09:41Z</dcterms:created>
  <dcterms:modified xsi:type="dcterms:W3CDTF">2026-09-18T06:58:27Z</dcterms:modified>
</cp:coreProperties>
</file>